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codeName="{37A63EE7-654F-3FA9-A528-636911D70600}"/>
  <workbookPr codeName="EstaPasta_de_trabalho"/>
  <mc:AlternateContent xmlns:mc="http://schemas.openxmlformats.org/markup-compatibility/2006">
    <mc:Choice Requires="x15">
      <x15ac:absPath xmlns:x15ac="http://schemas.microsoft.com/office/spreadsheetml/2010/11/ac" url="D:\ARQUIVOS\LICITAÇÕES DE PEDRO RÉGIS 2021-2026\LICITAÇÕES DE PEDRO RÉGIS 2026\PREFEITURA\CONCORRÊNCIA Nº 002-2026 - CONST. CASAS - EM ANÁLISE\Projetos de arquitetura\"/>
    </mc:Choice>
  </mc:AlternateContent>
  <xr:revisionPtr revIDLastSave="0" documentId="13_ncr:1_{B5C973CD-D73C-406D-9598-161248A0CE21}" xr6:coauthVersionLast="47" xr6:coauthVersionMax="47" xr10:uidLastSave="{00000000-0000-0000-0000-000000000000}"/>
  <workbookProtection workbookAlgorithmName="SHA-512" workbookHashValue="MARFRRPyDxbjtRrgKn+yx+AZguHpV3cjiTS85XcK49+6Nh+yc+VvwcXH4vsjPa6MwhKgHj7RpcBPf+o669Cfnw==" workbookSaltValue="z3D7/OXq7TV2vMxRBuIUUA==" workbookSpinCount="100000" lockStructure="1"/>
  <bookViews>
    <workbookView xWindow="-120" yWindow="-120" windowWidth="20730" windowHeight="11040" tabRatio="801" activeTab="7"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BM!$C$15:$C$244</definedName>
    <definedName name="_xlnm._FilterDatabase" localSheetId="6" hidden="1">CÁLCULO!$C$15:$C$244</definedName>
    <definedName name="_xlnm._FilterDatabase" localSheetId="8" hidden="1">CRONO!$G$13:$G$181</definedName>
    <definedName name="_xlnm._FilterDatabase" localSheetId="7" hidden="1">CRONOPLE!$A$13:$A$79</definedName>
    <definedName name="_xlnm._FilterDatabase" localSheetId="5" hidden="1">EVENTOS!$A$13:$A$64</definedName>
    <definedName name="_xlnm._FilterDatabase" localSheetId="4" hidden="1">ORÇAMENTO!$L$15:$L$244</definedName>
    <definedName name="_xlnm._FilterDatabase" localSheetId="10" hidden="1">PLE!$A$13:$A$73</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BDI!$J$1:$S$132</definedName>
    <definedName name="_xlnm.Print_Area" localSheetId="11">BM!$D$1:$O$259</definedName>
    <definedName name="_xlnm.Print_Area" localSheetId="6">CÁLCULO!$E$6:$AQ$252</definedName>
    <definedName name="_xlnm.Print_Area" localSheetId="8">CRONO!$I$1:$AS$181</definedName>
    <definedName name="_xlnm.Print_Area" localSheetId="5">EVENTOS!$C$2:$AJ$64</definedName>
    <definedName name="_xlnm.Print_Area" localSheetId="1">MENU!$A$1:$I$25</definedName>
    <definedName name="_xlnm.Print_Area" localSheetId="13">OFÍCIO!$A$1:$G$56</definedName>
    <definedName name="_xlnm.Print_Area" localSheetId="4">ORÇAMENTO!$O$1:$Y$261</definedName>
    <definedName name="_xlnm.Print_Area" localSheetId="10">PLE!$B$3:$BF$74</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BM!$C$15:$C$244</definedName>
    <definedName name="BM.firstrow" hidden="1">BM!$15:$15</definedName>
    <definedName name="BM.FormulaMed" hidden="1">BM!$AO$7</definedName>
    <definedName name="BM.lastrow" hidden="1">BM!$244:$244</definedName>
    <definedName name="BM.LinhaPadrão" hidden="1">BM!$14:$14</definedName>
    <definedName name="BM.MaxMed" hidden="1">IF(RegimeExecucao="Global",1,BM!$G1)</definedName>
    <definedName name="BM.MCAIXA.Filter" hidden="1">BM!$C$15:$Z$244</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CÁLCULO!$C$15:$C$244</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CÁLCULO!$AQ:$AQ</definedName>
    <definedName name="CÁLCULO.lastrow" hidden="1">CÁLCULO!$244:$244</definedName>
    <definedName name="CÁLCULO.LinhaPadrão" hidden="1">CÁLCULO!$14:$14</definedName>
    <definedName name="CÁLCULO.margemrow" hidden="1">CÁLCULO!$252:$252</definedName>
    <definedName name="CÁLCULO.MATRIZ1.ColunaPadrão" hidden="1">CÁLCULO!$AS:$AS</definedName>
    <definedName name="CÁLCULO.MATRIZ1.firstcol" hidden="1">CÁLCULO!$AQ:$AQ</definedName>
    <definedName name="CÁLCULO.MATRIZ1.lastcol" hidden="1">CÁLCULO!$BR:$BR</definedName>
    <definedName name="CÁLCULO.MATRIZ1.lastrow" hidden="1">CÁLCULO!$244:$244</definedName>
    <definedName name="CÁLCULO.MATRIZ2.ColunaPadrão" hidden="1">CÁLCULO!$BT:$BT</definedName>
    <definedName name="CÁLCULO.MATRIZ2.firstcol" hidden="1">CÁLCULO!$BR:$BR</definedName>
    <definedName name="CÁLCULO.MATRIZ2.lastcol" hidden="1">CÁLCULO!$CS:$CS</definedName>
    <definedName name="CÁLCULO.MATRIZ2.lastrow" hidden="1">CÁLCULO!$244:$244</definedName>
    <definedName name="CÁLCULO.MATRIZ3.ColunaPadrão" hidden="1">CÁLCULO!$CU:$CU</definedName>
    <definedName name="CÁLCULO.MATRIZ3.firstcol" hidden="1">CÁLCULO!$CS:$CS</definedName>
    <definedName name="CÁLCULO.MATRIZ3.lastcol" hidden="1">CÁLCULO!$DT:$DT</definedName>
    <definedName name="CÁLCULO.MATRIZ3.lastrow" hidden="1">CÁLCULO!$244:$244</definedName>
    <definedName name="CÁLCULO.nEvento" hidden="1">CÁLCULO!$M$12</definedName>
    <definedName name="CÁLCULO.NúmeroDeEventos" hidden="1">IF(AUTOEVENTO&lt;&gt;"manual",MAX(CÁLCULO!$M$15:$M$244),MAX(OFFSET(EVENTOS!$C$1:$C$57,1,0)))</definedName>
    <definedName name="CÁLCULO.NúmeroDeFrentes" hidden="1">COLUMN(CÁLCULO!$AQ$15)-COLUMN(CÁLCULO!$Q$15)</definedName>
    <definedName name="CÁLCULO.Título" hidden="1">CÁLCULO!$F$6</definedName>
    <definedName name="CÁLCULO.TotalAdmLocal" hidden="1">IF(AUTOEVENTO="manual",SUMIF(CÁLCULO!$M$15:$M$244,1,ORÇAMENTO!$X$15:$X$244),0)</definedName>
    <definedName name="CRONO.ColAux" hidden="1">CRONO!$M:$R</definedName>
    <definedName name="CRONO.ColunaPadrão" hidden="1">CRONO!$E:$E</definedName>
    <definedName name="CRONO.Erro" hidden="1">CRONO!$K$10</definedName>
    <definedName name="CRONO.Filtro" hidden="1">CRONO!$G$13:$G$181</definedName>
    <definedName name="CRONO.FirstCol" hidden="1">CRONO!$T:$T</definedName>
    <definedName name="CRONO.firstrow" hidden="1">CRONO!$13:$13</definedName>
    <definedName name="CRONO.Frenterow" hidden="1">CRONO!$12:$12</definedName>
    <definedName name="CRONO.LastCol" hidden="1">CRONO!$AS:$AS</definedName>
    <definedName name="CRONO.lastrow" hidden="1">CRONO!$164:$164</definedName>
    <definedName name="CRONO.lastrow2" hidden="1">CRONO!$176:$176</definedName>
    <definedName name="CRONO.LinhaPadrão" hidden="1">CRONO!$1:$3</definedName>
    <definedName name="CRONO.LinhasNecessarias" hidden="1">COUNTIF(QCI!$B$13:$B$24,"Manual")+COUNTIF(QCI!$B$13:$B$24,"SemiAuto")+COUNT(ORÇAMENTO.ListaCrono)</definedName>
    <definedName name="CRONO.Lista.AdmLocal" hidden="1">CRONO!$A$13:$A$164</definedName>
    <definedName name="CRONO.Lista.Níveis" hidden="1">CRONO!$A$9:$A$11</definedName>
    <definedName name="CRONO.margemrow" hidden="1">CRONO!$181:$181</definedName>
    <definedName name="CRONO.MaxParc" hidden="1">CRONO!$H1048576+CRONO!A1</definedName>
    <definedName name="CRONO.NivelExibicao" hidden="1">CRONO!$H$10</definedName>
    <definedName name="CRONO.Parcela1" hidden="1">CRONO!$U$12:$U$13</definedName>
    <definedName name="CRONO.ParcelaFinal" hidden="1">MATCH(100%,CRONO!$U$170:$AS$170,0)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CRONOPLE!$BE:$BE</definedName>
    <definedName name="CRONOPLE.lastrow" hidden="1">CRONOPLE!$57:$57</definedName>
    <definedName name="CRONOPLE.lastrow2" hidden="1">CRONOPLE!$74:$74</definedName>
    <definedName name="CRONOPLE.LinhaPadrão" hidden="1">CRONOPLE!$1:$1</definedName>
    <definedName name="CRONOPLE.Lista.AdmLocal" hidden="1">CRONOPLE!$F$15:$F$57</definedName>
    <definedName name="CRONOPLE.margemrow" hidden="1">CRONOPLE!$81:$81</definedName>
    <definedName name="CRONOPLE.Título" hidden="1">CRONOPLE!$G$2</definedName>
    <definedName name="CRONOPLE.ValorDoEvento" hidden="1">SUMIF(CÁLCULO!$M$15:$M$244,CRONOPLE!$B1,OFFSET(CÁLCULO!$AQ$15:$AQ$244,0,CRONOPLE!A$12))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EVENTOS!$A$13:$A$64</definedName>
    <definedName name="EVENTOS.firstcol" hidden="1">EVENTOS!$G:$G</definedName>
    <definedName name="EVENTOS.firstrow" hidden="1">EVENTOS!$15:$15</definedName>
    <definedName name="EVENTOS.FrenteRow" hidden="1">EVENTOS!$10:$10</definedName>
    <definedName name="EVENTOS.LastCol" hidden="1">EVENTOS!$AJ:$AJ</definedName>
    <definedName name="EVENTOS.lastrow" hidden="1">EVENTOS!$57:$57</definedName>
    <definedName name="EVENTOS.LinhaPadrão" hidden="1">EVENTOS!$1:$1</definedName>
    <definedName name="EVENTOS.Lista" hidden="1">EVENTOS!$C$15:OFFSET(EVENTOS!$C$57,-1,0)</definedName>
    <definedName name="EVENTOS.Lista.Agrupar" hidden="1">EVENTOS!$B$6:$B$9</definedName>
    <definedName name="EVENTOS.ListaValidacao" hidden="1">EVENTOS!$B$15:OFFSET(EVENTOS!$B$57,-1,0)</definedName>
    <definedName name="EVENTOS.Manual.Preenchidos" hidden="1">EVENTOS!$C$10</definedName>
    <definedName name="EVENTOS.MargemRow" hidden="1">EVENTOS!$64:$64</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BM!$D$247</definedName>
    <definedName name="Import.BMAFAcumulado" hidden="1">OFFSET(BM!$R$15,1,0):OFFSET(BM!$R$244,-1,0)</definedName>
    <definedName name="Import.BMArred" hidden="1">BM!$A$9</definedName>
    <definedName name="Import.CNPJ" hidden="1">DADOS!$C$39</definedName>
    <definedName name="Import.Código" hidden="1">OFFSET(ORÇAMENTO!$Q$15,1,0):OFFSET(ORÇAMENTO!$Q$244,-1,0)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OFFSET(CRONOPLE!$F$15,1,1):OFFSET(CRONOPLE!$BE$57,-1,-1)</definedName>
    <definedName name="Import.CTEF" hidden="1">DADOS!$C$37</definedName>
    <definedName name="Import.CustoUnitário" hidden="1">OFFSET(ORÇAMENTO!$U$15,1,0):OFFSET(ORÇAMENTO!$U$244,-1,0)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OFFSET(ORÇAMENTO!$R$15,1,0):OFFSET(ORÇAMENTO!$R$244,-1,0)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OFFSET(EVENTOS!$D$15,1,0):OFFSET(EVENTOS!$D$57,-1,0)</definedName>
    <definedName name="Import.Fonte" hidden="1">OFFSET(ORÇAMENTO!$P$15,1,0):OFFSET(ORÇAMENTO!$P$244,-1,0)</definedName>
    <definedName name="Import.FrenteDeObra" hidden="1">CÁLCULO!$Q$12:OFFSET(CÁLCULO!$AQ$12,0,-1)</definedName>
    <definedName name="Import.MacrosserviçoAdmLocal" hidden="1">CRONO!$H$175</definedName>
    <definedName name="Import.Município" hidden="1">DADOS!$C$6</definedName>
    <definedName name="Import.Nível" hidden="1">OFFSET(ORÇAMENTO!$M$15,1,0):OFFSET(ORÇAMENTO!$M$244,-1,0)</definedName>
    <definedName name="Import.Ofício.Dest" hidden="1">OFÍCIO!$B$11</definedName>
    <definedName name="Import.Ofício.GIGOV" hidden="1">OFÍCIO!$C$11</definedName>
    <definedName name="Import.Ofício.Num" hidden="1">OFÍCIO!$C$6</definedName>
    <definedName name="Import.OpcaoBDI" hidden="1">OFFSET(ORÇAMENTO!$V$15,1,0):OFFSET(ORÇAMENTO!$V$244,-1,0)</definedName>
    <definedName name="Import.ORÇAMENTO.DivRecurso" hidden="1">OFFSET(ORÇAMENTO!$Y$15,1,0):OFFSET(ORÇAMENTO!$Y$244,-1,0)</definedName>
    <definedName name="Import.ORÇAMENTO.Obs" hidden="1">ORÇAMENTO!$O$250</definedName>
    <definedName name="Import.PLE" hidden="1">OFFSET(PLE!$G$15,1,1):OFFSET(PLE!$BF$57,-1,-1)</definedName>
    <definedName name="Import.PLE.Datas" hidden="1">PLE!$I$60:$AF$60</definedName>
    <definedName name="Import.PLQ" hidden="1">OFFSET(CÁLCULO!$P$15,1,1):OFFSET(CÁLCULO!$AQ$244,-1,-1)</definedName>
    <definedName name="Import.PLQ.MemCalc" hidden="1">OFFSET(CÁLCULO!$I$15,1,0):OFFSET(CÁLCULO!$I$244,-1,0)</definedName>
    <definedName name="Import.PLQ.nAgrupEvent" hidden="1">OFFSET(CÁLCULO!$K$15,1,0):OFFSET(CÁLCULO!$K$244,-1,0)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OFFSET(ORÇAMENTO!$AJ$15,1,0):OFFSET(ORÇAMENTO!$AJ$244,-1,0)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OFFSET(ORÇAMENTO!$S$15,1,0):OFFSET(ORÇAMENTO!$S$244,-1,0)</definedName>
    <definedName name="Import.UnitarioLicitado" hidden="1">OFFSET(ORÇAMENTO!$AL$15,1,0):OFFSET(ORÇAMENTO!$AL$244,-1,0)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ORÇAMENTO!$L$15:$L$244</definedName>
    <definedName name="ORÇAMENTO.firstrow" hidden="1">ORÇAMENTO!$15:$15</definedName>
    <definedName name="ORÇAMENTO.Fonte" hidden="1">ORÇAMENTO!$P1</definedName>
    <definedName name="ORÇAMENTO.lastrow" hidden="1">ORÇAMENTO!$244:$244</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OFFSET(ORÇAMENTO!$AD$15,1,0):OFFSET(ORÇAMENTO!$AD$244,-1,0)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OFFSET(ORÇAMENTO!$P$15,1,0):OFFSET(ORÇAMENTO!$S$244,-1,0)</definedName>
    <definedName name="ORÇAMENTO.PasteFormat2" hidden="1">OFFSET(ORÇAMENTO!$U$15,1,0):OFFSET(ORÇAMENTO!$V$244,-1,0)</definedName>
    <definedName name="ORÇAMENTO.PrecoUnitarioLicitado" hidden="1">ORÇAMENTO!$AL1</definedName>
    <definedName name="ORÇAMENTO.QuantBM" hidden="1">ORÇAMENTO!$AJ1</definedName>
    <definedName name="ORÇAMENTO.RangeQuant" hidden="1">OFFSET(ORÇAMENTO!$T$15,1,0):OFFSET(ORÇAMENTO!$T$244,-1,0)</definedName>
    <definedName name="ORÇAMENTO.SumCPMANUAL" hidden="1">SUMIF(ORÇAMENTO!$Z$15:$Z$244,"CP",ORÇAMENTO!$AA$15:$AA$244)</definedName>
    <definedName name="ORÇAMENTO.SumINVMANUAL" hidden="1">SUMIF(ORÇAMENTO!$Z$15:$Z$244,"RP",ORÇAMENTO!$X$15:$X$244)+SUMIF(ORÇAMENTO!$Z$15:$Z$244,"CP",ORÇAMENTO!$X$15:$X$244)+SUMIF(ORÇAMENTO!$Z$15:$Z$244,"OU",ORÇAMENTO!$X$15:$X$244)</definedName>
    <definedName name="ORÇAMENTO.SumOUTROSMANUAL" hidden="1">SUMIF(ORÇAMENTO!$Z$15:$Z$244,"OU",ORÇAMENTO!$AB$15:$AB$244)</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PLE!$A$13:$A$73</definedName>
    <definedName name="PLE.FirstCol" hidden="1">PLE!$G:$G</definedName>
    <definedName name="PLE.firstrow" hidden="1">PLE!$15:$15</definedName>
    <definedName name="PLE.FrenteRow" hidden="1">PLE!$11:$11</definedName>
    <definedName name="PLE.LastCol" hidden="1">PLE!$BF:$BF</definedName>
    <definedName name="PLE.lastrow" hidden="1">PLE!$57:$57</definedName>
    <definedName name="PLE.LinhaPadrão" hidden="1">PLE!$1:$1</definedName>
    <definedName name="PLE.margemrow" hidden="1">PLE!$74:$74</definedName>
    <definedName name="PLE.Medicao" hidden="1">PLE!$J$9</definedName>
    <definedName name="PLE.MEDIÇÕES.firstrow" hidden="1">PLE!$58:$58</definedName>
    <definedName name="PLE.MEDIÇÕES.lastrow" hidden="1">PLE!$68:$68</definedName>
    <definedName name="PLE.MEDIÇÕES.LinhaPadrão" hidden="1">PLE!$58:$65</definedName>
    <definedName name="PLE.Título" hidden="1">PLE!$H$3</definedName>
    <definedName name="PLE.ValorDoEvento" hidden="1">SUMIF(CÁLCULO!$M$15:$M$244,PLE!$B1,OFFSET(CÁLCULO!$AQ$15:$AQ$244,0,PLE!A$12))</definedName>
    <definedName name="PO.ValoresBDI" hidden="1">OFFSET(ORÇAMENTO!$AH$15,1,0):OFFSET(ORÇAMENTO!$AH$244,-1,0)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24" i="12" l="1" a="1"/>
  <c r="H224" i="12" s="1"/>
  <c r="G224" i="12" a="1"/>
  <c r="G224" i="12" s="1"/>
  <c r="F224" i="12" a="1"/>
  <c r="F224" i="12" s="1"/>
  <c r="H223" i="12" a="1"/>
  <c r="H223" i="12" s="1"/>
  <c r="G223" i="12" a="1"/>
  <c r="G223" i="12" s="1"/>
  <c r="F223" i="12" a="1"/>
  <c r="F223" i="12" s="1"/>
  <c r="A224" i="5"/>
  <c r="A223" i="5"/>
  <c r="AG67" i="9" l="1"/>
  <c r="AI67" i="9" s="1"/>
  <c r="AK67" i="9" s="1"/>
  <c r="H67" i="9"/>
  <c r="J67" i="9" s="1"/>
  <c r="AM179" i="8" a="1"/>
  <c r="AR8" i="8" a="1"/>
  <c r="AR8" i="8" s="1"/>
  <c r="AL8" i="8" a="1"/>
  <c r="AL8" i="8" s="1"/>
  <c r="AG8" i="8"/>
  <c r="AR7" i="8" a="1"/>
  <c r="AR7" i="8" s="1"/>
  <c r="AL7" i="8" a="1"/>
  <c r="AL7" i="8" s="1"/>
  <c r="Q18" i="6"/>
  <c r="AM181" i="8" l="1"/>
  <c r="AM179" i="8"/>
  <c r="AM180" i="8"/>
  <c r="L67" i="9"/>
  <c r="AM67" i="9"/>
  <c r="A236" i="5"/>
  <c r="N67" i="9" l="1"/>
  <c r="AO67" i="9"/>
  <c r="A233" i="5"/>
  <c r="A232" i="5"/>
  <c r="A24" i="5"/>
  <c r="A23" i="5"/>
  <c r="A22" i="5"/>
  <c r="A21" i="5"/>
  <c r="A20" i="5"/>
  <c r="A19" i="5"/>
  <c r="A18" i="5"/>
  <c r="P67" i="9" l="1"/>
  <c r="AQ67" i="9"/>
  <c r="AS67" i="9" l="1"/>
  <c r="R67" i="9"/>
  <c r="T67" i="9" l="1"/>
  <c r="AU67" i="9"/>
  <c r="AW67" i="9" l="1"/>
  <c r="V67" i="9"/>
  <c r="AY67" i="9" l="1"/>
  <c r="X67" i="9"/>
  <c r="Z67" i="9" l="1"/>
  <c r="BA67" i="9"/>
  <c r="BC67" i="9" l="1"/>
  <c r="AB67" i="9"/>
  <c r="AD67" i="9" l="1"/>
  <c r="AV71" i="10" l="1" a="1"/>
  <c r="AH61" i="10"/>
  <c r="AJ61" i="10" s="1"/>
  <c r="BD7" i="10" a="1"/>
  <c r="BD7" i="10" s="1"/>
  <c r="AU7" i="10" a="1"/>
  <c r="AU7" i="10" s="1"/>
  <c r="AN7" i="10"/>
  <c r="AG7" i="10"/>
  <c r="BD6" i="10" a="1"/>
  <c r="BD6" i="10" s="1"/>
  <c r="AU6" i="10" a="1"/>
  <c r="AU6" i="10" s="1"/>
  <c r="AG4" i="10"/>
  <c r="AU77" i="9" a="1"/>
  <c r="AU79" i="9" s="1"/>
  <c r="AG59" i="9"/>
  <c r="AI59" i="9" s="1"/>
  <c r="AK59" i="9" s="1"/>
  <c r="AL5" i="9"/>
  <c r="AI5" i="9"/>
  <c r="AF5" i="9"/>
  <c r="AF62" i="7" a="1"/>
  <c r="AI5" i="7"/>
  <c r="AH5" i="7"/>
  <c r="Z5" i="7"/>
  <c r="DS15" i="6"/>
  <c r="DR15" i="6"/>
  <c r="DQ15" i="6"/>
  <c r="DP15" i="6"/>
  <c r="DO15" i="6"/>
  <c r="DN15" i="6"/>
  <c r="DM15" i="6"/>
  <c r="DL15" i="6"/>
  <c r="DK15" i="6"/>
  <c r="DJ15" i="6"/>
  <c r="DI15" i="6"/>
  <c r="DH15" i="6"/>
  <c r="DG15" i="6"/>
  <c r="DF15" i="6"/>
  <c r="DE15" i="6"/>
  <c r="DD15" i="6"/>
  <c r="CR15" i="6"/>
  <c r="CQ15" i="6"/>
  <c r="CP15" i="6"/>
  <c r="CO15" i="6"/>
  <c r="CN15" i="6"/>
  <c r="CM15" i="6"/>
  <c r="CL15" i="6"/>
  <c r="CK15" i="6"/>
  <c r="CJ15" i="6"/>
  <c r="CI15" i="6"/>
  <c r="CH15" i="6"/>
  <c r="CG15" i="6"/>
  <c r="CF15" i="6"/>
  <c r="CE15" i="6"/>
  <c r="CD15" i="6"/>
  <c r="CC15" i="6"/>
  <c r="AJ250" i="6" a="1"/>
  <c r="AJ252" i="6" s="1"/>
  <c r="AK10" i="6"/>
  <c r="AI10" i="6"/>
  <c r="AB250" i="6" a="1"/>
  <c r="AB252" i="6" s="1"/>
  <c r="AC10" i="6"/>
  <c r="AA10" i="6"/>
  <c r="F234" i="12" a="1"/>
  <c r="F234" i="12" s="1"/>
  <c r="E234" i="12"/>
  <c r="F225" i="12" a="1"/>
  <c r="F225" i="12" s="1"/>
  <c r="E225" i="12"/>
  <c r="F217" i="12" a="1"/>
  <c r="F217" i="12" s="1"/>
  <c r="E217" i="12"/>
  <c r="F204" i="12" a="1"/>
  <c r="F204" i="12" s="1"/>
  <c r="E204" i="12"/>
  <c r="F203" i="12" a="1"/>
  <c r="F203" i="12" s="1"/>
  <c r="E203" i="12"/>
  <c r="F188" i="12" a="1"/>
  <c r="F188" i="12" s="1"/>
  <c r="E188" i="12"/>
  <c r="F180" i="12" a="1"/>
  <c r="F180" i="12" s="1"/>
  <c r="E180" i="12"/>
  <c r="F175" i="12" a="1"/>
  <c r="F175" i="12" s="1"/>
  <c r="E175" i="12"/>
  <c r="F167" i="12" a="1"/>
  <c r="F167" i="12" s="1"/>
  <c r="E167" i="12"/>
  <c r="F166" i="12" a="1"/>
  <c r="F166" i="12" s="1"/>
  <c r="E166" i="12"/>
  <c r="F156" i="12" a="1"/>
  <c r="F156" i="12" s="1"/>
  <c r="E156" i="12"/>
  <c r="F142" i="12" a="1"/>
  <c r="F142" i="12" s="1"/>
  <c r="E142" i="12"/>
  <c r="F134" i="12" a="1"/>
  <c r="F134" i="12" s="1"/>
  <c r="E134" i="12"/>
  <c r="F133" i="12" a="1"/>
  <c r="F133" i="12" s="1"/>
  <c r="E133" i="12"/>
  <c r="F132" i="12" a="1"/>
  <c r="F132" i="12" s="1"/>
  <c r="E132" i="12"/>
  <c r="F128" i="12" a="1"/>
  <c r="F128" i="12" s="1"/>
  <c r="E128" i="12"/>
  <c r="F125" i="12" a="1"/>
  <c r="F125" i="12" s="1"/>
  <c r="E125" i="12"/>
  <c r="F115" i="12" a="1"/>
  <c r="F115" i="12" s="1"/>
  <c r="E115" i="12"/>
  <c r="F114" i="12" a="1"/>
  <c r="F114" i="12" s="1"/>
  <c r="E114" i="12"/>
  <c r="F110" i="12" a="1"/>
  <c r="F110" i="12" s="1"/>
  <c r="E110" i="12"/>
  <c r="F107" i="12" a="1"/>
  <c r="F107" i="12" s="1"/>
  <c r="E107" i="12"/>
  <c r="F102" i="12" a="1"/>
  <c r="F102" i="12" s="1"/>
  <c r="E102" i="12"/>
  <c r="F101" i="12" a="1"/>
  <c r="F101" i="12" s="1"/>
  <c r="E101" i="12"/>
  <c r="F99" i="12" a="1"/>
  <c r="F99" i="12" s="1"/>
  <c r="E99" i="12"/>
  <c r="F94" i="12" a="1"/>
  <c r="F94" i="12" s="1"/>
  <c r="E94" i="12"/>
  <c r="F91" i="12" a="1"/>
  <c r="F91" i="12" s="1"/>
  <c r="E91" i="12"/>
  <c r="F84" i="12" a="1"/>
  <c r="F84" i="12" s="1"/>
  <c r="E84" i="12"/>
  <c r="F83" i="12" a="1"/>
  <c r="F83" i="12" s="1"/>
  <c r="E83" i="12"/>
  <c r="F76" i="12" a="1"/>
  <c r="F76" i="12" s="1"/>
  <c r="E76" i="12"/>
  <c r="F75" i="12" a="1"/>
  <c r="F75" i="12" s="1"/>
  <c r="E75" i="12"/>
  <c r="F73" i="12" a="1"/>
  <c r="F73" i="12" s="1"/>
  <c r="E73" i="12"/>
  <c r="F66" i="12" a="1"/>
  <c r="F66" i="12" s="1"/>
  <c r="E66" i="12"/>
  <c r="F62" i="12" a="1"/>
  <c r="F62" i="12" s="1"/>
  <c r="E62" i="12"/>
  <c r="F61" i="12" a="1"/>
  <c r="F61" i="12" s="1"/>
  <c r="E61" i="12"/>
  <c r="F50" i="12" a="1"/>
  <c r="F50" i="12" s="1"/>
  <c r="E50" i="12"/>
  <c r="F49" i="12" a="1"/>
  <c r="F49" i="12" s="1"/>
  <c r="E49" i="12"/>
  <c r="F45" i="12" a="1"/>
  <c r="F45" i="12" s="1"/>
  <c r="E45" i="12"/>
  <c r="F36" i="12" a="1"/>
  <c r="F36" i="12" s="1"/>
  <c r="E36" i="12"/>
  <c r="F26" i="12" a="1"/>
  <c r="F26" i="12" s="1"/>
  <c r="E26" i="12"/>
  <c r="F25" i="12" a="1"/>
  <c r="F25" i="12" s="1"/>
  <c r="E25" i="12"/>
  <c r="F17" i="12" a="1"/>
  <c r="F17" i="12" s="1"/>
  <c r="E17" i="12"/>
  <c r="A243" i="5"/>
  <c r="A242" i="5"/>
  <c r="A241" i="5"/>
  <c r="A240" i="5"/>
  <c r="A239" i="5"/>
  <c r="A238" i="5"/>
  <c r="A237" i="5"/>
  <c r="A235" i="5"/>
  <c r="A234" i="5"/>
  <c r="A231" i="5"/>
  <c r="A230" i="5"/>
  <c r="A229" i="5"/>
  <c r="A228" i="5"/>
  <c r="A227" i="5"/>
  <c r="A226" i="5"/>
  <c r="A225" i="5"/>
  <c r="A222" i="5"/>
  <c r="A221" i="5"/>
  <c r="A220" i="5"/>
  <c r="A219" i="5"/>
  <c r="A218" i="5"/>
  <c r="A217" i="5"/>
  <c r="A216" i="5"/>
  <c r="A215" i="5"/>
  <c r="A214" i="5"/>
  <c r="A213" i="5"/>
  <c r="A212" i="5"/>
  <c r="A211" i="5"/>
  <c r="A210" i="5"/>
  <c r="A209" i="5"/>
  <c r="A208" i="5"/>
  <c r="A207" i="5"/>
  <c r="A206" i="5"/>
  <c r="A205" i="5"/>
  <c r="A204" i="5"/>
  <c r="A203" i="5"/>
  <c r="A202" i="5"/>
  <c r="A201" i="5"/>
  <c r="A200" i="5"/>
  <c r="A199" i="5"/>
  <c r="A198" i="5"/>
  <c r="A197" i="5"/>
  <c r="A196" i="5"/>
  <c r="A195" i="5"/>
  <c r="A194" i="5"/>
  <c r="A193" i="5"/>
  <c r="A192" i="5"/>
  <c r="A191" i="5"/>
  <c r="A190" i="5"/>
  <c r="A189" i="5"/>
  <c r="A188" i="5"/>
  <c r="A187" i="5"/>
  <c r="A186" i="5"/>
  <c r="A185" i="5"/>
  <c r="A184" i="5"/>
  <c r="A183" i="5"/>
  <c r="A182" i="5"/>
  <c r="A181" i="5"/>
  <c r="A180" i="5"/>
  <c r="A179" i="5"/>
  <c r="A178" i="5"/>
  <c r="A177" i="5"/>
  <c r="A176" i="5"/>
  <c r="A175" i="5"/>
  <c r="A174" i="5"/>
  <c r="A173" i="5"/>
  <c r="A172" i="5"/>
  <c r="A171" i="5"/>
  <c r="A170" i="5"/>
  <c r="A169" i="5"/>
  <c r="A168" i="5"/>
  <c r="A167" i="5"/>
  <c r="A166" i="5"/>
  <c r="A165" i="5"/>
  <c r="A164" i="5"/>
  <c r="A163" i="5"/>
  <c r="A162" i="5"/>
  <c r="A161" i="5"/>
  <c r="A160" i="5"/>
  <c r="A159" i="5"/>
  <c r="A158" i="5"/>
  <c r="A157" i="5"/>
  <c r="A156" i="5"/>
  <c r="A155" i="5"/>
  <c r="A154" i="5"/>
  <c r="A153" i="5"/>
  <c r="A152" i="5"/>
  <c r="A151" i="5"/>
  <c r="A150" i="5"/>
  <c r="A149" i="5"/>
  <c r="A148" i="5"/>
  <c r="A147" i="5"/>
  <c r="A146" i="5"/>
  <c r="A145" i="5"/>
  <c r="A144" i="5"/>
  <c r="A143" i="5"/>
  <c r="A142" i="5"/>
  <c r="A141" i="5"/>
  <c r="A140" i="5"/>
  <c r="A139" i="5"/>
  <c r="A138" i="5"/>
  <c r="A137" i="5"/>
  <c r="A136" i="5"/>
  <c r="A135" i="5"/>
  <c r="A134" i="5"/>
  <c r="A133" i="5"/>
  <c r="A132" i="5"/>
  <c r="A131" i="5"/>
  <c r="A130" i="5"/>
  <c r="A129" i="5"/>
  <c r="A128" i="5"/>
  <c r="A127" i="5"/>
  <c r="A126" i="5"/>
  <c r="A125" i="5"/>
  <c r="A124" i="5"/>
  <c r="A123" i="5"/>
  <c r="A122" i="5"/>
  <c r="A121" i="5"/>
  <c r="A120" i="5"/>
  <c r="A119" i="5"/>
  <c r="A118" i="5"/>
  <c r="A117" i="5"/>
  <c r="A116" i="5"/>
  <c r="A115" i="5"/>
  <c r="A114" i="5"/>
  <c r="A113" i="5"/>
  <c r="A112" i="5"/>
  <c r="A111" i="5"/>
  <c r="A110" i="5"/>
  <c r="A109" i="5"/>
  <c r="A108" i="5"/>
  <c r="A107" i="5"/>
  <c r="A106" i="5"/>
  <c r="A105" i="5"/>
  <c r="A104" i="5"/>
  <c r="A103" i="5"/>
  <c r="A102" i="5"/>
  <c r="A101" i="5"/>
  <c r="A100" i="5"/>
  <c r="A99" i="5"/>
  <c r="A98" i="5"/>
  <c r="A97" i="5"/>
  <c r="A96" i="5"/>
  <c r="A95" i="5"/>
  <c r="A94" i="5"/>
  <c r="A93" i="5"/>
  <c r="A92" i="5"/>
  <c r="A91" i="5"/>
  <c r="A90" i="5"/>
  <c r="A89" i="5"/>
  <c r="A88" i="5"/>
  <c r="A87" i="5"/>
  <c r="A86" i="5"/>
  <c r="A85" i="5"/>
  <c r="A84" i="5"/>
  <c r="A83" i="5"/>
  <c r="A82" i="5"/>
  <c r="A81" i="5"/>
  <c r="A80" i="5"/>
  <c r="A79" i="5"/>
  <c r="A78" i="5"/>
  <c r="A77" i="5"/>
  <c r="A76" i="5"/>
  <c r="A75" i="5"/>
  <c r="A74" i="5"/>
  <c r="A73" i="5"/>
  <c r="A72" i="5"/>
  <c r="A71" i="5"/>
  <c r="A70" i="5"/>
  <c r="A69" i="5"/>
  <c r="A68" i="5"/>
  <c r="A67" i="5"/>
  <c r="A66" i="5"/>
  <c r="A65" i="5"/>
  <c r="A64" i="5"/>
  <c r="A63" i="5"/>
  <c r="A62" i="5"/>
  <c r="A61" i="5"/>
  <c r="A60" i="5"/>
  <c r="A59" i="5"/>
  <c r="A58" i="5"/>
  <c r="A57" i="5"/>
  <c r="A56" i="5"/>
  <c r="A55" i="5"/>
  <c r="A54" i="5"/>
  <c r="A53" i="5"/>
  <c r="A52" i="5"/>
  <c r="A51" i="5"/>
  <c r="A50" i="5"/>
  <c r="A49" i="5"/>
  <c r="A48" i="5"/>
  <c r="A47" i="5"/>
  <c r="A46" i="5"/>
  <c r="A45" i="5"/>
  <c r="A44" i="5"/>
  <c r="A43" i="5"/>
  <c r="A42" i="5"/>
  <c r="A41" i="5"/>
  <c r="A40" i="5"/>
  <c r="A39" i="5"/>
  <c r="A38" i="5"/>
  <c r="A37" i="5"/>
  <c r="A36" i="5"/>
  <c r="A35" i="5"/>
  <c r="A34" i="5"/>
  <c r="A33" i="5"/>
  <c r="A32" i="5"/>
  <c r="A31" i="5"/>
  <c r="A30" i="5"/>
  <c r="A29" i="5"/>
  <c r="A28" i="5"/>
  <c r="A27" i="5"/>
  <c r="A26" i="5"/>
  <c r="A25" i="5"/>
  <c r="A17" i="5"/>
  <c r="C192" i="3"/>
  <c r="H23" i="13"/>
  <c r="G23" i="13"/>
  <c r="H22" i="13"/>
  <c r="G22" i="13"/>
  <c r="H21" i="13"/>
  <c r="G21" i="13"/>
  <c r="H20" i="13"/>
  <c r="G20" i="13"/>
  <c r="H19" i="13"/>
  <c r="G19" i="13"/>
  <c r="H18" i="13"/>
  <c r="G18" i="13"/>
  <c r="E18" i="13"/>
  <c r="H17" i="13"/>
  <c r="G17" i="13"/>
  <c r="H16" i="13"/>
  <c r="G16" i="13"/>
  <c r="H15" i="13"/>
  <c r="G15" i="13"/>
  <c r="H14" i="13"/>
  <c r="G14" i="13"/>
  <c r="S23" i="11"/>
  <c r="J23" i="11"/>
  <c r="I23" i="13" s="1"/>
  <c r="D23" i="11"/>
  <c r="E23" i="13" s="1"/>
  <c r="S22" i="11"/>
  <c r="J22" i="11"/>
  <c r="I22" i="13" s="1"/>
  <c r="D22" i="11"/>
  <c r="E22" i="13" s="1"/>
  <c r="S21" i="11"/>
  <c r="J21" i="11"/>
  <c r="I21" i="13" s="1"/>
  <c r="D21" i="11"/>
  <c r="E21" i="13" s="1"/>
  <c r="S20" i="11"/>
  <c r="J20" i="11"/>
  <c r="I20" i="13" s="1"/>
  <c r="D20" i="11"/>
  <c r="A20" i="11" s="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E14" i="13" s="1"/>
  <c r="A14" i="11"/>
  <c r="B14" i="8"/>
  <c r="B17" i="8" s="1"/>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L17" i="6" s="1"/>
  <c r="C16" i="5"/>
  <c r="F16" i="5" s="1"/>
  <c r="A16" i="5"/>
  <c r="R101" i="4"/>
  <c r="J105" i="4"/>
  <c r="J102" i="4"/>
  <c r="J101" i="4"/>
  <c r="J65" i="4"/>
  <c r="J62" i="4"/>
  <c r="J61" i="4"/>
  <c r="C188" i="3"/>
  <c r="E20" i="13" l="1"/>
  <c r="A21" i="11"/>
  <c r="A22" i="11"/>
  <c r="A23" i="11"/>
  <c r="AU77" i="9"/>
  <c r="AU78" i="9"/>
  <c r="C17" i="5"/>
  <c r="B17" i="6" s="1"/>
  <c r="AB251" i="6"/>
  <c r="AB250" i="6"/>
  <c r="AF64" i="7"/>
  <c r="AF63" i="7"/>
  <c r="AF62" i="7"/>
  <c r="AM59" i="9"/>
  <c r="AL61" i="10"/>
  <c r="AV74" i="10"/>
  <c r="AV73" i="10"/>
  <c r="AV71" i="10"/>
  <c r="AV72" i="10"/>
  <c r="F17" i="6"/>
  <c r="AJ250" i="6"/>
  <c r="AJ251" i="6"/>
  <c r="G16" i="5"/>
  <c r="I16" i="5"/>
  <c r="N16" i="5"/>
  <c r="D16" i="6" s="1"/>
  <c r="B16" i="5"/>
  <c r="A16" i="12"/>
  <c r="B16" i="6"/>
  <c r="E16" i="12"/>
  <c r="H16" i="5"/>
  <c r="W16" i="5" a="1"/>
  <c r="W16" i="5" s="1"/>
  <c r="H16" i="12" s="1" a="1"/>
  <c r="H16" i="12" s="1"/>
  <c r="AE16" i="5" a="1"/>
  <c r="AE16" i="5" s="1"/>
  <c r="B20" i="8"/>
  <c r="E19" i="13"/>
  <c r="A19" i="11"/>
  <c r="A17" i="11"/>
  <c r="C184" i="3"/>
  <c r="C183" i="3"/>
  <c r="C181" i="3"/>
  <c r="AO59" i="9" l="1"/>
  <c r="AN61" i="10"/>
  <c r="A17" i="12"/>
  <c r="N17" i="5"/>
  <c r="G17" i="5"/>
  <c r="W17" i="5" a="1"/>
  <c r="W17" i="5" s="1"/>
  <c r="H17" i="12" s="1" a="1"/>
  <c r="H17" i="12" s="1"/>
  <c r="B17" i="5"/>
  <c r="I17" i="5"/>
  <c r="AE17" i="5" a="1"/>
  <c r="AE17" i="5" s="1"/>
  <c r="H17" i="5"/>
  <c r="F17" i="5"/>
  <c r="L18" i="6"/>
  <c r="B23" i="8"/>
  <c r="M16" i="6"/>
  <c r="H16" i="6" a="1"/>
  <c r="H16" i="6" s="1"/>
  <c r="T16" i="5" s="1"/>
  <c r="G16" i="12" s="1" a="1"/>
  <c r="G16" i="12" s="1"/>
  <c r="G16" i="6"/>
  <c r="N16" i="6"/>
  <c r="AD16" i="5"/>
  <c r="AD17" i="5" s="1"/>
  <c r="E16" i="5"/>
  <c r="E17" i="5" s="1"/>
  <c r="F16" i="6"/>
  <c r="AC244" i="5" a="1"/>
  <c r="AC244" i="5" s="1"/>
  <c r="L19" i="6" l="1"/>
  <c r="D17" i="6"/>
  <c r="G17" i="6" s="1"/>
  <c r="AP61" i="10"/>
  <c r="AQ59" i="9"/>
  <c r="B26" i="8"/>
  <c r="B14" i="11"/>
  <c r="A14" i="13"/>
  <c r="L14" i="6"/>
  <c r="AE7" i="10" a="1"/>
  <c r="AE7" i="10" s="1"/>
  <c r="AE6" i="10" a="1"/>
  <c r="AE6" i="10" s="1"/>
  <c r="V7" i="10" a="1"/>
  <c r="V7" i="10" s="1"/>
  <c r="V6" i="10" a="1"/>
  <c r="V6" i="10" s="1"/>
  <c r="D251" i="12" a="1"/>
  <c r="D251"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C18" i="5" l="1"/>
  <c r="L20" i="6"/>
  <c r="AR61" i="10"/>
  <c r="AF17" i="5" a="1"/>
  <c r="AF17" i="5" s="1"/>
  <c r="AG17" i="5" s="1" a="1"/>
  <c r="AG17" i="5" s="1"/>
  <c r="U17" i="5" s="1"/>
  <c r="AS59" i="9"/>
  <c r="C14" i="13"/>
  <c r="K14" i="11" a="1"/>
  <c r="K14" i="11" s="1"/>
  <c r="J14" i="13" s="1"/>
  <c r="G14" i="11"/>
  <c r="F14" i="13" s="1"/>
  <c r="B29" i="8"/>
  <c r="AF16" i="5" a="1"/>
  <c r="AF16" i="5" s="1"/>
  <c r="B14" i="6"/>
  <c r="O8" i="5"/>
  <c r="F11" i="5"/>
  <c r="A18" i="12" l="1"/>
  <c r="AE18" i="5" a="1"/>
  <c r="AE18" i="5" s="1"/>
  <c r="H18" i="5"/>
  <c r="AD18" i="5"/>
  <c r="G18" i="5"/>
  <c r="N18" i="5"/>
  <c r="B18" i="5"/>
  <c r="C19" i="5" s="1"/>
  <c r="J18" i="5"/>
  <c r="E18" i="5"/>
  <c r="K18" i="5"/>
  <c r="F18" i="5"/>
  <c r="D18" i="5"/>
  <c r="B18" i="12" s="1"/>
  <c r="B18" i="6"/>
  <c r="AU59" i="9"/>
  <c r="AT61" i="10"/>
  <c r="AG16" i="5" a="1"/>
  <c r="AG16" i="5" s="1"/>
  <c r="U16" i="5" s="1"/>
  <c r="F16" i="12" a="1"/>
  <c r="F16" i="12" s="1"/>
  <c r="B32" i="8"/>
  <c r="F14" i="6"/>
  <c r="D14" i="6"/>
  <c r="C171" i="3"/>
  <c r="C170" i="3"/>
  <c r="C169" i="3"/>
  <c r="C166" i="3"/>
  <c r="C160" i="3"/>
  <c r="C159" i="3"/>
  <c r="A19" i="12" l="1"/>
  <c r="AD19" i="5"/>
  <c r="G19" i="5"/>
  <c r="F19" i="5"/>
  <c r="N19" i="5"/>
  <c r="AE19" i="5" a="1"/>
  <c r="AE19" i="5" s="1"/>
  <c r="E19" i="5"/>
  <c r="B19" i="5"/>
  <c r="C20" i="5"/>
  <c r="H19" i="5"/>
  <c r="AF19" i="5" a="1"/>
  <c r="AF19" i="5" s="1"/>
  <c r="B19" i="6"/>
  <c r="L21" i="6"/>
  <c r="L22" i="6" s="1"/>
  <c r="D18" i="6"/>
  <c r="AW59" i="9"/>
  <c r="AV61" i="10"/>
  <c r="B35" i="8"/>
  <c r="G14" i="6"/>
  <c r="H14" i="6" a="1"/>
  <c r="H14" i="6" s="1"/>
  <c r="X9" i="5"/>
  <c r="W9" i="5"/>
  <c r="V9" i="5"/>
  <c r="U9" i="5"/>
  <c r="T9" i="5"/>
  <c r="L23" i="6" l="1"/>
  <c r="E19" i="12"/>
  <c r="F19" i="6"/>
  <c r="A20" i="12"/>
  <c r="AE20" i="5" a="1"/>
  <c r="AE20" i="5" s="1"/>
  <c r="AD20" i="5"/>
  <c r="G20" i="5"/>
  <c r="F20" i="5"/>
  <c r="N20" i="5"/>
  <c r="E20" i="5"/>
  <c r="H20" i="5"/>
  <c r="B20" i="5"/>
  <c r="J20" i="5"/>
  <c r="D20" i="5"/>
  <c r="B20" i="12" s="1"/>
  <c r="K20" i="5"/>
  <c r="B20" i="6"/>
  <c r="D19" i="6"/>
  <c r="AG19" i="5" a="1"/>
  <c r="AG19" i="5" s="1"/>
  <c r="S19" i="5" a="1"/>
  <c r="S19" i="5" s="1"/>
  <c r="F19" i="12" s="1" a="1"/>
  <c r="F19" i="12" s="1"/>
  <c r="AY59" i="9"/>
  <c r="AX61" i="10"/>
  <c r="B38" i="8"/>
  <c r="C177" i="3"/>
  <c r="C175" i="3"/>
  <c r="L24" i="6" l="1"/>
  <c r="D20" i="6"/>
  <c r="C21" i="5"/>
  <c r="G19" i="6"/>
  <c r="AZ61" i="10"/>
  <c r="BA59" i="9"/>
  <c r="B41" i="8"/>
  <c r="C157" i="3"/>
  <c r="C173" i="3"/>
  <c r="C167" i="3"/>
  <c r="C164" i="3"/>
  <c r="C163" i="3"/>
  <c r="C161" i="3"/>
  <c r="A21" i="12" l="1"/>
  <c r="F21" i="5"/>
  <c r="N21" i="5"/>
  <c r="E21" i="5"/>
  <c r="D21" i="5"/>
  <c r="B21" i="12" s="1"/>
  <c r="K21" i="5"/>
  <c r="J21" i="5"/>
  <c r="B21" i="5"/>
  <c r="AE21" i="5" a="1"/>
  <c r="AE21" i="5" s="1"/>
  <c r="H21" i="5"/>
  <c r="AD21" i="5"/>
  <c r="G21" i="5"/>
  <c r="B21" i="6"/>
  <c r="BB61" i="10"/>
  <c r="BC59" i="9"/>
  <c r="B44" i="8"/>
  <c r="C153" i="3"/>
  <c r="C151" i="3"/>
  <c r="C22" i="5" l="1"/>
  <c r="B22" i="5" s="1"/>
  <c r="L25" i="6"/>
  <c r="D21" i="6"/>
  <c r="BD61" i="10"/>
  <c r="B47" i="8"/>
  <c r="A12" i="6"/>
  <c r="F22" i="5" l="1"/>
  <c r="N22" i="5"/>
  <c r="D22" i="6" s="1"/>
  <c r="G22" i="6" s="1"/>
  <c r="E22" i="5"/>
  <c r="AF22" i="5" a="1"/>
  <c r="AF22" i="5" s="1"/>
  <c r="A22" i="12"/>
  <c r="B22" i="6"/>
  <c r="C23" i="5"/>
  <c r="H22" i="5"/>
  <c r="AE22" i="5" a="1"/>
  <c r="AE22" i="5" s="1"/>
  <c r="AD22" i="5"/>
  <c r="G22" i="5"/>
  <c r="L26" i="6"/>
  <c r="F25" i="6"/>
  <c r="AG15" i="10"/>
  <c r="AF15" i="9"/>
  <c r="A16" i="6"/>
  <c r="A17" i="6" s="1"/>
  <c r="B50" i="8"/>
  <c r="A14" i="6"/>
  <c r="A11" i="6"/>
  <c r="C147" i="3"/>
  <c r="C149" i="3"/>
  <c r="C145" i="3"/>
  <c r="C143" i="3"/>
  <c r="C141" i="3"/>
  <c r="U11" i="4"/>
  <c r="U10" i="4"/>
  <c r="Y26" i="4"/>
  <c r="Z26" i="4" s="1"/>
  <c r="Y106" i="4"/>
  <c r="Z106" i="4" s="1"/>
  <c r="Y66" i="4"/>
  <c r="Z66" i="4" s="1"/>
  <c r="R64" i="4"/>
  <c r="R63" i="4"/>
  <c r="R23" i="4"/>
  <c r="R24" i="4"/>
  <c r="C133" i="3"/>
  <c r="AG22" i="5" l="1" a="1"/>
  <c r="AG22" i="5" s="1"/>
  <c r="S22" i="5" a="1"/>
  <c r="S22" i="5" s="1"/>
  <c r="F22" i="12" s="1" a="1"/>
  <c r="F22" i="12" s="1"/>
  <c r="E22" i="12"/>
  <c r="F22" i="6"/>
  <c r="AE23" i="5" a="1"/>
  <c r="AE23" i="5" s="1"/>
  <c r="B23" i="5"/>
  <c r="H23" i="5"/>
  <c r="AD23" i="5"/>
  <c r="G23" i="5"/>
  <c r="AF23" i="5" a="1"/>
  <c r="AF23" i="5" s="1"/>
  <c r="F23" i="5"/>
  <c r="B23" i="6"/>
  <c r="E23" i="5"/>
  <c r="C24" i="5"/>
  <c r="N23" i="5"/>
  <c r="D23" i="6" s="1"/>
  <c r="G23" i="6" s="1"/>
  <c r="A23" i="12"/>
  <c r="F26" i="6"/>
  <c r="L27" i="6"/>
  <c r="L28" i="6" s="1"/>
  <c r="L29" i="6" s="1"/>
  <c r="E23" i="12"/>
  <c r="F23" i="6"/>
  <c r="N17" i="6"/>
  <c r="B53" i="8"/>
  <c r="X26" i="4"/>
  <c r="X106" i="4"/>
  <c r="X66" i="4"/>
  <c r="C137" i="3"/>
  <c r="C135" i="3"/>
  <c r="C132" i="3"/>
  <c r="AG23" i="5" l="1" a="1"/>
  <c r="AG23" i="5" s="1"/>
  <c r="S23" i="5" a="1"/>
  <c r="S23" i="5" s="1"/>
  <c r="F23" i="12" s="1" a="1"/>
  <c r="F23" i="12" s="1"/>
  <c r="H24" i="5"/>
  <c r="B24" i="5"/>
  <c r="K24" i="5"/>
  <c r="J24" i="5"/>
  <c r="G24" i="5"/>
  <c r="F24" i="5"/>
  <c r="B24" i="6"/>
  <c r="E24" i="5"/>
  <c r="A24" i="12"/>
  <c r="AD24" i="5"/>
  <c r="N24" i="5"/>
  <c r="D24" i="6" s="1"/>
  <c r="AE24" i="5" a="1"/>
  <c r="AE24" i="5" s="1"/>
  <c r="D24" i="5"/>
  <c r="B24" i="12" s="1"/>
  <c r="L30" i="6"/>
  <c r="B56" i="8"/>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C25" i="5" l="1"/>
  <c r="L31" i="6"/>
  <c r="A19" i="6"/>
  <c r="B59" i="8"/>
  <c r="J4" i="15"/>
  <c r="AB13" i="12" a="1"/>
  <c r="AB13" i="12" s="1"/>
  <c r="I61" i="10"/>
  <c r="F25" i="5" l="1"/>
  <c r="AD25" i="5"/>
  <c r="H25" i="5"/>
  <c r="G25" i="5"/>
  <c r="E25" i="5"/>
  <c r="B25" i="5"/>
  <c r="C26" i="5" s="1"/>
  <c r="B25" i="6"/>
  <c r="A25" i="6" s="1"/>
  <c r="W25" i="5" a="1"/>
  <c r="W25" i="5" s="1"/>
  <c r="H25" i="12" s="1" a="1"/>
  <c r="H25" i="12" s="1"/>
  <c r="AE25" i="5" a="1"/>
  <c r="AE25" i="5" s="1"/>
  <c r="I25" i="5"/>
  <c r="AF25" i="5" a="1"/>
  <c r="AF25" i="5" s="1"/>
  <c r="AG25" i="5" s="1" a="1"/>
  <c r="AG25" i="5" s="1"/>
  <c r="U25" i="5" s="1"/>
  <c r="N25" i="5"/>
  <c r="D25" i="6" s="1"/>
  <c r="G25" i="6" s="1"/>
  <c r="A25" i="12"/>
  <c r="N19" i="6"/>
  <c r="L32" i="6"/>
  <c r="AX66" i="10"/>
  <c r="AV66" i="10"/>
  <c r="AT66" i="10"/>
  <c r="AR66" i="10"/>
  <c r="BD66" i="10"/>
  <c r="BB66" i="10"/>
  <c r="AZ66" i="10"/>
  <c r="AP66" i="10"/>
  <c r="AN66" i="10"/>
  <c r="AL66" i="10"/>
  <c r="AJ66" i="10"/>
  <c r="AG60" i="10"/>
  <c r="AM9" i="10"/>
  <c r="AO23" i="13"/>
  <c r="AO21" i="13"/>
  <c r="AO19" i="13"/>
  <c r="AO17" i="13"/>
  <c r="AO15" i="13"/>
  <c r="G162" i="8" a="1"/>
  <c r="G162" i="8" s="1"/>
  <c r="G156" i="8" a="1"/>
  <c r="G156" i="8" s="1"/>
  <c r="G150" i="8" a="1"/>
  <c r="G150" i="8" s="1"/>
  <c r="AK22" i="13" a="1"/>
  <c r="AK22" i="13" s="1"/>
  <c r="AK20" i="13" a="1"/>
  <c r="AK20" i="13" s="1"/>
  <c r="AK18" i="13" a="1"/>
  <c r="AK18" i="13" s="1"/>
  <c r="AK16" i="13" a="1"/>
  <c r="AK16" i="13" s="1"/>
  <c r="AK14" i="13" a="1"/>
  <c r="AK14" i="13" s="1"/>
  <c r="AN23" i="13" a="1"/>
  <c r="AN23" i="13" s="1"/>
  <c r="AN21" i="13" a="1"/>
  <c r="AN21" i="13" s="1"/>
  <c r="AN19" i="13" a="1"/>
  <c r="AN19" i="13" s="1"/>
  <c r="AN17" i="13" a="1"/>
  <c r="AN17" i="13" s="1"/>
  <c r="AN15" i="13" a="1"/>
  <c r="AN15" i="13" s="1"/>
  <c r="AJ22" i="13" a="1"/>
  <c r="AJ22" i="13" s="1"/>
  <c r="AJ20" i="13" a="1"/>
  <c r="AJ20" i="13" s="1"/>
  <c r="AJ18" i="13" a="1"/>
  <c r="AJ18" i="13" s="1"/>
  <c r="AJ16" i="13" a="1"/>
  <c r="AJ16" i="13" s="1"/>
  <c r="AJ14" i="13" a="1"/>
  <c r="AJ14" i="13" s="1"/>
  <c r="AM23" i="13" a="1"/>
  <c r="AM23" i="13" s="1"/>
  <c r="AN20" i="13" a="1"/>
  <c r="AN20" i="13" s="1"/>
  <c r="AM17" i="13" a="1"/>
  <c r="AM17" i="13" s="1"/>
  <c r="AN14" i="13" a="1"/>
  <c r="AN14" i="13" s="1"/>
  <c r="AL23" i="13"/>
  <c r="AJ21" i="13" a="1"/>
  <c r="AJ21" i="13" s="1"/>
  <c r="AL17" i="13"/>
  <c r="AJ15" i="13" a="1"/>
  <c r="AJ15" i="13" s="1"/>
  <c r="AO22" i="13"/>
  <c r="AM20" i="13" a="1"/>
  <c r="AM20" i="13" s="1"/>
  <c r="AO16" i="13"/>
  <c r="AM14" i="13" a="1"/>
  <c r="AM14" i="13" s="1"/>
  <c r="AK23" i="13" a="1"/>
  <c r="AK23" i="13" s="1"/>
  <c r="AL20" i="13"/>
  <c r="AK17" i="13" a="1"/>
  <c r="AK17" i="13" s="1"/>
  <c r="AL14" i="13"/>
  <c r="AN22" i="13" a="1"/>
  <c r="AN22" i="13" s="1"/>
  <c r="AM19" i="13" a="1"/>
  <c r="AM19" i="13" s="1"/>
  <c r="AN16" i="13" a="1"/>
  <c r="AN16" i="13" s="1"/>
  <c r="G153" i="8" a="1"/>
  <c r="G153" i="8" s="1"/>
  <c r="AL21" i="13"/>
  <c r="AJ19" i="13" a="1"/>
  <c r="AJ19" i="13" s="1"/>
  <c r="AL15" i="13"/>
  <c r="AO20" i="13"/>
  <c r="AM18" i="13" a="1"/>
  <c r="AM18" i="13" s="1"/>
  <c r="AO14" i="13"/>
  <c r="AK21" i="13" a="1"/>
  <c r="AK21" i="13" s="1"/>
  <c r="AL18" i="13"/>
  <c r="AK15" i="13" a="1"/>
  <c r="AK15" i="13" s="1"/>
  <c r="AJ23" i="13" a="1"/>
  <c r="AJ23" i="13" s="1"/>
  <c r="AM22" i="13" a="1"/>
  <c r="AM22" i="13" s="1"/>
  <c r="AM21" i="13" a="1"/>
  <c r="AM21" i="13" s="1"/>
  <c r="G159" i="8" a="1"/>
  <c r="G159" i="8" s="1"/>
  <c r="AL22" i="13"/>
  <c r="G147" i="8" a="1"/>
  <c r="G147" i="8" s="1"/>
  <c r="G138" i="8" a="1"/>
  <c r="G138" i="8" s="1"/>
  <c r="AM16" i="13" a="1"/>
  <c r="AM16" i="13" s="1"/>
  <c r="AM15" i="13" a="1"/>
  <c r="AM15" i="13" s="1"/>
  <c r="G120" i="8" a="1"/>
  <c r="G120" i="8" s="1"/>
  <c r="AO18" i="13"/>
  <c r="AJ17" i="13" a="1"/>
  <c r="AJ17" i="13" s="1"/>
  <c r="AK19" i="13" a="1"/>
  <c r="AK19" i="13" s="1"/>
  <c r="AL19" i="13"/>
  <c r="G126" i="8" a="1"/>
  <c r="G126" i="8" s="1"/>
  <c r="AL16" i="13"/>
  <c r="G141" i="8" a="1"/>
  <c r="G141" i="8" s="1"/>
  <c r="G117" i="8" a="1"/>
  <c r="G117" i="8" s="1"/>
  <c r="G123" i="8" a="1"/>
  <c r="G123" i="8" s="1"/>
  <c r="G144" i="8" a="1"/>
  <c r="G144" i="8" s="1"/>
  <c r="G111" i="8" a="1"/>
  <c r="G111" i="8" s="1"/>
  <c r="G102" i="8" a="1"/>
  <c r="G102" i="8" s="1"/>
  <c r="G108" i="8" a="1"/>
  <c r="G108" i="8" s="1"/>
  <c r="G96" i="8" a="1"/>
  <c r="G96" i="8" s="1"/>
  <c r="AN18" i="13" a="1"/>
  <c r="AN18" i="13" s="1"/>
  <c r="G132" i="8" a="1"/>
  <c r="G132" i="8" s="1"/>
  <c r="G84" i="8" a="1"/>
  <c r="G84" i="8" s="1"/>
  <c r="G78" i="8" a="1"/>
  <c r="G78" i="8" s="1"/>
  <c r="G72" i="8" a="1"/>
  <c r="G72" i="8" s="1"/>
  <c r="G66" i="8" a="1"/>
  <c r="G66" i="8" s="1"/>
  <c r="G60" i="8" a="1"/>
  <c r="G60" i="8" s="1"/>
  <c r="G54" i="8" a="1"/>
  <c r="G54" i="8" s="1"/>
  <c r="G135" i="8" a="1"/>
  <c r="G135" i="8" s="1"/>
  <c r="G99" i="8" a="1"/>
  <c r="G99" i="8" s="1"/>
  <c r="G129" i="8" a="1"/>
  <c r="G129" i="8" s="1"/>
  <c r="G90" i="8" a="1"/>
  <c r="G90" i="8" s="1"/>
  <c r="G69" i="8" a="1"/>
  <c r="G69" i="8" s="1"/>
  <c r="G42" i="8" a="1"/>
  <c r="G42" i="8" s="1"/>
  <c r="G36" i="8" a="1"/>
  <c r="G36" i="8" s="1"/>
  <c r="G30" i="8" a="1"/>
  <c r="G30" i="8" s="1"/>
  <c r="G24" i="8" a="1"/>
  <c r="G24" i="8" s="1"/>
  <c r="G18" i="8" a="1"/>
  <c r="G18" i="8" s="1"/>
  <c r="G87" i="8" a="1"/>
  <c r="G87" i="8" s="1"/>
  <c r="G114" i="8" a="1"/>
  <c r="G114" i="8" s="1"/>
  <c r="G48" i="8" a="1"/>
  <c r="G48" i="8" s="1"/>
  <c r="G93" i="8" a="1"/>
  <c r="G93" i="8" s="1"/>
  <c r="G75" i="8" a="1"/>
  <c r="G75" i="8" s="1"/>
  <c r="G21" i="8" a="1"/>
  <c r="G21" i="8" s="1"/>
  <c r="G57" i="8" a="1"/>
  <c r="G57" i="8" s="1"/>
  <c r="G51" i="8" a="1"/>
  <c r="G51" i="8" s="1"/>
  <c r="G15" i="8" a="1"/>
  <c r="G15" i="8" s="1"/>
  <c r="G81" i="8" a="1"/>
  <c r="G81" i="8" s="1"/>
  <c r="G45" i="8" a="1"/>
  <c r="G45" i="8" s="1"/>
  <c r="G33" i="8" a="1"/>
  <c r="G33" i="8" s="1"/>
  <c r="G63" i="8" a="1"/>
  <c r="G63" i="8" s="1"/>
  <c r="G39" i="8" a="1"/>
  <c r="G39" i="8" s="1"/>
  <c r="G27" i="8" a="1"/>
  <c r="G27" i="8" s="1"/>
  <c r="G105" i="8" a="1"/>
  <c r="G105" i="8" s="1"/>
  <c r="P7" i="13"/>
  <c r="K14" i="13" a="1"/>
  <c r="K14" i="13" s="1"/>
  <c r="B62" i="8"/>
  <c r="G22" i="15" a="1"/>
  <c r="G22" i="15" s="1"/>
  <c r="C22" i="15" a="1"/>
  <c r="C22" i="15" s="1"/>
  <c r="F10" i="12" a="1"/>
  <c r="F10" i="12" s="1"/>
  <c r="F8" i="7"/>
  <c r="M8" i="12" a="1"/>
  <c r="M8" i="12" s="1"/>
  <c r="H176" i="8" a="1"/>
  <c r="H176" i="8" s="1"/>
  <c r="H174" i="8" a="1"/>
  <c r="H174" i="8" s="1"/>
  <c r="F7" i="6" a="1"/>
  <c r="F7" i="6" s="1"/>
  <c r="F6" i="6" a="1"/>
  <c r="F6" i="6" s="1"/>
  <c r="Q1" i="6" a="1"/>
  <c r="Q1" i="6" s="1"/>
  <c r="O1" i="6" a="1"/>
  <c r="O1" i="6" s="1"/>
  <c r="C11" i="7" a="1"/>
  <c r="C11" i="7" s="1"/>
  <c r="C122" i="3"/>
  <c r="C120" i="3"/>
  <c r="N25" i="6" l="1"/>
  <c r="C27" i="5"/>
  <c r="E26" i="5"/>
  <c r="H26" i="5"/>
  <c r="G26" i="5"/>
  <c r="AD26" i="5"/>
  <c r="B26" i="5"/>
  <c r="A26" i="12"/>
  <c r="B26" i="6"/>
  <c r="A26" i="6" s="1"/>
  <c r="AE26" i="5" a="1"/>
  <c r="AE26" i="5" s="1"/>
  <c r="N26" i="5"/>
  <c r="D26" i="6" s="1"/>
  <c r="G26" i="6" s="1"/>
  <c r="F26" i="5"/>
  <c r="I26" i="5"/>
  <c r="AF26" i="5" a="1"/>
  <c r="AF26" i="5" s="1"/>
  <c r="AG26" i="5" s="1" a="1"/>
  <c r="AG26" i="5" s="1"/>
  <c r="U26" i="5" s="1"/>
  <c r="W26" i="5" a="1"/>
  <c r="W26" i="5" s="1"/>
  <c r="H26" i="12" s="1" a="1"/>
  <c r="H26" i="12" s="1"/>
  <c r="L33" i="6"/>
  <c r="B65" i="8"/>
  <c r="C14" i="14" a="1"/>
  <c r="C14" i="14" s="1"/>
  <c r="B39" i="14" a="1"/>
  <c r="B39" i="14" s="1"/>
  <c r="B37" i="14" a="1"/>
  <c r="B37" i="14" s="1"/>
  <c r="E28" i="14" a="1"/>
  <c r="E28" i="14" s="1"/>
  <c r="R1" i="6" a="1"/>
  <c r="R1" i="6" s="1"/>
  <c r="S67" i="4"/>
  <c r="U67" i="4" s="1"/>
  <c r="S107" i="4"/>
  <c r="U107" i="4" s="1"/>
  <c r="S27" i="4"/>
  <c r="U27" i="4" s="1"/>
  <c r="C124" i="3"/>
  <c r="N26" i="6" l="1"/>
  <c r="H27" i="5"/>
  <c r="D27" i="5"/>
  <c r="B27" i="12" s="1"/>
  <c r="C28" i="5"/>
  <c r="AE27" i="5" a="1"/>
  <c r="AE27" i="5" s="1"/>
  <c r="AD27" i="5"/>
  <c r="N27" i="5"/>
  <c r="D27" i="6" s="1"/>
  <c r="G27" i="5"/>
  <c r="J27" i="5"/>
  <c r="A27" i="12"/>
  <c r="E27" i="5"/>
  <c r="K27" i="5"/>
  <c r="B27" i="5"/>
  <c r="F27" i="5"/>
  <c r="B27" i="6"/>
  <c r="L34" i="6"/>
  <c r="B68" i="8"/>
  <c r="S1" i="6" a="1"/>
  <c r="S1" i="6" s="1"/>
  <c r="H59" i="9"/>
  <c r="B28" i="6" l="1"/>
  <c r="AD28" i="5"/>
  <c r="AE28" i="5" a="1"/>
  <c r="AE28" i="5" s="1"/>
  <c r="F28" i="5"/>
  <c r="H28" i="5"/>
  <c r="K28" i="5"/>
  <c r="A28" i="12"/>
  <c r="E28" i="5"/>
  <c r="D28" i="5"/>
  <c r="B28" i="12" s="1"/>
  <c r="C29" i="5"/>
  <c r="J28" i="5"/>
  <c r="G28" i="5"/>
  <c r="B28" i="5"/>
  <c r="N28" i="5"/>
  <c r="D28" i="6" s="1"/>
  <c r="N22" i="6"/>
  <c r="A23" i="6"/>
  <c r="L35" i="6"/>
  <c r="B71" i="8"/>
  <c r="T1" i="6" a="1"/>
  <c r="T1" i="6" s="1"/>
  <c r="C94" i="3"/>
  <c r="C92" i="3"/>
  <c r="D29" i="5" l="1"/>
  <c r="B29" i="12" s="1"/>
  <c r="F29" i="5"/>
  <c r="H29" i="5"/>
  <c r="K29" i="5"/>
  <c r="G29" i="5"/>
  <c r="E29" i="5"/>
  <c r="B29" i="6"/>
  <c r="B29" i="5"/>
  <c r="A29" i="12"/>
  <c r="AD29" i="5"/>
  <c r="C30" i="5"/>
  <c r="N29" i="5"/>
  <c r="D29" i="6" s="1"/>
  <c r="AE29" i="5" a="1"/>
  <c r="AE29" i="5" s="1"/>
  <c r="J29" i="5"/>
  <c r="N23" i="6"/>
  <c r="L36" i="6"/>
  <c r="B74" i="8"/>
  <c r="U1" i="6" a="1"/>
  <c r="U1" i="6" s="1"/>
  <c r="C98" i="3"/>
  <c r="N30" i="5" l="1"/>
  <c r="D30" i="6" s="1"/>
  <c r="K30" i="5"/>
  <c r="E30" i="5"/>
  <c r="G30" i="5"/>
  <c r="H30" i="5"/>
  <c r="F30" i="5"/>
  <c r="AE30" i="5" a="1"/>
  <c r="AE30" i="5" s="1"/>
  <c r="AD30" i="5"/>
  <c r="B30" i="6"/>
  <c r="C31" i="5"/>
  <c r="B30" i="5"/>
  <c r="D30" i="5"/>
  <c r="B30" i="12" s="1"/>
  <c r="J30" i="5"/>
  <c r="A30" i="12"/>
  <c r="F36" i="6"/>
  <c r="L37" i="6"/>
  <c r="B77" i="8"/>
  <c r="V1" i="6" a="1"/>
  <c r="V1" i="6" s="1"/>
  <c r="C5" i="14"/>
  <c r="K31" i="5" l="1"/>
  <c r="N31" i="5"/>
  <c r="D31" i="6" s="1"/>
  <c r="A31" i="12"/>
  <c r="J31" i="5"/>
  <c r="AE31" i="5" a="1"/>
  <c r="AE31" i="5" s="1"/>
  <c r="B31" i="6"/>
  <c r="E31" i="5"/>
  <c r="C32" i="5"/>
  <c r="AD31" i="5"/>
  <c r="B31" i="5"/>
  <c r="G31" i="5"/>
  <c r="F31" i="5"/>
  <c r="D31" i="5"/>
  <c r="B31" i="12" s="1"/>
  <c r="H31" i="5"/>
  <c r="L38" i="6"/>
  <c r="B80" i="8"/>
  <c r="W1" i="6" a="1"/>
  <c r="W1" i="6" s="1"/>
  <c r="S12" i="11"/>
  <c r="D32" i="5" l="1"/>
  <c r="B32" i="12" s="1"/>
  <c r="N32" i="5"/>
  <c r="D32" i="6" s="1"/>
  <c r="AD32" i="5"/>
  <c r="J32" i="5"/>
  <c r="K32" i="5"/>
  <c r="B32" i="6"/>
  <c r="A32" i="12"/>
  <c r="F32" i="5"/>
  <c r="E32" i="5"/>
  <c r="C33" i="5"/>
  <c r="B32" i="5"/>
  <c r="G32" i="5"/>
  <c r="H32" i="5"/>
  <c r="AE32" i="5" a="1"/>
  <c r="AE32" i="5" s="1"/>
  <c r="L39" i="6"/>
  <c r="B83" i="8"/>
  <c r="X1" i="6" a="1"/>
  <c r="X1" i="6" s="1"/>
  <c r="C1" i="7" a="1"/>
  <c r="C1" i="7" s="1"/>
  <c r="F33" i="5" l="1"/>
  <c r="B33" i="6"/>
  <c r="AD33" i="5"/>
  <c r="J33" i="5"/>
  <c r="G33" i="5"/>
  <c r="H33" i="5"/>
  <c r="K33" i="5"/>
  <c r="B33" i="5"/>
  <c r="C34" i="5"/>
  <c r="E33" i="5"/>
  <c r="AE33" i="5" a="1"/>
  <c r="AE33" i="5" s="1"/>
  <c r="A33" i="12"/>
  <c r="N33" i="5"/>
  <c r="D33" i="6" s="1"/>
  <c r="D33" i="5"/>
  <c r="B33" i="12" s="1"/>
  <c r="L40" i="6"/>
  <c r="B86" i="8"/>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A34" i="12" l="1"/>
  <c r="F34" i="5"/>
  <c r="J34" i="5"/>
  <c r="N34" i="5"/>
  <c r="D34" i="6" s="1"/>
  <c r="H34" i="5"/>
  <c r="B34" i="6"/>
  <c r="C35" i="5"/>
  <c r="AD34" i="5"/>
  <c r="E34" i="5"/>
  <c r="B34" i="5"/>
  <c r="AE34" i="5" a="1"/>
  <c r="AE34" i="5" s="1"/>
  <c r="K34" i="5"/>
  <c r="D34" i="5"/>
  <c r="B34" i="12" s="1"/>
  <c r="G34" i="5"/>
  <c r="L41" i="6"/>
  <c r="B89" i="8"/>
  <c r="Z1" i="6" a="1"/>
  <c r="Z1" i="6" s="1"/>
  <c r="AA1" i="6" s="1" a="1"/>
  <c r="AA1" i="6" s="1"/>
  <c r="D27" i="2"/>
  <c r="D15" i="2"/>
  <c r="D35" i="2"/>
  <c r="D3" i="2"/>
  <c r="AE35" i="5" l="1" a="1"/>
  <c r="AE35" i="5" s="1"/>
  <c r="G35" i="5"/>
  <c r="AD35" i="5"/>
  <c r="B35" i="5"/>
  <c r="C36" i="5" s="1"/>
  <c r="B35" i="6"/>
  <c r="N35" i="5"/>
  <c r="D35" i="6" s="1"/>
  <c r="H35" i="5"/>
  <c r="E35" i="5"/>
  <c r="J35" i="5"/>
  <c r="A35" i="12"/>
  <c r="K35" i="5"/>
  <c r="D35" i="5"/>
  <c r="B35" i="12" s="1"/>
  <c r="F35" i="5"/>
  <c r="L42" i="6"/>
  <c r="AB1" i="6" a="1"/>
  <c r="AB1" i="6" s="1"/>
  <c r="B92" i="8"/>
  <c r="H10" i="7"/>
  <c r="I36" i="5" l="1"/>
  <c r="W36" i="5" a="1"/>
  <c r="W36" i="5" s="1"/>
  <c r="H36" i="12" s="1" a="1"/>
  <c r="H36" i="12" s="1"/>
  <c r="AF36" i="5" a="1"/>
  <c r="AF36" i="5" s="1"/>
  <c r="AG36" i="5" s="1" a="1"/>
  <c r="AG36" i="5" s="1"/>
  <c r="U36" i="5" s="1"/>
  <c r="F36" i="5"/>
  <c r="B36" i="5"/>
  <c r="E36" i="5"/>
  <c r="N36" i="5"/>
  <c r="D36" i="6" s="1"/>
  <c r="G36" i="6" s="1"/>
  <c r="B36" i="6"/>
  <c r="A36" i="6" s="1"/>
  <c r="A36" i="12"/>
  <c r="C37" i="5"/>
  <c r="AD36" i="5"/>
  <c r="AE36" i="5" a="1"/>
  <c r="AE36" i="5" s="1"/>
  <c r="H36" i="5"/>
  <c r="G36" i="5"/>
  <c r="L43" i="6"/>
  <c r="AC1" i="6" a="1"/>
  <c r="AC1" i="6" s="1"/>
  <c r="B95" i="8"/>
  <c r="AS176" i="8"/>
  <c r="AD37" i="5" l="1"/>
  <c r="B37" i="6"/>
  <c r="B37" i="5"/>
  <c r="H37" i="5"/>
  <c r="D37" i="5"/>
  <c r="B37" i="12" s="1"/>
  <c r="N37" i="5"/>
  <c r="D37" i="6" s="1"/>
  <c r="K37" i="5"/>
  <c r="E37" i="5"/>
  <c r="C38" i="5"/>
  <c r="AE37" i="5" a="1"/>
  <c r="AE37" i="5" s="1"/>
  <c r="A37" i="12"/>
  <c r="J37" i="5"/>
  <c r="F37" i="5"/>
  <c r="G37" i="5"/>
  <c r="N36" i="6"/>
  <c r="L44" i="6"/>
  <c r="AD1" i="6" a="1"/>
  <c r="AD1" i="6" s="1"/>
  <c r="B98" i="8"/>
  <c r="C103" i="3"/>
  <c r="C100" i="3"/>
  <c r="C96" i="3"/>
  <c r="C39" i="5" l="1"/>
  <c r="D38" i="5"/>
  <c r="B38" i="12" s="1"/>
  <c r="E38" i="5"/>
  <c r="B38" i="5"/>
  <c r="AD38" i="5"/>
  <c r="AE38" i="5" a="1"/>
  <c r="AE38" i="5" s="1"/>
  <c r="H38" i="5"/>
  <c r="K38" i="5"/>
  <c r="A38" i="12"/>
  <c r="G38" i="5"/>
  <c r="B38" i="6"/>
  <c r="F38" i="5"/>
  <c r="J38" i="5"/>
  <c r="N38" i="5"/>
  <c r="D38" i="6" s="1"/>
  <c r="L45" i="6"/>
  <c r="AE1" i="6" a="1"/>
  <c r="AE1" i="6" s="1"/>
  <c r="B101" i="8"/>
  <c r="C93" i="3"/>
  <c r="F39" i="5" l="1"/>
  <c r="N39" i="5"/>
  <c r="D39" i="6" s="1"/>
  <c r="B39" i="5"/>
  <c r="G39" i="5"/>
  <c r="C40" i="5"/>
  <c r="E39" i="5"/>
  <c r="J39" i="5"/>
  <c r="AE39" i="5" a="1"/>
  <c r="AE39" i="5" s="1"/>
  <c r="B39" i="6"/>
  <c r="K39" i="5"/>
  <c r="D39" i="5"/>
  <c r="B39" i="12" s="1"/>
  <c r="A39" i="12"/>
  <c r="H39" i="5"/>
  <c r="AD39" i="5"/>
  <c r="L46" i="6"/>
  <c r="F45" i="6"/>
  <c r="AF1" i="6" a="1"/>
  <c r="AF1" i="6" s="1"/>
  <c r="B104" i="8"/>
  <c r="C112" i="3"/>
  <c r="C108" i="3"/>
  <c r="C70" i="3"/>
  <c r="L35" i="13"/>
  <c r="L34" i="13" s="1"/>
  <c r="C84" i="3"/>
  <c r="G40" i="5" l="1"/>
  <c r="E40" i="5"/>
  <c r="A40" i="12"/>
  <c r="N40" i="5"/>
  <c r="D40" i="6" s="1"/>
  <c r="D40" i="5"/>
  <c r="B40" i="12" s="1"/>
  <c r="K40" i="5"/>
  <c r="B40" i="6"/>
  <c r="C41" i="5"/>
  <c r="AD40" i="5"/>
  <c r="AE40" i="5" a="1"/>
  <c r="AE40" i="5" s="1"/>
  <c r="J40" i="5"/>
  <c r="F40" i="5"/>
  <c r="H40" i="5"/>
  <c r="B40" i="5"/>
  <c r="L47" i="6"/>
  <c r="AG1" i="6" a="1"/>
  <c r="AG1" i="6" s="1"/>
  <c r="B107" i="8"/>
  <c r="C56" i="3"/>
  <c r="A41" i="12" l="1"/>
  <c r="B41" i="6"/>
  <c r="D41" i="5"/>
  <c r="B41" i="12" s="1"/>
  <c r="AD41" i="5"/>
  <c r="F41" i="5"/>
  <c r="C42" i="5"/>
  <c r="J41" i="5"/>
  <c r="K41" i="5"/>
  <c r="B41" i="5"/>
  <c r="E41" i="5"/>
  <c r="N41" i="5"/>
  <c r="D41" i="6" s="1"/>
  <c r="AE41" i="5" a="1"/>
  <c r="AE41" i="5" s="1"/>
  <c r="G41" i="5"/>
  <c r="H41" i="5"/>
  <c r="L48" i="6"/>
  <c r="AH1" i="6" a="1"/>
  <c r="AH1" i="6" s="1"/>
  <c r="B110" i="8"/>
  <c r="Q13" i="6"/>
  <c r="A1" i="7"/>
  <c r="V62" i="7" a="1"/>
  <c r="V62" i="7" s="1"/>
  <c r="Y5" i="7"/>
  <c r="X5" i="7"/>
  <c r="P5" i="7"/>
  <c r="C60" i="3"/>
  <c r="F5" i="7"/>
  <c r="A42" i="12" l="1"/>
  <c r="AD42" i="5"/>
  <c r="AE42" i="5" a="1"/>
  <c r="AE42" i="5" s="1"/>
  <c r="D42" i="5"/>
  <c r="B42" i="12" s="1"/>
  <c r="H42" i="5"/>
  <c r="B42" i="6"/>
  <c r="J42" i="5"/>
  <c r="K42" i="5"/>
  <c r="N42" i="5"/>
  <c r="D42" i="6" s="1"/>
  <c r="F42" i="5"/>
  <c r="G42" i="5"/>
  <c r="E42" i="5"/>
  <c r="B42" i="5"/>
  <c r="C43" i="5"/>
  <c r="L49" i="6"/>
  <c r="AI1" i="6" a="1"/>
  <c r="AI1" i="6" s="1"/>
  <c r="B113" i="8"/>
  <c r="R13" i="6"/>
  <c r="S13" i="6" s="1"/>
  <c r="V63" i="7"/>
  <c r="V64" i="7"/>
  <c r="N5" i="7"/>
  <c r="O5" i="7"/>
  <c r="G43" i="5" l="1"/>
  <c r="D43" i="5"/>
  <c r="B43" i="12" s="1"/>
  <c r="A43" i="12"/>
  <c r="N43" i="5"/>
  <c r="D43" i="6" s="1"/>
  <c r="H43" i="5"/>
  <c r="E43" i="5"/>
  <c r="J43" i="5"/>
  <c r="C44" i="5"/>
  <c r="AD43" i="5"/>
  <c r="B43" i="6"/>
  <c r="K43" i="5"/>
  <c r="B43" i="5"/>
  <c r="F43" i="5"/>
  <c r="AE43" i="5" a="1"/>
  <c r="AE43" i="5" s="1"/>
  <c r="F49" i="6"/>
  <c r="L50" i="6"/>
  <c r="AJ1" i="6" a="1"/>
  <c r="AJ1" i="6" s="1"/>
  <c r="B116" i="8"/>
  <c r="T13" i="6"/>
  <c r="E10" i="7"/>
  <c r="C57" i="3"/>
  <c r="C82" i="3"/>
  <c r="C77" i="3"/>
  <c r="B78" i="9"/>
  <c r="D63" i="7"/>
  <c r="V77" i="9" a="1"/>
  <c r="V79" i="9" s="1"/>
  <c r="B75" i="9"/>
  <c r="J59" i="9"/>
  <c r="L59" i="9" s="1"/>
  <c r="N59" i="9" s="1"/>
  <c r="P59" i="9" s="1"/>
  <c r="R59" i="9" s="1"/>
  <c r="T59" i="9" s="1"/>
  <c r="V59" i="9" s="1"/>
  <c r="X59" i="9" s="1"/>
  <c r="Z59" i="9" s="1"/>
  <c r="AB59" i="9" s="1"/>
  <c r="AD59" i="9" s="1"/>
  <c r="M5" i="9"/>
  <c r="J5" i="9"/>
  <c r="G5" i="9"/>
  <c r="B5" i="9"/>
  <c r="K44" i="5" l="1"/>
  <c r="E44" i="5"/>
  <c r="H44" i="5"/>
  <c r="B44" i="5"/>
  <c r="C45" i="5" s="1"/>
  <c r="AD44" i="5"/>
  <c r="B44" i="6"/>
  <c r="G44" i="5"/>
  <c r="F44" i="5"/>
  <c r="A44" i="12"/>
  <c r="J44" i="5"/>
  <c r="AE44" i="5" a="1"/>
  <c r="AE44" i="5" s="1"/>
  <c r="N44" i="5"/>
  <c r="D44" i="6" s="1"/>
  <c r="D44" i="5"/>
  <c r="B44" i="12" s="1"/>
  <c r="F50" i="6"/>
  <c r="L51" i="6"/>
  <c r="AK1" i="6" a="1"/>
  <c r="AK1" i="6" s="1"/>
  <c r="B119" i="8"/>
  <c r="U13" i="6"/>
  <c r="V77" i="9"/>
  <c r="V78" i="9"/>
  <c r="L62" i="7" a="1"/>
  <c r="L64" i="7" s="1"/>
  <c r="D60" i="7"/>
  <c r="C5" i="7"/>
  <c r="E45" i="5" l="1"/>
  <c r="B45" i="5"/>
  <c r="I45" i="5"/>
  <c r="AE45" i="5" a="1"/>
  <c r="AE45" i="5" s="1"/>
  <c r="G45" i="5"/>
  <c r="B45" i="6"/>
  <c r="A45" i="6" s="1"/>
  <c r="AF45" i="5" a="1"/>
  <c r="AF45" i="5" s="1"/>
  <c r="AG45" i="5" s="1" a="1"/>
  <c r="AG45" i="5" s="1"/>
  <c r="U45" i="5" s="1"/>
  <c r="C46" i="5"/>
  <c r="A45" i="12"/>
  <c r="N45" i="5"/>
  <c r="D45" i="6" s="1"/>
  <c r="G45" i="6" s="1"/>
  <c r="W45" i="5" a="1"/>
  <c r="W45" i="5" s="1"/>
  <c r="H45" i="12" s="1" a="1"/>
  <c r="H45" i="12" s="1"/>
  <c r="AD45" i="5"/>
  <c r="F45" i="5"/>
  <c r="H45" i="5"/>
  <c r="L52" i="6"/>
  <c r="AL1" i="6" a="1"/>
  <c r="AL1" i="6" s="1"/>
  <c r="B122" i="8"/>
  <c r="V13" i="6"/>
  <c r="L62" i="7"/>
  <c r="L63" i="7"/>
  <c r="C69" i="3"/>
  <c r="C86" i="3"/>
  <c r="C81" i="3"/>
  <c r="C80" i="3"/>
  <c r="C79" i="3"/>
  <c r="C76" i="3"/>
  <c r="C75" i="3"/>
  <c r="C74" i="3"/>
  <c r="C67" i="3"/>
  <c r="C65" i="3"/>
  <c r="C64" i="3"/>
  <c r="C61" i="3"/>
  <c r="C62" i="3"/>
  <c r="C59" i="3"/>
  <c r="C58" i="3"/>
  <c r="C72" i="3"/>
  <c r="S108" i="4" a="1"/>
  <c r="S108" i="4" s="1"/>
  <c r="S68" i="4" a="1"/>
  <c r="S68" i="4" s="1"/>
  <c r="S28" i="4" a="1"/>
  <c r="S28" i="4" s="1"/>
  <c r="N45" i="6" l="1"/>
  <c r="N46" i="5"/>
  <c r="D46" i="6" s="1"/>
  <c r="B46" i="5"/>
  <c r="E46" i="5"/>
  <c r="C47" i="5"/>
  <c r="AE46" i="5" a="1"/>
  <c r="AE46" i="5" s="1"/>
  <c r="H46" i="5"/>
  <c r="A46" i="12"/>
  <c r="F46" i="5"/>
  <c r="G46" i="5"/>
  <c r="B46" i="6"/>
  <c r="D46" i="5"/>
  <c r="B46" i="12" s="1"/>
  <c r="J46" i="5"/>
  <c r="AD46" i="5"/>
  <c r="K46" i="5"/>
  <c r="L53" i="6"/>
  <c r="AM1" i="6" a="1"/>
  <c r="AM1" i="6" s="1"/>
  <c r="B125" i="8"/>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CT13" i="6"/>
  <c r="AR13" i="6"/>
  <c r="AR12" i="6" s="1"/>
  <c r="BS13" i="6"/>
  <c r="H12" i="10"/>
  <c r="H11" i="10" s="1" a="1"/>
  <c r="H11" i="10" s="1"/>
  <c r="DC15" i="6"/>
  <c r="DB15" i="6"/>
  <c r="DA15" i="6"/>
  <c r="CZ15" i="6"/>
  <c r="CY15" i="6"/>
  <c r="CX15" i="6"/>
  <c r="CW15" i="6"/>
  <c r="CV15" i="6"/>
  <c r="CU15" i="6"/>
  <c r="CT15" i="6"/>
  <c r="G12" i="9"/>
  <c r="C20" i="3"/>
  <c r="C22" i="3"/>
  <c r="C24" i="3"/>
  <c r="C26" i="3"/>
  <c r="C28" i="3"/>
  <c r="C19" i="3"/>
  <c r="C15" i="3"/>
  <c r="C14" i="3"/>
  <c r="C12" i="3"/>
  <c r="I36" i="11"/>
  <c r="I35" i="11"/>
  <c r="AA179" i="8" a="1"/>
  <c r="T250" i="6" a="1"/>
  <c r="T252" i="6" s="1"/>
  <c r="I250" i="6" a="1"/>
  <c r="I251" i="6" s="1"/>
  <c r="C2" i="4"/>
  <c r="Z7" i="11"/>
  <c r="V12" i="8"/>
  <c r="E12" i="8"/>
  <c r="C14" i="5"/>
  <c r="AF14" i="5" s="1" a="1"/>
  <c r="AF14" i="5" s="1"/>
  <c r="CB15" i="6"/>
  <c r="CA15" i="6"/>
  <c r="BZ15" i="6"/>
  <c r="BY15" i="6"/>
  <c r="BX15" i="6"/>
  <c r="BW15" i="6"/>
  <c r="BV15" i="6"/>
  <c r="BU15" i="6"/>
  <c r="BT15" i="6"/>
  <c r="BS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253" i="12"/>
  <c r="E254" i="12"/>
  <c r="K256" i="12" a="1"/>
  <c r="K258" i="12" s="1"/>
  <c r="E10" i="6"/>
  <c r="I10" i="6"/>
  <c r="K10" i="6"/>
  <c r="S10" i="6"/>
  <c r="U10" i="6"/>
  <c r="O13" i="6"/>
  <c r="O15" i="6" s="1"/>
  <c r="O11" i="6" s="1"/>
  <c r="B15" i="6"/>
  <c r="C15" i="6"/>
  <c r="E15" i="6"/>
  <c r="B244" i="6"/>
  <c r="C244" i="6"/>
  <c r="F248" i="6"/>
  <c r="S5" i="8"/>
  <c r="I8" i="8"/>
  <c r="L8" i="8"/>
  <c r="U8" i="8"/>
  <c r="E13" i="8"/>
  <c r="V13" i="8"/>
  <c r="W13" i="8" s="1"/>
  <c r="X13" i="8" s="1"/>
  <c r="Y13" i="8" s="1"/>
  <c r="Z13" i="8" s="1"/>
  <c r="AA13" i="8" s="1"/>
  <c r="AB13" i="8" s="1"/>
  <c r="AC13" i="8" s="1"/>
  <c r="AD13" i="8" s="1"/>
  <c r="AE13" i="8" s="1"/>
  <c r="AF13" i="8" s="1"/>
  <c r="AG13" i="8" s="1"/>
  <c r="AH13" i="8" s="1"/>
  <c r="AI13" i="8" s="1"/>
  <c r="AJ13" i="8" s="1"/>
  <c r="AK13" i="8" s="1"/>
  <c r="AL13" i="8" s="1"/>
  <c r="AM13" i="8" s="1"/>
  <c r="AN13" i="8" s="1"/>
  <c r="AO13" i="8" s="1"/>
  <c r="AP13" i="8" s="1"/>
  <c r="AQ13" i="8" s="1"/>
  <c r="AR13" i="8" s="1"/>
  <c r="T166" i="8"/>
  <c r="T171" i="8"/>
  <c r="I177"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254" i="5"/>
  <c r="O15" i="5"/>
  <c r="O257" i="5"/>
  <c r="T259" i="5" a="1"/>
  <c r="T259" i="5" s="1"/>
  <c r="B1" i="10"/>
  <c r="H4" i="10"/>
  <c r="B7" i="10"/>
  <c r="H7" i="10"/>
  <c r="O7" i="10"/>
  <c r="F12" i="10"/>
  <c r="F11" i="10" s="1" a="1"/>
  <c r="F11" i="10" s="1"/>
  <c r="B69" i="10"/>
  <c r="W71" i="10" a="1"/>
  <c r="W72"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E47" i="5" l="1"/>
  <c r="F47" i="5"/>
  <c r="AD47" i="5"/>
  <c r="G47" i="5"/>
  <c r="J47" i="5"/>
  <c r="AE47" i="5" a="1"/>
  <c r="AE47" i="5" s="1"/>
  <c r="N47" i="5"/>
  <c r="D47" i="6" s="1"/>
  <c r="A47" i="12"/>
  <c r="B47" i="6"/>
  <c r="K47" i="5"/>
  <c r="B47" i="5"/>
  <c r="D47" i="5"/>
  <c r="B47" i="12" s="1"/>
  <c r="H47" i="5"/>
  <c r="C48" i="5"/>
  <c r="L54" i="6"/>
  <c r="AN1" i="6" a="1"/>
  <c r="AN1" i="6" s="1"/>
  <c r="B128" i="8"/>
  <c r="R14" i="5" a="1"/>
  <c r="R14" i="5" s="1"/>
  <c r="AE14" i="5" a="1"/>
  <c r="AE14" i="5" s="1"/>
  <c r="BS12" i="6"/>
  <c r="CT12" i="6"/>
  <c r="K130" i="4"/>
  <c r="U108" i="4"/>
  <c r="U68" i="4"/>
  <c r="U28" i="4"/>
  <c r="A15" i="6" a="1"/>
  <c r="A15" i="6" s="1"/>
  <c r="S109" i="4"/>
  <c r="S69" i="4"/>
  <c r="S29" i="4"/>
  <c r="C34" i="4"/>
  <c r="C45" i="4"/>
  <c r="CU13" i="6"/>
  <c r="K50" i="4"/>
  <c r="N9" i="10"/>
  <c r="C33" i="4"/>
  <c r="C48" i="4"/>
  <c r="C27" i="4"/>
  <c r="A16" i="4"/>
  <c r="W12" i="8"/>
  <c r="X13" i="6"/>
  <c r="O7" i="11"/>
  <c r="AC13" i="12"/>
  <c r="K61" i="10"/>
  <c r="K66" i="10" s="1"/>
  <c r="W74" i="10"/>
  <c r="E12" i="13"/>
  <c r="C47" i="4"/>
  <c r="C23" i="4"/>
  <c r="A30" i="4"/>
  <c r="A31" i="4" s="1"/>
  <c r="C31" i="4" s="1"/>
  <c r="C46" i="4"/>
  <c r="C28" i="4"/>
  <c r="K259" i="12"/>
  <c r="C21" i="4"/>
  <c r="C22" i="4"/>
  <c r="K132" i="4"/>
  <c r="W73" i="10"/>
  <c r="K256" i="12"/>
  <c r="T261" i="5"/>
  <c r="O7" i="13"/>
  <c r="T251" i="6"/>
  <c r="P125" i="4"/>
  <c r="I180" i="8"/>
  <c r="I252" i="6"/>
  <c r="I250" i="6"/>
  <c r="AS13" i="6"/>
  <c r="AS12" i="6" s="1"/>
  <c r="BT13" i="6"/>
  <c r="B14" i="5"/>
  <c r="F14" i="5"/>
  <c r="G15" i="9"/>
  <c r="H15" i="10"/>
  <c r="S110" i="4"/>
  <c r="I12" i="10"/>
  <c r="I11" i="10" s="1" a="1"/>
  <c r="I11" i="10" s="1"/>
  <c r="H12" i="9"/>
  <c r="S30" i="4"/>
  <c r="A36" i="4"/>
  <c r="C35" i="4"/>
  <c r="C24" i="4"/>
  <c r="AA180" i="8"/>
  <c r="AA181" i="8"/>
  <c r="AA179" i="8"/>
  <c r="P45" i="4"/>
  <c r="K14" i="5"/>
  <c r="J14" i="5"/>
  <c r="H14" i="5"/>
  <c r="A14" i="12"/>
  <c r="D14" i="5"/>
  <c r="B14" i="12" s="1"/>
  <c r="AD14" i="5"/>
  <c r="E14" i="5"/>
  <c r="G14" i="5"/>
  <c r="N14" i="5"/>
  <c r="E257" i="12"/>
  <c r="B72" i="10"/>
  <c r="F251" i="6"/>
  <c r="O260" i="5"/>
  <c r="D36" i="11"/>
  <c r="W71" i="10"/>
  <c r="A4" i="4"/>
  <c r="K51" i="4"/>
  <c r="K257" i="12"/>
  <c r="S70" i="4"/>
  <c r="K91" i="4"/>
  <c r="T250" i="6"/>
  <c r="K90" i="4"/>
  <c r="T260" i="5"/>
  <c r="E48" i="5" l="1"/>
  <c r="H48" i="5"/>
  <c r="AD48" i="5"/>
  <c r="N48" i="5"/>
  <c r="D48" i="6" s="1"/>
  <c r="G48" i="5"/>
  <c r="AE48" i="5" a="1"/>
  <c r="AE48" i="5" s="1"/>
  <c r="A48" i="12"/>
  <c r="F48" i="5"/>
  <c r="J48" i="5"/>
  <c r="B48" i="6"/>
  <c r="B48" i="5"/>
  <c r="C49" i="5" s="1"/>
  <c r="K48" i="5"/>
  <c r="D48" i="5"/>
  <c r="B48" i="12" s="1"/>
  <c r="L55" i="6"/>
  <c r="AR16" i="6"/>
  <c r="DP16" i="6" a="1"/>
  <c r="DP16" i="6" s="1"/>
  <c r="DJ16" i="6" a="1"/>
  <c r="DJ16" i="6" s="1"/>
  <c r="DI16" i="6" a="1"/>
  <c r="DI16" i="6" s="1"/>
  <c r="DR16" i="6" a="1"/>
  <c r="DR16" i="6" s="1"/>
  <c r="CQ16" i="6"/>
  <c r="DE16" i="6" a="1"/>
  <c r="DE16" i="6" s="1"/>
  <c r="CD16" i="6"/>
  <c r="CN16" i="6"/>
  <c r="CO16" i="6"/>
  <c r="DS16" i="6" a="1"/>
  <c r="DS16" i="6" s="1"/>
  <c r="CK16" i="6"/>
  <c r="DF16" i="6" a="1"/>
  <c r="DF16" i="6" s="1"/>
  <c r="CE16" i="6"/>
  <c r="CI16" i="6"/>
  <c r="CC16" i="6"/>
  <c r="CG16" i="6"/>
  <c r="CH16" i="6"/>
  <c r="DN16" i="6" a="1"/>
  <c r="DN16" i="6" s="1"/>
  <c r="DL16" i="6" a="1"/>
  <c r="DL16" i="6" s="1"/>
  <c r="CL16" i="6"/>
  <c r="DD16" i="6" a="1"/>
  <c r="DD16" i="6" s="1"/>
  <c r="CM16" i="6"/>
  <c r="CP16" i="6"/>
  <c r="CJ16" i="6"/>
  <c r="DK16" i="6" a="1"/>
  <c r="DK16" i="6" s="1"/>
  <c r="DH16" i="6" a="1"/>
  <c r="DH16" i="6" s="1"/>
  <c r="CF16" i="6"/>
  <c r="CR16" i="6"/>
  <c r="DQ16" i="6" a="1"/>
  <c r="DQ16" i="6" s="1"/>
  <c r="DO16" i="6" a="1"/>
  <c r="DO16" i="6" s="1"/>
  <c r="DM16" i="6" a="1"/>
  <c r="DM16" i="6" s="1"/>
  <c r="DG16" i="6" a="1"/>
  <c r="DG16" i="6" s="1"/>
  <c r="M17" i="6"/>
  <c r="M25" i="6"/>
  <c r="M36" i="6"/>
  <c r="AO1" i="6" a="1"/>
  <c r="AO1" i="6" s="1"/>
  <c r="B131" i="8"/>
  <c r="BS16" i="6"/>
  <c r="BT16" i="6"/>
  <c r="CA16" i="6"/>
  <c r="CT16" i="6" a="1"/>
  <c r="CT16" i="6" s="1"/>
  <c r="BX16" i="6"/>
  <c r="BY16" i="6"/>
  <c r="DC16" i="6" a="1"/>
  <c r="DC16" i="6" s="1"/>
  <c r="BW16" i="6"/>
  <c r="CB16" i="6"/>
  <c r="DB16" i="6" a="1"/>
  <c r="DB16" i="6" s="1"/>
  <c r="CY16" i="6" a="1"/>
  <c r="CY16" i="6" s="1"/>
  <c r="CV16" i="6" a="1"/>
  <c r="CV16" i="6" s="1"/>
  <c r="CU16" i="6" a="1"/>
  <c r="CU16" i="6" s="1"/>
  <c r="BZ16" i="6"/>
  <c r="DA16" i="6" a="1"/>
  <c r="DA16" i="6" s="1"/>
  <c r="CW16" i="6" a="1"/>
  <c r="CW16" i="6" s="1"/>
  <c r="CZ16" i="6" a="1"/>
  <c r="CZ16" i="6" s="1"/>
  <c r="BV16" i="6"/>
  <c r="CX16" i="6" a="1"/>
  <c r="CX16" i="6" s="1"/>
  <c r="BU16" i="6"/>
  <c r="AS16" i="6"/>
  <c r="BT12" i="6"/>
  <c r="CU12" i="6"/>
  <c r="U97" i="4"/>
  <c r="U57" i="4"/>
  <c r="C15" i="7" a="1"/>
  <c r="C15" i="7" s="1"/>
  <c r="B10" i="9"/>
  <c r="M61" i="10"/>
  <c r="M66"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CV13" i="6"/>
  <c r="C30" i="4"/>
  <c r="C16" i="4"/>
  <c r="A17" i="4"/>
  <c r="X12" i="8"/>
  <c r="AD13" i="12"/>
  <c r="Y13" i="6"/>
  <c r="B42" i="14"/>
  <c r="AT13" i="6"/>
  <c r="AT12" i="6" s="1"/>
  <c r="BU13" i="6"/>
  <c r="B8" i="14"/>
  <c r="I10" i="13"/>
  <c r="J12" i="10"/>
  <c r="J11" i="10" s="1" a="1"/>
  <c r="J11" i="10" s="1"/>
  <c r="C4" i="4"/>
  <c r="A5" i="4"/>
  <c r="C36" i="4"/>
  <c r="A37" i="4"/>
  <c r="C37" i="4" s="1"/>
  <c r="AH236" i="5" l="1"/>
  <c r="AH223" i="5"/>
  <c r="AH224" i="5"/>
  <c r="AH232" i="5"/>
  <c r="AH233" i="5"/>
  <c r="AN233" i="5" s="1" a="1"/>
  <c r="AN233" i="5" s="1"/>
  <c r="B49" i="5"/>
  <c r="C50" i="5" s="1"/>
  <c r="E49" i="5"/>
  <c r="H49" i="5"/>
  <c r="F49" i="5"/>
  <c r="I49" i="5"/>
  <c r="AD49" i="5"/>
  <c r="AE49" i="5" a="1"/>
  <c r="AE49" i="5" s="1"/>
  <c r="W49" i="5" a="1"/>
  <c r="W49" i="5" s="1"/>
  <c r="H49" i="12" s="1" a="1"/>
  <c r="H49" i="12" s="1"/>
  <c r="AF49" i="5" a="1"/>
  <c r="AF49" i="5" s="1"/>
  <c r="AG49" i="5" s="1" a="1"/>
  <c r="AG49" i="5" s="1"/>
  <c r="U49" i="5" s="1"/>
  <c r="N49" i="5"/>
  <c r="D49" i="6" s="1"/>
  <c r="G49" i="6" s="1"/>
  <c r="G49" i="5"/>
  <c r="A49" i="12"/>
  <c r="B49" i="6"/>
  <c r="A49" i="6" s="1"/>
  <c r="AH24" i="5"/>
  <c r="AH23" i="5"/>
  <c r="AH22" i="5"/>
  <c r="L56" i="6"/>
  <c r="AH21" i="5"/>
  <c r="AH20" i="5"/>
  <c r="AH19" i="5"/>
  <c r="AH18" i="5"/>
  <c r="AH231" i="5"/>
  <c r="AH239" i="5"/>
  <c r="AH237" i="5"/>
  <c r="AH242" i="5"/>
  <c r="AH230" i="5"/>
  <c r="AH216" i="5"/>
  <c r="AH204" i="5"/>
  <c r="AH213" i="5"/>
  <c r="AH198" i="5"/>
  <c r="AH186" i="5"/>
  <c r="AH238" i="5"/>
  <c r="AH227" i="5"/>
  <c r="AH192" i="5"/>
  <c r="AH240" i="5"/>
  <c r="AH234" i="5"/>
  <c r="AH225" i="5"/>
  <c r="AH212" i="5"/>
  <c r="AH195" i="5"/>
  <c r="AH243" i="5"/>
  <c r="AH229" i="5"/>
  <c r="AH210" i="5"/>
  <c r="AH187" i="5"/>
  <c r="AH176" i="5"/>
  <c r="AH164" i="5"/>
  <c r="AH152" i="5"/>
  <c r="AH140" i="5"/>
  <c r="AH128" i="5"/>
  <c r="AH116" i="5"/>
  <c r="AH104" i="5"/>
  <c r="AH207" i="5"/>
  <c r="AH206" i="5"/>
  <c r="AH205" i="5"/>
  <c r="AH203" i="5"/>
  <c r="AH200" i="5"/>
  <c r="AH175" i="5"/>
  <c r="AH226" i="5"/>
  <c r="AH215" i="5"/>
  <c r="AH214" i="5"/>
  <c r="AH209" i="5"/>
  <c r="AH208" i="5"/>
  <c r="AH189" i="5"/>
  <c r="AH174" i="5"/>
  <c r="AH217" i="5"/>
  <c r="AH211" i="5"/>
  <c r="AH197" i="5"/>
  <c r="AH185" i="5"/>
  <c r="AH173" i="5"/>
  <c r="AH241" i="5"/>
  <c r="AH220" i="5"/>
  <c r="AH219" i="5"/>
  <c r="AH218" i="5"/>
  <c r="AH202" i="5"/>
  <c r="AH222" i="5"/>
  <c r="AH221" i="5"/>
  <c r="AH194" i="5"/>
  <c r="AH191" i="5"/>
  <c r="AH183" i="5"/>
  <c r="AH171" i="5"/>
  <c r="AH228" i="5"/>
  <c r="AH199" i="5"/>
  <c r="AH182" i="5"/>
  <c r="AH170" i="5"/>
  <c r="AH158" i="5"/>
  <c r="AH146" i="5"/>
  <c r="AH134" i="5"/>
  <c r="AH122" i="5"/>
  <c r="AH110" i="5"/>
  <c r="AH190" i="5"/>
  <c r="AH178" i="5"/>
  <c r="AH235" i="5"/>
  <c r="AH177" i="5"/>
  <c r="AH157" i="5"/>
  <c r="AH145" i="5"/>
  <c r="AH133" i="5"/>
  <c r="AH121" i="5"/>
  <c r="AH109" i="5"/>
  <c r="AH92" i="5"/>
  <c r="AH80" i="5"/>
  <c r="AH68" i="5"/>
  <c r="AH56" i="5"/>
  <c r="AH44" i="5"/>
  <c r="AH162" i="5"/>
  <c r="AH150" i="5"/>
  <c r="AH138" i="5"/>
  <c r="AH126" i="5"/>
  <c r="AH155" i="5"/>
  <c r="AH143" i="5"/>
  <c r="AH131" i="5"/>
  <c r="AH119" i="5"/>
  <c r="AH166" i="5"/>
  <c r="AH184" i="5"/>
  <c r="AH160" i="5"/>
  <c r="AH148" i="5"/>
  <c r="AH193" i="5"/>
  <c r="AH153" i="5"/>
  <c r="AH141" i="5"/>
  <c r="AH188" i="5"/>
  <c r="AH163" i="5"/>
  <c r="AH151" i="5"/>
  <c r="AH139" i="5"/>
  <c r="AH127" i="5"/>
  <c r="AH115" i="5"/>
  <c r="AH98" i="5"/>
  <c r="AH86" i="5"/>
  <c r="AH74" i="5"/>
  <c r="AH62" i="5"/>
  <c r="AH165" i="5"/>
  <c r="AH156" i="5"/>
  <c r="AH144" i="5"/>
  <c r="AH172" i="5"/>
  <c r="AH154" i="5"/>
  <c r="AH142" i="5"/>
  <c r="AH201" i="5"/>
  <c r="AH179" i="5"/>
  <c r="AH167" i="5"/>
  <c r="AH159" i="5"/>
  <c r="AH147" i="5"/>
  <c r="AH135" i="5"/>
  <c r="AH123" i="5"/>
  <c r="AH100" i="5"/>
  <c r="AH88" i="5"/>
  <c r="AH76" i="5"/>
  <c r="AH64" i="5"/>
  <c r="AH59" i="5"/>
  <c r="AH47" i="5"/>
  <c r="AH37" i="5"/>
  <c r="AH25" i="5"/>
  <c r="AN25" i="5" s="1" a="1"/>
  <c r="AN25" i="5" s="1"/>
  <c r="AH161" i="5"/>
  <c r="AH149" i="5"/>
  <c r="AH112" i="5"/>
  <c r="AH106" i="5"/>
  <c r="AH102" i="5"/>
  <c r="AH93" i="5"/>
  <c r="AH137" i="5"/>
  <c r="AH91" i="5"/>
  <c r="AH79" i="5"/>
  <c r="AH67" i="5"/>
  <c r="AH181" i="5"/>
  <c r="AH111" i="5"/>
  <c r="AH105" i="5"/>
  <c r="AH96" i="5"/>
  <c r="AH84" i="5"/>
  <c r="AH72" i="5"/>
  <c r="AH89" i="5"/>
  <c r="AH77" i="5"/>
  <c r="AH136" i="5"/>
  <c r="AH132" i="5"/>
  <c r="AH130" i="5"/>
  <c r="AH169" i="5"/>
  <c r="AH124" i="5"/>
  <c r="AH118" i="5"/>
  <c r="AH117" i="5"/>
  <c r="AH101" i="5"/>
  <c r="AH94" i="5"/>
  <c r="AH82" i="5"/>
  <c r="AH70" i="5"/>
  <c r="AH50" i="5"/>
  <c r="AH43" i="5"/>
  <c r="AH31" i="5"/>
  <c r="AH95" i="5"/>
  <c r="AH83" i="5"/>
  <c r="AH71" i="5"/>
  <c r="AH196" i="5"/>
  <c r="AH168" i="5"/>
  <c r="AH129" i="5"/>
  <c r="AH125" i="5"/>
  <c r="AH57" i="5"/>
  <c r="AH52" i="5"/>
  <c r="AH32" i="5"/>
  <c r="AH30" i="5"/>
  <c r="AH49" i="5"/>
  <c r="AH35" i="5"/>
  <c r="AH28" i="5"/>
  <c r="AH81" i="5"/>
  <c r="AH53" i="5"/>
  <c r="AH180" i="5"/>
  <c r="AH103" i="5"/>
  <c r="AH107" i="5"/>
  <c r="AH73" i="5"/>
  <c r="AH54" i="5"/>
  <c r="AH42" i="5"/>
  <c r="AH120" i="5"/>
  <c r="AH113" i="5"/>
  <c r="AH38" i="5"/>
  <c r="AH99" i="5"/>
  <c r="AH40" i="5"/>
  <c r="AH78" i="5"/>
  <c r="AH51" i="5"/>
  <c r="AH46" i="5"/>
  <c r="AH26" i="5"/>
  <c r="AN26" i="5" s="1" a="1"/>
  <c r="AN26" i="5" s="1"/>
  <c r="AH108" i="5"/>
  <c r="AH69" i="5"/>
  <c r="AH33" i="5"/>
  <c r="AH48" i="5"/>
  <c r="AH114" i="5"/>
  <c r="AH85" i="5"/>
  <c r="AH66" i="5"/>
  <c r="AH87" i="5"/>
  <c r="AH75" i="5"/>
  <c r="AH60" i="5"/>
  <c r="AH39" i="5"/>
  <c r="AH27" i="5"/>
  <c r="AH97" i="5"/>
  <c r="AH65" i="5"/>
  <c r="AH36" i="5"/>
  <c r="AN36" i="5" s="1" a="1"/>
  <c r="AN36" i="5" s="1"/>
  <c r="AH41" i="5"/>
  <c r="AH29" i="5"/>
  <c r="AH17" i="5"/>
  <c r="AN17" i="5" s="1" a="1"/>
  <c r="AN17" i="5" s="1"/>
  <c r="AH45" i="5"/>
  <c r="AN45" i="5" s="1" a="1"/>
  <c r="AN45" i="5" s="1"/>
  <c r="AH55" i="5"/>
  <c r="AH90" i="5"/>
  <c r="AH61" i="5"/>
  <c r="AH34" i="5"/>
  <c r="AH63" i="5"/>
  <c r="AH58" i="5"/>
  <c r="CV25" i="6" a="1"/>
  <c r="CV25" i="6" s="1"/>
  <c r="BS25" i="6"/>
  <c r="BU25" i="6"/>
  <c r="BT25" i="6"/>
  <c r="CU25" i="6" a="1"/>
  <c r="CU25" i="6" s="1"/>
  <c r="CT25" i="6" a="1"/>
  <c r="CT25" i="6" s="1"/>
  <c r="AP1" i="6" a="1"/>
  <c r="AP1" i="6" s="1"/>
  <c r="CU36" i="6" a="1"/>
  <c r="CU36" i="6" s="1"/>
  <c r="CT36" i="6" a="1"/>
  <c r="CT36" i="6" s="1"/>
  <c r="BS36" i="6"/>
  <c r="CV36" i="6" a="1"/>
  <c r="CV36" i="6" s="1"/>
  <c r="BU36" i="6"/>
  <c r="BT36" i="6"/>
  <c r="BS17" i="6"/>
  <c r="CV17" i="6" a="1"/>
  <c r="CV17" i="6" s="1"/>
  <c r="CT17" i="6" a="1"/>
  <c r="CT17" i="6" s="1"/>
  <c r="BU17" i="6"/>
  <c r="BT17" i="6"/>
  <c r="CU17" i="6" a="1"/>
  <c r="CU17" i="6" s="1"/>
  <c r="M45" i="6"/>
  <c r="M26" i="6"/>
  <c r="AT16" i="6"/>
  <c r="B134" i="8"/>
  <c r="AH16" i="5"/>
  <c r="AN16" i="5" s="1" a="1"/>
  <c r="AN16" i="5" s="1"/>
  <c r="CV12" i="6"/>
  <c r="BU12" i="6"/>
  <c r="U94" i="4"/>
  <c r="T101" i="4" s="1"/>
  <c r="U54" i="4"/>
  <c r="T61" i="4" s="1"/>
  <c r="B15" i="9"/>
  <c r="B16" i="9" s="1"/>
  <c r="T57" i="4"/>
  <c r="T97" i="4"/>
  <c r="T22" i="4"/>
  <c r="T23" i="4"/>
  <c r="T24" i="4"/>
  <c r="T25" i="4"/>
  <c r="T26" i="4"/>
  <c r="U26" i="4" s="1"/>
  <c r="T17" i="4"/>
  <c r="V8" i="5" a="1"/>
  <c r="V8" i="5" s="1"/>
  <c r="O61" i="10"/>
  <c r="O66" i="10" s="1"/>
  <c r="J12" i="9"/>
  <c r="AH14" i="5"/>
  <c r="W14" i="5" s="1" a="1"/>
  <c r="W14" i="5" s="1"/>
  <c r="CW13" i="6"/>
  <c r="A18" i="4"/>
  <c r="C17" i="4"/>
  <c r="Y12" i="8"/>
  <c r="AE13" i="12"/>
  <c r="Z13" i="6"/>
  <c r="AA13" i="6" s="1"/>
  <c r="AU13" i="6"/>
  <c r="BV13" i="6"/>
  <c r="K12" i="10"/>
  <c r="K11" i="10" s="1" a="1"/>
  <c r="K11" i="10" s="1"/>
  <c r="C5" i="4"/>
  <c r="A6" i="4"/>
  <c r="AN49" i="5" l="1" a="1"/>
  <c r="AN49" i="5" s="1"/>
  <c r="M49" i="6"/>
  <c r="CW49" i="6" s="1" a="1"/>
  <c r="CW49" i="6" s="1"/>
  <c r="N49" i="6"/>
  <c r="AE50" i="5" a="1"/>
  <c r="AE50" i="5" s="1"/>
  <c r="I50" i="5"/>
  <c r="N50" i="5"/>
  <c r="D50" i="6" s="1"/>
  <c r="G50" i="6" s="1"/>
  <c r="H50" i="5"/>
  <c r="G50" i="5"/>
  <c r="AF50" i="5" a="1"/>
  <c r="AF50" i="5" s="1"/>
  <c r="AG50" i="5" s="1" a="1"/>
  <c r="AG50" i="5" s="1"/>
  <c r="U50" i="5" s="1"/>
  <c r="AN50" i="5" s="1" a="1"/>
  <c r="AN50" i="5" s="1"/>
  <c r="B50" i="6"/>
  <c r="A50" i="6" s="1"/>
  <c r="F50" i="5"/>
  <c r="W50" i="5" a="1"/>
  <c r="W50" i="5" s="1"/>
  <c r="H50" i="12" s="1" a="1"/>
  <c r="H50" i="12" s="1"/>
  <c r="B50" i="5"/>
  <c r="E50" i="5"/>
  <c r="C51" i="5"/>
  <c r="A50" i="12"/>
  <c r="AD50" i="5"/>
  <c r="AN22" i="5" a="1"/>
  <c r="AN22" i="5" s="1"/>
  <c r="W22" i="5" a="1"/>
  <c r="W22" i="5" s="1"/>
  <c r="H22" i="12" s="1" a="1"/>
  <c r="H22" i="12" s="1"/>
  <c r="AN23" i="5" a="1"/>
  <c r="AN23" i="5" s="1"/>
  <c r="W23" i="5" a="1"/>
  <c r="W23" i="5" s="1"/>
  <c r="H23" i="12" s="1" a="1"/>
  <c r="H23" i="12" s="1"/>
  <c r="M19" i="6"/>
  <c r="AN19" i="5" a="1"/>
  <c r="AN19" i="5" s="1"/>
  <c r="W19" i="5" a="1"/>
  <c r="W19" i="5" s="1"/>
  <c r="H19" i="12" s="1" a="1"/>
  <c r="H19" i="12" s="1"/>
  <c r="L57" i="6"/>
  <c r="CW45" i="6" a="1"/>
  <c r="CW45" i="6" s="1"/>
  <c r="BW45" i="6"/>
  <c r="BU45" i="6"/>
  <c r="BT45" i="6"/>
  <c r="CV45" i="6" a="1"/>
  <c r="CV45" i="6" s="1"/>
  <c r="CT45" i="6" a="1"/>
  <c r="CT45" i="6" s="1"/>
  <c r="BV45" i="6"/>
  <c r="CU45" i="6" a="1"/>
  <c r="CU45" i="6" s="1"/>
  <c r="BS45" i="6"/>
  <c r="BV36" i="6"/>
  <c r="BV25" i="6"/>
  <c r="CT49" i="6" a="1"/>
  <c r="CT49" i="6" s="1"/>
  <c r="BV49" i="6"/>
  <c r="BT49" i="6"/>
  <c r="CV49" i="6" a="1"/>
  <c r="CV49" i="6" s="1"/>
  <c r="CW17" i="6" a="1"/>
  <c r="CW17" i="6" s="1"/>
  <c r="CW36" i="6" a="1"/>
  <c r="CW36" i="6" s="1"/>
  <c r="BV17" i="6"/>
  <c r="CW25" i="6" a="1"/>
  <c r="CW25" i="6" s="1"/>
  <c r="AB13" i="6"/>
  <c r="BU26" i="6"/>
  <c r="CW26" i="6" a="1"/>
  <c r="CW26" i="6" s="1"/>
  <c r="CT26" i="6" a="1"/>
  <c r="CT26" i="6" s="1"/>
  <c r="CV26" i="6" a="1"/>
  <c r="CV26" i="6" s="1"/>
  <c r="BS26" i="6"/>
  <c r="CU26" i="6" a="1"/>
  <c r="CU26" i="6" s="1"/>
  <c r="BV26" i="6"/>
  <c r="BW26" i="6"/>
  <c r="BT26" i="6"/>
  <c r="B17" i="9"/>
  <c r="B137" i="8"/>
  <c r="CW12" i="6"/>
  <c r="BV12" i="6"/>
  <c r="H14" i="12" a="1"/>
  <c r="H14" i="12" s="1"/>
  <c r="AN14" i="5" a="1"/>
  <c r="AN14" i="5" s="1"/>
  <c r="T62" i="4"/>
  <c r="T63" i="4"/>
  <c r="T64" i="4"/>
  <c r="T66" i="4"/>
  <c r="U66" i="4" s="1"/>
  <c r="T65" i="4"/>
  <c r="T102" i="4"/>
  <c r="T104" i="4"/>
  <c r="T103" i="4"/>
  <c r="T106" i="4"/>
  <c r="U106" i="4" s="1"/>
  <c r="T105" i="4"/>
  <c r="U7" i="4"/>
  <c r="H60" i="10"/>
  <c r="Q61" i="10"/>
  <c r="Q66" i="10" s="1"/>
  <c r="K12" i="9"/>
  <c r="CX13" i="6"/>
  <c r="AV13" i="6"/>
  <c r="AV12" i="6" s="1"/>
  <c r="AU12" i="6"/>
  <c r="A19" i="4"/>
  <c r="C19" i="4" s="1"/>
  <c r="C18" i="4"/>
  <c r="Z12" i="8"/>
  <c r="AF13" i="12"/>
  <c r="BW13" i="6"/>
  <c r="BW49" i="6" s="1"/>
  <c r="L12" i="10"/>
  <c r="L11" i="10" s="1" a="1"/>
  <c r="L11" i="10" s="1"/>
  <c r="A7" i="4"/>
  <c r="C7" i="4" s="1"/>
  <c r="C6" i="4"/>
  <c r="CU49" i="6" l="1" a="1"/>
  <c r="CU49" i="6" s="1"/>
  <c r="BS49" i="6"/>
  <c r="BU49" i="6"/>
  <c r="N50" i="6"/>
  <c r="M50" i="6"/>
  <c r="CW50" i="6" s="1" a="1"/>
  <c r="CW50" i="6" s="1"/>
  <c r="E51" i="5"/>
  <c r="C52" i="5"/>
  <c r="J51" i="5"/>
  <c r="F51" i="5"/>
  <c r="AE51" i="5" a="1"/>
  <c r="AE51" i="5" s="1"/>
  <c r="G51" i="5"/>
  <c r="B51" i="6"/>
  <c r="AD51" i="5"/>
  <c r="D51" i="5"/>
  <c r="B51" i="12" s="1"/>
  <c r="N51" i="5"/>
  <c r="D51" i="6" s="1"/>
  <c r="A51" i="12"/>
  <c r="B51" i="5"/>
  <c r="K51" i="5"/>
  <c r="H51" i="5"/>
  <c r="M22" i="6"/>
  <c r="M23" i="6"/>
  <c r="L58" i="6"/>
  <c r="CX19" i="6" a="1"/>
  <c r="CX19" i="6" s="1"/>
  <c r="CU19" i="6" a="1"/>
  <c r="CU19" i="6" s="1"/>
  <c r="BS19" i="6"/>
  <c r="CV19" i="6" a="1"/>
  <c r="CV19" i="6" s="1"/>
  <c r="BU19" i="6"/>
  <c r="BT19" i="6"/>
  <c r="BW19" i="6"/>
  <c r="CW19" i="6" a="1"/>
  <c r="CW19" i="6" s="1"/>
  <c r="BV19" i="6"/>
  <c r="CT19" i="6" a="1"/>
  <c r="CT19" i="6" s="1"/>
  <c r="CX25" i="6" a="1"/>
  <c r="CX25" i="6" s="1"/>
  <c r="CX36" i="6" a="1"/>
  <c r="CX36" i="6" s="1"/>
  <c r="CX17" i="6" a="1"/>
  <c r="CX17" i="6" s="1"/>
  <c r="AC13" i="6"/>
  <c r="CX26" i="6" a="1"/>
  <c r="CX26" i="6" s="1"/>
  <c r="BW17" i="6"/>
  <c r="BW25" i="6"/>
  <c r="BW36" i="6"/>
  <c r="CX49" i="6" a="1"/>
  <c r="CX49" i="6" s="1"/>
  <c r="CX45" i="6" a="1"/>
  <c r="CX45" i="6" s="1"/>
  <c r="B18" i="9"/>
  <c r="B140" i="8"/>
  <c r="AV16" i="6"/>
  <c r="AU16" i="6"/>
  <c r="X29" i="4"/>
  <c r="S61" i="10"/>
  <c r="S66" i="10" s="1"/>
  <c r="L12" i="9"/>
  <c r="CX12" i="6"/>
  <c r="BW12" i="6"/>
  <c r="AW13" i="6"/>
  <c r="AW12" i="6" s="1"/>
  <c r="CY13" i="6"/>
  <c r="AA12" i="8"/>
  <c r="AG13" i="12"/>
  <c r="BX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BV50" i="6" l="1"/>
  <c r="BT50" i="6"/>
  <c r="BU50" i="6"/>
  <c r="CX50" i="6" a="1"/>
  <c r="CX50" i="6" s="1"/>
  <c r="BW50" i="6"/>
  <c r="CV50" i="6" a="1"/>
  <c r="CV50" i="6" s="1"/>
  <c r="CU50" i="6" a="1"/>
  <c r="CU50" i="6" s="1"/>
  <c r="BS50" i="6"/>
  <c r="CT50" i="6" a="1"/>
  <c r="CT50" i="6" s="1"/>
  <c r="B52" i="5"/>
  <c r="A52" i="12"/>
  <c r="D52" i="5"/>
  <c r="B52" i="12" s="1"/>
  <c r="B52" i="6"/>
  <c r="E52" i="5"/>
  <c r="K52" i="5"/>
  <c r="J52" i="5"/>
  <c r="AE52" i="5" a="1"/>
  <c r="AE52" i="5" s="1"/>
  <c r="C53" i="5"/>
  <c r="N52" i="5"/>
  <c r="D52" i="6" s="1"/>
  <c r="H52" i="5"/>
  <c r="G52" i="5"/>
  <c r="F52" i="5"/>
  <c r="AD52" i="5"/>
  <c r="CT23" i="6" a="1"/>
  <c r="CT23" i="6" s="1"/>
  <c r="BX23" i="6"/>
  <c r="BT23" i="6"/>
  <c r="CY23" i="6" a="1"/>
  <c r="CY23" i="6" s="1"/>
  <c r="BU23" i="6"/>
  <c r="CW23" i="6" a="1"/>
  <c r="CW23" i="6" s="1"/>
  <c r="BV23" i="6"/>
  <c r="CU23" i="6" a="1"/>
  <c r="CU23" i="6" s="1"/>
  <c r="CV23" i="6" a="1"/>
  <c r="CV23" i="6" s="1"/>
  <c r="BW23" i="6"/>
  <c r="CX23" i="6" a="1"/>
  <c r="CX23" i="6" s="1"/>
  <c r="BS23" i="6"/>
  <c r="CW22" i="6" a="1"/>
  <c r="CW22" i="6" s="1"/>
  <c r="BX22" i="6"/>
  <c r="BV22" i="6"/>
  <c r="BW22" i="6"/>
  <c r="CX22" i="6" a="1"/>
  <c r="CX22" i="6" s="1"/>
  <c r="CT22" i="6" a="1"/>
  <c r="CT22" i="6" s="1"/>
  <c r="BS22" i="6"/>
  <c r="BU22" i="6"/>
  <c r="CV22" i="6" a="1"/>
  <c r="CV22" i="6" s="1"/>
  <c r="CY22" i="6" a="1"/>
  <c r="CY22" i="6" s="1"/>
  <c r="BT22" i="6"/>
  <c r="CU22" i="6" a="1"/>
  <c r="CU22" i="6" s="1"/>
  <c r="CY19" i="6" a="1"/>
  <c r="CY19" i="6" s="1"/>
  <c r="BX19" i="6"/>
  <c r="L59" i="6"/>
  <c r="BX17" i="6"/>
  <c r="BX25" i="6"/>
  <c r="BX36" i="6"/>
  <c r="BX26" i="6"/>
  <c r="BX45" i="6"/>
  <c r="BX49" i="6"/>
  <c r="CY36" i="6" a="1"/>
  <c r="CY36" i="6" s="1"/>
  <c r="CY25" i="6" a="1"/>
  <c r="CY25" i="6" s="1"/>
  <c r="CY17" i="6" a="1"/>
  <c r="CY17" i="6" s="1"/>
  <c r="CY45" i="6" a="1"/>
  <c r="CY45" i="6" s="1"/>
  <c r="CY49" i="6" a="1"/>
  <c r="CY49" i="6" s="1"/>
  <c r="CY26" i="6" a="1"/>
  <c r="CY26" i="6" s="1"/>
  <c r="CY50" i="6" a="1"/>
  <c r="CY50" i="6" s="1"/>
  <c r="BX50" i="6"/>
  <c r="AD13" i="6"/>
  <c r="B143" i="8"/>
  <c r="AW16" i="6"/>
  <c r="B19" i="9"/>
  <c r="U29" i="4"/>
  <c r="U69" i="4"/>
  <c r="U65" i="4"/>
  <c r="U103" i="4"/>
  <c r="U61" i="4"/>
  <c r="U105" i="4"/>
  <c r="U64" i="4"/>
  <c r="U102" i="4"/>
  <c r="U62" i="4"/>
  <c r="U21" i="4"/>
  <c r="U23" i="4"/>
  <c r="U104" i="4"/>
  <c r="U101" i="4"/>
  <c r="U24" i="4"/>
  <c r="U25" i="4"/>
  <c r="U22" i="4"/>
  <c r="U63" i="4"/>
  <c r="U109" i="4"/>
  <c r="K112" i="4" s="1"/>
  <c r="U61" i="10"/>
  <c r="U66" i="10" s="1"/>
  <c r="M12" i="9"/>
  <c r="CY12" i="6"/>
  <c r="BX12" i="6"/>
  <c r="AX13" i="6"/>
  <c r="AX12" i="6" s="1"/>
  <c r="CZ13" i="6"/>
  <c r="CZ23" i="6" s="1" a="1"/>
  <c r="CZ23" i="6" s="1"/>
  <c r="AB12" i="8"/>
  <c r="AH13" i="12"/>
  <c r="BY13" i="6"/>
  <c r="N12" i="10"/>
  <c r="N11" i="10" s="1" a="1"/>
  <c r="N11" i="10" s="1"/>
  <c r="K53" i="5" l="1"/>
  <c r="F53" i="5"/>
  <c r="B53" i="5"/>
  <c r="D53" i="5"/>
  <c r="B53" i="12" s="1"/>
  <c r="AD53" i="5"/>
  <c r="E53" i="5"/>
  <c r="J53" i="5"/>
  <c r="G53" i="5"/>
  <c r="H53" i="5"/>
  <c r="A53" i="12"/>
  <c r="C54" i="5"/>
  <c r="B53" i="6"/>
  <c r="AE53" i="5" a="1"/>
  <c r="AE53" i="5" s="1"/>
  <c r="N53" i="5"/>
  <c r="D53" i="6" s="1"/>
  <c r="BY23" i="6"/>
  <c r="CZ22" i="6" a="1"/>
  <c r="CZ22" i="6" s="1"/>
  <c r="BY22" i="6"/>
  <c r="L60" i="6"/>
  <c r="BY19" i="6"/>
  <c r="CZ19" i="6" a="1"/>
  <c r="CZ19" i="6" s="1"/>
  <c r="BY36" i="6"/>
  <c r="BY25" i="6"/>
  <c r="BY17" i="6"/>
  <c r="BY26" i="6"/>
  <c r="BY49" i="6"/>
  <c r="BY45" i="6"/>
  <c r="BY50" i="6"/>
  <c r="CZ36" i="6" a="1"/>
  <c r="CZ36" i="6" s="1"/>
  <c r="CZ17" i="6" a="1"/>
  <c r="CZ17" i="6" s="1"/>
  <c r="CZ25" i="6" a="1"/>
  <c r="CZ25" i="6" s="1"/>
  <c r="CZ45" i="6" a="1"/>
  <c r="CZ45" i="6" s="1"/>
  <c r="CZ49" i="6" a="1"/>
  <c r="CZ49" i="6" s="1"/>
  <c r="CZ26" i="6" a="1"/>
  <c r="CZ26" i="6" s="1"/>
  <c r="CZ50" i="6" a="1"/>
  <c r="CZ50" i="6" s="1"/>
  <c r="AE13" i="6"/>
  <c r="B146" i="8"/>
  <c r="AX16" i="6"/>
  <c r="B20" i="9"/>
  <c r="AB10" i="12"/>
  <c r="W61" i="10"/>
  <c r="W66" i="10" s="1"/>
  <c r="N12" i="9"/>
  <c r="J72" i="4"/>
  <c r="U8" i="4"/>
  <c r="CZ12" i="6"/>
  <c r="BY12" i="6"/>
  <c r="AY13" i="6"/>
  <c r="AY12" i="6" s="1"/>
  <c r="DA13" i="6"/>
  <c r="AC12" i="8"/>
  <c r="AI13" i="12"/>
  <c r="K72" i="4"/>
  <c r="J112" i="4"/>
  <c r="BZ13" i="6"/>
  <c r="O12" i="10"/>
  <c r="O11" i="10" s="1" a="1"/>
  <c r="O11" i="10" s="1"/>
  <c r="K32" i="4"/>
  <c r="J32" i="4"/>
  <c r="F54" i="5" l="1"/>
  <c r="G54" i="5"/>
  <c r="J54" i="5"/>
  <c r="D54" i="5"/>
  <c r="B54" i="12" s="1"/>
  <c r="H54" i="5"/>
  <c r="K54" i="5"/>
  <c r="N54" i="5"/>
  <c r="D54" i="6" s="1"/>
  <c r="AD54" i="5"/>
  <c r="B54" i="5"/>
  <c r="C55" i="5"/>
  <c r="E54" i="5"/>
  <c r="A54" i="12"/>
  <c r="AE54" i="5" a="1"/>
  <c r="AE54" i="5" s="1"/>
  <c r="B54" i="6"/>
  <c r="BZ23" i="6"/>
  <c r="BZ22" i="6"/>
  <c r="DA23" i="6" a="1"/>
  <c r="DA23" i="6" s="1"/>
  <c r="DA22" i="6" a="1"/>
  <c r="DA22" i="6" s="1"/>
  <c r="BZ19" i="6"/>
  <c r="L61" i="6"/>
  <c r="DA19" i="6" a="1"/>
  <c r="DA19" i="6" s="1"/>
  <c r="BZ25" i="6"/>
  <c r="BZ36" i="6"/>
  <c r="BZ17" i="6"/>
  <c r="BZ26" i="6"/>
  <c r="BZ49" i="6"/>
  <c r="BZ45" i="6"/>
  <c r="BZ50" i="6"/>
  <c r="AF13" i="6"/>
  <c r="DA17" i="6" a="1"/>
  <c r="DA17" i="6" s="1"/>
  <c r="DA25" i="6" a="1"/>
  <c r="DA25" i="6" s="1"/>
  <c r="DA36" i="6" a="1"/>
  <c r="DA36" i="6" s="1"/>
  <c r="DA49" i="6" a="1"/>
  <c r="DA49" i="6" s="1"/>
  <c r="DA26" i="6" a="1"/>
  <c r="DA26" i="6" s="1"/>
  <c r="DA45" i="6" a="1"/>
  <c r="DA45" i="6" s="1"/>
  <c r="DA50" i="6" a="1"/>
  <c r="DA50" i="6" s="1"/>
  <c r="B149" i="8"/>
  <c r="B21" i="9"/>
  <c r="AY16" i="6"/>
  <c r="O12" i="9"/>
  <c r="Y61" i="10"/>
  <c r="Y66" i="10" s="1"/>
  <c r="T11" i="11"/>
  <c r="DA12" i="6"/>
  <c r="BZ12" i="6"/>
  <c r="AZ13" i="6"/>
  <c r="AZ12" i="6" s="1"/>
  <c r="DB13" i="6"/>
  <c r="AD12" i="8"/>
  <c r="AJ13" i="12"/>
  <c r="CA13" i="6"/>
  <c r="P12" i="10"/>
  <c r="P11" i="10" s="1" a="1"/>
  <c r="P11" i="10" s="1"/>
  <c r="AE55" i="5" l="1" a="1"/>
  <c r="AE55" i="5" s="1"/>
  <c r="N55" i="5"/>
  <c r="D55" i="6" s="1"/>
  <c r="J55" i="5"/>
  <c r="C56" i="5"/>
  <c r="D55" i="5"/>
  <c r="B55" i="12" s="1"/>
  <c r="F55" i="5"/>
  <c r="B55" i="5"/>
  <c r="A55" i="12"/>
  <c r="E55" i="5"/>
  <c r="B55" i="6"/>
  <c r="AD55" i="5"/>
  <c r="G55" i="5"/>
  <c r="H55" i="5"/>
  <c r="K55" i="5"/>
  <c r="DB22" i="6" a="1"/>
  <c r="DB22" i="6" s="1"/>
  <c r="DB23" i="6" a="1"/>
  <c r="DB23" i="6" s="1"/>
  <c r="CA23" i="6"/>
  <c r="CA22" i="6"/>
  <c r="CA19" i="6"/>
  <c r="F61" i="6"/>
  <c r="L62" i="6"/>
  <c r="DB19" i="6" a="1"/>
  <c r="DB19" i="6" s="1"/>
  <c r="CA17" i="6"/>
  <c r="CA25" i="6"/>
  <c r="CA36" i="6"/>
  <c r="CA45" i="6"/>
  <c r="CA49" i="6"/>
  <c r="CA26" i="6"/>
  <c r="CA50" i="6"/>
  <c r="AG13" i="6"/>
  <c r="DB36" i="6" a="1"/>
  <c r="DB36" i="6" s="1"/>
  <c r="DB17" i="6" a="1"/>
  <c r="DB17" i="6" s="1"/>
  <c r="DB25" i="6" a="1"/>
  <c r="DB25" i="6" s="1"/>
  <c r="DB26" i="6" a="1"/>
  <c r="DB26" i="6" s="1"/>
  <c r="DB45" i="6" a="1"/>
  <c r="DB45" i="6" s="1"/>
  <c r="DB49" i="6" a="1"/>
  <c r="DB49" i="6" s="1"/>
  <c r="DB50" i="6" a="1"/>
  <c r="DB50" i="6" s="1"/>
  <c r="B152" i="8"/>
  <c r="AZ16" i="6"/>
  <c r="B22" i="9"/>
  <c r="P12" i="9"/>
  <c r="AA61" i="10"/>
  <c r="AA66" i="10" s="1"/>
  <c r="DB12" i="6"/>
  <c r="CA12" i="6"/>
  <c r="BA13" i="6"/>
  <c r="BB13" i="6" s="1"/>
  <c r="DC13" i="6"/>
  <c r="AE12" i="8"/>
  <c r="AK13" i="12"/>
  <c r="CB13" i="6"/>
  <c r="Q12" i="10"/>
  <c r="Q11" i="10" s="1" a="1"/>
  <c r="Q11" i="10" s="1"/>
  <c r="H56" i="5" l="1"/>
  <c r="N56" i="5"/>
  <c r="D56" i="6" s="1"/>
  <c r="AD56" i="5"/>
  <c r="A56" i="12"/>
  <c r="B56" i="5"/>
  <c r="G56" i="5"/>
  <c r="F56" i="5"/>
  <c r="C57" i="5"/>
  <c r="D56" i="5"/>
  <c r="B56" i="12" s="1"/>
  <c r="B56" i="6"/>
  <c r="AE56" i="5" a="1"/>
  <c r="AE56" i="5" s="1"/>
  <c r="K56" i="5"/>
  <c r="J56" i="5"/>
  <c r="E56" i="5"/>
  <c r="CB23" i="6"/>
  <c r="CB22" i="6"/>
  <c r="DC23" i="6" a="1"/>
  <c r="DC23" i="6" s="1"/>
  <c r="DC22" i="6" a="1"/>
  <c r="DC22" i="6" s="1"/>
  <c r="F62" i="6"/>
  <c r="L63" i="6"/>
  <c r="CB19" i="6"/>
  <c r="DC19" i="6" a="1"/>
  <c r="DC19" i="6" s="1"/>
  <c r="BC13" i="6"/>
  <c r="BB12" i="6"/>
  <c r="AH13" i="6"/>
  <c r="DD13" i="6"/>
  <c r="DC36" i="6" a="1"/>
  <c r="DC36" i="6" s="1"/>
  <c r="DC17" i="6" a="1"/>
  <c r="DC17" i="6" s="1"/>
  <c r="DC25" i="6" a="1"/>
  <c r="DC25" i="6" s="1"/>
  <c r="DC45" i="6" a="1"/>
  <c r="DC45" i="6" s="1"/>
  <c r="DC26" i="6" a="1"/>
  <c r="DC26" i="6" s="1"/>
  <c r="DC49" i="6" a="1"/>
  <c r="DC49" i="6" s="1"/>
  <c r="DC50" i="6" a="1"/>
  <c r="DC50" i="6" s="1"/>
  <c r="CC13" i="6"/>
  <c r="CB25" i="6"/>
  <c r="CB36" i="6"/>
  <c r="CB17" i="6"/>
  <c r="CB45" i="6"/>
  <c r="CB49" i="6"/>
  <c r="CB26" i="6"/>
  <c r="CB50" i="6"/>
  <c r="B23" i="9"/>
  <c r="B155" i="8"/>
  <c r="BA12" i="6"/>
  <c r="Q12" i="9"/>
  <c r="AC61" i="10"/>
  <c r="AC66" i="10" s="1"/>
  <c r="DC12" i="6"/>
  <c r="CB12" i="6"/>
  <c r="AF12" i="8"/>
  <c r="AG12" i="8" s="1"/>
  <c r="AL13" i="12"/>
  <c r="R12" i="10"/>
  <c r="R11" i="10" s="1" a="1"/>
  <c r="R11" i="10" s="1"/>
  <c r="AH12" i="8" l="1"/>
  <c r="J57" i="5"/>
  <c r="K57" i="5"/>
  <c r="H57" i="5"/>
  <c r="AD57" i="5"/>
  <c r="E57" i="5"/>
  <c r="G57" i="5"/>
  <c r="AE57" i="5" a="1"/>
  <c r="AE57" i="5" s="1"/>
  <c r="C58" i="5"/>
  <c r="B57" i="5"/>
  <c r="B57" i="6"/>
  <c r="N57" i="5"/>
  <c r="D57" i="6" s="1"/>
  <c r="F57" i="5"/>
  <c r="D57" i="5"/>
  <c r="B57" i="12" s="1"/>
  <c r="A57" i="12"/>
  <c r="DD23" i="6" a="1"/>
  <c r="DD23" i="6" s="1"/>
  <c r="DD22" i="6" a="1"/>
  <c r="DD22" i="6" s="1"/>
  <c r="CC23" i="6"/>
  <c r="CC22" i="6"/>
  <c r="CC19" i="6"/>
  <c r="DD19" i="6" a="1"/>
  <c r="DD19" i="6" s="1"/>
  <c r="L64" i="6"/>
  <c r="BB16" i="6"/>
  <c r="BD13" i="6"/>
  <c r="BC12" i="6"/>
  <c r="DE13" i="6"/>
  <c r="DD12" i="6"/>
  <c r="DD36" i="6" a="1"/>
  <c r="DD36" i="6" s="1"/>
  <c r="DD25" i="6" a="1"/>
  <c r="DD25" i="6" s="1"/>
  <c r="DD17" i="6" a="1"/>
  <c r="DD17" i="6" s="1"/>
  <c r="DD26" i="6" a="1"/>
  <c r="DD26" i="6" s="1"/>
  <c r="DD49" i="6" a="1"/>
  <c r="DD49" i="6" s="1"/>
  <c r="DD45" i="6" a="1"/>
  <c r="DD45" i="6" s="1"/>
  <c r="DD50" i="6" a="1"/>
  <c r="DD50" i="6" s="1"/>
  <c r="CD13" i="6"/>
  <c r="CC12" i="6"/>
  <c r="CC17" i="6"/>
  <c r="CC36" i="6"/>
  <c r="CC25" i="6"/>
  <c r="CC49" i="6"/>
  <c r="CC45" i="6"/>
  <c r="CC26" i="6"/>
  <c r="CC50" i="6"/>
  <c r="AI13" i="6"/>
  <c r="B24" i="9"/>
  <c r="B158" i="8"/>
  <c r="BA16" i="6"/>
  <c r="R12" i="9"/>
  <c r="AE61" i="10"/>
  <c r="AE66" i="10" s="1"/>
  <c r="AM13" i="12"/>
  <c r="S12" i="10"/>
  <c r="S11" i="10" s="1" a="1"/>
  <c r="S11" i="10" s="1"/>
  <c r="AI12" i="8" l="1"/>
  <c r="D58" i="5"/>
  <c r="B58" i="12" s="1"/>
  <c r="A58" i="12"/>
  <c r="J58" i="12" s="1" a="1"/>
  <c r="J58" i="12" s="1"/>
  <c r="AE58" i="5" a="1"/>
  <c r="AE58" i="5" s="1"/>
  <c r="K58" i="5"/>
  <c r="N58" i="5"/>
  <c r="D58" i="6" s="1"/>
  <c r="E58" i="5"/>
  <c r="J58" i="5"/>
  <c r="G58" i="5"/>
  <c r="B58" i="5"/>
  <c r="B58" i="6"/>
  <c r="AD58" i="5"/>
  <c r="H58" i="5"/>
  <c r="C59" i="5"/>
  <c r="F58" i="5"/>
  <c r="DE22" i="6" a="1"/>
  <c r="DE22" i="6" s="1"/>
  <c r="DE23" i="6" a="1"/>
  <c r="DE23" i="6" s="1"/>
  <c r="J24" i="12" a="1"/>
  <c r="J24" i="12" s="1"/>
  <c r="L24" i="12" a="1"/>
  <c r="L24" i="12" s="1"/>
  <c r="CD22" i="6"/>
  <c r="CD23" i="6"/>
  <c r="DE19" i="6" a="1"/>
  <c r="DE19" i="6" s="1"/>
  <c r="L18" i="12" a="1"/>
  <c r="L18" i="12" s="1"/>
  <c r="J21" i="12" a="1"/>
  <c r="J21" i="12" s="1"/>
  <c r="L20" i="12" a="1"/>
  <c r="L20" i="12" s="1"/>
  <c r="J20" i="12" a="1"/>
  <c r="J20" i="12" s="1"/>
  <c r="J18" i="12" a="1"/>
  <c r="J18" i="12" s="1"/>
  <c r="L21" i="12" a="1"/>
  <c r="L21" i="12" s="1"/>
  <c r="CD19" i="6"/>
  <c r="L65" i="6"/>
  <c r="J27" i="12" a="1"/>
  <c r="J27" i="12" s="1"/>
  <c r="J30" i="12" a="1"/>
  <c r="J30" i="12" s="1"/>
  <c r="L31" i="12" a="1"/>
  <c r="L31" i="12" s="1"/>
  <c r="L42" i="12" a="1"/>
  <c r="L42" i="12" s="1"/>
  <c r="J29" i="12" a="1"/>
  <c r="J29" i="12" s="1"/>
  <c r="L27" i="12" a="1"/>
  <c r="L27" i="12" s="1"/>
  <c r="J31" i="12" a="1"/>
  <c r="J31" i="12" s="1"/>
  <c r="L30" i="12" a="1"/>
  <c r="L30" i="12" s="1"/>
  <c r="J32" i="12" a="1"/>
  <c r="J32" i="12" s="1"/>
  <c r="L29" i="12" a="1"/>
  <c r="L29" i="12" s="1"/>
  <c r="L41" i="12" a="1"/>
  <c r="L41" i="12" s="1"/>
  <c r="J28" i="12" a="1"/>
  <c r="J28" i="12" s="1"/>
  <c r="J44" i="12" a="1"/>
  <c r="J44" i="12" s="1"/>
  <c r="J37" i="12" a="1"/>
  <c r="J37" i="12" s="1"/>
  <c r="L55" i="12" a="1"/>
  <c r="L55" i="12" s="1"/>
  <c r="J52" i="12" a="1"/>
  <c r="J52" i="12" s="1"/>
  <c r="J55" i="12" a="1"/>
  <c r="J55" i="12" s="1"/>
  <c r="L38" i="12" a="1"/>
  <c r="L38" i="12" s="1"/>
  <c r="J33" i="12" a="1"/>
  <c r="J33" i="12" s="1"/>
  <c r="J46" i="12" a="1"/>
  <c r="J46" i="12" s="1"/>
  <c r="L34" i="12" a="1"/>
  <c r="L34" i="12" s="1"/>
  <c r="L46" i="12" a="1"/>
  <c r="L46" i="12" s="1"/>
  <c r="L37" i="12" a="1"/>
  <c r="L37" i="12" s="1"/>
  <c r="L44" i="12" a="1"/>
  <c r="L44" i="12" s="1"/>
  <c r="J41" i="12" a="1"/>
  <c r="J41" i="12" s="1"/>
  <c r="J43" i="12" a="1"/>
  <c r="J43" i="12" s="1"/>
  <c r="J38" i="12" a="1"/>
  <c r="J38" i="12" s="1"/>
  <c r="L48" i="12" a="1"/>
  <c r="L48" i="12" s="1"/>
  <c r="L43" i="12" a="1"/>
  <c r="L43" i="12" s="1"/>
  <c r="J53" i="12" a="1"/>
  <c r="J53" i="12" s="1"/>
  <c r="L54" i="12" a="1"/>
  <c r="L54" i="12" s="1"/>
  <c r="L32" i="12" a="1"/>
  <c r="L32" i="12" s="1"/>
  <c r="J47" i="12" a="1"/>
  <c r="J47" i="12" s="1"/>
  <c r="L28" i="12" a="1"/>
  <c r="L28" i="12" s="1"/>
  <c r="J34" i="12" a="1"/>
  <c r="J34" i="12" s="1"/>
  <c r="L53" i="12" a="1"/>
  <c r="L53" i="12" s="1"/>
  <c r="J39" i="12" a="1"/>
  <c r="J39" i="12" s="1"/>
  <c r="L39" i="12" a="1"/>
  <c r="L39" i="12" s="1"/>
  <c r="L51" i="12" a="1"/>
  <c r="L51" i="12" s="1"/>
  <c r="J48" i="12" a="1"/>
  <c r="J48" i="12" s="1"/>
  <c r="J35" i="12" a="1"/>
  <c r="J35" i="12" s="1"/>
  <c r="J57" i="12" a="1"/>
  <c r="J57" i="12" s="1"/>
  <c r="L40" i="12" a="1"/>
  <c r="L40" i="12" s="1"/>
  <c r="L47" i="12" a="1"/>
  <c r="L47" i="12" s="1"/>
  <c r="L52" i="12" a="1"/>
  <c r="L52" i="12" s="1"/>
  <c r="J54" i="12" a="1"/>
  <c r="J54" i="12" s="1"/>
  <c r="L33" i="12" a="1"/>
  <c r="L33" i="12" s="1"/>
  <c r="J42" i="12" a="1"/>
  <c r="J42" i="12" s="1"/>
  <c r="L35" i="12" a="1"/>
  <c r="L35" i="12" s="1"/>
  <c r="J56" i="12" a="1"/>
  <c r="J56" i="12" s="1"/>
  <c r="L56" i="12" a="1"/>
  <c r="L56" i="12" s="1"/>
  <c r="J40" i="12" a="1"/>
  <c r="J40" i="12" s="1"/>
  <c r="J51" i="12" a="1"/>
  <c r="J51" i="12" s="1"/>
  <c r="L57" i="12" a="1"/>
  <c r="L57" i="12" s="1"/>
  <c r="DE12" i="6"/>
  <c r="DF13" i="6"/>
  <c r="DE25" i="6" a="1"/>
  <c r="DE25" i="6" s="1"/>
  <c r="DE17" i="6" a="1"/>
  <c r="DE17" i="6" s="1"/>
  <c r="DE36" i="6" a="1"/>
  <c r="DE36" i="6" s="1"/>
  <c r="DE26" i="6" a="1"/>
  <c r="DE26" i="6" s="1"/>
  <c r="DE49" i="6" a="1"/>
  <c r="DE49" i="6" s="1"/>
  <c r="DE45" i="6" a="1"/>
  <c r="DE45" i="6" s="1"/>
  <c r="DE50" i="6" a="1"/>
  <c r="DE50" i="6" s="1"/>
  <c r="BC16" i="6"/>
  <c r="AJ13" i="6"/>
  <c r="CE13" i="6"/>
  <c r="CD12" i="6"/>
  <c r="CD25" i="6"/>
  <c r="CD17" i="6"/>
  <c r="CD36" i="6"/>
  <c r="CD49" i="6"/>
  <c r="CD26" i="6"/>
  <c r="CD45" i="6"/>
  <c r="CD50" i="6"/>
  <c r="BE13" i="6"/>
  <c r="BD12" i="6"/>
  <c r="B161" i="8"/>
  <c r="B25" i="9"/>
  <c r="AO7" i="12" a="1"/>
  <c r="AO7" i="12" s="1"/>
  <c r="L14" i="12" a="1"/>
  <c r="L14" i="12" s="1"/>
  <c r="J14" i="12" a="1"/>
  <c r="J14" i="12" s="1"/>
  <c r="S12" i="9"/>
  <c r="T12" i="10"/>
  <c r="T11" i="10" s="1" a="1"/>
  <c r="T11" i="10" s="1"/>
  <c r="L58" i="12" l="1" a="1"/>
  <c r="L58" i="12" s="1"/>
  <c r="K58" i="12" s="1"/>
  <c r="AJ12" i="8"/>
  <c r="K24" i="12"/>
  <c r="K59" i="5"/>
  <c r="C60" i="5"/>
  <c r="G59" i="5"/>
  <c r="N59" i="5"/>
  <c r="D59" i="6" s="1"/>
  <c r="B59" i="5"/>
  <c r="J59" i="5"/>
  <c r="B59" i="6"/>
  <c r="A59" i="12"/>
  <c r="H59" i="5"/>
  <c r="AD59" i="5"/>
  <c r="E59" i="5"/>
  <c r="F59" i="5"/>
  <c r="AE59" i="5" a="1"/>
  <c r="AE59" i="5" s="1"/>
  <c r="D59" i="5"/>
  <c r="B59" i="12" s="1"/>
  <c r="CE22" i="6"/>
  <c r="CE23" i="6"/>
  <c r="DF22" i="6" a="1"/>
  <c r="DF22" i="6" s="1"/>
  <c r="DF23" i="6" a="1"/>
  <c r="DF23" i="6" s="1"/>
  <c r="K32" i="12"/>
  <c r="K47" i="12"/>
  <c r="K18" i="12"/>
  <c r="K20" i="12"/>
  <c r="K21" i="12"/>
  <c r="K44" i="12"/>
  <c r="DF19" i="6" a="1"/>
  <c r="DF19" i="6" s="1"/>
  <c r="K39" i="12"/>
  <c r="CE19" i="6"/>
  <c r="L66" i="6"/>
  <c r="K53" i="12"/>
  <c r="K31" i="12"/>
  <c r="K55" i="12"/>
  <c r="K27" i="12"/>
  <c r="K52" i="12"/>
  <c r="K57" i="12"/>
  <c r="K51" i="12"/>
  <c r="K34" i="12"/>
  <c r="K43" i="12"/>
  <c r="K56" i="12"/>
  <c r="K48" i="12"/>
  <c r="K42" i="12"/>
  <c r="K35" i="12"/>
  <c r="K33" i="12"/>
  <c r="K37" i="12"/>
  <c r="K41" i="12"/>
  <c r="K28" i="12"/>
  <c r="K46" i="12"/>
  <c r="K29" i="12"/>
  <c r="K30" i="12"/>
  <c r="K40" i="12"/>
  <c r="K54" i="12"/>
  <c r="K38" i="12"/>
  <c r="BD16" i="6"/>
  <c r="BF13" i="6"/>
  <c r="BE12" i="6"/>
  <c r="CE12" i="6"/>
  <c r="CF13" i="6"/>
  <c r="CE25" i="6"/>
  <c r="CE36" i="6"/>
  <c r="CE17" i="6"/>
  <c r="CE45" i="6"/>
  <c r="CE26" i="6"/>
  <c r="CE49" i="6"/>
  <c r="CE50" i="6"/>
  <c r="DF12" i="6"/>
  <c r="DG13" i="6"/>
  <c r="DF36" i="6" a="1"/>
  <c r="DF36" i="6" s="1"/>
  <c r="DF25" i="6" a="1"/>
  <c r="DF25" i="6" s="1"/>
  <c r="DF17" i="6" a="1"/>
  <c r="DF17" i="6" s="1"/>
  <c r="DF26" i="6" a="1"/>
  <c r="DF26" i="6" s="1"/>
  <c r="DF45" i="6" a="1"/>
  <c r="DF45" i="6" s="1"/>
  <c r="DF49" i="6" a="1"/>
  <c r="DF49" i="6" s="1"/>
  <c r="DF50" i="6" a="1"/>
  <c r="DF50" i="6" s="1"/>
  <c r="AK13" i="6"/>
  <c r="T12" i="9"/>
  <c r="K14" i="12"/>
  <c r="U12" i="10"/>
  <c r="U11" i="10" s="1" a="1"/>
  <c r="U11" i="10" s="1"/>
  <c r="AK12" i="8" l="1"/>
  <c r="D60" i="5"/>
  <c r="B60" i="12" s="1"/>
  <c r="A60" i="12"/>
  <c r="B60" i="6"/>
  <c r="H60" i="5"/>
  <c r="K60" i="5"/>
  <c r="E60" i="5"/>
  <c r="F60" i="5"/>
  <c r="AE60" i="5" a="1"/>
  <c r="AE60" i="5" s="1"/>
  <c r="B60" i="5"/>
  <c r="C61" i="5" s="1"/>
  <c r="G60" i="5"/>
  <c r="N60" i="5"/>
  <c r="D60" i="6" s="1"/>
  <c r="AD60" i="5"/>
  <c r="J60" i="5"/>
  <c r="J59" i="12" a="1"/>
  <c r="J59" i="12" s="1"/>
  <c r="L59" i="12" a="1"/>
  <c r="L59" i="12" s="1"/>
  <c r="CF22" i="6"/>
  <c r="CF23" i="6"/>
  <c r="DG22" i="6" a="1"/>
  <c r="DG22" i="6" s="1"/>
  <c r="DG23" i="6" a="1"/>
  <c r="DG23" i="6" s="1"/>
  <c r="F66" i="6"/>
  <c r="L67" i="6"/>
  <c r="CF19" i="6"/>
  <c r="DG19" i="6" a="1"/>
  <c r="DG19" i="6" s="1"/>
  <c r="AL13" i="6"/>
  <c r="BE16" i="6"/>
  <c r="BG13" i="6"/>
  <c r="BF12" i="6"/>
  <c r="DG12" i="6"/>
  <c r="DH13" i="6"/>
  <c r="DG36" i="6" a="1"/>
  <c r="DG36" i="6" s="1"/>
  <c r="DG17" i="6" a="1"/>
  <c r="DG17" i="6" s="1"/>
  <c r="DG25" i="6" a="1"/>
  <c r="DG25" i="6" s="1"/>
  <c r="DG45" i="6" a="1"/>
  <c r="DG45" i="6" s="1"/>
  <c r="DG49" i="6" a="1"/>
  <c r="DG49" i="6" s="1"/>
  <c r="DG26" i="6" a="1"/>
  <c r="DG26" i="6" s="1"/>
  <c r="DG50" i="6" a="1"/>
  <c r="DG50" i="6" s="1"/>
  <c r="CG13" i="6"/>
  <c r="CF12" i="6"/>
  <c r="CF25" i="6"/>
  <c r="CF17" i="6"/>
  <c r="CF36" i="6"/>
  <c r="CF45" i="6"/>
  <c r="CF26" i="6"/>
  <c r="CF49" i="6"/>
  <c r="CF50" i="6"/>
  <c r="U12" i="9"/>
  <c r="V12" i="10"/>
  <c r="V11" i="10" s="1" a="1"/>
  <c r="V11" i="10" s="1"/>
  <c r="AL12" i="8" l="1"/>
  <c r="K59" i="12"/>
  <c r="L60" i="12" a="1"/>
  <c r="L60" i="12" s="1"/>
  <c r="J60" i="12" a="1"/>
  <c r="J60" i="12" s="1"/>
  <c r="E61" i="5"/>
  <c r="AF61" i="5" a="1"/>
  <c r="AF61" i="5" s="1"/>
  <c r="AG61" i="5" s="1" a="1"/>
  <c r="AG61" i="5" s="1"/>
  <c r="U61" i="5" s="1"/>
  <c r="AN61" i="5" s="1" a="1"/>
  <c r="AN61" i="5" s="1"/>
  <c r="I61" i="5"/>
  <c r="A61" i="12"/>
  <c r="N61" i="5"/>
  <c r="D61" i="6" s="1"/>
  <c r="G61" i="6" s="1"/>
  <c r="AD61" i="5"/>
  <c r="B61" i="6"/>
  <c r="A61" i="6" s="1"/>
  <c r="H61" i="5"/>
  <c r="W61" i="5" a="1"/>
  <c r="W61" i="5" s="1"/>
  <c r="H61" i="12" s="1" a="1"/>
  <c r="H61" i="12" s="1"/>
  <c r="F61" i="5"/>
  <c r="AE61" i="5" a="1"/>
  <c r="AE61" i="5" s="1"/>
  <c r="B61" i="5"/>
  <c r="C62" i="5" s="1"/>
  <c r="G61" i="5"/>
  <c r="CG22" i="6"/>
  <c r="CG23" i="6"/>
  <c r="DH22" i="6" a="1"/>
  <c r="DH22" i="6" s="1"/>
  <c r="DH23" i="6" a="1"/>
  <c r="DH23" i="6" s="1"/>
  <c r="L68" i="6"/>
  <c r="DH19" i="6" a="1"/>
  <c r="DH19" i="6" s="1"/>
  <c r="CG19" i="6"/>
  <c r="CH13" i="6"/>
  <c r="CG12" i="6"/>
  <c r="CG25" i="6"/>
  <c r="CG36" i="6"/>
  <c r="CG17" i="6"/>
  <c r="CG26" i="6"/>
  <c r="CG45" i="6"/>
  <c r="CG49" i="6"/>
  <c r="CG50" i="6"/>
  <c r="DI13" i="6"/>
  <c r="DH12" i="6"/>
  <c r="DH36" i="6" a="1"/>
  <c r="DH36" i="6" s="1"/>
  <c r="DH25" i="6" a="1"/>
  <c r="DH25" i="6" s="1"/>
  <c r="DH17" i="6" a="1"/>
  <c r="DH17" i="6" s="1"/>
  <c r="DH45" i="6" a="1"/>
  <c r="DH45" i="6" s="1"/>
  <c r="DH26" i="6" a="1"/>
  <c r="DH26" i="6" s="1"/>
  <c r="DH49" i="6" a="1"/>
  <c r="DH49" i="6" s="1"/>
  <c r="DH50" i="6" a="1"/>
  <c r="DH50" i="6" s="1"/>
  <c r="BF16" i="6"/>
  <c r="BG12" i="6"/>
  <c r="BH13" i="6"/>
  <c r="AM13" i="6"/>
  <c r="V12" i="9"/>
  <c r="W12" i="10"/>
  <c r="W11" i="10" s="1" a="1"/>
  <c r="W11" i="10" s="1"/>
  <c r="AM12" i="8" l="1"/>
  <c r="M61" i="6"/>
  <c r="CB61" i="6" s="1"/>
  <c r="N61" i="6"/>
  <c r="K60" i="12"/>
  <c r="AE62" i="5" a="1"/>
  <c r="AE62" i="5" s="1"/>
  <c r="G62" i="5"/>
  <c r="F62" i="5"/>
  <c r="AF62" i="5" a="1"/>
  <c r="AF62" i="5" s="1"/>
  <c r="AG62" i="5" s="1" a="1"/>
  <c r="AG62" i="5" s="1"/>
  <c r="U62" i="5" s="1"/>
  <c r="AN62" i="5" s="1" a="1"/>
  <c r="AN62" i="5" s="1"/>
  <c r="AD62" i="5"/>
  <c r="C63" i="5"/>
  <c r="A62" i="12"/>
  <c r="I62" i="5"/>
  <c r="W62" i="5" a="1"/>
  <c r="W62" i="5" s="1"/>
  <c r="H62" i="12" s="1" a="1"/>
  <c r="H62" i="12" s="1"/>
  <c r="E62" i="5"/>
  <c r="B62" i="5"/>
  <c r="N62" i="5"/>
  <c r="D62" i="6" s="1"/>
  <c r="G62" i="6" s="1"/>
  <c r="H62" i="5"/>
  <c r="B62" i="6"/>
  <c r="A62" i="6" s="1"/>
  <c r="CH23" i="6"/>
  <c r="CH22" i="6"/>
  <c r="DI23" i="6" a="1"/>
  <c r="DI23" i="6" s="1"/>
  <c r="DI22" i="6" a="1"/>
  <c r="DI22" i="6" s="1"/>
  <c r="CH19" i="6"/>
  <c r="DI19" i="6" a="1"/>
  <c r="DI19" i="6" s="1"/>
  <c r="L69" i="6"/>
  <c r="CI13" i="6"/>
  <c r="CH12" i="6"/>
  <c r="CH17" i="6"/>
  <c r="CH36" i="6"/>
  <c r="CH25" i="6"/>
  <c r="CH49" i="6"/>
  <c r="CH26" i="6"/>
  <c r="CH45" i="6"/>
  <c r="CH50" i="6"/>
  <c r="DI12" i="6"/>
  <c r="DJ13" i="6"/>
  <c r="DI36" i="6" a="1"/>
  <c r="DI36" i="6" s="1"/>
  <c r="DI17" i="6" a="1"/>
  <c r="DI17" i="6" s="1"/>
  <c r="DI25" i="6" a="1"/>
  <c r="DI25" i="6" s="1"/>
  <c r="DI26" i="6" a="1"/>
  <c r="DI26" i="6" s="1"/>
  <c r="DI49" i="6" a="1"/>
  <c r="DI49" i="6" s="1"/>
  <c r="DI45" i="6" a="1"/>
  <c r="DI45" i="6" s="1"/>
  <c r="DI50" i="6" a="1"/>
  <c r="DI50" i="6" s="1"/>
  <c r="AN13" i="6"/>
  <c r="BH12" i="6"/>
  <c r="BI13" i="6"/>
  <c r="BG16" i="6"/>
  <c r="DD61" i="6" a="1"/>
  <c r="DD61" i="6" s="1"/>
  <c r="BY61" i="6"/>
  <c r="BW61" i="6"/>
  <c r="CF61" i="6"/>
  <c r="CD61" i="6"/>
  <c r="BV61" i="6"/>
  <c r="DJ61" i="6" a="1"/>
  <c r="DJ61" i="6" s="1"/>
  <c r="DF61" i="6" a="1"/>
  <c r="DF61" i="6" s="1"/>
  <c r="W12" i="9"/>
  <c r="X12" i="10"/>
  <c r="X11" i="10" s="1" a="1"/>
  <c r="X11" i="10" s="1"/>
  <c r="DH61" i="6" l="1" a="1"/>
  <c r="DH61" i="6" s="1"/>
  <c r="BZ61" i="6"/>
  <c r="CH61" i="6"/>
  <c r="CT61" i="6" a="1"/>
  <c r="CT61" i="6" s="1"/>
  <c r="BU61" i="6"/>
  <c r="CU61" i="6" a="1"/>
  <c r="CU61" i="6" s="1"/>
  <c r="CE61" i="6"/>
  <c r="DI61" i="6" a="1"/>
  <c r="DI61" i="6" s="1"/>
  <c r="CX61" i="6" a="1"/>
  <c r="CX61" i="6" s="1"/>
  <c r="DE61" i="6" a="1"/>
  <c r="DE61" i="6" s="1"/>
  <c r="CC61" i="6"/>
  <c r="CV61" i="6" a="1"/>
  <c r="CV61" i="6" s="1"/>
  <c r="DC61" i="6" a="1"/>
  <c r="DC61" i="6" s="1"/>
  <c r="CZ61" i="6" a="1"/>
  <c r="CZ61" i="6" s="1"/>
  <c r="BS61" i="6"/>
  <c r="DB61" i="6" a="1"/>
  <c r="DB61" i="6" s="1"/>
  <c r="BT61" i="6"/>
  <c r="DG61" i="6" a="1"/>
  <c r="DG61" i="6" s="1"/>
  <c r="BX61" i="6"/>
  <c r="CW61" i="6" a="1"/>
  <c r="CW61" i="6" s="1"/>
  <c r="CA61" i="6"/>
  <c r="DA61" i="6" a="1"/>
  <c r="DA61" i="6" s="1"/>
  <c r="CY61" i="6" a="1"/>
  <c r="CY61" i="6" s="1"/>
  <c r="CG61" i="6"/>
  <c r="AN12" i="8"/>
  <c r="M62" i="6"/>
  <c r="DC62" i="6" s="1" a="1"/>
  <c r="DC62" i="6" s="1"/>
  <c r="N62" i="6"/>
  <c r="D63" i="5"/>
  <c r="B63" i="12" s="1"/>
  <c r="AD63" i="5"/>
  <c r="A63" i="12"/>
  <c r="K63" i="5"/>
  <c r="N63" i="5"/>
  <c r="D63" i="6" s="1"/>
  <c r="G63" i="5"/>
  <c r="E63" i="5"/>
  <c r="B63" i="5"/>
  <c r="F63" i="5"/>
  <c r="B63" i="6"/>
  <c r="AE63" i="5" a="1"/>
  <c r="AE63" i="5" s="1"/>
  <c r="C64" i="5"/>
  <c r="H63" i="5"/>
  <c r="J63" i="5"/>
  <c r="CI23" i="6"/>
  <c r="CI22" i="6"/>
  <c r="DJ23" i="6" a="1"/>
  <c r="DJ23" i="6" s="1"/>
  <c r="DJ22" i="6" a="1"/>
  <c r="DJ22" i="6" s="1"/>
  <c r="DJ19" i="6" a="1"/>
  <c r="DJ19" i="6" s="1"/>
  <c r="CI19" i="6"/>
  <c r="L70" i="6"/>
  <c r="CI12" i="6"/>
  <c r="CJ13" i="6"/>
  <c r="CI36" i="6"/>
  <c r="CI17" i="6"/>
  <c r="CI25" i="6"/>
  <c r="CI49" i="6"/>
  <c r="CI26" i="6"/>
  <c r="CI45" i="6"/>
  <c r="CI50" i="6"/>
  <c r="AO13" i="6"/>
  <c r="BJ13" i="6"/>
  <c r="BI12" i="6"/>
  <c r="DJ12" i="6"/>
  <c r="DK13" i="6"/>
  <c r="DJ25" i="6" a="1"/>
  <c r="DJ25" i="6" s="1"/>
  <c r="DJ36" i="6" a="1"/>
  <c r="DJ36" i="6" s="1"/>
  <c r="DJ17" i="6" a="1"/>
  <c r="DJ17" i="6" s="1"/>
  <c r="DJ45" i="6" a="1"/>
  <c r="DJ45" i="6" s="1"/>
  <c r="DJ26" i="6" a="1"/>
  <c r="DJ26" i="6" s="1"/>
  <c r="DJ49" i="6" a="1"/>
  <c r="DJ49" i="6" s="1"/>
  <c r="DJ50" i="6" a="1"/>
  <c r="DJ50" i="6" s="1"/>
  <c r="CI61" i="6"/>
  <c r="DI62" i="6" a="1"/>
  <c r="DI62" i="6" s="1"/>
  <c r="BH16" i="6"/>
  <c r="X12" i="9"/>
  <c r="Y12" i="10"/>
  <c r="Y11" i="10" s="1" a="1"/>
  <c r="Y11" i="10" s="1"/>
  <c r="CJ62" i="6" l="1"/>
  <c r="DK62" i="6" a="1"/>
  <c r="DK62" i="6" s="1"/>
  <c r="BV62" i="6"/>
  <c r="DE62" i="6" a="1"/>
  <c r="DE62" i="6" s="1"/>
  <c r="DH62" i="6" a="1"/>
  <c r="DH62" i="6" s="1"/>
  <c r="BZ62" i="6"/>
  <c r="DD62" i="6" a="1"/>
  <c r="DD62" i="6" s="1"/>
  <c r="BY62" i="6"/>
  <c r="BS62" i="6"/>
  <c r="DB62" i="6" a="1"/>
  <c r="DB62" i="6" s="1"/>
  <c r="CW62" i="6" a="1"/>
  <c r="CW62" i="6" s="1"/>
  <c r="BW62" i="6"/>
  <c r="CE62" i="6"/>
  <c r="BT62" i="6"/>
  <c r="DF62" i="6" a="1"/>
  <c r="DF62" i="6" s="1"/>
  <c r="CG62" i="6"/>
  <c r="DG62" i="6" a="1"/>
  <c r="DG62" i="6" s="1"/>
  <c r="CY62" i="6" a="1"/>
  <c r="CY62" i="6" s="1"/>
  <c r="CA62" i="6"/>
  <c r="CD62" i="6"/>
  <c r="DA62" i="6" a="1"/>
  <c r="DA62" i="6" s="1"/>
  <c r="CH62" i="6"/>
  <c r="CB62" i="6"/>
  <c r="CU62" i="6" a="1"/>
  <c r="CU62" i="6" s="1"/>
  <c r="CT62" i="6" a="1"/>
  <c r="CT62" i="6" s="1"/>
  <c r="BX62" i="6"/>
  <c r="CZ62" i="6" a="1"/>
  <c r="CZ62" i="6" s="1"/>
  <c r="CV62" i="6" a="1"/>
  <c r="CV62" i="6" s="1"/>
  <c r="CC62" i="6"/>
  <c r="CI62" i="6"/>
  <c r="CF62" i="6"/>
  <c r="BU62" i="6"/>
  <c r="DJ62" i="6" a="1"/>
  <c r="DJ62" i="6" s="1"/>
  <c r="CX62" i="6" a="1"/>
  <c r="CX62" i="6" s="1"/>
  <c r="AO12" i="8"/>
  <c r="K64" i="5"/>
  <c r="E64" i="5"/>
  <c r="B64" i="5"/>
  <c r="AE64" i="5" a="1"/>
  <c r="AE64" i="5" s="1"/>
  <c r="B64" i="6"/>
  <c r="N64" i="5"/>
  <c r="D64" i="6" s="1"/>
  <c r="F64" i="5"/>
  <c r="A64" i="12"/>
  <c r="H64" i="5"/>
  <c r="C65" i="5"/>
  <c r="AD64" i="5"/>
  <c r="D64" i="5"/>
  <c r="B64" i="12" s="1"/>
  <c r="G64" i="5"/>
  <c r="J64" i="5"/>
  <c r="J63" i="12" a="1"/>
  <c r="J63" i="12" s="1"/>
  <c r="L63" i="12" a="1"/>
  <c r="L63" i="12" s="1"/>
  <c r="CJ22" i="6"/>
  <c r="CJ23" i="6"/>
  <c r="DK22" i="6" a="1"/>
  <c r="DK22" i="6" s="1"/>
  <c r="DK23" i="6" a="1"/>
  <c r="DK23" i="6" s="1"/>
  <c r="CJ19" i="6"/>
  <c r="DK19" i="6" a="1"/>
  <c r="DK19" i="6" s="1"/>
  <c r="L71" i="6"/>
  <c r="BI16" i="6"/>
  <c r="BJ12" i="6"/>
  <c r="BK13" i="6"/>
  <c r="AP13" i="6"/>
  <c r="DL13" i="6"/>
  <c r="DK12" i="6"/>
  <c r="DK17" i="6" a="1"/>
  <c r="DK17" i="6" s="1"/>
  <c r="DK25" i="6" a="1"/>
  <c r="DK25" i="6" s="1"/>
  <c r="DK36" i="6" a="1"/>
  <c r="DK36" i="6" s="1"/>
  <c r="DK49" i="6" a="1"/>
  <c r="DK49" i="6" s="1"/>
  <c r="DK26" i="6" a="1"/>
  <c r="DK26" i="6" s="1"/>
  <c r="DK45" i="6" a="1"/>
  <c r="DK45" i="6" s="1"/>
  <c r="DK50" i="6" a="1"/>
  <c r="DK50" i="6" s="1"/>
  <c r="DK61" i="6" a="1"/>
  <c r="DK61" i="6" s="1"/>
  <c r="CK13" i="6"/>
  <c r="CJ12" i="6"/>
  <c r="CJ17" i="6"/>
  <c r="CJ36" i="6"/>
  <c r="CJ25" i="6"/>
  <c r="CJ26" i="6"/>
  <c r="CJ49" i="6"/>
  <c r="CJ45" i="6"/>
  <c r="CJ50" i="6"/>
  <c r="CJ61" i="6"/>
  <c r="Y12" i="9"/>
  <c r="Z12" i="10"/>
  <c r="Z11" i="10" s="1" a="1"/>
  <c r="Z11" i="10" s="1"/>
  <c r="AP12" i="8" l="1"/>
  <c r="K63" i="12"/>
  <c r="J64" i="12" a="1"/>
  <c r="J64" i="12" s="1"/>
  <c r="L64" i="12" a="1"/>
  <c r="L64" i="12" s="1"/>
  <c r="J65" i="5"/>
  <c r="AE65" i="5" a="1"/>
  <c r="AE65" i="5" s="1"/>
  <c r="N65" i="5"/>
  <c r="D65" i="6" s="1"/>
  <c r="AD65" i="5"/>
  <c r="B65" i="5"/>
  <c r="C66" i="5" s="1"/>
  <c r="E65" i="5"/>
  <c r="H65" i="5"/>
  <c r="A65" i="12"/>
  <c r="G65" i="5"/>
  <c r="D65" i="5"/>
  <c r="B65" i="12" s="1"/>
  <c r="B65" i="6"/>
  <c r="K65" i="5"/>
  <c r="F65" i="5"/>
  <c r="CK23" i="6"/>
  <c r="CK22" i="6"/>
  <c r="DL23" i="6" a="1"/>
  <c r="DL23" i="6" s="1"/>
  <c r="DL22" i="6" a="1"/>
  <c r="DL22" i="6" s="1"/>
  <c r="CK19" i="6"/>
  <c r="L72" i="6"/>
  <c r="DL19" i="6" a="1"/>
  <c r="DL19" i="6" s="1"/>
  <c r="BL13" i="6"/>
  <c r="BK12" i="6"/>
  <c r="BJ16" i="6"/>
  <c r="DL12" i="6"/>
  <c r="DM13" i="6"/>
  <c r="DL17" i="6" a="1"/>
  <c r="DL17" i="6" s="1"/>
  <c r="DL36" i="6" a="1"/>
  <c r="DL36" i="6" s="1"/>
  <c r="DL25" i="6" a="1"/>
  <c r="DL25" i="6" s="1"/>
  <c r="DL45" i="6" a="1"/>
  <c r="DL45" i="6" s="1"/>
  <c r="DL26" i="6" a="1"/>
  <c r="DL26" i="6" s="1"/>
  <c r="DL49" i="6" a="1"/>
  <c r="DL49" i="6" s="1"/>
  <c r="DL50" i="6" a="1"/>
  <c r="DL50" i="6" s="1"/>
  <c r="DL61" i="6" a="1"/>
  <c r="DL61" i="6" s="1"/>
  <c r="DL62" i="6" a="1"/>
  <c r="DL62" i="6" s="1"/>
  <c r="CL13" i="6"/>
  <c r="CK12" i="6"/>
  <c r="CK25" i="6"/>
  <c r="CK36" i="6"/>
  <c r="CK17" i="6"/>
  <c r="CK45" i="6"/>
  <c r="CK49" i="6"/>
  <c r="CK26" i="6"/>
  <c r="CK50" i="6"/>
  <c r="CK61" i="6"/>
  <c r="CK62" i="6"/>
  <c r="Z12" i="9"/>
  <c r="AA12" i="10"/>
  <c r="AA11" i="10" s="1" a="1"/>
  <c r="AA11" i="10" s="1"/>
  <c r="AQ12" i="8" l="1"/>
  <c r="K64" i="12"/>
  <c r="AE66" i="5" a="1"/>
  <c r="AE66" i="5" s="1"/>
  <c r="H66" i="5"/>
  <c r="G66" i="5"/>
  <c r="AF66" i="5" a="1"/>
  <c r="AF66" i="5" s="1"/>
  <c r="AG66" i="5" s="1" a="1"/>
  <c r="AG66" i="5" s="1"/>
  <c r="U66" i="5" s="1"/>
  <c r="AN66" i="5" s="1" a="1"/>
  <c r="AN66" i="5" s="1"/>
  <c r="C67" i="5"/>
  <c r="F66" i="5"/>
  <c r="B66" i="6"/>
  <c r="A66" i="6" s="1"/>
  <c r="I66" i="5"/>
  <c r="B66" i="5"/>
  <c r="E66" i="5"/>
  <c r="N66" i="5"/>
  <c r="D66" i="6" s="1"/>
  <c r="G66" i="6" s="1"/>
  <c r="AD66" i="5"/>
  <c r="A66" i="12"/>
  <c r="W66" i="5" a="1"/>
  <c r="W66" i="5" s="1"/>
  <c r="H66" i="12" s="1" a="1"/>
  <c r="H66" i="12" s="1"/>
  <c r="L65" i="12" a="1"/>
  <c r="L65" i="12" s="1"/>
  <c r="J65" i="12" a="1"/>
  <c r="J65" i="12" s="1"/>
  <c r="CL23" i="6"/>
  <c r="CL22" i="6"/>
  <c r="DM22" i="6" a="1"/>
  <c r="DM22" i="6" s="1"/>
  <c r="DM23" i="6" a="1"/>
  <c r="DM23" i="6" s="1"/>
  <c r="CL19" i="6"/>
  <c r="DM19" i="6" a="1"/>
  <c r="DM19" i="6" s="1"/>
  <c r="L73" i="6"/>
  <c r="BK16" i="6"/>
  <c r="BL12" i="6"/>
  <c r="BM13" i="6"/>
  <c r="DM12" i="6"/>
  <c r="DN13" i="6"/>
  <c r="DM25" i="6" a="1"/>
  <c r="DM25" i="6" s="1"/>
  <c r="DM36" i="6" a="1"/>
  <c r="DM36" i="6" s="1"/>
  <c r="DM17" i="6" a="1"/>
  <c r="DM17" i="6" s="1"/>
  <c r="DM26" i="6" a="1"/>
  <c r="DM26" i="6" s="1"/>
  <c r="DM45" i="6" a="1"/>
  <c r="DM45" i="6" s="1"/>
  <c r="DM49" i="6" a="1"/>
  <c r="DM49" i="6" s="1"/>
  <c r="DM50" i="6" a="1"/>
  <c r="DM50" i="6" s="1"/>
  <c r="DM61" i="6" a="1"/>
  <c r="DM61" i="6" s="1"/>
  <c r="DM62" i="6" a="1"/>
  <c r="DM62" i="6" s="1"/>
  <c r="CM13" i="6"/>
  <c r="CL12" i="6"/>
  <c r="CL17" i="6"/>
  <c r="CL25" i="6"/>
  <c r="CL36" i="6"/>
  <c r="CL49" i="6"/>
  <c r="CL45" i="6"/>
  <c r="CL26" i="6"/>
  <c r="CL50" i="6"/>
  <c r="CL61" i="6"/>
  <c r="CL62" i="6"/>
  <c r="AA12" i="9"/>
  <c r="AB12" i="10"/>
  <c r="AB11" i="10" s="1" a="1"/>
  <c r="AB11" i="10" s="1"/>
  <c r="AR12" i="8" l="1"/>
  <c r="M66" i="6"/>
  <c r="CW66" i="6" s="1" a="1"/>
  <c r="CW66" i="6" s="1"/>
  <c r="N66" i="6"/>
  <c r="K65" i="12"/>
  <c r="A67" i="12"/>
  <c r="B67" i="6"/>
  <c r="F67" i="5"/>
  <c r="G67" i="5"/>
  <c r="AE67" i="5" a="1"/>
  <c r="AE67" i="5" s="1"/>
  <c r="J67" i="5"/>
  <c r="N67" i="5"/>
  <c r="D67" i="6" s="1"/>
  <c r="H67" i="5"/>
  <c r="K67" i="5"/>
  <c r="B67" i="5"/>
  <c r="C68" i="5"/>
  <c r="AD67" i="5"/>
  <c r="D67" i="5"/>
  <c r="B67" i="12" s="1"/>
  <c r="E67" i="5"/>
  <c r="CM22" i="6"/>
  <c r="CM23" i="6"/>
  <c r="DN23" i="6" a="1"/>
  <c r="DN23" i="6" s="1"/>
  <c r="DN22" i="6" a="1"/>
  <c r="DN22" i="6" s="1"/>
  <c r="CM19" i="6"/>
  <c r="L74" i="6"/>
  <c r="F73" i="6"/>
  <c r="DN19" i="6" a="1"/>
  <c r="DN19" i="6" s="1"/>
  <c r="BL16" i="6"/>
  <c r="CM12" i="6"/>
  <c r="CN13" i="6"/>
  <c r="CM25" i="6"/>
  <c r="CM17" i="6"/>
  <c r="CM36" i="6"/>
  <c r="CM45" i="6"/>
  <c r="CM49" i="6"/>
  <c r="CM26" i="6"/>
  <c r="CM50" i="6"/>
  <c r="CM61" i="6"/>
  <c r="CM62" i="6"/>
  <c r="DC66" i="6" a="1"/>
  <c r="DC66" i="6" s="1"/>
  <c r="CU66" i="6" a="1"/>
  <c r="CU66" i="6" s="1"/>
  <c r="BS66" i="6"/>
  <c r="BY66" i="6"/>
  <c r="DN12" i="6"/>
  <c r="DO13" i="6"/>
  <c r="DN25" i="6" a="1"/>
  <c r="DN25" i="6" s="1"/>
  <c r="DN17" i="6" a="1"/>
  <c r="DN17" i="6" s="1"/>
  <c r="DN36" i="6" a="1"/>
  <c r="DN36" i="6" s="1"/>
  <c r="DN26" i="6" a="1"/>
  <c r="DN26" i="6" s="1"/>
  <c r="DN45" i="6" a="1"/>
  <c r="DN45" i="6" s="1"/>
  <c r="DN49" i="6" a="1"/>
  <c r="DN49" i="6" s="1"/>
  <c r="DN50" i="6" a="1"/>
  <c r="DN50" i="6" s="1"/>
  <c r="DN61" i="6" a="1"/>
  <c r="DN61" i="6" s="1"/>
  <c r="DN62" i="6" a="1"/>
  <c r="DN62" i="6" s="1"/>
  <c r="BM12" i="6"/>
  <c r="BN13" i="6"/>
  <c r="B26" i="9"/>
  <c r="AB12" i="9"/>
  <c r="AC12" i="10"/>
  <c r="AC11" i="10" s="1" a="1"/>
  <c r="AC11" i="10" s="1"/>
  <c r="DK66" i="6" l="1" a="1"/>
  <c r="DK66" i="6" s="1"/>
  <c r="CF66" i="6"/>
  <c r="DE66" i="6" a="1"/>
  <c r="DE66" i="6" s="1"/>
  <c r="DG66" i="6" a="1"/>
  <c r="DG66" i="6" s="1"/>
  <c r="CV66" i="6" a="1"/>
  <c r="CV66" i="6" s="1"/>
  <c r="CM66" i="6"/>
  <c r="BX66" i="6"/>
  <c r="CN66" i="6"/>
  <c r="CL66" i="6"/>
  <c r="CJ66" i="6"/>
  <c r="CG66" i="6"/>
  <c r="DF66" i="6" a="1"/>
  <c r="DF66" i="6" s="1"/>
  <c r="DM66" i="6" a="1"/>
  <c r="DM66" i="6" s="1"/>
  <c r="DB66" i="6" a="1"/>
  <c r="DB66" i="6" s="1"/>
  <c r="CB66" i="6"/>
  <c r="BW66" i="6"/>
  <c r="DJ66" i="6" a="1"/>
  <c r="DJ66" i="6" s="1"/>
  <c r="CH66" i="6"/>
  <c r="BU66" i="6"/>
  <c r="CY66" i="6" a="1"/>
  <c r="CY66" i="6" s="1"/>
  <c r="CD66" i="6"/>
  <c r="BV66" i="6"/>
  <c r="CI66" i="6"/>
  <c r="DL66" i="6" a="1"/>
  <c r="DL66" i="6" s="1"/>
  <c r="BZ66" i="6"/>
  <c r="CZ66" i="6" a="1"/>
  <c r="CZ66" i="6" s="1"/>
  <c r="CC66" i="6"/>
  <c r="CT66" i="6" a="1"/>
  <c r="CT66" i="6" s="1"/>
  <c r="DA66" i="6" a="1"/>
  <c r="DA66" i="6" s="1"/>
  <c r="CA66" i="6"/>
  <c r="DH66" i="6" a="1"/>
  <c r="DH66" i="6" s="1"/>
  <c r="CX66" i="6" a="1"/>
  <c r="CX66" i="6" s="1"/>
  <c r="DN66" i="6" a="1"/>
  <c r="DN66" i="6" s="1"/>
  <c r="CE66" i="6"/>
  <c r="DI66" i="6" a="1"/>
  <c r="DI66" i="6" s="1"/>
  <c r="DD66" i="6" a="1"/>
  <c r="DD66" i="6" s="1"/>
  <c r="BT66" i="6"/>
  <c r="CK66" i="6"/>
  <c r="A68" i="12"/>
  <c r="C69" i="5"/>
  <c r="D68" i="5"/>
  <c r="B68" i="12" s="1"/>
  <c r="AD68" i="5"/>
  <c r="K68" i="5"/>
  <c r="B68" i="6"/>
  <c r="B68" i="5"/>
  <c r="AE68" i="5" a="1"/>
  <c r="AE68" i="5" s="1"/>
  <c r="J68" i="5"/>
  <c r="E68" i="5"/>
  <c r="G68" i="5"/>
  <c r="F68" i="5"/>
  <c r="H68" i="5"/>
  <c r="N68" i="5"/>
  <c r="D68" i="6" s="1"/>
  <c r="J67" i="12" a="1"/>
  <c r="J67" i="12" s="1"/>
  <c r="L67" i="12" a="1"/>
  <c r="L67" i="12" s="1"/>
  <c r="DO23" i="6" a="1"/>
  <c r="DO23" i="6" s="1"/>
  <c r="DO22" i="6" a="1"/>
  <c r="DO22" i="6" s="1"/>
  <c r="CN22" i="6"/>
  <c r="CN23" i="6"/>
  <c r="CN19" i="6"/>
  <c r="L75" i="6"/>
  <c r="DO19" i="6" a="1"/>
  <c r="DO19" i="6" s="1"/>
  <c r="CN12" i="6"/>
  <c r="CO13" i="6"/>
  <c r="CN17" i="6"/>
  <c r="CN25" i="6"/>
  <c r="CN36" i="6"/>
  <c r="CN45" i="6"/>
  <c r="CN49" i="6"/>
  <c r="CN26" i="6"/>
  <c r="CN50" i="6"/>
  <c r="CN61" i="6"/>
  <c r="CN62" i="6"/>
  <c r="BN12" i="6"/>
  <c r="BO13" i="6"/>
  <c r="BM16" i="6"/>
  <c r="DP13" i="6"/>
  <c r="DO12" i="6"/>
  <c r="DO25" i="6" a="1"/>
  <c r="DO25" i="6" s="1"/>
  <c r="DO17" i="6" a="1"/>
  <c r="DO17" i="6" s="1"/>
  <c r="DO36" i="6" a="1"/>
  <c r="DO36" i="6" s="1"/>
  <c r="DO45" i="6" a="1"/>
  <c r="DO45" i="6" s="1"/>
  <c r="DO26" i="6" a="1"/>
  <c r="DO26" i="6" s="1"/>
  <c r="DO49" i="6" a="1"/>
  <c r="DO49" i="6" s="1"/>
  <c r="DO50" i="6" a="1"/>
  <c r="DO50" i="6" s="1"/>
  <c r="DO61" i="6" a="1"/>
  <c r="DO61" i="6" s="1"/>
  <c r="DO62" i="6" a="1"/>
  <c r="DO62" i="6" s="1"/>
  <c r="DO66" i="6" a="1"/>
  <c r="DO66" i="6" s="1"/>
  <c r="B27" i="9"/>
  <c r="AC12" i="9"/>
  <c r="AD12" i="10"/>
  <c r="AD11" i="10" s="1" a="1"/>
  <c r="AD11" i="10" s="1"/>
  <c r="D69" i="5" l="1"/>
  <c r="B69" i="12" s="1"/>
  <c r="AE69" i="5" a="1"/>
  <c r="AE69" i="5" s="1"/>
  <c r="J69" i="5"/>
  <c r="B69" i="5"/>
  <c r="E69" i="5"/>
  <c r="H69" i="5"/>
  <c r="A69" i="12"/>
  <c r="F69" i="5"/>
  <c r="C70" i="5"/>
  <c r="N69" i="5"/>
  <c r="D69" i="6" s="1"/>
  <c r="B69" i="6"/>
  <c r="K69" i="5"/>
  <c r="AD69" i="5"/>
  <c r="G69" i="5"/>
  <c r="K67" i="12"/>
  <c r="J68" i="12" a="1"/>
  <c r="J68" i="12" s="1"/>
  <c r="L68" i="12" a="1"/>
  <c r="L68" i="12" s="1"/>
  <c r="DP23" i="6" a="1"/>
  <c r="DP23" i="6" s="1"/>
  <c r="DP22" i="6" a="1"/>
  <c r="DP22" i="6" s="1"/>
  <c r="CO22" i="6"/>
  <c r="CO23" i="6"/>
  <c r="DP19" i="6" a="1"/>
  <c r="DP19" i="6" s="1"/>
  <c r="CO19" i="6"/>
  <c r="L76" i="6"/>
  <c r="F75" i="6"/>
  <c r="BO12" i="6"/>
  <c r="BP13" i="6"/>
  <c r="BN16" i="6"/>
  <c r="DQ13" i="6"/>
  <c r="DP12" i="6"/>
  <c r="DP25" i="6" a="1"/>
  <c r="DP25" i="6" s="1"/>
  <c r="DP36" i="6" a="1"/>
  <c r="DP36" i="6" s="1"/>
  <c r="DP17" i="6" a="1"/>
  <c r="DP17" i="6" s="1"/>
  <c r="DP26" i="6" a="1"/>
  <c r="DP26" i="6" s="1"/>
  <c r="DP49" i="6" a="1"/>
  <c r="DP49" i="6" s="1"/>
  <c r="DP45" i="6" a="1"/>
  <c r="DP45" i="6" s="1"/>
  <c r="DP50" i="6" a="1"/>
  <c r="DP50" i="6" s="1"/>
  <c r="DP61" i="6" a="1"/>
  <c r="DP61" i="6" s="1"/>
  <c r="DP62" i="6" a="1"/>
  <c r="DP62" i="6" s="1"/>
  <c r="DP66" i="6" a="1"/>
  <c r="DP66" i="6" s="1"/>
  <c r="CO12" i="6"/>
  <c r="CP13" i="6"/>
  <c r="CO36" i="6"/>
  <c r="CO17" i="6"/>
  <c r="CO25" i="6"/>
  <c r="CO49" i="6"/>
  <c r="CO45" i="6"/>
  <c r="CO26" i="6"/>
  <c r="CO50" i="6"/>
  <c r="CO61" i="6"/>
  <c r="CO62" i="6"/>
  <c r="CO66" i="6"/>
  <c r="B28" i="9"/>
  <c r="AD12" i="9"/>
  <c r="AE12" i="10"/>
  <c r="AE11" i="10" s="1" a="1"/>
  <c r="AE11" i="10" s="1"/>
  <c r="K68" i="12" l="1"/>
  <c r="H70" i="5"/>
  <c r="E70" i="5"/>
  <c r="AD70" i="5"/>
  <c r="C71" i="5"/>
  <c r="F70" i="5"/>
  <c r="AE70" i="5" a="1"/>
  <c r="AE70" i="5" s="1"/>
  <c r="K70" i="5"/>
  <c r="G70" i="5"/>
  <c r="B70" i="5"/>
  <c r="A70" i="12"/>
  <c r="J70" i="5"/>
  <c r="N70" i="5"/>
  <c r="D70" i="6" s="1"/>
  <c r="D70" i="5"/>
  <c r="B70" i="12" s="1"/>
  <c r="B70" i="6"/>
  <c r="L69" i="12" a="1"/>
  <c r="L69" i="12" s="1"/>
  <c r="J69" i="12" a="1"/>
  <c r="J69" i="12" s="1"/>
  <c r="DQ23" i="6" a="1"/>
  <c r="DQ23" i="6" s="1"/>
  <c r="DQ22" i="6" a="1"/>
  <c r="DQ22" i="6" s="1"/>
  <c r="CP22" i="6"/>
  <c r="CP23" i="6"/>
  <c r="L77" i="6"/>
  <c r="F76" i="6"/>
  <c r="CP19" i="6"/>
  <c r="DQ19" i="6" a="1"/>
  <c r="DQ19" i="6" s="1"/>
  <c r="BO16" i="6"/>
  <c r="CQ13" i="6"/>
  <c r="CP12" i="6"/>
  <c r="CP36" i="6"/>
  <c r="CP17" i="6"/>
  <c r="CP25" i="6"/>
  <c r="CP49" i="6"/>
  <c r="CP45" i="6"/>
  <c r="CP26" i="6"/>
  <c r="CP50" i="6"/>
  <c r="CP61" i="6"/>
  <c r="CP62" i="6"/>
  <c r="CP66" i="6"/>
  <c r="DR13" i="6"/>
  <c r="DQ12" i="6"/>
  <c r="DQ36" i="6" a="1"/>
  <c r="DQ36" i="6" s="1"/>
  <c r="DQ25" i="6" a="1"/>
  <c r="DQ25" i="6" s="1"/>
  <c r="DQ17" i="6" a="1"/>
  <c r="DQ17" i="6" s="1"/>
  <c r="DQ26" i="6" a="1"/>
  <c r="DQ26" i="6" s="1"/>
  <c r="DQ49" i="6" a="1"/>
  <c r="DQ49" i="6" s="1"/>
  <c r="DQ45" i="6" a="1"/>
  <c r="DQ45" i="6" s="1"/>
  <c r="DQ50" i="6" a="1"/>
  <c r="DQ50" i="6" s="1"/>
  <c r="DQ61" i="6" a="1"/>
  <c r="DQ61" i="6" s="1"/>
  <c r="DQ62" i="6" a="1"/>
  <c r="DQ62" i="6" s="1"/>
  <c r="DQ66" i="6" a="1"/>
  <c r="DQ66" i="6" s="1"/>
  <c r="BP12" i="6"/>
  <c r="BQ13" i="6"/>
  <c r="BQ12" i="6" s="1"/>
  <c r="B29" i="9"/>
  <c r="AE12" i="9"/>
  <c r="AF12" i="9" s="1"/>
  <c r="AF12" i="10"/>
  <c r="K69" i="12" l="1"/>
  <c r="C72" i="5"/>
  <c r="J71" i="5"/>
  <c r="G71" i="5"/>
  <c r="AD71" i="5"/>
  <c r="E71" i="5"/>
  <c r="K71" i="5"/>
  <c r="B71" i="6"/>
  <c r="A71" i="12"/>
  <c r="F71" i="5"/>
  <c r="N71" i="5"/>
  <c r="D71" i="6" s="1"/>
  <c r="D71" i="5"/>
  <c r="B71" i="12" s="1"/>
  <c r="AE71" i="5" a="1"/>
  <c r="AE71" i="5" s="1"/>
  <c r="H71" i="5"/>
  <c r="B71" i="5"/>
  <c r="L70" i="12" a="1"/>
  <c r="L70" i="12" s="1"/>
  <c r="J70" i="12" a="1"/>
  <c r="J70" i="12" s="1"/>
  <c r="CQ23" i="6"/>
  <c r="CQ22" i="6"/>
  <c r="DR23" i="6" a="1"/>
  <c r="DR23" i="6" s="1"/>
  <c r="DR22" i="6" a="1"/>
  <c r="DR22" i="6" s="1"/>
  <c r="DR19" i="6" a="1"/>
  <c r="DR19" i="6" s="1"/>
  <c r="CQ19" i="6"/>
  <c r="L78" i="6"/>
  <c r="AF11" i="10" a="1"/>
  <c r="AF11" i="10" s="1"/>
  <c r="AG12" i="10"/>
  <c r="AG12" i="9"/>
  <c r="BQ16" i="6"/>
  <c r="DS13" i="6"/>
  <c r="DR12" i="6"/>
  <c r="DR25" i="6" a="1"/>
  <c r="DR25" i="6" s="1"/>
  <c r="DR36" i="6" a="1"/>
  <c r="DR36" i="6" s="1"/>
  <c r="DR17" i="6" a="1"/>
  <c r="DR17" i="6" s="1"/>
  <c r="DR26" i="6" a="1"/>
  <c r="DR26" i="6" s="1"/>
  <c r="DR49" i="6" a="1"/>
  <c r="DR49" i="6" s="1"/>
  <c r="DR45" i="6" a="1"/>
  <c r="DR45" i="6" s="1"/>
  <c r="DR50" i="6" a="1"/>
  <c r="DR50" i="6" s="1"/>
  <c r="DR61" i="6" a="1"/>
  <c r="DR61" i="6" s="1"/>
  <c r="DR62" i="6" a="1"/>
  <c r="DR62" i="6" s="1"/>
  <c r="DR66" i="6" a="1"/>
  <c r="DR66" i="6" s="1"/>
  <c r="CQ12" i="6"/>
  <c r="CR13" i="6"/>
  <c r="CQ17" i="6"/>
  <c r="CQ25" i="6"/>
  <c r="CQ36" i="6"/>
  <c r="CQ45" i="6"/>
  <c r="CQ26" i="6"/>
  <c r="CQ49" i="6"/>
  <c r="CQ50" i="6"/>
  <c r="CQ61" i="6"/>
  <c r="CQ62" i="6"/>
  <c r="CQ66" i="6"/>
  <c r="BP16" i="6"/>
  <c r="B30" i="9"/>
  <c r="M1" i="6"/>
  <c r="K70" i="12" l="1"/>
  <c r="L71" i="12" a="1"/>
  <c r="L71" i="12" s="1"/>
  <c r="J71" i="12" a="1"/>
  <c r="J71" i="12" s="1"/>
  <c r="A72" i="12"/>
  <c r="AE72" i="5" a="1"/>
  <c r="AE72" i="5" s="1"/>
  <c r="K72" i="5"/>
  <c r="N72" i="5"/>
  <c r="D72" i="6" s="1"/>
  <c r="H72" i="6" s="1" a="1"/>
  <c r="H72" i="6" s="1"/>
  <c r="T72" i="5" s="1"/>
  <c r="G72" i="12" s="1" a="1"/>
  <c r="G72" i="12" s="1"/>
  <c r="J72" i="5"/>
  <c r="B72" i="5"/>
  <c r="C73" i="5" s="1"/>
  <c r="D72" i="5"/>
  <c r="B72" i="12" s="1"/>
  <c r="F72" i="5"/>
  <c r="B72" i="6"/>
  <c r="AD72" i="5"/>
  <c r="E72" i="5"/>
  <c r="H72" i="5"/>
  <c r="G72" i="5"/>
  <c r="H22" i="6" a="1"/>
  <c r="H22" i="6" s="1"/>
  <c r="H23" i="6" a="1"/>
  <c r="H23" i="6" s="1"/>
  <c r="H24" i="6" a="1"/>
  <c r="H24" i="6" s="1"/>
  <c r="CR22" i="6"/>
  <c r="CR23" i="6"/>
  <c r="DS22" i="6" a="1"/>
  <c r="DS22" i="6" s="1"/>
  <c r="DS23" i="6" a="1"/>
  <c r="DS23" i="6" s="1"/>
  <c r="DS19" i="6" a="1"/>
  <c r="DS19" i="6" s="1"/>
  <c r="AF11" i="9"/>
  <c r="H18" i="6" a="1"/>
  <c r="H18" i="6" s="1"/>
  <c r="H19" i="6" a="1"/>
  <c r="H19" i="6" s="1"/>
  <c r="H20" i="6" a="1"/>
  <c r="H20" i="6" s="1"/>
  <c r="H21" i="6" a="1"/>
  <c r="H21" i="6" s="1"/>
  <c r="L79" i="6"/>
  <c r="CR19" i="6"/>
  <c r="AG11" i="10" a="1"/>
  <c r="AG11" i="10" s="1"/>
  <c r="AH12" i="10"/>
  <c r="AG11" i="9"/>
  <c r="AH12" i="9"/>
  <c r="H17" i="6" a="1"/>
  <c r="H17" i="6" s="1"/>
  <c r="T17" i="5" s="1"/>
  <c r="G17" i="12" s="1" a="1"/>
  <c r="G17" i="12" s="1"/>
  <c r="H25" i="6" a="1"/>
  <c r="H25" i="6" s="1"/>
  <c r="T25" i="5" s="1"/>
  <c r="G25" i="12" s="1" a="1"/>
  <c r="G25" i="12" s="1"/>
  <c r="H26" i="6" a="1"/>
  <c r="H26" i="6" s="1"/>
  <c r="T26" i="5" s="1"/>
  <c r="G26" i="12" s="1" a="1"/>
  <c r="G26" i="12" s="1"/>
  <c r="H27" i="6" a="1"/>
  <c r="H27" i="6" s="1"/>
  <c r="T27" i="5" s="1"/>
  <c r="G27" i="12" s="1" a="1"/>
  <c r="G27" i="12" s="1"/>
  <c r="H28" i="6" a="1"/>
  <c r="H28" i="6" s="1"/>
  <c r="T28" i="5" s="1"/>
  <c r="G28" i="12" s="1" a="1"/>
  <c r="G28" i="12" s="1"/>
  <c r="H29" i="6" a="1"/>
  <c r="H29" i="6" s="1"/>
  <c r="T29" i="5" s="1"/>
  <c r="G29" i="12" s="1" a="1"/>
  <c r="G29" i="12" s="1"/>
  <c r="H30" i="6" a="1"/>
  <c r="H30" i="6" s="1"/>
  <c r="T30" i="5" s="1"/>
  <c r="G30" i="12" s="1" a="1"/>
  <c r="G30" i="12" s="1"/>
  <c r="H31" i="6" a="1"/>
  <c r="H31" i="6" s="1"/>
  <c r="T31" i="5" s="1"/>
  <c r="G31" i="12" s="1" a="1"/>
  <c r="G31" i="12" s="1"/>
  <c r="H32" i="6" a="1"/>
  <c r="H32" i="6" s="1"/>
  <c r="T32" i="5" s="1"/>
  <c r="G32" i="12" s="1" a="1"/>
  <c r="G32" i="12" s="1"/>
  <c r="H33" i="6" a="1"/>
  <c r="H33" i="6" s="1"/>
  <c r="T33" i="5" s="1"/>
  <c r="G33" i="12" s="1" a="1"/>
  <c r="G33" i="12" s="1"/>
  <c r="H34" i="6" a="1"/>
  <c r="H34" i="6" s="1"/>
  <c r="T34" i="5" s="1"/>
  <c r="G34" i="12" s="1" a="1"/>
  <c r="G34" i="12" s="1"/>
  <c r="H35" i="6" a="1"/>
  <c r="H35" i="6" s="1"/>
  <c r="T35" i="5" s="1"/>
  <c r="G35" i="12" s="1" a="1"/>
  <c r="G35" i="12" s="1"/>
  <c r="H36" i="6" a="1"/>
  <c r="H36" i="6" s="1"/>
  <c r="T36" i="5" s="1"/>
  <c r="G36" i="12" s="1" a="1"/>
  <c r="G36" i="12" s="1"/>
  <c r="H37" i="6" a="1"/>
  <c r="H37" i="6" s="1"/>
  <c r="T37" i="5" s="1"/>
  <c r="G37" i="12" s="1" a="1"/>
  <c r="G37" i="12" s="1"/>
  <c r="H38" i="6" a="1"/>
  <c r="H38" i="6" s="1"/>
  <c r="T38" i="5" s="1"/>
  <c r="G38" i="12" s="1" a="1"/>
  <c r="G38" i="12" s="1"/>
  <c r="H39" i="6" a="1"/>
  <c r="H39" i="6" s="1"/>
  <c r="T39" i="5" s="1"/>
  <c r="G39" i="12" s="1" a="1"/>
  <c r="G39" i="12" s="1"/>
  <c r="H40" i="6" a="1"/>
  <c r="H40" i="6" s="1"/>
  <c r="T40" i="5" s="1"/>
  <c r="G40" i="12" s="1" a="1"/>
  <c r="G40" i="12" s="1"/>
  <c r="H41" i="6" a="1"/>
  <c r="H41" i="6" s="1"/>
  <c r="T41" i="5" s="1"/>
  <c r="G41" i="12" s="1" a="1"/>
  <c r="G41" i="12" s="1"/>
  <c r="H42" i="6" a="1"/>
  <c r="H42" i="6" s="1"/>
  <c r="T42" i="5" s="1"/>
  <c r="G42" i="12" s="1" a="1"/>
  <c r="G42" i="12" s="1"/>
  <c r="H43" i="6" a="1"/>
  <c r="H43" i="6" s="1"/>
  <c r="T43" i="5" s="1"/>
  <c r="G43" i="12" s="1" a="1"/>
  <c r="G43" i="12" s="1"/>
  <c r="H44" i="6" a="1"/>
  <c r="H44" i="6" s="1"/>
  <c r="T44" i="5" s="1"/>
  <c r="G44" i="12" s="1" a="1"/>
  <c r="G44" i="12" s="1"/>
  <c r="H45" i="6" a="1"/>
  <c r="H45" i="6" s="1"/>
  <c r="T45" i="5" s="1"/>
  <c r="G45" i="12" s="1" a="1"/>
  <c r="G45" i="12" s="1"/>
  <c r="H46" i="6" a="1"/>
  <c r="H46" i="6" s="1"/>
  <c r="T46" i="5" s="1"/>
  <c r="G46" i="12" s="1" a="1"/>
  <c r="G46" i="12" s="1"/>
  <c r="H47" i="6" a="1"/>
  <c r="H47" i="6" s="1"/>
  <c r="T47" i="5" s="1"/>
  <c r="G47" i="12" s="1" a="1"/>
  <c r="G47" i="12" s="1"/>
  <c r="H48" i="6" a="1"/>
  <c r="H48" i="6" s="1"/>
  <c r="T48" i="5" s="1"/>
  <c r="G48" i="12" s="1" a="1"/>
  <c r="G48" i="12" s="1"/>
  <c r="H49" i="6" a="1"/>
  <c r="H49" i="6" s="1"/>
  <c r="T49" i="5" s="1"/>
  <c r="G49" i="12" s="1" a="1"/>
  <c r="G49" i="12" s="1"/>
  <c r="H50" i="6" a="1"/>
  <c r="H50" i="6" s="1"/>
  <c r="T50" i="5" s="1"/>
  <c r="G50" i="12" s="1" a="1"/>
  <c r="G50" i="12" s="1"/>
  <c r="H51" i="6" a="1"/>
  <c r="H51" i="6" s="1"/>
  <c r="T51" i="5" s="1"/>
  <c r="G51" i="12" s="1" a="1"/>
  <c r="G51" i="12" s="1"/>
  <c r="H52" i="6" a="1"/>
  <c r="H52" i="6" s="1"/>
  <c r="T52" i="5" s="1"/>
  <c r="G52" i="12" s="1" a="1"/>
  <c r="G52" i="12" s="1"/>
  <c r="H53" i="6" a="1"/>
  <c r="H53" i="6" s="1"/>
  <c r="T53" i="5" s="1"/>
  <c r="G53" i="12" s="1" a="1"/>
  <c r="G53" i="12" s="1"/>
  <c r="H54" i="6" a="1"/>
  <c r="H54" i="6" s="1"/>
  <c r="T54" i="5" s="1"/>
  <c r="G54" i="12" s="1" a="1"/>
  <c r="G54" i="12" s="1"/>
  <c r="H55" i="6" a="1"/>
  <c r="H55" i="6" s="1"/>
  <c r="T55" i="5" s="1"/>
  <c r="G55" i="12" s="1" a="1"/>
  <c r="G55" i="12" s="1"/>
  <c r="H56" i="6" a="1"/>
  <c r="H56" i="6" s="1"/>
  <c r="T56" i="5" s="1"/>
  <c r="G56" i="12" s="1" a="1"/>
  <c r="G56" i="12" s="1"/>
  <c r="H57" i="6" a="1"/>
  <c r="H57" i="6" s="1"/>
  <c r="T57" i="5" s="1"/>
  <c r="G57" i="12" s="1" a="1"/>
  <c r="G57" i="12" s="1"/>
  <c r="H58" i="6" a="1"/>
  <c r="H58" i="6" s="1"/>
  <c r="T58" i="5" s="1"/>
  <c r="G58" i="12" s="1" a="1"/>
  <c r="G58" i="12" s="1"/>
  <c r="H59" i="6" a="1"/>
  <c r="H59" i="6" s="1"/>
  <c r="T59" i="5" s="1"/>
  <c r="G59" i="12" s="1" a="1"/>
  <c r="G59" i="12" s="1"/>
  <c r="H60" i="6" a="1"/>
  <c r="H60" i="6" s="1"/>
  <c r="T60" i="5" s="1"/>
  <c r="G60" i="12" s="1" a="1"/>
  <c r="G60" i="12" s="1"/>
  <c r="H61" i="6" a="1"/>
  <c r="H61" i="6" s="1"/>
  <c r="T61" i="5" s="1"/>
  <c r="G61" i="12" s="1" a="1"/>
  <c r="G61" i="12" s="1"/>
  <c r="H62" i="6" a="1"/>
  <c r="H62" i="6" s="1"/>
  <c r="T62" i="5" s="1"/>
  <c r="G62" i="12" s="1" a="1"/>
  <c r="G62" i="12" s="1"/>
  <c r="H63" i="6" a="1"/>
  <c r="H63" i="6" s="1"/>
  <c r="T63" i="5" s="1"/>
  <c r="G63" i="12" s="1" a="1"/>
  <c r="G63" i="12" s="1"/>
  <c r="H64" i="6" a="1"/>
  <c r="H64" i="6" s="1"/>
  <c r="T64" i="5" s="1"/>
  <c r="G64" i="12" s="1" a="1"/>
  <c r="G64" i="12" s="1"/>
  <c r="H65" i="6" a="1"/>
  <c r="H65" i="6" s="1"/>
  <c r="T65" i="5" s="1"/>
  <c r="G65" i="12" s="1" a="1"/>
  <c r="G65" i="12" s="1"/>
  <c r="H66" i="6" a="1"/>
  <c r="H66" i="6" s="1"/>
  <c r="T66" i="5" s="1"/>
  <c r="G66" i="12" s="1" a="1"/>
  <c r="G66" i="12" s="1"/>
  <c r="H67" i="6" a="1"/>
  <c r="H67" i="6" s="1"/>
  <c r="T67" i="5" s="1"/>
  <c r="G67" i="12" s="1" a="1"/>
  <c r="G67" i="12" s="1"/>
  <c r="H68" i="6" a="1"/>
  <c r="H68" i="6" s="1"/>
  <c r="T68" i="5" s="1"/>
  <c r="G68" i="12" s="1" a="1"/>
  <c r="G68" i="12" s="1"/>
  <c r="H69" i="6" a="1"/>
  <c r="H69" i="6" s="1"/>
  <c r="T69" i="5" s="1"/>
  <c r="G69" i="12" s="1" a="1"/>
  <c r="G69" i="12" s="1"/>
  <c r="H70" i="6" a="1"/>
  <c r="H70" i="6" s="1"/>
  <c r="T70" i="5" s="1"/>
  <c r="G70" i="12" s="1" a="1"/>
  <c r="G70" i="12" s="1"/>
  <c r="H71" i="6" a="1"/>
  <c r="H71" i="6" s="1"/>
  <c r="T71" i="5" s="1"/>
  <c r="G71" i="12" s="1" a="1"/>
  <c r="G71" i="12" s="1"/>
  <c r="CR12" i="6"/>
  <c r="CR17" i="6"/>
  <c r="CR25" i="6"/>
  <c r="CR36" i="6"/>
  <c r="CR26" i="6"/>
  <c r="CR45" i="6"/>
  <c r="CR49" i="6"/>
  <c r="CR50" i="6"/>
  <c r="CR61" i="6"/>
  <c r="CR62" i="6"/>
  <c r="CR66" i="6"/>
  <c r="DS12" i="6"/>
  <c r="DS25" i="6" a="1"/>
  <c r="DS25" i="6" s="1"/>
  <c r="DS36" i="6" a="1"/>
  <c r="DS36" i="6" s="1"/>
  <c r="DS17" i="6" a="1"/>
  <c r="DS17" i="6" s="1"/>
  <c r="DS26" i="6" a="1"/>
  <c r="DS26" i="6" s="1"/>
  <c r="DS45" i="6" a="1"/>
  <c r="DS45" i="6" s="1"/>
  <c r="DS49" i="6" a="1"/>
  <c r="DS49" i="6" s="1"/>
  <c r="DS50" i="6" a="1"/>
  <c r="DS50" i="6" s="1"/>
  <c r="DS61" i="6" a="1"/>
  <c r="DS61" i="6" s="1"/>
  <c r="DS62" i="6" a="1"/>
  <c r="DS62" i="6" s="1"/>
  <c r="DS66" i="6" a="1"/>
  <c r="DS66" i="6" s="1"/>
  <c r="B31" i="9"/>
  <c r="J16" i="6" a="1"/>
  <c r="J16"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K71" i="12" l="1"/>
  <c r="J72" i="12" a="1"/>
  <c r="J72" i="12" s="1"/>
  <c r="L72" i="12" a="1"/>
  <c r="L72" i="12" s="1"/>
  <c r="AD73" i="5"/>
  <c r="B73" i="6"/>
  <c r="A73" i="6" s="1"/>
  <c r="B73" i="5"/>
  <c r="AF73" i="5" a="1"/>
  <c r="AF73" i="5" s="1"/>
  <c r="AG73" i="5" s="1" a="1"/>
  <c r="AG73" i="5" s="1"/>
  <c r="U73" i="5" s="1"/>
  <c r="AN73" i="5" s="1" a="1"/>
  <c r="AN73" i="5" s="1"/>
  <c r="AE73" i="5" a="1"/>
  <c r="AE73" i="5" s="1"/>
  <c r="E73" i="5"/>
  <c r="A73" i="12"/>
  <c r="H73" i="5"/>
  <c r="N73" i="5"/>
  <c r="D73" i="6" s="1"/>
  <c r="N73" i="6" s="1"/>
  <c r="F73" i="5"/>
  <c r="G73" i="5"/>
  <c r="W73" i="5" a="1"/>
  <c r="W73" i="5" s="1"/>
  <c r="H73" i="12" s="1" a="1"/>
  <c r="H73" i="12" s="1"/>
  <c r="I73" i="5"/>
  <c r="C74" i="5"/>
  <c r="T22" i="5"/>
  <c r="AR22" i="6"/>
  <c r="AS22" i="6"/>
  <c r="AT22" i="6"/>
  <c r="AU22" i="6"/>
  <c r="AV22" i="6"/>
  <c r="AW22" i="6"/>
  <c r="AX22" i="6"/>
  <c r="AY22" i="6"/>
  <c r="AZ22" i="6"/>
  <c r="BA22" i="6"/>
  <c r="BB22" i="6"/>
  <c r="BC22" i="6"/>
  <c r="BD22" i="6"/>
  <c r="BE22" i="6"/>
  <c r="BF22" i="6"/>
  <c r="BG22" i="6"/>
  <c r="BH22" i="6"/>
  <c r="BI22" i="6"/>
  <c r="BJ22" i="6"/>
  <c r="BK22" i="6"/>
  <c r="BL22" i="6"/>
  <c r="BM22" i="6"/>
  <c r="BN22" i="6"/>
  <c r="BO22" i="6"/>
  <c r="BQ22" i="6"/>
  <c r="BP22" i="6"/>
  <c r="T24" i="5"/>
  <c r="T23" i="5"/>
  <c r="AR23" i="6"/>
  <c r="AS23" i="6"/>
  <c r="AT23" i="6"/>
  <c r="AU23" i="6"/>
  <c r="AV23" i="6"/>
  <c r="AW23" i="6"/>
  <c r="AX23" i="6"/>
  <c r="AY23" i="6"/>
  <c r="AZ23" i="6"/>
  <c r="BA23" i="6"/>
  <c r="BB23" i="6"/>
  <c r="BC23" i="6"/>
  <c r="BD23" i="6"/>
  <c r="BE23" i="6"/>
  <c r="BF23" i="6"/>
  <c r="BG23" i="6"/>
  <c r="BH23" i="6"/>
  <c r="BI23" i="6"/>
  <c r="BJ23" i="6"/>
  <c r="BK23" i="6"/>
  <c r="BL23" i="6"/>
  <c r="BM23" i="6"/>
  <c r="BN23" i="6"/>
  <c r="BO23" i="6"/>
  <c r="BQ23" i="6"/>
  <c r="BP23" i="6"/>
  <c r="T20" i="5"/>
  <c r="T19" i="5"/>
  <c r="AR19" i="6"/>
  <c r="AS19" i="6"/>
  <c r="AT19" i="6"/>
  <c r="AU19" i="6"/>
  <c r="AV19" i="6"/>
  <c r="AW19" i="6"/>
  <c r="AX19" i="6"/>
  <c r="AY19" i="6"/>
  <c r="AZ19" i="6"/>
  <c r="BB19" i="6"/>
  <c r="BA19" i="6"/>
  <c r="BC19" i="6"/>
  <c r="BD19" i="6"/>
  <c r="BE19" i="6"/>
  <c r="BF19" i="6"/>
  <c r="BG19" i="6"/>
  <c r="BH19" i="6"/>
  <c r="BI19" i="6"/>
  <c r="BJ19" i="6"/>
  <c r="BK19" i="6"/>
  <c r="BL19" i="6"/>
  <c r="BM19" i="6"/>
  <c r="BN19" i="6"/>
  <c r="BO19" i="6"/>
  <c r="BP19" i="6"/>
  <c r="BQ19" i="6"/>
  <c r="L80" i="6"/>
  <c r="T21" i="5"/>
  <c r="T18" i="5"/>
  <c r="AI12" i="9"/>
  <c r="AH11" i="9"/>
  <c r="AH11" i="10" a="1"/>
  <c r="AH11" i="10" s="1"/>
  <c r="AI12" i="10"/>
  <c r="AR36" i="6"/>
  <c r="AS36" i="6"/>
  <c r="AT36" i="6"/>
  <c r="AU36" i="6"/>
  <c r="AV36" i="6"/>
  <c r="AW36" i="6"/>
  <c r="AX36" i="6"/>
  <c r="AY36" i="6"/>
  <c r="AZ36" i="6"/>
  <c r="BB36" i="6"/>
  <c r="BA36" i="6"/>
  <c r="BC36" i="6"/>
  <c r="BD36" i="6"/>
  <c r="BE36" i="6"/>
  <c r="BF36" i="6"/>
  <c r="BG36" i="6"/>
  <c r="BH36" i="6"/>
  <c r="BI36" i="6"/>
  <c r="BJ36" i="6"/>
  <c r="BK36" i="6"/>
  <c r="BL36" i="6"/>
  <c r="BM36" i="6"/>
  <c r="BN36" i="6"/>
  <c r="BO36" i="6"/>
  <c r="BQ36" i="6"/>
  <c r="BP36" i="6"/>
  <c r="AR17" i="6"/>
  <c r="AS17" i="6"/>
  <c r="AT17" i="6"/>
  <c r="AU17" i="6"/>
  <c r="AV17" i="6"/>
  <c r="AW17" i="6"/>
  <c r="AX17" i="6"/>
  <c r="AY17" i="6"/>
  <c r="AZ17" i="6"/>
  <c r="BB17" i="6"/>
  <c r="BA17" i="6"/>
  <c r="BC17" i="6"/>
  <c r="BD17" i="6"/>
  <c r="BE17" i="6"/>
  <c r="BF17" i="6"/>
  <c r="BG17" i="6"/>
  <c r="BH17" i="6"/>
  <c r="BI17" i="6"/>
  <c r="BJ17" i="6"/>
  <c r="BK17" i="6"/>
  <c r="BL17" i="6"/>
  <c r="BM17" i="6"/>
  <c r="BN17" i="6"/>
  <c r="BO17" i="6"/>
  <c r="BQ17" i="6"/>
  <c r="BP17" i="6"/>
  <c r="AR45" i="6"/>
  <c r="AS45" i="6"/>
  <c r="AT45" i="6"/>
  <c r="AU45" i="6"/>
  <c r="AV45" i="6"/>
  <c r="AW45" i="6"/>
  <c r="AX45" i="6"/>
  <c r="AY45" i="6"/>
  <c r="AZ45" i="6"/>
  <c r="BB45" i="6"/>
  <c r="BA45" i="6"/>
  <c r="BC45" i="6"/>
  <c r="BD45" i="6"/>
  <c r="BE45" i="6"/>
  <c r="BF45" i="6"/>
  <c r="BG45" i="6"/>
  <c r="BH45" i="6"/>
  <c r="BI45" i="6"/>
  <c r="BJ45" i="6"/>
  <c r="BK45" i="6"/>
  <c r="BL45" i="6"/>
  <c r="BM45" i="6"/>
  <c r="BN45" i="6"/>
  <c r="BO45" i="6"/>
  <c r="BQ45" i="6"/>
  <c r="BP45" i="6"/>
  <c r="AU62" i="6"/>
  <c r="AX62" i="6"/>
  <c r="AT62" i="6"/>
  <c r="AR62" i="6"/>
  <c r="AS62" i="6"/>
  <c r="AW62" i="6"/>
  <c r="AV62" i="6"/>
  <c r="AY62" i="6"/>
  <c r="AZ62" i="6"/>
  <c r="BA62" i="6"/>
  <c r="BB62" i="6"/>
  <c r="BC62" i="6"/>
  <c r="BD62" i="6"/>
  <c r="BE62" i="6"/>
  <c r="BF62" i="6"/>
  <c r="BG62" i="6"/>
  <c r="BH62" i="6"/>
  <c r="BI62" i="6"/>
  <c r="BJ62" i="6"/>
  <c r="BK62" i="6"/>
  <c r="BL62" i="6"/>
  <c r="BM62" i="6"/>
  <c r="BN62" i="6"/>
  <c r="BO62" i="6"/>
  <c r="BQ62" i="6"/>
  <c r="BP62" i="6"/>
  <c r="AR50" i="6"/>
  <c r="AS50" i="6"/>
  <c r="AT50" i="6"/>
  <c r="AU50" i="6"/>
  <c r="AV50" i="6"/>
  <c r="AW50" i="6"/>
  <c r="AX50" i="6"/>
  <c r="AY50" i="6"/>
  <c r="AZ50" i="6"/>
  <c r="BA50" i="6"/>
  <c r="BB50" i="6"/>
  <c r="BC50" i="6"/>
  <c r="BD50" i="6"/>
  <c r="BE50" i="6"/>
  <c r="BF50" i="6"/>
  <c r="BG50" i="6"/>
  <c r="BH50" i="6"/>
  <c r="BI50" i="6"/>
  <c r="BJ50" i="6"/>
  <c r="BK50" i="6"/>
  <c r="BL50" i="6"/>
  <c r="BM50" i="6"/>
  <c r="BN50" i="6"/>
  <c r="BO50" i="6"/>
  <c r="BP50" i="6"/>
  <c r="BQ50" i="6"/>
  <c r="AR26" i="6"/>
  <c r="AS26" i="6"/>
  <c r="AT26" i="6"/>
  <c r="AV26" i="6"/>
  <c r="AU26" i="6"/>
  <c r="AW26" i="6"/>
  <c r="AX26" i="6"/>
  <c r="AY26" i="6"/>
  <c r="AZ26" i="6"/>
  <c r="BA26" i="6"/>
  <c r="BB26" i="6"/>
  <c r="BC26" i="6"/>
  <c r="BD26" i="6"/>
  <c r="BE26" i="6"/>
  <c r="BF26" i="6"/>
  <c r="BG26" i="6"/>
  <c r="BH26" i="6"/>
  <c r="BI26" i="6"/>
  <c r="BJ26" i="6"/>
  <c r="BK26" i="6"/>
  <c r="BL26" i="6"/>
  <c r="BM26" i="6"/>
  <c r="BN26" i="6"/>
  <c r="BO26" i="6"/>
  <c r="BQ26" i="6"/>
  <c r="BP26" i="6"/>
  <c r="AU61" i="6"/>
  <c r="AV61" i="6"/>
  <c r="AW61" i="6"/>
  <c r="AS61" i="6"/>
  <c r="AR61" i="6"/>
  <c r="AT61" i="6"/>
  <c r="AX61" i="6"/>
  <c r="AY61" i="6"/>
  <c r="AZ61" i="6"/>
  <c r="BB61" i="6"/>
  <c r="BA61" i="6"/>
  <c r="BC61" i="6"/>
  <c r="BD61" i="6"/>
  <c r="BE61" i="6"/>
  <c r="BF61" i="6"/>
  <c r="BG61" i="6"/>
  <c r="BH61" i="6"/>
  <c r="BI61" i="6"/>
  <c r="BJ61" i="6"/>
  <c r="BK61" i="6"/>
  <c r="BL61" i="6"/>
  <c r="BM61" i="6"/>
  <c r="BN61" i="6"/>
  <c r="BO61" i="6"/>
  <c r="BQ61" i="6"/>
  <c r="BP61" i="6"/>
  <c r="AR49" i="6"/>
  <c r="AS49" i="6"/>
  <c r="AT49" i="6"/>
  <c r="AU49" i="6"/>
  <c r="AV49" i="6"/>
  <c r="AW49" i="6"/>
  <c r="AX49" i="6"/>
  <c r="AY49" i="6"/>
  <c r="AZ49" i="6"/>
  <c r="BA49" i="6"/>
  <c r="BB49" i="6"/>
  <c r="BC49" i="6"/>
  <c r="BD49" i="6"/>
  <c r="BE49" i="6"/>
  <c r="BF49" i="6"/>
  <c r="BG49" i="6"/>
  <c r="BH49" i="6"/>
  <c r="BI49" i="6"/>
  <c r="BJ49" i="6"/>
  <c r="BK49" i="6"/>
  <c r="BL49" i="6"/>
  <c r="BM49" i="6"/>
  <c r="BN49" i="6"/>
  <c r="BO49" i="6"/>
  <c r="BQ49" i="6"/>
  <c r="BP49" i="6"/>
  <c r="AR25" i="6"/>
  <c r="AS25" i="6"/>
  <c r="AT25" i="6"/>
  <c r="AU25" i="6"/>
  <c r="AV25" i="6"/>
  <c r="AW25" i="6"/>
  <c r="AX25" i="6"/>
  <c r="AY25" i="6"/>
  <c r="AZ25" i="6"/>
  <c r="BB25" i="6"/>
  <c r="BA25" i="6"/>
  <c r="BC25" i="6"/>
  <c r="BD25" i="6"/>
  <c r="BE25" i="6"/>
  <c r="BF25" i="6"/>
  <c r="BG25" i="6"/>
  <c r="BH25" i="6"/>
  <c r="BI25" i="6"/>
  <c r="BJ25" i="6"/>
  <c r="BK25" i="6"/>
  <c r="BL25" i="6"/>
  <c r="BM25" i="6"/>
  <c r="BN25" i="6"/>
  <c r="BO25" i="6"/>
  <c r="BQ25" i="6"/>
  <c r="BP25" i="6"/>
  <c r="AX66" i="6"/>
  <c r="AU66" i="6"/>
  <c r="AZ66" i="6"/>
  <c r="AT66" i="6"/>
  <c r="AS66" i="6"/>
  <c r="AV66" i="6"/>
  <c r="AR66" i="6"/>
  <c r="AY66" i="6"/>
  <c r="AW66" i="6"/>
  <c r="BA66" i="6"/>
  <c r="BB66" i="6"/>
  <c r="BC66" i="6"/>
  <c r="BD66" i="6"/>
  <c r="BE66" i="6"/>
  <c r="BF66" i="6"/>
  <c r="BG66" i="6"/>
  <c r="BH66" i="6"/>
  <c r="BI66" i="6"/>
  <c r="BJ66" i="6"/>
  <c r="BK66" i="6"/>
  <c r="BL66" i="6"/>
  <c r="BM66" i="6"/>
  <c r="BN66" i="6"/>
  <c r="BO66" i="6"/>
  <c r="BP66" i="6"/>
  <c r="BQ66" i="6"/>
  <c r="B32" i="9"/>
  <c r="I10" i="7"/>
  <c r="K13" i="7"/>
  <c r="L13" i="7" s="1"/>
  <c r="J10" i="7"/>
  <c r="K72" i="12" l="1"/>
  <c r="M73" i="6"/>
  <c r="DE73" i="6" s="1" a="1"/>
  <c r="DE73" i="6" s="1"/>
  <c r="G73" i="6"/>
  <c r="H73" i="6" a="1"/>
  <c r="H73" i="6" s="1"/>
  <c r="E74" i="5"/>
  <c r="AE74" i="5" a="1"/>
  <c r="AE74" i="5" s="1"/>
  <c r="A74" i="12"/>
  <c r="H74" i="5"/>
  <c r="F74" i="5"/>
  <c r="B74" i="6"/>
  <c r="AD74" i="5"/>
  <c r="B74" i="5"/>
  <c r="C75" i="5" s="1"/>
  <c r="D74" i="5"/>
  <c r="B74" i="12" s="1"/>
  <c r="G74" i="5"/>
  <c r="K74" i="5"/>
  <c r="N74" i="5"/>
  <c r="D74" i="6" s="1"/>
  <c r="H74" i="6" s="1" a="1"/>
  <c r="H74" i="6" s="1"/>
  <c r="T74" i="5" s="1"/>
  <c r="G74" i="12" s="1" a="1"/>
  <c r="G74" i="12" s="1"/>
  <c r="J74" i="5"/>
  <c r="G23" i="12" a="1"/>
  <c r="G23" i="12" s="1"/>
  <c r="G24" i="12" a="1"/>
  <c r="G24" i="12" s="1"/>
  <c r="G22" i="12" a="1"/>
  <c r="G22" i="12" s="1"/>
  <c r="G19" i="12" a="1"/>
  <c r="G19" i="12" s="1"/>
  <c r="L81" i="6"/>
  <c r="G20" i="12" a="1"/>
  <c r="G20" i="12" s="1"/>
  <c r="G18" i="12" a="1"/>
  <c r="G18" i="12" s="1"/>
  <c r="G21" i="12" a="1"/>
  <c r="G21" i="12" s="1"/>
  <c r="AJ12" i="10"/>
  <c r="AI11" i="10" a="1"/>
  <c r="AI11" i="10" s="1"/>
  <c r="AJ12" i="9"/>
  <c r="AI11" i="9"/>
  <c r="B33" i="9"/>
  <c r="M13" i="7"/>
  <c r="L10" i="7"/>
  <c r="BW73" i="6" l="1"/>
  <c r="CR73" i="6"/>
  <c r="DB73" i="6" a="1"/>
  <c r="DB73" i="6" s="1"/>
  <c r="BZ73" i="6"/>
  <c r="DK73" i="6" a="1"/>
  <c r="DK73" i="6" s="1"/>
  <c r="CT73" i="6" a="1"/>
  <c r="CT73" i="6" s="1"/>
  <c r="DS73" i="6" a="1"/>
  <c r="DS73" i="6" s="1"/>
  <c r="CY73" i="6" a="1"/>
  <c r="CY73" i="6" s="1"/>
  <c r="DJ73" i="6" a="1"/>
  <c r="DJ73" i="6" s="1"/>
  <c r="CA73" i="6"/>
  <c r="CD73" i="6"/>
  <c r="CK73" i="6"/>
  <c r="BT73" i="6"/>
  <c r="CQ73" i="6"/>
  <c r="CM73" i="6"/>
  <c r="CX73" i="6" a="1"/>
  <c r="CX73" i="6" s="1"/>
  <c r="CH73" i="6"/>
  <c r="CE73" i="6"/>
  <c r="CW73" i="6" a="1"/>
  <c r="CW73" i="6" s="1"/>
  <c r="BC73" i="6"/>
  <c r="DC73" i="6" a="1"/>
  <c r="DC73" i="6" s="1"/>
  <c r="DL73" i="6" a="1"/>
  <c r="DL73" i="6" s="1"/>
  <c r="CJ73" i="6"/>
  <c r="CI73" i="6"/>
  <c r="CG73" i="6"/>
  <c r="DO73" i="6" a="1"/>
  <c r="DO73" i="6" s="1"/>
  <c r="DI73" i="6" a="1"/>
  <c r="DI73" i="6" s="1"/>
  <c r="AT73" i="6"/>
  <c r="DH73" i="6" a="1"/>
  <c r="DH73" i="6" s="1"/>
  <c r="CV73" i="6" a="1"/>
  <c r="CV73" i="6" s="1"/>
  <c r="DM73" i="6" a="1"/>
  <c r="DM73" i="6" s="1"/>
  <c r="DA73" i="6" a="1"/>
  <c r="DA73" i="6" s="1"/>
  <c r="CL73" i="6"/>
  <c r="CN73" i="6"/>
  <c r="CP73" i="6"/>
  <c r="DR73" i="6" a="1"/>
  <c r="DR73" i="6" s="1"/>
  <c r="CZ73" i="6" a="1"/>
  <c r="CZ73" i="6" s="1"/>
  <c r="DP73" i="6" a="1"/>
  <c r="DP73" i="6" s="1"/>
  <c r="DN73" i="6" a="1"/>
  <c r="DN73" i="6" s="1"/>
  <c r="CF73" i="6"/>
  <c r="BU73" i="6"/>
  <c r="CC73" i="6"/>
  <c r="DG73" i="6" a="1"/>
  <c r="DG73" i="6" s="1"/>
  <c r="BY73" i="6"/>
  <c r="BV73" i="6"/>
  <c r="CO73" i="6"/>
  <c r="CB73" i="6"/>
  <c r="DD73" i="6" a="1"/>
  <c r="DD73" i="6" s="1"/>
  <c r="CU73" i="6" a="1"/>
  <c r="CU73" i="6" s="1"/>
  <c r="BX73" i="6"/>
  <c r="DF73" i="6" a="1"/>
  <c r="DF73" i="6" s="1"/>
  <c r="BS73" i="6"/>
  <c r="DQ73" i="6" a="1"/>
  <c r="DQ73" i="6" s="1"/>
  <c r="BB73" i="6"/>
  <c r="AW73" i="6"/>
  <c r="BH73" i="6"/>
  <c r="BE73" i="6"/>
  <c r="BJ73" i="6"/>
  <c r="BL73" i="6"/>
  <c r="BQ73" i="6"/>
  <c r="AR73" i="6"/>
  <c r="BM73" i="6"/>
  <c r="BO73" i="6"/>
  <c r="AZ73" i="6"/>
  <c r="BG73" i="6"/>
  <c r="BA73" i="6"/>
  <c r="BF73" i="6"/>
  <c r="BI73" i="6"/>
  <c r="BP73" i="6"/>
  <c r="AY73" i="6"/>
  <c r="BN73" i="6"/>
  <c r="BK73" i="6"/>
  <c r="AU73" i="6"/>
  <c r="AX73" i="6"/>
  <c r="AS73" i="6"/>
  <c r="J74" i="12" a="1"/>
  <c r="J74" i="12" s="1"/>
  <c r="L74" i="12" a="1"/>
  <c r="L74" i="12" s="1"/>
  <c r="E75" i="5"/>
  <c r="N75" i="5"/>
  <c r="D75" i="6" s="1"/>
  <c r="M75" i="6" s="1"/>
  <c r="F75" i="5"/>
  <c r="I75" i="5"/>
  <c r="A75" i="12"/>
  <c r="B75" i="6"/>
  <c r="A75" i="6" s="1"/>
  <c r="B75" i="5"/>
  <c r="C76" i="5" s="1"/>
  <c r="H75" i="5"/>
  <c r="W75" i="5" a="1"/>
  <c r="W75" i="5" s="1"/>
  <c r="H75" i="12" s="1" a="1"/>
  <c r="H75" i="12" s="1"/>
  <c r="AD75" i="5"/>
  <c r="AE75" i="5" a="1"/>
  <c r="AE75" i="5" s="1"/>
  <c r="G75" i="5"/>
  <c r="AF75" i="5" a="1"/>
  <c r="AF75" i="5" s="1"/>
  <c r="AG75" i="5" s="1" a="1"/>
  <c r="AG75" i="5" s="1"/>
  <c r="U75" i="5" s="1"/>
  <c r="AN75" i="5" s="1" a="1"/>
  <c r="AN75" i="5" s="1"/>
  <c r="T73" i="5"/>
  <c r="G73" i="12" s="1" a="1"/>
  <c r="G73" i="12" s="1"/>
  <c r="AV73" i="6"/>
  <c r="BD73" i="6"/>
  <c r="L82" i="6"/>
  <c r="AJ11" i="9"/>
  <c r="AK12" i="9"/>
  <c r="AK12" i="10"/>
  <c r="AJ11" i="10" a="1"/>
  <c r="AJ11" i="10" s="1"/>
  <c r="B34" i="9"/>
  <c r="N13" i="7"/>
  <c r="M10" i="7"/>
  <c r="N75" i="6" l="1"/>
  <c r="K74" i="12"/>
  <c r="G75" i="6"/>
  <c r="H75" i="6" a="1"/>
  <c r="H75" i="6" s="1"/>
  <c r="T75" i="5" s="1"/>
  <c r="G75" i="12" s="1" a="1"/>
  <c r="G75" i="12" s="1"/>
  <c r="AD76" i="5"/>
  <c r="I76" i="5"/>
  <c r="N76" i="5"/>
  <c r="D76" i="6" s="1"/>
  <c r="M76" i="6" s="1"/>
  <c r="B76" i="5"/>
  <c r="H76" i="5"/>
  <c r="W76" i="5" a="1"/>
  <c r="W76" i="5" s="1"/>
  <c r="H76" i="12" s="1" a="1"/>
  <c r="H76" i="12" s="1"/>
  <c r="C77" i="5"/>
  <c r="G76" i="5"/>
  <c r="F76" i="5"/>
  <c r="AF76" i="5" a="1"/>
  <c r="AF76" i="5" s="1"/>
  <c r="AG76" i="5" s="1" a="1"/>
  <c r="AG76" i="5" s="1"/>
  <c r="U76" i="5" s="1"/>
  <c r="AN76" i="5" s="1" a="1"/>
  <c r="AN76" i="5" s="1"/>
  <c r="A76" i="12"/>
  <c r="B76" i="6"/>
  <c r="A76" i="6" s="1"/>
  <c r="E76" i="5"/>
  <c r="AE76" i="5" a="1"/>
  <c r="AE76" i="5" s="1"/>
  <c r="L83" i="6"/>
  <c r="AK11" i="9"/>
  <c r="AL12" i="9"/>
  <c r="AK11" i="10" a="1"/>
  <c r="AK11" i="10" s="1"/>
  <c r="AL12" i="10"/>
  <c r="DM75" i="6" a="1"/>
  <c r="DM75" i="6" s="1"/>
  <c r="CI75" i="6"/>
  <c r="CF75" i="6"/>
  <c r="BZ75" i="6"/>
  <c r="CX75" i="6" a="1"/>
  <c r="CX75" i="6" s="1"/>
  <c r="DS75" i="6" a="1"/>
  <c r="DS75" i="6" s="1"/>
  <c r="CM75" i="6"/>
  <c r="DB75" i="6" a="1"/>
  <c r="DB75" i="6" s="1"/>
  <c r="BV75" i="6"/>
  <c r="DI75" i="6" a="1"/>
  <c r="DI75" i="6" s="1"/>
  <c r="CL75" i="6"/>
  <c r="CC75" i="6"/>
  <c r="BY75" i="6"/>
  <c r="BU75" i="6"/>
  <c r="DG75" i="6" a="1"/>
  <c r="DG75" i="6" s="1"/>
  <c r="CK75" i="6"/>
  <c r="DF75" i="6" a="1"/>
  <c r="DF75" i="6" s="1"/>
  <c r="CP75" i="6"/>
  <c r="CV75" i="6" a="1"/>
  <c r="CV75" i="6" s="1"/>
  <c r="DA75" i="6" a="1"/>
  <c r="DA75" i="6" s="1"/>
  <c r="DE75" i="6" a="1"/>
  <c r="DE75" i="6" s="1"/>
  <c r="CR75" i="6"/>
  <c r="BX75" i="6"/>
  <c r="DP75" i="6" a="1"/>
  <c r="DP75" i="6" s="1"/>
  <c r="DR75" i="6" a="1"/>
  <c r="DR75" i="6" s="1"/>
  <c r="DD75" i="6" a="1"/>
  <c r="DD75" i="6" s="1"/>
  <c r="CQ75" i="6"/>
  <c r="BT75" i="6"/>
  <c r="CU75" i="6" a="1"/>
  <c r="CU75" i="6" s="1"/>
  <c r="CD75" i="6"/>
  <c r="CB75" i="6"/>
  <c r="CW75" i="6" a="1"/>
  <c r="CW75" i="6" s="1"/>
  <c r="DL75" i="6" a="1"/>
  <c r="DL75" i="6" s="1"/>
  <c r="DK75" i="6" a="1"/>
  <c r="DK75" i="6" s="1"/>
  <c r="CG75" i="6"/>
  <c r="BW75" i="6"/>
  <c r="CZ75" i="6" a="1"/>
  <c r="CZ75" i="6" s="1"/>
  <c r="DQ75" i="6" a="1"/>
  <c r="DQ75" i="6" s="1"/>
  <c r="DJ75" i="6" a="1"/>
  <c r="DJ75" i="6" s="1"/>
  <c r="CE75" i="6"/>
  <c r="DC75" i="6" a="1"/>
  <c r="DC75" i="6" s="1"/>
  <c r="BS75" i="6"/>
  <c r="DH75" i="6" a="1"/>
  <c r="DH75" i="6" s="1"/>
  <c r="DO75" i="6" a="1"/>
  <c r="DO75" i="6" s="1"/>
  <c r="CO75" i="6"/>
  <c r="CJ75" i="6"/>
  <c r="CT75" i="6" a="1"/>
  <c r="CT75" i="6" s="1"/>
  <c r="DN75" i="6" a="1"/>
  <c r="DN75" i="6" s="1"/>
  <c r="CN75" i="6"/>
  <c r="CH75" i="6"/>
  <c r="CA75" i="6"/>
  <c r="CY75" i="6" a="1"/>
  <c r="CY75" i="6" s="1"/>
  <c r="B35" i="9"/>
  <c r="O13" i="7"/>
  <c r="N10" i="7"/>
  <c r="BF75" i="6" l="1"/>
  <c r="BO75" i="6"/>
  <c r="AX75" i="6"/>
  <c r="AW75" i="6"/>
  <c r="BD75" i="6"/>
  <c r="BN75" i="6"/>
  <c r="AU75" i="6"/>
  <c r="AS75" i="6"/>
  <c r="AY75" i="6"/>
  <c r="AZ75" i="6"/>
  <c r="BP75" i="6"/>
  <c r="BI75" i="6"/>
  <c r="BG75" i="6"/>
  <c r="BL75" i="6"/>
  <c r="BC75" i="6"/>
  <c r="BB75" i="6"/>
  <c r="AR75" i="6"/>
  <c r="AT75" i="6"/>
  <c r="AV75" i="6"/>
  <c r="BK75" i="6"/>
  <c r="BQ75" i="6"/>
  <c r="BM75" i="6"/>
  <c r="BE75" i="6"/>
  <c r="BJ75" i="6"/>
  <c r="BH75" i="6"/>
  <c r="BA75" i="6"/>
  <c r="N76" i="6"/>
  <c r="G76" i="6"/>
  <c r="H76" i="6" a="1"/>
  <c r="H76" i="6" s="1"/>
  <c r="T76" i="5" s="1"/>
  <c r="G76" i="12" s="1" a="1"/>
  <c r="G76" i="12" s="1"/>
  <c r="B77" i="6"/>
  <c r="D77" i="5"/>
  <c r="B77" i="12" s="1"/>
  <c r="H77" i="5"/>
  <c r="K77" i="5"/>
  <c r="B77" i="5"/>
  <c r="A77" i="12"/>
  <c r="N77" i="5"/>
  <c r="D77" i="6" s="1"/>
  <c r="H77" i="6" s="1" a="1"/>
  <c r="H77" i="6" s="1"/>
  <c r="T77" i="5" s="1"/>
  <c r="G77" i="12" s="1" a="1"/>
  <c r="G77" i="12" s="1"/>
  <c r="F77" i="5"/>
  <c r="J77" i="5"/>
  <c r="C78" i="5"/>
  <c r="AD77" i="5"/>
  <c r="E77" i="5"/>
  <c r="AE77" i="5" a="1"/>
  <c r="AE77" i="5" s="1"/>
  <c r="G77" i="5"/>
  <c r="L84" i="6"/>
  <c r="F83" i="6"/>
  <c r="AL11" i="9"/>
  <c r="AM12" i="9"/>
  <c r="AL11" i="10" a="1"/>
  <c r="AL11" i="10" s="1"/>
  <c r="AM12" i="10"/>
  <c r="DO76" i="6" a="1"/>
  <c r="DO76" i="6" s="1"/>
  <c r="DG76" i="6" a="1"/>
  <c r="DG76" i="6" s="1"/>
  <c r="CM76" i="6"/>
  <c r="BV76" i="6"/>
  <c r="DN76" i="6" a="1"/>
  <c r="DN76" i="6" s="1"/>
  <c r="CO76" i="6"/>
  <c r="BX76" i="6"/>
  <c r="CX76" i="6" a="1"/>
  <c r="CX76" i="6" s="1"/>
  <c r="DI76" i="6" a="1"/>
  <c r="DI76" i="6" s="1"/>
  <c r="CT76" i="6" a="1"/>
  <c r="CT76" i="6" s="1"/>
  <c r="DB76" i="6" a="1"/>
  <c r="DB76" i="6" s="1"/>
  <c r="CZ76" i="6" a="1"/>
  <c r="CZ76" i="6" s="1"/>
  <c r="CF76" i="6"/>
  <c r="DM76" i="6" a="1"/>
  <c r="DM76" i="6" s="1"/>
  <c r="DS76" i="6" a="1"/>
  <c r="DS76" i="6" s="1"/>
  <c r="CR76" i="6"/>
  <c r="CD76" i="6"/>
  <c r="DC76" i="6" a="1"/>
  <c r="DC76" i="6" s="1"/>
  <c r="DR76" i="6" a="1"/>
  <c r="DR76" i="6" s="1"/>
  <c r="CQ76" i="6"/>
  <c r="CC76" i="6"/>
  <c r="CW76" i="6" a="1"/>
  <c r="CW76" i="6" s="1"/>
  <c r="DL76" i="6" a="1"/>
  <c r="DL76" i="6" s="1"/>
  <c r="CP76" i="6"/>
  <c r="BW76" i="6"/>
  <c r="CB76" i="6"/>
  <c r="BU76" i="6"/>
  <c r="CN76" i="6"/>
  <c r="CH76" i="6"/>
  <c r="BS76" i="6"/>
  <c r="DJ76" i="6" a="1"/>
  <c r="DJ76" i="6" s="1"/>
  <c r="DH76" i="6" a="1"/>
  <c r="DH76" i="6" s="1"/>
  <c r="DQ76" i="6" a="1"/>
  <c r="DQ76" i="6" s="1"/>
  <c r="DF76" i="6" a="1"/>
  <c r="DF76" i="6" s="1"/>
  <c r="CL76" i="6"/>
  <c r="CG76" i="6"/>
  <c r="BT76" i="6"/>
  <c r="DA76" i="6" a="1"/>
  <c r="DA76" i="6" s="1"/>
  <c r="CY76" i="6" a="1"/>
  <c r="CY76" i="6" s="1"/>
  <c r="DE76" i="6" a="1"/>
  <c r="DE76" i="6" s="1"/>
  <c r="CK76" i="6"/>
  <c r="CA76" i="6"/>
  <c r="CU76" i="6" a="1"/>
  <c r="CU76" i="6" s="1"/>
  <c r="DD76" i="6" a="1"/>
  <c r="DD76" i="6" s="1"/>
  <c r="CJ76" i="6"/>
  <c r="CV76" i="6" a="1"/>
  <c r="CV76" i="6" s="1"/>
  <c r="BY76" i="6"/>
  <c r="DP76" i="6" a="1"/>
  <c r="DP76" i="6" s="1"/>
  <c r="DK76" i="6" a="1"/>
  <c r="DK76" i="6" s="1"/>
  <c r="CI76" i="6"/>
  <c r="BZ76" i="6"/>
  <c r="CE76" i="6"/>
  <c r="B36" i="9"/>
  <c r="P13" i="7"/>
  <c r="O10" i="7"/>
  <c r="BB76" i="6" l="1"/>
  <c r="AU76" i="6"/>
  <c r="BN76" i="6"/>
  <c r="AR76" i="6"/>
  <c r="AZ76" i="6"/>
  <c r="BO76" i="6"/>
  <c r="BF76" i="6"/>
  <c r="BI76" i="6"/>
  <c r="AX76" i="6"/>
  <c r="AS76" i="6"/>
  <c r="BE76" i="6"/>
  <c r="BL76" i="6"/>
  <c r="BK76" i="6"/>
  <c r="BJ76" i="6"/>
  <c r="AW76" i="6"/>
  <c r="BH76" i="6"/>
  <c r="BC76" i="6"/>
  <c r="BA76" i="6"/>
  <c r="BQ76" i="6"/>
  <c r="AV76" i="6"/>
  <c r="AY76" i="6"/>
  <c r="BM76" i="6"/>
  <c r="BP76" i="6"/>
  <c r="BG76" i="6"/>
  <c r="AT76" i="6"/>
  <c r="BD76" i="6"/>
  <c r="L77" i="12" a="1"/>
  <c r="L77" i="12" s="1"/>
  <c r="J77" i="12" a="1"/>
  <c r="J77" i="12" s="1"/>
  <c r="H78" i="5"/>
  <c r="C79" i="5"/>
  <c r="F78" i="5"/>
  <c r="B78" i="6"/>
  <c r="B78" i="5"/>
  <c r="K78" i="5"/>
  <c r="AD78" i="5"/>
  <c r="A78" i="12"/>
  <c r="D78" i="5"/>
  <c r="B78" i="12" s="1"/>
  <c r="G78" i="5"/>
  <c r="AE78" i="5" a="1"/>
  <c r="AE78" i="5" s="1"/>
  <c r="N78" i="5"/>
  <c r="D78" i="6" s="1"/>
  <c r="H78" i="6" s="1" a="1"/>
  <c r="H78" i="6" s="1"/>
  <c r="T78" i="5" s="1"/>
  <c r="G78" i="12" s="1" a="1"/>
  <c r="G78" i="12" s="1"/>
  <c r="J78" i="5"/>
  <c r="E78" i="5"/>
  <c r="L85" i="6"/>
  <c r="F84" i="6"/>
  <c r="AM11" i="10" a="1"/>
  <c r="AM11" i="10" s="1"/>
  <c r="AN12" i="10"/>
  <c r="AN12" i="9"/>
  <c r="AM11" i="9"/>
  <c r="B37" i="9"/>
  <c r="Q13" i="7"/>
  <c r="P10" i="7"/>
  <c r="K77" i="12" l="1"/>
  <c r="AE79" i="5" a="1"/>
  <c r="AE79" i="5" s="1"/>
  <c r="E79" i="5"/>
  <c r="A79" i="12"/>
  <c r="F79" i="5"/>
  <c r="B79" i="6"/>
  <c r="G79" i="5"/>
  <c r="C80" i="5"/>
  <c r="N79" i="5"/>
  <c r="D79" i="6" s="1"/>
  <c r="H79" i="6" s="1" a="1"/>
  <c r="H79" i="6" s="1"/>
  <c r="T79" i="5" s="1"/>
  <c r="G79" i="12" s="1" a="1"/>
  <c r="G79" i="12" s="1"/>
  <c r="B79" i="5"/>
  <c r="K79" i="5"/>
  <c r="H79" i="5"/>
  <c r="D79" i="5"/>
  <c r="B79" i="12" s="1"/>
  <c r="J79" i="5"/>
  <c r="AD79" i="5"/>
  <c r="L78" i="12" a="1"/>
  <c r="L78" i="12" s="1"/>
  <c r="J78" i="12" a="1"/>
  <c r="J78" i="12" s="1"/>
  <c r="L86" i="6"/>
  <c r="AN11" i="10" a="1"/>
  <c r="AN11" i="10" s="1"/>
  <c r="AO12" i="10"/>
  <c r="AO12" i="9"/>
  <c r="AN11" i="9"/>
  <c r="B38" i="9"/>
  <c r="R13" i="7"/>
  <c r="Q10" i="7"/>
  <c r="K78" i="12" l="1"/>
  <c r="H80" i="5"/>
  <c r="A80" i="12"/>
  <c r="C81" i="5"/>
  <c r="D80" i="5"/>
  <c r="B80" i="12" s="1"/>
  <c r="AD80" i="5"/>
  <c r="B80" i="5"/>
  <c r="G80" i="5"/>
  <c r="N80" i="5"/>
  <c r="D80" i="6" s="1"/>
  <c r="H80" i="6" s="1" a="1"/>
  <c r="H80" i="6" s="1"/>
  <c r="T80" i="5" s="1"/>
  <c r="G80" i="12" s="1" a="1"/>
  <c r="G80" i="12" s="1"/>
  <c r="E80" i="5"/>
  <c r="J80" i="5"/>
  <c r="B80" i="6"/>
  <c r="K80" i="5"/>
  <c r="AE80" i="5" a="1"/>
  <c r="AE80" i="5" s="1"/>
  <c r="F80" i="5"/>
  <c r="L79" i="12" a="1"/>
  <c r="L79" i="12" s="1"/>
  <c r="J79" i="12" a="1"/>
  <c r="J79" i="12" s="1"/>
  <c r="L87" i="6"/>
  <c r="AP12" i="9"/>
  <c r="AO11" i="9"/>
  <c r="AP12" i="10"/>
  <c r="AO11" i="10" a="1"/>
  <c r="AO11" i="10" s="1"/>
  <c r="B39" i="9"/>
  <c r="S13" i="7"/>
  <c r="R10" i="7"/>
  <c r="K79" i="12" l="1"/>
  <c r="C82" i="5"/>
  <c r="D81" i="5"/>
  <c r="B81" i="12" s="1"/>
  <c r="AD81" i="5"/>
  <c r="H81" i="5"/>
  <c r="AE81" i="5" a="1"/>
  <c r="AE81" i="5" s="1"/>
  <c r="E81" i="5"/>
  <c r="G81" i="5"/>
  <c r="K81" i="5"/>
  <c r="A81" i="12"/>
  <c r="N81" i="5"/>
  <c r="D81" i="6" s="1"/>
  <c r="H81" i="6" s="1" a="1"/>
  <c r="H81" i="6" s="1"/>
  <c r="T81" i="5" s="1"/>
  <c r="G81" i="12" s="1" a="1"/>
  <c r="G81" i="12" s="1"/>
  <c r="B81" i="5"/>
  <c r="F81" i="5"/>
  <c r="J81" i="5"/>
  <c r="B81" i="6"/>
  <c r="J80" i="12" a="1"/>
  <c r="J80" i="12" s="1"/>
  <c r="L80" i="12" a="1"/>
  <c r="L80" i="12" s="1"/>
  <c r="L88" i="6"/>
  <c r="AQ12" i="9"/>
  <c r="AP11" i="9"/>
  <c r="AQ12" i="10"/>
  <c r="AP11" i="10" a="1"/>
  <c r="AP11" i="10" s="1"/>
  <c r="B40" i="9"/>
  <c r="T13" i="7"/>
  <c r="S10" i="7"/>
  <c r="K80" i="12" l="1"/>
  <c r="L81" i="12" a="1"/>
  <c r="L81" i="12" s="1"/>
  <c r="J81" i="12" a="1"/>
  <c r="J81" i="12" s="1"/>
  <c r="G82" i="5"/>
  <c r="H82" i="5"/>
  <c r="AD82" i="5"/>
  <c r="F82" i="5"/>
  <c r="E82" i="5"/>
  <c r="N82" i="5"/>
  <c r="D82" i="6" s="1"/>
  <c r="H82" i="6" s="1" a="1"/>
  <c r="H82" i="6" s="1"/>
  <c r="T82" i="5" s="1"/>
  <c r="G82" i="12" s="1" a="1"/>
  <c r="G82" i="12" s="1"/>
  <c r="D82" i="5"/>
  <c r="B82" i="12" s="1"/>
  <c r="B82" i="6"/>
  <c r="A82" i="12"/>
  <c r="B82" i="5"/>
  <c r="C83" i="5" s="1"/>
  <c r="J82" i="5"/>
  <c r="K82" i="5"/>
  <c r="AE82" i="5" a="1"/>
  <c r="AE82" i="5" s="1"/>
  <c r="L89" i="6"/>
  <c r="AR12" i="10"/>
  <c r="AQ11" i="10" a="1"/>
  <c r="AQ11" i="10" s="1"/>
  <c r="AR12" i="9"/>
  <c r="AQ11" i="9"/>
  <c r="B41" i="9"/>
  <c r="U13" i="7"/>
  <c r="T10" i="7"/>
  <c r="H83" i="5" l="1"/>
  <c r="F83" i="5"/>
  <c r="AE83" i="5" a="1"/>
  <c r="AE83" i="5" s="1"/>
  <c r="I83" i="5"/>
  <c r="AF83" i="5" a="1"/>
  <c r="AF83" i="5" s="1"/>
  <c r="AG83" i="5" s="1" a="1"/>
  <c r="AG83" i="5" s="1"/>
  <c r="U83" i="5" s="1"/>
  <c r="AN83" i="5" s="1" a="1"/>
  <c r="AN83" i="5" s="1"/>
  <c r="B83" i="6"/>
  <c r="A83" i="6" s="1"/>
  <c r="AD83" i="5"/>
  <c r="N83" i="5"/>
  <c r="D83" i="6" s="1"/>
  <c r="M83" i="6" s="1"/>
  <c r="E83" i="5"/>
  <c r="G83" i="5"/>
  <c r="A83" i="12"/>
  <c r="B83" i="5"/>
  <c r="C84" i="5" s="1"/>
  <c r="W83" i="5" a="1"/>
  <c r="W83" i="5" s="1"/>
  <c r="H83" i="12" s="1" a="1"/>
  <c r="H83" i="12" s="1"/>
  <c r="J82" i="12" a="1"/>
  <c r="J82" i="12" s="1"/>
  <c r="L82" i="12" a="1"/>
  <c r="L82" i="12" s="1"/>
  <c r="K81" i="12"/>
  <c r="L90" i="6"/>
  <c r="AR11" i="9"/>
  <c r="AS12" i="9"/>
  <c r="AS12" i="10"/>
  <c r="AR11" i="10" a="1"/>
  <c r="AR11" i="10" s="1"/>
  <c r="B42" i="9"/>
  <c r="V13" i="7"/>
  <c r="U10" i="7"/>
  <c r="K10" i="7"/>
  <c r="K82" i="12" l="1"/>
  <c r="N83" i="6"/>
  <c r="AD84" i="5"/>
  <c r="AE84" i="5" a="1"/>
  <c r="AE84" i="5" s="1"/>
  <c r="B84" i="5"/>
  <c r="F84" i="5"/>
  <c r="H84" i="5"/>
  <c r="B84" i="6"/>
  <c r="A84" i="6" s="1"/>
  <c r="C85" i="5"/>
  <c r="N84" i="5"/>
  <c r="D84" i="6" s="1"/>
  <c r="M84" i="6" s="1"/>
  <c r="G84" i="5"/>
  <c r="E84" i="5"/>
  <c r="AF84" i="5" a="1"/>
  <c r="AF84" i="5" s="1"/>
  <c r="AG84" i="5" s="1" a="1"/>
  <c r="AG84" i="5" s="1"/>
  <c r="U84" i="5" s="1"/>
  <c r="AN84" i="5" s="1" a="1"/>
  <c r="AN84" i="5" s="1"/>
  <c r="I84" i="5"/>
  <c r="A84" i="12"/>
  <c r="W84" i="5" a="1"/>
  <c r="W84" i="5" s="1"/>
  <c r="H84" i="12" s="1" a="1"/>
  <c r="H84" i="12" s="1"/>
  <c r="H83" i="6" a="1"/>
  <c r="H83" i="6" s="1"/>
  <c r="T83" i="5" s="1"/>
  <c r="G83" i="12" s="1" a="1"/>
  <c r="G83" i="12" s="1"/>
  <c r="G83" i="6"/>
  <c r="L91" i="6"/>
  <c r="AS11" i="10" a="1"/>
  <c r="AS11" i="10" s="1"/>
  <c r="AT12" i="10"/>
  <c r="AS11" i="9"/>
  <c r="AT12" i="9"/>
  <c r="DG83" i="6" a="1"/>
  <c r="DG83" i="6" s="1"/>
  <c r="CM83" i="6"/>
  <c r="DF83" i="6" a="1"/>
  <c r="DF83" i="6" s="1"/>
  <c r="CL83" i="6"/>
  <c r="CV83" i="6" a="1"/>
  <c r="CV83" i="6" s="1"/>
  <c r="DA83" i="6" a="1"/>
  <c r="DA83" i="6" s="1"/>
  <c r="DE83" i="6" a="1"/>
  <c r="DE83" i="6" s="1"/>
  <c r="CN83" i="6"/>
  <c r="BX83" i="6"/>
  <c r="DN83" i="6" a="1"/>
  <c r="DN83" i="6" s="1"/>
  <c r="DK83" i="6" a="1"/>
  <c r="DK83" i="6" s="1"/>
  <c r="CK83" i="6"/>
  <c r="BT83" i="6"/>
  <c r="CU83" i="6" a="1"/>
  <c r="CU83" i="6" s="1"/>
  <c r="BZ83" i="6"/>
  <c r="DO83" i="6" a="1"/>
  <c r="DO83" i="6" s="1"/>
  <c r="DD83" i="6" a="1"/>
  <c r="DD83" i="6" s="1"/>
  <c r="CI83" i="6"/>
  <c r="BW83" i="6"/>
  <c r="CR83" i="6"/>
  <c r="CX83" i="6" a="1"/>
  <c r="CX83" i="6" s="1"/>
  <c r="DM83" i="6" a="1"/>
  <c r="DM83" i="6" s="1"/>
  <c r="DI83" i="6" a="1"/>
  <c r="DI83" i="6" s="1"/>
  <c r="CG83" i="6"/>
  <c r="DC83" i="6" a="1"/>
  <c r="DC83" i="6" s="1"/>
  <c r="BS83" i="6"/>
  <c r="CA83" i="6"/>
  <c r="DL83" i="6" a="1"/>
  <c r="DL83" i="6" s="1"/>
  <c r="CP83" i="6"/>
  <c r="CF83" i="6"/>
  <c r="CZ83" i="6" a="1"/>
  <c r="CZ83" i="6" s="1"/>
  <c r="CB83" i="6"/>
  <c r="CW83" i="6" a="1"/>
  <c r="CW83" i="6" s="1"/>
  <c r="DR83" i="6" a="1"/>
  <c r="DR83" i="6" s="1"/>
  <c r="DQ83" i="6" a="1"/>
  <c r="DQ83" i="6" s="1"/>
  <c r="CH83" i="6"/>
  <c r="DS83" i="6" a="1"/>
  <c r="DS83" i="6" s="1"/>
  <c r="DH83" i="6" a="1"/>
  <c r="DH83" i="6" s="1"/>
  <c r="CJ83" i="6"/>
  <c r="CT83" i="6" a="1"/>
  <c r="CT83" i="6" s="1"/>
  <c r="CE83" i="6"/>
  <c r="CY83" i="6" a="1"/>
  <c r="CY83" i="6" s="1"/>
  <c r="DP83" i="6" a="1"/>
  <c r="DP83" i="6" s="1"/>
  <c r="CQ83" i="6"/>
  <c r="CD83" i="6"/>
  <c r="DB83" i="6" a="1"/>
  <c r="DB83" i="6" s="1"/>
  <c r="BV83" i="6"/>
  <c r="DJ83" i="6" a="1"/>
  <c r="DJ83" i="6" s="1"/>
  <c r="CO83" i="6"/>
  <c r="CC83" i="6"/>
  <c r="BY83" i="6"/>
  <c r="BU83" i="6"/>
  <c r="B43" i="9"/>
  <c r="W13" i="7"/>
  <c r="V10" i="7"/>
  <c r="T14" i="5"/>
  <c r="G14" i="12" s="1" a="1"/>
  <c r="G14" i="12" s="1"/>
  <c r="BP83" i="6" l="1"/>
  <c r="AZ83" i="6"/>
  <c r="AU83" i="6"/>
  <c r="BO83" i="6"/>
  <c r="AW83" i="6"/>
  <c r="BJ83" i="6"/>
  <c r="AV83" i="6"/>
  <c r="AY83" i="6"/>
  <c r="BB83" i="6"/>
  <c r="BN83" i="6"/>
  <c r="BF83" i="6"/>
  <c r="AX83" i="6"/>
  <c r="BI83" i="6"/>
  <c r="AR83" i="6"/>
  <c r="BE83" i="6"/>
  <c r="BM83" i="6"/>
  <c r="BC83" i="6"/>
  <c r="AT83" i="6"/>
  <c r="BK83" i="6"/>
  <c r="BA83" i="6"/>
  <c r="AS83" i="6"/>
  <c r="BD83" i="6"/>
  <c r="BQ83" i="6"/>
  <c r="BG83" i="6"/>
  <c r="BL83" i="6"/>
  <c r="BH83" i="6"/>
  <c r="G84" i="6"/>
  <c r="H84" i="6" a="1"/>
  <c r="H84" i="6" s="1"/>
  <c r="T84" i="5" s="1"/>
  <c r="G84" i="12" s="1" a="1"/>
  <c r="G84" i="12" s="1"/>
  <c r="N84" i="6"/>
  <c r="H85" i="5"/>
  <c r="G85" i="5"/>
  <c r="K85" i="5"/>
  <c r="F85" i="5"/>
  <c r="E85" i="5"/>
  <c r="AD85" i="5"/>
  <c r="C86" i="5"/>
  <c r="B85" i="6"/>
  <c r="AE85" i="5" a="1"/>
  <c r="AE85" i="5" s="1"/>
  <c r="D85" i="5"/>
  <c r="B85" i="12" s="1"/>
  <c r="J85" i="5"/>
  <c r="A85" i="12"/>
  <c r="N85" i="5"/>
  <c r="D85" i="6" s="1"/>
  <c r="H85" i="6" s="1" a="1"/>
  <c r="H85" i="6" s="1"/>
  <c r="T85" i="5" s="1"/>
  <c r="G85" i="12" s="1" a="1"/>
  <c r="G85" i="12" s="1"/>
  <c r="B85" i="5"/>
  <c r="L92" i="6"/>
  <c r="F91" i="6"/>
  <c r="AT11" i="10" a="1"/>
  <c r="AT11" i="10" s="1"/>
  <c r="AU12" i="10"/>
  <c r="AU12" i="9"/>
  <c r="AT11" i="9"/>
  <c r="DG84" i="6" a="1"/>
  <c r="DG84" i="6" s="1"/>
  <c r="CR84" i="6"/>
  <c r="BT84" i="6"/>
  <c r="DA84" i="6" a="1"/>
  <c r="DA84" i="6" s="1"/>
  <c r="CY84" i="6" a="1"/>
  <c r="CY84" i="6" s="1"/>
  <c r="DF84" i="6" a="1"/>
  <c r="DF84" i="6" s="1"/>
  <c r="CP84" i="6"/>
  <c r="CE84" i="6"/>
  <c r="CV84" i="6" a="1"/>
  <c r="CV84" i="6" s="1"/>
  <c r="CF84" i="6"/>
  <c r="CI84" i="6"/>
  <c r="DI84" i="6" a="1"/>
  <c r="DI84" i="6" s="1"/>
  <c r="BS84" i="6"/>
  <c r="CA84" i="6"/>
  <c r="CO84" i="6"/>
  <c r="DR84" i="6" a="1"/>
  <c r="DR84" i="6" s="1"/>
  <c r="BZ84" i="6"/>
  <c r="DB84" i="6" a="1"/>
  <c r="DB84" i="6" s="1"/>
  <c r="DE84" i="6" a="1"/>
  <c r="DE84" i="6" s="1"/>
  <c r="BY84" i="6"/>
  <c r="DD84" i="6" a="1"/>
  <c r="DD84" i="6" s="1"/>
  <c r="CC84" i="6"/>
  <c r="DL84" i="6" a="1"/>
  <c r="DL84" i="6" s="1"/>
  <c r="DK84" i="6" a="1"/>
  <c r="DK84" i="6" s="1"/>
  <c r="CQ84" i="6"/>
  <c r="CU84" i="6" a="1"/>
  <c r="CU84" i="6" s="1"/>
  <c r="CZ84" i="6" a="1"/>
  <c r="CZ84" i="6" s="1"/>
  <c r="DO84" i="6" a="1"/>
  <c r="DO84" i="6" s="1"/>
  <c r="DJ84" i="6" a="1"/>
  <c r="DJ84" i="6" s="1"/>
  <c r="BV84" i="6"/>
  <c r="DS84" i="6" a="1"/>
  <c r="DS84" i="6" s="1"/>
  <c r="CH84" i="6"/>
  <c r="DN84" i="6" a="1"/>
  <c r="DN84" i="6" s="1"/>
  <c r="CB84" i="6"/>
  <c r="DP84" i="6" a="1"/>
  <c r="DP84" i="6" s="1"/>
  <c r="CG84" i="6"/>
  <c r="DM84" i="6" a="1"/>
  <c r="DM84" i="6" s="1"/>
  <c r="CK84" i="6"/>
  <c r="CJ84" i="6"/>
  <c r="BX84" i="6"/>
  <c r="CX84" i="6" a="1"/>
  <c r="CX84" i="6" s="1"/>
  <c r="DH84" i="6" a="1"/>
  <c r="DH84" i="6" s="1"/>
  <c r="CT84" i="6" a="1"/>
  <c r="CT84" i="6" s="1"/>
  <c r="CN84" i="6"/>
  <c r="DC84" i="6" a="1"/>
  <c r="DC84" i="6" s="1"/>
  <c r="CW84" i="6" a="1"/>
  <c r="CW84" i="6" s="1"/>
  <c r="CD84" i="6"/>
  <c r="BW84" i="6"/>
  <c r="DQ84" i="6" a="1"/>
  <c r="DQ84" i="6" s="1"/>
  <c r="CM84" i="6"/>
  <c r="BU84" i="6"/>
  <c r="CL84" i="6"/>
  <c r="B44" i="9"/>
  <c r="X13" i="7"/>
  <c r="W10" i="7"/>
  <c r="AV84" i="6" l="1"/>
  <c r="BO84" i="6"/>
  <c r="BG84" i="6"/>
  <c r="BF84" i="6"/>
  <c r="BD84" i="6"/>
  <c r="BK84" i="6"/>
  <c r="AT84" i="6"/>
  <c r="AW84" i="6"/>
  <c r="AX84" i="6"/>
  <c r="AR84" i="6"/>
  <c r="BQ84" i="6"/>
  <c r="BJ84" i="6"/>
  <c r="AU84" i="6"/>
  <c r="BP84" i="6"/>
  <c r="BI84" i="6"/>
  <c r="AZ84" i="6"/>
  <c r="BM84" i="6"/>
  <c r="BE84" i="6"/>
  <c r="BA84" i="6"/>
  <c r="BL84" i="6"/>
  <c r="BH84" i="6"/>
  <c r="AS84" i="6"/>
  <c r="AY84" i="6"/>
  <c r="BB84" i="6"/>
  <c r="BN84" i="6"/>
  <c r="BC84" i="6"/>
  <c r="L85" i="12" a="1"/>
  <c r="L85" i="12" s="1"/>
  <c r="J85" i="12" a="1"/>
  <c r="J85" i="12" s="1"/>
  <c r="F86" i="5"/>
  <c r="H86" i="5"/>
  <c r="B86" i="6"/>
  <c r="J86" i="5"/>
  <c r="AE86" i="5" a="1"/>
  <c r="AE86" i="5" s="1"/>
  <c r="A86" i="12"/>
  <c r="E86" i="5"/>
  <c r="N86" i="5"/>
  <c r="D86" i="6" s="1"/>
  <c r="H86" i="6" s="1" a="1"/>
  <c r="H86" i="6" s="1"/>
  <c r="T86" i="5" s="1"/>
  <c r="G86" i="12" s="1" a="1"/>
  <c r="G86" i="12" s="1"/>
  <c r="K86" i="5"/>
  <c r="C87" i="5"/>
  <c r="B86" i="5"/>
  <c r="G86" i="5"/>
  <c r="D86" i="5"/>
  <c r="B86" i="12" s="1"/>
  <c r="AD86" i="5"/>
  <c r="L93" i="6"/>
  <c r="AV12" i="10"/>
  <c r="AU11" i="10" a="1"/>
  <c r="AU11" i="10" s="1"/>
  <c r="AV12" i="9"/>
  <c r="AU11" i="9"/>
  <c r="B45" i="9"/>
  <c r="Y13" i="7"/>
  <c r="Z13" i="7" s="1"/>
  <c r="X10" i="7"/>
  <c r="A8" i="9"/>
  <c r="B7" i="9" a="1"/>
  <c r="B7" i="9" s="1"/>
  <c r="F87" i="5" l="1"/>
  <c r="H87" i="5"/>
  <c r="AE87" i="5" a="1"/>
  <c r="AE87" i="5" s="1"/>
  <c r="A87" i="12"/>
  <c r="N87" i="5"/>
  <c r="D87" i="6" s="1"/>
  <c r="H87" i="6" s="1" a="1"/>
  <c r="H87" i="6" s="1"/>
  <c r="T87" i="5" s="1"/>
  <c r="G87" i="12" s="1" a="1"/>
  <c r="G87" i="12" s="1"/>
  <c r="C88" i="5"/>
  <c r="AD87" i="5"/>
  <c r="E87" i="5"/>
  <c r="D87" i="5"/>
  <c r="B87" i="12" s="1"/>
  <c r="B87" i="5"/>
  <c r="J87" i="5"/>
  <c r="B87" i="6"/>
  <c r="G87" i="5"/>
  <c r="K87" i="5"/>
  <c r="L86" i="12" a="1"/>
  <c r="L86" i="12" s="1"/>
  <c r="J86" i="12" a="1"/>
  <c r="J86" i="12" s="1"/>
  <c r="K85" i="12"/>
  <c r="L94" i="6"/>
  <c r="AV11" i="9"/>
  <c r="AW12" i="9"/>
  <c r="AA13" i="7"/>
  <c r="Z10" i="7"/>
  <c r="AW12" i="10"/>
  <c r="AV11" i="10" a="1"/>
  <c r="AV11" i="10" s="1"/>
  <c r="B46" i="9"/>
  <c r="Y10" i="7"/>
  <c r="D15" i="7"/>
  <c r="C16" i="7" s="1" a="1"/>
  <c r="C16" i="7" s="1"/>
  <c r="B15" i="10"/>
  <c r="B16" i="10" s="1"/>
  <c r="K86" i="12" l="1"/>
  <c r="G88" i="5"/>
  <c r="J88" i="5"/>
  <c r="D88" i="5"/>
  <c r="B88" i="12" s="1"/>
  <c r="B88" i="5"/>
  <c r="C89" i="5"/>
  <c r="N88" i="5"/>
  <c r="D88" i="6" s="1"/>
  <c r="H88" i="6" s="1" a="1"/>
  <c r="H88" i="6" s="1"/>
  <c r="T88" i="5" s="1"/>
  <c r="G88" i="12" s="1" a="1"/>
  <c r="G88" i="12" s="1"/>
  <c r="AD88" i="5"/>
  <c r="F88" i="5"/>
  <c r="B88" i="6"/>
  <c r="H88" i="5"/>
  <c r="A88" i="12"/>
  <c r="E88" i="5"/>
  <c r="AE88" i="5" a="1"/>
  <c r="AE88" i="5" s="1"/>
  <c r="K88" i="5"/>
  <c r="J87" i="12" a="1"/>
  <c r="J87" i="12" s="1"/>
  <c r="L87" i="12" a="1"/>
  <c r="L87" i="12" s="1"/>
  <c r="L95" i="6"/>
  <c r="F94" i="6"/>
  <c r="AA10" i="7"/>
  <c r="AB13" i="7"/>
  <c r="AB1" i="7" s="1" a="1"/>
  <c r="AB1" i="7" s="1"/>
  <c r="AX12" i="10"/>
  <c r="AW11" i="10" a="1"/>
  <c r="AW11" i="10" s="1"/>
  <c r="AX12" i="9"/>
  <c r="AW11" i="9"/>
  <c r="B47" i="9"/>
  <c r="B17" i="10"/>
  <c r="B16" i="7"/>
  <c r="C17" i="7" a="1"/>
  <c r="C17" i="7" s="1"/>
  <c r="A15" i="10"/>
  <c r="B15" i="7"/>
  <c r="C15" i="9"/>
  <c r="F15" i="9" s="1"/>
  <c r="C15" i="10"/>
  <c r="A15" i="7"/>
  <c r="K87" i="12" l="1"/>
  <c r="C90" i="5"/>
  <c r="AE89" i="5" a="1"/>
  <c r="AE89" i="5" s="1"/>
  <c r="E89" i="5"/>
  <c r="B89" i="6"/>
  <c r="G89" i="5"/>
  <c r="H89" i="5"/>
  <c r="AD89" i="5"/>
  <c r="D89" i="5"/>
  <c r="B89" i="12" s="1"/>
  <c r="K89" i="5"/>
  <c r="B89" i="5"/>
  <c r="A89" i="12"/>
  <c r="N89" i="5"/>
  <c r="D89" i="6" s="1"/>
  <c r="H89" i="6" s="1" a="1"/>
  <c r="H89" i="6" s="1"/>
  <c r="T89" i="5" s="1"/>
  <c r="G89" i="12" s="1" a="1"/>
  <c r="G89" i="12" s="1"/>
  <c r="J89" i="5"/>
  <c r="F89" i="5"/>
  <c r="L88" i="12" a="1"/>
  <c r="L88" i="12" s="1"/>
  <c r="J88" i="12" a="1"/>
  <c r="J88" i="12" s="1"/>
  <c r="L96" i="6"/>
  <c r="AY12" i="10"/>
  <c r="AX11" i="10" a="1"/>
  <c r="AX11" i="10" s="1"/>
  <c r="AY12" i="9"/>
  <c r="AX11" i="9"/>
  <c r="AB10" i="7"/>
  <c r="AC13" i="7"/>
  <c r="B48" i="9"/>
  <c r="B17" i="7"/>
  <c r="C18" i="7" a="1"/>
  <c r="C18" i="7" s="1"/>
  <c r="B18" i="10"/>
  <c r="D21" i="2"/>
  <c r="AC1" i="7" l="1" a="1"/>
  <c r="AC1" i="7" s="1"/>
  <c r="K88" i="12"/>
  <c r="L89" i="12" a="1"/>
  <c r="L89" i="12" s="1"/>
  <c r="J89" i="12" a="1"/>
  <c r="J89" i="12" s="1"/>
  <c r="J90" i="5"/>
  <c r="B90" i="5"/>
  <c r="C91" i="5" s="1"/>
  <c r="E90" i="5"/>
  <c r="A90" i="12"/>
  <c r="F90" i="5"/>
  <c r="H90" i="5"/>
  <c r="G90" i="5"/>
  <c r="K90" i="5"/>
  <c r="AD90" i="5"/>
  <c r="D90" i="5"/>
  <c r="B90" i="12" s="1"/>
  <c r="N90" i="5"/>
  <c r="D90" i="6" s="1"/>
  <c r="H90" i="6" s="1" a="1"/>
  <c r="H90" i="6" s="1"/>
  <c r="T90" i="5" s="1"/>
  <c r="G90" i="12" s="1" a="1"/>
  <c r="G90" i="12" s="1"/>
  <c r="AE90" i="5" a="1"/>
  <c r="AE90" i="5" s="1"/>
  <c r="B90" i="6"/>
  <c r="L97" i="6"/>
  <c r="AZ12" i="9"/>
  <c r="AY11" i="9"/>
  <c r="AY11" i="10" a="1"/>
  <c r="AY11" i="10" s="1"/>
  <c r="AZ12" i="10"/>
  <c r="AC10" i="7"/>
  <c r="AD13" i="7"/>
  <c r="C19" i="7" a="1"/>
  <c r="C19" i="7" s="1"/>
  <c r="B18" i="7"/>
  <c r="B49" i="9"/>
  <c r="B19" i="10"/>
  <c r="N14" i="6"/>
  <c r="AD1" i="7" l="1" a="1"/>
  <c r="AD1" i="7" s="1"/>
  <c r="K89" i="12"/>
  <c r="I91" i="5"/>
  <c r="AD91" i="5"/>
  <c r="N91" i="5"/>
  <c r="D91" i="6" s="1"/>
  <c r="M91" i="6" s="1"/>
  <c r="AF91" i="5" a="1"/>
  <c r="AF91" i="5" s="1"/>
  <c r="AG91" i="5" s="1" a="1"/>
  <c r="AG91" i="5" s="1"/>
  <c r="U91" i="5" s="1"/>
  <c r="AN91" i="5" s="1" a="1"/>
  <c r="AN91" i="5" s="1"/>
  <c r="A91" i="12"/>
  <c r="B91" i="6"/>
  <c r="A91" i="6" s="1"/>
  <c r="C92" i="5"/>
  <c r="W91" i="5" a="1"/>
  <c r="W91" i="5" s="1"/>
  <c r="H91" i="12" s="1" a="1"/>
  <c r="H91" i="12" s="1"/>
  <c r="G91" i="5"/>
  <c r="AE91" i="5" a="1"/>
  <c r="AE91" i="5" s="1"/>
  <c r="B91" i="5"/>
  <c r="E91" i="5"/>
  <c r="H91" i="5"/>
  <c r="F91" i="5"/>
  <c r="L90" i="12" a="1"/>
  <c r="L90" i="12" s="1"/>
  <c r="J90" i="12" a="1"/>
  <c r="J90" i="12" s="1"/>
  <c r="L98" i="6"/>
  <c r="BA12" i="9"/>
  <c r="AZ11" i="9"/>
  <c r="AE13" i="7"/>
  <c r="AD10" i="7"/>
  <c r="AZ11" i="10" a="1"/>
  <c r="AZ11" i="10" s="1"/>
  <c r="BA12" i="10"/>
  <c r="B20" i="10"/>
  <c r="B50" i="9"/>
  <c r="C20" i="7" a="1"/>
  <c r="C20" i="7" s="1"/>
  <c r="B19" i="7"/>
  <c r="AE1" i="7" l="1" a="1"/>
  <c r="AE1" i="7" s="1"/>
  <c r="N91" i="6"/>
  <c r="H92" i="5"/>
  <c r="B92" i="5"/>
  <c r="F92" i="5"/>
  <c r="B92" i="6"/>
  <c r="G92" i="5"/>
  <c r="AE92" i="5" a="1"/>
  <c r="AE92" i="5" s="1"/>
  <c r="A92" i="12"/>
  <c r="C93" i="5"/>
  <c r="N92" i="5"/>
  <c r="D92" i="6" s="1"/>
  <c r="H92" i="6" s="1" a="1"/>
  <c r="H92" i="6" s="1"/>
  <c r="T92" i="5" s="1"/>
  <c r="G92" i="12" s="1" a="1"/>
  <c r="G92" i="12" s="1"/>
  <c r="E92" i="5"/>
  <c r="D92" i="5"/>
  <c r="B92" i="12" s="1"/>
  <c r="AD92" i="5"/>
  <c r="K92" i="5"/>
  <c r="J92" i="5"/>
  <c r="K90" i="12"/>
  <c r="H91" i="6" a="1"/>
  <c r="H91" i="6" s="1"/>
  <c r="T91" i="5" s="1"/>
  <c r="G91" i="12" s="1" a="1"/>
  <c r="G91" i="12" s="1"/>
  <c r="G91" i="6"/>
  <c r="L99" i="6"/>
  <c r="BB12" i="10"/>
  <c r="BA11" i="10" a="1"/>
  <c r="BA11" i="10" s="1"/>
  <c r="AE10" i="7"/>
  <c r="AF13" i="7"/>
  <c r="BB12" i="9"/>
  <c r="BA11" i="9"/>
  <c r="DS91" i="6" a="1"/>
  <c r="DS91" i="6" s="1"/>
  <c r="DD91" i="6" a="1"/>
  <c r="DD91" i="6" s="1"/>
  <c r="CG91" i="6"/>
  <c r="DC91" i="6" a="1"/>
  <c r="DC91" i="6" s="1"/>
  <c r="BS91" i="6"/>
  <c r="CB91" i="6"/>
  <c r="DR91" i="6" a="1"/>
  <c r="DR91" i="6" s="1"/>
  <c r="CO91" i="6"/>
  <c r="CC91" i="6"/>
  <c r="CZ91" i="6" a="1"/>
  <c r="CZ91" i="6" s="1"/>
  <c r="CW91" i="6" a="1"/>
  <c r="CW91" i="6" s="1"/>
  <c r="DH91" i="6" a="1"/>
  <c r="DH91" i="6" s="1"/>
  <c r="CV91" i="6" a="1"/>
  <c r="CV91" i="6" s="1"/>
  <c r="DQ91" i="6" a="1"/>
  <c r="DQ91" i="6" s="1"/>
  <c r="DI91" i="6" a="1"/>
  <c r="DI91" i="6" s="1"/>
  <c r="CD91" i="6"/>
  <c r="CT91" i="6" a="1"/>
  <c r="CT91" i="6" s="1"/>
  <c r="DG91" i="6" a="1"/>
  <c r="DG91" i="6" s="1"/>
  <c r="DN91" i="6" a="1"/>
  <c r="DN91" i="6" s="1"/>
  <c r="CR91" i="6"/>
  <c r="CA91" i="6"/>
  <c r="CY91" i="6" a="1"/>
  <c r="CY91" i="6" s="1"/>
  <c r="DK91" i="6" a="1"/>
  <c r="DK91" i="6" s="1"/>
  <c r="CL91" i="6"/>
  <c r="CE91" i="6"/>
  <c r="BY91" i="6"/>
  <c r="BU91" i="6"/>
  <c r="DJ91" i="6" a="1"/>
  <c r="DJ91" i="6" s="1"/>
  <c r="CK91" i="6"/>
  <c r="CI91" i="6"/>
  <c r="CQ91" i="6"/>
  <c r="DA91" i="6" a="1"/>
  <c r="DA91" i="6" s="1"/>
  <c r="CP91" i="6"/>
  <c r="CU91" i="6" a="1"/>
  <c r="CU91" i="6" s="1"/>
  <c r="DM91" i="6" a="1"/>
  <c r="DM91" i="6" s="1"/>
  <c r="CN91" i="6"/>
  <c r="BZ91" i="6"/>
  <c r="CX91" i="6" a="1"/>
  <c r="CX91" i="6" s="1"/>
  <c r="BV91" i="6"/>
  <c r="BX91" i="6"/>
  <c r="CJ91" i="6"/>
  <c r="BT91" i="6"/>
  <c r="DL91" i="6" a="1"/>
  <c r="DL91" i="6" s="1"/>
  <c r="CM91" i="6"/>
  <c r="CF91" i="6"/>
  <c r="DB91" i="6" a="1"/>
  <c r="DB91" i="6" s="1"/>
  <c r="DF91" i="6" a="1"/>
  <c r="DF91" i="6" s="1"/>
  <c r="DP91" i="6" a="1"/>
  <c r="DP91" i="6" s="1"/>
  <c r="DO91" i="6" a="1"/>
  <c r="DO91" i="6" s="1"/>
  <c r="DE91" i="6" a="1"/>
  <c r="DE91" i="6" s="1"/>
  <c r="CH91" i="6"/>
  <c r="BW91" i="6"/>
  <c r="B51" i="9"/>
  <c r="B21" i="10"/>
  <c r="C21" i="7" a="1"/>
  <c r="C21" i="7" s="1"/>
  <c r="B20" i="7"/>
  <c r="AF1" i="7" l="1" a="1"/>
  <c r="AF1" i="7" s="1"/>
  <c r="AZ91" i="6"/>
  <c r="AV91" i="6"/>
  <c r="BD91" i="6"/>
  <c r="AU91" i="6"/>
  <c r="AS91" i="6"/>
  <c r="BH91" i="6"/>
  <c r="BF91" i="6"/>
  <c r="BN91" i="6"/>
  <c r="BO91" i="6"/>
  <c r="BB91" i="6"/>
  <c r="AY91" i="6"/>
  <c r="BM91" i="6"/>
  <c r="AR91" i="6"/>
  <c r="BL91" i="6"/>
  <c r="BC91" i="6"/>
  <c r="BQ91" i="6"/>
  <c r="BG91" i="6"/>
  <c r="BE91" i="6"/>
  <c r="AX91" i="6"/>
  <c r="BJ91" i="6"/>
  <c r="BK91" i="6"/>
  <c r="AW91" i="6"/>
  <c r="BA91" i="6"/>
  <c r="AT91" i="6"/>
  <c r="BI91" i="6"/>
  <c r="BP91" i="6"/>
  <c r="H93" i="5"/>
  <c r="E93" i="5"/>
  <c r="B93" i="5"/>
  <c r="C94" i="5" s="1"/>
  <c r="K93" i="5"/>
  <c r="AD93" i="5"/>
  <c r="AE93" i="5" a="1"/>
  <c r="AE93" i="5" s="1"/>
  <c r="N93" i="5"/>
  <c r="D93" i="6" s="1"/>
  <c r="H93" i="6" s="1" a="1"/>
  <c r="H93" i="6" s="1"/>
  <c r="T93" i="5" s="1"/>
  <c r="G93" i="12" s="1" a="1"/>
  <c r="G93" i="12" s="1"/>
  <c r="G93" i="5"/>
  <c r="F93" i="5"/>
  <c r="D93" i="5"/>
  <c r="B93" i="12" s="1"/>
  <c r="J93" i="5"/>
  <c r="B93" i="6"/>
  <c r="A93" i="12"/>
  <c r="J92" i="12" a="1"/>
  <c r="J92" i="12" s="1"/>
  <c r="L92" i="12" a="1"/>
  <c r="L92" i="12" s="1"/>
  <c r="F99" i="6"/>
  <c r="L100" i="6"/>
  <c r="AG13" i="7"/>
  <c r="AF10" i="7"/>
  <c r="BC12" i="9"/>
  <c r="BB11" i="9"/>
  <c r="BC12" i="10"/>
  <c r="BB11" i="10" a="1"/>
  <c r="BB11" i="10" s="1"/>
  <c r="B21" i="7"/>
  <c r="C22" i="7" a="1"/>
  <c r="C22" i="7" s="1"/>
  <c r="B52" i="9"/>
  <c r="B22" i="10"/>
  <c r="F15" i="7" a="1"/>
  <c r="F15" i="7" s="1"/>
  <c r="K92" i="12" l="1"/>
  <c r="AG1" i="7" a="1"/>
  <c r="AG1" i="7" s="1"/>
  <c r="L93" i="12" a="1"/>
  <c r="L93" i="12" s="1"/>
  <c r="J93" i="12" a="1"/>
  <c r="J93" i="12" s="1"/>
  <c r="B94" i="6"/>
  <c r="A94" i="6" s="1"/>
  <c r="H94" i="5"/>
  <c r="C95" i="5"/>
  <c r="G94" i="5"/>
  <c r="A94" i="12"/>
  <c r="AE94" i="5" a="1"/>
  <c r="AE94" i="5" s="1"/>
  <c r="AD94" i="5"/>
  <c r="F94" i="5"/>
  <c r="E94" i="5"/>
  <c r="B94" i="5"/>
  <c r="AF94" i="5" a="1"/>
  <c r="AF94" i="5" s="1"/>
  <c r="AG94" i="5" s="1" a="1"/>
  <c r="AG94" i="5" s="1"/>
  <c r="U94" i="5" s="1"/>
  <c r="AN94" i="5" s="1" a="1"/>
  <c r="AN94" i="5" s="1"/>
  <c r="W94" i="5" a="1"/>
  <c r="W94" i="5" s="1"/>
  <c r="H94" i="12" s="1" a="1"/>
  <c r="H94" i="12" s="1"/>
  <c r="N94" i="5"/>
  <c r="D94" i="6" s="1"/>
  <c r="I94" i="5"/>
  <c r="L101" i="6"/>
  <c r="BD12" i="9"/>
  <c r="BD11" i="9" s="1"/>
  <c r="BC11" i="9"/>
  <c r="BD12" i="10"/>
  <c r="BC11" i="10" a="1"/>
  <c r="BC11" i="10" s="1"/>
  <c r="AG10" i="7"/>
  <c r="AH13" i="7"/>
  <c r="AA15" i="7"/>
  <c r="AD15" i="7"/>
  <c r="AC15" i="7"/>
  <c r="Z15" i="7"/>
  <c r="AI15" i="7"/>
  <c r="AH15" i="7"/>
  <c r="AG15" i="7"/>
  <c r="AF15" i="7"/>
  <c r="AB15" i="7"/>
  <c r="AE15" i="7"/>
  <c r="B23" i="10"/>
  <c r="B22" i="7"/>
  <c r="C23" i="7" a="1"/>
  <c r="C23" i="7" s="1"/>
  <c r="B53" i="9"/>
  <c r="I15" i="7"/>
  <c r="J15" i="7"/>
  <c r="Q15" i="7"/>
  <c r="L15" i="7"/>
  <c r="K15" i="7"/>
  <c r="AH1" i="7" l="1" a="1"/>
  <c r="AH1" i="7" s="1"/>
  <c r="K91" i="5"/>
  <c r="H94" i="6" a="1"/>
  <c r="H94" i="6" s="1"/>
  <c r="T94" i="5" s="1"/>
  <c r="G94" i="12" s="1" a="1"/>
  <c r="G94" i="12" s="1"/>
  <c r="G94" i="6"/>
  <c r="G95" i="5"/>
  <c r="K95" i="5"/>
  <c r="B95" i="6"/>
  <c r="H95" i="5"/>
  <c r="B95" i="5"/>
  <c r="E95" i="5"/>
  <c r="A95" i="12"/>
  <c r="C96" i="5"/>
  <c r="N95" i="5"/>
  <c r="D95" i="6" s="1"/>
  <c r="H95" i="6" s="1" a="1"/>
  <c r="H95" i="6" s="1"/>
  <c r="T95" i="5" s="1"/>
  <c r="G95" i="12" s="1" a="1"/>
  <c r="G95" i="12" s="1"/>
  <c r="AE95" i="5" a="1"/>
  <c r="AE95" i="5" s="1"/>
  <c r="AD95" i="5"/>
  <c r="J95" i="5"/>
  <c r="D95" i="5"/>
  <c r="B95" i="12" s="1"/>
  <c r="F95" i="5"/>
  <c r="M94" i="6"/>
  <c r="DF94" i="6" s="1" a="1"/>
  <c r="DF94" i="6" s="1"/>
  <c r="N94" i="6"/>
  <c r="K93" i="12"/>
  <c r="L102" i="6"/>
  <c r="F101" i="6"/>
  <c r="BE12" i="10"/>
  <c r="BE11" i="10" s="1" a="1"/>
  <c r="BE11" i="10" s="1"/>
  <c r="BD11" i="10" a="1"/>
  <c r="BD11" i="10" s="1"/>
  <c r="AI13" i="7"/>
  <c r="AH10" i="7"/>
  <c r="B23" i="7"/>
  <c r="C24" i="7" a="1"/>
  <c r="C24" i="7" s="1"/>
  <c r="B24" i="10"/>
  <c r="B54" i="9"/>
  <c r="P15" i="7"/>
  <c r="S15" i="7"/>
  <c r="N15" i="7"/>
  <c r="X15" i="7"/>
  <c r="R15" i="7"/>
  <c r="O15" i="7"/>
  <c r="T15" i="7"/>
  <c r="Y15" i="7"/>
  <c r="U15" i="7"/>
  <c r="M15" i="7"/>
  <c r="V15" i="7"/>
  <c r="W15" i="7"/>
  <c r="AT94" i="6" l="1"/>
  <c r="CB94" i="6"/>
  <c r="DC94" i="6" a="1"/>
  <c r="DC94" i="6" s="1"/>
  <c r="BV94" i="6"/>
  <c r="DI94" i="6" a="1"/>
  <c r="DI94" i="6" s="1"/>
  <c r="CI94" i="6"/>
  <c r="BJ94" i="6"/>
  <c r="BY94" i="6"/>
  <c r="BU94" i="6"/>
  <c r="CM94" i="6"/>
  <c r="BF94" i="6"/>
  <c r="CC94" i="6"/>
  <c r="DJ94" i="6" a="1"/>
  <c r="DJ94" i="6" s="1"/>
  <c r="BN94" i="6"/>
  <c r="DG94" i="6" a="1"/>
  <c r="DG94" i="6" s="1"/>
  <c r="BQ94" i="6"/>
  <c r="BT94" i="6"/>
  <c r="AI10" i="7"/>
  <c r="AI1" i="7" a="1"/>
  <c r="AI1" i="7" s="1"/>
  <c r="BK94" i="6"/>
  <c r="CX94" i="6" a="1"/>
  <c r="CX94" i="6" s="1"/>
  <c r="CV94" i="6" a="1"/>
  <c r="CV94" i="6" s="1"/>
  <c r="BG94" i="6"/>
  <c r="AW94" i="6"/>
  <c r="BW94" i="6"/>
  <c r="DR94" i="6" a="1"/>
  <c r="DR94" i="6" s="1"/>
  <c r="CE94" i="6"/>
  <c r="CR94" i="6"/>
  <c r="DD94" i="6" a="1"/>
  <c r="DD94" i="6" s="1"/>
  <c r="BS94" i="6"/>
  <c r="AR94" i="6"/>
  <c r="CP94" i="6"/>
  <c r="BX94" i="6"/>
  <c r="DN94" i="6" a="1"/>
  <c r="DN94" i="6" s="1"/>
  <c r="BZ94" i="6"/>
  <c r="CA94" i="6"/>
  <c r="DH94" i="6" a="1"/>
  <c r="DH94" i="6" s="1"/>
  <c r="BC94" i="6"/>
  <c r="CG94" i="6"/>
  <c r="DE94" i="6" a="1"/>
  <c r="DE94" i="6" s="1"/>
  <c r="BH94" i="6"/>
  <c r="BL94" i="6"/>
  <c r="DQ94" i="6" a="1"/>
  <c r="DQ94" i="6" s="1"/>
  <c r="DK94" i="6" a="1"/>
  <c r="DK94" i="6" s="1"/>
  <c r="BM94" i="6"/>
  <c r="DB94" i="6" a="1"/>
  <c r="DB94" i="6" s="1"/>
  <c r="BO94" i="6"/>
  <c r="DP94" i="6" a="1"/>
  <c r="DP94" i="6" s="1"/>
  <c r="CH94" i="6"/>
  <c r="BD94" i="6"/>
  <c r="AY94" i="6"/>
  <c r="CW94" i="6" a="1"/>
  <c r="CW94" i="6" s="1"/>
  <c r="CO94" i="6"/>
  <c r="CZ94" i="6" a="1"/>
  <c r="CZ94" i="6" s="1"/>
  <c r="DS94" i="6" a="1"/>
  <c r="DS94" i="6" s="1"/>
  <c r="DA94" i="6" a="1"/>
  <c r="DA94" i="6" s="1"/>
  <c r="BP94" i="6"/>
  <c r="BE94" i="6"/>
  <c r="AZ94" i="6"/>
  <c r="AV94" i="6"/>
  <c r="AX94" i="6"/>
  <c r="CU94" i="6" a="1"/>
  <c r="CU94" i="6" s="1"/>
  <c r="CJ94" i="6"/>
  <c r="CK94" i="6"/>
  <c r="CY94" i="6" a="1"/>
  <c r="CY94" i="6" s="1"/>
  <c r="CN94" i="6"/>
  <c r="DO94" i="6" a="1"/>
  <c r="DO94" i="6" s="1"/>
  <c r="AS94" i="6"/>
  <c r="DL94" i="6" a="1"/>
  <c r="DL94" i="6" s="1"/>
  <c r="CD94" i="6"/>
  <c r="BI94" i="6"/>
  <c r="BB94" i="6"/>
  <c r="CF94" i="6"/>
  <c r="CQ94" i="6"/>
  <c r="DM94" i="6" a="1"/>
  <c r="DM94" i="6" s="1"/>
  <c r="CT94" i="6" a="1"/>
  <c r="CT94" i="6" s="1"/>
  <c r="AU94" i="6"/>
  <c r="BA94" i="6"/>
  <c r="CL94" i="6"/>
  <c r="B96" i="5"/>
  <c r="AD96" i="5"/>
  <c r="J96" i="5"/>
  <c r="D96" i="5"/>
  <c r="B96" i="12" s="1"/>
  <c r="C97" i="5"/>
  <c r="B96" i="6"/>
  <c r="H96" i="5"/>
  <c r="E96" i="5"/>
  <c r="A96" i="12"/>
  <c r="F96" i="5"/>
  <c r="AE96" i="5" a="1"/>
  <c r="AE96" i="5" s="1"/>
  <c r="G96" i="5"/>
  <c r="N96" i="5"/>
  <c r="D96" i="6" s="1"/>
  <c r="H96" i="6" s="1" a="1"/>
  <c r="H96" i="6" s="1"/>
  <c r="T96" i="5" s="1"/>
  <c r="G96" i="12" s="1" a="1"/>
  <c r="G96" i="12" s="1"/>
  <c r="K96" i="5"/>
  <c r="J95" i="12" a="1"/>
  <c r="J95" i="12" s="1"/>
  <c r="L95" i="12" a="1"/>
  <c r="L95" i="12" s="1"/>
  <c r="L103" i="6"/>
  <c r="F102" i="6"/>
  <c r="C25" i="7" a="1"/>
  <c r="C25" i="7" s="1"/>
  <c r="B24" i="7"/>
  <c r="B25" i="10"/>
  <c r="B55" i="9"/>
  <c r="H15" i="7"/>
  <c r="E15" i="7"/>
  <c r="K95" i="12" l="1"/>
  <c r="J97" i="5"/>
  <c r="D97" i="5"/>
  <c r="B97" i="12" s="1"/>
  <c r="G97" i="5"/>
  <c r="N97" i="5"/>
  <c r="D97" i="6" s="1"/>
  <c r="H97" i="6" s="1" a="1"/>
  <c r="H97" i="6" s="1"/>
  <c r="T97" i="5" s="1"/>
  <c r="G97" i="12" s="1" a="1"/>
  <c r="G97" i="12" s="1"/>
  <c r="K97" i="5"/>
  <c r="H97" i="5"/>
  <c r="B97" i="6"/>
  <c r="E97" i="5"/>
  <c r="AE97" i="5" a="1"/>
  <c r="AE97" i="5" s="1"/>
  <c r="B97" i="5"/>
  <c r="F97" i="5"/>
  <c r="C98" i="5"/>
  <c r="A97" i="12"/>
  <c r="AD97" i="5"/>
  <c r="L96" i="12" a="1"/>
  <c r="L96" i="12" s="1"/>
  <c r="J96" i="12" a="1"/>
  <c r="J96" i="12" s="1"/>
  <c r="L104" i="6"/>
  <c r="B25" i="7"/>
  <c r="B56" i="9"/>
  <c r="K96" i="12" l="1"/>
  <c r="J97" i="12" a="1"/>
  <c r="J97" i="12" s="1"/>
  <c r="L97" i="12" a="1"/>
  <c r="L97" i="12" s="1"/>
  <c r="J98" i="5"/>
  <c r="N98" i="5"/>
  <c r="D98" i="6" s="1"/>
  <c r="H98" i="6" s="1" a="1"/>
  <c r="H98" i="6" s="1"/>
  <c r="T98" i="5" s="1"/>
  <c r="G98" i="12" s="1" a="1"/>
  <c r="G98" i="12" s="1"/>
  <c r="G98" i="5"/>
  <c r="A98" i="12"/>
  <c r="AE98" i="5" a="1"/>
  <c r="AE98" i="5" s="1"/>
  <c r="K98" i="5"/>
  <c r="H98" i="5"/>
  <c r="B98" i="5"/>
  <c r="C99" i="5" s="1"/>
  <c r="E98" i="5"/>
  <c r="F98" i="5"/>
  <c r="D98" i="5"/>
  <c r="B98" i="12" s="1"/>
  <c r="B98" i="6"/>
  <c r="AD98" i="5"/>
  <c r="L105" i="6"/>
  <c r="K97" i="12" l="1"/>
  <c r="L98" i="12" a="1"/>
  <c r="L98" i="12" s="1"/>
  <c r="J98" i="12" a="1"/>
  <c r="J98" i="12" s="1"/>
  <c r="AD99" i="5"/>
  <c r="G99" i="5"/>
  <c r="C100" i="5"/>
  <c r="B99" i="6"/>
  <c r="A99" i="6" s="1"/>
  <c r="W99" i="5" a="1"/>
  <c r="W99" i="5" s="1"/>
  <c r="H99" i="12" s="1" a="1"/>
  <c r="H99" i="12" s="1"/>
  <c r="F99" i="5"/>
  <c r="AF99" i="5" a="1"/>
  <c r="AF99" i="5" s="1"/>
  <c r="AG99" i="5" s="1" a="1"/>
  <c r="AG99" i="5" s="1"/>
  <c r="U99" i="5" s="1"/>
  <c r="AN99" i="5" s="1" a="1"/>
  <c r="AN99" i="5" s="1"/>
  <c r="A99" i="12"/>
  <c r="AE99" i="5" a="1"/>
  <c r="AE99" i="5" s="1"/>
  <c r="I99" i="5"/>
  <c r="N99" i="5"/>
  <c r="D99" i="6" s="1"/>
  <c r="M99" i="6" s="1"/>
  <c r="H99" i="5"/>
  <c r="E99" i="5"/>
  <c r="B99" i="5"/>
  <c r="L106" i="6"/>
  <c r="AO12" i="13"/>
  <c r="AL12" i="13"/>
  <c r="N99" i="6" l="1"/>
  <c r="G99" i="6"/>
  <c r="H99" i="6" a="1"/>
  <c r="H99" i="6" s="1"/>
  <c r="T99" i="5" s="1"/>
  <c r="G99" i="12" s="1" a="1"/>
  <c r="G99" i="12" s="1"/>
  <c r="G100" i="5"/>
  <c r="A100" i="12"/>
  <c r="H100" i="5"/>
  <c r="D100" i="5"/>
  <c r="B100" i="12" s="1"/>
  <c r="K100" i="5"/>
  <c r="E100" i="5"/>
  <c r="AD100" i="5"/>
  <c r="B100" i="5"/>
  <c r="C101" i="5" s="1"/>
  <c r="AE100" i="5" a="1"/>
  <c r="AE100" i="5" s="1"/>
  <c r="J100" i="5"/>
  <c r="N100" i="5"/>
  <c r="D100" i="6" s="1"/>
  <c r="H100" i="6" s="1" a="1"/>
  <c r="H100" i="6" s="1"/>
  <c r="T100" i="5" s="1"/>
  <c r="G100" i="12" s="1" a="1"/>
  <c r="G100" i="12" s="1"/>
  <c r="F100" i="5"/>
  <c r="B100" i="6"/>
  <c r="K98" i="12"/>
  <c r="L107" i="6"/>
  <c r="DS99" i="6" a="1"/>
  <c r="DS99" i="6" s="1"/>
  <c r="CK99" i="6"/>
  <c r="CD99" i="6"/>
  <c r="CC99" i="6"/>
  <c r="DC99" i="6" a="1"/>
  <c r="DC99" i="6" s="1"/>
  <c r="CA99" i="6"/>
  <c r="DP99" i="6" a="1"/>
  <c r="DP99" i="6" s="1"/>
  <c r="DJ99" i="6" a="1"/>
  <c r="DJ99" i="6" s="1"/>
  <c r="CL99" i="6"/>
  <c r="CW99" i="6" a="1"/>
  <c r="CW99" i="6" s="1"/>
  <c r="DA99" i="6" a="1"/>
  <c r="DA99" i="6" s="1"/>
  <c r="BW99" i="6"/>
  <c r="DO99" i="6" a="1"/>
  <c r="DO99" i="6" s="1"/>
  <c r="CI99" i="6"/>
  <c r="DN99" i="6" a="1"/>
  <c r="DN99" i="6" s="1"/>
  <c r="CR99" i="6"/>
  <c r="CF99" i="6"/>
  <c r="BS99" i="6"/>
  <c r="DM99" i="6" a="1"/>
  <c r="DM99" i="6" s="1"/>
  <c r="CQ99" i="6"/>
  <c r="BX99" i="6"/>
  <c r="CX99" i="6" a="1"/>
  <c r="CX99" i="6" s="1"/>
  <c r="BZ99" i="6"/>
  <c r="DI99" i="6" a="1"/>
  <c r="DI99" i="6" s="1"/>
  <c r="CJ99" i="6"/>
  <c r="DF99" i="6" a="1"/>
  <c r="DF99" i="6" s="1"/>
  <c r="CT99" i="6" a="1"/>
  <c r="CT99" i="6" s="1"/>
  <c r="DE99" i="6" a="1"/>
  <c r="DE99" i="6" s="1"/>
  <c r="BV99" i="6"/>
  <c r="DD99" i="6" a="1"/>
  <c r="DD99" i="6" s="1"/>
  <c r="CP99" i="6"/>
  <c r="CE99" i="6"/>
  <c r="BY99" i="6"/>
  <c r="DK99" i="6" a="1"/>
  <c r="DK99" i="6" s="1"/>
  <c r="CO99" i="6"/>
  <c r="BU99" i="6"/>
  <c r="CV99" i="6" a="1"/>
  <c r="CV99" i="6" s="1"/>
  <c r="CN99" i="6"/>
  <c r="DH99" i="6" a="1"/>
  <c r="DH99" i="6" s="1"/>
  <c r="CM99" i="6"/>
  <c r="BT99" i="6"/>
  <c r="DB99" i="6" a="1"/>
  <c r="DB99" i="6" s="1"/>
  <c r="CH99" i="6"/>
  <c r="CU99" i="6" a="1"/>
  <c r="CU99" i="6" s="1"/>
  <c r="CG99" i="6"/>
  <c r="CY99" i="6" a="1"/>
  <c r="CY99" i="6" s="1"/>
  <c r="CZ99" i="6" a="1"/>
  <c r="CZ99" i="6" s="1"/>
  <c r="DQ99" i="6" a="1"/>
  <c r="DQ99" i="6" s="1"/>
  <c r="DR99" i="6" a="1"/>
  <c r="DR99" i="6" s="1"/>
  <c r="DG99" i="6" a="1"/>
  <c r="DG99" i="6" s="1"/>
  <c r="CB99" i="6"/>
  <c r="DL99" i="6" a="1"/>
  <c r="DL99" i="6" s="1"/>
  <c r="AN12" i="13" a="1"/>
  <c r="AN12" i="13" s="1"/>
  <c r="AK12" i="13" a="1"/>
  <c r="AK12" i="13" s="1"/>
  <c r="AJ12" i="13" a="1"/>
  <c r="AJ12" i="13" s="1"/>
  <c r="AZ99" i="6" l="1"/>
  <c r="BQ99" i="6"/>
  <c r="BH99" i="6"/>
  <c r="AW99" i="6"/>
  <c r="BL99" i="6"/>
  <c r="BB99" i="6"/>
  <c r="BP99" i="6"/>
  <c r="BG99" i="6"/>
  <c r="AV99" i="6"/>
  <c r="BO99" i="6"/>
  <c r="BE99" i="6"/>
  <c r="BM99" i="6"/>
  <c r="AS99" i="6"/>
  <c r="AX99" i="6"/>
  <c r="BI99" i="6"/>
  <c r="AT99" i="6"/>
  <c r="BD99" i="6"/>
  <c r="BF99" i="6"/>
  <c r="AR99" i="6"/>
  <c r="BC99" i="6"/>
  <c r="BJ99" i="6"/>
  <c r="BN99" i="6"/>
  <c r="AU99" i="6"/>
  <c r="BK99" i="6"/>
  <c r="AY99" i="6"/>
  <c r="BA99" i="6"/>
  <c r="L100" i="12" a="1"/>
  <c r="L100" i="12" s="1"/>
  <c r="J100" i="12" a="1"/>
  <c r="J100" i="12" s="1"/>
  <c r="I101" i="5"/>
  <c r="B101" i="5"/>
  <c r="C102" i="5" s="1"/>
  <c r="E101" i="5"/>
  <c r="A101" i="12"/>
  <c r="H101" i="5"/>
  <c r="N101" i="5"/>
  <c r="D101" i="6" s="1"/>
  <c r="M101" i="6" s="1"/>
  <c r="G101" i="5"/>
  <c r="F101" i="5"/>
  <c r="W101" i="5" a="1"/>
  <c r="W101" i="5" s="1"/>
  <c r="H101" i="12" s="1" a="1"/>
  <c r="H101" i="12" s="1"/>
  <c r="AF101" i="5" a="1"/>
  <c r="AF101" i="5" s="1"/>
  <c r="AG101" i="5" s="1" a="1"/>
  <c r="AG101" i="5" s="1"/>
  <c r="U101" i="5" s="1"/>
  <c r="AN101" i="5" s="1" a="1"/>
  <c r="AN101" i="5" s="1"/>
  <c r="B101" i="6"/>
  <c r="A101" i="6" s="1"/>
  <c r="AE101" i="5" a="1"/>
  <c r="AE101" i="5" s="1"/>
  <c r="AD101" i="5"/>
  <c r="L108" i="6"/>
  <c r="F107" i="6"/>
  <c r="O15" i="12" a="1"/>
  <c r="O15" i="12" s="1"/>
  <c r="M15" i="12" a="1"/>
  <c r="M15" i="12" s="1"/>
  <c r="J14" i="6" a="1"/>
  <c r="J14" i="6" s="1"/>
  <c r="K99" i="5" l="1"/>
  <c r="N101" i="6"/>
  <c r="K100" i="12"/>
  <c r="W102" i="5" a="1"/>
  <c r="W102" i="5" s="1"/>
  <c r="H102" i="12" s="1" a="1"/>
  <c r="H102" i="12" s="1"/>
  <c r="E102" i="5"/>
  <c r="AE102" i="5" a="1"/>
  <c r="AE102" i="5" s="1"/>
  <c r="B102" i="6"/>
  <c r="A102" i="12"/>
  <c r="H102" i="5"/>
  <c r="F102" i="5"/>
  <c r="C103" i="5"/>
  <c r="B102" i="5"/>
  <c r="I102" i="5"/>
  <c r="N102" i="5"/>
  <c r="D102" i="6" s="1"/>
  <c r="N102" i="6" s="1"/>
  <c r="AF102" i="5" a="1"/>
  <c r="AF102" i="5" s="1"/>
  <c r="AG102" i="5" s="1" a="1"/>
  <c r="AG102" i="5" s="1"/>
  <c r="U102" i="5" s="1"/>
  <c r="AN102" i="5" s="1" a="1"/>
  <c r="AN102" i="5" s="1"/>
  <c r="AD102" i="5"/>
  <c r="G102" i="5"/>
  <c r="H101" i="6" a="1"/>
  <c r="H101" i="6" s="1"/>
  <c r="T101" i="5" s="1"/>
  <c r="G101" i="12" s="1" a="1"/>
  <c r="G101" i="12" s="1"/>
  <c r="G101" i="6"/>
  <c r="L109" i="6"/>
  <c r="DL101" i="6" a="1"/>
  <c r="DL101" i="6" s="1"/>
  <c r="DH101" i="6" a="1"/>
  <c r="DH101" i="6" s="1"/>
  <c r="CG101" i="6"/>
  <c r="DC101" i="6" a="1"/>
  <c r="DC101" i="6" s="1"/>
  <c r="DR101" i="6" a="1"/>
  <c r="DR101" i="6" s="1"/>
  <c r="CP101" i="6"/>
  <c r="CF101" i="6"/>
  <c r="CW101" i="6" a="1"/>
  <c r="CW101" i="6" s="1"/>
  <c r="BX101" i="6"/>
  <c r="BZ101" i="6"/>
  <c r="CV101" i="6" a="1"/>
  <c r="CV101" i="6" s="1"/>
  <c r="DQ101" i="6" a="1"/>
  <c r="DQ101" i="6" s="1"/>
  <c r="CE101" i="6"/>
  <c r="CD101" i="6"/>
  <c r="BW101" i="6"/>
  <c r="BU101" i="6"/>
  <c r="DP101" i="6" a="1"/>
  <c r="DP101" i="6" s="1"/>
  <c r="CR101" i="6"/>
  <c r="CC101" i="6"/>
  <c r="CY101" i="6" a="1"/>
  <c r="CY101" i="6" s="1"/>
  <c r="DO101" i="6" a="1"/>
  <c r="DO101" i="6" s="1"/>
  <c r="CQ101" i="6"/>
  <c r="DB101" i="6" a="1"/>
  <c r="DB101" i="6" s="1"/>
  <c r="BS101" i="6"/>
  <c r="BT101" i="6"/>
  <c r="DN101" i="6" a="1"/>
  <c r="DN101" i="6" s="1"/>
  <c r="DJ101" i="6" a="1"/>
  <c r="DJ101" i="6" s="1"/>
  <c r="CO101" i="6"/>
  <c r="CU101" i="6" a="1"/>
  <c r="CU101" i="6" s="1"/>
  <c r="CX101" i="6" a="1"/>
  <c r="CX101" i="6" s="1"/>
  <c r="BV101" i="6"/>
  <c r="DK101" i="6" a="1"/>
  <c r="DK101" i="6" s="1"/>
  <c r="CB101" i="6"/>
  <c r="DG101" i="6" a="1"/>
  <c r="DG101" i="6" s="1"/>
  <c r="CN101" i="6"/>
  <c r="CH101" i="6"/>
  <c r="BY101" i="6"/>
  <c r="CK101" i="6"/>
  <c r="CZ101" i="6" a="1"/>
  <c r="CZ101" i="6" s="1"/>
  <c r="DF101" i="6" a="1"/>
  <c r="DF101" i="6" s="1"/>
  <c r="CM101" i="6"/>
  <c r="DE101" i="6" a="1"/>
  <c r="DE101" i="6" s="1"/>
  <c r="CL101" i="6"/>
  <c r="DA101" i="6" a="1"/>
  <c r="DA101" i="6" s="1"/>
  <c r="DS101" i="6" a="1"/>
  <c r="DS101" i="6" s="1"/>
  <c r="DD101" i="6" a="1"/>
  <c r="DD101" i="6" s="1"/>
  <c r="CJ101" i="6"/>
  <c r="CT101" i="6" a="1"/>
  <c r="CT101" i="6" s="1"/>
  <c r="DM101" i="6" a="1"/>
  <c r="DM101" i="6" s="1"/>
  <c r="DI101" i="6" a="1"/>
  <c r="DI101" i="6" s="1"/>
  <c r="CI101" i="6"/>
  <c r="CA101" i="6"/>
  <c r="I15" i="12" a="1"/>
  <c r="I15" i="12" s="1"/>
  <c r="J15" i="12" a="1"/>
  <c r="J15" i="12" s="1"/>
  <c r="L15" i="12" a="1"/>
  <c r="L15" i="12" s="1"/>
  <c r="A102" i="6" l="1"/>
  <c r="BF101" i="6"/>
  <c r="AR101" i="6"/>
  <c r="BC101" i="6"/>
  <c r="AS101" i="6"/>
  <c r="BM101" i="6"/>
  <c r="AY101" i="6"/>
  <c r="BL101" i="6"/>
  <c r="M102" i="6"/>
  <c r="BH101" i="6"/>
  <c r="BG101" i="6"/>
  <c r="AU101" i="6"/>
  <c r="BE101" i="6"/>
  <c r="BJ101" i="6"/>
  <c r="BI101" i="6"/>
  <c r="BD101" i="6"/>
  <c r="BN101" i="6"/>
  <c r="BK101" i="6"/>
  <c r="BA101" i="6"/>
  <c r="AT101" i="6"/>
  <c r="AW101" i="6"/>
  <c r="AX101" i="6"/>
  <c r="BP101" i="6"/>
  <c r="AV101" i="6"/>
  <c r="BQ101" i="6"/>
  <c r="BO101" i="6"/>
  <c r="BB101" i="6"/>
  <c r="AZ101" i="6"/>
  <c r="C104" i="5"/>
  <c r="E103" i="5"/>
  <c r="B103" i="5"/>
  <c r="AD103" i="5"/>
  <c r="AE103" i="5" a="1"/>
  <c r="AE103" i="5" s="1"/>
  <c r="D103" i="5"/>
  <c r="B103" i="12" s="1"/>
  <c r="K103" i="5"/>
  <c r="N103" i="5"/>
  <c r="D103" i="6" s="1"/>
  <c r="H103" i="6" s="1" a="1"/>
  <c r="H103" i="6" s="1"/>
  <c r="T103" i="5" s="1"/>
  <c r="G103" i="12" s="1" a="1"/>
  <c r="G103" i="12" s="1"/>
  <c r="G103" i="5"/>
  <c r="B103" i="6"/>
  <c r="A103" i="12"/>
  <c r="F103" i="5"/>
  <c r="J103" i="5"/>
  <c r="H103" i="5"/>
  <c r="H102" i="6" a="1"/>
  <c r="H102" i="6" s="1"/>
  <c r="T102" i="5" s="1"/>
  <c r="G102" i="12" s="1" a="1"/>
  <c r="G102" i="12" s="1"/>
  <c r="G102" i="6"/>
  <c r="L110" i="6"/>
  <c r="K15" i="12"/>
  <c r="N15" i="12"/>
  <c r="P10" i="12"/>
  <c r="O10" i="12" s="1"/>
  <c r="CK102" i="6" l="1"/>
  <c r="BJ102" i="6"/>
  <c r="DG102" i="6" a="1"/>
  <c r="DG102" i="6" s="1"/>
  <c r="AT102" i="6"/>
  <c r="CR102" i="6"/>
  <c r="CE102" i="6"/>
  <c r="BH102" i="6"/>
  <c r="CG102" i="6"/>
  <c r="BD102" i="6"/>
  <c r="CP102" i="6"/>
  <c r="CA102" i="6"/>
  <c r="DL102" i="6" a="1"/>
  <c r="DL102" i="6" s="1"/>
  <c r="BN102" i="6"/>
  <c r="DE102" i="6" a="1"/>
  <c r="DE102" i="6" s="1"/>
  <c r="AW102" i="6"/>
  <c r="DC102" i="6" a="1"/>
  <c r="DC102" i="6" s="1"/>
  <c r="AR102" i="6"/>
  <c r="BB102" i="6"/>
  <c r="AV102" i="6"/>
  <c r="DQ102" i="6" a="1"/>
  <c r="DQ102" i="6" s="1"/>
  <c r="DR102" i="6" a="1"/>
  <c r="DR102" i="6" s="1"/>
  <c r="DB102" i="6" a="1"/>
  <c r="DB102" i="6" s="1"/>
  <c r="CX102" i="6" a="1"/>
  <c r="CX102" i="6" s="1"/>
  <c r="CZ102" i="6" a="1"/>
  <c r="CZ102" i="6" s="1"/>
  <c r="BL102" i="6"/>
  <c r="AU102" i="6"/>
  <c r="AS102" i="6"/>
  <c r="DJ102" i="6" a="1"/>
  <c r="DJ102" i="6" s="1"/>
  <c r="CJ102" i="6"/>
  <c r="DD102" i="6" a="1"/>
  <c r="DD102" i="6" s="1"/>
  <c r="DI102" i="6" a="1"/>
  <c r="DI102" i="6" s="1"/>
  <c r="CV102" i="6" a="1"/>
  <c r="CV102" i="6" s="1"/>
  <c r="BI102" i="6"/>
  <c r="BE102" i="6"/>
  <c r="BM102" i="6"/>
  <c r="CY102" i="6" a="1"/>
  <c r="CY102" i="6" s="1"/>
  <c r="BV102" i="6"/>
  <c r="CQ102" i="6"/>
  <c r="BY102" i="6"/>
  <c r="CH102" i="6"/>
  <c r="BQ102" i="6"/>
  <c r="CW102" i="6" a="1"/>
  <c r="CW102" i="6" s="1"/>
  <c r="BU102" i="6"/>
  <c r="BK102" i="6"/>
  <c r="BS102" i="6"/>
  <c r="CU102" i="6" a="1"/>
  <c r="CU102" i="6" s="1"/>
  <c r="CN102" i="6"/>
  <c r="CD102" i="6"/>
  <c r="AZ102" i="6"/>
  <c r="BO102" i="6"/>
  <c r="DA102" i="6" a="1"/>
  <c r="DA102" i="6" s="1"/>
  <c r="CL102" i="6"/>
  <c r="BA102" i="6"/>
  <c r="CF102" i="6"/>
  <c r="BG102" i="6"/>
  <c r="AY102" i="6"/>
  <c r="BW102" i="6"/>
  <c r="DK102" i="6" a="1"/>
  <c r="DK102" i="6" s="1"/>
  <c r="CO102" i="6"/>
  <c r="CC102" i="6"/>
  <c r="CI102" i="6"/>
  <c r="DF102" i="6" a="1"/>
  <c r="DF102" i="6" s="1"/>
  <c r="BX102" i="6"/>
  <c r="DN102" i="6" a="1"/>
  <c r="DN102" i="6" s="1"/>
  <c r="DH102" i="6" a="1"/>
  <c r="DH102" i="6" s="1"/>
  <c r="DO102" i="6" a="1"/>
  <c r="DO102" i="6" s="1"/>
  <c r="BZ102" i="6"/>
  <c r="DS102" i="6" a="1"/>
  <c r="DS102" i="6" s="1"/>
  <c r="BT102" i="6"/>
  <c r="CT102" i="6" a="1"/>
  <c r="CT102" i="6" s="1"/>
  <c r="DP102" i="6" a="1"/>
  <c r="DP102" i="6" s="1"/>
  <c r="BC102" i="6"/>
  <c r="CB102" i="6"/>
  <c r="BF102" i="6"/>
  <c r="BP102" i="6"/>
  <c r="AX102" i="6"/>
  <c r="DM102" i="6" a="1"/>
  <c r="DM102" i="6" s="1"/>
  <c r="CM102" i="6"/>
  <c r="L103" i="12" a="1"/>
  <c r="L103" i="12" s="1"/>
  <c r="J103" i="12" a="1"/>
  <c r="J103" i="12" s="1"/>
  <c r="G104" i="5"/>
  <c r="E104" i="5"/>
  <c r="B104" i="6"/>
  <c r="AE104" i="5" a="1"/>
  <c r="AE104" i="5" s="1"/>
  <c r="J104" i="5"/>
  <c r="A104" i="12"/>
  <c r="C105" i="5"/>
  <c r="B104" i="5"/>
  <c r="H104" i="5"/>
  <c r="D104" i="5"/>
  <c r="B104" i="12" s="1"/>
  <c r="K104" i="5"/>
  <c r="AD104" i="5"/>
  <c r="F104" i="5"/>
  <c r="N104" i="5"/>
  <c r="D104" i="6" s="1"/>
  <c r="H104" i="6" s="1" a="1"/>
  <c r="H104" i="6" s="1"/>
  <c r="T104" i="5" s="1"/>
  <c r="G104" i="12" s="1" a="1"/>
  <c r="G104" i="12" s="1"/>
  <c r="L111" i="6"/>
  <c r="F110" i="6"/>
  <c r="M14" i="6"/>
  <c r="K103" i="12" l="1"/>
  <c r="AD105" i="5"/>
  <c r="B105" i="6"/>
  <c r="B105" i="5"/>
  <c r="AE105" i="5" a="1"/>
  <c r="AE105" i="5" s="1"/>
  <c r="H105" i="5"/>
  <c r="A105" i="12"/>
  <c r="K105" i="5"/>
  <c r="F105" i="5"/>
  <c r="D105" i="5"/>
  <c r="B105" i="12" s="1"/>
  <c r="C106" i="5"/>
  <c r="E105" i="5"/>
  <c r="N105" i="5"/>
  <c r="D105" i="6" s="1"/>
  <c r="H105" i="6" s="1" a="1"/>
  <c r="H105" i="6" s="1"/>
  <c r="T105" i="5" s="1"/>
  <c r="G105" i="12" s="1" a="1"/>
  <c r="G105" i="12" s="1"/>
  <c r="G105" i="5"/>
  <c r="J105" i="5"/>
  <c r="J104" i="12" a="1"/>
  <c r="J104" i="12" s="1"/>
  <c r="L104" i="12" a="1"/>
  <c r="L104" i="12" s="1"/>
  <c r="L112" i="6"/>
  <c r="DN14" i="6" a="1"/>
  <c r="DN14" i="6" s="1"/>
  <c r="DR14" i="6" a="1"/>
  <c r="DR14" i="6" s="1"/>
  <c r="CC14" i="6"/>
  <c r="CK14" i="6"/>
  <c r="DD14" i="6" a="1"/>
  <c r="DD14" i="6" s="1"/>
  <c r="CP14" i="6"/>
  <c r="DQ14" i="6" a="1"/>
  <c r="DQ14" i="6" s="1"/>
  <c r="CL14" i="6"/>
  <c r="CF14" i="6"/>
  <c r="DH14" i="6" a="1"/>
  <c r="DH14" i="6" s="1"/>
  <c r="CD14" i="6"/>
  <c r="DF14" i="6" a="1"/>
  <c r="DF14" i="6" s="1"/>
  <c r="CN14" i="6"/>
  <c r="CR14" i="6"/>
  <c r="DP14" i="6" a="1"/>
  <c r="DP14" i="6" s="1"/>
  <c r="DL14" i="6" a="1"/>
  <c r="DL14" i="6" s="1"/>
  <c r="CQ14" i="6"/>
  <c r="DE14" i="6" a="1"/>
  <c r="DE14" i="6" s="1"/>
  <c r="CG14" i="6"/>
  <c r="DO14" i="6" a="1"/>
  <c r="DO14" i="6" s="1"/>
  <c r="DG14" i="6" a="1"/>
  <c r="DG14" i="6" s="1"/>
  <c r="DM14" i="6" a="1"/>
  <c r="DM14" i="6" s="1"/>
  <c r="CO14" i="6"/>
  <c r="CM14" i="6"/>
  <c r="CH14" i="6"/>
  <c r="DJ14" i="6" a="1"/>
  <c r="DJ14" i="6" s="1"/>
  <c r="CE14" i="6"/>
  <c r="DI14" i="6" a="1"/>
  <c r="DI14" i="6" s="1"/>
  <c r="CJ14" i="6"/>
  <c r="CI14" i="6"/>
  <c r="DK14" i="6" a="1"/>
  <c r="DK14" i="6" s="1"/>
  <c r="DS14" i="6" a="1"/>
  <c r="DS14" i="6" s="1"/>
  <c r="BB14" i="6"/>
  <c r="BC14" i="6"/>
  <c r="BD14" i="6"/>
  <c r="BE14" i="6"/>
  <c r="BF14" i="6"/>
  <c r="BG14" i="6"/>
  <c r="BH14" i="6"/>
  <c r="BI14" i="6"/>
  <c r="BJ14" i="6"/>
  <c r="BK14" i="6"/>
  <c r="BL14" i="6"/>
  <c r="BM14" i="6"/>
  <c r="BN14" i="6"/>
  <c r="BO14" i="6"/>
  <c r="BP14" i="6"/>
  <c r="BQ14" i="6"/>
  <c r="B26" i="10"/>
  <c r="C26" i="7" a="1"/>
  <c r="C26" i="7" s="1"/>
  <c r="CT14" i="6" a="1"/>
  <c r="CT14" i="6" s="1"/>
  <c r="BZ14" i="6"/>
  <c r="CY14" i="6" a="1"/>
  <c r="CY14" i="6" s="1"/>
  <c r="AR14" i="6"/>
  <c r="BS14" i="6"/>
  <c r="BT14" i="6"/>
  <c r="AT14" i="6"/>
  <c r="DB14" i="6" a="1"/>
  <c r="DB14" i="6" s="1"/>
  <c r="DC14" i="6" a="1"/>
  <c r="DC14" i="6" s="1"/>
  <c r="BU14" i="6"/>
  <c r="DA14" i="6" a="1"/>
  <c r="DA14" i="6" s="1"/>
  <c r="AU14" i="6"/>
  <c r="CW14" i="6" a="1"/>
  <c r="CW14" i="6" s="1"/>
  <c r="CX14" i="6" a="1"/>
  <c r="CX14" i="6" s="1"/>
  <c r="BV14" i="6"/>
  <c r="BW14" i="6"/>
  <c r="AX14" i="6"/>
  <c r="CU14" i="6" a="1"/>
  <c r="CU14" i="6" s="1"/>
  <c r="BX14" i="6"/>
  <c r="CA14" i="6"/>
  <c r="BA14" i="6"/>
  <c r="CZ14" i="6" a="1"/>
  <c r="CZ14" i="6" s="1"/>
  <c r="AY14" i="6"/>
  <c r="AW14" i="6"/>
  <c r="BY14" i="6"/>
  <c r="AZ14" i="6"/>
  <c r="CB14" i="6"/>
  <c r="AS14" i="6"/>
  <c r="CV14" i="6" a="1"/>
  <c r="CV14" i="6" s="1"/>
  <c r="AV14" i="6"/>
  <c r="J105" i="12" l="1" a="1"/>
  <c r="J105" i="12" s="1"/>
  <c r="L105" i="12" a="1"/>
  <c r="L105" i="12" s="1"/>
  <c r="N106" i="5"/>
  <c r="D106" i="6" s="1"/>
  <c r="H106" i="6" s="1" a="1"/>
  <c r="H106" i="6" s="1"/>
  <c r="T106" i="5" s="1"/>
  <c r="G106" i="12" s="1" a="1"/>
  <c r="G106" i="12" s="1"/>
  <c r="H106" i="5"/>
  <c r="J106" i="5"/>
  <c r="AD106" i="5"/>
  <c r="AE106" i="5" a="1"/>
  <c r="AE106" i="5" s="1"/>
  <c r="E106" i="5"/>
  <c r="A106" i="12"/>
  <c r="F106" i="5"/>
  <c r="G106" i="5"/>
  <c r="D106" i="5"/>
  <c r="B106" i="12" s="1"/>
  <c r="K106" i="5"/>
  <c r="B106" i="6"/>
  <c r="B106" i="5"/>
  <c r="C107" i="5" s="1"/>
  <c r="K104" i="12"/>
  <c r="L113" i="6"/>
  <c r="C27" i="7" a="1"/>
  <c r="C27" i="7" s="1"/>
  <c r="B26" i="7"/>
  <c r="B27" i="10"/>
  <c r="X14" i="5" a="1"/>
  <c r="X14" i="5" s="1"/>
  <c r="K105" i="12" l="1"/>
  <c r="AF107" i="5" a="1"/>
  <c r="AF107" i="5" s="1"/>
  <c r="AG107" i="5" s="1" a="1"/>
  <c r="AG107" i="5" s="1"/>
  <c r="U107" i="5" s="1"/>
  <c r="AN107" i="5" s="1" a="1"/>
  <c r="AN107" i="5" s="1"/>
  <c r="E107" i="5"/>
  <c r="A107" i="12"/>
  <c r="B107" i="6"/>
  <c r="F107" i="5"/>
  <c r="AD107" i="5"/>
  <c r="B107" i="5"/>
  <c r="G107" i="5"/>
  <c r="H107" i="5"/>
  <c r="C108" i="5"/>
  <c r="N107" i="5"/>
  <c r="D107" i="6" s="1"/>
  <c r="M107" i="6" s="1"/>
  <c r="AE107" i="5" a="1"/>
  <c r="AE107" i="5" s="1"/>
  <c r="W107" i="5" a="1"/>
  <c r="W107" i="5" s="1"/>
  <c r="H107" i="12" s="1" a="1"/>
  <c r="H107" i="12" s="1"/>
  <c r="I107" i="5"/>
  <c r="L106" i="12" a="1"/>
  <c r="L106" i="12" s="1"/>
  <c r="J106" i="12" a="1"/>
  <c r="J106" i="12" s="1"/>
  <c r="L114" i="6"/>
  <c r="C28" i="7" a="1"/>
  <c r="C28" i="7" s="1"/>
  <c r="B27" i="7"/>
  <c r="B28" i="10"/>
  <c r="I14" i="5"/>
  <c r="I14" i="12"/>
  <c r="L14" i="5"/>
  <c r="AM14" i="5"/>
  <c r="Z14" i="5"/>
  <c r="N107" i="6" l="1"/>
  <c r="H107" i="6" a="1"/>
  <c r="H107" i="6" s="1"/>
  <c r="T107" i="5" s="1"/>
  <c r="G107" i="12" s="1" a="1"/>
  <c r="G107" i="12" s="1"/>
  <c r="G107" i="6"/>
  <c r="K106" i="12"/>
  <c r="D108" i="5"/>
  <c r="B108" i="12" s="1"/>
  <c r="K108" i="5"/>
  <c r="C109" i="5"/>
  <c r="J108" i="5"/>
  <c r="H108" i="5"/>
  <c r="G108" i="5"/>
  <c r="AE108" i="5" a="1"/>
  <c r="AE108" i="5" s="1"/>
  <c r="A108" i="12"/>
  <c r="N108" i="5"/>
  <c r="D108" i="6" s="1"/>
  <c r="H108" i="6" s="1" a="1"/>
  <c r="H108" i="6" s="1"/>
  <c r="T108" i="5" s="1"/>
  <c r="G108" i="12" s="1" a="1"/>
  <c r="G108" i="12" s="1"/>
  <c r="E108" i="5"/>
  <c r="B108" i="5"/>
  <c r="AD108" i="5"/>
  <c r="F108" i="5"/>
  <c r="B108" i="6"/>
  <c r="F114" i="6"/>
  <c r="L115" i="6"/>
  <c r="DM107" i="6" a="1"/>
  <c r="DM107" i="6" s="1"/>
  <c r="DK107" i="6" a="1"/>
  <c r="DK107" i="6" s="1"/>
  <c r="CR107" i="6"/>
  <c r="CU107" i="6" a="1"/>
  <c r="CU107" i="6" s="1"/>
  <c r="DR107" i="6" a="1"/>
  <c r="DR107" i="6" s="1"/>
  <c r="DD107" i="6" a="1"/>
  <c r="DD107" i="6" s="1"/>
  <c r="CF107" i="6"/>
  <c r="DC107" i="6" a="1"/>
  <c r="DC107" i="6" s="1"/>
  <c r="CA107" i="6"/>
  <c r="BV107" i="6"/>
  <c r="DQ107" i="6" a="1"/>
  <c r="DQ107" i="6" s="1"/>
  <c r="CO107" i="6"/>
  <c r="CH107" i="6"/>
  <c r="CW107" i="6" a="1"/>
  <c r="CW107" i="6" s="1"/>
  <c r="DA107" i="6" a="1"/>
  <c r="DA107" i="6" s="1"/>
  <c r="DP107" i="6" a="1"/>
  <c r="DP107" i="6" s="1"/>
  <c r="BW107" i="6"/>
  <c r="CY107" i="6" a="1"/>
  <c r="CY107" i="6" s="1"/>
  <c r="DS107" i="6" a="1"/>
  <c r="DS107" i="6" s="1"/>
  <c r="CE107" i="6"/>
  <c r="DO107" i="6" a="1"/>
  <c r="DO107" i="6" s="1"/>
  <c r="CN107" i="6"/>
  <c r="CG107" i="6"/>
  <c r="BS107" i="6"/>
  <c r="DL107" i="6" a="1"/>
  <c r="DL107" i="6" s="1"/>
  <c r="CM107" i="6"/>
  <c r="CD107" i="6"/>
  <c r="BX107" i="6"/>
  <c r="CX107" i="6" a="1"/>
  <c r="CX107" i="6" s="1"/>
  <c r="BZ107" i="6"/>
  <c r="DJ107" i="6" a="1"/>
  <c r="DJ107" i="6" s="1"/>
  <c r="CK107" i="6"/>
  <c r="BU107" i="6"/>
  <c r="CP107" i="6"/>
  <c r="DN107" i="6" a="1"/>
  <c r="DN107" i="6" s="1"/>
  <c r="CI107" i="6"/>
  <c r="CT107" i="6" a="1"/>
  <c r="CT107" i="6" s="1"/>
  <c r="CV107" i="6" a="1"/>
  <c r="CV107" i="6" s="1"/>
  <c r="BO107" i="6"/>
  <c r="DB107" i="6" a="1"/>
  <c r="DB107" i="6" s="1"/>
  <c r="DE107" i="6" a="1"/>
  <c r="DE107" i="6" s="1"/>
  <c r="CL107" i="6"/>
  <c r="CC107" i="6"/>
  <c r="BY107" i="6"/>
  <c r="DH107" i="6" a="1"/>
  <c r="DH107" i="6" s="1"/>
  <c r="BT107" i="6"/>
  <c r="CJ107" i="6"/>
  <c r="CZ107" i="6" a="1"/>
  <c r="CZ107" i="6" s="1"/>
  <c r="DF107" i="6" a="1"/>
  <c r="DF107" i="6" s="1"/>
  <c r="DG107" i="6" a="1"/>
  <c r="DG107" i="6" s="1"/>
  <c r="BN107" i="6"/>
  <c r="DI107" i="6" a="1"/>
  <c r="DI107" i="6" s="1"/>
  <c r="CQ107" i="6"/>
  <c r="CB107" i="6"/>
  <c r="BD107" i="6"/>
  <c r="AV107" i="6"/>
  <c r="BK107" i="6"/>
  <c r="BE107" i="6"/>
  <c r="BA107" i="6"/>
  <c r="AW107" i="6"/>
  <c r="AX107" i="6"/>
  <c r="AR107" i="6"/>
  <c r="BI107" i="6"/>
  <c r="C29" i="7" a="1"/>
  <c r="C29" i="7" s="1"/>
  <c r="B28" i="7"/>
  <c r="B29" i="10"/>
  <c r="O14" i="5"/>
  <c r="AA14" i="5" a="1"/>
  <c r="AA14" i="5" s="1"/>
  <c r="AB14" i="5" a="1"/>
  <c r="AB14" i="5" s="1"/>
  <c r="AO14" i="12" a="1"/>
  <c r="AO14" i="12" s="1"/>
  <c r="C14" i="12"/>
  <c r="M14" i="12" a="1"/>
  <c r="M14" i="12" s="1"/>
  <c r="O14" i="12" a="1"/>
  <c r="O14" i="12" s="1"/>
  <c r="AS107" i="6" l="1"/>
  <c r="BH107" i="6"/>
  <c r="BL107" i="6"/>
  <c r="BB107" i="6"/>
  <c r="BP107" i="6"/>
  <c r="BJ107" i="6"/>
  <c r="AZ107" i="6"/>
  <c r="BC107" i="6"/>
  <c r="AT107" i="6"/>
  <c r="BF107" i="6"/>
  <c r="AY107" i="6"/>
  <c r="BG107" i="6"/>
  <c r="BQ107" i="6"/>
  <c r="AU107" i="6"/>
  <c r="BM107" i="6"/>
  <c r="G109" i="5"/>
  <c r="AD109" i="5"/>
  <c r="A109" i="12"/>
  <c r="K109" i="5"/>
  <c r="B109" i="6"/>
  <c r="N109" i="5"/>
  <c r="D109" i="6" s="1"/>
  <c r="H109" i="6" s="1" a="1"/>
  <c r="H109" i="6" s="1"/>
  <c r="T109" i="5" s="1"/>
  <c r="G109" i="12" s="1" a="1"/>
  <c r="G109" i="12" s="1"/>
  <c r="D109" i="5"/>
  <c r="B109" i="12" s="1"/>
  <c r="AE109" i="5" a="1"/>
  <c r="AE109" i="5" s="1"/>
  <c r="F109" i="5"/>
  <c r="J109" i="5"/>
  <c r="E109" i="5"/>
  <c r="H109" i="5"/>
  <c r="B109" i="5"/>
  <c r="C110" i="5" s="1"/>
  <c r="L108" i="12" a="1"/>
  <c r="L108" i="12" s="1"/>
  <c r="J108" i="12" a="1"/>
  <c r="J108" i="12" s="1"/>
  <c r="F115" i="6"/>
  <c r="L116" i="6"/>
  <c r="C30" i="7" a="1"/>
  <c r="C30" i="7" s="1"/>
  <c r="B29" i="7"/>
  <c r="B30" i="10"/>
  <c r="N14" i="12"/>
  <c r="Y14" i="12"/>
  <c r="D14" i="12"/>
  <c r="K108" i="12" l="1"/>
  <c r="B110" i="5"/>
  <c r="F110" i="5"/>
  <c r="AD110" i="5"/>
  <c r="AF110" i="5" a="1"/>
  <c r="AF110" i="5" s="1"/>
  <c r="AG110" i="5" s="1" a="1"/>
  <c r="AG110" i="5" s="1"/>
  <c r="U110" i="5" s="1"/>
  <c r="AN110" i="5" s="1" a="1"/>
  <c r="AN110" i="5" s="1"/>
  <c r="H110" i="5"/>
  <c r="C111" i="5"/>
  <c r="W110" i="5" a="1"/>
  <c r="W110" i="5" s="1"/>
  <c r="H110" i="12" s="1" a="1"/>
  <c r="H110" i="12" s="1"/>
  <c r="B110" i="6"/>
  <c r="A110" i="12"/>
  <c r="N110" i="5"/>
  <c r="D110" i="6" s="1"/>
  <c r="M110" i="6" s="1"/>
  <c r="I110" i="5"/>
  <c r="G110" i="5"/>
  <c r="AE110" i="5" a="1"/>
  <c r="AE110" i="5" s="1"/>
  <c r="E110" i="5"/>
  <c r="L109" i="12" a="1"/>
  <c r="L109" i="12" s="1"/>
  <c r="J109" i="12" a="1"/>
  <c r="J109" i="12" s="1"/>
  <c r="L117" i="6"/>
  <c r="C31" i="7" a="1"/>
  <c r="C31" i="7" s="1"/>
  <c r="B30" i="7"/>
  <c r="B31" i="10"/>
  <c r="W14" i="12" a="1"/>
  <c r="W14" i="12" s="1"/>
  <c r="X14" i="12" a="1"/>
  <c r="X14" i="12" s="1"/>
  <c r="N110" i="6" l="1"/>
  <c r="K109" i="12"/>
  <c r="K111" i="5"/>
  <c r="G111" i="5"/>
  <c r="AD111" i="5"/>
  <c r="E111" i="5"/>
  <c r="B111" i="6"/>
  <c r="H111" i="5"/>
  <c r="B111" i="5"/>
  <c r="N111" i="5"/>
  <c r="D111" i="6" s="1"/>
  <c r="H111" i="6" s="1" a="1"/>
  <c r="H111" i="6" s="1"/>
  <c r="T111" i="5" s="1"/>
  <c r="G111" i="12" s="1" a="1"/>
  <c r="G111" i="12" s="1"/>
  <c r="F111" i="5"/>
  <c r="C112" i="5"/>
  <c r="J111" i="5"/>
  <c r="D111" i="5"/>
  <c r="B111" i="12" s="1"/>
  <c r="AE111" i="5" a="1"/>
  <c r="AE111" i="5" s="1"/>
  <c r="A111" i="12"/>
  <c r="H110" i="6" a="1"/>
  <c r="H110" i="6" s="1"/>
  <c r="T110" i="5" s="1"/>
  <c r="G110" i="12" s="1" a="1"/>
  <c r="G110" i="12" s="1"/>
  <c r="G110" i="6"/>
  <c r="L118" i="6"/>
  <c r="DI110" i="6" a="1"/>
  <c r="DI110" i="6" s="1"/>
  <c r="CM110" i="6"/>
  <c r="CU110" i="6" a="1"/>
  <c r="CU110" i="6" s="1"/>
  <c r="DA110" i="6" a="1"/>
  <c r="DA110" i="6" s="1"/>
  <c r="CQ110" i="6"/>
  <c r="DF110" i="6" a="1"/>
  <c r="DF110" i="6" s="1"/>
  <c r="DB110" i="6" a="1"/>
  <c r="DB110" i="6" s="1"/>
  <c r="DH110" i="6" a="1"/>
  <c r="DH110" i="6" s="1"/>
  <c r="CL110" i="6"/>
  <c r="BV110" i="6"/>
  <c r="CH110" i="6"/>
  <c r="CF110" i="6"/>
  <c r="BY110" i="6"/>
  <c r="CO110" i="6"/>
  <c r="CX110" i="6" a="1"/>
  <c r="CX110" i="6" s="1"/>
  <c r="DP110" i="6" a="1"/>
  <c r="DP110" i="6" s="1"/>
  <c r="DG110" i="6" a="1"/>
  <c r="DG110" i="6" s="1"/>
  <c r="CK110" i="6"/>
  <c r="DC110" i="6" a="1"/>
  <c r="DC110" i="6" s="1"/>
  <c r="BU110" i="6"/>
  <c r="CC110" i="6"/>
  <c r="CW110" i="6" a="1"/>
  <c r="CW110" i="6" s="1"/>
  <c r="CA110" i="6"/>
  <c r="CY110" i="6" a="1"/>
  <c r="CY110" i="6" s="1"/>
  <c r="DD110" i="6" a="1"/>
  <c r="DD110" i="6" s="1"/>
  <c r="BW110" i="6"/>
  <c r="BS110" i="6"/>
  <c r="CP110" i="6"/>
  <c r="BT110" i="6"/>
  <c r="CD110" i="6"/>
  <c r="DO110" i="6" a="1"/>
  <c r="DO110" i="6" s="1"/>
  <c r="DE110" i="6" a="1"/>
  <c r="DE110" i="6" s="1"/>
  <c r="DL110" i="6" a="1"/>
  <c r="DL110" i="6" s="1"/>
  <c r="DQ110" i="6" a="1"/>
  <c r="DQ110" i="6" s="1"/>
  <c r="CJ110" i="6"/>
  <c r="DJ110" i="6" a="1"/>
  <c r="DJ110" i="6" s="1"/>
  <c r="CB110" i="6"/>
  <c r="CN110" i="6"/>
  <c r="DN110" i="6" a="1"/>
  <c r="DN110" i="6" s="1"/>
  <c r="CE110" i="6"/>
  <c r="CZ110" i="6" a="1"/>
  <c r="CZ110" i="6" s="1"/>
  <c r="CV110" i="6" a="1"/>
  <c r="CV110" i="6" s="1"/>
  <c r="DM110" i="6" a="1"/>
  <c r="DM110" i="6" s="1"/>
  <c r="CI110" i="6"/>
  <c r="CT110" i="6" a="1"/>
  <c r="CT110" i="6" s="1"/>
  <c r="CG110" i="6"/>
  <c r="BX110" i="6"/>
  <c r="DK110" i="6" a="1"/>
  <c r="DK110" i="6" s="1"/>
  <c r="CR110" i="6"/>
  <c r="BZ110" i="6"/>
  <c r="DS110" i="6" a="1"/>
  <c r="DS110" i="6" s="1"/>
  <c r="DR110" i="6" a="1"/>
  <c r="DR110" i="6" s="1"/>
  <c r="B32" i="10"/>
  <c r="B31" i="7"/>
  <c r="C32" i="7" a="1"/>
  <c r="C32" i="7" s="1"/>
  <c r="U14" i="12"/>
  <c r="V14" i="12" a="1"/>
  <c r="V14" i="12" s="1"/>
  <c r="T14" i="12"/>
  <c r="BQ110" i="6" l="1"/>
  <c r="AX110" i="6"/>
  <c r="BD110" i="6"/>
  <c r="BK110" i="6"/>
  <c r="BB110" i="6"/>
  <c r="BF110" i="6"/>
  <c r="AS110" i="6"/>
  <c r="AT110" i="6"/>
  <c r="BL110" i="6"/>
  <c r="AR110" i="6"/>
  <c r="BP110" i="6"/>
  <c r="BG110" i="6"/>
  <c r="AZ110" i="6"/>
  <c r="BJ110" i="6"/>
  <c r="AV110" i="6"/>
  <c r="BE110" i="6"/>
  <c r="AU110" i="6"/>
  <c r="BH110" i="6"/>
  <c r="BN110" i="6"/>
  <c r="BM110" i="6"/>
  <c r="BA110" i="6"/>
  <c r="AY110" i="6"/>
  <c r="AW110" i="6"/>
  <c r="BI110" i="6"/>
  <c r="BC110" i="6"/>
  <c r="BO110" i="6"/>
  <c r="L111" i="12" a="1"/>
  <c r="L111" i="12" s="1"/>
  <c r="J111" i="12" a="1"/>
  <c r="J111" i="12" s="1"/>
  <c r="B112" i="5"/>
  <c r="B112" i="6"/>
  <c r="G112" i="5"/>
  <c r="A112" i="12"/>
  <c r="K112" i="5"/>
  <c r="AD112" i="5"/>
  <c r="AE112" i="5" a="1"/>
  <c r="AE112" i="5" s="1"/>
  <c r="F112" i="5"/>
  <c r="N112" i="5"/>
  <c r="D112" i="6" s="1"/>
  <c r="H112" i="6" s="1" a="1"/>
  <c r="H112" i="6" s="1"/>
  <c r="T112" i="5" s="1"/>
  <c r="G112" i="12" s="1" a="1"/>
  <c r="G112" i="12" s="1"/>
  <c r="H112" i="5"/>
  <c r="J112" i="5"/>
  <c r="C113" i="5"/>
  <c r="D112" i="5"/>
  <c r="B112" i="12" s="1"/>
  <c r="E112" i="5"/>
  <c r="L119" i="6"/>
  <c r="B32" i="7"/>
  <c r="C33" i="7" a="1"/>
  <c r="C33" i="7" s="1"/>
  <c r="B33" i="10"/>
  <c r="AG14" i="5" a="1"/>
  <c r="AG14" i="5" s="1"/>
  <c r="S14" i="5" a="1"/>
  <c r="S14" i="5" s="1"/>
  <c r="F14" i="12" s="1" a="1"/>
  <c r="F14" i="12" s="1"/>
  <c r="K111" i="12" l="1"/>
  <c r="A113" i="12"/>
  <c r="D113" i="5"/>
  <c r="B113" i="12" s="1"/>
  <c r="F113" i="5"/>
  <c r="H113" i="5"/>
  <c r="N113" i="5"/>
  <c r="D113" i="6" s="1"/>
  <c r="H113" i="6" s="1" a="1"/>
  <c r="H113" i="6" s="1"/>
  <c r="T113" i="5" s="1"/>
  <c r="G113" i="12" s="1" a="1"/>
  <c r="G113" i="12" s="1"/>
  <c r="E113" i="5"/>
  <c r="B113" i="6"/>
  <c r="AE113" i="5" a="1"/>
  <c r="AE113" i="5" s="1"/>
  <c r="AD113" i="5"/>
  <c r="J113" i="5"/>
  <c r="G113" i="5"/>
  <c r="B113" i="5"/>
  <c r="C114" i="5" s="1"/>
  <c r="K113" i="5"/>
  <c r="J112" i="12" a="1"/>
  <c r="J112" i="12" s="1"/>
  <c r="L112" i="12" a="1"/>
  <c r="L112" i="12" s="1"/>
  <c r="L120" i="6"/>
  <c r="C34" i="7" a="1"/>
  <c r="C34" i="7" s="1"/>
  <c r="B33" i="7"/>
  <c r="B34" i="10"/>
  <c r="E14" i="12"/>
  <c r="AC14" i="5" a="1"/>
  <c r="AC14" i="5" s="1"/>
  <c r="K112" i="12" l="1"/>
  <c r="F114" i="5"/>
  <c r="B114" i="6"/>
  <c r="A114" i="6" s="1"/>
  <c r="AF114" i="5" a="1"/>
  <c r="AF114" i="5" s="1"/>
  <c r="AG114" i="5" s="1" a="1"/>
  <c r="AG114" i="5" s="1"/>
  <c r="U114" i="5" s="1"/>
  <c r="AN114" i="5" s="1" a="1"/>
  <c r="AN114" i="5" s="1"/>
  <c r="H114" i="5"/>
  <c r="AD114" i="5"/>
  <c r="A114" i="12"/>
  <c r="E114" i="5"/>
  <c r="N114" i="5"/>
  <c r="D114" i="6" s="1"/>
  <c r="M114" i="6" s="1"/>
  <c r="B114" i="5"/>
  <c r="C115" i="5" s="1"/>
  <c r="W114" i="5" a="1"/>
  <c r="W114" i="5" s="1"/>
  <c r="H114" i="12" s="1" a="1"/>
  <c r="H114" i="12" s="1"/>
  <c r="AE114" i="5" a="1"/>
  <c r="AE114" i="5" s="1"/>
  <c r="I114" i="5"/>
  <c r="G114" i="5"/>
  <c r="L113" i="12" a="1"/>
  <c r="L113" i="12" s="1"/>
  <c r="J113" i="12" a="1"/>
  <c r="J113" i="12" s="1"/>
  <c r="L121" i="6"/>
  <c r="C35" i="7" a="1"/>
  <c r="C35" i="7" s="1"/>
  <c r="B34" i="7"/>
  <c r="B35" i="10"/>
  <c r="N114" i="6" l="1"/>
  <c r="B115" i="6"/>
  <c r="A115" i="6" s="1"/>
  <c r="I115" i="5"/>
  <c r="AF115" i="5" a="1"/>
  <c r="AF115" i="5" s="1"/>
  <c r="AG115" i="5" s="1" a="1"/>
  <c r="AG115" i="5" s="1"/>
  <c r="U115" i="5" s="1"/>
  <c r="AN115" i="5" s="1" a="1"/>
  <c r="AN115" i="5" s="1"/>
  <c r="A115" i="12"/>
  <c r="E115" i="5"/>
  <c r="C116" i="5"/>
  <c r="AD115" i="5"/>
  <c r="B115" i="5"/>
  <c r="AE115" i="5" a="1"/>
  <c r="AE115" i="5" s="1"/>
  <c r="H115" i="5"/>
  <c r="F115" i="5"/>
  <c r="N115" i="5"/>
  <c r="D115" i="6" s="1"/>
  <c r="N115" i="6" s="1"/>
  <c r="W115" i="5" a="1"/>
  <c r="W115" i="5" s="1"/>
  <c r="H115" i="12" s="1" a="1"/>
  <c r="H115" i="12" s="1"/>
  <c r="G115" i="5"/>
  <c r="K113" i="12"/>
  <c r="H114" i="6" a="1"/>
  <c r="H114" i="6" s="1"/>
  <c r="T114" i="5" s="1"/>
  <c r="G114" i="12" s="1" a="1"/>
  <c r="G114" i="12" s="1"/>
  <c r="G114" i="6"/>
  <c r="L122" i="6"/>
  <c r="DS114" i="6" a="1"/>
  <c r="DS114" i="6" s="1"/>
  <c r="DE114" i="6" a="1"/>
  <c r="DE114" i="6" s="1"/>
  <c r="CG114" i="6"/>
  <c r="CZ114" i="6" a="1"/>
  <c r="CZ114" i="6" s="1"/>
  <c r="CV114" i="6" a="1"/>
  <c r="CV114" i="6" s="1"/>
  <c r="BX114" i="6"/>
  <c r="CP114" i="6"/>
  <c r="BT114" i="6"/>
  <c r="CC114" i="6"/>
  <c r="CB114" i="6"/>
  <c r="DM114" i="6" a="1"/>
  <c r="DM114" i="6" s="1"/>
  <c r="BW114" i="6"/>
  <c r="DL114" i="6" a="1"/>
  <c r="DL114" i="6" s="1"/>
  <c r="CK114" i="6"/>
  <c r="CF114" i="6"/>
  <c r="CE114" i="6"/>
  <c r="DB114" i="6" a="1"/>
  <c r="DB114" i="6" s="1"/>
  <c r="DQ114" i="6" a="1"/>
  <c r="DQ114" i="6" s="1"/>
  <c r="CI114" i="6"/>
  <c r="CU114" i="6" a="1"/>
  <c r="CU114" i="6" s="1"/>
  <c r="DR114" i="6" a="1"/>
  <c r="DR114" i="6" s="1"/>
  <c r="CQ114" i="6"/>
  <c r="CT114" i="6" a="1"/>
  <c r="CT114" i="6" s="1"/>
  <c r="CD114" i="6"/>
  <c r="BZ114" i="6"/>
  <c r="DO114" i="6" a="1"/>
  <c r="DO114" i="6" s="1"/>
  <c r="BS114" i="6"/>
  <c r="CW114" i="6" a="1"/>
  <c r="CW114" i="6" s="1"/>
  <c r="DG114" i="6" a="1"/>
  <c r="DG114" i="6" s="1"/>
  <c r="DJ114" i="6" a="1"/>
  <c r="DJ114" i="6" s="1"/>
  <c r="CO114" i="6"/>
  <c r="BY114" i="6"/>
  <c r="BV114" i="6"/>
  <c r="DD114" i="6" a="1"/>
  <c r="DD114" i="6" s="1"/>
  <c r="CY114" i="6" a="1"/>
  <c r="CY114" i="6" s="1"/>
  <c r="BU114" i="6"/>
  <c r="DK114" i="6" a="1"/>
  <c r="DK114" i="6" s="1"/>
  <c r="CM114" i="6"/>
  <c r="CA114" i="6"/>
  <c r="CR114" i="6"/>
  <c r="DN114" i="6" a="1"/>
  <c r="DN114" i="6" s="1"/>
  <c r="DF114" i="6" a="1"/>
  <c r="DF114" i="6" s="1"/>
  <c r="CX114" i="6" a="1"/>
  <c r="CX114" i="6" s="1"/>
  <c r="CN114" i="6"/>
  <c r="DP114" i="6" a="1"/>
  <c r="DP114" i="6" s="1"/>
  <c r="CJ114" i="6"/>
  <c r="DI114" i="6" a="1"/>
  <c r="DI114" i="6" s="1"/>
  <c r="CL114" i="6"/>
  <c r="DA114" i="6" a="1"/>
  <c r="DA114" i="6" s="1"/>
  <c r="DH114" i="6" a="1"/>
  <c r="DH114" i="6" s="1"/>
  <c r="DC114" i="6" a="1"/>
  <c r="DC114" i="6" s="1"/>
  <c r="CH114" i="6"/>
  <c r="B35" i="7"/>
  <c r="C36" i="7" a="1"/>
  <c r="C36" i="7" s="1"/>
  <c r="B36" i="10"/>
  <c r="M115" i="6" l="1"/>
  <c r="BW115" i="6" s="1"/>
  <c r="BL114" i="6"/>
  <c r="BF114" i="6"/>
  <c r="BK114" i="6"/>
  <c r="AZ114" i="6"/>
  <c r="BE114" i="6"/>
  <c r="BC114" i="6"/>
  <c r="BJ114" i="6"/>
  <c r="BD114" i="6"/>
  <c r="BM114" i="6"/>
  <c r="BH114" i="6"/>
  <c r="AU114" i="6"/>
  <c r="BB114" i="6"/>
  <c r="AT114" i="6"/>
  <c r="BI114" i="6"/>
  <c r="AW114" i="6"/>
  <c r="AR114" i="6"/>
  <c r="BN114" i="6"/>
  <c r="AX114" i="6"/>
  <c r="BO114" i="6"/>
  <c r="AS114" i="6"/>
  <c r="BG114" i="6"/>
  <c r="BP114" i="6"/>
  <c r="BA114" i="6"/>
  <c r="AV114" i="6"/>
  <c r="AY114" i="6"/>
  <c r="BQ114" i="6"/>
  <c r="B116" i="6"/>
  <c r="K116" i="5"/>
  <c r="N116" i="5"/>
  <c r="D116" i="6" s="1"/>
  <c r="H116" i="6" s="1" a="1"/>
  <c r="H116" i="6" s="1"/>
  <c r="T116" i="5" s="1"/>
  <c r="G116" i="12" s="1" a="1"/>
  <c r="G116" i="12" s="1"/>
  <c r="A116" i="12"/>
  <c r="J116" i="5"/>
  <c r="AE116" i="5" a="1"/>
  <c r="AE116" i="5" s="1"/>
  <c r="E116" i="5"/>
  <c r="H116" i="5"/>
  <c r="G116" i="5"/>
  <c r="AD116" i="5"/>
  <c r="F116" i="5"/>
  <c r="C117" i="5"/>
  <c r="D116" i="5"/>
  <c r="B116" i="12" s="1"/>
  <c r="B116" i="5"/>
  <c r="H115" i="6" a="1"/>
  <c r="H115" i="6" s="1"/>
  <c r="T115" i="5" s="1"/>
  <c r="G115" i="12" s="1" a="1"/>
  <c r="G115" i="12" s="1"/>
  <c r="G115" i="6"/>
  <c r="L123" i="6"/>
  <c r="DQ115" i="6" a="1"/>
  <c r="DQ115" i="6" s="1"/>
  <c r="CR115" i="6"/>
  <c r="DP115" i="6" a="1"/>
  <c r="DP115" i="6" s="1"/>
  <c r="CQ115" i="6"/>
  <c r="BV115" i="6"/>
  <c r="CX115" i="6" a="1"/>
  <c r="CX115" i="6" s="1"/>
  <c r="CK115" i="6"/>
  <c r="CV115" i="6" a="1"/>
  <c r="CV115" i="6" s="1"/>
  <c r="DH115" i="6" a="1"/>
  <c r="DH115" i="6" s="1"/>
  <c r="CN115" i="6"/>
  <c r="DK115" i="6" a="1"/>
  <c r="DK115" i="6" s="1"/>
  <c r="DB115" i="6" a="1"/>
  <c r="DB115" i="6" s="1"/>
  <c r="CG115" i="6"/>
  <c r="CW115" i="6" a="1"/>
  <c r="CW115" i="6" s="1"/>
  <c r="BU115" i="6"/>
  <c r="DO115" i="6" a="1"/>
  <c r="DO115" i="6" s="1"/>
  <c r="BY115" i="6"/>
  <c r="BS115" i="6"/>
  <c r="CT115" i="6" a="1"/>
  <c r="CT115" i="6" s="1"/>
  <c r="BX115" i="6"/>
  <c r="BT115" i="6"/>
  <c r="CO115" i="6"/>
  <c r="B36" i="7"/>
  <c r="C37" i="7" a="1"/>
  <c r="C37" i="7" s="1"/>
  <c r="B37" i="10"/>
  <c r="DN115" i="6" l="1" a="1"/>
  <c r="DN115" i="6" s="1"/>
  <c r="CE115" i="6"/>
  <c r="DS115" i="6" a="1"/>
  <c r="DS115" i="6" s="1"/>
  <c r="CP115" i="6"/>
  <c r="CH115" i="6"/>
  <c r="CJ115" i="6"/>
  <c r="CZ115" i="6" a="1"/>
  <c r="CZ115" i="6" s="1"/>
  <c r="DC115" i="6" a="1"/>
  <c r="DC115" i="6" s="1"/>
  <c r="CB115" i="6"/>
  <c r="CI115" i="6"/>
  <c r="DD115" i="6" a="1"/>
  <c r="DD115" i="6" s="1"/>
  <c r="CC115" i="6"/>
  <c r="DJ115" i="6" a="1"/>
  <c r="DJ115" i="6" s="1"/>
  <c r="CU115" i="6" a="1"/>
  <c r="CU115" i="6" s="1"/>
  <c r="BZ115" i="6"/>
  <c r="DA115" i="6" a="1"/>
  <c r="DA115" i="6" s="1"/>
  <c r="DL115" i="6" a="1"/>
  <c r="DL115" i="6" s="1"/>
  <c r="DR115" i="6" a="1"/>
  <c r="DR115" i="6" s="1"/>
  <c r="DM115" i="6" a="1"/>
  <c r="DM115" i="6" s="1"/>
  <c r="DE115" i="6" a="1"/>
  <c r="DE115" i="6" s="1"/>
  <c r="CL115" i="6"/>
  <c r="DF115" i="6" a="1"/>
  <c r="DF115" i="6" s="1"/>
  <c r="DG115" i="6" a="1"/>
  <c r="DG115" i="6" s="1"/>
  <c r="DI115" i="6" a="1"/>
  <c r="DI115" i="6" s="1"/>
  <c r="CD115" i="6"/>
  <c r="CA115" i="6"/>
  <c r="CY115" i="6" a="1"/>
  <c r="CY115" i="6" s="1"/>
  <c r="CM115" i="6"/>
  <c r="CF115" i="6"/>
  <c r="BD115" i="6"/>
  <c r="AX115" i="6"/>
  <c r="BO115" i="6"/>
  <c r="BB115" i="6"/>
  <c r="BF115" i="6"/>
  <c r="BI115" i="6"/>
  <c r="AY115" i="6"/>
  <c r="AU115" i="6"/>
  <c r="BK115" i="6"/>
  <c r="BQ115" i="6"/>
  <c r="BG115" i="6"/>
  <c r="BM115" i="6"/>
  <c r="AW115" i="6"/>
  <c r="AT115" i="6"/>
  <c r="AZ115" i="6"/>
  <c r="BJ115" i="6"/>
  <c r="BE115" i="6"/>
  <c r="AV115" i="6"/>
  <c r="AR115" i="6"/>
  <c r="BP115" i="6"/>
  <c r="BA115" i="6"/>
  <c r="BN115" i="6"/>
  <c r="BC115" i="6"/>
  <c r="BL115" i="6"/>
  <c r="AS115" i="6"/>
  <c r="BH115" i="6"/>
  <c r="AD117" i="5"/>
  <c r="H117" i="5"/>
  <c r="B117" i="6"/>
  <c r="B117" i="5"/>
  <c r="G117" i="5"/>
  <c r="J117" i="5"/>
  <c r="D117" i="5"/>
  <c r="B117" i="12" s="1"/>
  <c r="A117" i="12"/>
  <c r="C118" i="5"/>
  <c r="N117" i="5"/>
  <c r="D117" i="6" s="1"/>
  <c r="H117" i="6" s="1" a="1"/>
  <c r="H117" i="6" s="1"/>
  <c r="T117" i="5" s="1"/>
  <c r="G117" i="12" s="1" a="1"/>
  <c r="G117" i="12" s="1"/>
  <c r="K117" i="5"/>
  <c r="AE117" i="5" a="1"/>
  <c r="AE117" i="5" s="1"/>
  <c r="F117" i="5"/>
  <c r="E117" i="5"/>
  <c r="L116" i="12" a="1"/>
  <c r="L116" i="12" s="1"/>
  <c r="J116" i="12" a="1"/>
  <c r="J116" i="12" s="1"/>
  <c r="L124" i="6"/>
  <c r="B38" i="10"/>
  <c r="B37" i="7"/>
  <c r="C38" i="7" a="1"/>
  <c r="C38" i="7" s="1"/>
  <c r="K116" i="12" l="1"/>
  <c r="J117" i="12" a="1"/>
  <c r="J117" i="12" s="1"/>
  <c r="L117" i="12" a="1"/>
  <c r="L117" i="12" s="1"/>
  <c r="G118" i="5"/>
  <c r="D118" i="5"/>
  <c r="B118" i="12" s="1"/>
  <c r="K118" i="5"/>
  <c r="F118" i="5"/>
  <c r="B118" i="5"/>
  <c r="A118" i="12"/>
  <c r="C119" i="5"/>
  <c r="AE118" i="5" a="1"/>
  <c r="AE118" i="5" s="1"/>
  <c r="N118" i="5"/>
  <c r="D118" i="6" s="1"/>
  <c r="H118" i="6" s="1" a="1"/>
  <c r="H118" i="6" s="1"/>
  <c r="T118" i="5" s="1"/>
  <c r="G118" i="12" s="1" a="1"/>
  <c r="G118" i="12" s="1"/>
  <c r="AD118" i="5"/>
  <c r="H118" i="5"/>
  <c r="J118" i="5"/>
  <c r="E118" i="5"/>
  <c r="B118" i="6"/>
  <c r="L125" i="6"/>
  <c r="B38" i="7"/>
  <c r="C39" i="7" a="1"/>
  <c r="C39" i="7" s="1"/>
  <c r="B39" i="10"/>
  <c r="K117" i="12" l="1"/>
  <c r="J118" i="12" a="1"/>
  <c r="J118" i="12" s="1"/>
  <c r="L118" i="12" a="1"/>
  <c r="L118" i="12" s="1"/>
  <c r="K119" i="5"/>
  <c r="B119" i="5"/>
  <c r="G119" i="5"/>
  <c r="B119" i="6"/>
  <c r="AE119" i="5" a="1"/>
  <c r="AE119" i="5" s="1"/>
  <c r="C120" i="5"/>
  <c r="F119" i="5"/>
  <c r="A119" i="12"/>
  <c r="D119" i="5"/>
  <c r="B119" i="12" s="1"/>
  <c r="H119" i="5"/>
  <c r="J119" i="5"/>
  <c r="E119" i="5"/>
  <c r="N119" i="5"/>
  <c r="D119" i="6" s="1"/>
  <c r="H119" i="6" s="1" a="1"/>
  <c r="H119" i="6" s="1"/>
  <c r="T119" i="5" s="1"/>
  <c r="G119" i="12" s="1" a="1"/>
  <c r="G119" i="12" s="1"/>
  <c r="AD119" i="5"/>
  <c r="L126" i="6"/>
  <c r="F125" i="6"/>
  <c r="B40" i="10"/>
  <c r="C40" i="7" a="1"/>
  <c r="C40" i="7" s="1"/>
  <c r="B39" i="7"/>
  <c r="K118" i="12" l="1"/>
  <c r="C121" i="5"/>
  <c r="B120" i="5"/>
  <c r="A120" i="12"/>
  <c r="D120" i="5"/>
  <c r="B120" i="12" s="1"/>
  <c r="F120" i="5"/>
  <c r="K120" i="5"/>
  <c r="N120" i="5"/>
  <c r="D120" i="6" s="1"/>
  <c r="H120" i="6" s="1" a="1"/>
  <c r="H120" i="6" s="1"/>
  <c r="T120" i="5" s="1"/>
  <c r="G120" i="12" s="1" a="1"/>
  <c r="G120" i="12" s="1"/>
  <c r="G120" i="5"/>
  <c r="E120" i="5"/>
  <c r="B120" i="6"/>
  <c r="J120" i="5"/>
  <c r="AD120" i="5"/>
  <c r="AE120" i="5" a="1"/>
  <c r="AE120" i="5" s="1"/>
  <c r="H120" i="5"/>
  <c r="L119" i="12" a="1"/>
  <c r="L119" i="12" s="1"/>
  <c r="J119" i="12" a="1"/>
  <c r="J119" i="12" s="1"/>
  <c r="L127" i="6"/>
  <c r="B41" i="10"/>
  <c r="C41" i="7" a="1"/>
  <c r="C41" i="7" s="1"/>
  <c r="B40" i="7"/>
  <c r="J10" i="13"/>
  <c r="K119" i="12" l="1"/>
  <c r="J120" i="12" a="1"/>
  <c r="J120" i="12" s="1"/>
  <c r="L120" i="12" a="1"/>
  <c r="L120" i="12" s="1"/>
  <c r="B121" i="5"/>
  <c r="N121" i="5"/>
  <c r="D121" i="6" s="1"/>
  <c r="H121" i="6" s="1" a="1"/>
  <c r="H121" i="6" s="1"/>
  <c r="T121" i="5" s="1"/>
  <c r="G121" i="12" s="1" a="1"/>
  <c r="G121" i="12" s="1"/>
  <c r="C122" i="5"/>
  <c r="J121" i="5"/>
  <c r="D121" i="5"/>
  <c r="B121" i="12" s="1"/>
  <c r="G121" i="5"/>
  <c r="E121" i="5"/>
  <c r="H121" i="5"/>
  <c r="B121" i="6"/>
  <c r="K121" i="5"/>
  <c r="AD121" i="5"/>
  <c r="F121" i="5"/>
  <c r="A121" i="12"/>
  <c r="AE121" i="5" a="1"/>
  <c r="AE121" i="5" s="1"/>
  <c r="L128" i="6"/>
  <c r="B42" i="10"/>
  <c r="C42" i="7" a="1"/>
  <c r="C42" i="7" s="1"/>
  <c r="B41" i="7"/>
  <c r="K120" i="12" l="1"/>
  <c r="L121" i="12" a="1"/>
  <c r="L121" i="12" s="1"/>
  <c r="J121" i="12" a="1"/>
  <c r="J121" i="12" s="1"/>
  <c r="K122" i="5"/>
  <c r="N122" i="5"/>
  <c r="D122" i="6" s="1"/>
  <c r="H122" i="6" s="1" a="1"/>
  <c r="H122" i="6" s="1"/>
  <c r="T122" i="5" s="1"/>
  <c r="G122" i="12" s="1" a="1"/>
  <c r="G122" i="12" s="1"/>
  <c r="AE122" i="5" a="1"/>
  <c r="AE122" i="5" s="1"/>
  <c r="B122" i="5"/>
  <c r="F122" i="5"/>
  <c r="J122" i="5"/>
  <c r="G122" i="5"/>
  <c r="E122" i="5"/>
  <c r="B122" i="6"/>
  <c r="A122" i="12"/>
  <c r="H122" i="5"/>
  <c r="AD122" i="5"/>
  <c r="C123" i="5"/>
  <c r="D122" i="5"/>
  <c r="B122" i="12" s="1"/>
  <c r="F128" i="6"/>
  <c r="L129" i="6"/>
  <c r="B43" i="10"/>
  <c r="C43" i="7" a="1"/>
  <c r="C43" i="7" s="1"/>
  <c r="B42" i="7"/>
  <c r="A123" i="12" l="1"/>
  <c r="C124" i="5"/>
  <c r="H123" i="5"/>
  <c r="E123" i="5"/>
  <c r="K123" i="5"/>
  <c r="D123" i="5"/>
  <c r="B123" i="12" s="1"/>
  <c r="AD123" i="5"/>
  <c r="AE123" i="5" a="1"/>
  <c r="AE123" i="5" s="1"/>
  <c r="G123" i="5"/>
  <c r="B123" i="6"/>
  <c r="J123" i="5"/>
  <c r="N123" i="5"/>
  <c r="D123" i="6" s="1"/>
  <c r="H123" i="6" s="1" a="1"/>
  <c r="H123" i="6" s="1"/>
  <c r="T123" i="5" s="1"/>
  <c r="G123" i="12" s="1" a="1"/>
  <c r="G123" i="12" s="1"/>
  <c r="B123" i="5"/>
  <c r="F123" i="5"/>
  <c r="L122" i="12" a="1"/>
  <c r="L122" i="12" s="1"/>
  <c r="J122" i="12" a="1"/>
  <c r="J122" i="12" s="1"/>
  <c r="K121" i="12"/>
  <c r="L130" i="6"/>
  <c r="B44" i="10"/>
  <c r="C44" i="7" a="1"/>
  <c r="C44" i="7" s="1"/>
  <c r="B43" i="7"/>
  <c r="K122" i="12" l="1"/>
  <c r="B124" i="6"/>
  <c r="F124" i="5"/>
  <c r="G124" i="5"/>
  <c r="AD124" i="5"/>
  <c r="N124" i="5"/>
  <c r="D124" i="6" s="1"/>
  <c r="H124" i="6" s="1" a="1"/>
  <c r="H124" i="6" s="1"/>
  <c r="T124" i="5" s="1"/>
  <c r="G124" i="12" s="1" a="1"/>
  <c r="G124" i="12" s="1"/>
  <c r="E124" i="5"/>
  <c r="D124" i="5"/>
  <c r="B124" i="12" s="1"/>
  <c r="B124" i="5"/>
  <c r="C125" i="5" s="1"/>
  <c r="J124" i="5"/>
  <c r="AE124" i="5" a="1"/>
  <c r="AE124" i="5" s="1"/>
  <c r="H124" i="5"/>
  <c r="K124" i="5"/>
  <c r="A124" i="12"/>
  <c r="J123" i="12" a="1"/>
  <c r="J123" i="12" s="1"/>
  <c r="L123" i="12" a="1"/>
  <c r="L123" i="12" s="1"/>
  <c r="L131" i="6"/>
  <c r="B44" i="7"/>
  <c r="C45" i="7" a="1"/>
  <c r="C45" i="7" s="1"/>
  <c r="B45" i="10"/>
  <c r="K123" i="12" l="1"/>
  <c r="J124" i="12" a="1"/>
  <c r="J124" i="12" s="1"/>
  <c r="L124" i="12" a="1"/>
  <c r="L124" i="12" s="1"/>
  <c r="E125" i="5"/>
  <c r="AF125" i="5" a="1"/>
  <c r="AF125" i="5" s="1"/>
  <c r="AG125" i="5" s="1" a="1"/>
  <c r="AG125" i="5" s="1"/>
  <c r="U125" i="5" s="1"/>
  <c r="AN125" i="5" s="1" a="1"/>
  <c r="AN125" i="5" s="1"/>
  <c r="AE125" i="5" a="1"/>
  <c r="AE125" i="5" s="1"/>
  <c r="H125" i="5"/>
  <c r="B125" i="6"/>
  <c r="A125" i="6" s="1"/>
  <c r="F125" i="5"/>
  <c r="B125" i="5"/>
  <c r="C126" i="5"/>
  <c r="W125" i="5" a="1"/>
  <c r="W125" i="5" s="1"/>
  <c r="H125" i="12" s="1" a="1"/>
  <c r="H125" i="12" s="1"/>
  <c r="A125" i="12"/>
  <c r="N125" i="5"/>
  <c r="D125" i="6" s="1"/>
  <c r="M125" i="6" s="1"/>
  <c r="G125" i="5"/>
  <c r="AD125" i="5"/>
  <c r="I125" i="5"/>
  <c r="L132" i="6"/>
  <c r="B46" i="10"/>
  <c r="C46" i="7" a="1"/>
  <c r="C46" i="7" s="1"/>
  <c r="B45" i="7"/>
  <c r="N125" i="6" l="1"/>
  <c r="K124" i="12"/>
  <c r="B126" i="6"/>
  <c r="B126" i="5"/>
  <c r="G126" i="5"/>
  <c r="N126" i="5"/>
  <c r="D126" i="6" s="1"/>
  <c r="H126" i="6" s="1" a="1"/>
  <c r="H126" i="6" s="1"/>
  <c r="T126" i="5" s="1"/>
  <c r="G126" i="12" s="1" a="1"/>
  <c r="G126" i="12" s="1"/>
  <c r="AE126" i="5" a="1"/>
  <c r="AE126" i="5" s="1"/>
  <c r="AD126" i="5"/>
  <c r="J126" i="5"/>
  <c r="D126" i="5"/>
  <c r="B126" i="12" s="1"/>
  <c r="F126" i="5"/>
  <c r="H126" i="5"/>
  <c r="A126" i="12"/>
  <c r="E126" i="5"/>
  <c r="K126" i="5"/>
  <c r="C127" i="5"/>
  <c r="G125" i="6"/>
  <c r="H125" i="6" a="1"/>
  <c r="H125" i="6" s="1"/>
  <c r="T125" i="5" s="1"/>
  <c r="G125" i="12" s="1" a="1"/>
  <c r="G125" i="12" s="1"/>
  <c r="F132" i="6"/>
  <c r="L133" i="6"/>
  <c r="DQ125" i="6" a="1"/>
  <c r="DQ125" i="6" s="1"/>
  <c r="CN125" i="6"/>
  <c r="CD125" i="6"/>
  <c r="BV125" i="6"/>
  <c r="CU125" i="6" a="1"/>
  <c r="CU125" i="6" s="1"/>
  <c r="BT125" i="6"/>
  <c r="DF125" i="6" a="1"/>
  <c r="DF125" i="6" s="1"/>
  <c r="CM125" i="6"/>
  <c r="DK125" i="6" a="1"/>
  <c r="DK125" i="6" s="1"/>
  <c r="CL125" i="6"/>
  <c r="CC125" i="6"/>
  <c r="DB125" i="6" a="1"/>
  <c r="DB125" i="6" s="1"/>
  <c r="CY125" i="6" a="1"/>
  <c r="CY125" i="6" s="1"/>
  <c r="DI125" i="6" a="1"/>
  <c r="DI125" i="6" s="1"/>
  <c r="CK125" i="6"/>
  <c r="CV125" i="6" a="1"/>
  <c r="CV125" i="6" s="1"/>
  <c r="CB125" i="6"/>
  <c r="DH125" i="6" a="1"/>
  <c r="DH125" i="6" s="1"/>
  <c r="CR125" i="6"/>
  <c r="BU125" i="6"/>
  <c r="DO125" i="6" a="1"/>
  <c r="DO125" i="6" s="1"/>
  <c r="DG125" i="6" a="1"/>
  <c r="DG125" i="6" s="1"/>
  <c r="CQ125" i="6"/>
  <c r="CZ125" i="6" a="1"/>
  <c r="CZ125" i="6" s="1"/>
  <c r="CA125" i="6"/>
  <c r="DM125" i="6" a="1"/>
  <c r="DM125" i="6" s="1"/>
  <c r="DE125" i="6" a="1"/>
  <c r="DE125" i="6" s="1"/>
  <c r="CJ125" i="6"/>
  <c r="CT125" i="6" a="1"/>
  <c r="CT125" i="6" s="1"/>
  <c r="BS125" i="6"/>
  <c r="DS125" i="6" a="1"/>
  <c r="DS125" i="6" s="1"/>
  <c r="DD125" i="6" a="1"/>
  <c r="DD125" i="6" s="1"/>
  <c r="CI125" i="6"/>
  <c r="DA125" i="6" a="1"/>
  <c r="DA125" i="6" s="1"/>
  <c r="CF125" i="6"/>
  <c r="DL125" i="6" a="1"/>
  <c r="DL125" i="6" s="1"/>
  <c r="CP125" i="6"/>
  <c r="CH125" i="6"/>
  <c r="DC125" i="6" a="1"/>
  <c r="DC125" i="6" s="1"/>
  <c r="CX125" i="6" a="1"/>
  <c r="CX125" i="6" s="1"/>
  <c r="BZ125" i="6"/>
  <c r="DR125" i="6" a="1"/>
  <c r="DR125" i="6" s="1"/>
  <c r="DJ125" i="6" a="1"/>
  <c r="DJ125" i="6" s="1"/>
  <c r="CW125" i="6" a="1"/>
  <c r="CW125" i="6" s="1"/>
  <c r="DP125" i="6" a="1"/>
  <c r="DP125" i="6" s="1"/>
  <c r="CO125" i="6"/>
  <c r="CG125" i="6"/>
  <c r="BW125" i="6"/>
  <c r="BY125" i="6"/>
  <c r="DN125" i="6" a="1"/>
  <c r="DN125" i="6" s="1"/>
  <c r="CE125" i="6"/>
  <c r="BX125" i="6"/>
  <c r="B46" i="7"/>
  <c r="C47" i="7" a="1"/>
  <c r="C47" i="7" s="1"/>
  <c r="B47" i="10"/>
  <c r="BP125" i="6" l="1"/>
  <c r="BA125" i="6"/>
  <c r="BM125" i="6"/>
  <c r="AX125" i="6"/>
  <c r="BQ125" i="6"/>
  <c r="AU125" i="6"/>
  <c r="BK125" i="6"/>
  <c r="BL125" i="6"/>
  <c r="BG125" i="6"/>
  <c r="BJ125" i="6"/>
  <c r="BE125" i="6"/>
  <c r="AV125" i="6"/>
  <c r="BB125" i="6"/>
  <c r="BC125" i="6"/>
  <c r="BH125" i="6"/>
  <c r="BF125" i="6"/>
  <c r="AS125" i="6"/>
  <c r="AY125" i="6"/>
  <c r="BN125" i="6"/>
  <c r="AZ125" i="6"/>
  <c r="BI125" i="6"/>
  <c r="BO125" i="6"/>
  <c r="BD125" i="6"/>
  <c r="AT125" i="6"/>
  <c r="AR125" i="6"/>
  <c r="B127" i="6"/>
  <c r="H127" i="5"/>
  <c r="E127" i="5"/>
  <c r="F127" i="5"/>
  <c r="AE127" i="5" a="1"/>
  <c r="AE127" i="5" s="1"/>
  <c r="D127" i="5"/>
  <c r="B127" i="12" s="1"/>
  <c r="N127" i="5"/>
  <c r="D127" i="6" s="1"/>
  <c r="H127" i="6" s="1" a="1"/>
  <c r="H127" i="6" s="1"/>
  <c r="T127" i="5" s="1"/>
  <c r="G127" i="12" s="1" a="1"/>
  <c r="G127" i="12" s="1"/>
  <c r="A127" i="12"/>
  <c r="B127" i="5"/>
  <c r="C128" i="5" s="1"/>
  <c r="G127" i="5"/>
  <c r="K127" i="5"/>
  <c r="J127" i="5"/>
  <c r="AD127" i="5"/>
  <c r="L126" i="12" a="1"/>
  <c r="L126" i="12" s="1"/>
  <c r="J126" i="12" a="1"/>
  <c r="J126" i="12" s="1"/>
  <c r="AW125" i="6"/>
  <c r="F133" i="6"/>
  <c r="L134" i="6"/>
  <c r="B47" i="7"/>
  <c r="C48" i="7" a="1"/>
  <c r="C48" i="7" s="1"/>
  <c r="B48" i="10"/>
  <c r="K126" i="12" l="1"/>
  <c r="AD128" i="5"/>
  <c r="I128" i="5"/>
  <c r="C129" i="5"/>
  <c r="AF128" i="5" a="1"/>
  <c r="AF128" i="5" s="1"/>
  <c r="AG128" i="5" s="1" a="1"/>
  <c r="AG128" i="5" s="1"/>
  <c r="U128" i="5" s="1"/>
  <c r="AN128" i="5" s="1" a="1"/>
  <c r="AN128" i="5" s="1"/>
  <c r="F128" i="5"/>
  <c r="W128" i="5" a="1"/>
  <c r="W128" i="5" s="1"/>
  <c r="H128" i="12" s="1" a="1"/>
  <c r="H128" i="12" s="1"/>
  <c r="H128" i="5"/>
  <c r="N128" i="5"/>
  <c r="D128" i="6" s="1"/>
  <c r="N128" i="6" s="1"/>
  <c r="B128" i="6"/>
  <c r="A128" i="6" s="1"/>
  <c r="G128" i="5"/>
  <c r="AE128" i="5" a="1"/>
  <c r="AE128" i="5" s="1"/>
  <c r="A128" i="12"/>
  <c r="B128" i="5"/>
  <c r="E128" i="5"/>
  <c r="J127" i="12" a="1"/>
  <c r="J127" i="12" s="1"/>
  <c r="L127" i="12" a="1"/>
  <c r="L127" i="12" s="1"/>
  <c r="F134" i="6"/>
  <c r="L135" i="6"/>
  <c r="B48" i="7"/>
  <c r="C49" i="7" a="1"/>
  <c r="C49" i="7" s="1"/>
  <c r="B49" i="10"/>
  <c r="K125" i="5" l="1"/>
  <c r="K127" i="12"/>
  <c r="M128" i="6"/>
  <c r="DF128" i="6" s="1" a="1"/>
  <c r="DF128" i="6" s="1"/>
  <c r="B129" i="5"/>
  <c r="B129" i="6"/>
  <c r="D129" i="5"/>
  <c r="B129" i="12" s="1"/>
  <c r="K129" i="5"/>
  <c r="J129" i="5"/>
  <c r="AD129" i="5"/>
  <c r="AE129" i="5" a="1"/>
  <c r="AE129" i="5" s="1"/>
  <c r="N129" i="5"/>
  <c r="D129" i="6" s="1"/>
  <c r="H129" i="6" s="1" a="1"/>
  <c r="H129" i="6" s="1"/>
  <c r="T129" i="5" s="1"/>
  <c r="G129" i="12" s="1" a="1"/>
  <c r="G129" i="12" s="1"/>
  <c r="C130" i="5"/>
  <c r="G129" i="5"/>
  <c r="E129" i="5"/>
  <c r="F129" i="5"/>
  <c r="H129" i="5"/>
  <c r="A129" i="12"/>
  <c r="H128" i="6" a="1"/>
  <c r="H128" i="6" s="1"/>
  <c r="T128" i="5" s="1"/>
  <c r="G128" i="12" s="1" a="1"/>
  <c r="G128" i="12" s="1"/>
  <c r="G128" i="6"/>
  <c r="L136" i="6"/>
  <c r="B50" i="10"/>
  <c r="C50" i="7" a="1"/>
  <c r="C50" i="7" s="1"/>
  <c r="B49" i="7"/>
  <c r="BZ128" i="6" l="1"/>
  <c r="CA128" i="6"/>
  <c r="CJ128" i="6"/>
  <c r="CB128" i="6"/>
  <c r="CI128" i="6"/>
  <c r="DA128" i="6" a="1"/>
  <c r="DA128" i="6" s="1"/>
  <c r="BS128" i="6"/>
  <c r="DH128" i="6" a="1"/>
  <c r="DH128" i="6" s="1"/>
  <c r="DE128" i="6" a="1"/>
  <c r="DE128" i="6" s="1"/>
  <c r="DO128" i="6" a="1"/>
  <c r="DO128" i="6" s="1"/>
  <c r="CO128" i="6"/>
  <c r="DG128" i="6" a="1"/>
  <c r="DG128" i="6" s="1"/>
  <c r="BH128" i="6"/>
  <c r="CU128" i="6" a="1"/>
  <c r="CU128" i="6" s="1"/>
  <c r="DN128" i="6" a="1"/>
  <c r="DN128" i="6" s="1"/>
  <c r="CW128" i="6" a="1"/>
  <c r="CW128" i="6" s="1"/>
  <c r="CH128" i="6"/>
  <c r="DQ128" i="6" a="1"/>
  <c r="DQ128" i="6" s="1"/>
  <c r="DJ128" i="6" a="1"/>
  <c r="DJ128" i="6" s="1"/>
  <c r="CV128" i="6" a="1"/>
  <c r="CV128" i="6" s="1"/>
  <c r="BW128" i="6"/>
  <c r="DK128" i="6" a="1"/>
  <c r="DK128" i="6" s="1"/>
  <c r="BD128" i="6"/>
  <c r="BY128" i="6"/>
  <c r="CF128" i="6"/>
  <c r="CX128" i="6" a="1"/>
  <c r="CX128" i="6" s="1"/>
  <c r="CK128" i="6"/>
  <c r="DC128" i="6" a="1"/>
  <c r="DC128" i="6" s="1"/>
  <c r="DP128" i="6" a="1"/>
  <c r="DP128" i="6" s="1"/>
  <c r="CY128" i="6" a="1"/>
  <c r="CY128" i="6" s="1"/>
  <c r="CT128" i="6" a="1"/>
  <c r="CT128" i="6" s="1"/>
  <c r="BU128" i="6"/>
  <c r="CM128" i="6"/>
  <c r="BX128" i="6"/>
  <c r="DD128" i="6" a="1"/>
  <c r="DD128" i="6" s="1"/>
  <c r="DL128" i="6" a="1"/>
  <c r="DL128" i="6" s="1"/>
  <c r="DS128" i="6" a="1"/>
  <c r="DS128" i="6" s="1"/>
  <c r="CC128" i="6"/>
  <c r="CD128" i="6"/>
  <c r="CQ128" i="6"/>
  <c r="DR128" i="6" a="1"/>
  <c r="DR128" i="6" s="1"/>
  <c r="CN128" i="6"/>
  <c r="CR128" i="6"/>
  <c r="CE128" i="6"/>
  <c r="DM128" i="6" a="1"/>
  <c r="DM128" i="6" s="1"/>
  <c r="CG128" i="6"/>
  <c r="CZ128" i="6" a="1"/>
  <c r="CZ128" i="6" s="1"/>
  <c r="DB128" i="6" a="1"/>
  <c r="DB128" i="6" s="1"/>
  <c r="BV128" i="6"/>
  <c r="BT128" i="6"/>
  <c r="CP128" i="6"/>
  <c r="DI128" i="6" a="1"/>
  <c r="DI128" i="6" s="1"/>
  <c r="CL128" i="6"/>
  <c r="BI128" i="6"/>
  <c r="AU128" i="6"/>
  <c r="J129" i="12" a="1"/>
  <c r="J129" i="12" s="1"/>
  <c r="L129" i="12" a="1"/>
  <c r="L129" i="12" s="1"/>
  <c r="AW128" i="6"/>
  <c r="BA128" i="6"/>
  <c r="BJ128" i="6"/>
  <c r="AY128" i="6"/>
  <c r="BF128" i="6"/>
  <c r="AS128" i="6"/>
  <c r="AX128" i="6"/>
  <c r="BN128" i="6"/>
  <c r="BQ128" i="6"/>
  <c r="BG128" i="6"/>
  <c r="BO128" i="6"/>
  <c r="BM128" i="6"/>
  <c r="AT128" i="6"/>
  <c r="BP128" i="6"/>
  <c r="AR128" i="6"/>
  <c r="BB128" i="6"/>
  <c r="AV128" i="6"/>
  <c r="BK128" i="6"/>
  <c r="BL128" i="6"/>
  <c r="BC128" i="6"/>
  <c r="BE128" i="6"/>
  <c r="AZ128" i="6"/>
  <c r="B130" i="5"/>
  <c r="D130" i="5"/>
  <c r="B130" i="12" s="1"/>
  <c r="K130" i="5"/>
  <c r="C131" i="5"/>
  <c r="H130" i="5"/>
  <c r="G130" i="5"/>
  <c r="E130" i="5"/>
  <c r="J130" i="5"/>
  <c r="F130" i="5"/>
  <c r="A130" i="12"/>
  <c r="N130" i="5"/>
  <c r="D130" i="6" s="1"/>
  <c r="H130" i="6" s="1" a="1"/>
  <c r="H130" i="6" s="1"/>
  <c r="T130" i="5" s="1"/>
  <c r="G130" i="12" s="1" a="1"/>
  <c r="G130" i="12" s="1"/>
  <c r="AD130" i="5"/>
  <c r="B130" i="6"/>
  <c r="AE130" i="5" a="1"/>
  <c r="AE130" i="5" s="1"/>
  <c r="L137" i="6"/>
  <c r="B51" i="10"/>
  <c r="B50" i="7"/>
  <c r="C51" i="7" a="1"/>
  <c r="C51" i="7" s="1"/>
  <c r="K129" i="12" l="1"/>
  <c r="L130" i="12" a="1"/>
  <c r="L130" i="12" s="1"/>
  <c r="J130" i="12" a="1"/>
  <c r="J130" i="12" s="1"/>
  <c r="AD131" i="5"/>
  <c r="E131" i="5"/>
  <c r="G131" i="5"/>
  <c r="A131" i="12"/>
  <c r="B131" i="6"/>
  <c r="K131" i="5"/>
  <c r="AE131" i="5" a="1"/>
  <c r="AE131" i="5" s="1"/>
  <c r="H131" i="5"/>
  <c r="D131" i="5"/>
  <c r="B131" i="12" s="1"/>
  <c r="J131" i="5"/>
  <c r="B131" i="5"/>
  <c r="C132" i="5" s="1"/>
  <c r="N131" i="5"/>
  <c r="D131" i="6" s="1"/>
  <c r="H131" i="6" s="1" a="1"/>
  <c r="H131" i="6" s="1"/>
  <c r="T131" i="5" s="1"/>
  <c r="G131" i="12" s="1" a="1"/>
  <c r="G131" i="12" s="1"/>
  <c r="F131" i="5"/>
  <c r="L138" i="6"/>
  <c r="C52" i="7" a="1"/>
  <c r="C52" i="7" s="1"/>
  <c r="B51" i="7"/>
  <c r="B52" i="10"/>
  <c r="K130" i="12" l="1"/>
  <c r="L131" i="12" a="1"/>
  <c r="L131" i="12" s="1"/>
  <c r="J131" i="12" a="1"/>
  <c r="J131" i="12" s="1"/>
  <c r="AF132" i="5" a="1"/>
  <c r="AF132" i="5" s="1"/>
  <c r="AG132" i="5" s="1" a="1"/>
  <c r="AG132" i="5" s="1"/>
  <c r="U132" i="5" s="1"/>
  <c r="AN132" i="5" s="1" a="1"/>
  <c r="AN132" i="5" s="1"/>
  <c r="G132" i="5"/>
  <c r="N132" i="5"/>
  <c r="D132" i="6" s="1"/>
  <c r="N132" i="6" s="1"/>
  <c r="B132" i="5"/>
  <c r="C133" i="5" s="1"/>
  <c r="F132" i="5"/>
  <c r="W132" i="5" a="1"/>
  <c r="W132" i="5" s="1"/>
  <c r="H132" i="12" s="1" a="1"/>
  <c r="H132" i="12" s="1"/>
  <c r="A132" i="12"/>
  <c r="B132" i="6"/>
  <c r="A132" i="6" s="1"/>
  <c r="AD132" i="5"/>
  <c r="E132" i="5"/>
  <c r="I132" i="5"/>
  <c r="H132" i="5"/>
  <c r="AE132" i="5" a="1"/>
  <c r="AE132" i="5" s="1"/>
  <c r="L139" i="6"/>
  <c r="B53" i="10"/>
  <c r="C53" i="7" a="1"/>
  <c r="C53" i="7" s="1"/>
  <c r="B52" i="7"/>
  <c r="M132" i="6" l="1"/>
  <c r="DB132" i="6" s="1" a="1"/>
  <c r="DB132" i="6" s="1"/>
  <c r="W133" i="5" a="1"/>
  <c r="W133" i="5" s="1"/>
  <c r="H133" i="12" s="1" a="1"/>
  <c r="H133" i="12" s="1"/>
  <c r="AD133" i="5"/>
  <c r="A133" i="12"/>
  <c r="F133" i="5"/>
  <c r="B133" i="5"/>
  <c r="C134" i="5" s="1"/>
  <c r="AE133" i="5" a="1"/>
  <c r="AE133" i="5" s="1"/>
  <c r="N133" i="5"/>
  <c r="D133" i="6" s="1"/>
  <c r="M133" i="6" s="1"/>
  <c r="B133" i="6"/>
  <c r="A133" i="6" s="1"/>
  <c r="AF133" i="5" a="1"/>
  <c r="AF133" i="5" s="1"/>
  <c r="AG133" i="5" s="1" a="1"/>
  <c r="AG133" i="5" s="1"/>
  <c r="U133" i="5" s="1"/>
  <c r="AN133" i="5" s="1" a="1"/>
  <c r="AN133" i="5" s="1"/>
  <c r="H133" i="5"/>
  <c r="G133" i="5"/>
  <c r="E133" i="5"/>
  <c r="I133" i="5"/>
  <c r="H132" i="6" a="1"/>
  <c r="H132" i="6" s="1"/>
  <c r="T132" i="5" s="1"/>
  <c r="G132" i="12" s="1" a="1"/>
  <c r="G132" i="12" s="1"/>
  <c r="G132" i="6"/>
  <c r="K131" i="12"/>
  <c r="L140" i="6"/>
  <c r="B53" i="7"/>
  <c r="C54" i="7" a="1"/>
  <c r="C54" i="7" s="1"/>
  <c r="B54" i="10"/>
  <c r="DN132" i="6" l="1" a="1"/>
  <c r="DN132" i="6" s="1"/>
  <c r="DO132" i="6" a="1"/>
  <c r="DO132" i="6" s="1"/>
  <c r="DI132" i="6" a="1"/>
  <c r="DI132" i="6" s="1"/>
  <c r="DE132" i="6" a="1"/>
  <c r="DE132" i="6" s="1"/>
  <c r="CJ132" i="6"/>
  <c r="CY132" i="6" a="1"/>
  <c r="CY132" i="6" s="1"/>
  <c r="CU132" i="6" a="1"/>
  <c r="CU132" i="6" s="1"/>
  <c r="CV132" i="6" a="1"/>
  <c r="CV132" i="6" s="1"/>
  <c r="CP132" i="6"/>
  <c r="BU132" i="6"/>
  <c r="CK132" i="6"/>
  <c r="DP132" i="6" a="1"/>
  <c r="DP132" i="6" s="1"/>
  <c r="DK132" i="6" a="1"/>
  <c r="DK132" i="6" s="1"/>
  <c r="DG132" i="6" a="1"/>
  <c r="DG132" i="6" s="1"/>
  <c r="DJ132" i="6" a="1"/>
  <c r="DJ132" i="6" s="1"/>
  <c r="CT132" i="6" a="1"/>
  <c r="CT132" i="6" s="1"/>
  <c r="CA132" i="6"/>
  <c r="BX132" i="6"/>
  <c r="DQ132" i="6" a="1"/>
  <c r="DQ132" i="6" s="1"/>
  <c r="BT132" i="6"/>
  <c r="DL132" i="6" a="1"/>
  <c r="DL132" i="6" s="1"/>
  <c r="DF132" i="6" a="1"/>
  <c r="DF132" i="6" s="1"/>
  <c r="CC132" i="6"/>
  <c r="CO132" i="6"/>
  <c r="CD132" i="6"/>
  <c r="CB132" i="6"/>
  <c r="CE132" i="6"/>
  <c r="CN132" i="6"/>
  <c r="BS132" i="6"/>
  <c r="BV132" i="6"/>
  <c r="BW132" i="6"/>
  <c r="CW132" i="6" a="1"/>
  <c r="CW132" i="6" s="1"/>
  <c r="BY132" i="6"/>
  <c r="DR132" i="6" a="1"/>
  <c r="DR132" i="6" s="1"/>
  <c r="DH132" i="6" a="1"/>
  <c r="DH132" i="6" s="1"/>
  <c r="DD132" i="6" a="1"/>
  <c r="DD132" i="6" s="1"/>
  <c r="BZ132" i="6"/>
  <c r="CR132" i="6"/>
  <c r="DM132" i="6" a="1"/>
  <c r="DM132" i="6" s="1"/>
  <c r="CI132" i="6"/>
  <c r="CZ132" i="6" a="1"/>
  <c r="CZ132" i="6" s="1"/>
  <c r="CF132" i="6"/>
  <c r="CL132" i="6"/>
  <c r="CG132" i="6"/>
  <c r="CH132" i="6"/>
  <c r="CX132" i="6" a="1"/>
  <c r="CX132" i="6" s="1"/>
  <c r="CM132" i="6"/>
  <c r="AV132" i="6"/>
  <c r="BA132" i="6"/>
  <c r="BF132" i="6"/>
  <c r="DA132" i="6" a="1"/>
  <c r="DA132" i="6" s="1"/>
  <c r="AR132" i="6"/>
  <c r="AZ132" i="6"/>
  <c r="BP132" i="6"/>
  <c r="CQ132" i="6"/>
  <c r="DS132" i="6" a="1"/>
  <c r="DS132" i="6" s="1"/>
  <c r="DC132" i="6" a="1"/>
  <c r="DC132" i="6" s="1"/>
  <c r="N133" i="6"/>
  <c r="BN132" i="6"/>
  <c r="BK132" i="6"/>
  <c r="BO132" i="6"/>
  <c r="BC132" i="6"/>
  <c r="H133" i="6" a="1"/>
  <c r="H133" i="6" s="1"/>
  <c r="T133" i="5" s="1"/>
  <c r="G133" i="12" s="1" a="1"/>
  <c r="G133" i="12" s="1"/>
  <c r="G133" i="6"/>
  <c r="BE132" i="6"/>
  <c r="BQ132" i="6"/>
  <c r="BG132" i="6"/>
  <c r="AU132" i="6"/>
  <c r="BH132" i="6"/>
  <c r="AT132" i="6"/>
  <c r="BL132" i="6"/>
  <c r="BM132" i="6"/>
  <c r="AF134" i="5" a="1"/>
  <c r="AF134" i="5" s="1"/>
  <c r="AG134" i="5" s="1" a="1"/>
  <c r="AG134" i="5" s="1"/>
  <c r="U134" i="5" s="1"/>
  <c r="AN134" i="5" s="1" a="1"/>
  <c r="AN134" i="5" s="1"/>
  <c r="N134" i="5"/>
  <c r="D134" i="6" s="1"/>
  <c r="M134" i="6" s="1"/>
  <c r="AE134" i="5" a="1"/>
  <c r="AE134" i="5" s="1"/>
  <c r="B134" i="6"/>
  <c r="A134" i="6" s="1"/>
  <c r="E134" i="5"/>
  <c r="B134" i="5"/>
  <c r="G134" i="5"/>
  <c r="I134" i="5"/>
  <c r="AD134" i="5"/>
  <c r="C135" i="5"/>
  <c r="W134" i="5" a="1"/>
  <c r="W134" i="5" s="1"/>
  <c r="H134" i="12" s="1" a="1"/>
  <c r="H134" i="12" s="1"/>
  <c r="H134" i="5"/>
  <c r="F134" i="5"/>
  <c r="A134" i="12"/>
  <c r="AY132" i="6"/>
  <c r="BI132" i="6"/>
  <c r="AX132" i="6"/>
  <c r="BD132" i="6"/>
  <c r="BJ132" i="6"/>
  <c r="BB132" i="6"/>
  <c r="AW132" i="6"/>
  <c r="AS132" i="6"/>
  <c r="L141" i="6"/>
  <c r="DH133" i="6" a="1"/>
  <c r="DH133" i="6" s="1"/>
  <c r="CM133" i="6"/>
  <c r="CE133" i="6"/>
  <c r="CU133" i="6" a="1"/>
  <c r="CU133" i="6" s="1"/>
  <c r="BY133" i="6"/>
  <c r="DP133" i="6" a="1"/>
  <c r="DP133" i="6" s="1"/>
  <c r="DJ133" i="6" a="1"/>
  <c r="DJ133" i="6" s="1"/>
  <c r="CK133" i="6"/>
  <c r="CD133" i="6"/>
  <c r="DB133" i="6" a="1"/>
  <c r="DB133" i="6" s="1"/>
  <c r="BT133" i="6"/>
  <c r="DI133" i="6" a="1"/>
  <c r="DI133" i="6" s="1"/>
  <c r="CR133" i="6"/>
  <c r="CV133" i="6" a="1"/>
  <c r="CV133" i="6" s="1"/>
  <c r="DG133" i="6" a="1"/>
  <c r="DG133" i="6" s="1"/>
  <c r="CP133" i="6"/>
  <c r="BU133" i="6"/>
  <c r="CB133" i="6"/>
  <c r="BW133" i="6"/>
  <c r="DO133" i="6" a="1"/>
  <c r="DO133" i="6" s="1"/>
  <c r="DF133" i="6" a="1"/>
  <c r="DF133" i="6" s="1"/>
  <c r="CC133" i="6"/>
  <c r="CZ133" i="6" a="1"/>
  <c r="CZ133" i="6" s="1"/>
  <c r="CL133" i="6"/>
  <c r="DM133" i="6" a="1"/>
  <c r="DM133" i="6" s="1"/>
  <c r="DE133" i="6" a="1"/>
  <c r="DE133" i="6" s="1"/>
  <c r="CJ133" i="6"/>
  <c r="CT133" i="6" a="1"/>
  <c r="CT133" i="6" s="1"/>
  <c r="BS133" i="6"/>
  <c r="CA133" i="6"/>
  <c r="DL133" i="6" a="1"/>
  <c r="DL133" i="6" s="1"/>
  <c r="DD133" i="6" a="1"/>
  <c r="DD133" i="6" s="1"/>
  <c r="CI133" i="6"/>
  <c r="DS133" i="6" a="1"/>
  <c r="DS133" i="6" s="1"/>
  <c r="DK133" i="6" a="1"/>
  <c r="DK133" i="6" s="1"/>
  <c r="CG133" i="6"/>
  <c r="DC133" i="6" a="1"/>
  <c r="DC133" i="6" s="1"/>
  <c r="CX133" i="6" a="1"/>
  <c r="CX133" i="6" s="1"/>
  <c r="DA133" i="6" a="1"/>
  <c r="DA133" i="6" s="1"/>
  <c r="BK133" i="6"/>
  <c r="DQ133" i="6" a="1"/>
  <c r="DQ133" i="6" s="1"/>
  <c r="CO133" i="6"/>
  <c r="CW133" i="6" a="1"/>
  <c r="CW133" i="6" s="1"/>
  <c r="BZ133" i="6"/>
  <c r="DN133" i="6" a="1"/>
  <c r="DN133" i="6" s="1"/>
  <c r="CQ133" i="6"/>
  <c r="CH133" i="6"/>
  <c r="BX133" i="6"/>
  <c r="DR133" i="6" a="1"/>
  <c r="DR133" i="6" s="1"/>
  <c r="CN133" i="6"/>
  <c r="CF133" i="6"/>
  <c r="BV133" i="6"/>
  <c r="CY133" i="6" a="1"/>
  <c r="CY133" i="6" s="1"/>
  <c r="B54" i="7"/>
  <c r="C55" i="7" a="1"/>
  <c r="C55" i="7" s="1"/>
  <c r="B55" i="10"/>
  <c r="AZ133" i="6" l="1"/>
  <c r="BH133" i="6"/>
  <c r="AV133" i="6"/>
  <c r="BF133" i="6"/>
  <c r="AX133" i="6"/>
  <c r="BL133" i="6"/>
  <c r="AU133" i="6"/>
  <c r="BB133" i="6"/>
  <c r="BC133" i="6"/>
  <c r="BQ133" i="6"/>
  <c r="BN133" i="6"/>
  <c r="BD133" i="6"/>
  <c r="BI133" i="6"/>
  <c r="AS133" i="6"/>
  <c r="BO133" i="6"/>
  <c r="BP133" i="6"/>
  <c r="AW133" i="6"/>
  <c r="AT133" i="6"/>
  <c r="AR133" i="6"/>
  <c r="BJ133" i="6"/>
  <c r="BE133" i="6"/>
  <c r="BM133" i="6"/>
  <c r="BG133" i="6"/>
  <c r="AY133" i="6"/>
  <c r="BA133" i="6"/>
  <c r="N134" i="6"/>
  <c r="AD135" i="5"/>
  <c r="B135" i="6"/>
  <c r="H135" i="5"/>
  <c r="J135" i="5"/>
  <c r="K135" i="5"/>
  <c r="E135" i="5"/>
  <c r="D135" i="5"/>
  <c r="B135" i="12" s="1"/>
  <c r="N135" i="5"/>
  <c r="D135" i="6" s="1"/>
  <c r="H135" i="6" s="1" a="1"/>
  <c r="H135" i="6" s="1"/>
  <c r="T135" i="5" s="1"/>
  <c r="G135" i="12" s="1" a="1"/>
  <c r="G135" i="12" s="1"/>
  <c r="A135" i="12"/>
  <c r="C136" i="5"/>
  <c r="AE135" i="5" a="1"/>
  <c r="AE135" i="5" s="1"/>
  <c r="B135" i="5"/>
  <c r="G135" i="5"/>
  <c r="F135" i="5"/>
  <c r="G134" i="6"/>
  <c r="H134" i="6" a="1"/>
  <c r="H134" i="6" s="1"/>
  <c r="T134" i="5" s="1"/>
  <c r="G134" i="12" s="1" a="1"/>
  <c r="G134" i="12" s="1"/>
  <c r="L142" i="6"/>
  <c r="DQ134" i="6" a="1"/>
  <c r="DQ134" i="6" s="1"/>
  <c r="CE134" i="6"/>
  <c r="CC134" i="6"/>
  <c r="CT134" i="6" a="1"/>
  <c r="CT134" i="6" s="1"/>
  <c r="CV134" i="6" a="1"/>
  <c r="CV134" i="6" s="1"/>
  <c r="CR134" i="6"/>
  <c r="CQ134" i="6"/>
  <c r="DP134" i="6" a="1"/>
  <c r="DP134" i="6" s="1"/>
  <c r="CD134" i="6"/>
  <c r="DS134" i="6" a="1"/>
  <c r="DS134" i="6" s="1"/>
  <c r="CB134" i="6"/>
  <c r="BX134" i="6"/>
  <c r="BS134" i="6"/>
  <c r="CZ134" i="6" a="1"/>
  <c r="CZ134" i="6" s="1"/>
  <c r="DF134" i="6" a="1"/>
  <c r="DF134" i="6" s="1"/>
  <c r="CO134" i="6"/>
  <c r="CJ134" i="6"/>
  <c r="CU134" i="6" a="1"/>
  <c r="CU134" i="6" s="1"/>
  <c r="BU134" i="6"/>
  <c r="CI134" i="6"/>
  <c r="CY134" i="6" a="1"/>
  <c r="CY134" i="6" s="1"/>
  <c r="DH134" i="6" a="1"/>
  <c r="DH134" i="6" s="1"/>
  <c r="CW134" i="6" a="1"/>
  <c r="CW134" i="6" s="1"/>
  <c r="CK134" i="6"/>
  <c r="DJ134" i="6" a="1"/>
  <c r="DJ134" i="6" s="1"/>
  <c r="CN134" i="6"/>
  <c r="DA134" i="6" a="1"/>
  <c r="DA134" i="6" s="1"/>
  <c r="DG134" i="6" a="1"/>
  <c r="DG134" i="6" s="1"/>
  <c r="CX134" i="6" a="1"/>
  <c r="CX134" i="6" s="1"/>
  <c r="DE134" i="6" a="1"/>
  <c r="DE134" i="6" s="1"/>
  <c r="DM134" i="6" a="1"/>
  <c r="DM134" i="6" s="1"/>
  <c r="BW134" i="6"/>
  <c r="BY134" i="6"/>
  <c r="DL134" i="6" a="1"/>
  <c r="DL134" i="6" s="1"/>
  <c r="DI134" i="6" a="1"/>
  <c r="DI134" i="6" s="1"/>
  <c r="CM134" i="6"/>
  <c r="CA134" i="6"/>
  <c r="DB134" i="6" a="1"/>
  <c r="DB134" i="6" s="1"/>
  <c r="CH134" i="6"/>
  <c r="DC134" i="6" a="1"/>
  <c r="DC134" i="6" s="1"/>
  <c r="BZ134" i="6"/>
  <c r="DN134" i="6" a="1"/>
  <c r="DN134" i="6" s="1"/>
  <c r="CG134" i="6"/>
  <c r="BT134" i="6"/>
  <c r="CF134" i="6"/>
  <c r="DK134" i="6" a="1"/>
  <c r="DK134" i="6" s="1"/>
  <c r="CL134" i="6"/>
  <c r="DO134" i="6" a="1"/>
  <c r="DO134" i="6" s="1"/>
  <c r="DD134" i="6" a="1"/>
  <c r="DD134" i="6" s="1"/>
  <c r="DR134" i="6" a="1"/>
  <c r="DR134" i="6" s="1"/>
  <c r="CP134" i="6"/>
  <c r="BV134" i="6"/>
  <c r="B56" i="10"/>
  <c r="C56" i="7" a="1"/>
  <c r="C56" i="7" s="1"/>
  <c r="B55" i="7"/>
  <c r="A223" i="6" l="1"/>
  <c r="A224" i="6"/>
  <c r="A129" i="6"/>
  <c r="A130" i="6" s="1"/>
  <c r="A126" i="6"/>
  <c r="N126" i="6" s="1"/>
  <c r="A116" i="6"/>
  <c r="N116" i="6" s="1"/>
  <c r="A100" i="6"/>
  <c r="N100" i="6" s="1"/>
  <c r="A103" i="6"/>
  <c r="A104" i="6" s="1"/>
  <c r="A105" i="6" s="1"/>
  <c r="A106" i="6" s="1"/>
  <c r="A107" i="6" s="1"/>
  <c r="A108" i="6" s="1"/>
  <c r="A109" i="6" s="1"/>
  <c r="A110" i="6" s="1"/>
  <c r="A111" i="6" s="1"/>
  <c r="A112" i="6" s="1"/>
  <c r="A113" i="6" s="1"/>
  <c r="A95" i="6"/>
  <c r="A96" i="6"/>
  <c r="A97" i="6" s="1"/>
  <c r="A98" i="6" s="1"/>
  <c r="A92" i="6"/>
  <c r="A93" i="6"/>
  <c r="A85" i="6"/>
  <c r="A86" i="6"/>
  <c r="A87" i="6" s="1"/>
  <c r="A88" i="6" s="1"/>
  <c r="A89" i="6" s="1"/>
  <c r="A90" i="6" s="1"/>
  <c r="A74" i="6"/>
  <c r="N74" i="6" s="1"/>
  <c r="A77" i="6"/>
  <c r="A78" i="6" s="1"/>
  <c r="A79" i="6" s="1"/>
  <c r="A80" i="6" s="1"/>
  <c r="A81" i="6" s="1"/>
  <c r="A82" i="6" s="1"/>
  <c r="A67" i="6"/>
  <c r="A68" i="6" s="1"/>
  <c r="A69" i="6" s="1"/>
  <c r="A70" i="6" s="1"/>
  <c r="A71" i="6" s="1"/>
  <c r="A72" i="6" s="1"/>
  <c r="A63" i="6"/>
  <c r="N63" i="6" s="1"/>
  <c r="A64" i="6"/>
  <c r="A65" i="6"/>
  <c r="A51" i="6"/>
  <c r="A52" i="6"/>
  <c r="A53" i="6" s="1"/>
  <c r="A54" i="6" s="1"/>
  <c r="A55" i="6" s="1"/>
  <c r="A56" i="6" s="1"/>
  <c r="A57" i="6" s="1"/>
  <c r="A58" i="6" s="1"/>
  <c r="A59" i="6" s="1"/>
  <c r="A60" i="6" s="1"/>
  <c r="A46" i="6"/>
  <c r="A47" i="6" s="1"/>
  <c r="A48" i="6" s="1"/>
  <c r="A37" i="6"/>
  <c r="A38" i="6" s="1"/>
  <c r="A27" i="6"/>
  <c r="N27" i="6" s="1"/>
  <c r="A28" i="6"/>
  <c r="A29" i="6" s="1"/>
  <c r="A24" i="6"/>
  <c r="N24" i="6" s="1"/>
  <c r="A21" i="6"/>
  <c r="A18" i="6"/>
  <c r="N18" i="6" s="1"/>
  <c r="A20" i="6"/>
  <c r="BJ134" i="6"/>
  <c r="BI134" i="6"/>
  <c r="AR134" i="6"/>
  <c r="BE134" i="6"/>
  <c r="BK134" i="6"/>
  <c r="BC134" i="6"/>
  <c r="BM134" i="6"/>
  <c r="BN134" i="6"/>
  <c r="AW134" i="6"/>
  <c r="AX134" i="6"/>
  <c r="BF134" i="6"/>
  <c r="AS134" i="6"/>
  <c r="AT134" i="6"/>
  <c r="AU134" i="6"/>
  <c r="BQ134" i="6"/>
  <c r="BP134" i="6"/>
  <c r="BD134" i="6"/>
  <c r="J136" i="5"/>
  <c r="B136" i="5"/>
  <c r="F136" i="5"/>
  <c r="AD136" i="5"/>
  <c r="K136" i="5"/>
  <c r="A136" i="12"/>
  <c r="H136" i="5"/>
  <c r="G136" i="5"/>
  <c r="N136" i="5"/>
  <c r="D136" i="6" s="1"/>
  <c r="H136" i="6" s="1" a="1"/>
  <c r="H136" i="6" s="1"/>
  <c r="T136" i="5" s="1"/>
  <c r="G136" i="12" s="1" a="1"/>
  <c r="G136" i="12" s="1"/>
  <c r="E136" i="5"/>
  <c r="C137" i="5"/>
  <c r="AE136" i="5" a="1"/>
  <c r="AE136" i="5" s="1"/>
  <c r="B136" i="6"/>
  <c r="D136" i="5"/>
  <c r="B136" i="12" s="1"/>
  <c r="A135" i="6"/>
  <c r="BL134" i="6"/>
  <c r="BG134" i="6"/>
  <c r="BB134" i="6"/>
  <c r="BO134" i="6"/>
  <c r="BH134" i="6"/>
  <c r="AZ134" i="6"/>
  <c r="AY134" i="6"/>
  <c r="AV134" i="6"/>
  <c r="BA134" i="6"/>
  <c r="L135" i="12" a="1"/>
  <c r="L135" i="12" s="1"/>
  <c r="J135" i="12" a="1"/>
  <c r="J135" i="12" s="1"/>
  <c r="F142" i="6"/>
  <c r="L143" i="6"/>
  <c r="B56" i="7"/>
  <c r="C10" i="7"/>
  <c r="A30" i="6" l="1"/>
  <c r="A31" i="6" s="1"/>
  <c r="A32" i="6" s="1"/>
  <c r="A33" i="6" s="1"/>
  <c r="A34" i="6" s="1"/>
  <c r="A35" i="6" s="1"/>
  <c r="N35" i="6" s="1"/>
  <c r="N38" i="6"/>
  <c r="A39" i="6"/>
  <c r="A40" i="6" s="1"/>
  <c r="A41" i="6" s="1"/>
  <c r="A42" i="6" s="1"/>
  <c r="A43" i="6" s="1"/>
  <c r="A44" i="6" s="1"/>
  <c r="N44" i="6" s="1"/>
  <c r="A131" i="6"/>
  <c r="N131" i="6" s="1"/>
  <c r="N130" i="6"/>
  <c r="A127" i="6"/>
  <c r="N127" i="6" s="1"/>
  <c r="A117" i="6"/>
  <c r="A118" i="6" s="1"/>
  <c r="A119" i="6" s="1"/>
  <c r="A120" i="6" s="1"/>
  <c r="A121" i="6" s="1"/>
  <c r="A122" i="6" s="1"/>
  <c r="A123" i="6" s="1"/>
  <c r="A124" i="6" s="1"/>
  <c r="N124" i="6" s="1"/>
  <c r="N129" i="6"/>
  <c r="N113" i="6"/>
  <c r="N111" i="6"/>
  <c r="N112" i="6"/>
  <c r="N108" i="6"/>
  <c r="N109" i="6"/>
  <c r="N106" i="6"/>
  <c r="N104" i="6"/>
  <c r="N105" i="6"/>
  <c r="N103" i="6"/>
  <c r="N98" i="6"/>
  <c r="N96" i="6"/>
  <c r="N97" i="6"/>
  <c r="N95" i="6"/>
  <c r="N93" i="6"/>
  <c r="N92" i="6"/>
  <c r="N89" i="6"/>
  <c r="N90" i="6"/>
  <c r="N88" i="6"/>
  <c r="N86" i="6"/>
  <c r="N87" i="6"/>
  <c r="N85" i="6"/>
  <c r="N80" i="6"/>
  <c r="N82" i="6"/>
  <c r="N81" i="6"/>
  <c r="N79" i="6"/>
  <c r="N78" i="6"/>
  <c r="N51" i="6"/>
  <c r="N77" i="6"/>
  <c r="N71" i="6"/>
  <c r="N70" i="6"/>
  <c r="N69" i="6"/>
  <c r="N72" i="6"/>
  <c r="N68" i="6"/>
  <c r="N67" i="6"/>
  <c r="N65" i="6"/>
  <c r="N64" i="6"/>
  <c r="N56" i="6"/>
  <c r="N29" i="6"/>
  <c r="N55" i="6"/>
  <c r="N59" i="6"/>
  <c r="N54" i="6"/>
  <c r="N58" i="6"/>
  <c r="N60" i="6"/>
  <c r="N57" i="6"/>
  <c r="N52" i="6"/>
  <c r="N53" i="6"/>
  <c r="N48" i="6"/>
  <c r="N47" i="6"/>
  <c r="N46" i="6"/>
  <c r="N37" i="6"/>
  <c r="N28" i="6"/>
  <c r="A22" i="6"/>
  <c r="N21" i="6"/>
  <c r="M18" i="6"/>
  <c r="BV18" i="6" s="1"/>
  <c r="N20" i="6"/>
  <c r="K135" i="12"/>
  <c r="N135" i="6"/>
  <c r="J136" i="12" a="1"/>
  <c r="J136" i="12" s="1"/>
  <c r="L136" i="12" a="1"/>
  <c r="L136" i="12" s="1"/>
  <c r="A136" i="6"/>
  <c r="J137" i="5"/>
  <c r="E137" i="5"/>
  <c r="N137" i="5"/>
  <c r="D137" i="6" s="1"/>
  <c r="H137" i="6" s="1" a="1"/>
  <c r="H137" i="6" s="1"/>
  <c r="T137" i="5" s="1"/>
  <c r="G137" i="12" s="1" a="1"/>
  <c r="G137" i="12" s="1"/>
  <c r="B137" i="5"/>
  <c r="K137" i="5"/>
  <c r="D137" i="5"/>
  <c r="B137" i="12" s="1"/>
  <c r="H137" i="5"/>
  <c r="B137" i="6"/>
  <c r="AE137" i="5" a="1"/>
  <c r="AE137" i="5" s="1"/>
  <c r="G137" i="5"/>
  <c r="A137" i="12"/>
  <c r="F137" i="5"/>
  <c r="AD137" i="5"/>
  <c r="C138" i="5"/>
  <c r="L144" i="6"/>
  <c r="N32" i="6" l="1"/>
  <c r="N30" i="6"/>
  <c r="N40" i="6"/>
  <c r="N39" i="6"/>
  <c r="N42" i="6"/>
  <c r="N43" i="6"/>
  <c r="N41" i="6"/>
  <c r="N33" i="6"/>
  <c r="N34" i="6"/>
  <c r="N31" i="6"/>
  <c r="N117" i="6"/>
  <c r="N118" i="6"/>
  <c r="N119" i="6"/>
  <c r="N121" i="6"/>
  <c r="N120" i="6"/>
  <c r="N122" i="6"/>
  <c r="N123" i="6"/>
  <c r="M20" i="6"/>
  <c r="CU20" i="6" s="1" a="1"/>
  <c r="CU20" i="6" s="1"/>
  <c r="CG18" i="6"/>
  <c r="CL18" i="6"/>
  <c r="CW18" i="6" a="1"/>
  <c r="CW18" i="6" s="1"/>
  <c r="CK18" i="6"/>
  <c r="CH18" i="6"/>
  <c r="BL18" i="6"/>
  <c r="CD18" i="6"/>
  <c r="BQ18" i="6"/>
  <c r="CC18" i="6"/>
  <c r="DQ18" i="6" a="1"/>
  <c r="DQ18" i="6" s="1"/>
  <c r="DA18" i="6" a="1"/>
  <c r="DA18" i="6" s="1"/>
  <c r="DP18" i="6" a="1"/>
  <c r="DP18" i="6" s="1"/>
  <c r="BY18" i="6"/>
  <c r="CT18" i="6" a="1"/>
  <c r="CT18" i="6" s="1"/>
  <c r="DH18" i="6" a="1"/>
  <c r="DH18" i="6" s="1"/>
  <c r="CR18" i="6"/>
  <c r="CN18" i="6"/>
  <c r="DK18" i="6" a="1"/>
  <c r="DK18" i="6" s="1"/>
  <c r="CF18" i="6"/>
  <c r="CB18" i="6"/>
  <c r="CY18" i="6" a="1"/>
  <c r="CY18" i="6" s="1"/>
  <c r="CU18" i="6" a="1"/>
  <c r="CU18" i="6" s="1"/>
  <c r="DL18" i="6" a="1"/>
  <c r="DL18" i="6" s="1"/>
  <c r="BS18" i="6"/>
  <c r="DS18" i="6" a="1"/>
  <c r="DS18" i="6" s="1"/>
  <c r="DO18" i="6" a="1"/>
  <c r="DO18" i="6" s="1"/>
  <c r="CJ18" i="6"/>
  <c r="DG18" i="6" a="1"/>
  <c r="DG18" i="6" s="1"/>
  <c r="DC18" i="6" a="1"/>
  <c r="DC18" i="6" s="1"/>
  <c r="BX18" i="6"/>
  <c r="BU18" i="6"/>
  <c r="BP18" i="6"/>
  <c r="DD18" i="6" a="1"/>
  <c r="DD18" i="6" s="1"/>
  <c r="BO18" i="6"/>
  <c r="DR18" i="6" a="1"/>
  <c r="DR18" i="6" s="1"/>
  <c r="CM18" i="6"/>
  <c r="CI18" i="6"/>
  <c r="CE18" i="6"/>
  <c r="DB18" i="6" a="1"/>
  <c r="DB18" i="6" s="1"/>
  <c r="CX18" i="6" a="1"/>
  <c r="CX18" i="6" s="1"/>
  <c r="BT18" i="6"/>
  <c r="BN18" i="6"/>
  <c r="CQ18" i="6"/>
  <c r="DN18" i="6" a="1"/>
  <c r="DN18" i="6" s="1"/>
  <c r="DJ18" i="6" a="1"/>
  <c r="DJ18" i="6" s="1"/>
  <c r="DF18" i="6" a="1"/>
  <c r="DF18" i="6" s="1"/>
  <c r="CA18" i="6"/>
  <c r="BW18" i="6"/>
  <c r="CV18" i="6" a="1"/>
  <c r="CV18" i="6" s="1"/>
  <c r="CO18" i="6"/>
  <c r="CZ18" i="6" a="1"/>
  <c r="CZ18" i="6" s="1"/>
  <c r="BM18" i="6"/>
  <c r="CP18" i="6"/>
  <c r="DM18" i="6" a="1"/>
  <c r="DM18" i="6" s="1"/>
  <c r="DI18" i="6" a="1"/>
  <c r="DI18" i="6" s="1"/>
  <c r="DE18" i="6" a="1"/>
  <c r="DE18" i="6" s="1"/>
  <c r="BZ18" i="6"/>
  <c r="K136" i="12"/>
  <c r="N136" i="6"/>
  <c r="D138" i="5"/>
  <c r="B138" i="12" s="1"/>
  <c r="B138" i="6"/>
  <c r="B138" i="5"/>
  <c r="A138" i="12"/>
  <c r="J138" i="5"/>
  <c r="E138" i="5"/>
  <c r="G138" i="5"/>
  <c r="H138" i="5"/>
  <c r="AE138" i="5" a="1"/>
  <c r="AE138" i="5" s="1"/>
  <c r="K138" i="5"/>
  <c r="C139" i="5"/>
  <c r="F138" i="5"/>
  <c r="AD138" i="5"/>
  <c r="N138" i="5"/>
  <c r="D138" i="6" s="1"/>
  <c r="H138" i="6" s="1" a="1"/>
  <c r="H138" i="6" s="1"/>
  <c r="T138" i="5" s="1"/>
  <c r="G138" i="12" s="1" a="1"/>
  <c r="G138" i="12" s="1"/>
  <c r="A137" i="6"/>
  <c r="L137" i="12" a="1"/>
  <c r="L137" i="12" s="1"/>
  <c r="J137" i="12" a="1"/>
  <c r="J137" i="12" s="1"/>
  <c r="L145" i="6"/>
  <c r="BN20" i="6" l="1"/>
  <c r="CD20" i="6"/>
  <c r="DA20" i="6" a="1"/>
  <c r="DA20" i="6" s="1"/>
  <c r="CL20" i="6"/>
  <c r="CT20" i="6" a="1"/>
  <c r="CT20" i="6" s="1"/>
  <c r="DQ20" i="6" a="1"/>
  <c r="DQ20" i="6" s="1"/>
  <c r="DI20" i="6" a="1"/>
  <c r="DI20" i="6" s="1"/>
  <c r="BM20" i="6"/>
  <c r="DP20" i="6" a="1"/>
  <c r="DP20" i="6" s="1"/>
  <c r="CK20" i="6"/>
  <c r="DH20" i="6" a="1"/>
  <c r="DH20" i="6" s="1"/>
  <c r="CC20" i="6"/>
  <c r="CZ20" i="6" a="1"/>
  <c r="CZ20" i="6" s="1"/>
  <c r="BW20" i="6"/>
  <c r="CO20" i="6"/>
  <c r="DL20" i="6" a="1"/>
  <c r="DL20" i="6" s="1"/>
  <c r="CG20" i="6"/>
  <c r="DD20" i="6" a="1"/>
  <c r="DD20" i="6" s="1"/>
  <c r="BY20" i="6"/>
  <c r="BS20" i="6"/>
  <c r="CR20" i="6"/>
  <c r="DO20" i="6" a="1"/>
  <c r="DO20" i="6" s="1"/>
  <c r="CJ20" i="6"/>
  <c r="CF20" i="6"/>
  <c r="CB20" i="6"/>
  <c r="CY20" i="6" a="1"/>
  <c r="CY20" i="6" s="1"/>
  <c r="CW20" i="6" a="1"/>
  <c r="CW20" i="6" s="1"/>
  <c r="DS20" i="6" a="1"/>
  <c r="DS20" i="6" s="1"/>
  <c r="CN20" i="6"/>
  <c r="DK20" i="6" a="1"/>
  <c r="DK20" i="6" s="1"/>
  <c r="DG20" i="6" a="1"/>
  <c r="DG20" i="6" s="1"/>
  <c r="DC20" i="6" a="1"/>
  <c r="DC20" i="6" s="1"/>
  <c r="BX20" i="6"/>
  <c r="CV20" i="6" a="1"/>
  <c r="CV20" i="6" s="1"/>
  <c r="BL20" i="6"/>
  <c r="BQ20" i="6"/>
  <c r="CQ20" i="6"/>
  <c r="CM20" i="6"/>
  <c r="CI20" i="6"/>
  <c r="CE20" i="6"/>
  <c r="DB20" i="6" a="1"/>
  <c r="DB20" i="6" s="1"/>
  <c r="CX20" i="6" a="1"/>
  <c r="CX20" i="6" s="1"/>
  <c r="BT20" i="6"/>
  <c r="BP20" i="6"/>
  <c r="DR20" i="6" a="1"/>
  <c r="DR20" i="6" s="1"/>
  <c r="DN20" i="6" a="1"/>
  <c r="DN20" i="6" s="1"/>
  <c r="DJ20" i="6" a="1"/>
  <c r="DJ20" i="6" s="1"/>
  <c r="DF20" i="6" a="1"/>
  <c r="DF20" i="6" s="1"/>
  <c r="CA20" i="6"/>
  <c r="BU20" i="6"/>
  <c r="BV20" i="6"/>
  <c r="BO20" i="6"/>
  <c r="CP20" i="6"/>
  <c r="DM20" i="6" a="1"/>
  <c r="DM20" i="6" s="1"/>
  <c r="CH20" i="6"/>
  <c r="DE20" i="6" a="1"/>
  <c r="DE20" i="6" s="1"/>
  <c r="BZ20" i="6"/>
  <c r="M21" i="6"/>
  <c r="K137" i="12"/>
  <c r="J138" i="12" a="1"/>
  <c r="J138" i="12" s="1"/>
  <c r="L138" i="12" a="1"/>
  <c r="L138" i="12" s="1"/>
  <c r="AD139" i="5"/>
  <c r="H139" i="5"/>
  <c r="G139" i="5"/>
  <c r="A139" i="12"/>
  <c r="D139" i="5"/>
  <c r="B139" i="12" s="1"/>
  <c r="J139" i="5"/>
  <c r="AE139" i="5" a="1"/>
  <c r="AE139" i="5" s="1"/>
  <c r="B139" i="5"/>
  <c r="C140" i="5"/>
  <c r="F139" i="5"/>
  <c r="K139" i="5"/>
  <c r="E139" i="5"/>
  <c r="B139" i="6"/>
  <c r="N139" i="5"/>
  <c r="D139" i="6" s="1"/>
  <c r="H139" i="6" s="1" a="1"/>
  <c r="H139" i="6" s="1"/>
  <c r="T139" i="5" s="1"/>
  <c r="G139" i="12" s="1" a="1"/>
  <c r="G139" i="12" s="1"/>
  <c r="A138" i="6"/>
  <c r="N137" i="6"/>
  <c r="L146" i="6"/>
  <c r="M24" i="6" l="1"/>
  <c r="BT21" i="6"/>
  <c r="BV21" i="6"/>
  <c r="DB21" i="6" a="1"/>
  <c r="DB21" i="6" s="1"/>
  <c r="CE21" i="6"/>
  <c r="CI21" i="6"/>
  <c r="DN21" i="6" a="1"/>
  <c r="DN21" i="6" s="1"/>
  <c r="CQ21" i="6"/>
  <c r="BQ21" i="6"/>
  <c r="CY21" i="6" a="1"/>
  <c r="CY21" i="6" s="1"/>
  <c r="CT21" i="6" a="1"/>
  <c r="CT21" i="6" s="1"/>
  <c r="DC21" i="6" a="1"/>
  <c r="DC21" i="6" s="1"/>
  <c r="CF21" i="6"/>
  <c r="CJ21" i="6"/>
  <c r="CN21" i="6"/>
  <c r="DS21" i="6" a="1"/>
  <c r="DS21" i="6" s="1"/>
  <c r="BW21" i="6"/>
  <c r="BX21" i="6"/>
  <c r="CB21" i="6"/>
  <c r="DG21" i="6" a="1"/>
  <c r="DG21" i="6" s="1"/>
  <c r="DK21" i="6" a="1"/>
  <c r="DK21" i="6" s="1"/>
  <c r="DO21" i="6" a="1"/>
  <c r="DO21" i="6" s="1"/>
  <c r="CR21" i="6"/>
  <c r="BU21" i="6"/>
  <c r="BY21" i="6"/>
  <c r="CC21" i="6"/>
  <c r="DH21" i="6" a="1"/>
  <c r="DH21" i="6" s="1"/>
  <c r="DL21" i="6" a="1"/>
  <c r="DL21" i="6" s="1"/>
  <c r="DP21" i="6" a="1"/>
  <c r="DP21" i="6" s="1"/>
  <c r="BL21" i="6"/>
  <c r="CV21" i="6" a="1"/>
  <c r="CV21" i="6" s="1"/>
  <c r="CZ21" i="6" a="1"/>
  <c r="CZ21" i="6" s="1"/>
  <c r="DD21" i="6" a="1"/>
  <c r="DD21" i="6" s="1"/>
  <c r="CG21" i="6"/>
  <c r="CK21" i="6"/>
  <c r="CO21" i="6"/>
  <c r="BM21" i="6"/>
  <c r="CW21" i="6" a="1"/>
  <c r="CW21" i="6" s="1"/>
  <c r="DA21" i="6" a="1"/>
  <c r="DA21" i="6" s="1"/>
  <c r="DE21" i="6" a="1"/>
  <c r="DE21" i="6" s="1"/>
  <c r="DI21" i="6" a="1"/>
  <c r="DI21" i="6" s="1"/>
  <c r="CL21" i="6"/>
  <c r="CP21" i="6"/>
  <c r="BN21" i="6"/>
  <c r="BS21" i="6"/>
  <c r="BZ21" i="6"/>
  <c r="CD21" i="6"/>
  <c r="CH21" i="6"/>
  <c r="DM21" i="6" a="1"/>
  <c r="DM21" i="6" s="1"/>
  <c r="DQ21" i="6" a="1"/>
  <c r="DQ21" i="6" s="1"/>
  <c r="BO21" i="6"/>
  <c r="CX21" i="6" a="1"/>
  <c r="CX21" i="6" s="1"/>
  <c r="CU21" i="6" a="1"/>
  <c r="CU21" i="6" s="1"/>
  <c r="CA21" i="6"/>
  <c r="DF21" i="6" a="1"/>
  <c r="DF21" i="6" s="1"/>
  <c r="DJ21" i="6" a="1"/>
  <c r="DJ21" i="6" s="1"/>
  <c r="CM21" i="6"/>
  <c r="DR21" i="6" a="1"/>
  <c r="DR21" i="6" s="1"/>
  <c r="BP21" i="6"/>
  <c r="K138" i="12"/>
  <c r="A139" i="6"/>
  <c r="L139" i="12" a="1"/>
  <c r="L139" i="12" s="1"/>
  <c r="J139" i="12" a="1"/>
  <c r="J139" i="12" s="1"/>
  <c r="K140" i="5"/>
  <c r="F140" i="5"/>
  <c r="H140" i="5"/>
  <c r="C141" i="5"/>
  <c r="A140" i="12"/>
  <c r="AE140" i="5" a="1"/>
  <c r="AE140" i="5" s="1"/>
  <c r="AD140" i="5"/>
  <c r="N140" i="5"/>
  <c r="D140" i="6" s="1"/>
  <c r="H140" i="6" s="1" a="1"/>
  <c r="H140" i="6" s="1"/>
  <c r="T140" i="5" s="1"/>
  <c r="G140" i="12" s="1" a="1"/>
  <c r="G140" i="12" s="1"/>
  <c r="E140" i="5"/>
  <c r="D140" i="5"/>
  <c r="B140" i="12" s="1"/>
  <c r="B140" i="6"/>
  <c r="G140" i="5"/>
  <c r="J140" i="5"/>
  <c r="B140" i="5"/>
  <c r="N138" i="6"/>
  <c r="L147" i="6"/>
  <c r="BT24" i="6" l="1"/>
  <c r="DI24" i="6" a="1"/>
  <c r="DI24" i="6" s="1"/>
  <c r="DA24" i="6" a="1"/>
  <c r="DA24" i="6" s="1"/>
  <c r="DL24" i="6" a="1"/>
  <c r="DL24" i="6" s="1"/>
  <c r="BY24" i="6"/>
  <c r="BV24" i="6"/>
  <c r="DE24" i="6" a="1"/>
  <c r="DE24" i="6" s="1"/>
  <c r="CG24" i="6"/>
  <c r="DG24" i="6" a="1"/>
  <c r="DG24" i="6" s="1"/>
  <c r="DJ24" i="6" a="1"/>
  <c r="DJ24" i="6" s="1"/>
  <c r="CI24" i="6"/>
  <c r="CH24" i="6"/>
  <c r="DS24" i="6" a="1"/>
  <c r="DS24" i="6" s="1"/>
  <c r="CV24" i="6" a="1"/>
  <c r="CV24" i="6" s="1"/>
  <c r="CC24" i="6"/>
  <c r="CB24" i="6"/>
  <c r="DF24" i="6" a="1"/>
  <c r="DF24" i="6" s="1"/>
  <c r="CE24" i="6"/>
  <c r="CD24" i="6"/>
  <c r="DH24" i="6" a="1"/>
  <c r="DH24" i="6" s="1"/>
  <c r="CN24" i="6"/>
  <c r="CX24" i="6" a="1"/>
  <c r="CX24" i="6" s="1"/>
  <c r="CT24" i="6" a="1"/>
  <c r="CT24" i="6" s="1"/>
  <c r="CA24" i="6"/>
  <c r="DB24" i="6" a="1"/>
  <c r="DB24" i="6" s="1"/>
  <c r="BZ24" i="6"/>
  <c r="BS24" i="6"/>
  <c r="DD24" i="6" a="1"/>
  <c r="DD24" i="6" s="1"/>
  <c r="BW24" i="6"/>
  <c r="CY24" i="6" a="1"/>
  <c r="CY24" i="6" s="1"/>
  <c r="CZ24" i="6" a="1"/>
  <c r="CZ24" i="6" s="1"/>
  <c r="BX24" i="6"/>
  <c r="DQ24" i="6" a="1"/>
  <c r="DQ24" i="6" s="1"/>
  <c r="CL24" i="6"/>
  <c r="BU24" i="6"/>
  <c r="CW24" i="6" a="1"/>
  <c r="CW24" i="6" s="1"/>
  <c r="BL24" i="6"/>
  <c r="CF24" i="6"/>
  <c r="DC24" i="6" a="1"/>
  <c r="DC24" i="6" s="1"/>
  <c r="BM24" i="6"/>
  <c r="CR24" i="6"/>
  <c r="BP24" i="6"/>
  <c r="BQ24" i="6"/>
  <c r="BO24" i="6"/>
  <c r="BN24" i="6"/>
  <c r="CU24" i="6" a="1"/>
  <c r="CU24" i="6" s="1"/>
  <c r="DP24" i="6" a="1"/>
  <c r="DP24" i="6" s="1"/>
  <c r="DO24" i="6" a="1"/>
  <c r="DO24" i="6" s="1"/>
  <c r="DR24" i="6" a="1"/>
  <c r="DR24" i="6" s="1"/>
  <c r="CQ24" i="6"/>
  <c r="CP24" i="6"/>
  <c r="DK24" i="6" a="1"/>
  <c r="DK24" i="6" s="1"/>
  <c r="CO24" i="6"/>
  <c r="CK24" i="6"/>
  <c r="CJ24" i="6"/>
  <c r="DN24" i="6" a="1"/>
  <c r="DN24" i="6" s="1"/>
  <c r="CM24" i="6"/>
  <c r="DM24" i="6" a="1"/>
  <c r="DM24" i="6" s="1"/>
  <c r="M27" i="6"/>
  <c r="A140" i="6"/>
  <c r="N140" i="6" s="1"/>
  <c r="K139" i="12"/>
  <c r="N139" i="6"/>
  <c r="J140" i="12" a="1"/>
  <c r="J140" i="12" s="1"/>
  <c r="L140" i="12" a="1"/>
  <c r="L140" i="12" s="1"/>
  <c r="B141" i="6"/>
  <c r="N141" i="5"/>
  <c r="D141" i="6" s="1"/>
  <c r="H141" i="6" s="1" a="1"/>
  <c r="H141" i="6" s="1"/>
  <c r="T141" i="5" s="1"/>
  <c r="G141" i="12" s="1" a="1"/>
  <c r="G141" i="12" s="1"/>
  <c r="G141" i="5"/>
  <c r="B141" i="5"/>
  <c r="C142" i="5" s="1"/>
  <c r="AD141" i="5"/>
  <c r="J141" i="5"/>
  <c r="E141" i="5"/>
  <c r="AE141" i="5" a="1"/>
  <c r="AE141" i="5" s="1"/>
  <c r="D141" i="5"/>
  <c r="B141" i="12" s="1"/>
  <c r="F141" i="5"/>
  <c r="K141" i="5"/>
  <c r="H141" i="5"/>
  <c r="A141" i="12"/>
  <c r="L148" i="6"/>
  <c r="CT27" i="6" l="1" a="1"/>
  <c r="CT27" i="6" s="1"/>
  <c r="M30" i="6"/>
  <c r="M29" i="6"/>
  <c r="M32" i="6"/>
  <c r="M33" i="6"/>
  <c r="M31" i="6"/>
  <c r="M28" i="6"/>
  <c r="M34" i="6"/>
  <c r="CY27" i="6" a="1"/>
  <c r="CY27" i="6" s="1"/>
  <c r="M35" i="6"/>
  <c r="DO27" i="6" a="1"/>
  <c r="DO27" i="6" s="1"/>
  <c r="DD27" i="6" a="1"/>
  <c r="DD27" i="6" s="1"/>
  <c r="CN27" i="6"/>
  <c r="CW27" i="6" a="1"/>
  <c r="CW27" i="6" s="1"/>
  <c r="CA27" i="6"/>
  <c r="DI27" i="6" a="1"/>
  <c r="DI27" i="6" s="1"/>
  <c r="CC27" i="6"/>
  <c r="DL27" i="6" a="1"/>
  <c r="DL27" i="6" s="1"/>
  <c r="CF27" i="6"/>
  <c r="DK27" i="6" a="1"/>
  <c r="DK27" i="6" s="1"/>
  <c r="BM27" i="6"/>
  <c r="BV27" i="6"/>
  <c r="CD27" i="6"/>
  <c r="BQ27" i="6"/>
  <c r="CX27" i="6" a="1"/>
  <c r="CX27" i="6" s="1"/>
  <c r="DA27" i="6" a="1"/>
  <c r="DA27" i="6" s="1"/>
  <c r="DS27" i="6" a="1"/>
  <c r="DS27" i="6" s="1"/>
  <c r="DG27" i="6" a="1"/>
  <c r="DG27" i="6" s="1"/>
  <c r="DR27" i="6" a="1"/>
  <c r="DR27" i="6" s="1"/>
  <c r="BW27" i="6"/>
  <c r="BZ27" i="6"/>
  <c r="CP27" i="6"/>
  <c r="BT27" i="6"/>
  <c r="CB27" i="6"/>
  <c r="DC27" i="6" a="1"/>
  <c r="DC27" i="6" s="1"/>
  <c r="CM27" i="6"/>
  <c r="BL27" i="6"/>
  <c r="CU27" i="6" a="1"/>
  <c r="CU27" i="6" s="1"/>
  <c r="DM27" i="6" a="1"/>
  <c r="DM27" i="6" s="1"/>
  <c r="DP27" i="6" a="1"/>
  <c r="DP27" i="6" s="1"/>
  <c r="BS27" i="6"/>
  <c r="DJ27" i="6" a="1"/>
  <c r="DJ27" i="6" s="1"/>
  <c r="CQ27" i="6"/>
  <c r="CH27" i="6"/>
  <c r="BO27" i="6"/>
  <c r="DH27" i="6" a="1"/>
  <c r="DH27" i="6" s="1"/>
  <c r="CZ27" i="6" a="1"/>
  <c r="CZ27" i="6" s="1"/>
  <c r="CV27" i="6" a="1"/>
  <c r="CV27" i="6" s="1"/>
  <c r="CE27" i="6"/>
  <c r="DN27" i="6" a="1"/>
  <c r="DN27" i="6" s="1"/>
  <c r="BP27" i="6"/>
  <c r="DE27" i="6" a="1"/>
  <c r="DE27" i="6" s="1"/>
  <c r="CO27" i="6"/>
  <c r="CJ27" i="6"/>
  <c r="DB27" i="6" a="1"/>
  <c r="DB27" i="6" s="1"/>
  <c r="CI27" i="6"/>
  <c r="DQ27" i="6" a="1"/>
  <c r="DQ27" i="6" s="1"/>
  <c r="BX27" i="6"/>
  <c r="CK27" i="6"/>
  <c r="BN27" i="6"/>
  <c r="CR27" i="6"/>
  <c r="BU27" i="6"/>
  <c r="DF27" i="6" a="1"/>
  <c r="DF27" i="6" s="1"/>
  <c r="CL27" i="6"/>
  <c r="BY27" i="6"/>
  <c r="CG27" i="6"/>
  <c r="A141" i="6"/>
  <c r="K140" i="12"/>
  <c r="L141" i="12" a="1"/>
  <c r="L141" i="12" s="1"/>
  <c r="J141" i="12" a="1"/>
  <c r="J141" i="12" s="1"/>
  <c r="I142" i="5"/>
  <c r="H142" i="5"/>
  <c r="W142" i="5" a="1"/>
  <c r="W142" i="5" s="1"/>
  <c r="H142" i="12" s="1" a="1"/>
  <c r="H142" i="12" s="1"/>
  <c r="N142" i="5"/>
  <c r="D142" i="6" s="1"/>
  <c r="N142" i="6" s="1"/>
  <c r="F142" i="5"/>
  <c r="G142" i="5"/>
  <c r="A142" i="12"/>
  <c r="B142" i="6"/>
  <c r="A142" i="6" s="1"/>
  <c r="AE142" i="5" a="1"/>
  <c r="AE142" i="5" s="1"/>
  <c r="B142" i="5"/>
  <c r="AD142" i="5"/>
  <c r="E142" i="5"/>
  <c r="C143" i="5"/>
  <c r="AF142" i="5" a="1"/>
  <c r="AF142" i="5" s="1"/>
  <c r="AG142" i="5" s="1" a="1"/>
  <c r="AG142" i="5" s="1"/>
  <c r="U142" i="5" s="1"/>
  <c r="AN142" i="5" s="1" a="1"/>
  <c r="AN142" i="5" s="1"/>
  <c r="L149" i="6"/>
  <c r="CV35" i="6" l="1" a="1"/>
  <c r="CV35" i="6" s="1"/>
  <c r="BV35" i="6"/>
  <c r="DE35" i="6" a="1"/>
  <c r="DE35" i="6" s="1"/>
  <c r="CH35" i="6"/>
  <c r="DM35" i="6" a="1"/>
  <c r="DM35" i="6" s="1"/>
  <c r="CP35" i="6"/>
  <c r="BM35" i="6"/>
  <c r="CZ35" i="6" a="1"/>
  <c r="CZ35" i="6" s="1"/>
  <c r="CW35" i="6" a="1"/>
  <c r="CW35" i="6" s="1"/>
  <c r="CD35" i="6"/>
  <c r="DI35" i="6" a="1"/>
  <c r="DI35" i="6" s="1"/>
  <c r="CL35" i="6"/>
  <c r="DQ35" i="6" a="1"/>
  <c r="DQ35" i="6" s="1"/>
  <c r="BN35" i="6"/>
  <c r="BU35" i="6"/>
  <c r="BX35" i="6"/>
  <c r="DB35" i="6" a="1"/>
  <c r="DB35" i="6" s="1"/>
  <c r="CE35" i="6"/>
  <c r="CI35" i="6"/>
  <c r="CM35" i="6"/>
  <c r="CQ35" i="6"/>
  <c r="BO35" i="6"/>
  <c r="BS35" i="6"/>
  <c r="CU35" i="6" a="1"/>
  <c r="CU35" i="6" s="1"/>
  <c r="DA35" i="6" a="1"/>
  <c r="DA35" i="6" s="1"/>
  <c r="DF35" i="6" a="1"/>
  <c r="DF35" i="6" s="1"/>
  <c r="DJ35" i="6" a="1"/>
  <c r="DJ35" i="6" s="1"/>
  <c r="DN35" i="6" a="1"/>
  <c r="DN35" i="6" s="1"/>
  <c r="DR35" i="6" a="1"/>
  <c r="DR35" i="6" s="1"/>
  <c r="BQ35" i="6"/>
  <c r="CT35" i="6" a="1"/>
  <c r="CT35" i="6" s="1"/>
  <c r="BY35" i="6"/>
  <c r="DC35" i="6" a="1"/>
  <c r="DC35" i="6" s="1"/>
  <c r="DG35" i="6" a="1"/>
  <c r="DG35" i="6" s="1"/>
  <c r="DK35" i="6" a="1"/>
  <c r="DK35" i="6" s="1"/>
  <c r="CN35" i="6"/>
  <c r="CR35" i="6"/>
  <c r="BT35" i="6"/>
  <c r="CX35" i="6" a="1"/>
  <c r="CX35" i="6" s="1"/>
  <c r="CB35" i="6"/>
  <c r="CF35" i="6"/>
  <c r="CJ35" i="6"/>
  <c r="DO35" i="6" a="1"/>
  <c r="DO35" i="6" s="1"/>
  <c r="DS35" i="6" a="1"/>
  <c r="DS35" i="6" s="1"/>
  <c r="BZ35" i="6"/>
  <c r="BW35" i="6"/>
  <c r="DD35" i="6" a="1"/>
  <c r="DD35" i="6" s="1"/>
  <c r="DH35" i="6" a="1"/>
  <c r="DH35" i="6" s="1"/>
  <c r="CK35" i="6"/>
  <c r="DP35" i="6" a="1"/>
  <c r="DP35" i="6" s="1"/>
  <c r="BP35" i="6"/>
  <c r="CY35" i="6" a="1"/>
  <c r="CY35" i="6" s="1"/>
  <c r="CA35" i="6"/>
  <c r="CC35" i="6"/>
  <c r="CG35" i="6"/>
  <c r="DL35" i="6" a="1"/>
  <c r="DL35" i="6" s="1"/>
  <c r="CO35" i="6"/>
  <c r="BL35" i="6"/>
  <c r="CV30" i="6" a="1"/>
  <c r="CV30" i="6" s="1"/>
  <c r="CA30" i="6"/>
  <c r="CC30" i="6"/>
  <c r="CG30" i="6"/>
  <c r="DL30" i="6" a="1"/>
  <c r="DL30" i="6" s="1"/>
  <c r="DP30" i="6" a="1"/>
  <c r="DP30" i="6" s="1"/>
  <c r="BN30" i="6"/>
  <c r="DB30" i="6" a="1"/>
  <c r="DB30" i="6" s="1"/>
  <c r="CU30" i="6" a="1"/>
  <c r="CU30" i="6" s="1"/>
  <c r="DD30" i="6" a="1"/>
  <c r="DD30" i="6" s="1"/>
  <c r="DH30" i="6" a="1"/>
  <c r="DH30" i="6" s="1"/>
  <c r="CK30" i="6"/>
  <c r="CO30" i="6"/>
  <c r="BO30" i="6"/>
  <c r="CX30" i="6" a="1"/>
  <c r="CX30" i="6" s="1"/>
  <c r="BT30" i="6"/>
  <c r="CD30" i="6"/>
  <c r="CH30" i="6"/>
  <c r="CL30" i="6"/>
  <c r="CP30" i="6"/>
  <c r="BP30" i="6"/>
  <c r="DA30" i="6" a="1"/>
  <c r="DA30" i="6" s="1"/>
  <c r="BU30" i="6"/>
  <c r="DE30" i="6" a="1"/>
  <c r="DE30" i="6" s="1"/>
  <c r="DI30" i="6" a="1"/>
  <c r="DI30" i="6" s="1"/>
  <c r="DM30" i="6" a="1"/>
  <c r="DM30" i="6" s="1"/>
  <c r="DQ30" i="6" a="1"/>
  <c r="DQ30" i="6" s="1"/>
  <c r="BQ30" i="6"/>
  <c r="BX30" i="6"/>
  <c r="CW30" i="6" a="1"/>
  <c r="CW30" i="6" s="1"/>
  <c r="CZ30" i="6" a="1"/>
  <c r="CZ30" i="6" s="1"/>
  <c r="CE30" i="6"/>
  <c r="CI30" i="6"/>
  <c r="CM30" i="6"/>
  <c r="DR30" i="6" a="1"/>
  <c r="DR30" i="6" s="1"/>
  <c r="BL30" i="6"/>
  <c r="BZ30" i="6"/>
  <c r="BS30" i="6"/>
  <c r="BY30" i="6"/>
  <c r="DF30" i="6" a="1"/>
  <c r="DF30" i="6" s="1"/>
  <c r="DJ30" i="6" a="1"/>
  <c r="DJ30" i="6" s="1"/>
  <c r="DN30" i="6" a="1"/>
  <c r="DN30" i="6" s="1"/>
  <c r="CQ30" i="6"/>
  <c r="BM30" i="6"/>
  <c r="BV30" i="6"/>
  <c r="CT30" i="6" a="1"/>
  <c r="CT30" i="6" s="1"/>
  <c r="CB30" i="6"/>
  <c r="CF30" i="6"/>
  <c r="CJ30" i="6"/>
  <c r="CN30" i="6"/>
  <c r="CR30" i="6"/>
  <c r="CY30" i="6" a="1"/>
  <c r="CY30" i="6" s="1"/>
  <c r="BW30" i="6"/>
  <c r="DC30" i="6" a="1"/>
  <c r="DC30" i="6" s="1"/>
  <c r="DG30" i="6" a="1"/>
  <c r="DG30" i="6" s="1"/>
  <c r="DK30" i="6" a="1"/>
  <c r="DK30" i="6" s="1"/>
  <c r="DO30" i="6" a="1"/>
  <c r="DO30" i="6" s="1"/>
  <c r="DS30" i="6" a="1"/>
  <c r="DS30" i="6" s="1"/>
  <c r="BX34" i="6"/>
  <c r="BZ34" i="6"/>
  <c r="CX34" i="6" a="1"/>
  <c r="CX34" i="6" s="1"/>
  <c r="DF34" i="6" a="1"/>
  <c r="DF34" i="6" s="1"/>
  <c r="DJ34" i="6" a="1"/>
  <c r="DJ34" i="6" s="1"/>
  <c r="CM34" i="6"/>
  <c r="DR34" i="6" a="1"/>
  <c r="DR34" i="6" s="1"/>
  <c r="BO34" i="6"/>
  <c r="CU34" i="6" a="1"/>
  <c r="CU34" i="6" s="1"/>
  <c r="CW34" i="6" a="1"/>
  <c r="CW34" i="6" s="1"/>
  <c r="BU34" i="6"/>
  <c r="CE34" i="6"/>
  <c r="CI34" i="6"/>
  <c r="DN34" i="6" a="1"/>
  <c r="DN34" i="6" s="1"/>
  <c r="CQ34" i="6"/>
  <c r="BQ34" i="6"/>
  <c r="DB34" i="6" a="1"/>
  <c r="DB34" i="6" s="1"/>
  <c r="CT34" i="6" a="1"/>
  <c r="CT34" i="6" s="1"/>
  <c r="CB34" i="6"/>
  <c r="DG34" i="6" a="1"/>
  <c r="DG34" i="6" s="1"/>
  <c r="CJ34" i="6"/>
  <c r="CN34" i="6"/>
  <c r="DS34" i="6" a="1"/>
  <c r="DS34" i="6" s="1"/>
  <c r="CZ34" i="6" a="1"/>
  <c r="CZ34" i="6" s="1"/>
  <c r="BW34" i="6"/>
  <c r="DC34" i="6" a="1"/>
  <c r="DC34" i="6" s="1"/>
  <c r="CF34" i="6"/>
  <c r="DK34" i="6" a="1"/>
  <c r="DK34" i="6" s="1"/>
  <c r="DO34" i="6" a="1"/>
  <c r="DO34" i="6" s="1"/>
  <c r="CR34" i="6"/>
  <c r="CV34" i="6" a="1"/>
  <c r="CV34" i="6" s="1"/>
  <c r="BV34" i="6"/>
  <c r="DD34" i="6" a="1"/>
  <c r="DD34" i="6" s="1"/>
  <c r="DH34" i="6" a="1"/>
  <c r="DH34" i="6" s="1"/>
  <c r="CK34" i="6"/>
  <c r="DP34" i="6" a="1"/>
  <c r="DP34" i="6" s="1"/>
  <c r="BL34" i="6"/>
  <c r="BY34" i="6"/>
  <c r="BS34" i="6"/>
  <c r="CC34" i="6"/>
  <c r="CG34" i="6"/>
  <c r="DL34" i="6" a="1"/>
  <c r="DL34" i="6" s="1"/>
  <c r="CO34" i="6"/>
  <c r="BM34" i="6"/>
  <c r="CA34" i="6"/>
  <c r="CY34" i="6" a="1"/>
  <c r="CY34" i="6" s="1"/>
  <c r="DE34" i="6" a="1"/>
  <c r="DE34" i="6" s="1"/>
  <c r="DI34" i="6" a="1"/>
  <c r="DI34" i="6" s="1"/>
  <c r="CL34" i="6"/>
  <c r="CP34" i="6"/>
  <c r="BP34" i="6"/>
  <c r="DA34" i="6" a="1"/>
  <c r="DA34" i="6" s="1"/>
  <c r="BT34" i="6"/>
  <c r="CD34" i="6"/>
  <c r="CH34" i="6"/>
  <c r="DM34" i="6" a="1"/>
  <c r="DM34" i="6" s="1"/>
  <c r="DQ34" i="6" a="1"/>
  <c r="DQ34" i="6" s="1"/>
  <c r="BN34" i="6"/>
  <c r="DB28" i="6" a="1"/>
  <c r="DB28" i="6" s="1"/>
  <c r="BZ28" i="6"/>
  <c r="DD28" i="6" a="1"/>
  <c r="DD28" i="6" s="1"/>
  <c r="DH28" i="6" a="1"/>
  <c r="DH28" i="6" s="1"/>
  <c r="CK28" i="6"/>
  <c r="CO28" i="6"/>
  <c r="BO28" i="6"/>
  <c r="BS28" i="6"/>
  <c r="BW28" i="6"/>
  <c r="DE28" i="6" a="1"/>
  <c r="DE28" i="6" s="1"/>
  <c r="DI28" i="6" a="1"/>
  <c r="DI28" i="6" s="1"/>
  <c r="DM28" i="6" a="1"/>
  <c r="DM28" i="6" s="1"/>
  <c r="CP28" i="6"/>
  <c r="BQ28" i="6"/>
  <c r="BU28" i="6"/>
  <c r="CZ28" i="6" a="1"/>
  <c r="CZ28" i="6" s="1"/>
  <c r="CD28" i="6"/>
  <c r="CH28" i="6"/>
  <c r="CL28" i="6"/>
  <c r="DQ28" i="6" a="1"/>
  <c r="DQ28" i="6" s="1"/>
  <c r="BP28" i="6"/>
  <c r="CW28" i="6" a="1"/>
  <c r="CW28" i="6" s="1"/>
  <c r="CU28" i="6" a="1"/>
  <c r="CU28" i="6" s="1"/>
  <c r="BT28" i="6"/>
  <c r="CE28" i="6"/>
  <c r="CI28" i="6"/>
  <c r="CM28" i="6"/>
  <c r="DR28" i="6" a="1"/>
  <c r="DR28" i="6" s="1"/>
  <c r="BL28" i="6"/>
  <c r="BX28" i="6"/>
  <c r="BY28" i="6"/>
  <c r="CA28" i="6"/>
  <c r="DF28" i="6" a="1"/>
  <c r="DF28" i="6" s="1"/>
  <c r="DJ28" i="6" a="1"/>
  <c r="DJ28" i="6" s="1"/>
  <c r="DN28" i="6" a="1"/>
  <c r="DN28" i="6" s="1"/>
  <c r="CQ28" i="6"/>
  <c r="BM28" i="6"/>
  <c r="DA28" i="6" a="1"/>
  <c r="DA28" i="6" s="1"/>
  <c r="CV28" i="6" a="1"/>
  <c r="CV28" i="6" s="1"/>
  <c r="DC28" i="6" a="1"/>
  <c r="DC28" i="6" s="1"/>
  <c r="DG28" i="6" a="1"/>
  <c r="DG28" i="6" s="1"/>
  <c r="DK28" i="6" a="1"/>
  <c r="DK28" i="6" s="1"/>
  <c r="DO28" i="6" a="1"/>
  <c r="DO28" i="6" s="1"/>
  <c r="DS28" i="6" a="1"/>
  <c r="DS28" i="6" s="1"/>
  <c r="CY28" i="6" a="1"/>
  <c r="CY28" i="6" s="1"/>
  <c r="CT28" i="6" a="1"/>
  <c r="CT28" i="6" s="1"/>
  <c r="CB28" i="6"/>
  <c r="CF28" i="6"/>
  <c r="CJ28" i="6"/>
  <c r="CN28" i="6"/>
  <c r="CR28" i="6"/>
  <c r="BV28" i="6"/>
  <c r="CX28" i="6" a="1"/>
  <c r="CX28" i="6" s="1"/>
  <c r="CC28" i="6"/>
  <c r="CG28" i="6"/>
  <c r="DL28" i="6" a="1"/>
  <c r="DL28" i="6" s="1"/>
  <c r="DP28" i="6" a="1"/>
  <c r="DP28" i="6" s="1"/>
  <c r="BN28" i="6"/>
  <c r="M37" i="6"/>
  <c r="BS31" i="6"/>
  <c r="BT31" i="6"/>
  <c r="CD31" i="6"/>
  <c r="DI31" i="6" a="1"/>
  <c r="DI31" i="6" s="1"/>
  <c r="DM31" i="6" a="1"/>
  <c r="DM31" i="6" s="1"/>
  <c r="DQ31" i="6" a="1"/>
  <c r="DQ31" i="6" s="1"/>
  <c r="BP31" i="6"/>
  <c r="CT31" i="6" a="1"/>
  <c r="CT31" i="6" s="1"/>
  <c r="DB31" i="6" a="1"/>
  <c r="DB31" i="6" s="1"/>
  <c r="DE31" i="6" a="1"/>
  <c r="DE31" i="6" s="1"/>
  <c r="CH31" i="6"/>
  <c r="CL31" i="6"/>
  <c r="CP31" i="6"/>
  <c r="BQ31" i="6"/>
  <c r="BU31" i="6"/>
  <c r="CX31" i="6" a="1"/>
  <c r="CX31" i="6" s="1"/>
  <c r="BW31" i="6"/>
  <c r="CE31" i="6"/>
  <c r="CI31" i="6"/>
  <c r="CM31" i="6"/>
  <c r="CQ31" i="6"/>
  <c r="BL31" i="6"/>
  <c r="DA31" i="6" a="1"/>
  <c r="DA31" i="6" s="1"/>
  <c r="CV31" i="6" a="1"/>
  <c r="CV31" i="6" s="1"/>
  <c r="CA31" i="6"/>
  <c r="DF31" i="6" a="1"/>
  <c r="DF31" i="6" s="1"/>
  <c r="DJ31" i="6" a="1"/>
  <c r="DJ31" i="6" s="1"/>
  <c r="DN31" i="6" a="1"/>
  <c r="DN31" i="6" s="1"/>
  <c r="DR31" i="6" a="1"/>
  <c r="DR31" i="6" s="1"/>
  <c r="BM31" i="6"/>
  <c r="CZ31" i="6" a="1"/>
  <c r="CZ31" i="6" s="1"/>
  <c r="BX31" i="6"/>
  <c r="DC31" i="6" a="1"/>
  <c r="DC31" i="6" s="1"/>
  <c r="DG31" i="6" a="1"/>
  <c r="DG31" i="6" s="1"/>
  <c r="CJ31" i="6"/>
  <c r="CN31" i="6"/>
  <c r="DS31" i="6" a="1"/>
  <c r="DS31" i="6" s="1"/>
  <c r="BV31" i="6"/>
  <c r="CW31" i="6" a="1"/>
  <c r="CW31" i="6" s="1"/>
  <c r="CB31" i="6"/>
  <c r="CF31" i="6"/>
  <c r="DK31" i="6" a="1"/>
  <c r="DK31" i="6" s="1"/>
  <c r="DO31" i="6" a="1"/>
  <c r="DO31" i="6" s="1"/>
  <c r="CR31" i="6"/>
  <c r="CU31" i="6" a="1"/>
  <c r="CU31" i="6" s="1"/>
  <c r="CY31" i="6" a="1"/>
  <c r="CY31" i="6" s="1"/>
  <c r="CC31" i="6"/>
  <c r="DH31" i="6" a="1"/>
  <c r="DH31" i="6" s="1"/>
  <c r="CK31" i="6"/>
  <c r="CO31" i="6"/>
  <c r="BN31" i="6"/>
  <c r="BZ31" i="6"/>
  <c r="BY31" i="6"/>
  <c r="DD31" i="6" a="1"/>
  <c r="DD31" i="6" s="1"/>
  <c r="CG31" i="6"/>
  <c r="DL31" i="6" a="1"/>
  <c r="DL31" i="6" s="1"/>
  <c r="DP31" i="6" a="1"/>
  <c r="DP31" i="6" s="1"/>
  <c r="BO31" i="6"/>
  <c r="CX32" i="6" a="1"/>
  <c r="CX32" i="6" s="1"/>
  <c r="BX32" i="6"/>
  <c r="BT32" i="6"/>
  <c r="DF32" i="6" a="1"/>
  <c r="DF32" i="6" s="1"/>
  <c r="CI32" i="6"/>
  <c r="DN32" i="6" a="1"/>
  <c r="DN32" i="6" s="1"/>
  <c r="CQ32" i="6"/>
  <c r="BN32" i="6"/>
  <c r="CY32" i="6" a="1"/>
  <c r="CY32" i="6" s="1"/>
  <c r="CU32" i="6" a="1"/>
  <c r="CU32" i="6" s="1"/>
  <c r="CZ32" i="6" a="1"/>
  <c r="CZ32" i="6" s="1"/>
  <c r="CE32" i="6"/>
  <c r="DJ32" i="6" a="1"/>
  <c r="DJ32" i="6" s="1"/>
  <c r="CM32" i="6"/>
  <c r="DR32" i="6" a="1"/>
  <c r="DR32" i="6" s="1"/>
  <c r="BO32" i="6"/>
  <c r="BS32" i="6"/>
  <c r="CW32" i="6" a="1"/>
  <c r="CW32" i="6" s="1"/>
  <c r="DC32" i="6" a="1"/>
  <c r="DC32" i="6" s="1"/>
  <c r="DG32" i="6" a="1"/>
  <c r="DG32" i="6" s="1"/>
  <c r="DK32" i="6" a="1"/>
  <c r="DK32" i="6" s="1"/>
  <c r="DO32" i="6" a="1"/>
  <c r="DO32" i="6" s="1"/>
  <c r="CR32" i="6"/>
  <c r="CT32" i="6" a="1"/>
  <c r="CT32" i="6" s="1"/>
  <c r="BV32" i="6"/>
  <c r="CB32" i="6"/>
  <c r="CF32" i="6"/>
  <c r="CJ32" i="6"/>
  <c r="CN32" i="6"/>
  <c r="DS32" i="6" a="1"/>
  <c r="DS32" i="6" s="1"/>
  <c r="CA32" i="6"/>
  <c r="CV32" i="6" a="1"/>
  <c r="CV32" i="6" s="1"/>
  <c r="DD32" i="6" a="1"/>
  <c r="DD32" i="6" s="1"/>
  <c r="CG32" i="6"/>
  <c r="DL32" i="6" a="1"/>
  <c r="DL32" i="6" s="1"/>
  <c r="CO32" i="6"/>
  <c r="BQ32" i="6"/>
  <c r="DB32" i="6" a="1"/>
  <c r="DB32" i="6" s="1"/>
  <c r="BZ32" i="6"/>
  <c r="CC32" i="6"/>
  <c r="DH32" i="6" a="1"/>
  <c r="DH32" i="6" s="1"/>
  <c r="CK32" i="6"/>
  <c r="DP32" i="6" a="1"/>
  <c r="DP32" i="6" s="1"/>
  <c r="BP32" i="6"/>
  <c r="DA32" i="6" a="1"/>
  <c r="DA32" i="6" s="1"/>
  <c r="BY32" i="6"/>
  <c r="CD32" i="6"/>
  <c r="CH32" i="6"/>
  <c r="DM32" i="6" a="1"/>
  <c r="DM32" i="6" s="1"/>
  <c r="CP32" i="6"/>
  <c r="BL32" i="6"/>
  <c r="BU32" i="6"/>
  <c r="BW32" i="6"/>
  <c r="DE32" i="6" a="1"/>
  <c r="DE32" i="6" s="1"/>
  <c r="DI32" i="6" a="1"/>
  <c r="DI32" i="6" s="1"/>
  <c r="CL32" i="6"/>
  <c r="DQ32" i="6" a="1"/>
  <c r="DQ32" i="6" s="1"/>
  <c r="BM32" i="6"/>
  <c r="DB33" i="6" a="1"/>
  <c r="DB33" i="6" s="1"/>
  <c r="BZ33" i="6"/>
  <c r="DD33" i="6" a="1"/>
  <c r="DD33" i="6" s="1"/>
  <c r="CG33" i="6"/>
  <c r="CK33" i="6"/>
  <c r="DP33" i="6" a="1"/>
  <c r="DP33" i="6" s="1"/>
  <c r="BQ33" i="6"/>
  <c r="BW33" i="6"/>
  <c r="CY33" i="6" a="1"/>
  <c r="CY33" i="6" s="1"/>
  <c r="CC33" i="6"/>
  <c r="DH33" i="6" a="1"/>
  <c r="DH33" i="6" s="1"/>
  <c r="DL33" i="6" a="1"/>
  <c r="DL33" i="6" s="1"/>
  <c r="CO33" i="6"/>
  <c r="BP33" i="6"/>
  <c r="CZ33" i="6" a="1"/>
  <c r="CZ33" i="6" s="1"/>
  <c r="BV33" i="6"/>
  <c r="CD33" i="6"/>
  <c r="DI33" i="6" a="1"/>
  <c r="DI33" i="6" s="1"/>
  <c r="DM33" i="6" a="1"/>
  <c r="DM33" i="6" s="1"/>
  <c r="DQ33" i="6" a="1"/>
  <c r="DQ33" i="6" s="1"/>
  <c r="BN33" i="6"/>
  <c r="DA33" i="6" a="1"/>
  <c r="DA33" i="6" s="1"/>
  <c r="CX33" i="6" a="1"/>
  <c r="CX33" i="6" s="1"/>
  <c r="DE33" i="6" a="1"/>
  <c r="DE33" i="6" s="1"/>
  <c r="CH33" i="6"/>
  <c r="CL33" i="6"/>
  <c r="CP33" i="6"/>
  <c r="BO33" i="6"/>
  <c r="BS33" i="6"/>
  <c r="CV33" i="6" a="1"/>
  <c r="CV33" i="6" s="1"/>
  <c r="BX33" i="6"/>
  <c r="CE33" i="6"/>
  <c r="CI33" i="6"/>
  <c r="DN33" i="6" a="1"/>
  <c r="DN33" i="6" s="1"/>
  <c r="DR33" i="6" a="1"/>
  <c r="DR33" i="6" s="1"/>
  <c r="BL33" i="6"/>
  <c r="CW33" i="6" a="1"/>
  <c r="CW33" i="6" s="1"/>
  <c r="BU33" i="6"/>
  <c r="CU33" i="6" a="1"/>
  <c r="CU33" i="6" s="1"/>
  <c r="DF33" i="6" a="1"/>
  <c r="DF33" i="6" s="1"/>
  <c r="DJ33" i="6" a="1"/>
  <c r="DJ33" i="6" s="1"/>
  <c r="CM33" i="6"/>
  <c r="CQ33" i="6"/>
  <c r="BM33" i="6"/>
  <c r="BY33" i="6"/>
  <c r="CA33" i="6"/>
  <c r="DC33" i="6" a="1"/>
  <c r="DC33" i="6" s="1"/>
  <c r="DG33" i="6" a="1"/>
  <c r="DG33" i="6" s="1"/>
  <c r="DK33" i="6" a="1"/>
  <c r="DK33" i="6" s="1"/>
  <c r="DO33" i="6" a="1"/>
  <c r="DO33" i="6" s="1"/>
  <c r="CR33" i="6"/>
  <c r="CT33" i="6" a="1"/>
  <c r="CT33" i="6" s="1"/>
  <c r="BT33" i="6"/>
  <c r="CB33" i="6"/>
  <c r="CF33" i="6"/>
  <c r="CJ33" i="6"/>
  <c r="CN33" i="6"/>
  <c r="DS33" i="6" a="1"/>
  <c r="DS33" i="6" s="1"/>
  <c r="DO29" i="6" a="1"/>
  <c r="DO29" i="6" s="1"/>
  <c r="BW29" i="6"/>
  <c r="CZ29" i="6" a="1"/>
  <c r="CZ29" i="6" s="1"/>
  <c r="DC29" i="6" a="1"/>
  <c r="DC29" i="6" s="1"/>
  <c r="DG29" i="6" a="1"/>
  <c r="DG29" i="6" s="1"/>
  <c r="DK29" i="6" a="1"/>
  <c r="DK29" i="6" s="1"/>
  <c r="CN29" i="6"/>
  <c r="DS29" i="6" a="1"/>
  <c r="DS29" i="6" s="1"/>
  <c r="CU29" i="6" a="1"/>
  <c r="CU29" i="6" s="1"/>
  <c r="CY29" i="6" a="1"/>
  <c r="CY29" i="6" s="1"/>
  <c r="DD29" i="6" a="1"/>
  <c r="DD29" i="6" s="1"/>
  <c r="CG29" i="6"/>
  <c r="DL29" i="6" a="1"/>
  <c r="DL29" i="6" s="1"/>
  <c r="DP29" i="6" a="1"/>
  <c r="DP29" i="6" s="1"/>
  <c r="BL29" i="6"/>
  <c r="BV29" i="6"/>
  <c r="DR29" i="6" a="1"/>
  <c r="DR29" i="6" s="1"/>
  <c r="DA29" i="6" a="1"/>
  <c r="DA29" i="6" s="1"/>
  <c r="CR29" i="6"/>
  <c r="BU29" i="6"/>
  <c r="CX29" i="6" a="1"/>
  <c r="CX29" i="6" s="1"/>
  <c r="CC29" i="6"/>
  <c r="DH29" i="6" a="1"/>
  <c r="DH29" i="6" s="1"/>
  <c r="CK29" i="6"/>
  <c r="CO29" i="6"/>
  <c r="BM29" i="6"/>
  <c r="BY29" i="6"/>
  <c r="DN29" i="6" a="1"/>
  <c r="DN29" i="6" s="1"/>
  <c r="BZ29" i="6"/>
  <c r="BX29" i="6"/>
  <c r="CD29" i="6"/>
  <c r="CH29" i="6"/>
  <c r="CL29" i="6"/>
  <c r="CP29" i="6"/>
  <c r="BN29" i="6"/>
  <c r="CT29" i="6" a="1"/>
  <c r="CT29" i="6" s="1"/>
  <c r="CV29" i="6" a="1"/>
  <c r="CV29" i="6" s="1"/>
  <c r="DE29" i="6" a="1"/>
  <c r="DE29" i="6" s="1"/>
  <c r="DI29" i="6" a="1"/>
  <c r="DI29" i="6" s="1"/>
  <c r="DM29" i="6" a="1"/>
  <c r="DM29" i="6" s="1"/>
  <c r="DQ29" i="6" a="1"/>
  <c r="DQ29" i="6" s="1"/>
  <c r="BO29" i="6"/>
  <c r="CE29" i="6"/>
  <c r="BT29" i="6"/>
  <c r="CB29" i="6"/>
  <c r="CF29" i="6"/>
  <c r="CW29" i="6" a="1"/>
  <c r="CW29" i="6" s="1"/>
  <c r="BS29" i="6"/>
  <c r="CA29" i="6"/>
  <c r="DF29" i="6" a="1"/>
  <c r="DF29" i="6" s="1"/>
  <c r="CI29" i="6"/>
  <c r="CM29" i="6"/>
  <c r="CQ29" i="6"/>
  <c r="BP29" i="6"/>
  <c r="DJ29" i="6" a="1"/>
  <c r="DJ29" i="6" s="1"/>
  <c r="DB29" i="6" a="1"/>
  <c r="DB29" i="6" s="1"/>
  <c r="BQ29" i="6"/>
  <c r="CJ29" i="6"/>
  <c r="N141" i="6"/>
  <c r="M142" i="6"/>
  <c r="CE142" i="6" s="1"/>
  <c r="K141" i="12"/>
  <c r="AD143" i="5"/>
  <c r="A143" i="12"/>
  <c r="N143" i="5"/>
  <c r="D143" i="6" s="1"/>
  <c r="H143" i="6" s="1" a="1"/>
  <c r="H143" i="6" s="1"/>
  <c r="T143" i="5" s="1"/>
  <c r="G143" i="12" s="1" a="1"/>
  <c r="G143" i="12" s="1"/>
  <c r="F143" i="5"/>
  <c r="E143" i="5"/>
  <c r="AE143" i="5" a="1"/>
  <c r="AE143" i="5" s="1"/>
  <c r="C144" i="5"/>
  <c r="K143" i="5"/>
  <c r="D143" i="5"/>
  <c r="B143" i="12" s="1"/>
  <c r="G143" i="5"/>
  <c r="H143" i="5"/>
  <c r="B143" i="6"/>
  <c r="B143" i="5"/>
  <c r="J143" i="5"/>
  <c r="G142" i="6"/>
  <c r="H142" i="6" a="1"/>
  <c r="H142" i="6" s="1"/>
  <c r="T142" i="5" s="1"/>
  <c r="G142" i="12" s="1" a="1"/>
  <c r="G142" i="12" s="1"/>
  <c r="L150" i="6"/>
  <c r="M42" i="6" l="1"/>
  <c r="M41" i="6"/>
  <c r="M44" i="6"/>
  <c r="M40" i="6"/>
  <c r="M39" i="6"/>
  <c r="M43" i="6"/>
  <c r="DB37" i="6" a="1"/>
  <c r="DB37" i="6" s="1"/>
  <c r="CX37" i="6" a="1"/>
  <c r="CX37" i="6" s="1"/>
  <c r="BT37" i="6"/>
  <c r="CF37" i="6"/>
  <c r="DK37" i="6" a="1"/>
  <c r="DK37" i="6" s="1"/>
  <c r="CN37" i="6"/>
  <c r="DS37" i="6" a="1"/>
  <c r="DS37" i="6" s="1"/>
  <c r="BZ37" i="6"/>
  <c r="CV37" i="6" a="1"/>
  <c r="CV37" i="6" s="1"/>
  <c r="DD37" i="6" a="1"/>
  <c r="DD37" i="6" s="1"/>
  <c r="CG37" i="6"/>
  <c r="CK37" i="6"/>
  <c r="CO37" i="6"/>
  <c r="BL37" i="6"/>
  <c r="CY37" i="6" a="1"/>
  <c r="CY37" i="6" s="1"/>
  <c r="CZ37" i="6" a="1"/>
  <c r="CZ37" i="6" s="1"/>
  <c r="CT37" i="6" a="1"/>
  <c r="CT37" i="6" s="1"/>
  <c r="BS37" i="6"/>
  <c r="DE37" i="6" a="1"/>
  <c r="DE37" i="6" s="1"/>
  <c r="CH37" i="6"/>
  <c r="CL37" i="6"/>
  <c r="CP37" i="6"/>
  <c r="BN37" i="6"/>
  <c r="M38" i="6"/>
  <c r="BU37" i="6"/>
  <c r="CA37" i="6"/>
  <c r="CU37" i="6" a="1"/>
  <c r="CU37" i="6" s="1"/>
  <c r="DF37" i="6" a="1"/>
  <c r="DF37" i="6" s="1"/>
  <c r="CI37" i="6"/>
  <c r="DN37" i="6" a="1"/>
  <c r="DN37" i="6" s="1"/>
  <c r="CQ37" i="6"/>
  <c r="BQ37" i="6"/>
  <c r="CB37" i="6"/>
  <c r="BY37" i="6"/>
  <c r="DC37" i="6" a="1"/>
  <c r="DC37" i="6" s="1"/>
  <c r="DG37" i="6" a="1"/>
  <c r="DG37" i="6" s="1"/>
  <c r="CJ37" i="6"/>
  <c r="DO37" i="6" a="1"/>
  <c r="DO37" i="6" s="1"/>
  <c r="CR37" i="6"/>
  <c r="DA37" i="6" a="1"/>
  <c r="DA37" i="6" s="1"/>
  <c r="DL37" i="6" a="1"/>
  <c r="DL37" i="6" s="1"/>
  <c r="BP37" i="6"/>
  <c r="BV37" i="6"/>
  <c r="DM37" i="6" a="1"/>
  <c r="DM37" i="6" s="1"/>
  <c r="CC37" i="6"/>
  <c r="CM37" i="6"/>
  <c r="CD37" i="6"/>
  <c r="DP37" i="6" a="1"/>
  <c r="DP37" i="6" s="1"/>
  <c r="CE37" i="6"/>
  <c r="DQ37" i="6" a="1"/>
  <c r="DQ37" i="6" s="1"/>
  <c r="BW37" i="6"/>
  <c r="DH37" i="6" a="1"/>
  <c r="DH37" i="6" s="1"/>
  <c r="DR37" i="6" a="1"/>
  <c r="DR37" i="6" s="1"/>
  <c r="CW37" i="6" a="1"/>
  <c r="CW37" i="6" s="1"/>
  <c r="DI37" i="6" a="1"/>
  <c r="DI37" i="6" s="1"/>
  <c r="BM37" i="6"/>
  <c r="BX37" i="6"/>
  <c r="DJ37" i="6" a="1"/>
  <c r="DJ37" i="6" s="1"/>
  <c r="BO37" i="6"/>
  <c r="CR142" i="6"/>
  <c r="BY142" i="6"/>
  <c r="BW142" i="6"/>
  <c r="CX142" i="6" a="1"/>
  <c r="CX142" i="6" s="1"/>
  <c r="DC142" i="6" a="1"/>
  <c r="DC142" i="6" s="1"/>
  <c r="DF142" i="6" a="1"/>
  <c r="DF142" i="6" s="1"/>
  <c r="A143" i="6"/>
  <c r="CO142" i="6"/>
  <c r="CA142" i="6"/>
  <c r="DS142" i="6" a="1"/>
  <c r="DS142" i="6" s="1"/>
  <c r="DG142" i="6" a="1"/>
  <c r="DG142" i="6" s="1"/>
  <c r="CI142" i="6"/>
  <c r="DD142" i="6" a="1"/>
  <c r="DD142" i="6" s="1"/>
  <c r="AX142" i="6"/>
  <c r="DA142" i="6" a="1"/>
  <c r="DA142" i="6" s="1"/>
  <c r="CZ142" i="6" a="1"/>
  <c r="CZ142" i="6" s="1"/>
  <c r="CB142" i="6"/>
  <c r="DN142" i="6" a="1"/>
  <c r="DN142" i="6" s="1"/>
  <c r="CU142" i="6" a="1"/>
  <c r="CU142" i="6" s="1"/>
  <c r="CJ142" i="6"/>
  <c r="DL142" i="6" a="1"/>
  <c r="DL142" i="6" s="1"/>
  <c r="CL142" i="6"/>
  <c r="CK142" i="6"/>
  <c r="BU142" i="6"/>
  <c r="BS142" i="6"/>
  <c r="DE142" i="6" a="1"/>
  <c r="DE142" i="6" s="1"/>
  <c r="DP142" i="6" a="1"/>
  <c r="DP142" i="6" s="1"/>
  <c r="CT142" i="6" a="1"/>
  <c r="CT142" i="6" s="1"/>
  <c r="CH142" i="6"/>
  <c r="CP142" i="6"/>
  <c r="CQ142" i="6"/>
  <c r="CD142" i="6"/>
  <c r="DQ142" i="6" a="1"/>
  <c r="DQ142" i="6" s="1"/>
  <c r="CV142" i="6" a="1"/>
  <c r="CV142" i="6" s="1"/>
  <c r="DR142" i="6" a="1"/>
  <c r="DR142" i="6" s="1"/>
  <c r="CN142" i="6"/>
  <c r="DH142" i="6" a="1"/>
  <c r="DH142" i="6" s="1"/>
  <c r="DB142" i="6" a="1"/>
  <c r="DB142" i="6" s="1"/>
  <c r="CC142" i="6"/>
  <c r="CW142" i="6" a="1"/>
  <c r="CW142" i="6" s="1"/>
  <c r="BT142" i="6"/>
  <c r="BX142" i="6"/>
  <c r="DJ142" i="6" a="1"/>
  <c r="DJ142" i="6" s="1"/>
  <c r="BV142" i="6"/>
  <c r="DI142" i="6" a="1"/>
  <c r="DI142" i="6" s="1"/>
  <c r="DK142" i="6" a="1"/>
  <c r="DK142" i="6" s="1"/>
  <c r="CF142" i="6"/>
  <c r="CG142" i="6"/>
  <c r="CY142" i="6" a="1"/>
  <c r="CY142" i="6" s="1"/>
  <c r="DM142" i="6" a="1"/>
  <c r="DM142" i="6" s="1"/>
  <c r="DO142" i="6" a="1"/>
  <c r="DO142" i="6" s="1"/>
  <c r="BZ142" i="6"/>
  <c r="CM142" i="6"/>
  <c r="BN142" i="6"/>
  <c r="BQ142" i="6"/>
  <c r="BL142" i="6"/>
  <c r="BO142" i="6"/>
  <c r="BH142" i="6"/>
  <c r="AT142" i="6"/>
  <c r="BA142" i="6"/>
  <c r="BB142" i="6"/>
  <c r="AR142" i="6"/>
  <c r="AY142" i="6"/>
  <c r="BP142" i="6"/>
  <c r="BJ142" i="6"/>
  <c r="BD142" i="6"/>
  <c r="AV142" i="6"/>
  <c r="BG142" i="6"/>
  <c r="BI142" i="6"/>
  <c r="BC142" i="6"/>
  <c r="BF142" i="6"/>
  <c r="AW142" i="6"/>
  <c r="AU142" i="6"/>
  <c r="BK142" i="6"/>
  <c r="BE142" i="6"/>
  <c r="AZ142" i="6"/>
  <c r="AS142" i="6"/>
  <c r="BM142" i="6"/>
  <c r="N144" i="5"/>
  <c r="D144" i="6" s="1"/>
  <c r="H144" i="6" s="1" a="1"/>
  <c r="H144" i="6" s="1"/>
  <c r="T144" i="5" s="1"/>
  <c r="G144" i="12" s="1" a="1"/>
  <c r="G144" i="12" s="1"/>
  <c r="K144" i="5"/>
  <c r="F144" i="5"/>
  <c r="AD144" i="5"/>
  <c r="D144" i="5"/>
  <c r="B144" i="12" s="1"/>
  <c r="J144" i="5"/>
  <c r="G144" i="5"/>
  <c r="A144" i="12"/>
  <c r="B144" i="5"/>
  <c r="AE144" i="5" a="1"/>
  <c r="AE144" i="5" s="1"/>
  <c r="H144" i="5"/>
  <c r="C145" i="5"/>
  <c r="B144" i="6"/>
  <c r="E144" i="5"/>
  <c r="L143" i="12" a="1"/>
  <c r="L143" i="12" s="1"/>
  <c r="J143" i="12" a="1"/>
  <c r="J143" i="12" s="1"/>
  <c r="L151" i="6"/>
  <c r="CX38" i="6" l="1" a="1"/>
  <c r="CX38" i="6" s="1"/>
  <c r="BW38" i="6"/>
  <c r="CC38" i="6"/>
  <c r="CG38" i="6"/>
  <c r="CK38" i="6"/>
  <c r="DP38" i="6" a="1"/>
  <c r="DP38" i="6" s="1"/>
  <c r="BQ38" i="6"/>
  <c r="DC38" i="6" a="1"/>
  <c r="DC38" i="6" s="1"/>
  <c r="CB38" i="6"/>
  <c r="DD38" i="6" a="1"/>
  <c r="DD38" i="6" s="1"/>
  <c r="DH38" i="6" a="1"/>
  <c r="DH38" i="6" s="1"/>
  <c r="DL38" i="6" a="1"/>
  <c r="DL38" i="6" s="1"/>
  <c r="CO38" i="6"/>
  <c r="BP38" i="6"/>
  <c r="DA38" i="6" a="1"/>
  <c r="DA38" i="6" s="1"/>
  <c r="BZ38" i="6"/>
  <c r="CD38" i="6"/>
  <c r="DI38" i="6" a="1"/>
  <c r="DI38" i="6" s="1"/>
  <c r="DM38" i="6" a="1"/>
  <c r="DM38" i="6" s="1"/>
  <c r="DQ38" i="6" a="1"/>
  <c r="DQ38" i="6" s="1"/>
  <c r="BL38" i="6"/>
  <c r="BV38" i="6"/>
  <c r="CV38" i="6" a="1"/>
  <c r="CV38" i="6" s="1"/>
  <c r="DE38" i="6" a="1"/>
  <c r="DE38" i="6" s="1"/>
  <c r="CH38" i="6"/>
  <c r="CL38" i="6"/>
  <c r="CP38" i="6"/>
  <c r="BM38" i="6"/>
  <c r="CT38" i="6" a="1"/>
  <c r="CT38" i="6" s="1"/>
  <c r="BX38" i="6"/>
  <c r="CA38" i="6"/>
  <c r="DF38" i="6" a="1"/>
  <c r="DF38" i="6" s="1"/>
  <c r="DJ38" i="6" a="1"/>
  <c r="DJ38" i="6" s="1"/>
  <c r="CM38" i="6"/>
  <c r="CQ38" i="6"/>
  <c r="BN38" i="6"/>
  <c r="CU38" i="6" a="1"/>
  <c r="CU38" i="6" s="1"/>
  <c r="CZ38" i="6" a="1"/>
  <c r="CZ38" i="6" s="1"/>
  <c r="BU38" i="6"/>
  <c r="CE38" i="6"/>
  <c r="CI38" i="6"/>
  <c r="DN38" i="6" a="1"/>
  <c r="DN38" i="6" s="1"/>
  <c r="DR38" i="6" a="1"/>
  <c r="DR38" i="6" s="1"/>
  <c r="BO38" i="6"/>
  <c r="DO38" i="6" a="1"/>
  <c r="DO38" i="6" s="1"/>
  <c r="CW38" i="6" a="1"/>
  <c r="CW38" i="6" s="1"/>
  <c r="CY38" i="6" a="1"/>
  <c r="CY38" i="6" s="1"/>
  <c r="BT38" i="6"/>
  <c r="CF38" i="6"/>
  <c r="CJ38" i="6"/>
  <c r="CN38" i="6"/>
  <c r="CR38" i="6"/>
  <c r="BY38" i="6"/>
  <c r="BS38" i="6"/>
  <c r="DB38" i="6" a="1"/>
  <c r="DB38" i="6" s="1"/>
  <c r="DG38" i="6" a="1"/>
  <c r="DG38" i="6" s="1"/>
  <c r="DK38" i="6" a="1"/>
  <c r="DK38" i="6" s="1"/>
  <c r="DS38" i="6" a="1"/>
  <c r="DS38" i="6" s="1"/>
  <c r="M46" i="6"/>
  <c r="DA43" i="6" a="1"/>
  <c r="DA43" i="6" s="1"/>
  <c r="BS43" i="6"/>
  <c r="CW43" i="6" a="1"/>
  <c r="CW43" i="6" s="1"/>
  <c r="CF43" i="6"/>
  <c r="DK43" i="6" a="1"/>
  <c r="DK43" i="6" s="1"/>
  <c r="DO43" i="6" a="1"/>
  <c r="DO43" i="6" s="1"/>
  <c r="DS43" i="6" a="1"/>
  <c r="DS43" i="6" s="1"/>
  <c r="BY43" i="6"/>
  <c r="BW43" i="6"/>
  <c r="BV43" i="6"/>
  <c r="DG43" i="6" a="1"/>
  <c r="DG43" i="6" s="1"/>
  <c r="CJ43" i="6"/>
  <c r="CN43" i="6"/>
  <c r="CR43" i="6"/>
  <c r="BT43" i="6"/>
  <c r="CV43" i="6" a="1"/>
  <c r="CV43" i="6" s="1"/>
  <c r="CX43" i="6" a="1"/>
  <c r="CX43" i="6" s="1"/>
  <c r="CG43" i="6"/>
  <c r="CK43" i="6"/>
  <c r="DP43" i="6" a="1"/>
  <c r="DP43" i="6" s="1"/>
  <c r="BN43" i="6"/>
  <c r="CY43" i="6" a="1"/>
  <c r="CY43" i="6" s="1"/>
  <c r="DB43" i="6" a="1"/>
  <c r="DB43" i="6" s="1"/>
  <c r="CZ43" i="6" a="1"/>
  <c r="CZ43" i="6" s="1"/>
  <c r="DH43" i="6" a="1"/>
  <c r="DH43" i="6" s="1"/>
  <c r="DL43" i="6" a="1"/>
  <c r="DL43" i="6" s="1"/>
  <c r="CO43" i="6"/>
  <c r="BO43" i="6"/>
  <c r="CA43" i="6"/>
  <c r="DD43" i="6" a="1"/>
  <c r="DD43" i="6" s="1"/>
  <c r="DE43" i="6" a="1"/>
  <c r="DE43" i="6" s="1"/>
  <c r="CH43" i="6"/>
  <c r="CL43" i="6"/>
  <c r="DQ43" i="6" a="1"/>
  <c r="DQ43" i="6" s="1"/>
  <c r="BP43" i="6"/>
  <c r="CB43" i="6"/>
  <c r="CC43" i="6"/>
  <c r="CD43" i="6"/>
  <c r="DI43" i="6" a="1"/>
  <c r="DI43" i="6" s="1"/>
  <c r="DM43" i="6" a="1"/>
  <c r="DM43" i="6" s="1"/>
  <c r="CP43" i="6"/>
  <c r="BQ43" i="6"/>
  <c r="DC43" i="6" a="1"/>
  <c r="DC43" i="6" s="1"/>
  <c r="BZ43" i="6"/>
  <c r="BU43" i="6"/>
  <c r="CE43" i="6"/>
  <c r="DJ43" i="6" a="1"/>
  <c r="DJ43" i="6" s="1"/>
  <c r="DN43" i="6" a="1"/>
  <c r="DN43" i="6" s="1"/>
  <c r="CQ43" i="6"/>
  <c r="BL43" i="6"/>
  <c r="BX43" i="6"/>
  <c r="CU43" i="6" a="1"/>
  <c r="CU43" i="6" s="1"/>
  <c r="CT43" i="6" a="1"/>
  <c r="CT43" i="6" s="1"/>
  <c r="DF43" i="6" a="1"/>
  <c r="DF43" i="6" s="1"/>
  <c r="CI43" i="6"/>
  <c r="CM43" i="6"/>
  <c r="DR43" i="6" a="1"/>
  <c r="DR43" i="6" s="1"/>
  <c r="BM43" i="6"/>
  <c r="DC39" i="6" a="1"/>
  <c r="DC39" i="6" s="1"/>
  <c r="CU39" i="6" a="1"/>
  <c r="CU39" i="6" s="1"/>
  <c r="DD39" i="6" a="1"/>
  <c r="DD39" i="6" s="1"/>
  <c r="CE39" i="6"/>
  <c r="CI39" i="6"/>
  <c r="DN39" i="6" a="1"/>
  <c r="DN39" i="6" s="1"/>
  <c r="DR39" i="6" a="1"/>
  <c r="DR39" i="6" s="1"/>
  <c r="BN39" i="6"/>
  <c r="BZ39" i="6"/>
  <c r="CC39" i="6"/>
  <c r="CB39" i="6"/>
  <c r="DF39" i="6" a="1"/>
  <c r="DF39" i="6" s="1"/>
  <c r="DJ39" i="6" a="1"/>
  <c r="DJ39" i="6" s="1"/>
  <c r="CM39" i="6"/>
  <c r="CQ39" i="6"/>
  <c r="BO39" i="6"/>
  <c r="BX39" i="6"/>
  <c r="BY39" i="6"/>
  <c r="BW39" i="6"/>
  <c r="DG39" i="6" a="1"/>
  <c r="DG39" i="6" s="1"/>
  <c r="CJ39" i="6"/>
  <c r="CN39" i="6"/>
  <c r="DS39" i="6" a="1"/>
  <c r="DS39" i="6" s="1"/>
  <c r="CV39" i="6" a="1"/>
  <c r="CV39" i="6" s="1"/>
  <c r="CA39" i="6"/>
  <c r="BV39" i="6"/>
  <c r="CF39" i="6"/>
  <c r="DK39" i="6" a="1"/>
  <c r="DK39" i="6" s="1"/>
  <c r="DO39" i="6" a="1"/>
  <c r="DO39" i="6" s="1"/>
  <c r="CR39" i="6"/>
  <c r="DA39" i="6" a="1"/>
  <c r="DA39" i="6" s="1"/>
  <c r="BT39" i="6"/>
  <c r="CZ39" i="6" a="1"/>
  <c r="CZ39" i="6" s="1"/>
  <c r="CG39" i="6"/>
  <c r="DL39" i="6" a="1"/>
  <c r="DL39" i="6" s="1"/>
  <c r="DP39" i="6" a="1"/>
  <c r="DP39" i="6" s="1"/>
  <c r="BQ39" i="6"/>
  <c r="CW39" i="6" a="1"/>
  <c r="CW39" i="6" s="1"/>
  <c r="DB39" i="6" a="1"/>
  <c r="DB39" i="6" s="1"/>
  <c r="CX39" i="6" a="1"/>
  <c r="CX39" i="6" s="1"/>
  <c r="DH39" i="6" a="1"/>
  <c r="DH39" i="6" s="1"/>
  <c r="CK39" i="6"/>
  <c r="CO39" i="6"/>
  <c r="BP39" i="6"/>
  <c r="BS39" i="6"/>
  <c r="CY39" i="6" a="1"/>
  <c r="CY39" i="6" s="1"/>
  <c r="DE39" i="6" a="1"/>
  <c r="DE39" i="6" s="1"/>
  <c r="CH39" i="6"/>
  <c r="CL39" i="6"/>
  <c r="CP39" i="6"/>
  <c r="BL39" i="6"/>
  <c r="CT39" i="6" a="1"/>
  <c r="CT39" i="6" s="1"/>
  <c r="BU39" i="6"/>
  <c r="CD39" i="6"/>
  <c r="DI39" i="6" a="1"/>
  <c r="DI39" i="6" s="1"/>
  <c r="DM39" i="6" a="1"/>
  <c r="DM39" i="6" s="1"/>
  <c r="DQ39" i="6" a="1"/>
  <c r="DQ39" i="6" s="1"/>
  <c r="BM39" i="6"/>
  <c r="DB40" i="6" a="1"/>
  <c r="DB40" i="6" s="1"/>
  <c r="CT40" i="6" a="1"/>
  <c r="CT40" i="6" s="1"/>
  <c r="CX40" i="6" a="1"/>
  <c r="CX40" i="6" s="1"/>
  <c r="DH40" i="6" a="1"/>
  <c r="DH40" i="6" s="1"/>
  <c r="DL40" i="6" a="1"/>
  <c r="DL40" i="6" s="1"/>
  <c r="CO40" i="6"/>
  <c r="BL40" i="6"/>
  <c r="CW40" i="6" a="1"/>
  <c r="CW40" i="6" s="1"/>
  <c r="CC40" i="6"/>
  <c r="DD40" i="6" a="1"/>
  <c r="DD40" i="6" s="1"/>
  <c r="CG40" i="6"/>
  <c r="CK40" i="6"/>
  <c r="DP40" i="6" a="1"/>
  <c r="DP40" i="6" s="1"/>
  <c r="BM40" i="6"/>
  <c r="CY40" i="6" a="1"/>
  <c r="CY40" i="6" s="1"/>
  <c r="DC40" i="6" a="1"/>
  <c r="DC40" i="6" s="1"/>
  <c r="CD40" i="6"/>
  <c r="CH40" i="6"/>
  <c r="CL40" i="6"/>
  <c r="DQ40" i="6" a="1"/>
  <c r="DQ40" i="6" s="1"/>
  <c r="BN40" i="6"/>
  <c r="CZ40" i="6" a="1"/>
  <c r="CZ40" i="6" s="1"/>
  <c r="BY40" i="6"/>
  <c r="DE40" i="6" a="1"/>
  <c r="DE40" i="6" s="1"/>
  <c r="DI40" i="6" a="1"/>
  <c r="DI40" i="6" s="1"/>
  <c r="DM40" i="6" a="1"/>
  <c r="DM40" i="6" s="1"/>
  <c r="CP40" i="6"/>
  <c r="BO40" i="6"/>
  <c r="DA40" i="6" a="1"/>
  <c r="DA40" i="6" s="1"/>
  <c r="CU40" i="6" a="1"/>
  <c r="CU40" i="6" s="1"/>
  <c r="CA40" i="6"/>
  <c r="CE40" i="6"/>
  <c r="CI40" i="6"/>
  <c r="DN40" i="6" a="1"/>
  <c r="DN40" i="6" s="1"/>
  <c r="DR40" i="6" a="1"/>
  <c r="DR40" i="6" s="1"/>
  <c r="BP40" i="6"/>
  <c r="BV40" i="6"/>
  <c r="BT40" i="6"/>
  <c r="BZ40" i="6"/>
  <c r="DF40" i="6" a="1"/>
  <c r="DF40" i="6" s="1"/>
  <c r="DJ40" i="6" a="1"/>
  <c r="DJ40" i="6" s="1"/>
  <c r="CM40" i="6"/>
  <c r="CQ40" i="6"/>
  <c r="BQ40" i="6"/>
  <c r="BX40" i="6"/>
  <c r="CB40" i="6"/>
  <c r="BS40" i="6"/>
  <c r="DG40" i="6" a="1"/>
  <c r="DG40" i="6" s="1"/>
  <c r="DK40" i="6" a="1"/>
  <c r="DK40" i="6" s="1"/>
  <c r="DO40" i="6" a="1"/>
  <c r="DO40" i="6" s="1"/>
  <c r="DS40" i="6" a="1"/>
  <c r="DS40" i="6" s="1"/>
  <c r="BW40" i="6"/>
  <c r="BU40" i="6"/>
  <c r="CV40" i="6" a="1"/>
  <c r="CV40" i="6" s="1"/>
  <c r="CF40" i="6"/>
  <c r="CJ40" i="6"/>
  <c r="CN40" i="6"/>
  <c r="CR40" i="6"/>
  <c r="BU44" i="6"/>
  <c r="DD44" i="6" a="1"/>
  <c r="DD44" i="6" s="1"/>
  <c r="CT44" i="6" a="1"/>
  <c r="CT44" i="6" s="1"/>
  <c r="DG44" i="6" a="1"/>
  <c r="DG44" i="6" s="1"/>
  <c r="DK44" i="6" a="1"/>
  <c r="DK44" i="6" s="1"/>
  <c r="CN44" i="6"/>
  <c r="CR44" i="6"/>
  <c r="CC44" i="6"/>
  <c r="BV44" i="6"/>
  <c r="CB44" i="6"/>
  <c r="CF44" i="6"/>
  <c r="CJ44" i="6"/>
  <c r="DO44" i="6" a="1"/>
  <c r="DO44" i="6" s="1"/>
  <c r="DS44" i="6" a="1"/>
  <c r="DS44" i="6" s="1"/>
  <c r="BX44" i="6"/>
  <c r="BW44" i="6"/>
  <c r="CV44" i="6" a="1"/>
  <c r="CV44" i="6" s="1"/>
  <c r="DH44" i="6" a="1"/>
  <c r="DH44" i="6" s="1"/>
  <c r="DL44" i="6" a="1"/>
  <c r="DL44" i="6" s="1"/>
  <c r="CO44" i="6"/>
  <c r="BN44" i="6"/>
  <c r="CX44" i="6" a="1"/>
  <c r="CX44" i="6" s="1"/>
  <c r="BZ44" i="6"/>
  <c r="CA44" i="6"/>
  <c r="CG44" i="6"/>
  <c r="CK44" i="6"/>
  <c r="DP44" i="6" a="1"/>
  <c r="DP44" i="6" s="1"/>
  <c r="BO44" i="6"/>
  <c r="CU44" i="6" a="1"/>
  <c r="CU44" i="6" s="1"/>
  <c r="CZ44" i="6" a="1"/>
  <c r="CZ44" i="6" s="1"/>
  <c r="CD44" i="6"/>
  <c r="CH44" i="6"/>
  <c r="DM44" i="6" a="1"/>
  <c r="DM44" i="6" s="1"/>
  <c r="CP44" i="6"/>
  <c r="BQ44" i="6"/>
  <c r="DB44" i="6" a="1"/>
  <c r="DB44" i="6" s="1"/>
  <c r="BT44" i="6"/>
  <c r="DE44" i="6" a="1"/>
  <c r="DE44" i="6" s="1"/>
  <c r="DI44" i="6" a="1"/>
  <c r="DI44" i="6" s="1"/>
  <c r="CL44" i="6"/>
  <c r="DQ44" i="6" a="1"/>
  <c r="DQ44" i="6" s="1"/>
  <c r="BP44" i="6"/>
  <c r="DC44" i="6" a="1"/>
  <c r="DC44" i="6" s="1"/>
  <c r="DA44" i="6" a="1"/>
  <c r="DA44" i="6" s="1"/>
  <c r="BY44" i="6"/>
  <c r="CE44" i="6"/>
  <c r="DJ44" i="6" a="1"/>
  <c r="DJ44" i="6" s="1"/>
  <c r="CM44" i="6"/>
  <c r="DR44" i="6" a="1"/>
  <c r="DR44" i="6" s="1"/>
  <c r="BL44" i="6"/>
  <c r="CY44" i="6" a="1"/>
  <c r="CY44" i="6" s="1"/>
  <c r="BS44" i="6"/>
  <c r="CW44" i="6" a="1"/>
  <c r="CW44" i="6" s="1"/>
  <c r="DF44" i="6" a="1"/>
  <c r="DF44" i="6" s="1"/>
  <c r="CI44" i="6"/>
  <c r="DN44" i="6" a="1"/>
  <c r="DN44" i="6" s="1"/>
  <c r="CQ44" i="6"/>
  <c r="BM44" i="6"/>
  <c r="BT41" i="6"/>
  <c r="BS41" i="6"/>
  <c r="CT41" i="6" a="1"/>
  <c r="CT41" i="6" s="1"/>
  <c r="CF41" i="6"/>
  <c r="CJ41" i="6"/>
  <c r="CN41" i="6"/>
  <c r="CR41" i="6"/>
  <c r="CB41" i="6"/>
  <c r="DB41" i="6" a="1"/>
  <c r="DB41" i="6" s="1"/>
  <c r="DD41" i="6" a="1"/>
  <c r="DD41" i="6" s="1"/>
  <c r="DG41" i="6" a="1"/>
  <c r="DG41" i="6" s="1"/>
  <c r="DK41" i="6" a="1"/>
  <c r="DK41" i="6" s="1"/>
  <c r="DO41" i="6" a="1"/>
  <c r="DO41" i="6" s="1"/>
  <c r="DS41" i="6" a="1"/>
  <c r="DS41" i="6" s="1"/>
  <c r="CV41" i="6" a="1"/>
  <c r="CV41" i="6" s="1"/>
  <c r="CU41" i="6" a="1"/>
  <c r="CU41" i="6" s="1"/>
  <c r="BU41" i="6"/>
  <c r="CG41" i="6"/>
  <c r="CK41" i="6"/>
  <c r="CO41" i="6"/>
  <c r="BL41" i="6"/>
  <c r="BV41" i="6"/>
  <c r="CX41" i="6" a="1"/>
  <c r="CX41" i="6" s="1"/>
  <c r="CW41" i="6" a="1"/>
  <c r="CW41" i="6" s="1"/>
  <c r="DH41" i="6" a="1"/>
  <c r="DH41" i="6" s="1"/>
  <c r="DL41" i="6" a="1"/>
  <c r="DL41" i="6" s="1"/>
  <c r="DP41" i="6" a="1"/>
  <c r="DP41" i="6" s="1"/>
  <c r="BM41" i="6"/>
  <c r="CC41" i="6"/>
  <c r="BZ41" i="6"/>
  <c r="DE41" i="6" a="1"/>
  <c r="DE41" i="6" s="1"/>
  <c r="CH41" i="6"/>
  <c r="DM41" i="6" a="1"/>
  <c r="DM41" i="6" s="1"/>
  <c r="DQ41" i="6" a="1"/>
  <c r="DQ41" i="6" s="1"/>
  <c r="BN41" i="6"/>
  <c r="DA41" i="6" a="1"/>
  <c r="DA41" i="6" s="1"/>
  <c r="BX41" i="6"/>
  <c r="CD41" i="6"/>
  <c r="DI41" i="6" a="1"/>
  <c r="DI41" i="6" s="1"/>
  <c r="CL41" i="6"/>
  <c r="CP41" i="6"/>
  <c r="BO41" i="6"/>
  <c r="CZ41" i="6" a="1"/>
  <c r="CZ41" i="6" s="1"/>
  <c r="CA41" i="6"/>
  <c r="BY41" i="6"/>
  <c r="CE41" i="6"/>
  <c r="DJ41" i="6" a="1"/>
  <c r="DJ41" i="6" s="1"/>
  <c r="DN41" i="6" a="1"/>
  <c r="DN41" i="6" s="1"/>
  <c r="DR41" i="6" a="1"/>
  <c r="DR41" i="6" s="1"/>
  <c r="BP41" i="6"/>
  <c r="CM41" i="6"/>
  <c r="CQ41" i="6"/>
  <c r="BQ41" i="6"/>
  <c r="DC41" i="6" a="1"/>
  <c r="DC41" i="6" s="1"/>
  <c r="BW41" i="6"/>
  <c r="CY41" i="6" a="1"/>
  <c r="CY41" i="6" s="1"/>
  <c r="DF41" i="6" a="1"/>
  <c r="DF41" i="6" s="1"/>
  <c r="CI41" i="6"/>
  <c r="BY42" i="6"/>
  <c r="DC42" i="6" a="1"/>
  <c r="DC42" i="6" s="1"/>
  <c r="CW42" i="6" a="1"/>
  <c r="CW42" i="6" s="1"/>
  <c r="BU42" i="6"/>
  <c r="CE42" i="6"/>
  <c r="DJ42" i="6" a="1"/>
  <c r="DJ42" i="6" s="1"/>
  <c r="DN42" i="6" a="1"/>
  <c r="DN42" i="6" s="1"/>
  <c r="DR42" i="6" a="1"/>
  <c r="DR42" i="6" s="1"/>
  <c r="BM42" i="6"/>
  <c r="CX42" i="6" a="1"/>
  <c r="CX42" i="6" s="1"/>
  <c r="DB42" i="6" a="1"/>
  <c r="DB42" i="6" s="1"/>
  <c r="DA42" i="6" a="1"/>
  <c r="DA42" i="6" s="1"/>
  <c r="DG42" i="6" a="1"/>
  <c r="DG42" i="6" s="1"/>
  <c r="DK42" i="6" a="1"/>
  <c r="DK42" i="6" s="1"/>
  <c r="DO42" i="6" a="1"/>
  <c r="DO42" i="6" s="1"/>
  <c r="DS42" i="6" a="1"/>
  <c r="DS42" i="6" s="1"/>
  <c r="CZ42" i="6" a="1"/>
  <c r="CZ42" i="6" s="1"/>
  <c r="CV42" i="6" a="1"/>
  <c r="CV42" i="6" s="1"/>
  <c r="CU42" i="6" a="1"/>
  <c r="CU42" i="6" s="1"/>
  <c r="CF42" i="6"/>
  <c r="CJ42" i="6"/>
  <c r="CN42" i="6"/>
  <c r="CR42" i="6"/>
  <c r="BX42" i="6"/>
  <c r="BT42" i="6"/>
  <c r="BZ42" i="6"/>
  <c r="DH42" i="6" a="1"/>
  <c r="DH42" i="6" s="1"/>
  <c r="DL42" i="6" a="1"/>
  <c r="DL42" i="6" s="1"/>
  <c r="DP42" i="6" a="1"/>
  <c r="DP42" i="6" s="1"/>
  <c r="BN42" i="6"/>
  <c r="BS42" i="6"/>
  <c r="BV42" i="6"/>
  <c r="CC42" i="6"/>
  <c r="CG42" i="6"/>
  <c r="CK42" i="6"/>
  <c r="CO42" i="6"/>
  <c r="BO42" i="6"/>
  <c r="DD42" i="6" a="1"/>
  <c r="DD42" i="6" s="1"/>
  <c r="BW42" i="6"/>
  <c r="DE42" i="6" a="1"/>
  <c r="DE42" i="6" s="1"/>
  <c r="DI42" i="6" a="1"/>
  <c r="DI42" i="6" s="1"/>
  <c r="DM42" i="6" a="1"/>
  <c r="DM42" i="6" s="1"/>
  <c r="DQ42" i="6" a="1"/>
  <c r="DQ42" i="6" s="1"/>
  <c r="BP42" i="6"/>
  <c r="CB42" i="6"/>
  <c r="CT42" i="6" a="1"/>
  <c r="CT42" i="6" s="1"/>
  <c r="CD42" i="6"/>
  <c r="CH42" i="6"/>
  <c r="CL42" i="6"/>
  <c r="CP42" i="6"/>
  <c r="BQ42" i="6"/>
  <c r="CA42" i="6"/>
  <c r="CY42" i="6" a="1"/>
  <c r="CY42" i="6" s="1"/>
  <c r="DF42" i="6" a="1"/>
  <c r="DF42" i="6" s="1"/>
  <c r="CI42" i="6"/>
  <c r="CM42" i="6"/>
  <c r="CQ42" i="6"/>
  <c r="BL42" i="6"/>
  <c r="N143" i="6"/>
  <c r="A144" i="6"/>
  <c r="L144" i="12" a="1"/>
  <c r="L144" i="12" s="1"/>
  <c r="J144" i="12" a="1"/>
  <c r="J144" i="12" s="1"/>
  <c r="K143" i="12"/>
  <c r="A145" i="12"/>
  <c r="AE145" i="5" a="1"/>
  <c r="AE145" i="5" s="1"/>
  <c r="N145" i="5"/>
  <c r="D145" i="6" s="1"/>
  <c r="H145" i="6" s="1" a="1"/>
  <c r="H145" i="6" s="1"/>
  <c r="T145" i="5" s="1"/>
  <c r="G145" i="12" s="1" a="1"/>
  <c r="G145" i="12" s="1"/>
  <c r="B145" i="6"/>
  <c r="D145" i="5"/>
  <c r="B145" i="12" s="1"/>
  <c r="AD145" i="5"/>
  <c r="K145" i="5"/>
  <c r="F145" i="5"/>
  <c r="J145" i="5"/>
  <c r="C146" i="5"/>
  <c r="H145" i="5"/>
  <c r="E145" i="5"/>
  <c r="G145" i="5"/>
  <c r="B145" i="5"/>
  <c r="L152" i="6"/>
  <c r="M47" i="6" l="1"/>
  <c r="M48" i="6"/>
  <c r="CW46" i="6" a="1"/>
  <c r="CW46" i="6" s="1"/>
  <c r="BU46" i="6"/>
  <c r="BV46" i="6"/>
  <c r="DF46" i="6" a="1"/>
  <c r="DF46" i="6" s="1"/>
  <c r="DJ46" i="6" a="1"/>
  <c r="DJ46" i="6" s="1"/>
  <c r="CM46" i="6"/>
  <c r="DR46" i="6" a="1"/>
  <c r="DR46" i="6" s="1"/>
  <c r="BP46" i="6"/>
  <c r="CT46" i="6" a="1"/>
  <c r="CT46" i="6" s="1"/>
  <c r="BZ46" i="6"/>
  <c r="CY46" i="6" a="1"/>
  <c r="CY46" i="6" s="1"/>
  <c r="DG46" i="6" a="1"/>
  <c r="DG46" i="6" s="1"/>
  <c r="DK46" i="6" a="1"/>
  <c r="DK46" i="6" s="1"/>
  <c r="CN46" i="6"/>
  <c r="CR46" i="6"/>
  <c r="CC46" i="6"/>
  <c r="CX46" i="6" a="1"/>
  <c r="CX46" i="6" s="1"/>
  <c r="DE46" i="6" a="1"/>
  <c r="DE46" i="6" s="1"/>
  <c r="CF46" i="6"/>
  <c r="CJ46" i="6"/>
  <c r="DO46" i="6" a="1"/>
  <c r="DO46" i="6" s="1"/>
  <c r="DS46" i="6" a="1"/>
  <c r="DS46" i="6" s="1"/>
  <c r="CZ46" i="6" a="1"/>
  <c r="CZ46" i="6" s="1"/>
  <c r="DC46" i="6" a="1"/>
  <c r="DC46" i="6" s="1"/>
  <c r="CB46" i="6"/>
  <c r="CG46" i="6"/>
  <c r="CK46" i="6"/>
  <c r="DP46" i="6" a="1"/>
  <c r="DP46" i="6" s="1"/>
  <c r="BL46" i="6"/>
  <c r="CA46" i="6"/>
  <c r="BW46" i="6"/>
  <c r="BX46" i="6"/>
  <c r="DH46" i="6" a="1"/>
  <c r="DH46" i="6" s="1"/>
  <c r="DL46" i="6" a="1"/>
  <c r="DL46" i="6" s="1"/>
  <c r="CO46" i="6"/>
  <c r="BM46" i="6"/>
  <c r="DA46" i="6" a="1"/>
  <c r="DA46" i="6" s="1"/>
  <c r="CU46" i="6" a="1"/>
  <c r="CU46" i="6" s="1"/>
  <c r="BT46" i="6"/>
  <c r="DI46" i="6" a="1"/>
  <c r="DI46" i="6" s="1"/>
  <c r="CL46" i="6"/>
  <c r="DQ46" i="6" a="1"/>
  <c r="DQ46" i="6" s="1"/>
  <c r="BN46" i="6"/>
  <c r="DB46" i="6" a="1"/>
  <c r="DB46" i="6" s="1"/>
  <c r="BY46" i="6"/>
  <c r="CD46" i="6"/>
  <c r="CH46" i="6"/>
  <c r="DM46" i="6" a="1"/>
  <c r="DM46" i="6" s="1"/>
  <c r="CP46" i="6"/>
  <c r="DD46" i="6" a="1"/>
  <c r="DD46" i="6" s="1"/>
  <c r="BS46" i="6"/>
  <c r="CV46" i="6" a="1"/>
  <c r="CV46" i="6" s="1"/>
  <c r="CE46" i="6"/>
  <c r="CI46" i="6"/>
  <c r="DN46" i="6" a="1"/>
  <c r="DN46" i="6" s="1"/>
  <c r="CQ46" i="6"/>
  <c r="BQ46" i="6"/>
  <c r="BO46" i="6"/>
  <c r="A145" i="6"/>
  <c r="N145" i="6" s="1"/>
  <c r="N144" i="6"/>
  <c r="K146" i="5"/>
  <c r="N146" i="5"/>
  <c r="D146" i="6" s="1"/>
  <c r="H146" i="6" s="1" a="1"/>
  <c r="H146" i="6" s="1"/>
  <c r="T146" i="5" s="1"/>
  <c r="G146" i="12" s="1" a="1"/>
  <c r="G146" i="12" s="1"/>
  <c r="AD146" i="5"/>
  <c r="C147" i="5"/>
  <c r="H146" i="5"/>
  <c r="J146" i="5"/>
  <c r="G146" i="5"/>
  <c r="E146" i="5"/>
  <c r="B146" i="6"/>
  <c r="B146" i="5"/>
  <c r="A146" i="12"/>
  <c r="AE146" i="5" a="1"/>
  <c r="AE146" i="5" s="1"/>
  <c r="D146" i="5"/>
  <c r="B146" i="12" s="1"/>
  <c r="F146" i="5"/>
  <c r="L145" i="12" a="1"/>
  <c r="L145" i="12" s="1"/>
  <c r="J145" i="12" a="1"/>
  <c r="J145" i="12" s="1"/>
  <c r="K144" i="12"/>
  <c r="L153" i="6"/>
  <c r="CD48" i="6" l="1"/>
  <c r="DF48" i="6" a="1"/>
  <c r="DF48" i="6" s="1"/>
  <c r="BU48" i="6"/>
  <c r="DH48" i="6" a="1"/>
  <c r="DH48" i="6" s="1"/>
  <c r="CK48" i="6"/>
  <c r="DP48" i="6" a="1"/>
  <c r="DP48" i="6" s="1"/>
  <c r="BL48" i="6"/>
  <c r="CA48" i="6"/>
  <c r="CY48" i="6" a="1"/>
  <c r="CY48" i="6" s="1"/>
  <c r="CE48" i="6"/>
  <c r="CG48" i="6"/>
  <c r="DL48" i="6" a="1"/>
  <c r="DL48" i="6" s="1"/>
  <c r="CO48" i="6"/>
  <c r="BM48" i="6"/>
  <c r="CZ48" i="6" a="1"/>
  <c r="CZ48" i="6" s="1"/>
  <c r="DB48" i="6" a="1"/>
  <c r="DB48" i="6" s="1"/>
  <c r="CT48" i="6" a="1"/>
  <c r="CT48" i="6" s="1"/>
  <c r="CH48" i="6"/>
  <c r="CL48" i="6"/>
  <c r="CP48" i="6"/>
  <c r="BN48" i="6"/>
  <c r="CB48" i="6"/>
  <c r="DD48" i="6" a="1"/>
  <c r="DD48" i="6" s="1"/>
  <c r="BT48" i="6"/>
  <c r="DI48" i="6" a="1"/>
  <c r="DI48" i="6" s="1"/>
  <c r="DM48" i="6" a="1"/>
  <c r="DM48" i="6" s="1"/>
  <c r="DQ48" i="6" a="1"/>
  <c r="DQ48" i="6" s="1"/>
  <c r="BO48" i="6"/>
  <c r="DE48" i="6" a="1"/>
  <c r="DE48" i="6" s="1"/>
  <c r="BX48" i="6"/>
  <c r="DC48" i="6" a="1"/>
  <c r="DC48" i="6" s="1"/>
  <c r="BS48" i="6"/>
  <c r="CI48" i="6"/>
  <c r="DN48" i="6" a="1"/>
  <c r="DN48" i="6" s="1"/>
  <c r="DR48" i="6" a="1"/>
  <c r="DR48" i="6" s="1"/>
  <c r="BQ48" i="6"/>
  <c r="BW48" i="6"/>
  <c r="CX48" i="6" a="1"/>
  <c r="CX48" i="6" s="1"/>
  <c r="DA48" i="6" a="1"/>
  <c r="DA48" i="6" s="1"/>
  <c r="CU48" i="6" a="1"/>
  <c r="CU48" i="6" s="1"/>
  <c r="DJ48" i="6" a="1"/>
  <c r="DJ48" i="6" s="1"/>
  <c r="CM48" i="6"/>
  <c r="CQ48" i="6"/>
  <c r="BP48" i="6"/>
  <c r="CC48" i="6"/>
  <c r="CV48" i="6" a="1"/>
  <c r="CV48" i="6" s="1"/>
  <c r="BY48" i="6"/>
  <c r="DG48" i="6" a="1"/>
  <c r="DG48" i="6" s="1"/>
  <c r="CJ48" i="6"/>
  <c r="DO48" i="6" a="1"/>
  <c r="DO48" i="6" s="1"/>
  <c r="CR48" i="6"/>
  <c r="DK48" i="6" a="1"/>
  <c r="DK48" i="6" s="1"/>
  <c r="CN48" i="6"/>
  <c r="DS48" i="6" a="1"/>
  <c r="DS48" i="6" s="1"/>
  <c r="BZ48" i="6"/>
  <c r="BV48" i="6"/>
  <c r="CW48" i="6" a="1"/>
  <c r="CW48" i="6" s="1"/>
  <c r="CF48" i="6"/>
  <c r="M51" i="6"/>
  <c r="BS47" i="6"/>
  <c r="BX47" i="6"/>
  <c r="BT47" i="6"/>
  <c r="CH47" i="6"/>
  <c r="CL47" i="6"/>
  <c r="DQ47" i="6" a="1"/>
  <c r="DQ47" i="6" s="1"/>
  <c r="BO47" i="6"/>
  <c r="DE47" i="6" a="1"/>
  <c r="DE47" i="6" s="1"/>
  <c r="CW47" i="6" a="1"/>
  <c r="CW47" i="6" s="1"/>
  <c r="BU47" i="6"/>
  <c r="BZ47" i="6"/>
  <c r="DJ47" i="6" a="1"/>
  <c r="DJ47" i="6" s="1"/>
  <c r="DN47" i="6" a="1"/>
  <c r="DN47" i="6" s="1"/>
  <c r="DR47" i="6" a="1"/>
  <c r="DR47" i="6" s="1"/>
  <c r="BQ47" i="6"/>
  <c r="CD47" i="6"/>
  <c r="DD47" i="6" a="1"/>
  <c r="DD47" i="6" s="1"/>
  <c r="CY47" i="6" a="1"/>
  <c r="CY47" i="6" s="1"/>
  <c r="BV47" i="6"/>
  <c r="CI47" i="6"/>
  <c r="CM47" i="6"/>
  <c r="CQ47" i="6"/>
  <c r="BP47" i="6"/>
  <c r="CX47" i="6" a="1"/>
  <c r="CX47" i="6" s="1"/>
  <c r="DB47" i="6" a="1"/>
  <c r="DB47" i="6" s="1"/>
  <c r="DC47" i="6" a="1"/>
  <c r="DC47" i="6" s="1"/>
  <c r="CF47" i="6"/>
  <c r="DK47" i="6" a="1"/>
  <c r="DK47" i="6" s="1"/>
  <c r="DO47" i="6" a="1"/>
  <c r="DO47" i="6" s="1"/>
  <c r="DS47" i="6" a="1"/>
  <c r="DS47" i="6" s="1"/>
  <c r="BW47" i="6"/>
  <c r="DA47" i="6" a="1"/>
  <c r="DA47" i="6" s="1"/>
  <c r="CC47" i="6"/>
  <c r="DG47" i="6" a="1"/>
  <c r="DG47" i="6" s="1"/>
  <c r="CJ47" i="6"/>
  <c r="CN47" i="6"/>
  <c r="CR47" i="6"/>
  <c r="CB47" i="6"/>
  <c r="CV47" i="6" a="1"/>
  <c r="CV47" i="6" s="1"/>
  <c r="CZ47" i="6" a="1"/>
  <c r="CZ47" i="6" s="1"/>
  <c r="DH47" i="6" a="1"/>
  <c r="DH47" i="6" s="1"/>
  <c r="DL47" i="6" a="1"/>
  <c r="DL47" i="6" s="1"/>
  <c r="CO47" i="6"/>
  <c r="BL47" i="6"/>
  <c r="BY47" i="6"/>
  <c r="CT47" i="6" a="1"/>
  <c r="CT47" i="6" s="1"/>
  <c r="CA47" i="6"/>
  <c r="DI47" i="6" a="1"/>
  <c r="DI47" i="6" s="1"/>
  <c r="DM47" i="6" a="1"/>
  <c r="DM47" i="6" s="1"/>
  <c r="CP47" i="6"/>
  <c r="BN47" i="6"/>
  <c r="CG47" i="6"/>
  <c r="CK47" i="6"/>
  <c r="DP47" i="6" a="1"/>
  <c r="DP47" i="6" s="1"/>
  <c r="BM47" i="6"/>
  <c r="CU47" i="6" a="1"/>
  <c r="CU47" i="6" s="1"/>
  <c r="CE47" i="6"/>
  <c r="DF47" i="6" a="1"/>
  <c r="DF47" i="6" s="1"/>
  <c r="K145" i="12"/>
  <c r="E147" i="5"/>
  <c r="AD147" i="5"/>
  <c r="G147" i="5"/>
  <c r="C148" i="5"/>
  <c r="B147" i="5"/>
  <c r="AE147" i="5" a="1"/>
  <c r="AE147" i="5" s="1"/>
  <c r="K147" i="5"/>
  <c r="F147" i="5"/>
  <c r="H147" i="5"/>
  <c r="A147" i="12"/>
  <c r="D147" i="5"/>
  <c r="B147" i="12" s="1"/>
  <c r="B147" i="6"/>
  <c r="N147" i="5"/>
  <c r="D147" i="6" s="1"/>
  <c r="H147" i="6" s="1" a="1"/>
  <c r="H147" i="6" s="1"/>
  <c r="T147" i="5" s="1"/>
  <c r="G147" i="12" s="1" a="1"/>
  <c r="G147" i="12" s="1"/>
  <c r="J147" i="5"/>
  <c r="L146" i="12" a="1"/>
  <c r="L146" i="12" s="1"/>
  <c r="J146" i="12" a="1"/>
  <c r="J146" i="12" s="1"/>
  <c r="A146" i="6"/>
  <c r="L154" i="6"/>
  <c r="BT51" i="6" l="1"/>
  <c r="CV51" i="6" a="1"/>
  <c r="CV51" i="6" s="1"/>
  <c r="CA51" i="6"/>
  <c r="DH51" i="6" a="1"/>
  <c r="DH51" i="6" s="1"/>
  <c r="DL51" i="6" a="1"/>
  <c r="DL51" i="6" s="1"/>
  <c r="CO51" i="6"/>
  <c r="BM51" i="6"/>
  <c r="DB51" i="6" a="1"/>
  <c r="DB51" i="6" s="1"/>
  <c r="CU51" i="6" a="1"/>
  <c r="CU51" i="6" s="1"/>
  <c r="CY51" i="6" a="1"/>
  <c r="CY51" i="6" s="1"/>
  <c r="CH51" i="6"/>
  <c r="CL51" i="6"/>
  <c r="CP51" i="6"/>
  <c r="BN51" i="6"/>
  <c r="BV51" i="6"/>
  <c r="CZ51" i="6" a="1"/>
  <c r="CZ51" i="6" s="1"/>
  <c r="CD51" i="6"/>
  <c r="DI51" i="6" a="1"/>
  <c r="DI51" i="6" s="1"/>
  <c r="DM51" i="6" a="1"/>
  <c r="DM51" i="6" s="1"/>
  <c r="DQ51" i="6" a="1"/>
  <c r="DQ51" i="6" s="1"/>
  <c r="BO51" i="6"/>
  <c r="DF51" i="6" a="1"/>
  <c r="DF51" i="6" s="1"/>
  <c r="CF51" i="6"/>
  <c r="BZ51" i="6"/>
  <c r="CT51" i="6" a="1"/>
  <c r="CT51" i="6" s="1"/>
  <c r="CI51" i="6"/>
  <c r="DN51" i="6" a="1"/>
  <c r="DN51" i="6" s="1"/>
  <c r="CQ51" i="6"/>
  <c r="BQ51" i="6"/>
  <c r="CX51" i="6" a="1"/>
  <c r="CX51" i="6" s="1"/>
  <c r="DD51" i="6" a="1"/>
  <c r="DD51" i="6" s="1"/>
  <c r="BS51" i="6"/>
  <c r="DE51" i="6" a="1"/>
  <c r="DE51" i="6" s="1"/>
  <c r="DJ51" i="6" a="1"/>
  <c r="DJ51" i="6" s="1"/>
  <c r="CM51" i="6"/>
  <c r="DR51" i="6" a="1"/>
  <c r="DR51" i="6" s="1"/>
  <c r="BP51" i="6"/>
  <c r="BW51" i="6"/>
  <c r="CW51" i="6" a="1"/>
  <c r="CW51" i="6" s="1"/>
  <c r="BU51" i="6"/>
  <c r="DA51" i="6" a="1"/>
  <c r="DA51" i="6" s="1"/>
  <c r="CJ51" i="6"/>
  <c r="CN51" i="6"/>
  <c r="CR51" i="6"/>
  <c r="DG51" i="6" a="1"/>
  <c r="DG51" i="6" s="1"/>
  <c r="CC51" i="6"/>
  <c r="BX51" i="6"/>
  <c r="BY51" i="6"/>
  <c r="DK51" i="6" a="1"/>
  <c r="DK51" i="6" s="1"/>
  <c r="DO51" i="6" a="1"/>
  <c r="DO51" i="6" s="1"/>
  <c r="DS51" i="6" a="1"/>
  <c r="DS51" i="6" s="1"/>
  <c r="CE51" i="6"/>
  <c r="CB51" i="6"/>
  <c r="DC51" i="6" a="1"/>
  <c r="DC51" i="6" s="1"/>
  <c r="CG51" i="6"/>
  <c r="CK51" i="6"/>
  <c r="DP51" i="6" a="1"/>
  <c r="DP51" i="6" s="1"/>
  <c r="BL51" i="6"/>
  <c r="M56" i="6"/>
  <c r="M53" i="6"/>
  <c r="M55" i="6"/>
  <c r="M60" i="6"/>
  <c r="M58" i="6"/>
  <c r="M52" i="6"/>
  <c r="M54" i="6"/>
  <c r="M57" i="6"/>
  <c r="M59" i="6"/>
  <c r="K146" i="12"/>
  <c r="A147" i="6"/>
  <c r="C149" i="5"/>
  <c r="E148" i="5"/>
  <c r="N148" i="5"/>
  <c r="D148" i="6" s="1"/>
  <c r="H148" i="6" s="1" a="1"/>
  <c r="H148" i="6" s="1"/>
  <c r="T148" i="5" s="1"/>
  <c r="G148" i="12" s="1" a="1"/>
  <c r="G148" i="12" s="1"/>
  <c r="H148" i="5"/>
  <c r="G148" i="5"/>
  <c r="D148" i="5"/>
  <c r="B148" i="12" s="1"/>
  <c r="B148" i="6"/>
  <c r="AE148" i="5" a="1"/>
  <c r="AE148" i="5" s="1"/>
  <c r="K148" i="5"/>
  <c r="B148" i="5"/>
  <c r="A148" i="12"/>
  <c r="F148" i="5"/>
  <c r="J148" i="5"/>
  <c r="AD148" i="5"/>
  <c r="N146" i="6"/>
  <c r="L147" i="12" a="1"/>
  <c r="L147" i="12" s="1"/>
  <c r="J147" i="12" a="1"/>
  <c r="J147" i="12" s="1"/>
  <c r="L155" i="6"/>
  <c r="DA52" i="6" l="1" a="1"/>
  <c r="DA52" i="6" s="1"/>
  <c r="DB52" i="6" a="1"/>
  <c r="DB52" i="6" s="1"/>
  <c r="DC52" i="6" a="1"/>
  <c r="DC52" i="6" s="1"/>
  <c r="CH52" i="6"/>
  <c r="CL52" i="6"/>
  <c r="CP52" i="6"/>
  <c r="BP52" i="6"/>
  <c r="CX52" i="6" a="1"/>
  <c r="CX52" i="6" s="1"/>
  <c r="BU52" i="6"/>
  <c r="CU52" i="6" a="1"/>
  <c r="CU52" i="6" s="1"/>
  <c r="DI52" i="6" a="1"/>
  <c r="DI52" i="6" s="1"/>
  <c r="DM52" i="6" a="1"/>
  <c r="DM52" i="6" s="1"/>
  <c r="DQ52" i="6" a="1"/>
  <c r="DQ52" i="6" s="1"/>
  <c r="BQ52" i="6"/>
  <c r="DG52" i="6" a="1"/>
  <c r="DG52" i="6" s="1"/>
  <c r="CG52" i="6"/>
  <c r="BT52" i="6"/>
  <c r="BX52" i="6"/>
  <c r="CI52" i="6"/>
  <c r="DN52" i="6" a="1"/>
  <c r="DN52" i="6" s="1"/>
  <c r="CQ52" i="6"/>
  <c r="BM52" i="6"/>
  <c r="BS52" i="6"/>
  <c r="DH52" i="6" a="1"/>
  <c r="DH52" i="6" s="1"/>
  <c r="CV52" i="6" a="1"/>
  <c r="CV52" i="6" s="1"/>
  <c r="BZ52" i="6"/>
  <c r="DJ52" i="6" a="1"/>
  <c r="DJ52" i="6" s="1"/>
  <c r="CM52" i="6"/>
  <c r="DR52" i="6" a="1"/>
  <c r="DR52" i="6" s="1"/>
  <c r="BL52" i="6"/>
  <c r="CB52" i="6"/>
  <c r="DE52" i="6" a="1"/>
  <c r="DE52" i="6" s="1"/>
  <c r="BY52" i="6"/>
  <c r="CZ52" i="6" a="1"/>
  <c r="CZ52" i="6" s="1"/>
  <c r="CJ52" i="6"/>
  <c r="CN52" i="6"/>
  <c r="CR52" i="6"/>
  <c r="CA52" i="6"/>
  <c r="BW52" i="6"/>
  <c r="CW52" i="6" a="1"/>
  <c r="CW52" i="6" s="1"/>
  <c r="CT52" i="6" a="1"/>
  <c r="CT52" i="6" s="1"/>
  <c r="DK52" i="6" a="1"/>
  <c r="DK52" i="6" s="1"/>
  <c r="DO52" i="6" a="1"/>
  <c r="DO52" i="6" s="1"/>
  <c r="DS52" i="6" a="1"/>
  <c r="DS52" i="6" s="1"/>
  <c r="CD52" i="6"/>
  <c r="CC52" i="6"/>
  <c r="CF52" i="6"/>
  <c r="DD52" i="6" a="1"/>
  <c r="DD52" i="6" s="1"/>
  <c r="CK52" i="6"/>
  <c r="DP52" i="6" a="1"/>
  <c r="DP52" i="6" s="1"/>
  <c r="BN52" i="6"/>
  <c r="DF52" i="6" a="1"/>
  <c r="DF52" i="6" s="1"/>
  <c r="BV52" i="6"/>
  <c r="CY52" i="6" a="1"/>
  <c r="CY52" i="6" s="1"/>
  <c r="CE52" i="6"/>
  <c r="DL52" i="6" a="1"/>
  <c r="DL52" i="6" s="1"/>
  <c r="CO52" i="6"/>
  <c r="BO52" i="6"/>
  <c r="DB58" i="6" a="1"/>
  <c r="DB58" i="6" s="1"/>
  <c r="CW58" i="6" a="1"/>
  <c r="CW58" i="6" s="1"/>
  <c r="DC58" i="6" a="1"/>
  <c r="DC58" i="6" s="1"/>
  <c r="CX58" i="6" a="1"/>
  <c r="CX58" i="6" s="1"/>
  <c r="CJ58" i="6"/>
  <c r="CN58" i="6"/>
  <c r="CR58" i="6"/>
  <c r="CE58" i="6"/>
  <c r="DG58" i="6" a="1"/>
  <c r="DG58" i="6" s="1"/>
  <c r="DD58" i="6" a="1"/>
  <c r="DD58" i="6" s="1"/>
  <c r="CT58" i="6" a="1"/>
  <c r="CT58" i="6" s="1"/>
  <c r="DK58" i="6" a="1"/>
  <c r="DK58" i="6" s="1"/>
  <c r="DO58" i="6" a="1"/>
  <c r="DO58" i="6" s="1"/>
  <c r="DS58" i="6" a="1"/>
  <c r="DS58" i="6" s="1"/>
  <c r="CU58" i="6" a="1"/>
  <c r="CU58" i="6" s="1"/>
  <c r="BS58" i="6"/>
  <c r="CZ58" i="6" a="1"/>
  <c r="CZ58" i="6" s="1"/>
  <c r="CG58" i="6"/>
  <c r="CK58" i="6"/>
  <c r="CO58" i="6"/>
  <c r="BQ58" i="6"/>
  <c r="CA58" i="6"/>
  <c r="BY58" i="6"/>
  <c r="BU58" i="6"/>
  <c r="DH58" i="6" a="1"/>
  <c r="DH58" i="6" s="1"/>
  <c r="DL58" i="6" a="1"/>
  <c r="DL58" i="6" s="1"/>
  <c r="DP58" i="6" a="1"/>
  <c r="DP58" i="6" s="1"/>
  <c r="BP58" i="6"/>
  <c r="DE58" i="6" a="1"/>
  <c r="DE58" i="6" s="1"/>
  <c r="DF58" i="6" a="1"/>
  <c r="DF58" i="6" s="1"/>
  <c r="BW58" i="6"/>
  <c r="DI58" i="6" a="1"/>
  <c r="DI58" i="6" s="1"/>
  <c r="CL58" i="6"/>
  <c r="CP58" i="6"/>
  <c r="BO58" i="6"/>
  <c r="DA58" i="6" a="1"/>
  <c r="DA58" i="6" s="1"/>
  <c r="CB58" i="6"/>
  <c r="CY58" i="6" a="1"/>
  <c r="CY58" i="6" s="1"/>
  <c r="CH58" i="6"/>
  <c r="DM58" i="6" a="1"/>
  <c r="DM58" i="6" s="1"/>
  <c r="DQ58" i="6" a="1"/>
  <c r="DQ58" i="6" s="1"/>
  <c r="BL58" i="6"/>
  <c r="CF58" i="6"/>
  <c r="CD58" i="6"/>
  <c r="BX58" i="6"/>
  <c r="BZ58" i="6"/>
  <c r="DJ58" i="6" a="1"/>
  <c r="DJ58" i="6" s="1"/>
  <c r="DN58" i="6" a="1"/>
  <c r="DN58" i="6" s="1"/>
  <c r="DR58" i="6" a="1"/>
  <c r="DR58" i="6" s="1"/>
  <c r="BM58" i="6"/>
  <c r="BV58" i="6"/>
  <c r="CV58" i="6" a="1"/>
  <c r="CV58" i="6" s="1"/>
  <c r="BT58" i="6"/>
  <c r="CC58" i="6"/>
  <c r="CI58" i="6"/>
  <c r="CM58" i="6"/>
  <c r="CQ58" i="6"/>
  <c r="BN58" i="6"/>
  <c r="CA60" i="6"/>
  <c r="CV60" i="6" a="1"/>
  <c r="CV60" i="6" s="1"/>
  <c r="BS60" i="6"/>
  <c r="BW60" i="6"/>
  <c r="CK60" i="6"/>
  <c r="CO60" i="6"/>
  <c r="BO60" i="6"/>
  <c r="CB60" i="6"/>
  <c r="CG60" i="6"/>
  <c r="CC60" i="6"/>
  <c r="DA60" i="6" a="1"/>
  <c r="DA60" i="6" s="1"/>
  <c r="CL60" i="6"/>
  <c r="CP60" i="6"/>
  <c r="BM60" i="6"/>
  <c r="DJ60" i="6" a="1"/>
  <c r="DJ60" i="6" s="1"/>
  <c r="BT60" i="6"/>
  <c r="DE60" i="6" a="1"/>
  <c r="DE60" i="6" s="1"/>
  <c r="CU60" i="6" a="1"/>
  <c r="CU60" i="6" s="1"/>
  <c r="DM60" i="6" a="1"/>
  <c r="DM60" i="6" s="1"/>
  <c r="DQ60" i="6" a="1"/>
  <c r="DQ60" i="6" s="1"/>
  <c r="BN60" i="6"/>
  <c r="CH60" i="6"/>
  <c r="DD60" i="6" a="1"/>
  <c r="DD60" i="6" s="1"/>
  <c r="DH60" i="6" a="1"/>
  <c r="DH60" i="6" s="1"/>
  <c r="CY60" i="6" a="1"/>
  <c r="CY60" i="6" s="1"/>
  <c r="CZ60" i="6" a="1"/>
  <c r="CZ60" i="6" s="1"/>
  <c r="DN60" i="6" a="1"/>
  <c r="DN60" i="6" s="1"/>
  <c r="CQ60" i="6"/>
  <c r="BQ60" i="6"/>
  <c r="BY60" i="6"/>
  <c r="DC60" i="6" a="1"/>
  <c r="DC60" i="6" s="1"/>
  <c r="BZ60" i="6"/>
  <c r="BU60" i="6"/>
  <c r="DI60" i="6" a="1"/>
  <c r="DI60" i="6" s="1"/>
  <c r="CM60" i="6"/>
  <c r="DR60" i="6" a="1"/>
  <c r="DR60" i="6" s="1"/>
  <c r="BP60" i="6"/>
  <c r="CD60" i="6"/>
  <c r="CT60" i="6" a="1"/>
  <c r="CT60" i="6" s="1"/>
  <c r="DG60" i="6" a="1"/>
  <c r="DG60" i="6" s="1"/>
  <c r="BV60" i="6"/>
  <c r="CJ60" i="6"/>
  <c r="DO60" i="6" a="1"/>
  <c r="DO60" i="6" s="1"/>
  <c r="CR60" i="6"/>
  <c r="BX60" i="6"/>
  <c r="CX60" i="6" a="1"/>
  <c r="CX60" i="6" s="1"/>
  <c r="DF60" i="6" a="1"/>
  <c r="DF60" i="6" s="1"/>
  <c r="DB60" i="6" a="1"/>
  <c r="DB60" i="6" s="1"/>
  <c r="DK60" i="6" a="1"/>
  <c r="DK60" i="6" s="1"/>
  <c r="CN60" i="6"/>
  <c r="DS60" i="6" a="1"/>
  <c r="DS60" i="6" s="1"/>
  <c r="CI60" i="6"/>
  <c r="CE60" i="6"/>
  <c r="CW60" i="6" a="1"/>
  <c r="CW60" i="6" s="1"/>
  <c r="CF60" i="6"/>
  <c r="DL60" i="6" a="1"/>
  <c r="DL60" i="6" s="1"/>
  <c r="DP60" i="6" a="1"/>
  <c r="DP60" i="6" s="1"/>
  <c r="BL60" i="6"/>
  <c r="M63" i="6"/>
  <c r="CF55" i="6"/>
  <c r="DE55" i="6" a="1"/>
  <c r="DE55" i="6" s="1"/>
  <c r="DD55" i="6" a="1"/>
  <c r="DD55" i="6" s="1"/>
  <c r="DI55" i="6" a="1"/>
  <c r="DI55" i="6" s="1"/>
  <c r="CL55" i="6"/>
  <c r="DQ55" i="6" a="1"/>
  <c r="DQ55" i="6" s="1"/>
  <c r="BM55" i="6"/>
  <c r="DG55" i="6" a="1"/>
  <c r="DG55" i="6" s="1"/>
  <c r="CZ55" i="6" a="1"/>
  <c r="CZ55" i="6" s="1"/>
  <c r="BX55" i="6"/>
  <c r="CV55" i="6" a="1"/>
  <c r="CV55" i="6" s="1"/>
  <c r="DJ55" i="6" a="1"/>
  <c r="DJ55" i="6" s="1"/>
  <c r="CM55" i="6"/>
  <c r="DR55" i="6" a="1"/>
  <c r="DR55" i="6" s="1"/>
  <c r="BN55" i="6"/>
  <c r="CC55" i="6"/>
  <c r="CT55" i="6" a="1"/>
  <c r="CT55" i="6" s="1"/>
  <c r="BT55" i="6"/>
  <c r="DB55" i="6" a="1"/>
  <c r="DB55" i="6" s="1"/>
  <c r="CI55" i="6"/>
  <c r="DN55" i="6" a="1"/>
  <c r="DN55" i="6" s="1"/>
  <c r="CQ55" i="6"/>
  <c r="BO55" i="6"/>
  <c r="CU55" i="6" a="1"/>
  <c r="CU55" i="6" s="1"/>
  <c r="BU55" i="6"/>
  <c r="BV55" i="6"/>
  <c r="CX55" i="6" a="1"/>
  <c r="CX55" i="6" s="1"/>
  <c r="CJ55" i="6"/>
  <c r="DO55" i="6" a="1"/>
  <c r="DO55" i="6" s="1"/>
  <c r="DS55" i="6" a="1"/>
  <c r="DS55" i="6" s="1"/>
  <c r="BZ55" i="6"/>
  <c r="CG55" i="6"/>
  <c r="DH55" i="6" a="1"/>
  <c r="DH55" i="6" s="1"/>
  <c r="DC55" i="6" a="1"/>
  <c r="DC55" i="6" s="1"/>
  <c r="DK55" i="6" a="1"/>
  <c r="DK55" i="6" s="1"/>
  <c r="CN55" i="6"/>
  <c r="CR55" i="6"/>
  <c r="BS55" i="6"/>
  <c r="CE55" i="6"/>
  <c r="CD55" i="6"/>
  <c r="CA55" i="6"/>
  <c r="CK55" i="6"/>
  <c r="DP55" i="6" a="1"/>
  <c r="DP55" i="6" s="1"/>
  <c r="BP55" i="6"/>
  <c r="DF55" i="6" a="1"/>
  <c r="DF55" i="6" s="1"/>
  <c r="CW55" i="6" a="1"/>
  <c r="CW55" i="6" s="1"/>
  <c r="DA55" i="6" a="1"/>
  <c r="DA55" i="6" s="1"/>
  <c r="BY55" i="6"/>
  <c r="DL55" i="6" a="1"/>
  <c r="DL55" i="6" s="1"/>
  <c r="CO55" i="6"/>
  <c r="BQ55" i="6"/>
  <c r="BW55" i="6"/>
  <c r="CB55" i="6"/>
  <c r="CY55" i="6" a="1"/>
  <c r="CY55" i="6" s="1"/>
  <c r="CH55" i="6"/>
  <c r="DM55" i="6" a="1"/>
  <c r="DM55" i="6" s="1"/>
  <c r="CP55" i="6"/>
  <c r="BL55" i="6"/>
  <c r="DE53" i="6" a="1"/>
  <c r="DE53" i="6" s="1"/>
  <c r="DH53" i="6" a="1"/>
  <c r="DH53" i="6" s="1"/>
  <c r="CZ53" i="6" a="1"/>
  <c r="CZ53" i="6" s="1"/>
  <c r="BW53" i="6"/>
  <c r="DL53" i="6" a="1"/>
  <c r="DL53" i="6" s="1"/>
  <c r="DP53" i="6" a="1"/>
  <c r="DP53" i="6" s="1"/>
  <c r="BN53" i="6"/>
  <c r="CA53" i="6"/>
  <c r="BT53" i="6"/>
  <c r="BU53" i="6"/>
  <c r="CE53" i="6"/>
  <c r="CK53" i="6"/>
  <c r="CO53" i="6"/>
  <c r="BO53" i="6"/>
  <c r="CX53" i="6" a="1"/>
  <c r="CX53" i="6" s="1"/>
  <c r="DD53" i="6" a="1"/>
  <c r="DD53" i="6" s="1"/>
  <c r="CD53" i="6"/>
  <c r="CH53" i="6"/>
  <c r="CL53" i="6"/>
  <c r="CP53" i="6"/>
  <c r="BP53" i="6"/>
  <c r="DB53" i="6" a="1"/>
  <c r="DB53" i="6" s="1"/>
  <c r="CU53" i="6" a="1"/>
  <c r="CU53" i="6" s="1"/>
  <c r="BY53" i="6"/>
  <c r="DI53" i="6" a="1"/>
  <c r="DI53" i="6" s="1"/>
  <c r="DM53" i="6" a="1"/>
  <c r="DM53" i="6" s="1"/>
  <c r="DQ53" i="6" a="1"/>
  <c r="DQ53" i="6" s="1"/>
  <c r="BQ53" i="6"/>
  <c r="DG53" i="6" a="1"/>
  <c r="DG53" i="6" s="1"/>
  <c r="CW53" i="6" a="1"/>
  <c r="CW53" i="6" s="1"/>
  <c r="DC53" i="6" a="1"/>
  <c r="DC53" i="6" s="1"/>
  <c r="BZ53" i="6"/>
  <c r="CI53" i="6"/>
  <c r="DN53" i="6" a="1"/>
  <c r="DN53" i="6" s="1"/>
  <c r="DR53" i="6" a="1"/>
  <c r="DR53" i="6" s="1"/>
  <c r="BL53" i="6"/>
  <c r="CF53" i="6"/>
  <c r="BX53" i="6"/>
  <c r="CT53" i="6" a="1"/>
  <c r="CT53" i="6" s="1"/>
  <c r="BV53" i="6"/>
  <c r="DJ53" i="6" a="1"/>
  <c r="DJ53" i="6" s="1"/>
  <c r="CM53" i="6"/>
  <c r="CQ53" i="6"/>
  <c r="BM53" i="6"/>
  <c r="BS53" i="6"/>
  <c r="CY53" i="6" a="1"/>
  <c r="CY53" i="6" s="1"/>
  <c r="DA53" i="6" a="1"/>
  <c r="DA53" i="6" s="1"/>
  <c r="CV53" i="6" a="1"/>
  <c r="CV53" i="6" s="1"/>
  <c r="CJ53" i="6"/>
  <c r="DO53" i="6" a="1"/>
  <c r="DO53" i="6" s="1"/>
  <c r="CR53" i="6"/>
  <c r="CC53" i="6"/>
  <c r="CG53" i="6"/>
  <c r="DF53" i="6" a="1"/>
  <c r="DF53" i="6" s="1"/>
  <c r="CB53" i="6"/>
  <c r="DK53" i="6" a="1"/>
  <c r="DK53" i="6" s="1"/>
  <c r="CN53" i="6"/>
  <c r="DS53" i="6" a="1"/>
  <c r="DS53" i="6" s="1"/>
  <c r="CV59" i="6" a="1"/>
  <c r="CV59" i="6" s="1"/>
  <c r="DE59" i="6" a="1"/>
  <c r="DE59" i="6" s="1"/>
  <c r="CB59" i="6"/>
  <c r="DG59" i="6" a="1"/>
  <c r="DG59" i="6" s="1"/>
  <c r="CL59" i="6"/>
  <c r="DQ59" i="6" a="1"/>
  <c r="DQ59" i="6" s="1"/>
  <c r="BN59" i="6"/>
  <c r="CD59" i="6"/>
  <c r="CF59" i="6"/>
  <c r="CX59" i="6" a="1"/>
  <c r="CX59" i="6" s="1"/>
  <c r="DF59" i="6" a="1"/>
  <c r="DF59" i="6" s="1"/>
  <c r="DM59" i="6" a="1"/>
  <c r="DM59" i="6" s="1"/>
  <c r="CP59" i="6"/>
  <c r="BO59" i="6"/>
  <c r="CG59" i="6"/>
  <c r="CT59" i="6" a="1"/>
  <c r="CT59" i="6" s="1"/>
  <c r="CC59" i="6"/>
  <c r="BU59" i="6"/>
  <c r="DJ59" i="6" a="1"/>
  <c r="DJ59" i="6" s="1"/>
  <c r="DN59" i="6" a="1"/>
  <c r="DN59" i="6" s="1"/>
  <c r="CQ59" i="6"/>
  <c r="BP59" i="6"/>
  <c r="CU59" i="6" a="1"/>
  <c r="CU59" i="6" s="1"/>
  <c r="DI59" i="6" a="1"/>
  <c r="DI59" i="6" s="1"/>
  <c r="BT59" i="6"/>
  <c r="CE59" i="6"/>
  <c r="CI59" i="6"/>
  <c r="CM59" i="6"/>
  <c r="DR59" i="6" a="1"/>
  <c r="DR59" i="6" s="1"/>
  <c r="BQ59" i="6"/>
  <c r="DA59" i="6" a="1"/>
  <c r="DA59" i="6" s="1"/>
  <c r="BS59" i="6"/>
  <c r="BW59" i="6"/>
  <c r="CA59" i="6"/>
  <c r="CJ59" i="6"/>
  <c r="CN59" i="6"/>
  <c r="CR59" i="6"/>
  <c r="BZ59" i="6"/>
  <c r="CZ59" i="6" a="1"/>
  <c r="CZ59" i="6" s="1"/>
  <c r="DC59" i="6" a="1"/>
  <c r="DC59" i="6" s="1"/>
  <c r="BY59" i="6"/>
  <c r="DK59" i="6" a="1"/>
  <c r="DK59" i="6" s="1"/>
  <c r="DO59" i="6" a="1"/>
  <c r="DO59" i="6" s="1"/>
  <c r="DS59" i="6" a="1"/>
  <c r="DS59" i="6" s="1"/>
  <c r="CH59" i="6"/>
  <c r="CY59" i="6" a="1"/>
  <c r="CY59" i="6" s="1"/>
  <c r="DD59" i="6" a="1"/>
  <c r="DD59" i="6" s="1"/>
  <c r="BX59" i="6"/>
  <c r="CK59" i="6"/>
  <c r="DP59" i="6" a="1"/>
  <c r="DP59" i="6" s="1"/>
  <c r="BL59" i="6"/>
  <c r="DH59" i="6" a="1"/>
  <c r="DH59" i="6" s="1"/>
  <c r="BV59" i="6"/>
  <c r="DB59" i="6" a="1"/>
  <c r="DB59" i="6" s="1"/>
  <c r="CW59" i="6" a="1"/>
  <c r="CW59" i="6" s="1"/>
  <c r="DL59" i="6" a="1"/>
  <c r="DL59" i="6" s="1"/>
  <c r="CO59" i="6"/>
  <c r="BM59" i="6"/>
  <c r="DG56" i="6" a="1"/>
  <c r="DG56" i="6" s="1"/>
  <c r="CX56" i="6" a="1"/>
  <c r="CX56" i="6" s="1"/>
  <c r="CA56" i="6"/>
  <c r="DC56" i="6" a="1"/>
  <c r="DC56" i="6" s="1"/>
  <c r="DJ56" i="6" a="1"/>
  <c r="DJ56" i="6" s="1"/>
  <c r="CM56" i="6"/>
  <c r="CQ56" i="6"/>
  <c r="BQ56" i="6"/>
  <c r="BS56" i="6"/>
  <c r="DD56" i="6" a="1"/>
  <c r="DD56" i="6" s="1"/>
  <c r="CV56" i="6" a="1"/>
  <c r="CV56" i="6" s="1"/>
  <c r="CE56" i="6"/>
  <c r="CI56" i="6"/>
  <c r="DN56" i="6" a="1"/>
  <c r="DN56" i="6" s="1"/>
  <c r="DR56" i="6" a="1"/>
  <c r="DR56" i="6" s="1"/>
  <c r="BP56" i="6"/>
  <c r="CT56" i="6" a="1"/>
  <c r="CT56" i="6" s="1"/>
  <c r="CU56" i="6" a="1"/>
  <c r="CU56" i="6" s="1"/>
  <c r="BT56" i="6"/>
  <c r="DE56" i="6" a="1"/>
  <c r="DE56" i="6" s="1"/>
  <c r="DK56" i="6" a="1"/>
  <c r="DK56" i="6" s="1"/>
  <c r="DO56" i="6" a="1"/>
  <c r="DO56" i="6" s="1"/>
  <c r="DS56" i="6" a="1"/>
  <c r="DS56" i="6" s="1"/>
  <c r="CZ56" i="6" a="1"/>
  <c r="CZ56" i="6" s="1"/>
  <c r="CC56" i="6"/>
  <c r="CY56" i="6" a="1"/>
  <c r="CY56" i="6" s="1"/>
  <c r="CW56" i="6" a="1"/>
  <c r="CW56" i="6" s="1"/>
  <c r="CJ56" i="6"/>
  <c r="CN56" i="6"/>
  <c r="CR56" i="6"/>
  <c r="DA56" i="6" a="1"/>
  <c r="DA56" i="6" s="1"/>
  <c r="BV56" i="6"/>
  <c r="CB56" i="6"/>
  <c r="DB56" i="6" a="1"/>
  <c r="DB56" i="6" s="1"/>
  <c r="DL56" i="6" a="1"/>
  <c r="DL56" i="6" s="1"/>
  <c r="DP56" i="6" a="1"/>
  <c r="DP56" i="6" s="1"/>
  <c r="BL56" i="6"/>
  <c r="BW56" i="6"/>
  <c r="BX56" i="6"/>
  <c r="BY56" i="6"/>
  <c r="DF56" i="6" a="1"/>
  <c r="DF56" i="6" s="1"/>
  <c r="CK56" i="6"/>
  <c r="CO56" i="6"/>
  <c r="BM56" i="6"/>
  <c r="BZ56" i="6"/>
  <c r="CD56" i="6"/>
  <c r="CG56" i="6"/>
  <c r="CH56" i="6"/>
  <c r="DM56" i="6" a="1"/>
  <c r="DM56" i="6" s="1"/>
  <c r="DQ56" i="6" a="1"/>
  <c r="DQ56" i="6" s="1"/>
  <c r="BN56" i="6"/>
  <c r="DH56" i="6" a="1"/>
  <c r="DH56" i="6" s="1"/>
  <c r="BU56" i="6"/>
  <c r="CF56" i="6"/>
  <c r="DI56" i="6" a="1"/>
  <c r="DI56" i="6" s="1"/>
  <c r="CL56" i="6"/>
  <c r="CP56" i="6"/>
  <c r="BO56" i="6"/>
  <c r="BX57" i="6"/>
  <c r="CT57" i="6" a="1"/>
  <c r="CT57" i="6" s="1"/>
  <c r="BZ57" i="6"/>
  <c r="DH57" i="6" a="1"/>
  <c r="DH57" i="6" s="1"/>
  <c r="CJ57" i="6"/>
  <c r="CN57" i="6"/>
  <c r="DS57" i="6" a="1"/>
  <c r="DS57" i="6" s="1"/>
  <c r="CE57" i="6"/>
  <c r="BW57" i="6"/>
  <c r="DA57" i="6" a="1"/>
  <c r="DA57" i="6" s="1"/>
  <c r="BU57" i="6"/>
  <c r="DK57" i="6" a="1"/>
  <c r="DK57" i="6" s="1"/>
  <c r="DO57" i="6" a="1"/>
  <c r="DO57" i="6" s="1"/>
  <c r="CR57" i="6"/>
  <c r="CW57" i="6" a="1"/>
  <c r="CW57" i="6" s="1"/>
  <c r="BT57" i="6"/>
  <c r="DE57" i="6" a="1"/>
  <c r="DE57" i="6" s="1"/>
  <c r="DF57" i="6" a="1"/>
  <c r="DF57" i="6" s="1"/>
  <c r="CK57" i="6"/>
  <c r="DP57" i="6" a="1"/>
  <c r="DP57" i="6" s="1"/>
  <c r="BL57" i="6"/>
  <c r="CA57" i="6"/>
  <c r="CB57" i="6"/>
  <c r="BS57" i="6"/>
  <c r="CC57" i="6"/>
  <c r="DL57" i="6" a="1"/>
  <c r="DL57" i="6" s="1"/>
  <c r="CO57" i="6"/>
  <c r="BM57" i="6"/>
  <c r="CD57" i="6"/>
  <c r="CF57" i="6"/>
  <c r="CX57" i="6" a="1"/>
  <c r="CX57" i="6" s="1"/>
  <c r="DI57" i="6" a="1"/>
  <c r="DI57" i="6" s="1"/>
  <c r="DM57" i="6" a="1"/>
  <c r="DM57" i="6" s="1"/>
  <c r="CP57" i="6"/>
  <c r="BN57" i="6"/>
  <c r="DC57" i="6" a="1"/>
  <c r="DC57" i="6" s="1"/>
  <c r="CV57" i="6" a="1"/>
  <c r="CV57" i="6" s="1"/>
  <c r="CU57" i="6" a="1"/>
  <c r="CU57" i="6" s="1"/>
  <c r="CH57" i="6"/>
  <c r="CL57" i="6"/>
  <c r="DQ57" i="6" a="1"/>
  <c r="DQ57" i="6" s="1"/>
  <c r="BO57" i="6"/>
  <c r="BY57" i="6"/>
  <c r="CZ57" i="6" a="1"/>
  <c r="CZ57" i="6" s="1"/>
  <c r="BV57" i="6"/>
  <c r="DD57" i="6" a="1"/>
  <c r="DD57" i="6" s="1"/>
  <c r="CI57" i="6"/>
  <c r="DN57" i="6" a="1"/>
  <c r="DN57" i="6" s="1"/>
  <c r="DR57" i="6" a="1"/>
  <c r="DR57" i="6" s="1"/>
  <c r="BQ57" i="6"/>
  <c r="DG57" i="6" a="1"/>
  <c r="DG57" i="6" s="1"/>
  <c r="CY57" i="6" a="1"/>
  <c r="CY57" i="6" s="1"/>
  <c r="DB57" i="6" a="1"/>
  <c r="DB57" i="6" s="1"/>
  <c r="CG57" i="6"/>
  <c r="DJ57" i="6" a="1"/>
  <c r="DJ57" i="6" s="1"/>
  <c r="CM57" i="6"/>
  <c r="CQ57" i="6"/>
  <c r="BP57" i="6"/>
  <c r="CX54" i="6" a="1"/>
  <c r="CX54" i="6" s="1"/>
  <c r="BS54" i="6"/>
  <c r="CB54" i="6"/>
  <c r="CV54" i="6" a="1"/>
  <c r="CV54" i="6" s="1"/>
  <c r="CK54" i="6"/>
  <c r="DP54" i="6" a="1"/>
  <c r="DP54" i="6" s="1"/>
  <c r="BL54" i="6"/>
  <c r="DC54" i="6" a="1"/>
  <c r="DC54" i="6" s="1"/>
  <c r="CG54" i="6"/>
  <c r="DB54" i="6" a="1"/>
  <c r="DB54" i="6" s="1"/>
  <c r="CA54" i="6"/>
  <c r="DL54" i="6" a="1"/>
  <c r="DL54" i="6" s="1"/>
  <c r="CO54" i="6"/>
  <c r="BM54" i="6"/>
  <c r="CC54" i="6"/>
  <c r="DH54" i="6" a="1"/>
  <c r="DH54" i="6" s="1"/>
  <c r="DA54" i="6" a="1"/>
  <c r="DA54" i="6" s="1"/>
  <c r="CH54" i="6"/>
  <c r="CL54" i="6"/>
  <c r="CP54" i="6"/>
  <c r="BN54" i="6"/>
  <c r="BT54" i="6"/>
  <c r="BX54" i="6"/>
  <c r="BW54" i="6"/>
  <c r="DI54" i="6" a="1"/>
  <c r="DI54" i="6" s="1"/>
  <c r="DM54" i="6" a="1"/>
  <c r="DM54" i="6" s="1"/>
  <c r="DQ54" i="6" a="1"/>
  <c r="DQ54" i="6" s="1"/>
  <c r="BQ54" i="6"/>
  <c r="DG54" i="6" a="1"/>
  <c r="DG54" i="6" s="1"/>
  <c r="DF54" i="6" a="1"/>
  <c r="DF54" i="6" s="1"/>
  <c r="BZ54" i="6"/>
  <c r="DE54" i="6" a="1"/>
  <c r="DE54" i="6" s="1"/>
  <c r="CI54" i="6"/>
  <c r="DN54" i="6" a="1"/>
  <c r="DN54" i="6" s="1"/>
  <c r="DR54" i="6" a="1"/>
  <c r="DR54" i="6" s="1"/>
  <c r="BO54" i="6"/>
  <c r="CE54" i="6"/>
  <c r="CT54" i="6" a="1"/>
  <c r="CT54" i="6" s="1"/>
  <c r="DD54" i="6" a="1"/>
  <c r="DD54" i="6" s="1"/>
  <c r="BU54" i="6"/>
  <c r="DJ54" i="6" a="1"/>
  <c r="DJ54" i="6" s="1"/>
  <c r="CM54" i="6"/>
  <c r="CQ54" i="6"/>
  <c r="BP54" i="6"/>
  <c r="CW54" i="6" a="1"/>
  <c r="CW54" i="6" s="1"/>
  <c r="CY54" i="6" a="1"/>
  <c r="CY54" i="6" s="1"/>
  <c r="CD54" i="6"/>
  <c r="CF54" i="6"/>
  <c r="DK54" i="6" a="1"/>
  <c r="DK54" i="6" s="1"/>
  <c r="CN54" i="6"/>
  <c r="CR54" i="6"/>
  <c r="CZ54" i="6" a="1"/>
  <c r="CZ54" i="6" s="1"/>
  <c r="BV54" i="6"/>
  <c r="CU54" i="6" a="1"/>
  <c r="CU54" i="6" s="1"/>
  <c r="BY54" i="6"/>
  <c r="CJ54" i="6"/>
  <c r="DO54" i="6" a="1"/>
  <c r="DO54" i="6" s="1"/>
  <c r="DS54" i="6" a="1"/>
  <c r="DS54" i="6" s="1"/>
  <c r="K147" i="12"/>
  <c r="A148" i="6"/>
  <c r="J148" i="12" a="1"/>
  <c r="J148" i="12" s="1"/>
  <c r="L148" i="12" a="1"/>
  <c r="L148" i="12" s="1"/>
  <c r="N149" i="5"/>
  <c r="D149" i="6" s="1"/>
  <c r="H149" i="6" s="1" a="1"/>
  <c r="H149" i="6" s="1"/>
  <c r="T149" i="5" s="1"/>
  <c r="G149" i="12" s="1" a="1"/>
  <c r="G149" i="12" s="1"/>
  <c r="D149" i="5"/>
  <c r="B149" i="12" s="1"/>
  <c r="B149" i="5"/>
  <c r="F149" i="5"/>
  <c r="J149" i="5"/>
  <c r="AD149" i="5"/>
  <c r="B149" i="6"/>
  <c r="K149" i="5"/>
  <c r="A149" i="12"/>
  <c r="AE149" i="5" a="1"/>
  <c r="AE149" i="5" s="1"/>
  <c r="G149" i="5"/>
  <c r="H149" i="5"/>
  <c r="C150" i="5"/>
  <c r="E149" i="5"/>
  <c r="N147" i="6"/>
  <c r="L156" i="6"/>
  <c r="CH63" i="6" l="1"/>
  <c r="M64" i="6"/>
  <c r="CO63" i="6"/>
  <c r="DD63" i="6" a="1"/>
  <c r="DD63" i="6" s="1"/>
  <c r="M65" i="6"/>
  <c r="CI63" i="6"/>
  <c r="CG63" i="6"/>
  <c r="DF63" i="6" a="1"/>
  <c r="DF63" i="6" s="1"/>
  <c r="CJ63" i="6"/>
  <c r="DL63" i="6" a="1"/>
  <c r="DL63" i="6" s="1"/>
  <c r="CW63" i="6" a="1"/>
  <c r="CW63" i="6" s="1"/>
  <c r="BO63" i="6"/>
  <c r="BM63" i="6"/>
  <c r="CC63" i="6"/>
  <c r="CK63" i="6"/>
  <c r="CF63" i="6"/>
  <c r="BQ63" i="6"/>
  <c r="CQ63" i="6"/>
  <c r="BN63" i="6"/>
  <c r="DQ63" i="6" a="1"/>
  <c r="DQ63" i="6" s="1"/>
  <c r="DB63" i="6" a="1"/>
  <c r="DB63" i="6" s="1"/>
  <c r="DS63" i="6" a="1"/>
  <c r="DS63" i="6" s="1"/>
  <c r="CR63" i="6"/>
  <c r="CM63" i="6"/>
  <c r="DR63" i="6" a="1"/>
  <c r="DR63" i="6" s="1"/>
  <c r="CZ63" i="6" a="1"/>
  <c r="CZ63" i="6" s="1"/>
  <c r="BL63" i="6"/>
  <c r="BP63" i="6"/>
  <c r="DG63" i="6" a="1"/>
  <c r="DG63" i="6" s="1"/>
  <c r="CE63" i="6"/>
  <c r="BS63" i="6"/>
  <c r="CX63" i="6" a="1"/>
  <c r="CX63" i="6" s="1"/>
  <c r="DJ63" i="6" a="1"/>
  <c r="DJ63" i="6" s="1"/>
  <c r="DM63" i="6" a="1"/>
  <c r="DM63" i="6" s="1"/>
  <c r="BU63" i="6"/>
  <c r="BV63" i="6"/>
  <c r="CT63" i="6" a="1"/>
  <c r="CT63" i="6" s="1"/>
  <c r="BY63" i="6"/>
  <c r="DC63" i="6" a="1"/>
  <c r="DC63" i="6" s="1"/>
  <c r="BZ63" i="6"/>
  <c r="DI63" i="6" a="1"/>
  <c r="DI63" i="6" s="1"/>
  <c r="DE63" i="6" a="1"/>
  <c r="DE63" i="6" s="1"/>
  <c r="CA63" i="6"/>
  <c r="BX63" i="6"/>
  <c r="DH63" i="6" a="1"/>
  <c r="DH63" i="6" s="1"/>
  <c r="BT63" i="6"/>
  <c r="BW63" i="6"/>
  <c r="CD63" i="6"/>
  <c r="CU63" i="6" a="1"/>
  <c r="CU63" i="6" s="1"/>
  <c r="CL63" i="6"/>
  <c r="CV63" i="6" a="1"/>
  <c r="CV63" i="6" s="1"/>
  <c r="DA63" i="6" a="1"/>
  <c r="DA63" i="6" s="1"/>
  <c r="CN63" i="6"/>
  <c r="DO63" i="6" a="1"/>
  <c r="DO63" i="6" s="1"/>
  <c r="CB63" i="6"/>
  <c r="DN63" i="6" a="1"/>
  <c r="DN63" i="6" s="1"/>
  <c r="DK63" i="6" a="1"/>
  <c r="DK63" i="6" s="1"/>
  <c r="CP63" i="6"/>
  <c r="DP63" i="6" a="1"/>
  <c r="DP63" i="6" s="1"/>
  <c r="CY63" i="6" a="1"/>
  <c r="CY63" i="6" s="1"/>
  <c r="N148" i="6"/>
  <c r="K148" i="12"/>
  <c r="L149" i="12" a="1"/>
  <c r="L149" i="12" s="1"/>
  <c r="J149" i="12" a="1"/>
  <c r="J149" i="12" s="1"/>
  <c r="A149" i="6"/>
  <c r="AE150" i="5" a="1"/>
  <c r="AE150" i="5" s="1"/>
  <c r="F150" i="5"/>
  <c r="K150" i="5"/>
  <c r="E150" i="5"/>
  <c r="H150" i="5"/>
  <c r="AD150" i="5"/>
  <c r="B150" i="6"/>
  <c r="A150" i="12"/>
  <c r="J150" i="5"/>
  <c r="G150" i="5"/>
  <c r="D150" i="5"/>
  <c r="B150" i="12" s="1"/>
  <c r="B150" i="5"/>
  <c r="N150" i="5"/>
  <c r="D150" i="6" s="1"/>
  <c r="H150" i="6" s="1" a="1"/>
  <c r="H150" i="6" s="1"/>
  <c r="T150" i="5" s="1"/>
  <c r="G150" i="12" s="1" a="1"/>
  <c r="G150" i="12" s="1"/>
  <c r="C151" i="5"/>
  <c r="F156" i="6"/>
  <c r="L157" i="6"/>
  <c r="CI65" i="6" l="1"/>
  <c r="CM65" i="6"/>
  <c r="BV65" i="6"/>
  <c r="DL65" i="6" a="1"/>
  <c r="DL65" i="6" s="1"/>
  <c r="CY65" i="6" a="1"/>
  <c r="CY65" i="6" s="1"/>
  <c r="DM65" i="6" a="1"/>
  <c r="DM65" i="6" s="1"/>
  <c r="CR65" i="6"/>
  <c r="DE65" i="6" a="1"/>
  <c r="DE65" i="6" s="1"/>
  <c r="CA65" i="6"/>
  <c r="DI65" i="6" a="1"/>
  <c r="DI65" i="6" s="1"/>
  <c r="DG65" i="6" a="1"/>
  <c r="DG65" i="6" s="1"/>
  <c r="BU65" i="6"/>
  <c r="DD65" i="6" a="1"/>
  <c r="DD65" i="6" s="1"/>
  <c r="DS65" i="6" a="1"/>
  <c r="DS65" i="6" s="1"/>
  <c r="CD65" i="6"/>
  <c r="DH65" i="6" a="1"/>
  <c r="DH65" i="6" s="1"/>
  <c r="CB65" i="6"/>
  <c r="CG65" i="6"/>
  <c r="DJ65" i="6" a="1"/>
  <c r="DJ65" i="6" s="1"/>
  <c r="DP65" i="6" a="1"/>
  <c r="DP65" i="6" s="1"/>
  <c r="BQ65" i="6"/>
  <c r="CJ65" i="6"/>
  <c r="DF65" i="6" a="1"/>
  <c r="DF65" i="6" s="1"/>
  <c r="BY65" i="6"/>
  <c r="DK65" i="6" a="1"/>
  <c r="DK65" i="6" s="1"/>
  <c r="CN65" i="6"/>
  <c r="CO65" i="6"/>
  <c r="BP65" i="6"/>
  <c r="CT65" i="6" a="1"/>
  <c r="CT65" i="6" s="1"/>
  <c r="BX65" i="6"/>
  <c r="CV65" i="6" a="1"/>
  <c r="CV65" i="6" s="1"/>
  <c r="BW65" i="6"/>
  <c r="DO65" i="6" a="1"/>
  <c r="DO65" i="6" s="1"/>
  <c r="DQ65" i="6" a="1"/>
  <c r="DQ65" i="6" s="1"/>
  <c r="BL65" i="6"/>
  <c r="CW65" i="6" a="1"/>
  <c r="CW65" i="6" s="1"/>
  <c r="CK65" i="6"/>
  <c r="DA65" i="6" a="1"/>
  <c r="DA65" i="6" s="1"/>
  <c r="BT65" i="6"/>
  <c r="BS65" i="6"/>
  <c r="CP65" i="6"/>
  <c r="BM65" i="6"/>
  <c r="DN65" i="6" a="1"/>
  <c r="DN65" i="6" s="1"/>
  <c r="CC65" i="6"/>
  <c r="DB65" i="6" a="1"/>
  <c r="DB65" i="6" s="1"/>
  <c r="CE65" i="6"/>
  <c r="CZ65" i="6" a="1"/>
  <c r="CZ65" i="6" s="1"/>
  <c r="CX65" i="6" a="1"/>
  <c r="CX65" i="6" s="1"/>
  <c r="DR65" i="6" a="1"/>
  <c r="DR65" i="6" s="1"/>
  <c r="BN65" i="6"/>
  <c r="DC65" i="6" a="1"/>
  <c r="DC65" i="6" s="1"/>
  <c r="CH65" i="6"/>
  <c r="CU65" i="6" a="1"/>
  <c r="CU65" i="6" s="1"/>
  <c r="BZ65" i="6"/>
  <c r="CL65" i="6"/>
  <c r="CF65" i="6"/>
  <c r="CQ65" i="6"/>
  <c r="BO65" i="6"/>
  <c r="M67" i="6"/>
  <c r="CZ64" i="6" a="1"/>
  <c r="CZ64" i="6" s="1"/>
  <c r="BZ64" i="6"/>
  <c r="CX64" i="6" a="1"/>
  <c r="CX64" i="6" s="1"/>
  <c r="BS64" i="6"/>
  <c r="CG64" i="6"/>
  <c r="CO64" i="6"/>
  <c r="BL64" i="6"/>
  <c r="BW64" i="6"/>
  <c r="BY64" i="6"/>
  <c r="BV64" i="6"/>
  <c r="CW64" i="6" a="1"/>
  <c r="CW64" i="6" s="1"/>
  <c r="CC64" i="6"/>
  <c r="DP64" i="6" a="1"/>
  <c r="DP64" i="6" s="1"/>
  <c r="BM64" i="6"/>
  <c r="CH64" i="6"/>
  <c r="CU64" i="6" a="1"/>
  <c r="CU64" i="6" s="1"/>
  <c r="CD64" i="6"/>
  <c r="CI64" i="6"/>
  <c r="CY64" i="6" a="1"/>
  <c r="CY64" i="6" s="1"/>
  <c r="CP64" i="6"/>
  <c r="BN64" i="6"/>
  <c r="DH64" i="6" a="1"/>
  <c r="DH64" i="6" s="1"/>
  <c r="CT64" i="6" a="1"/>
  <c r="CT64" i="6" s="1"/>
  <c r="DE64" i="6" a="1"/>
  <c r="DE64" i="6" s="1"/>
  <c r="CV64" i="6" a="1"/>
  <c r="CV64" i="6" s="1"/>
  <c r="CM64" i="6"/>
  <c r="DQ64" i="6" a="1"/>
  <c r="DQ64" i="6" s="1"/>
  <c r="BO64" i="6"/>
  <c r="CL64" i="6"/>
  <c r="DM64" i="6" a="1"/>
  <c r="DM64" i="6" s="1"/>
  <c r="DI64" i="6" a="1"/>
  <c r="DI64" i="6" s="1"/>
  <c r="DB64" i="6" a="1"/>
  <c r="DB64" i="6" s="1"/>
  <c r="DC64" i="6" a="1"/>
  <c r="DC64" i="6" s="1"/>
  <c r="CJ64" i="6"/>
  <c r="DR64" i="6" a="1"/>
  <c r="DR64" i="6" s="1"/>
  <c r="BQ64" i="6"/>
  <c r="DF64" i="6" a="1"/>
  <c r="DF64" i="6" s="1"/>
  <c r="CB64" i="6"/>
  <c r="BX64" i="6"/>
  <c r="DN64" i="6" a="1"/>
  <c r="DN64" i="6" s="1"/>
  <c r="CA64" i="6"/>
  <c r="DJ64" i="6" a="1"/>
  <c r="DJ64" i="6" s="1"/>
  <c r="CQ64" i="6"/>
  <c r="BP64" i="6"/>
  <c r="DG64" i="6" a="1"/>
  <c r="DG64" i="6" s="1"/>
  <c r="BU64" i="6"/>
  <c r="CF64" i="6"/>
  <c r="CK64" i="6"/>
  <c r="CE64" i="6"/>
  <c r="DO64" i="6" a="1"/>
  <c r="DO64" i="6" s="1"/>
  <c r="CR64" i="6"/>
  <c r="BT64" i="6"/>
  <c r="DA64" i="6" a="1"/>
  <c r="DA64" i="6" s="1"/>
  <c r="DL64" i="6" a="1"/>
  <c r="DL64" i="6" s="1"/>
  <c r="DK64" i="6" a="1"/>
  <c r="DK64" i="6" s="1"/>
  <c r="DD64" i="6" a="1"/>
  <c r="DD64" i="6" s="1"/>
  <c r="CN64" i="6"/>
  <c r="DS64" i="6" a="1"/>
  <c r="DS64" i="6" s="1"/>
  <c r="L150" i="12" a="1"/>
  <c r="L150" i="12" s="1"/>
  <c r="J150" i="12" a="1"/>
  <c r="J150" i="12" s="1"/>
  <c r="N149" i="6"/>
  <c r="A150" i="6"/>
  <c r="B151" i="5"/>
  <c r="D151" i="5"/>
  <c r="B151" i="12" s="1"/>
  <c r="AE151" i="5" a="1"/>
  <c r="AE151" i="5" s="1"/>
  <c r="J151" i="5"/>
  <c r="K151" i="5"/>
  <c r="AD151" i="5"/>
  <c r="F151" i="5"/>
  <c r="H151" i="5"/>
  <c r="A151" i="12"/>
  <c r="B151" i="6"/>
  <c r="N151" i="5"/>
  <c r="D151" i="6" s="1"/>
  <c r="H151" i="6" s="1" a="1"/>
  <c r="H151" i="6" s="1"/>
  <c r="T151" i="5" s="1"/>
  <c r="G151" i="12" s="1" a="1"/>
  <c r="G151" i="12" s="1"/>
  <c r="E151" i="5"/>
  <c r="G151" i="5"/>
  <c r="C152" i="5"/>
  <c r="K149" i="12"/>
  <c r="L158" i="6"/>
  <c r="M71" i="6" l="1"/>
  <c r="M68" i="6"/>
  <c r="M70" i="6"/>
  <c r="M69" i="6"/>
  <c r="M72" i="6"/>
  <c r="CM67" i="6"/>
  <c r="CW67" i="6" a="1"/>
  <c r="CW67" i="6" s="1"/>
  <c r="BT67" i="6"/>
  <c r="DO67" i="6" a="1"/>
  <c r="DO67" i="6" s="1"/>
  <c r="CE67" i="6"/>
  <c r="CP67" i="6"/>
  <c r="DR67" i="6" a="1"/>
  <c r="DR67" i="6" s="1"/>
  <c r="BQ67" i="6"/>
  <c r="BZ67" i="6"/>
  <c r="CD67" i="6"/>
  <c r="DD67" i="6" a="1"/>
  <c r="DD67" i="6" s="1"/>
  <c r="DQ67" i="6" a="1"/>
  <c r="DQ67" i="6" s="1"/>
  <c r="CN67" i="6"/>
  <c r="BV67" i="6"/>
  <c r="DS67" i="6" a="1"/>
  <c r="DS67" i="6" s="1"/>
  <c r="DG67" i="6" a="1"/>
  <c r="DG67" i="6" s="1"/>
  <c r="CF67" i="6"/>
  <c r="DN67" i="6" a="1"/>
  <c r="DN67" i="6" s="1"/>
  <c r="CT67" i="6" a="1"/>
  <c r="CT67" i="6" s="1"/>
  <c r="DE67" i="6" a="1"/>
  <c r="DE67" i="6" s="1"/>
  <c r="CJ67" i="6"/>
  <c r="DI67" i="6" a="1"/>
  <c r="DI67" i="6" s="1"/>
  <c r="BS67" i="6"/>
  <c r="DJ67" i="6" a="1"/>
  <c r="DJ67" i="6" s="1"/>
  <c r="BL67" i="6"/>
  <c r="DB67" i="6" a="1"/>
  <c r="DB67" i="6" s="1"/>
  <c r="CX67" i="6" a="1"/>
  <c r="CX67" i="6" s="1"/>
  <c r="DH67" i="6" a="1"/>
  <c r="DH67" i="6" s="1"/>
  <c r="DL67" i="6" a="1"/>
  <c r="DL67" i="6" s="1"/>
  <c r="DC67" i="6" a="1"/>
  <c r="DC67" i="6" s="1"/>
  <c r="CH67" i="6"/>
  <c r="BN67" i="6"/>
  <c r="CY67" i="6" a="1"/>
  <c r="CY67" i="6" s="1"/>
  <c r="DK67" i="6" a="1"/>
  <c r="DK67" i="6" s="1"/>
  <c r="BY67" i="6"/>
  <c r="DA67" i="6" a="1"/>
  <c r="DA67" i="6" s="1"/>
  <c r="BX67" i="6"/>
  <c r="CG67" i="6"/>
  <c r="BO67" i="6"/>
  <c r="DP67" i="6" a="1"/>
  <c r="DP67" i="6" s="1"/>
  <c r="DM67" i="6" a="1"/>
  <c r="DM67" i="6" s="1"/>
  <c r="CV67" i="6" a="1"/>
  <c r="CV67" i="6" s="1"/>
  <c r="DF67" i="6" a="1"/>
  <c r="DF67" i="6" s="1"/>
  <c r="BW67" i="6"/>
  <c r="CO67" i="6"/>
  <c r="CQ67" i="6"/>
  <c r="BP67" i="6"/>
  <c r="CI67" i="6"/>
  <c r="BM67" i="6"/>
  <c r="CB67" i="6"/>
  <c r="CA67" i="6"/>
  <c r="BU67" i="6"/>
  <c r="CL67" i="6"/>
  <c r="CZ67" i="6" a="1"/>
  <c r="CZ67" i="6" s="1"/>
  <c r="CU67" i="6" a="1"/>
  <c r="CU67" i="6" s="1"/>
  <c r="CC67" i="6"/>
  <c r="CK67" i="6"/>
  <c r="CR67" i="6"/>
  <c r="A151" i="6"/>
  <c r="J151" i="12" a="1"/>
  <c r="J151" i="12" s="1"/>
  <c r="L151" i="12" a="1"/>
  <c r="L151" i="12" s="1"/>
  <c r="G152" i="5"/>
  <c r="J152" i="5"/>
  <c r="B152" i="5"/>
  <c r="AE152" i="5" a="1"/>
  <c r="AE152" i="5" s="1"/>
  <c r="E152" i="5"/>
  <c r="D152" i="5"/>
  <c r="B152" i="12" s="1"/>
  <c r="AD152" i="5"/>
  <c r="K152" i="5"/>
  <c r="F152" i="5"/>
  <c r="H152" i="5"/>
  <c r="A152" i="12"/>
  <c r="N152" i="5"/>
  <c r="D152" i="6" s="1"/>
  <c r="H152" i="6" s="1" a="1"/>
  <c r="H152" i="6" s="1"/>
  <c r="T152" i="5" s="1"/>
  <c r="G152" i="12" s="1" a="1"/>
  <c r="G152" i="12" s="1"/>
  <c r="C153" i="5"/>
  <c r="B152" i="6"/>
  <c r="K150" i="12"/>
  <c r="N150" i="6"/>
  <c r="L159" i="6"/>
  <c r="CE72" i="6" l="1"/>
  <c r="DM72" i="6" a="1"/>
  <c r="DM72" i="6" s="1"/>
  <c r="CG72" i="6"/>
  <c r="DC72" i="6" a="1"/>
  <c r="DC72" i="6" s="1"/>
  <c r="BX72" i="6"/>
  <c r="CC72" i="6"/>
  <c r="CI72" i="6"/>
  <c r="BV72" i="6"/>
  <c r="DE72" i="6" a="1"/>
  <c r="DE72" i="6" s="1"/>
  <c r="CT72" i="6" a="1"/>
  <c r="CT72" i="6" s="1"/>
  <c r="CU72" i="6" a="1"/>
  <c r="CU72" i="6" s="1"/>
  <c r="DP72" i="6" a="1"/>
  <c r="DP72" i="6" s="1"/>
  <c r="DQ72" i="6" a="1"/>
  <c r="DQ72" i="6" s="1"/>
  <c r="DA72" i="6" a="1"/>
  <c r="DA72" i="6" s="1"/>
  <c r="DR72" i="6" a="1"/>
  <c r="DR72" i="6" s="1"/>
  <c r="CA72" i="6"/>
  <c r="CQ72" i="6"/>
  <c r="DI72" i="6" a="1"/>
  <c r="DI72" i="6" s="1"/>
  <c r="BY72" i="6"/>
  <c r="DD72" i="6" a="1"/>
  <c r="DD72" i="6" s="1"/>
  <c r="BM72" i="6"/>
  <c r="DG72" i="6" a="1"/>
  <c r="DG72" i="6" s="1"/>
  <c r="BW72" i="6"/>
  <c r="DJ72" i="6" a="1"/>
  <c r="DJ72" i="6" s="1"/>
  <c r="CO72" i="6"/>
  <c r="DO72" i="6" a="1"/>
  <c r="DO72" i="6" s="1"/>
  <c r="CH72" i="6"/>
  <c r="BN72" i="6"/>
  <c r="CL72" i="6"/>
  <c r="DL72" i="6" a="1"/>
  <c r="DL72" i="6" s="1"/>
  <c r="DF72" i="6" a="1"/>
  <c r="DF72" i="6" s="1"/>
  <c r="CZ72" i="6" a="1"/>
  <c r="CZ72" i="6" s="1"/>
  <c r="CW72" i="6" a="1"/>
  <c r="CW72" i="6" s="1"/>
  <c r="CY72" i="6" a="1"/>
  <c r="CY72" i="6" s="1"/>
  <c r="DK72" i="6" a="1"/>
  <c r="DK72" i="6" s="1"/>
  <c r="BQ72" i="6"/>
  <c r="BL72" i="6"/>
  <c r="CP72" i="6"/>
  <c r="CK72" i="6"/>
  <c r="DS72" i="6" a="1"/>
  <c r="DS72" i="6" s="1"/>
  <c r="DB72" i="6" a="1"/>
  <c r="DB72" i="6" s="1"/>
  <c r="CD72" i="6"/>
  <c r="BS72" i="6"/>
  <c r="BP72" i="6"/>
  <c r="DH72" i="6" a="1"/>
  <c r="DH72" i="6" s="1"/>
  <c r="BU72" i="6"/>
  <c r="CV72" i="6" a="1"/>
  <c r="CV72" i="6" s="1"/>
  <c r="CJ72" i="6"/>
  <c r="CR72" i="6"/>
  <c r="CX72" i="6" a="1"/>
  <c r="CX72" i="6" s="1"/>
  <c r="CN72" i="6"/>
  <c r="BT72" i="6"/>
  <c r="BZ72" i="6"/>
  <c r="CM72" i="6"/>
  <c r="DN72" i="6" a="1"/>
  <c r="DN72" i="6" s="1"/>
  <c r="CF72" i="6"/>
  <c r="BO72" i="6"/>
  <c r="CB72" i="6"/>
  <c r="M74" i="6"/>
  <c r="DF69" i="6" a="1"/>
  <c r="DF69" i="6" s="1"/>
  <c r="BT69" i="6"/>
  <c r="CJ69" i="6"/>
  <c r="BU69" i="6"/>
  <c r="CD69" i="6"/>
  <c r="CQ69" i="6"/>
  <c r="BY69" i="6"/>
  <c r="CY69" i="6" a="1"/>
  <c r="CY69" i="6" s="1"/>
  <c r="CK69" i="6"/>
  <c r="BZ69" i="6"/>
  <c r="DK69" i="6" a="1"/>
  <c r="DK69" i="6" s="1"/>
  <c r="DI69" i="6" a="1"/>
  <c r="DI69" i="6" s="1"/>
  <c r="DG69" i="6" a="1"/>
  <c r="DG69" i="6" s="1"/>
  <c r="CR69" i="6"/>
  <c r="CZ69" i="6" a="1"/>
  <c r="CZ69" i="6" s="1"/>
  <c r="DQ69" i="6" a="1"/>
  <c r="DQ69" i="6" s="1"/>
  <c r="DB69" i="6" a="1"/>
  <c r="DB69" i="6" s="1"/>
  <c r="DJ69" i="6" a="1"/>
  <c r="DJ69" i="6" s="1"/>
  <c r="CE69" i="6"/>
  <c r="CW69" i="6" a="1"/>
  <c r="CW69" i="6" s="1"/>
  <c r="CU69" i="6" a="1"/>
  <c r="CU69" i="6" s="1"/>
  <c r="CC69" i="6"/>
  <c r="CP69" i="6"/>
  <c r="CO69" i="6"/>
  <c r="CA69" i="6"/>
  <c r="CL69" i="6"/>
  <c r="BQ69" i="6"/>
  <c r="DA69" i="6" a="1"/>
  <c r="DA69" i="6" s="1"/>
  <c r="BV69" i="6"/>
  <c r="CN69" i="6"/>
  <c r="CG69" i="6"/>
  <c r="BP69" i="6"/>
  <c r="DM69" i="6" a="1"/>
  <c r="DM69" i="6" s="1"/>
  <c r="DS69" i="6" a="1"/>
  <c r="DS69" i="6" s="1"/>
  <c r="CV69" i="6" a="1"/>
  <c r="CV69" i="6" s="1"/>
  <c r="DL69" i="6" a="1"/>
  <c r="DL69" i="6" s="1"/>
  <c r="BL69" i="6"/>
  <c r="DH69" i="6" a="1"/>
  <c r="DH69" i="6" s="1"/>
  <c r="CT69" i="6" a="1"/>
  <c r="CT69" i="6" s="1"/>
  <c r="DD69" i="6" a="1"/>
  <c r="DD69" i="6" s="1"/>
  <c r="DP69" i="6" a="1"/>
  <c r="DP69" i="6" s="1"/>
  <c r="BM69" i="6"/>
  <c r="BW69" i="6"/>
  <c r="CI69" i="6"/>
  <c r="CM69" i="6"/>
  <c r="DC69" i="6" a="1"/>
  <c r="DC69" i="6" s="1"/>
  <c r="CH69" i="6"/>
  <c r="CF69" i="6"/>
  <c r="CB69" i="6"/>
  <c r="BS69" i="6"/>
  <c r="BX69" i="6"/>
  <c r="CX69" i="6" a="1"/>
  <c r="CX69" i="6" s="1"/>
  <c r="DE69" i="6" a="1"/>
  <c r="DE69" i="6" s="1"/>
  <c r="BN69" i="6"/>
  <c r="DN69" i="6" a="1"/>
  <c r="DN69" i="6" s="1"/>
  <c r="DO69" i="6" a="1"/>
  <c r="DO69" i="6" s="1"/>
  <c r="DR69" i="6" a="1"/>
  <c r="DR69" i="6" s="1"/>
  <c r="BO69" i="6"/>
  <c r="DS70" i="6" a="1"/>
  <c r="DS70" i="6" s="1"/>
  <c r="DK70" i="6" a="1"/>
  <c r="DK70" i="6" s="1"/>
  <c r="BS70" i="6"/>
  <c r="CO70" i="6"/>
  <c r="CF70" i="6"/>
  <c r="BY70" i="6"/>
  <c r="DG70" i="6" a="1"/>
  <c r="DG70" i="6" s="1"/>
  <c r="BO70" i="6"/>
  <c r="CL70" i="6"/>
  <c r="DP70" i="6" a="1"/>
  <c r="DP70" i="6" s="1"/>
  <c r="DO70" i="6" a="1"/>
  <c r="DO70" i="6" s="1"/>
  <c r="CA70" i="6"/>
  <c r="CJ70" i="6"/>
  <c r="CH70" i="6"/>
  <c r="BN70" i="6"/>
  <c r="DA70" i="6" a="1"/>
  <c r="DA70" i="6" s="1"/>
  <c r="CW70" i="6" a="1"/>
  <c r="CW70" i="6" s="1"/>
  <c r="CM70" i="6"/>
  <c r="DJ70" i="6" a="1"/>
  <c r="DJ70" i="6" s="1"/>
  <c r="CC70" i="6"/>
  <c r="BM70" i="6"/>
  <c r="BT70" i="6"/>
  <c r="DB70" i="6" a="1"/>
  <c r="DB70" i="6" s="1"/>
  <c r="CY70" i="6" a="1"/>
  <c r="CY70" i="6" s="1"/>
  <c r="CU70" i="6" a="1"/>
  <c r="CU70" i="6" s="1"/>
  <c r="CK70" i="6"/>
  <c r="BL70" i="6"/>
  <c r="CD70" i="6"/>
  <c r="CZ70" i="6" a="1"/>
  <c r="CZ70" i="6" s="1"/>
  <c r="BU70" i="6"/>
  <c r="CV70" i="6" a="1"/>
  <c r="CV70" i="6" s="1"/>
  <c r="BZ70" i="6"/>
  <c r="DR70" i="6" a="1"/>
  <c r="DR70" i="6" s="1"/>
  <c r="DQ70" i="6" a="1"/>
  <c r="DQ70" i="6" s="1"/>
  <c r="CB70" i="6"/>
  <c r="CI70" i="6"/>
  <c r="DN70" i="6" a="1"/>
  <c r="DN70" i="6" s="1"/>
  <c r="DD70" i="6" a="1"/>
  <c r="DD70" i="6" s="1"/>
  <c r="CG70" i="6"/>
  <c r="CT70" i="6" a="1"/>
  <c r="CT70" i="6" s="1"/>
  <c r="CX70" i="6" a="1"/>
  <c r="CX70" i="6" s="1"/>
  <c r="DL70" i="6" a="1"/>
  <c r="DL70" i="6" s="1"/>
  <c r="BW70" i="6"/>
  <c r="BX70" i="6"/>
  <c r="CN70" i="6"/>
  <c r="BV70" i="6"/>
  <c r="CP70" i="6"/>
  <c r="DM70" i="6" a="1"/>
  <c r="DM70" i="6" s="1"/>
  <c r="CQ70" i="6"/>
  <c r="DI70" i="6" a="1"/>
  <c r="DI70" i="6" s="1"/>
  <c r="CR70" i="6"/>
  <c r="BQ70" i="6"/>
  <c r="BP70" i="6"/>
  <c r="CE70" i="6"/>
  <c r="DH70" i="6" a="1"/>
  <c r="DH70" i="6" s="1"/>
  <c r="DE70" i="6" a="1"/>
  <c r="DE70" i="6" s="1"/>
  <c r="DF70" i="6" a="1"/>
  <c r="DF70" i="6" s="1"/>
  <c r="DC70" i="6" a="1"/>
  <c r="DC70" i="6" s="1"/>
  <c r="BY68" i="6"/>
  <c r="BV68" i="6"/>
  <c r="CJ68" i="6"/>
  <c r="DD68" i="6" a="1"/>
  <c r="DD68" i="6" s="1"/>
  <c r="BT68" i="6"/>
  <c r="CD68" i="6"/>
  <c r="DS68" i="6" a="1"/>
  <c r="DS68" i="6" s="1"/>
  <c r="DE68" i="6" a="1"/>
  <c r="DE68" i="6" s="1"/>
  <c r="DN68" i="6" a="1"/>
  <c r="DN68" i="6" s="1"/>
  <c r="CB68" i="6"/>
  <c r="DB68" i="6" a="1"/>
  <c r="DB68" i="6" s="1"/>
  <c r="CI68" i="6"/>
  <c r="DC68" i="6" a="1"/>
  <c r="DC68" i="6" s="1"/>
  <c r="BL68" i="6"/>
  <c r="DM68" i="6" a="1"/>
  <c r="DM68" i="6" s="1"/>
  <c r="CO68" i="6"/>
  <c r="CX68" i="6" a="1"/>
  <c r="CX68" i="6" s="1"/>
  <c r="DF68" i="6" a="1"/>
  <c r="DF68" i="6" s="1"/>
  <c r="BU68" i="6"/>
  <c r="DP68" i="6" a="1"/>
  <c r="DP68" i="6" s="1"/>
  <c r="BM68" i="6"/>
  <c r="BW68" i="6"/>
  <c r="DL68" i="6" a="1"/>
  <c r="DL68" i="6" s="1"/>
  <c r="CH68" i="6"/>
  <c r="DA68" i="6" a="1"/>
  <c r="DA68" i="6" s="1"/>
  <c r="CG68" i="6"/>
  <c r="BZ68" i="6"/>
  <c r="BN68" i="6"/>
  <c r="BS68" i="6"/>
  <c r="DK68" i="6" a="1"/>
  <c r="DK68" i="6" s="1"/>
  <c r="BX68" i="6"/>
  <c r="CE68" i="6"/>
  <c r="CN68" i="6"/>
  <c r="DH68" i="6" a="1"/>
  <c r="DH68" i="6" s="1"/>
  <c r="BO68" i="6"/>
  <c r="CP68" i="6"/>
  <c r="DG68" i="6" a="1"/>
  <c r="DG68" i="6" s="1"/>
  <c r="DI68" i="6" a="1"/>
  <c r="DI68" i="6" s="1"/>
  <c r="CY68" i="6" a="1"/>
  <c r="CY68" i="6" s="1"/>
  <c r="CW68" i="6" a="1"/>
  <c r="CW68" i="6" s="1"/>
  <c r="CU68" i="6" a="1"/>
  <c r="CU68" i="6" s="1"/>
  <c r="CM68" i="6"/>
  <c r="BQ68" i="6"/>
  <c r="DQ68" i="6" a="1"/>
  <c r="DQ68" i="6" s="1"/>
  <c r="CQ68" i="6"/>
  <c r="CZ68" i="6" a="1"/>
  <c r="CZ68" i="6" s="1"/>
  <c r="CF68" i="6"/>
  <c r="DR68" i="6" a="1"/>
  <c r="DR68" i="6" s="1"/>
  <c r="CV68" i="6" a="1"/>
  <c r="CV68" i="6" s="1"/>
  <c r="CT68" i="6" a="1"/>
  <c r="CT68" i="6" s="1"/>
  <c r="BP68" i="6"/>
  <c r="CC68" i="6"/>
  <c r="CL68" i="6"/>
  <c r="CK68" i="6"/>
  <c r="CA68" i="6"/>
  <c r="DO68" i="6" a="1"/>
  <c r="DO68" i="6" s="1"/>
  <c r="DJ68" i="6" a="1"/>
  <c r="DJ68" i="6" s="1"/>
  <c r="CR68" i="6"/>
  <c r="CZ71" i="6" a="1"/>
  <c r="CZ71" i="6" s="1"/>
  <c r="DC71" i="6" a="1"/>
  <c r="DC71" i="6" s="1"/>
  <c r="DE71" i="6" a="1"/>
  <c r="DE71" i="6" s="1"/>
  <c r="CQ71" i="6"/>
  <c r="BY71" i="6"/>
  <c r="DL71" i="6" a="1"/>
  <c r="DL71" i="6" s="1"/>
  <c r="CM71" i="6"/>
  <c r="CP71" i="6"/>
  <c r="DQ71" i="6" a="1"/>
  <c r="DQ71" i="6" s="1"/>
  <c r="CL71" i="6"/>
  <c r="DI71" i="6" a="1"/>
  <c r="DI71" i="6" s="1"/>
  <c r="BV71" i="6"/>
  <c r="CN71" i="6"/>
  <c r="BX71" i="6"/>
  <c r="BL71" i="6"/>
  <c r="CR71" i="6"/>
  <c r="DA71" i="6" a="1"/>
  <c r="DA71" i="6" s="1"/>
  <c r="CJ71" i="6"/>
  <c r="BM71" i="6"/>
  <c r="DS71" i="6" a="1"/>
  <c r="DS71" i="6" s="1"/>
  <c r="DH71" i="6" a="1"/>
  <c r="DH71" i="6" s="1"/>
  <c r="BS71" i="6"/>
  <c r="BO71" i="6"/>
  <c r="BP71" i="6"/>
  <c r="BQ71" i="6"/>
  <c r="BN71" i="6"/>
  <c r="CY71" i="6" a="1"/>
  <c r="CY71" i="6" s="1"/>
  <c r="CV71" i="6" a="1"/>
  <c r="CV71" i="6" s="1"/>
  <c r="DM71" i="6" a="1"/>
  <c r="DM71" i="6" s="1"/>
  <c r="BW71" i="6"/>
  <c r="CK71" i="6"/>
  <c r="CI71" i="6"/>
  <c r="DR71" i="6" a="1"/>
  <c r="DR71" i="6" s="1"/>
  <c r="CC71" i="6"/>
  <c r="CF71" i="6"/>
  <c r="CH71" i="6"/>
  <c r="CB71" i="6"/>
  <c r="DB71" i="6" a="1"/>
  <c r="DB71" i="6" s="1"/>
  <c r="CE71" i="6"/>
  <c r="BZ71" i="6"/>
  <c r="CU71" i="6" a="1"/>
  <c r="CU71" i="6" s="1"/>
  <c r="DG71" i="6" a="1"/>
  <c r="DG71" i="6" s="1"/>
  <c r="CO71" i="6"/>
  <c r="DN71" i="6" a="1"/>
  <c r="DN71" i="6" s="1"/>
  <c r="CX71" i="6" a="1"/>
  <c r="CX71" i="6" s="1"/>
  <c r="DJ71" i="6" a="1"/>
  <c r="DJ71" i="6" s="1"/>
  <c r="BT71" i="6"/>
  <c r="DK71" i="6" a="1"/>
  <c r="DK71" i="6" s="1"/>
  <c r="DP71" i="6" a="1"/>
  <c r="DP71" i="6" s="1"/>
  <c r="DD71" i="6" a="1"/>
  <c r="DD71" i="6" s="1"/>
  <c r="BU71" i="6"/>
  <c r="CW71" i="6" a="1"/>
  <c r="CW71" i="6" s="1"/>
  <c r="CG71" i="6"/>
  <c r="CT71" i="6" a="1"/>
  <c r="CT71" i="6" s="1"/>
  <c r="DO71" i="6" a="1"/>
  <c r="DO71" i="6" s="1"/>
  <c r="CA71" i="6"/>
  <c r="DF71" i="6" a="1"/>
  <c r="DF71" i="6" s="1"/>
  <c r="CD71" i="6"/>
  <c r="K151" i="12"/>
  <c r="N151" i="6"/>
  <c r="A152" i="6"/>
  <c r="C154" i="5"/>
  <c r="J153" i="5"/>
  <c r="H153" i="5"/>
  <c r="E153" i="5"/>
  <c r="G153" i="5"/>
  <c r="B153" i="5"/>
  <c r="N153" i="5"/>
  <c r="D153" i="6" s="1"/>
  <c r="H153" i="6" s="1" a="1"/>
  <c r="H153" i="6" s="1"/>
  <c r="T153" i="5" s="1"/>
  <c r="G153" i="12" s="1" a="1"/>
  <c r="G153" i="12" s="1"/>
  <c r="K153" i="5"/>
  <c r="AD153" i="5"/>
  <c r="F153" i="5"/>
  <c r="B153" i="6"/>
  <c r="AE153" i="5" a="1"/>
  <c r="AE153" i="5" s="1"/>
  <c r="D153" i="5"/>
  <c r="B153" i="12" s="1"/>
  <c r="A153" i="12"/>
  <c r="J152" i="12" a="1"/>
  <c r="J152" i="12" s="1"/>
  <c r="L152" i="12" a="1"/>
  <c r="L152" i="12" s="1"/>
  <c r="L160" i="6"/>
  <c r="DS74" i="6" l="1" a="1"/>
  <c r="DS74" i="6" s="1"/>
  <c r="BY74" i="6"/>
  <c r="BP74" i="6"/>
  <c r="BT74" i="6"/>
  <c r="CW74" i="6" a="1"/>
  <c r="CW74" i="6" s="1"/>
  <c r="CB74" i="6"/>
  <c r="BO74" i="6"/>
  <c r="DD74" i="6" a="1"/>
  <c r="DD74" i="6" s="1"/>
  <c r="CY74" i="6" a="1"/>
  <c r="CY74" i="6" s="1"/>
  <c r="DP74" i="6" a="1"/>
  <c r="DP74" i="6" s="1"/>
  <c r="CT74" i="6" a="1"/>
  <c r="CT74" i="6" s="1"/>
  <c r="CI74" i="6"/>
  <c r="CD74" i="6"/>
  <c r="DI74" i="6" a="1"/>
  <c r="DI74" i="6" s="1"/>
  <c r="DR74" i="6" a="1"/>
  <c r="DR74" i="6" s="1"/>
  <c r="BZ74" i="6"/>
  <c r="DJ74" i="6" a="1"/>
  <c r="DJ74" i="6" s="1"/>
  <c r="CF74" i="6"/>
  <c r="CM74" i="6"/>
  <c r="BU74" i="6"/>
  <c r="CC74" i="6"/>
  <c r="BW74" i="6"/>
  <c r="DF74" i="6" a="1"/>
  <c r="DF74" i="6" s="1"/>
  <c r="DG74" i="6" a="1"/>
  <c r="DG74" i="6" s="1"/>
  <c r="BV74" i="6"/>
  <c r="CH74" i="6"/>
  <c r="DC74" i="6" a="1"/>
  <c r="DC74" i="6" s="1"/>
  <c r="DK74" i="6" a="1"/>
  <c r="DK74" i="6" s="1"/>
  <c r="CV74" i="6" a="1"/>
  <c r="CV74" i="6" s="1"/>
  <c r="DN74" i="6" a="1"/>
  <c r="DN74" i="6" s="1"/>
  <c r="CO74" i="6"/>
  <c r="BX74" i="6"/>
  <c r="CL74" i="6"/>
  <c r="CU74" i="6" a="1"/>
  <c r="CU74" i="6" s="1"/>
  <c r="CN74" i="6"/>
  <c r="DH74" i="6" a="1"/>
  <c r="DH74" i="6" s="1"/>
  <c r="CG74" i="6"/>
  <c r="DA74" i="6" a="1"/>
  <c r="DA74" i="6" s="1"/>
  <c r="CE74" i="6"/>
  <c r="BQ74" i="6"/>
  <c r="DM74" i="6" a="1"/>
  <c r="DM74" i="6" s="1"/>
  <c r="DE74" i="6" a="1"/>
  <c r="DE74" i="6" s="1"/>
  <c r="CK74" i="6"/>
  <c r="CQ74" i="6"/>
  <c r="CZ74" i="6" a="1"/>
  <c r="CZ74" i="6" s="1"/>
  <c r="BL74" i="6"/>
  <c r="BS74" i="6"/>
  <c r="BM74" i="6"/>
  <c r="CP74" i="6"/>
  <c r="DQ74" i="6" a="1"/>
  <c r="DQ74" i="6" s="1"/>
  <c r="DO74" i="6" a="1"/>
  <c r="DO74" i="6" s="1"/>
  <c r="CR74" i="6"/>
  <c r="DB74" i="6" a="1"/>
  <c r="DB74" i="6" s="1"/>
  <c r="CA74" i="6"/>
  <c r="CJ74" i="6"/>
  <c r="DL74" i="6" a="1"/>
  <c r="DL74" i="6" s="1"/>
  <c r="BN74" i="6"/>
  <c r="CX74" i="6" a="1"/>
  <c r="CX74" i="6" s="1"/>
  <c r="M77" i="6"/>
  <c r="J153" i="12" a="1"/>
  <c r="J153" i="12" s="1"/>
  <c r="L153" i="12" a="1"/>
  <c r="L153" i="12" s="1"/>
  <c r="A153" i="6"/>
  <c r="AD154" i="5"/>
  <c r="B154" i="6"/>
  <c r="G154" i="5"/>
  <c r="B154" i="5"/>
  <c r="N154" i="5"/>
  <c r="D154" i="6" s="1"/>
  <c r="H154" i="6" s="1" a="1"/>
  <c r="H154" i="6" s="1"/>
  <c r="T154" i="5" s="1"/>
  <c r="G154" i="12" s="1" a="1"/>
  <c r="G154" i="12" s="1"/>
  <c r="K154" i="5"/>
  <c r="D154" i="5"/>
  <c r="B154" i="12" s="1"/>
  <c r="A154" i="12"/>
  <c r="H154" i="5"/>
  <c r="AE154" i="5" a="1"/>
  <c r="AE154" i="5" s="1"/>
  <c r="C155" i="5"/>
  <c r="J154" i="5"/>
  <c r="E154" i="5"/>
  <c r="F154" i="5"/>
  <c r="K152" i="12"/>
  <c r="N152" i="6"/>
  <c r="L161" i="6"/>
  <c r="M81" i="6" l="1"/>
  <c r="M79" i="6"/>
  <c r="M78" i="6"/>
  <c r="M80" i="6"/>
  <c r="M82" i="6"/>
  <c r="BY77" i="6"/>
  <c r="CE77" i="6"/>
  <c r="CO77" i="6"/>
  <c r="BN77" i="6"/>
  <c r="CP77" i="6"/>
  <c r="DA77" i="6" a="1"/>
  <c r="DA77" i="6" s="1"/>
  <c r="CH77" i="6"/>
  <c r="BX77" i="6"/>
  <c r="BO77" i="6"/>
  <c r="DB77" i="6" a="1"/>
  <c r="DB77" i="6" s="1"/>
  <c r="BZ77" i="6"/>
  <c r="CC77" i="6"/>
  <c r="DN77" i="6" a="1"/>
  <c r="DN77" i="6" s="1"/>
  <c r="DK77" i="6" a="1"/>
  <c r="DK77" i="6" s="1"/>
  <c r="DQ77" i="6" a="1"/>
  <c r="DQ77" i="6" s="1"/>
  <c r="CG77" i="6"/>
  <c r="CW77" i="6" a="1"/>
  <c r="CW77" i="6" s="1"/>
  <c r="CF77" i="6"/>
  <c r="CI77" i="6"/>
  <c r="CY77" i="6" a="1"/>
  <c r="CY77" i="6" s="1"/>
  <c r="CQ77" i="6"/>
  <c r="DF77" i="6" a="1"/>
  <c r="DF77" i="6" s="1"/>
  <c r="BM77" i="6"/>
  <c r="CM77" i="6"/>
  <c r="DI77" i="6" a="1"/>
  <c r="DI77" i="6" s="1"/>
  <c r="CJ77" i="6"/>
  <c r="BU77" i="6"/>
  <c r="BS77" i="6"/>
  <c r="DP77" i="6" a="1"/>
  <c r="DP77" i="6" s="1"/>
  <c r="DE77" i="6" a="1"/>
  <c r="DE77" i="6" s="1"/>
  <c r="BL77" i="6"/>
  <c r="DR77" i="6" a="1"/>
  <c r="DR77" i="6" s="1"/>
  <c r="DJ77" i="6" a="1"/>
  <c r="DJ77" i="6" s="1"/>
  <c r="CD77" i="6"/>
  <c r="DL77" i="6" a="1"/>
  <c r="DL77" i="6" s="1"/>
  <c r="DM77" i="6" a="1"/>
  <c r="DM77" i="6" s="1"/>
  <c r="DG77" i="6" a="1"/>
  <c r="DG77" i="6" s="1"/>
  <c r="DD77" i="6" a="1"/>
  <c r="DD77" i="6" s="1"/>
  <c r="CX77" i="6" a="1"/>
  <c r="CX77" i="6" s="1"/>
  <c r="BQ77" i="6"/>
  <c r="BP77" i="6"/>
  <c r="DS77" i="6" a="1"/>
  <c r="DS77" i="6" s="1"/>
  <c r="CT77" i="6" a="1"/>
  <c r="CT77" i="6" s="1"/>
  <c r="CA77" i="6"/>
  <c r="CZ77" i="6" a="1"/>
  <c r="CZ77" i="6" s="1"/>
  <c r="CV77" i="6" a="1"/>
  <c r="CV77" i="6" s="1"/>
  <c r="CL77" i="6"/>
  <c r="DH77" i="6" a="1"/>
  <c r="DH77" i="6" s="1"/>
  <c r="BT77" i="6"/>
  <c r="CK77" i="6"/>
  <c r="BV77" i="6"/>
  <c r="DC77" i="6" a="1"/>
  <c r="DC77" i="6" s="1"/>
  <c r="CR77" i="6"/>
  <c r="CB77" i="6"/>
  <c r="BW77" i="6"/>
  <c r="DO77" i="6" a="1"/>
  <c r="DO77" i="6" s="1"/>
  <c r="CU77" i="6" a="1"/>
  <c r="CU77" i="6" s="1"/>
  <c r="CN77" i="6"/>
  <c r="K153" i="12"/>
  <c r="A154" i="6"/>
  <c r="N154" i="6" s="1"/>
  <c r="K155" i="5"/>
  <c r="J155" i="5"/>
  <c r="F155" i="5"/>
  <c r="B155" i="5"/>
  <c r="C156" i="5" s="1"/>
  <c r="N155" i="5"/>
  <c r="D155" i="6" s="1"/>
  <c r="H155" i="6" s="1" a="1"/>
  <c r="H155" i="6" s="1"/>
  <c r="T155" i="5" s="1"/>
  <c r="G155" i="12" s="1" a="1"/>
  <c r="G155" i="12" s="1"/>
  <c r="A155" i="12"/>
  <c r="E155" i="5"/>
  <c r="AE155" i="5" a="1"/>
  <c r="AE155" i="5" s="1"/>
  <c r="AD155" i="5"/>
  <c r="G155" i="5"/>
  <c r="H155" i="5"/>
  <c r="D155" i="5"/>
  <c r="B155" i="12" s="1"/>
  <c r="B155" i="6"/>
  <c r="L154" i="12" a="1"/>
  <c r="L154" i="12" s="1"/>
  <c r="J154" i="12" a="1"/>
  <c r="J154" i="12" s="1"/>
  <c r="N153" i="6"/>
  <c r="L162" i="6"/>
  <c r="DK82" i="6" l="1" a="1"/>
  <c r="DK82" i="6" s="1"/>
  <c r="DG82" i="6" a="1"/>
  <c r="DG82" i="6" s="1"/>
  <c r="DH82" i="6" a="1"/>
  <c r="DH82" i="6" s="1"/>
  <c r="CV82" i="6" a="1"/>
  <c r="CV82" i="6" s="1"/>
  <c r="BP82" i="6"/>
  <c r="CB82" i="6"/>
  <c r="CO82" i="6"/>
  <c r="CA82" i="6"/>
  <c r="DC82" i="6" a="1"/>
  <c r="DC82" i="6" s="1"/>
  <c r="BW82" i="6"/>
  <c r="CL82" i="6"/>
  <c r="BM82" i="6"/>
  <c r="DQ82" i="6" a="1"/>
  <c r="DQ82" i="6" s="1"/>
  <c r="BZ82" i="6"/>
  <c r="CW82" i="6" a="1"/>
  <c r="CW82" i="6" s="1"/>
  <c r="CX82" i="6" a="1"/>
  <c r="CX82" i="6" s="1"/>
  <c r="CJ82" i="6"/>
  <c r="CD82" i="6"/>
  <c r="DM82" i="6" a="1"/>
  <c r="DM82" i="6" s="1"/>
  <c r="DS82" i="6" a="1"/>
  <c r="DS82" i="6" s="1"/>
  <c r="CM82" i="6"/>
  <c r="CF82" i="6"/>
  <c r="CR82" i="6"/>
  <c r="BL82" i="6"/>
  <c r="CP82" i="6"/>
  <c r="DA82" i="6" a="1"/>
  <c r="DA82" i="6" s="1"/>
  <c r="BV82" i="6"/>
  <c r="BN82" i="6"/>
  <c r="CK82" i="6"/>
  <c r="CE82" i="6"/>
  <c r="DD82" i="6" a="1"/>
  <c r="DD82" i="6" s="1"/>
  <c r="CQ82" i="6"/>
  <c r="DE82" i="6" a="1"/>
  <c r="DE82" i="6" s="1"/>
  <c r="DI82" i="6" a="1"/>
  <c r="DI82" i="6" s="1"/>
  <c r="DR82" i="6" a="1"/>
  <c r="DR82" i="6" s="1"/>
  <c r="CN82" i="6"/>
  <c r="CZ82" i="6" a="1"/>
  <c r="CZ82" i="6" s="1"/>
  <c r="DO82" i="6" a="1"/>
  <c r="DO82" i="6" s="1"/>
  <c r="CI82" i="6"/>
  <c r="CC82" i="6"/>
  <c r="DN82" i="6" a="1"/>
  <c r="DN82" i="6" s="1"/>
  <c r="CG82" i="6"/>
  <c r="DF82" i="6" a="1"/>
  <c r="DF82" i="6" s="1"/>
  <c r="DL82" i="6" a="1"/>
  <c r="DL82" i="6" s="1"/>
  <c r="BO82" i="6"/>
  <c r="DP82" i="6" a="1"/>
  <c r="DP82" i="6" s="1"/>
  <c r="CU82" i="6" a="1"/>
  <c r="CU82" i="6" s="1"/>
  <c r="BX82" i="6"/>
  <c r="BS82" i="6"/>
  <c r="CH82" i="6"/>
  <c r="BT82" i="6"/>
  <c r="BY82" i="6"/>
  <c r="CY82" i="6" a="1"/>
  <c r="CY82" i="6" s="1"/>
  <c r="CT82" i="6" a="1"/>
  <c r="CT82" i="6" s="1"/>
  <c r="DB82" i="6" a="1"/>
  <c r="DB82" i="6" s="1"/>
  <c r="DJ82" i="6" a="1"/>
  <c r="DJ82" i="6" s="1"/>
  <c r="BQ82" i="6"/>
  <c r="BU82" i="6"/>
  <c r="M85" i="6"/>
  <c r="BS80" i="6"/>
  <c r="DC80" i="6" a="1"/>
  <c r="DC80" i="6" s="1"/>
  <c r="CQ80" i="6"/>
  <c r="CK80" i="6"/>
  <c r="CV80" i="6" a="1"/>
  <c r="CV80" i="6" s="1"/>
  <c r="DH80" i="6" a="1"/>
  <c r="DH80" i="6" s="1"/>
  <c r="DG80" i="6" a="1"/>
  <c r="DG80" i="6" s="1"/>
  <c r="BO80" i="6"/>
  <c r="CI80" i="6"/>
  <c r="DQ80" i="6" a="1"/>
  <c r="DQ80" i="6" s="1"/>
  <c r="CJ80" i="6"/>
  <c r="CL80" i="6"/>
  <c r="CO80" i="6"/>
  <c r="CE80" i="6"/>
  <c r="CR80" i="6"/>
  <c r="CH80" i="6"/>
  <c r="DO80" i="6" a="1"/>
  <c r="DO80" i="6" s="1"/>
  <c r="BZ80" i="6"/>
  <c r="CD80" i="6"/>
  <c r="BT80" i="6"/>
  <c r="BN80" i="6"/>
  <c r="DL80" i="6" a="1"/>
  <c r="DL80" i="6" s="1"/>
  <c r="DK80" i="6" a="1"/>
  <c r="DK80" i="6" s="1"/>
  <c r="CP80" i="6"/>
  <c r="CY80" i="6" a="1"/>
  <c r="CY80" i="6" s="1"/>
  <c r="BY80" i="6"/>
  <c r="DS80" i="6" a="1"/>
  <c r="DS80" i="6" s="1"/>
  <c r="DP80" i="6" a="1"/>
  <c r="DP80" i="6" s="1"/>
  <c r="CF80" i="6"/>
  <c r="BL80" i="6"/>
  <c r="CZ80" i="6" a="1"/>
  <c r="CZ80" i="6" s="1"/>
  <c r="BM80" i="6"/>
  <c r="BP80" i="6"/>
  <c r="CU80" i="6" a="1"/>
  <c r="CU80" i="6" s="1"/>
  <c r="CC80" i="6"/>
  <c r="DF80" i="6" a="1"/>
  <c r="DF80" i="6" s="1"/>
  <c r="BQ80" i="6"/>
  <c r="DM80" i="6" a="1"/>
  <c r="DM80" i="6" s="1"/>
  <c r="BX80" i="6"/>
  <c r="DN80" i="6" a="1"/>
  <c r="DN80" i="6" s="1"/>
  <c r="BU80" i="6"/>
  <c r="DE80" i="6" a="1"/>
  <c r="DE80" i="6" s="1"/>
  <c r="DR80" i="6" a="1"/>
  <c r="DR80" i="6" s="1"/>
  <c r="CN80" i="6"/>
  <c r="CM80" i="6"/>
  <c r="DB80" i="6" a="1"/>
  <c r="DB80" i="6" s="1"/>
  <c r="CX80" i="6" a="1"/>
  <c r="CX80" i="6" s="1"/>
  <c r="CW80" i="6" a="1"/>
  <c r="CW80" i="6" s="1"/>
  <c r="CB80" i="6"/>
  <c r="DD80" i="6" a="1"/>
  <c r="DD80" i="6" s="1"/>
  <c r="BW80" i="6"/>
  <c r="BV80" i="6"/>
  <c r="DI80" i="6" a="1"/>
  <c r="DI80" i="6" s="1"/>
  <c r="CT80" i="6" a="1"/>
  <c r="CT80" i="6" s="1"/>
  <c r="DA80" i="6" a="1"/>
  <c r="DA80" i="6" s="1"/>
  <c r="DJ80" i="6" a="1"/>
  <c r="DJ80" i="6" s="1"/>
  <c r="CA80" i="6"/>
  <c r="CG80" i="6"/>
  <c r="DC78" i="6" a="1"/>
  <c r="DC78" i="6" s="1"/>
  <c r="BQ78" i="6"/>
  <c r="DF78" i="6" a="1"/>
  <c r="DF78" i="6" s="1"/>
  <c r="CR78" i="6"/>
  <c r="DK78" i="6" a="1"/>
  <c r="DK78" i="6" s="1"/>
  <c r="CY78" i="6" a="1"/>
  <c r="CY78" i="6" s="1"/>
  <c r="BS78" i="6"/>
  <c r="DJ78" i="6" a="1"/>
  <c r="DJ78" i="6" s="1"/>
  <c r="DR78" i="6" a="1"/>
  <c r="DR78" i="6" s="1"/>
  <c r="DM78" i="6" a="1"/>
  <c r="DM78" i="6" s="1"/>
  <c r="CW78" i="6" a="1"/>
  <c r="CW78" i="6" s="1"/>
  <c r="CI78" i="6"/>
  <c r="CE78" i="6"/>
  <c r="DH78" i="6" a="1"/>
  <c r="DH78" i="6" s="1"/>
  <c r="CG78" i="6"/>
  <c r="DS78" i="6" a="1"/>
  <c r="DS78" i="6" s="1"/>
  <c r="CU78" i="6" a="1"/>
  <c r="CU78" i="6" s="1"/>
  <c r="BW78" i="6"/>
  <c r="BP78" i="6"/>
  <c r="DB78" i="6" a="1"/>
  <c r="DB78" i="6" s="1"/>
  <c r="CP78" i="6"/>
  <c r="CM78" i="6"/>
  <c r="BU78" i="6"/>
  <c r="BX78" i="6"/>
  <c r="DG78" i="6" a="1"/>
  <c r="DG78" i="6" s="1"/>
  <c r="BL78" i="6"/>
  <c r="CO78" i="6"/>
  <c r="BT78" i="6"/>
  <c r="BO78" i="6"/>
  <c r="CL78" i="6"/>
  <c r="DQ78" i="6" a="1"/>
  <c r="DQ78" i="6" s="1"/>
  <c r="BN78" i="6"/>
  <c r="DA78" i="6" a="1"/>
  <c r="DA78" i="6" s="1"/>
  <c r="CB78" i="6"/>
  <c r="CZ78" i="6" a="1"/>
  <c r="CZ78" i="6" s="1"/>
  <c r="BY78" i="6"/>
  <c r="DI78" i="6" a="1"/>
  <c r="DI78" i="6" s="1"/>
  <c r="CA78" i="6"/>
  <c r="DL78" i="6" a="1"/>
  <c r="DL78" i="6" s="1"/>
  <c r="BV78" i="6"/>
  <c r="CV78" i="6" a="1"/>
  <c r="CV78" i="6" s="1"/>
  <c r="CN78" i="6"/>
  <c r="BZ78" i="6"/>
  <c r="CC78" i="6"/>
  <c r="CK78" i="6"/>
  <c r="CH78" i="6"/>
  <c r="CD78" i="6"/>
  <c r="CX78" i="6" a="1"/>
  <c r="CX78" i="6" s="1"/>
  <c r="CQ78" i="6"/>
  <c r="DD78" i="6" a="1"/>
  <c r="DD78" i="6" s="1"/>
  <c r="CT78" i="6" a="1"/>
  <c r="CT78" i="6" s="1"/>
  <c r="CJ78" i="6"/>
  <c r="BM78" i="6"/>
  <c r="DE78" i="6" a="1"/>
  <c r="DE78" i="6" s="1"/>
  <c r="DO78" i="6" a="1"/>
  <c r="DO78" i="6" s="1"/>
  <c r="CF78" i="6"/>
  <c r="DN78" i="6" a="1"/>
  <c r="DN78" i="6" s="1"/>
  <c r="DP78" i="6" a="1"/>
  <c r="DP78" i="6" s="1"/>
  <c r="BL79" i="6"/>
  <c r="CH79" i="6"/>
  <c r="CB79" i="6"/>
  <c r="DA79" i="6" a="1"/>
  <c r="DA79" i="6" s="1"/>
  <c r="BV79" i="6"/>
  <c r="DF79" i="6" a="1"/>
  <c r="DF79" i="6" s="1"/>
  <c r="DC79" i="6" a="1"/>
  <c r="DC79" i="6" s="1"/>
  <c r="CG79" i="6"/>
  <c r="CZ79" i="6" a="1"/>
  <c r="CZ79" i="6" s="1"/>
  <c r="DM79" i="6" a="1"/>
  <c r="DM79" i="6" s="1"/>
  <c r="CY79" i="6" a="1"/>
  <c r="CY79" i="6" s="1"/>
  <c r="CO79" i="6"/>
  <c r="CE79" i="6"/>
  <c r="CX79" i="6" a="1"/>
  <c r="CX79" i="6" s="1"/>
  <c r="CU79" i="6" a="1"/>
  <c r="CU79" i="6" s="1"/>
  <c r="BQ79" i="6"/>
  <c r="CP79" i="6"/>
  <c r="BS79" i="6"/>
  <c r="DO79" i="6" a="1"/>
  <c r="DO79" i="6" s="1"/>
  <c r="CN79" i="6"/>
  <c r="CA79" i="6"/>
  <c r="CW79" i="6" a="1"/>
  <c r="CW79" i="6" s="1"/>
  <c r="CD79" i="6"/>
  <c r="DB79" i="6" a="1"/>
  <c r="DB79" i="6" s="1"/>
  <c r="BO79" i="6"/>
  <c r="BZ79" i="6"/>
  <c r="DK79" i="6" a="1"/>
  <c r="DK79" i="6" s="1"/>
  <c r="DN79" i="6" a="1"/>
  <c r="DN79" i="6" s="1"/>
  <c r="BT79" i="6"/>
  <c r="CQ79" i="6"/>
  <c r="CJ79" i="6"/>
  <c r="BW79" i="6"/>
  <c r="DH79" i="6" a="1"/>
  <c r="DH79" i="6" s="1"/>
  <c r="BY79" i="6"/>
  <c r="BN79" i="6"/>
  <c r="BP79" i="6"/>
  <c r="DJ79" i="6" a="1"/>
  <c r="DJ79" i="6" s="1"/>
  <c r="DL79" i="6" a="1"/>
  <c r="DL79" i="6" s="1"/>
  <c r="DG79" i="6" a="1"/>
  <c r="DG79" i="6" s="1"/>
  <c r="CM79" i="6"/>
  <c r="DE79" i="6" a="1"/>
  <c r="DE79" i="6" s="1"/>
  <c r="DI79" i="6" a="1"/>
  <c r="DI79" i="6" s="1"/>
  <c r="BX79" i="6"/>
  <c r="CT79" i="6" a="1"/>
  <c r="CT79" i="6" s="1"/>
  <c r="DP79" i="6" a="1"/>
  <c r="DP79" i="6" s="1"/>
  <c r="CK79" i="6"/>
  <c r="CF79" i="6"/>
  <c r="CC79" i="6"/>
  <c r="BU79" i="6"/>
  <c r="DQ79" i="6" a="1"/>
  <c r="DQ79" i="6" s="1"/>
  <c r="DD79" i="6" a="1"/>
  <c r="DD79" i="6" s="1"/>
  <c r="DR79" i="6" a="1"/>
  <c r="DR79" i="6" s="1"/>
  <c r="CL79" i="6"/>
  <c r="CV79" i="6" a="1"/>
  <c r="CV79" i="6" s="1"/>
  <c r="CI79" i="6"/>
  <c r="CR79" i="6"/>
  <c r="DS79" i="6" a="1"/>
  <c r="DS79" i="6" s="1"/>
  <c r="BM79" i="6"/>
  <c r="DK81" i="6" a="1"/>
  <c r="DK81" i="6" s="1"/>
  <c r="BW81" i="6"/>
  <c r="DR81" i="6" a="1"/>
  <c r="DR81" i="6" s="1"/>
  <c r="BN81" i="6"/>
  <c r="BU81" i="6"/>
  <c r="DE81" i="6" a="1"/>
  <c r="DE81" i="6" s="1"/>
  <c r="DA81" i="6" a="1"/>
  <c r="DA81" i="6" s="1"/>
  <c r="BT81" i="6"/>
  <c r="BZ81" i="6"/>
  <c r="DP81" i="6" a="1"/>
  <c r="DP81" i="6" s="1"/>
  <c r="BS81" i="6"/>
  <c r="BY81" i="6"/>
  <c r="CX81" i="6" a="1"/>
  <c r="CX81" i="6" s="1"/>
  <c r="CO81" i="6"/>
  <c r="DC81" i="6" a="1"/>
  <c r="DC81" i="6" s="1"/>
  <c r="DS81" i="6" a="1"/>
  <c r="DS81" i="6" s="1"/>
  <c r="BP81" i="6"/>
  <c r="CZ81" i="6" a="1"/>
  <c r="CZ81" i="6" s="1"/>
  <c r="BO81" i="6"/>
  <c r="CK81" i="6"/>
  <c r="DM81" i="6" a="1"/>
  <c r="DM81" i="6" s="1"/>
  <c r="CD81" i="6"/>
  <c r="DJ81" i="6" a="1"/>
  <c r="DJ81" i="6" s="1"/>
  <c r="CL81" i="6"/>
  <c r="BL81" i="6"/>
  <c r="CI81" i="6"/>
  <c r="DG81" i="6" a="1"/>
  <c r="DG81" i="6" s="1"/>
  <c r="DN81" i="6" a="1"/>
  <c r="DN81" i="6" s="1"/>
  <c r="CE81" i="6"/>
  <c r="CN81" i="6"/>
  <c r="CW81" i="6" a="1"/>
  <c r="CW81" i="6" s="1"/>
  <c r="CH81" i="6"/>
  <c r="DH81" i="6" a="1"/>
  <c r="DH81" i="6" s="1"/>
  <c r="CV81" i="6" a="1"/>
  <c r="CV81" i="6" s="1"/>
  <c r="CF81" i="6"/>
  <c r="DQ81" i="6" a="1"/>
  <c r="DQ81" i="6" s="1"/>
  <c r="CJ81" i="6"/>
  <c r="CR81" i="6"/>
  <c r="CT81" i="6" a="1"/>
  <c r="CT81" i="6" s="1"/>
  <c r="DF81" i="6" a="1"/>
  <c r="DF81" i="6" s="1"/>
  <c r="CU81" i="6" a="1"/>
  <c r="CU81" i="6" s="1"/>
  <c r="CG81" i="6"/>
  <c r="DL81" i="6" a="1"/>
  <c r="DL81" i="6" s="1"/>
  <c r="DB81" i="6" a="1"/>
  <c r="DB81" i="6" s="1"/>
  <c r="CP81" i="6"/>
  <c r="BV81" i="6"/>
  <c r="DO81" i="6" a="1"/>
  <c r="DO81" i="6" s="1"/>
  <c r="BQ81" i="6"/>
  <c r="CB81" i="6"/>
  <c r="CM81" i="6"/>
  <c r="BX81" i="6"/>
  <c r="CC81" i="6"/>
  <c r="DI81" i="6" a="1"/>
  <c r="DI81" i="6" s="1"/>
  <c r="CQ81" i="6"/>
  <c r="CA81" i="6"/>
  <c r="BM81" i="6"/>
  <c r="CY81" i="6" a="1"/>
  <c r="CY81" i="6" s="1"/>
  <c r="DD81" i="6" a="1"/>
  <c r="DD81" i="6" s="1"/>
  <c r="K154" i="12"/>
  <c r="A155" i="6"/>
  <c r="N155" i="6" s="1"/>
  <c r="L155" i="12" a="1"/>
  <c r="L155" i="12" s="1"/>
  <c r="J155" i="12" a="1"/>
  <c r="J155" i="12" s="1"/>
  <c r="W156" i="5" a="1"/>
  <c r="W156" i="5" s="1"/>
  <c r="H156" i="12" s="1" a="1"/>
  <c r="H156" i="12" s="1"/>
  <c r="F156" i="5"/>
  <c r="I156" i="5"/>
  <c r="N156" i="5"/>
  <c r="D156" i="6" s="1"/>
  <c r="M156" i="6" s="1"/>
  <c r="H156" i="5"/>
  <c r="E156" i="5"/>
  <c r="AD156" i="5"/>
  <c r="B156" i="6"/>
  <c r="A156" i="6" s="1"/>
  <c r="AF156" i="5" a="1"/>
  <c r="AF156" i="5" s="1"/>
  <c r="AG156" i="5" s="1" a="1"/>
  <c r="AG156" i="5" s="1"/>
  <c r="U156" i="5" s="1"/>
  <c r="AN156" i="5" s="1" a="1"/>
  <c r="AN156" i="5" s="1"/>
  <c r="A156" i="12"/>
  <c r="AE156" i="5" a="1"/>
  <c r="AE156" i="5" s="1"/>
  <c r="G156" i="5"/>
  <c r="C157" i="5"/>
  <c r="B156" i="5"/>
  <c r="L163" i="6"/>
  <c r="M87" i="6" l="1"/>
  <c r="M89" i="6"/>
  <c r="M88" i="6"/>
  <c r="M86" i="6"/>
  <c r="M90" i="6"/>
  <c r="DA85" i="6" a="1"/>
  <c r="DA85" i="6" s="1"/>
  <c r="CD85" i="6"/>
  <c r="CE85" i="6"/>
  <c r="CQ85" i="6"/>
  <c r="CP85" i="6"/>
  <c r="CA85" i="6"/>
  <c r="DE85" i="6" a="1"/>
  <c r="DE85" i="6" s="1"/>
  <c r="DI85" i="6" a="1"/>
  <c r="DI85" i="6" s="1"/>
  <c r="CN85" i="6"/>
  <c r="CU85" i="6" a="1"/>
  <c r="CU85" i="6" s="1"/>
  <c r="BN85" i="6"/>
  <c r="DR85" i="6" a="1"/>
  <c r="DR85" i="6" s="1"/>
  <c r="DQ85" i="6" a="1"/>
  <c r="DQ85" i="6" s="1"/>
  <c r="CG85" i="6"/>
  <c r="CC85" i="6"/>
  <c r="BV85" i="6"/>
  <c r="DB85" i="6" a="1"/>
  <c r="DB85" i="6" s="1"/>
  <c r="CY85" i="6" a="1"/>
  <c r="CY85" i="6" s="1"/>
  <c r="DH85" i="6" a="1"/>
  <c r="DH85" i="6" s="1"/>
  <c r="DS85" i="6" a="1"/>
  <c r="DS85" i="6" s="1"/>
  <c r="DD85" i="6" a="1"/>
  <c r="DD85" i="6" s="1"/>
  <c r="BX85" i="6"/>
  <c r="CR85" i="6"/>
  <c r="BM85" i="6"/>
  <c r="DF85" i="6" a="1"/>
  <c r="DF85" i="6" s="1"/>
  <c r="DL85" i="6" a="1"/>
  <c r="DL85" i="6" s="1"/>
  <c r="CI85" i="6"/>
  <c r="BP85" i="6"/>
  <c r="BW85" i="6"/>
  <c r="DO85" i="6" a="1"/>
  <c r="DO85" i="6" s="1"/>
  <c r="CZ85" i="6" a="1"/>
  <c r="CZ85" i="6" s="1"/>
  <c r="DC85" i="6" a="1"/>
  <c r="DC85" i="6" s="1"/>
  <c r="BT85" i="6"/>
  <c r="BY85" i="6"/>
  <c r="CJ85" i="6"/>
  <c r="DG85" i="6" a="1"/>
  <c r="DG85" i="6" s="1"/>
  <c r="BO85" i="6"/>
  <c r="BS85" i="6"/>
  <c r="CL85" i="6"/>
  <c r="BL85" i="6"/>
  <c r="CV85" i="6" a="1"/>
  <c r="CV85" i="6" s="1"/>
  <c r="CH85" i="6"/>
  <c r="CO85" i="6"/>
  <c r="CM85" i="6"/>
  <c r="CT85" i="6" a="1"/>
  <c r="CT85" i="6" s="1"/>
  <c r="CK85" i="6"/>
  <c r="BQ85" i="6"/>
  <c r="BU85" i="6"/>
  <c r="BZ85" i="6"/>
  <c r="CB85" i="6"/>
  <c r="CX85" i="6" a="1"/>
  <c r="CX85" i="6" s="1"/>
  <c r="DK85" i="6" a="1"/>
  <c r="DK85" i="6" s="1"/>
  <c r="DM85" i="6" a="1"/>
  <c r="DM85" i="6" s="1"/>
  <c r="CW85" i="6" a="1"/>
  <c r="CW85" i="6" s="1"/>
  <c r="DN85" i="6" a="1"/>
  <c r="DN85" i="6" s="1"/>
  <c r="DJ85" i="6" a="1"/>
  <c r="DJ85" i="6" s="1"/>
  <c r="DP85" i="6" a="1"/>
  <c r="DP85" i="6" s="1"/>
  <c r="CF85" i="6"/>
  <c r="N156" i="6"/>
  <c r="F157" i="5"/>
  <c r="N157" i="5"/>
  <c r="D157" i="6" s="1"/>
  <c r="H157" i="6" s="1" a="1"/>
  <c r="H157" i="6" s="1"/>
  <c r="T157" i="5" s="1"/>
  <c r="G157" i="12" s="1" a="1"/>
  <c r="G157" i="12" s="1"/>
  <c r="B157" i="5"/>
  <c r="G157" i="5"/>
  <c r="D157" i="5"/>
  <c r="B157" i="12" s="1"/>
  <c r="H157" i="5"/>
  <c r="E157" i="5"/>
  <c r="AE157" i="5" a="1"/>
  <c r="AE157" i="5" s="1"/>
  <c r="AD157" i="5"/>
  <c r="C158" i="5"/>
  <c r="B157" i="6"/>
  <c r="J157" i="5"/>
  <c r="A157" i="12"/>
  <c r="K157" i="5"/>
  <c r="H156" i="6" a="1"/>
  <c r="H156" i="6" s="1"/>
  <c r="T156" i="5" s="1"/>
  <c r="G156" i="12" s="1" a="1"/>
  <c r="G156" i="12" s="1"/>
  <c r="G156" i="6"/>
  <c r="K155" i="12"/>
  <c r="L164" i="6"/>
  <c r="DH156" i="6" a="1"/>
  <c r="DH156" i="6" s="1"/>
  <c r="CN156" i="6"/>
  <c r="CG156" i="6"/>
  <c r="CT156" i="6" a="1"/>
  <c r="CT156" i="6" s="1"/>
  <c r="BX156" i="6"/>
  <c r="DL156" i="6" a="1"/>
  <c r="DL156" i="6" s="1"/>
  <c r="DD156" i="6" a="1"/>
  <c r="DD156" i="6" s="1"/>
  <c r="CM156" i="6"/>
  <c r="BT156" i="6"/>
  <c r="CY156" i="6" a="1"/>
  <c r="CY156" i="6" s="1"/>
  <c r="DR156" i="6" a="1"/>
  <c r="DR156" i="6" s="1"/>
  <c r="DG156" i="6" a="1"/>
  <c r="DG156" i="6" s="1"/>
  <c r="CL156" i="6"/>
  <c r="CB156" i="6"/>
  <c r="BW156" i="6"/>
  <c r="DN156" i="6" a="1"/>
  <c r="DN156" i="6" s="1"/>
  <c r="DF156" i="6" a="1"/>
  <c r="DF156" i="6" s="1"/>
  <c r="CC156" i="6"/>
  <c r="DC156" i="6" a="1"/>
  <c r="DC156" i="6" s="1"/>
  <c r="BV156" i="6"/>
  <c r="CR156" i="6"/>
  <c r="DQ156" i="6" a="1"/>
  <c r="DQ156" i="6" s="1"/>
  <c r="DE156" i="6" a="1"/>
  <c r="DE156" i="6" s="1"/>
  <c r="CH156" i="6"/>
  <c r="CD156" i="6"/>
  <c r="BU156" i="6"/>
  <c r="DA156" i="6" a="1"/>
  <c r="DA156" i="6" s="1"/>
  <c r="DK156" i="6" a="1"/>
  <c r="DK156" i="6" s="1"/>
  <c r="DP156" i="6" a="1"/>
  <c r="DP156" i="6" s="1"/>
  <c r="CK156" i="6"/>
  <c r="CF156" i="6"/>
  <c r="CA156" i="6"/>
  <c r="CW156" i="6" a="1"/>
  <c r="CW156" i="6" s="1"/>
  <c r="CZ156" i="6" a="1"/>
  <c r="CZ156" i="6" s="1"/>
  <c r="DO156" i="6" a="1"/>
  <c r="DO156" i="6" s="1"/>
  <c r="CQ156" i="6"/>
  <c r="CV156" i="6" a="1"/>
  <c r="CV156" i="6" s="1"/>
  <c r="DM156" i="6" a="1"/>
  <c r="DM156" i="6" s="1"/>
  <c r="CP156" i="6"/>
  <c r="BS156" i="6"/>
  <c r="BZ156" i="6"/>
  <c r="CX156" i="6" a="1"/>
  <c r="CX156" i="6" s="1"/>
  <c r="DS156" i="6" a="1"/>
  <c r="DS156" i="6" s="1"/>
  <c r="CI156" i="6"/>
  <c r="DB156" i="6" a="1"/>
  <c r="DB156" i="6" s="1"/>
  <c r="CU156" i="6" a="1"/>
  <c r="CU156" i="6" s="1"/>
  <c r="DJ156" i="6" a="1"/>
  <c r="DJ156" i="6" s="1"/>
  <c r="CE156" i="6"/>
  <c r="CJ156" i="6"/>
  <c r="BY156" i="6"/>
  <c r="DI156" i="6" a="1"/>
  <c r="DI156" i="6" s="1"/>
  <c r="CO156" i="6"/>
  <c r="BL90" i="6" l="1"/>
  <c r="BZ90" i="6"/>
  <c r="DQ90" i="6" a="1"/>
  <c r="DQ90" i="6" s="1"/>
  <c r="DG90" i="6" a="1"/>
  <c r="DG90" i="6" s="1"/>
  <c r="DN90" i="6" a="1"/>
  <c r="DN90" i="6" s="1"/>
  <c r="BU90" i="6"/>
  <c r="CX90" i="6" a="1"/>
  <c r="CX90" i="6" s="1"/>
  <c r="CE90" i="6"/>
  <c r="BY90" i="6"/>
  <c r="DC90" i="6" a="1"/>
  <c r="DC90" i="6" s="1"/>
  <c r="BO90" i="6"/>
  <c r="CM90" i="6"/>
  <c r="BT90" i="6"/>
  <c r="DO90" i="6" a="1"/>
  <c r="DO90" i="6" s="1"/>
  <c r="DF90" i="6" a="1"/>
  <c r="DF90" i="6" s="1"/>
  <c r="CU90" i="6" a="1"/>
  <c r="CU90" i="6" s="1"/>
  <c r="BW90" i="6"/>
  <c r="BQ90" i="6"/>
  <c r="CT90" i="6" a="1"/>
  <c r="CT90" i="6" s="1"/>
  <c r="CW90" i="6" a="1"/>
  <c r="CW90" i="6" s="1"/>
  <c r="CC90" i="6"/>
  <c r="CP90" i="6"/>
  <c r="BN90" i="6"/>
  <c r="DA90" i="6" a="1"/>
  <c r="DA90" i="6" s="1"/>
  <c r="CL90" i="6"/>
  <c r="CB90" i="6"/>
  <c r="DI90" i="6" a="1"/>
  <c r="DI90" i="6" s="1"/>
  <c r="CK90" i="6"/>
  <c r="CJ90" i="6"/>
  <c r="BV90" i="6"/>
  <c r="CY90" i="6" a="1"/>
  <c r="CY90" i="6" s="1"/>
  <c r="CZ90" i="6" a="1"/>
  <c r="CZ90" i="6" s="1"/>
  <c r="CV90" i="6" a="1"/>
  <c r="CV90" i="6" s="1"/>
  <c r="CI90" i="6"/>
  <c r="CQ90" i="6"/>
  <c r="DD90" i="6" a="1"/>
  <c r="DD90" i="6" s="1"/>
  <c r="CH90" i="6"/>
  <c r="DH90" i="6" a="1"/>
  <c r="DH90" i="6" s="1"/>
  <c r="DE90" i="6" a="1"/>
  <c r="DE90" i="6" s="1"/>
  <c r="DS90" i="6" a="1"/>
  <c r="DS90" i="6" s="1"/>
  <c r="CO90" i="6"/>
  <c r="CA90" i="6"/>
  <c r="DR90" i="6" a="1"/>
  <c r="DR90" i="6" s="1"/>
  <c r="DP90" i="6" a="1"/>
  <c r="DP90" i="6" s="1"/>
  <c r="BX90" i="6"/>
  <c r="DL90" i="6" a="1"/>
  <c r="DL90" i="6" s="1"/>
  <c r="CF90" i="6"/>
  <c r="CD90" i="6"/>
  <c r="BP90" i="6"/>
  <c r="CG90" i="6"/>
  <c r="BM90" i="6"/>
  <c r="CN90" i="6"/>
  <c r="DB90" i="6" a="1"/>
  <c r="DB90" i="6" s="1"/>
  <c r="DJ90" i="6" a="1"/>
  <c r="DJ90" i="6" s="1"/>
  <c r="DM90" i="6" a="1"/>
  <c r="DM90" i="6" s="1"/>
  <c r="DK90" i="6" a="1"/>
  <c r="DK90" i="6" s="1"/>
  <c r="CR90" i="6"/>
  <c r="BS90" i="6"/>
  <c r="M92" i="6"/>
  <c r="DD86" i="6" a="1"/>
  <c r="DD86" i="6" s="1"/>
  <c r="CQ86" i="6"/>
  <c r="DK86" i="6" a="1"/>
  <c r="DK86" i="6" s="1"/>
  <c r="DM86" i="6" a="1"/>
  <c r="DM86" i="6" s="1"/>
  <c r="DG86" i="6" a="1"/>
  <c r="DG86" i="6" s="1"/>
  <c r="BP86" i="6"/>
  <c r="CY86" i="6" a="1"/>
  <c r="CY86" i="6" s="1"/>
  <c r="BZ86" i="6"/>
  <c r="CO86" i="6"/>
  <c r="CZ86" i="6" a="1"/>
  <c r="CZ86" i="6" s="1"/>
  <c r="BW86" i="6"/>
  <c r="BX86" i="6"/>
  <c r="BS86" i="6"/>
  <c r="BO86" i="6"/>
  <c r="BY86" i="6"/>
  <c r="DR86" i="6" a="1"/>
  <c r="DR86" i="6" s="1"/>
  <c r="DC86" i="6" a="1"/>
  <c r="DC86" i="6" s="1"/>
  <c r="DN86" i="6" a="1"/>
  <c r="DN86" i="6" s="1"/>
  <c r="BT86" i="6"/>
  <c r="DS86" i="6" a="1"/>
  <c r="DS86" i="6" s="1"/>
  <c r="CA86" i="6"/>
  <c r="DJ86" i="6" a="1"/>
  <c r="DJ86" i="6" s="1"/>
  <c r="CR86" i="6"/>
  <c r="DH86" i="6" a="1"/>
  <c r="DH86" i="6" s="1"/>
  <c r="DE86" i="6" a="1"/>
  <c r="DE86" i="6" s="1"/>
  <c r="CJ86" i="6"/>
  <c r="DQ86" i="6" a="1"/>
  <c r="DQ86" i="6" s="1"/>
  <c r="CH86" i="6"/>
  <c r="BN86" i="6"/>
  <c r="CK86" i="6"/>
  <c r="BL86" i="6"/>
  <c r="BQ86" i="6"/>
  <c r="CB86" i="6"/>
  <c r="BV86" i="6"/>
  <c r="DF86" i="6" a="1"/>
  <c r="DF86" i="6" s="1"/>
  <c r="CM86" i="6"/>
  <c r="BU86" i="6"/>
  <c r="CD86" i="6"/>
  <c r="DA86" i="6" a="1"/>
  <c r="DA86" i="6" s="1"/>
  <c r="CT86" i="6" a="1"/>
  <c r="CT86" i="6" s="1"/>
  <c r="CI86" i="6"/>
  <c r="CL86" i="6"/>
  <c r="BM86" i="6"/>
  <c r="CN86" i="6"/>
  <c r="CU86" i="6" a="1"/>
  <c r="CU86" i="6" s="1"/>
  <c r="CV86" i="6" a="1"/>
  <c r="CV86" i="6" s="1"/>
  <c r="CE86" i="6"/>
  <c r="CG86" i="6"/>
  <c r="CC86" i="6"/>
  <c r="DB86" i="6" a="1"/>
  <c r="DB86" i="6" s="1"/>
  <c r="CW86" i="6" a="1"/>
  <c r="CW86" i="6" s="1"/>
  <c r="CP86" i="6"/>
  <c r="DP86" i="6" a="1"/>
  <c r="DP86" i="6" s="1"/>
  <c r="CX86" i="6" a="1"/>
  <c r="CX86" i="6" s="1"/>
  <c r="DL86" i="6" a="1"/>
  <c r="DL86" i="6" s="1"/>
  <c r="DI86" i="6" a="1"/>
  <c r="DI86" i="6" s="1"/>
  <c r="CF86" i="6"/>
  <c r="DO86" i="6" a="1"/>
  <c r="DO86" i="6" s="1"/>
  <c r="CH88" i="6"/>
  <c r="DC88" i="6" a="1"/>
  <c r="DC88" i="6" s="1"/>
  <c r="CC88" i="6"/>
  <c r="DD88" i="6" a="1"/>
  <c r="DD88" i="6" s="1"/>
  <c r="CW88" i="6" a="1"/>
  <c r="CW88" i="6" s="1"/>
  <c r="BL88" i="6"/>
  <c r="CO88" i="6"/>
  <c r="DA88" i="6" a="1"/>
  <c r="DA88" i="6" s="1"/>
  <c r="DS88" i="6" a="1"/>
  <c r="DS88" i="6" s="1"/>
  <c r="DP88" i="6" a="1"/>
  <c r="DP88" i="6" s="1"/>
  <c r="DR88" i="6" a="1"/>
  <c r="DR88" i="6" s="1"/>
  <c r="BQ88" i="6"/>
  <c r="DL88" i="6" a="1"/>
  <c r="DL88" i="6" s="1"/>
  <c r="DG88" i="6" a="1"/>
  <c r="DG88" i="6" s="1"/>
  <c r="BS88" i="6"/>
  <c r="CB88" i="6"/>
  <c r="BW88" i="6"/>
  <c r="BX88" i="6"/>
  <c r="CK88" i="6"/>
  <c r="CA88" i="6"/>
  <c r="CR88" i="6"/>
  <c r="CI88" i="6"/>
  <c r="CD88" i="6"/>
  <c r="CQ88" i="6"/>
  <c r="BO88" i="6"/>
  <c r="BT88" i="6"/>
  <c r="CU88" i="6" a="1"/>
  <c r="CU88" i="6" s="1"/>
  <c r="CE88" i="6"/>
  <c r="BY88" i="6"/>
  <c r="DE88" i="6" a="1"/>
  <c r="DE88" i="6" s="1"/>
  <c r="DI88" i="6" a="1"/>
  <c r="DI88" i="6" s="1"/>
  <c r="BV88" i="6"/>
  <c r="CZ88" i="6" a="1"/>
  <c r="CZ88" i="6" s="1"/>
  <c r="CM88" i="6"/>
  <c r="CT88" i="6" a="1"/>
  <c r="CT88" i="6" s="1"/>
  <c r="CG88" i="6"/>
  <c r="DM88" i="6" a="1"/>
  <c r="DM88" i="6" s="1"/>
  <c r="DN88" i="6" a="1"/>
  <c r="DN88" i="6" s="1"/>
  <c r="BP88" i="6"/>
  <c r="BN88" i="6"/>
  <c r="BU88" i="6"/>
  <c r="DQ88" i="6" a="1"/>
  <c r="DQ88" i="6" s="1"/>
  <c r="CP88" i="6"/>
  <c r="CN88" i="6"/>
  <c r="DH88" i="6" a="1"/>
  <c r="DH88" i="6" s="1"/>
  <c r="DB88" i="6" a="1"/>
  <c r="DB88" i="6" s="1"/>
  <c r="DK88" i="6" a="1"/>
  <c r="DK88" i="6" s="1"/>
  <c r="CF88" i="6"/>
  <c r="DF88" i="6" a="1"/>
  <c r="DF88" i="6" s="1"/>
  <c r="DJ88" i="6" a="1"/>
  <c r="DJ88" i="6" s="1"/>
  <c r="BM88" i="6"/>
  <c r="CV88" i="6" a="1"/>
  <c r="CV88" i="6" s="1"/>
  <c r="CX88" i="6" a="1"/>
  <c r="CX88" i="6" s="1"/>
  <c r="BZ88" i="6"/>
  <c r="CL88" i="6"/>
  <c r="DO88" i="6" a="1"/>
  <c r="DO88" i="6" s="1"/>
  <c r="CJ88" i="6"/>
  <c r="CY88" i="6" a="1"/>
  <c r="CY88" i="6" s="1"/>
  <c r="BN89" i="6"/>
  <c r="BQ89" i="6"/>
  <c r="CK89" i="6"/>
  <c r="BO89" i="6"/>
  <c r="CC89" i="6"/>
  <c r="CF89" i="6"/>
  <c r="CB89" i="6"/>
  <c r="DG89" i="6" a="1"/>
  <c r="DG89" i="6" s="1"/>
  <c r="CA89" i="6"/>
  <c r="CM89" i="6"/>
  <c r="BM89" i="6"/>
  <c r="CP89" i="6"/>
  <c r="DS89" i="6" a="1"/>
  <c r="DS89" i="6" s="1"/>
  <c r="BU89" i="6"/>
  <c r="CR89" i="6"/>
  <c r="CQ89" i="6"/>
  <c r="DH89" i="6" a="1"/>
  <c r="DH89" i="6" s="1"/>
  <c r="DI89" i="6" a="1"/>
  <c r="DI89" i="6" s="1"/>
  <c r="BX89" i="6"/>
  <c r="CW89" i="6" a="1"/>
  <c r="CW89" i="6" s="1"/>
  <c r="DN89" i="6" a="1"/>
  <c r="DN89" i="6" s="1"/>
  <c r="CE89" i="6"/>
  <c r="BY89" i="6"/>
  <c r="BL89" i="6"/>
  <c r="BS89" i="6"/>
  <c r="DF89" i="6" a="1"/>
  <c r="DF89" i="6" s="1"/>
  <c r="CZ89" i="6" a="1"/>
  <c r="CZ89" i="6" s="1"/>
  <c r="CJ89" i="6"/>
  <c r="DQ89" i="6" a="1"/>
  <c r="DQ89" i="6" s="1"/>
  <c r="CD89" i="6"/>
  <c r="DC89" i="6" a="1"/>
  <c r="DC89" i="6" s="1"/>
  <c r="BV89" i="6"/>
  <c r="DB89" i="6" a="1"/>
  <c r="DB89" i="6" s="1"/>
  <c r="CT89" i="6" a="1"/>
  <c r="CT89" i="6" s="1"/>
  <c r="DJ89" i="6" a="1"/>
  <c r="DJ89" i="6" s="1"/>
  <c r="DM89" i="6" a="1"/>
  <c r="DM89" i="6" s="1"/>
  <c r="CH89" i="6"/>
  <c r="CX89" i="6" a="1"/>
  <c r="CX89" i="6" s="1"/>
  <c r="CG89" i="6"/>
  <c r="DK89" i="6" a="1"/>
  <c r="DK89" i="6" s="1"/>
  <c r="DO89" i="6" a="1"/>
  <c r="DO89" i="6" s="1"/>
  <c r="CL89" i="6"/>
  <c r="BT89" i="6"/>
  <c r="DR89" i="6" a="1"/>
  <c r="DR89" i="6" s="1"/>
  <c r="CI89" i="6"/>
  <c r="CU89" i="6" a="1"/>
  <c r="CU89" i="6" s="1"/>
  <c r="BZ89" i="6"/>
  <c r="DE89" i="6" a="1"/>
  <c r="DE89" i="6" s="1"/>
  <c r="DA89" i="6" a="1"/>
  <c r="DA89" i="6" s="1"/>
  <c r="BW89" i="6"/>
  <c r="DD89" i="6" a="1"/>
  <c r="DD89" i="6" s="1"/>
  <c r="CY89" i="6" a="1"/>
  <c r="CY89" i="6" s="1"/>
  <c r="DP89" i="6" a="1"/>
  <c r="DP89" i="6" s="1"/>
  <c r="CV89" i="6" a="1"/>
  <c r="CV89" i="6" s="1"/>
  <c r="CO89" i="6"/>
  <c r="CN89" i="6"/>
  <c r="DL89" i="6" a="1"/>
  <c r="DL89" i="6" s="1"/>
  <c r="BP89" i="6"/>
  <c r="CW87" i="6" a="1"/>
  <c r="CW87" i="6" s="1"/>
  <c r="DQ87" i="6" a="1"/>
  <c r="DQ87" i="6" s="1"/>
  <c r="BN87" i="6"/>
  <c r="BP87" i="6"/>
  <c r="CK87" i="6"/>
  <c r="CJ87" i="6"/>
  <c r="CF87" i="6"/>
  <c r="CM87" i="6"/>
  <c r="DR87" i="6" a="1"/>
  <c r="DR87" i="6" s="1"/>
  <c r="DK87" i="6" a="1"/>
  <c r="DK87" i="6" s="1"/>
  <c r="CX87" i="6" a="1"/>
  <c r="CX87" i="6" s="1"/>
  <c r="BU87" i="6"/>
  <c r="CO87" i="6"/>
  <c r="BL87" i="6"/>
  <c r="CL87" i="6"/>
  <c r="DB87" i="6" a="1"/>
  <c r="DB87" i="6" s="1"/>
  <c r="CD87" i="6"/>
  <c r="DG87" i="6" a="1"/>
  <c r="DG87" i="6" s="1"/>
  <c r="CA87" i="6"/>
  <c r="DP87" i="6" a="1"/>
  <c r="DP87" i="6" s="1"/>
  <c r="DC87" i="6" a="1"/>
  <c r="DC87" i="6" s="1"/>
  <c r="BZ87" i="6"/>
  <c r="BW87" i="6"/>
  <c r="CH87" i="6"/>
  <c r="CY87" i="6" a="1"/>
  <c r="CY87" i="6" s="1"/>
  <c r="DH87" i="6" a="1"/>
  <c r="DH87" i="6" s="1"/>
  <c r="DO87" i="6" a="1"/>
  <c r="DO87" i="6" s="1"/>
  <c r="DS87" i="6" a="1"/>
  <c r="DS87" i="6" s="1"/>
  <c r="DF87" i="6" a="1"/>
  <c r="DF87" i="6" s="1"/>
  <c r="DI87" i="6" a="1"/>
  <c r="DI87" i="6" s="1"/>
  <c r="CC87" i="6"/>
  <c r="DA87" i="6" a="1"/>
  <c r="DA87" i="6" s="1"/>
  <c r="CT87" i="6" a="1"/>
  <c r="CT87" i="6" s="1"/>
  <c r="CU87" i="6" a="1"/>
  <c r="CU87" i="6" s="1"/>
  <c r="CI87" i="6"/>
  <c r="BT87" i="6"/>
  <c r="DD87" i="6" a="1"/>
  <c r="DD87" i="6" s="1"/>
  <c r="CE87" i="6"/>
  <c r="DE87" i="6" a="1"/>
  <c r="DE87" i="6" s="1"/>
  <c r="BV87" i="6"/>
  <c r="DN87" i="6" a="1"/>
  <c r="DN87" i="6" s="1"/>
  <c r="BO87" i="6"/>
  <c r="BM87" i="6"/>
  <c r="CN87" i="6"/>
  <c r="CB87" i="6"/>
  <c r="BY87" i="6"/>
  <c r="CQ87" i="6"/>
  <c r="CZ87" i="6" a="1"/>
  <c r="CZ87" i="6" s="1"/>
  <c r="DL87" i="6" a="1"/>
  <c r="DL87" i="6" s="1"/>
  <c r="DM87" i="6" a="1"/>
  <c r="DM87" i="6" s="1"/>
  <c r="CR87" i="6"/>
  <c r="CG87" i="6"/>
  <c r="CV87" i="6" a="1"/>
  <c r="CV87" i="6" s="1"/>
  <c r="CP87" i="6"/>
  <c r="BX87" i="6"/>
  <c r="BQ87" i="6"/>
  <c r="BS87" i="6"/>
  <c r="DJ87" i="6" a="1"/>
  <c r="DJ87" i="6" s="1"/>
  <c r="BA156" i="6"/>
  <c r="AT156" i="6"/>
  <c r="BJ156" i="6"/>
  <c r="AS156" i="6"/>
  <c r="BD156" i="6"/>
  <c r="BI156" i="6"/>
  <c r="AV156" i="6"/>
  <c r="BC156" i="6"/>
  <c r="BG156" i="6"/>
  <c r="BL156" i="6"/>
  <c r="BO156" i="6"/>
  <c r="BP156" i="6"/>
  <c r="AW156" i="6"/>
  <c r="BK156" i="6"/>
  <c r="AU156" i="6"/>
  <c r="BM156" i="6"/>
  <c r="BN156" i="6"/>
  <c r="BB156" i="6"/>
  <c r="AX156" i="6"/>
  <c r="AR156" i="6"/>
  <c r="BF156" i="6"/>
  <c r="BH156" i="6"/>
  <c r="BQ156" i="6"/>
  <c r="BE156" i="6"/>
  <c r="AZ156" i="6"/>
  <c r="AY156" i="6"/>
  <c r="A157" i="6"/>
  <c r="J158" i="5"/>
  <c r="B158" i="6"/>
  <c r="F158" i="5"/>
  <c r="C159" i="5"/>
  <c r="AD158" i="5"/>
  <c r="B158" i="5"/>
  <c r="G158" i="5"/>
  <c r="A158" i="12"/>
  <c r="D158" i="5"/>
  <c r="B158" i="12" s="1"/>
  <c r="H158" i="5"/>
  <c r="K158" i="5"/>
  <c r="E158" i="5"/>
  <c r="N158" i="5"/>
  <c r="D158" i="6" s="1"/>
  <c r="H158" i="6" s="1" a="1"/>
  <c r="H158" i="6" s="1"/>
  <c r="T158" i="5" s="1"/>
  <c r="G158" i="12" s="1" a="1"/>
  <c r="G158" i="12" s="1"/>
  <c r="AE158" i="5" a="1"/>
  <c r="AE158" i="5" s="1"/>
  <c r="J157" i="12" a="1"/>
  <c r="J157" i="12" s="1"/>
  <c r="L157" i="12" a="1"/>
  <c r="L157" i="12" s="1"/>
  <c r="L165" i="6"/>
  <c r="M93" i="6" l="1"/>
  <c r="CN92" i="6"/>
  <c r="DK92" i="6" a="1"/>
  <c r="DK92" i="6" s="1"/>
  <c r="DB92" i="6" a="1"/>
  <c r="DB92" i="6" s="1"/>
  <c r="CX92" i="6" a="1"/>
  <c r="CX92" i="6" s="1"/>
  <c r="BX92" i="6"/>
  <c r="CP92" i="6"/>
  <c r="DH92" i="6" a="1"/>
  <c r="DH92" i="6" s="1"/>
  <c r="BW92" i="6"/>
  <c r="CB92" i="6"/>
  <c r="CO92" i="6"/>
  <c r="BU92" i="6"/>
  <c r="DJ92" i="6" a="1"/>
  <c r="DJ92" i="6" s="1"/>
  <c r="DG92" i="6" a="1"/>
  <c r="DG92" i="6" s="1"/>
  <c r="BL92" i="6"/>
  <c r="BQ92" i="6"/>
  <c r="CA92" i="6"/>
  <c r="DD92" i="6" a="1"/>
  <c r="DD92" i="6" s="1"/>
  <c r="DR92" i="6" a="1"/>
  <c r="DR92" i="6" s="1"/>
  <c r="DN92" i="6" a="1"/>
  <c r="DN92" i="6" s="1"/>
  <c r="CQ92" i="6"/>
  <c r="CT92" i="6" a="1"/>
  <c r="CT92" i="6" s="1"/>
  <c r="BS92" i="6"/>
  <c r="DS92" i="6" a="1"/>
  <c r="DS92" i="6" s="1"/>
  <c r="DP92" i="6" a="1"/>
  <c r="DP92" i="6" s="1"/>
  <c r="CD92" i="6"/>
  <c r="DF92" i="6" a="1"/>
  <c r="DF92" i="6" s="1"/>
  <c r="CU92" i="6" a="1"/>
  <c r="CU92" i="6" s="1"/>
  <c r="CH92" i="6"/>
  <c r="CJ92" i="6"/>
  <c r="BV92" i="6"/>
  <c r="CY92" i="6" a="1"/>
  <c r="CY92" i="6" s="1"/>
  <c r="CC92" i="6"/>
  <c r="CM92" i="6"/>
  <c r="CF92" i="6"/>
  <c r="DM92" i="6" a="1"/>
  <c r="DM92" i="6" s="1"/>
  <c r="CK92" i="6"/>
  <c r="DL92" i="6" a="1"/>
  <c r="DL92" i="6" s="1"/>
  <c r="CG92" i="6"/>
  <c r="DE92" i="6" a="1"/>
  <c r="DE92" i="6" s="1"/>
  <c r="DI92" i="6" a="1"/>
  <c r="DI92" i="6" s="1"/>
  <c r="DA92" i="6" a="1"/>
  <c r="DA92" i="6" s="1"/>
  <c r="DQ92" i="6" a="1"/>
  <c r="DQ92" i="6" s="1"/>
  <c r="DC92" i="6" a="1"/>
  <c r="DC92" i="6" s="1"/>
  <c r="CZ92" i="6" a="1"/>
  <c r="CZ92" i="6" s="1"/>
  <c r="BP92" i="6"/>
  <c r="CL92" i="6"/>
  <c r="CE92" i="6"/>
  <c r="BM92" i="6"/>
  <c r="BO92" i="6"/>
  <c r="BN92" i="6"/>
  <c r="BT92" i="6"/>
  <c r="CI92" i="6"/>
  <c r="DO92" i="6" a="1"/>
  <c r="DO92" i="6" s="1"/>
  <c r="CW92" i="6" a="1"/>
  <c r="CW92" i="6" s="1"/>
  <c r="BZ92" i="6"/>
  <c r="BY92" i="6"/>
  <c r="CV92" i="6" a="1"/>
  <c r="CV92" i="6" s="1"/>
  <c r="CR92" i="6"/>
  <c r="K157" i="12"/>
  <c r="N157" i="6"/>
  <c r="A159" i="12"/>
  <c r="B159" i="5"/>
  <c r="N159" i="5"/>
  <c r="D159" i="6" s="1"/>
  <c r="H159" i="6" s="1" a="1"/>
  <c r="H159" i="6" s="1"/>
  <c r="T159" i="5" s="1"/>
  <c r="G159" i="12" s="1" a="1"/>
  <c r="G159" i="12" s="1"/>
  <c r="J159" i="5"/>
  <c r="E159" i="5"/>
  <c r="B159" i="6"/>
  <c r="H159" i="5"/>
  <c r="D159" i="5"/>
  <c r="B159" i="12" s="1"/>
  <c r="AE159" i="5" a="1"/>
  <c r="AE159" i="5" s="1"/>
  <c r="C160" i="5"/>
  <c r="AD159" i="5"/>
  <c r="K159" i="5"/>
  <c r="F159" i="5"/>
  <c r="G159" i="5"/>
  <c r="A158" i="6"/>
  <c r="L158" i="12" a="1"/>
  <c r="L158" i="12" s="1"/>
  <c r="J158" i="12" a="1"/>
  <c r="J158" i="12" s="1"/>
  <c r="L166" i="6"/>
  <c r="BQ93" i="6" l="1"/>
  <c r="CC93" i="6"/>
  <c r="CL93" i="6"/>
  <c r="DC93" i="6" a="1"/>
  <c r="DC93" i="6" s="1"/>
  <c r="DJ93" i="6" a="1"/>
  <c r="DJ93" i="6" s="1"/>
  <c r="BU93" i="6"/>
  <c r="BS93" i="6"/>
  <c r="CX93" i="6" a="1"/>
  <c r="CX93" i="6" s="1"/>
  <c r="DG93" i="6" a="1"/>
  <c r="DG93" i="6" s="1"/>
  <c r="DO93" i="6" a="1"/>
  <c r="DO93" i="6" s="1"/>
  <c r="BX93" i="6"/>
  <c r="DF93" i="6" a="1"/>
  <c r="DF93" i="6" s="1"/>
  <c r="BM93" i="6"/>
  <c r="CY93" i="6" a="1"/>
  <c r="CY93" i="6" s="1"/>
  <c r="CZ93" i="6" a="1"/>
  <c r="CZ93" i="6" s="1"/>
  <c r="CD93" i="6"/>
  <c r="CP93" i="6"/>
  <c r="DD93" i="6" a="1"/>
  <c r="DD93" i="6" s="1"/>
  <c r="CQ93" i="6"/>
  <c r="CW93" i="6" a="1"/>
  <c r="CW93" i="6" s="1"/>
  <c r="CG93" i="6"/>
  <c r="CO93" i="6"/>
  <c r="DK93" i="6" a="1"/>
  <c r="DK93" i="6" s="1"/>
  <c r="DS93" i="6" a="1"/>
  <c r="DS93" i="6" s="1"/>
  <c r="CF93" i="6"/>
  <c r="DN93" i="6" a="1"/>
  <c r="DN93" i="6" s="1"/>
  <c r="CE93" i="6"/>
  <c r="CV93" i="6" a="1"/>
  <c r="CV93" i="6" s="1"/>
  <c r="BN93" i="6"/>
  <c r="DH93" i="6" a="1"/>
  <c r="DH93" i="6" s="1"/>
  <c r="DQ93" i="6" a="1"/>
  <c r="DQ93" i="6" s="1"/>
  <c r="DB93" i="6" a="1"/>
  <c r="DB93" i="6" s="1"/>
  <c r="CR93" i="6"/>
  <c r="DE93" i="6" a="1"/>
  <c r="DE93" i="6" s="1"/>
  <c r="BT93" i="6"/>
  <c r="CK93" i="6"/>
  <c r="BY93" i="6"/>
  <c r="DI93" i="6" a="1"/>
  <c r="DI93" i="6" s="1"/>
  <c r="BV93" i="6"/>
  <c r="CJ93" i="6"/>
  <c r="CN93" i="6"/>
  <c r="CU93" i="6" a="1"/>
  <c r="CU93" i="6" s="1"/>
  <c r="CM93" i="6"/>
  <c r="CH93" i="6"/>
  <c r="BZ93" i="6"/>
  <c r="BP93" i="6"/>
  <c r="DP93" i="6" a="1"/>
  <c r="DP93" i="6" s="1"/>
  <c r="DR93" i="6" a="1"/>
  <c r="DR93" i="6" s="1"/>
  <c r="CB93" i="6"/>
  <c r="DL93" i="6" a="1"/>
  <c r="DL93" i="6" s="1"/>
  <c r="CT93" i="6" a="1"/>
  <c r="CT93" i="6" s="1"/>
  <c r="DM93" i="6" a="1"/>
  <c r="DM93" i="6" s="1"/>
  <c r="BL93" i="6"/>
  <c r="BO93" i="6"/>
  <c r="BW93" i="6"/>
  <c r="CA93" i="6"/>
  <c r="CI93" i="6"/>
  <c r="DA93" i="6" a="1"/>
  <c r="DA93" i="6" s="1"/>
  <c r="M95" i="6"/>
  <c r="A159" i="6"/>
  <c r="B160" i="6"/>
  <c r="G160" i="5"/>
  <c r="H160" i="5"/>
  <c r="B160" i="5"/>
  <c r="D160" i="5"/>
  <c r="B160" i="12" s="1"/>
  <c r="AE160" i="5" a="1"/>
  <c r="AE160" i="5" s="1"/>
  <c r="AD160" i="5"/>
  <c r="K160" i="5"/>
  <c r="J160" i="5"/>
  <c r="N160" i="5"/>
  <c r="D160" i="6" s="1"/>
  <c r="H160" i="6" s="1" a="1"/>
  <c r="H160" i="6" s="1"/>
  <c r="T160" i="5" s="1"/>
  <c r="G160" i="12" s="1" a="1"/>
  <c r="G160" i="12" s="1"/>
  <c r="F160" i="5"/>
  <c r="A160" i="12"/>
  <c r="E160" i="5"/>
  <c r="C161" i="5"/>
  <c r="J159" i="12" a="1"/>
  <c r="J159" i="12" s="1"/>
  <c r="L159" i="12" a="1"/>
  <c r="L159" i="12" s="1"/>
  <c r="K158" i="12"/>
  <c r="N158" i="6"/>
  <c r="L167" i="6"/>
  <c r="F166" i="6"/>
  <c r="M96" i="6" l="1"/>
  <c r="M97" i="6"/>
  <c r="M98" i="6"/>
  <c r="DS95" i="6" a="1"/>
  <c r="DS95" i="6" s="1"/>
  <c r="CX95" i="6" a="1"/>
  <c r="CX95" i="6" s="1"/>
  <c r="CR95" i="6"/>
  <c r="CI95" i="6"/>
  <c r="CC95" i="6"/>
  <c r="CW95" i="6" a="1"/>
  <c r="CW95" i="6" s="1"/>
  <c r="DM95" i="6" a="1"/>
  <c r="DM95" i="6" s="1"/>
  <c r="DG95" i="6" a="1"/>
  <c r="DG95" i="6" s="1"/>
  <c r="CY95" i="6" a="1"/>
  <c r="CY95" i="6" s="1"/>
  <c r="CF95" i="6"/>
  <c r="CK95" i="6"/>
  <c r="BW95" i="6"/>
  <c r="DF95" i="6" a="1"/>
  <c r="DF95" i="6" s="1"/>
  <c r="CP95" i="6"/>
  <c r="DQ95" i="6" a="1"/>
  <c r="DQ95" i="6" s="1"/>
  <c r="DP95" i="6" a="1"/>
  <c r="DP95" i="6" s="1"/>
  <c r="BY95" i="6"/>
  <c r="DJ95" i="6" a="1"/>
  <c r="DJ95" i="6" s="1"/>
  <c r="CA95" i="6"/>
  <c r="DN95" i="6" a="1"/>
  <c r="DN95" i="6" s="1"/>
  <c r="BT95" i="6"/>
  <c r="BZ95" i="6"/>
  <c r="DR95" i="6" a="1"/>
  <c r="DR95" i="6" s="1"/>
  <c r="CE95" i="6"/>
  <c r="BV95" i="6"/>
  <c r="CL95" i="6"/>
  <c r="CM95" i="6"/>
  <c r="CN95" i="6"/>
  <c r="BQ95" i="6"/>
  <c r="CH95" i="6"/>
  <c r="DO95" i="6" a="1"/>
  <c r="DO95" i="6" s="1"/>
  <c r="CQ95" i="6"/>
  <c r="CV95" i="6" a="1"/>
  <c r="CV95" i="6" s="1"/>
  <c r="BL95" i="6"/>
  <c r="BU95" i="6"/>
  <c r="CB95" i="6"/>
  <c r="DI95" i="6" a="1"/>
  <c r="DI95" i="6" s="1"/>
  <c r="CZ95" i="6" a="1"/>
  <c r="CZ95" i="6" s="1"/>
  <c r="CU95" i="6" a="1"/>
  <c r="CU95" i="6" s="1"/>
  <c r="BN95" i="6"/>
  <c r="DK95" i="6" a="1"/>
  <c r="DK95" i="6" s="1"/>
  <c r="DE95" i="6" a="1"/>
  <c r="DE95" i="6" s="1"/>
  <c r="CO95" i="6"/>
  <c r="DD95" i="6" a="1"/>
  <c r="DD95" i="6" s="1"/>
  <c r="CT95" i="6" a="1"/>
  <c r="CT95" i="6" s="1"/>
  <c r="DB95" i="6" a="1"/>
  <c r="DB95" i="6" s="1"/>
  <c r="BM95" i="6"/>
  <c r="BX95" i="6"/>
  <c r="DH95" i="6" a="1"/>
  <c r="DH95" i="6" s="1"/>
  <c r="DC95" i="6" a="1"/>
  <c r="DC95" i="6" s="1"/>
  <c r="DA95" i="6" a="1"/>
  <c r="DA95" i="6" s="1"/>
  <c r="DL95" i="6" a="1"/>
  <c r="DL95" i="6" s="1"/>
  <c r="BP95" i="6"/>
  <c r="CD95" i="6"/>
  <c r="BO95" i="6"/>
  <c r="CJ95" i="6"/>
  <c r="BS95" i="6"/>
  <c r="CG95" i="6"/>
  <c r="A161" i="12"/>
  <c r="G161" i="5"/>
  <c r="B161" i="6"/>
  <c r="AD161" i="5"/>
  <c r="H161" i="5"/>
  <c r="N161" i="5"/>
  <c r="D161" i="6" s="1"/>
  <c r="H161" i="6" s="1" a="1"/>
  <c r="H161" i="6" s="1"/>
  <c r="T161" i="5" s="1"/>
  <c r="G161" i="12" s="1" a="1"/>
  <c r="G161" i="12" s="1"/>
  <c r="B161" i="5"/>
  <c r="D161" i="5"/>
  <c r="B161" i="12" s="1"/>
  <c r="AE161" i="5" a="1"/>
  <c r="AE161" i="5" s="1"/>
  <c r="C162" i="5"/>
  <c r="J161" i="5"/>
  <c r="F161" i="5"/>
  <c r="E161" i="5"/>
  <c r="K161" i="5"/>
  <c r="L160" i="12" a="1"/>
  <c r="L160" i="12" s="1"/>
  <c r="J160" i="12" a="1"/>
  <c r="J160" i="12" s="1"/>
  <c r="A160" i="6"/>
  <c r="K159" i="12"/>
  <c r="N159" i="6"/>
  <c r="L168" i="6"/>
  <c r="F167" i="6"/>
  <c r="DJ98" i="6" l="1" a="1"/>
  <c r="DJ98" i="6" s="1"/>
  <c r="CD98" i="6"/>
  <c r="BN98" i="6"/>
  <c r="CQ98" i="6"/>
  <c r="DK98" i="6" a="1"/>
  <c r="DK98" i="6" s="1"/>
  <c r="CL98" i="6"/>
  <c r="DD98" i="6" a="1"/>
  <c r="DD98" i="6" s="1"/>
  <c r="DM98" i="6" a="1"/>
  <c r="DM98" i="6" s="1"/>
  <c r="CG98" i="6"/>
  <c r="CO98" i="6"/>
  <c r="CA98" i="6"/>
  <c r="DF98" i="6" a="1"/>
  <c r="DF98" i="6" s="1"/>
  <c r="BX98" i="6"/>
  <c r="CE98" i="6"/>
  <c r="DN98" i="6" a="1"/>
  <c r="DN98" i="6" s="1"/>
  <c r="BO98" i="6"/>
  <c r="CF98" i="6"/>
  <c r="BS98" i="6"/>
  <c r="CX98" i="6" a="1"/>
  <c r="CX98" i="6" s="1"/>
  <c r="BP98" i="6"/>
  <c r="DB98" i="6" a="1"/>
  <c r="DB98" i="6" s="1"/>
  <c r="CY98" i="6" a="1"/>
  <c r="CY98" i="6" s="1"/>
  <c r="BZ98" i="6"/>
  <c r="DG98" i="6" a="1"/>
  <c r="DG98" i="6" s="1"/>
  <c r="BM98" i="6"/>
  <c r="BQ98" i="6"/>
  <c r="CC98" i="6"/>
  <c r="DH98" i="6" a="1"/>
  <c r="DH98" i="6" s="1"/>
  <c r="CN98" i="6"/>
  <c r="DR98" i="6" a="1"/>
  <c r="DR98" i="6" s="1"/>
  <c r="DL98" i="6" a="1"/>
  <c r="DL98" i="6" s="1"/>
  <c r="DA98" i="6" a="1"/>
  <c r="DA98" i="6" s="1"/>
  <c r="CR98" i="6"/>
  <c r="CM98" i="6"/>
  <c r="CP98" i="6"/>
  <c r="CB98" i="6"/>
  <c r="DE98" i="6" a="1"/>
  <c r="DE98" i="6" s="1"/>
  <c r="DQ98" i="6" a="1"/>
  <c r="DQ98" i="6" s="1"/>
  <c r="BL98" i="6"/>
  <c r="CH98" i="6"/>
  <c r="BU98" i="6"/>
  <c r="DS98" i="6" a="1"/>
  <c r="DS98" i="6" s="1"/>
  <c r="CT98" i="6" a="1"/>
  <c r="CT98" i="6" s="1"/>
  <c r="CV98" i="6" a="1"/>
  <c r="CV98" i="6" s="1"/>
  <c r="BT98" i="6"/>
  <c r="DO98" i="6" a="1"/>
  <c r="DO98" i="6" s="1"/>
  <c r="CK98" i="6"/>
  <c r="CI98" i="6"/>
  <c r="BV98" i="6"/>
  <c r="CJ98" i="6"/>
  <c r="DI98" i="6" a="1"/>
  <c r="DI98" i="6" s="1"/>
  <c r="DP98" i="6" a="1"/>
  <c r="DP98" i="6" s="1"/>
  <c r="BW98" i="6"/>
  <c r="CZ98" i="6" a="1"/>
  <c r="CZ98" i="6" s="1"/>
  <c r="CU98" i="6" a="1"/>
  <c r="CU98" i="6" s="1"/>
  <c r="CW98" i="6" a="1"/>
  <c r="CW98" i="6" s="1"/>
  <c r="BY98" i="6"/>
  <c r="DC98" i="6" a="1"/>
  <c r="DC98" i="6" s="1"/>
  <c r="M100" i="6"/>
  <c r="BS97" i="6"/>
  <c r="CD97" i="6"/>
  <c r="DK97" i="6" a="1"/>
  <c r="DK97" i="6" s="1"/>
  <c r="DO97" i="6" a="1"/>
  <c r="DO97" i="6" s="1"/>
  <c r="DG97" i="6" a="1"/>
  <c r="DG97" i="6" s="1"/>
  <c r="CV97" i="6" a="1"/>
  <c r="CV97" i="6" s="1"/>
  <c r="CH97" i="6"/>
  <c r="CI97" i="6"/>
  <c r="BU97" i="6"/>
  <c r="DL97" i="6" a="1"/>
  <c r="DL97" i="6" s="1"/>
  <c r="BX97" i="6"/>
  <c r="CY97" i="6" a="1"/>
  <c r="CY97" i="6" s="1"/>
  <c r="BN97" i="6"/>
  <c r="CR97" i="6"/>
  <c r="CF97" i="6"/>
  <c r="DN97" i="6" a="1"/>
  <c r="DN97" i="6" s="1"/>
  <c r="BT97" i="6"/>
  <c r="CK97" i="6"/>
  <c r="BY97" i="6"/>
  <c r="CT97" i="6" a="1"/>
  <c r="CT97" i="6" s="1"/>
  <c r="CC97" i="6"/>
  <c r="BW97" i="6"/>
  <c r="CW97" i="6" a="1"/>
  <c r="CW97" i="6" s="1"/>
  <c r="DI97" i="6" a="1"/>
  <c r="DI97" i="6" s="1"/>
  <c r="DA97" i="6" a="1"/>
  <c r="DA97" i="6" s="1"/>
  <c r="DE97" i="6" a="1"/>
  <c r="DE97" i="6" s="1"/>
  <c r="BL97" i="6"/>
  <c r="DJ97" i="6" a="1"/>
  <c r="DJ97" i="6" s="1"/>
  <c r="DR97" i="6" a="1"/>
  <c r="DR97" i="6" s="1"/>
  <c r="CU97" i="6" a="1"/>
  <c r="CU97" i="6" s="1"/>
  <c r="CN97" i="6"/>
  <c r="CM97" i="6"/>
  <c r="BV97" i="6"/>
  <c r="BM97" i="6"/>
  <c r="CB97" i="6"/>
  <c r="CO97" i="6"/>
  <c r="DP97" i="6" a="1"/>
  <c r="DP97" i="6" s="1"/>
  <c r="DM97" i="6" a="1"/>
  <c r="DM97" i="6" s="1"/>
  <c r="CL97" i="6"/>
  <c r="CG97" i="6"/>
  <c r="CA97" i="6"/>
  <c r="BP97" i="6"/>
  <c r="BO97" i="6"/>
  <c r="DF97" i="6" a="1"/>
  <c r="DF97" i="6" s="1"/>
  <c r="CP97" i="6"/>
  <c r="CX97" i="6" a="1"/>
  <c r="CX97" i="6" s="1"/>
  <c r="DD97" i="6" a="1"/>
  <c r="DD97" i="6" s="1"/>
  <c r="DS97" i="6" a="1"/>
  <c r="DS97" i="6" s="1"/>
  <c r="CQ97" i="6"/>
  <c r="CZ97" i="6" a="1"/>
  <c r="CZ97" i="6" s="1"/>
  <c r="CE97" i="6"/>
  <c r="BQ97" i="6"/>
  <c r="BZ97" i="6"/>
  <c r="DB97" i="6" a="1"/>
  <c r="DB97" i="6" s="1"/>
  <c r="DQ97" i="6" a="1"/>
  <c r="DQ97" i="6" s="1"/>
  <c r="CJ97" i="6"/>
  <c r="DC97" i="6" a="1"/>
  <c r="DC97" i="6" s="1"/>
  <c r="DH97" i="6" a="1"/>
  <c r="DH97" i="6" s="1"/>
  <c r="CH96" i="6"/>
  <c r="CT96" i="6" a="1"/>
  <c r="CT96" i="6" s="1"/>
  <c r="CJ96" i="6"/>
  <c r="CD96" i="6"/>
  <c r="BX96" i="6"/>
  <c r="DH96" i="6" a="1"/>
  <c r="DH96" i="6" s="1"/>
  <c r="CQ96" i="6"/>
  <c r="BW96" i="6"/>
  <c r="CL96" i="6"/>
  <c r="CN96" i="6"/>
  <c r="BM96" i="6"/>
  <c r="DN96" i="6" a="1"/>
  <c r="DN96" i="6" s="1"/>
  <c r="DL96" i="6" a="1"/>
  <c r="DL96" i="6" s="1"/>
  <c r="CG96" i="6"/>
  <c r="CY96" i="6" a="1"/>
  <c r="CY96" i="6" s="1"/>
  <c r="BN96" i="6"/>
  <c r="CX96" i="6" a="1"/>
  <c r="CX96" i="6" s="1"/>
  <c r="DS96" i="6" a="1"/>
  <c r="DS96" i="6" s="1"/>
  <c r="BV96" i="6"/>
  <c r="DR96" i="6" a="1"/>
  <c r="DR96" i="6" s="1"/>
  <c r="DI96" i="6" a="1"/>
  <c r="DI96" i="6" s="1"/>
  <c r="CC96" i="6"/>
  <c r="CA96" i="6"/>
  <c r="CF96" i="6"/>
  <c r="DE96" i="6" a="1"/>
  <c r="DE96" i="6" s="1"/>
  <c r="DA96" i="6" a="1"/>
  <c r="DA96" i="6" s="1"/>
  <c r="DJ96" i="6" a="1"/>
  <c r="DJ96" i="6" s="1"/>
  <c r="DK96" i="6" a="1"/>
  <c r="DK96" i="6" s="1"/>
  <c r="CE96" i="6"/>
  <c r="CB96" i="6"/>
  <c r="DQ96" i="6" a="1"/>
  <c r="DQ96" i="6" s="1"/>
  <c r="BT96" i="6"/>
  <c r="CW96" i="6" a="1"/>
  <c r="CW96" i="6" s="1"/>
  <c r="CZ96" i="6" a="1"/>
  <c r="CZ96" i="6" s="1"/>
  <c r="CV96" i="6" a="1"/>
  <c r="CV96" i="6" s="1"/>
  <c r="BY96" i="6"/>
  <c r="DO96" i="6" a="1"/>
  <c r="DO96" i="6" s="1"/>
  <c r="BU96" i="6"/>
  <c r="DP96" i="6" a="1"/>
  <c r="DP96" i="6" s="1"/>
  <c r="BZ96" i="6"/>
  <c r="DC96" i="6" a="1"/>
  <c r="DC96" i="6" s="1"/>
  <c r="DM96" i="6" a="1"/>
  <c r="DM96" i="6" s="1"/>
  <c r="CR96" i="6"/>
  <c r="CP96" i="6"/>
  <c r="CU96" i="6" a="1"/>
  <c r="CU96" i="6" s="1"/>
  <c r="CM96" i="6"/>
  <c r="DG96" i="6" a="1"/>
  <c r="DG96" i="6" s="1"/>
  <c r="BO96" i="6"/>
  <c r="CI96" i="6"/>
  <c r="BP96" i="6"/>
  <c r="CO96" i="6"/>
  <c r="BL96" i="6"/>
  <c r="CK96" i="6"/>
  <c r="DB96" i="6" a="1"/>
  <c r="DB96" i="6" s="1"/>
  <c r="BQ96" i="6"/>
  <c r="DF96" i="6" a="1"/>
  <c r="DF96" i="6" s="1"/>
  <c r="BS96" i="6"/>
  <c r="DD96" i="6" a="1"/>
  <c r="DD96" i="6" s="1"/>
  <c r="K160" i="12"/>
  <c r="N160" i="6"/>
  <c r="A161" i="6"/>
  <c r="K162" i="5"/>
  <c r="G162" i="5"/>
  <c r="B162" i="6"/>
  <c r="C163" i="5"/>
  <c r="D162" i="5"/>
  <c r="B162" i="12" s="1"/>
  <c r="AD162" i="5"/>
  <c r="J162" i="5"/>
  <c r="A162" i="12"/>
  <c r="F162" i="5"/>
  <c r="N162" i="5"/>
  <c r="D162" i="6" s="1"/>
  <c r="H162" i="6" s="1" a="1"/>
  <c r="H162" i="6" s="1"/>
  <c r="T162" i="5" s="1"/>
  <c r="G162" i="12" s="1" a="1"/>
  <c r="G162" i="12" s="1"/>
  <c r="B162" i="5"/>
  <c r="E162" i="5"/>
  <c r="H162" i="5"/>
  <c r="AE162" i="5" a="1"/>
  <c r="AE162" i="5" s="1"/>
  <c r="L161" i="12" a="1"/>
  <c r="L161" i="12" s="1"/>
  <c r="J161" i="12" a="1"/>
  <c r="J161" i="12" s="1"/>
  <c r="L169" i="6"/>
  <c r="DM100" i="6" l="1" a="1"/>
  <c r="DM100" i="6" s="1"/>
  <c r="DL100" i="6" a="1"/>
  <c r="DL100" i="6" s="1"/>
  <c r="DO100" i="6" a="1"/>
  <c r="DO100" i="6" s="1"/>
  <c r="DA100" i="6" a="1"/>
  <c r="DA100" i="6" s="1"/>
  <c r="BT100" i="6"/>
  <c r="DS100" i="6" a="1"/>
  <c r="DS100" i="6" s="1"/>
  <c r="CM100" i="6"/>
  <c r="CA100" i="6"/>
  <c r="DC100" i="6" a="1"/>
  <c r="DC100" i="6" s="1"/>
  <c r="DF100" i="6" a="1"/>
  <c r="DF100" i="6" s="1"/>
  <c r="CH100" i="6"/>
  <c r="BO100" i="6"/>
  <c r="CK100" i="6"/>
  <c r="DJ100" i="6" a="1"/>
  <c r="DJ100" i="6" s="1"/>
  <c r="CY100" i="6" a="1"/>
  <c r="CY100" i="6" s="1"/>
  <c r="CV100" i="6" a="1"/>
  <c r="CV100" i="6" s="1"/>
  <c r="CU100" i="6" a="1"/>
  <c r="CU100" i="6" s="1"/>
  <c r="BU100" i="6"/>
  <c r="CR100" i="6"/>
  <c r="CF100" i="6"/>
  <c r="DB100" i="6" a="1"/>
  <c r="DB100" i="6" s="1"/>
  <c r="CT100" i="6" a="1"/>
  <c r="CT100" i="6" s="1"/>
  <c r="CO100" i="6"/>
  <c r="DK100" i="6" a="1"/>
  <c r="DK100" i="6" s="1"/>
  <c r="DR100" i="6" a="1"/>
  <c r="DR100" i="6" s="1"/>
  <c r="CW100" i="6" a="1"/>
  <c r="CW100" i="6" s="1"/>
  <c r="DP100" i="6" a="1"/>
  <c r="DP100" i="6" s="1"/>
  <c r="DG100" i="6" a="1"/>
  <c r="DG100" i="6" s="1"/>
  <c r="BY100" i="6"/>
  <c r="CZ100" i="6" a="1"/>
  <c r="CZ100" i="6" s="1"/>
  <c r="BQ100" i="6"/>
  <c r="BV100" i="6"/>
  <c r="CE100" i="6"/>
  <c r="BL100" i="6"/>
  <c r="CP100" i="6"/>
  <c r="BW100" i="6"/>
  <c r="CC100" i="6"/>
  <c r="BM100" i="6"/>
  <c r="DH100" i="6" a="1"/>
  <c r="DH100" i="6" s="1"/>
  <c r="CB100" i="6"/>
  <c r="CN100" i="6"/>
  <c r="DI100" i="6" a="1"/>
  <c r="DI100" i="6" s="1"/>
  <c r="BX100" i="6"/>
  <c r="DE100" i="6" a="1"/>
  <c r="DE100" i="6" s="1"/>
  <c r="BN100" i="6"/>
  <c r="CJ100" i="6"/>
  <c r="DN100" i="6" a="1"/>
  <c r="DN100" i="6" s="1"/>
  <c r="DD100" i="6" a="1"/>
  <c r="DD100" i="6" s="1"/>
  <c r="CQ100" i="6"/>
  <c r="CI100" i="6"/>
  <c r="BP100" i="6"/>
  <c r="CL100" i="6"/>
  <c r="DQ100" i="6" a="1"/>
  <c r="DQ100" i="6" s="1"/>
  <c r="CX100" i="6" a="1"/>
  <c r="CX100" i="6" s="1"/>
  <c r="BS100" i="6"/>
  <c r="CD100" i="6"/>
  <c r="CG100" i="6"/>
  <c r="BZ100" i="6"/>
  <c r="M103" i="6"/>
  <c r="K161" i="12"/>
  <c r="A162" i="6"/>
  <c r="L162" i="12" a="1"/>
  <c r="L162" i="12" s="1"/>
  <c r="J162" i="12" a="1"/>
  <c r="J162" i="12" s="1"/>
  <c r="N161" i="6"/>
  <c r="G163" i="5"/>
  <c r="D163" i="5"/>
  <c r="B163" i="12" s="1"/>
  <c r="B163" i="6"/>
  <c r="AE163" i="5" a="1"/>
  <c r="AE163" i="5" s="1"/>
  <c r="K163" i="5"/>
  <c r="H163" i="5"/>
  <c r="F163" i="5"/>
  <c r="N163" i="5"/>
  <c r="D163" i="6" s="1"/>
  <c r="H163" i="6" s="1" a="1"/>
  <c r="H163" i="6" s="1"/>
  <c r="T163" i="5" s="1"/>
  <c r="G163" i="12" s="1" a="1"/>
  <c r="G163" i="12" s="1"/>
  <c r="B163" i="5"/>
  <c r="C164" i="5"/>
  <c r="A163" i="12"/>
  <c r="E163" i="5"/>
  <c r="J163" i="5"/>
  <c r="AD163" i="5"/>
  <c r="L170" i="6"/>
  <c r="M104" i="6" l="1"/>
  <c r="M111" i="6"/>
  <c r="M112" i="6"/>
  <c r="M109" i="6"/>
  <c r="M105" i="6"/>
  <c r="M108" i="6"/>
  <c r="M113" i="6"/>
  <c r="DM103" i="6" a="1"/>
  <c r="DM103" i="6" s="1"/>
  <c r="DK103" i="6" a="1"/>
  <c r="DK103" i="6" s="1"/>
  <c r="CJ103" i="6"/>
  <c r="CC103" i="6"/>
  <c r="BP103" i="6"/>
  <c r="DN103" i="6" a="1"/>
  <c r="DN103" i="6" s="1"/>
  <c r="CD103" i="6"/>
  <c r="M106" i="6"/>
  <c r="DG103" i="6" a="1"/>
  <c r="DG103" i="6" s="1"/>
  <c r="CP103" i="6"/>
  <c r="CB103" i="6"/>
  <c r="DJ103" i="6" a="1"/>
  <c r="DJ103" i="6" s="1"/>
  <c r="CK103" i="6"/>
  <c r="CU103" i="6" a="1"/>
  <c r="CU103" i="6" s="1"/>
  <c r="BQ103" i="6"/>
  <c r="BN103" i="6"/>
  <c r="DF103" i="6" a="1"/>
  <c r="DF103" i="6" s="1"/>
  <c r="CN103" i="6"/>
  <c r="CX103" i="6" a="1"/>
  <c r="CX103" i="6" s="1"/>
  <c r="DR103" i="6" a="1"/>
  <c r="DR103" i="6" s="1"/>
  <c r="CA103" i="6"/>
  <c r="DB103" i="6" a="1"/>
  <c r="DB103" i="6" s="1"/>
  <c r="BW103" i="6"/>
  <c r="BL103" i="6"/>
  <c r="BO103" i="6"/>
  <c r="DE103" i="6" a="1"/>
  <c r="DE103" i="6" s="1"/>
  <c r="DO103" i="6" a="1"/>
  <c r="DO103" i="6" s="1"/>
  <c r="BU103" i="6"/>
  <c r="CH103" i="6"/>
  <c r="DH103" i="6" a="1"/>
  <c r="DH103" i="6" s="1"/>
  <c r="BM103" i="6"/>
  <c r="CG103" i="6"/>
  <c r="DS103" i="6" a="1"/>
  <c r="DS103" i="6" s="1"/>
  <c r="CW103" i="6" a="1"/>
  <c r="CW103" i="6" s="1"/>
  <c r="BZ103" i="6"/>
  <c r="DA103" i="6" a="1"/>
  <c r="DA103" i="6" s="1"/>
  <c r="CR103" i="6"/>
  <c r="CL103" i="6"/>
  <c r="CZ103" i="6" a="1"/>
  <c r="CZ103" i="6" s="1"/>
  <c r="BV103" i="6"/>
  <c r="CV103" i="6" a="1"/>
  <c r="CV103" i="6" s="1"/>
  <c r="CO103" i="6"/>
  <c r="DL103" i="6" a="1"/>
  <c r="DL103" i="6" s="1"/>
  <c r="CY103" i="6" a="1"/>
  <c r="CY103" i="6" s="1"/>
  <c r="BS103" i="6"/>
  <c r="CM103" i="6"/>
  <c r="CI103" i="6"/>
  <c r="BT103" i="6"/>
  <c r="DC103" i="6" a="1"/>
  <c r="DC103" i="6" s="1"/>
  <c r="DD103" i="6" a="1"/>
  <c r="DD103" i="6" s="1"/>
  <c r="CF103" i="6"/>
  <c r="CQ103" i="6"/>
  <c r="DQ103" i="6" a="1"/>
  <c r="DQ103" i="6" s="1"/>
  <c r="CE103" i="6"/>
  <c r="DP103" i="6" a="1"/>
  <c r="DP103" i="6" s="1"/>
  <c r="DI103" i="6" a="1"/>
  <c r="DI103" i="6" s="1"/>
  <c r="BY103" i="6"/>
  <c r="CT103" i="6" a="1"/>
  <c r="CT103" i="6" s="1"/>
  <c r="BX103" i="6"/>
  <c r="N162" i="6"/>
  <c r="K162" i="12"/>
  <c r="B164" i="6"/>
  <c r="AD164" i="5"/>
  <c r="A164" i="12"/>
  <c r="B164" i="5"/>
  <c r="J164" i="5"/>
  <c r="G164" i="5"/>
  <c r="D164" i="5"/>
  <c r="B164" i="12" s="1"/>
  <c r="H164" i="5"/>
  <c r="AE164" i="5" a="1"/>
  <c r="AE164" i="5" s="1"/>
  <c r="E164" i="5"/>
  <c r="N164" i="5"/>
  <c r="D164" i="6" s="1"/>
  <c r="H164" i="6" s="1" a="1"/>
  <c r="H164" i="6" s="1"/>
  <c r="T164" i="5" s="1"/>
  <c r="G164" i="12" s="1" a="1"/>
  <c r="G164" i="12" s="1"/>
  <c r="K164" i="5"/>
  <c r="F164" i="5"/>
  <c r="C165" i="5"/>
  <c r="J163" i="12" a="1"/>
  <c r="J163" i="12" s="1"/>
  <c r="L163" i="12" a="1"/>
  <c r="L163" i="12" s="1"/>
  <c r="A163" i="6"/>
  <c r="L171" i="6"/>
  <c r="BT106" i="6" l="1"/>
  <c r="CG106" i="6"/>
  <c r="CP106" i="6"/>
  <c r="CM106" i="6"/>
  <c r="CX106" i="6" a="1"/>
  <c r="CX106" i="6" s="1"/>
  <c r="CN106" i="6"/>
  <c r="CT106" i="6" a="1"/>
  <c r="CT106" i="6" s="1"/>
  <c r="DJ106" i="6" a="1"/>
  <c r="DJ106" i="6" s="1"/>
  <c r="CB106" i="6"/>
  <c r="CJ106" i="6"/>
  <c r="DI106" i="6" a="1"/>
  <c r="DI106" i="6" s="1"/>
  <c r="DM106" i="6" a="1"/>
  <c r="DM106" i="6" s="1"/>
  <c r="BU106" i="6"/>
  <c r="BL106" i="6"/>
  <c r="CZ106" i="6" a="1"/>
  <c r="CZ106" i="6" s="1"/>
  <c r="CO106" i="6"/>
  <c r="DP106" i="6" a="1"/>
  <c r="DP106" i="6" s="1"/>
  <c r="BM106" i="6"/>
  <c r="CV106" i="6" a="1"/>
  <c r="CV106" i="6" s="1"/>
  <c r="DF106" i="6" a="1"/>
  <c r="DF106" i="6" s="1"/>
  <c r="CU106" i="6" a="1"/>
  <c r="CU106" i="6" s="1"/>
  <c r="CY106" i="6" a="1"/>
  <c r="CY106" i="6" s="1"/>
  <c r="DB106" i="6" a="1"/>
  <c r="DB106" i="6" s="1"/>
  <c r="BY106" i="6"/>
  <c r="BV106" i="6"/>
  <c r="DN106" i="6" a="1"/>
  <c r="DN106" i="6" s="1"/>
  <c r="BX106" i="6"/>
  <c r="CK106" i="6"/>
  <c r="DA106" i="6" a="1"/>
  <c r="DA106" i="6" s="1"/>
  <c r="DR106" i="6" a="1"/>
  <c r="DR106" i="6" s="1"/>
  <c r="DC106" i="6" a="1"/>
  <c r="DC106" i="6" s="1"/>
  <c r="CQ106" i="6"/>
  <c r="CI106" i="6"/>
  <c r="DS106" i="6" a="1"/>
  <c r="DS106" i="6" s="1"/>
  <c r="DL106" i="6" a="1"/>
  <c r="DL106" i="6" s="1"/>
  <c r="BS106" i="6"/>
  <c r="DG106" i="6" a="1"/>
  <c r="DG106" i="6" s="1"/>
  <c r="BN106" i="6"/>
  <c r="CE106" i="6"/>
  <c r="DE106" i="6" a="1"/>
  <c r="DE106" i="6" s="1"/>
  <c r="CL106" i="6"/>
  <c r="BW106" i="6"/>
  <c r="CH106" i="6"/>
  <c r="BQ106" i="6"/>
  <c r="CF106" i="6"/>
  <c r="CA106" i="6"/>
  <c r="BZ106" i="6"/>
  <c r="CD106" i="6"/>
  <c r="BP106" i="6"/>
  <c r="DO106" i="6" a="1"/>
  <c r="DO106" i="6" s="1"/>
  <c r="BO106" i="6"/>
  <c r="DK106" i="6" a="1"/>
  <c r="DK106" i="6" s="1"/>
  <c r="CW106" i="6" a="1"/>
  <c r="CW106" i="6" s="1"/>
  <c r="CC106" i="6"/>
  <c r="DD106" i="6" a="1"/>
  <c r="DD106" i="6" s="1"/>
  <c r="DH106" i="6" a="1"/>
  <c r="DH106" i="6" s="1"/>
  <c r="CR106" i="6"/>
  <c r="DQ106" i="6" a="1"/>
  <c r="DQ106" i="6" s="1"/>
  <c r="CL113" i="6"/>
  <c r="CW113" i="6" a="1"/>
  <c r="CW113" i="6" s="1"/>
  <c r="DG113" i="6" a="1"/>
  <c r="DG113" i="6" s="1"/>
  <c r="CG113" i="6"/>
  <c r="BW113" i="6"/>
  <c r="DD113" i="6" a="1"/>
  <c r="DD113" i="6" s="1"/>
  <c r="CX113" i="6" a="1"/>
  <c r="CX113" i="6" s="1"/>
  <c r="CU113" i="6" a="1"/>
  <c r="CU113" i="6" s="1"/>
  <c r="BV113" i="6"/>
  <c r="DK113" i="6" a="1"/>
  <c r="DK113" i="6" s="1"/>
  <c r="BO113" i="6"/>
  <c r="CM113" i="6"/>
  <c r="DS113" i="6" a="1"/>
  <c r="DS113" i="6" s="1"/>
  <c r="DI113" i="6" a="1"/>
  <c r="DI113" i="6" s="1"/>
  <c r="BX113" i="6"/>
  <c r="DO113" i="6" a="1"/>
  <c r="DO113" i="6" s="1"/>
  <c r="DQ113" i="6" a="1"/>
  <c r="DQ113" i="6" s="1"/>
  <c r="DP113" i="6" a="1"/>
  <c r="DP113" i="6" s="1"/>
  <c r="CC113" i="6"/>
  <c r="CR113" i="6"/>
  <c r="BN113" i="6"/>
  <c r="DF113" i="6" a="1"/>
  <c r="DF113" i="6" s="1"/>
  <c r="CH113" i="6"/>
  <c r="DL113" i="6" a="1"/>
  <c r="DL113" i="6" s="1"/>
  <c r="DM113" i="6" a="1"/>
  <c r="DM113" i="6" s="1"/>
  <c r="CY113" i="6" a="1"/>
  <c r="CY113" i="6" s="1"/>
  <c r="CT113" i="6" a="1"/>
  <c r="CT113" i="6" s="1"/>
  <c r="BQ113" i="6"/>
  <c r="DB113" i="6" a="1"/>
  <c r="DB113" i="6" s="1"/>
  <c r="DR113" i="6" a="1"/>
  <c r="DR113" i="6" s="1"/>
  <c r="CF113" i="6"/>
  <c r="BY113" i="6"/>
  <c r="CI113" i="6"/>
  <c r="CN113" i="6"/>
  <c r="CJ113" i="6"/>
  <c r="BP113" i="6"/>
  <c r="BL113" i="6"/>
  <c r="CQ113" i="6"/>
  <c r="CV113" i="6" a="1"/>
  <c r="CV113" i="6" s="1"/>
  <c r="DC113" i="6" a="1"/>
  <c r="DC113" i="6" s="1"/>
  <c r="BZ113" i="6"/>
  <c r="BU113" i="6"/>
  <c r="CO113" i="6"/>
  <c r="CD113" i="6"/>
  <c r="DN113" i="6" a="1"/>
  <c r="DN113" i="6" s="1"/>
  <c r="BS113" i="6"/>
  <c r="BM113" i="6"/>
  <c r="CZ113" i="6" a="1"/>
  <c r="CZ113" i="6" s="1"/>
  <c r="CE113" i="6"/>
  <c r="DA113" i="6" a="1"/>
  <c r="DA113" i="6" s="1"/>
  <c r="CA113" i="6"/>
  <c r="DJ113" i="6" a="1"/>
  <c r="DJ113" i="6" s="1"/>
  <c r="BT113" i="6"/>
  <c r="CB113" i="6"/>
  <c r="CP113" i="6"/>
  <c r="CK113" i="6"/>
  <c r="DE113" i="6" a="1"/>
  <c r="DE113" i="6" s="1"/>
  <c r="DH113" i="6" a="1"/>
  <c r="DH113" i="6" s="1"/>
  <c r="M116" i="6"/>
  <c r="DA108" i="6" a="1"/>
  <c r="DA108" i="6" s="1"/>
  <c r="CM108" i="6"/>
  <c r="DJ108" i="6" a="1"/>
  <c r="DJ108" i="6" s="1"/>
  <c r="CH108" i="6"/>
  <c r="BQ108" i="6"/>
  <c r="CX108" i="6" a="1"/>
  <c r="CX108" i="6" s="1"/>
  <c r="DL108" i="6" a="1"/>
  <c r="DL108" i="6" s="1"/>
  <c r="DS108" i="6" a="1"/>
  <c r="DS108" i="6" s="1"/>
  <c r="BT108" i="6"/>
  <c r="CR108" i="6"/>
  <c r="DF108" i="6" a="1"/>
  <c r="DF108" i="6" s="1"/>
  <c r="CN108" i="6"/>
  <c r="BU108" i="6"/>
  <c r="CZ108" i="6" a="1"/>
  <c r="CZ108" i="6" s="1"/>
  <c r="CD108" i="6"/>
  <c r="DO108" i="6" a="1"/>
  <c r="DO108" i="6" s="1"/>
  <c r="DG108" i="6" a="1"/>
  <c r="DG108" i="6" s="1"/>
  <c r="BW108" i="6"/>
  <c r="DP108" i="6" a="1"/>
  <c r="DP108" i="6" s="1"/>
  <c r="CJ108" i="6"/>
  <c r="BL108" i="6"/>
  <c r="CG108" i="6"/>
  <c r="DB108" i="6" a="1"/>
  <c r="DB108" i="6" s="1"/>
  <c r="BX108" i="6"/>
  <c r="CY108" i="6" a="1"/>
  <c r="CY108" i="6" s="1"/>
  <c r="DM108" i="6" a="1"/>
  <c r="DM108" i="6" s="1"/>
  <c r="CK108" i="6"/>
  <c r="DQ108" i="6" a="1"/>
  <c r="DQ108" i="6" s="1"/>
  <c r="DH108" i="6" a="1"/>
  <c r="DH108" i="6" s="1"/>
  <c r="BZ108" i="6"/>
  <c r="CI108" i="6"/>
  <c r="DR108" i="6" a="1"/>
  <c r="DR108" i="6" s="1"/>
  <c r="BY108" i="6"/>
  <c r="CP108" i="6"/>
  <c r="BP108" i="6"/>
  <c r="CT108" i="6" a="1"/>
  <c r="CT108" i="6" s="1"/>
  <c r="CC108" i="6"/>
  <c r="DN108" i="6" a="1"/>
  <c r="DN108" i="6" s="1"/>
  <c r="DK108" i="6" a="1"/>
  <c r="DK108" i="6" s="1"/>
  <c r="CF108" i="6"/>
  <c r="DC108" i="6" a="1"/>
  <c r="DC108" i="6" s="1"/>
  <c r="BO108" i="6"/>
  <c r="CE108" i="6"/>
  <c r="BV108" i="6"/>
  <c r="BN108" i="6"/>
  <c r="DI108" i="6" a="1"/>
  <c r="DI108" i="6" s="1"/>
  <c r="CW108" i="6" a="1"/>
  <c r="CW108" i="6" s="1"/>
  <c r="CV108" i="6" a="1"/>
  <c r="CV108" i="6" s="1"/>
  <c r="BM108" i="6"/>
  <c r="CL108" i="6"/>
  <c r="BS108" i="6"/>
  <c r="DD108" i="6" a="1"/>
  <c r="DD108" i="6" s="1"/>
  <c r="CA108" i="6"/>
  <c r="CQ108" i="6"/>
  <c r="DE108" i="6" a="1"/>
  <c r="DE108" i="6" s="1"/>
  <c r="CU108" i="6" a="1"/>
  <c r="CU108" i="6" s="1"/>
  <c r="CO108" i="6"/>
  <c r="CB108" i="6"/>
  <c r="DN105" i="6" a="1"/>
  <c r="DN105" i="6" s="1"/>
  <c r="BL105" i="6"/>
  <c r="CX105" i="6" a="1"/>
  <c r="CX105" i="6" s="1"/>
  <c r="CL105" i="6"/>
  <c r="DD105" i="6" a="1"/>
  <c r="DD105" i="6" s="1"/>
  <c r="DQ105" i="6" a="1"/>
  <c r="DQ105" i="6" s="1"/>
  <c r="BQ105" i="6"/>
  <c r="CW105" i="6" a="1"/>
  <c r="CW105" i="6" s="1"/>
  <c r="DP105" i="6" a="1"/>
  <c r="DP105" i="6" s="1"/>
  <c r="BP105" i="6"/>
  <c r="DM105" i="6" a="1"/>
  <c r="DM105" i="6" s="1"/>
  <c r="DB105" i="6" a="1"/>
  <c r="DB105" i="6" s="1"/>
  <c r="BY105" i="6"/>
  <c r="CC105" i="6"/>
  <c r="DL105" i="6" a="1"/>
  <c r="DL105" i="6" s="1"/>
  <c r="CO105" i="6"/>
  <c r="CN105" i="6"/>
  <c r="DF105" i="6" a="1"/>
  <c r="DF105" i="6" s="1"/>
  <c r="DK105" i="6" a="1"/>
  <c r="DK105" i="6" s="1"/>
  <c r="CB105" i="6"/>
  <c r="CF105" i="6"/>
  <c r="BM105" i="6"/>
  <c r="CQ105" i="6"/>
  <c r="DC105" i="6" a="1"/>
  <c r="DC105" i="6" s="1"/>
  <c r="DR105" i="6" a="1"/>
  <c r="DR105" i="6" s="1"/>
  <c r="BO105" i="6"/>
  <c r="DO105" i="6" a="1"/>
  <c r="DO105" i="6" s="1"/>
  <c r="CY105" i="6" a="1"/>
  <c r="CY105" i="6" s="1"/>
  <c r="CT105" i="6" a="1"/>
  <c r="CT105" i="6" s="1"/>
  <c r="DJ105" i="6" a="1"/>
  <c r="DJ105" i="6" s="1"/>
  <c r="DE105" i="6" a="1"/>
  <c r="DE105" i="6" s="1"/>
  <c r="CD105" i="6"/>
  <c r="CG105" i="6"/>
  <c r="CK105" i="6"/>
  <c r="BV105" i="6"/>
  <c r="CJ105" i="6"/>
  <c r="DH105" i="6" a="1"/>
  <c r="DH105" i="6" s="1"/>
  <c r="BT105" i="6"/>
  <c r="BW105" i="6"/>
  <c r="DA105" i="6" a="1"/>
  <c r="DA105" i="6" s="1"/>
  <c r="DI105" i="6" a="1"/>
  <c r="DI105" i="6" s="1"/>
  <c r="CE105" i="6"/>
  <c r="CR105" i="6"/>
  <c r="CZ105" i="6" a="1"/>
  <c r="CZ105" i="6" s="1"/>
  <c r="BX105" i="6"/>
  <c r="CV105" i="6" a="1"/>
  <c r="CV105" i="6" s="1"/>
  <c r="BN105" i="6"/>
  <c r="CH105" i="6"/>
  <c r="DS105" i="6" a="1"/>
  <c r="DS105" i="6" s="1"/>
  <c r="CU105" i="6" a="1"/>
  <c r="CU105" i="6" s="1"/>
  <c r="CM105" i="6"/>
  <c r="CA105" i="6"/>
  <c r="BS105" i="6"/>
  <c r="CI105" i="6"/>
  <c r="DG105" i="6" a="1"/>
  <c r="DG105" i="6" s="1"/>
  <c r="BU105" i="6"/>
  <c r="BZ105" i="6"/>
  <c r="CP105" i="6"/>
  <c r="DH109" i="6" a="1"/>
  <c r="DH109" i="6" s="1"/>
  <c r="DN109" i="6" a="1"/>
  <c r="DN109" i="6" s="1"/>
  <c r="CE109" i="6"/>
  <c r="BL109" i="6"/>
  <c r="CP109" i="6"/>
  <c r="CK109" i="6"/>
  <c r="BX109" i="6"/>
  <c r="CI109" i="6"/>
  <c r="DK109" i="6" a="1"/>
  <c r="DK109" i="6" s="1"/>
  <c r="DE109" i="6" a="1"/>
  <c r="DE109" i="6" s="1"/>
  <c r="CO109" i="6"/>
  <c r="DJ109" i="6" a="1"/>
  <c r="DJ109" i="6" s="1"/>
  <c r="DO109" i="6" a="1"/>
  <c r="DO109" i="6" s="1"/>
  <c r="BT109" i="6"/>
  <c r="CR109" i="6"/>
  <c r="BO109" i="6"/>
  <c r="DF109" i="6" a="1"/>
  <c r="DF109" i="6" s="1"/>
  <c r="CH109" i="6"/>
  <c r="CN109" i="6"/>
  <c r="BU109" i="6"/>
  <c r="DI109" i="6" a="1"/>
  <c r="DI109" i="6" s="1"/>
  <c r="CV109" i="6" a="1"/>
  <c r="CV109" i="6" s="1"/>
  <c r="CD109" i="6"/>
  <c r="CX109" i="6" a="1"/>
  <c r="CX109" i="6" s="1"/>
  <c r="BN109" i="6"/>
  <c r="BM109" i="6"/>
  <c r="BS109" i="6"/>
  <c r="CF109" i="6"/>
  <c r="DB109" i="6" a="1"/>
  <c r="DB109" i="6" s="1"/>
  <c r="BZ109" i="6"/>
  <c r="DP109" i="6" a="1"/>
  <c r="DP109" i="6" s="1"/>
  <c r="DM109" i="6" a="1"/>
  <c r="DM109" i="6" s="1"/>
  <c r="DD109" i="6" a="1"/>
  <c r="DD109" i="6" s="1"/>
  <c r="BQ109" i="6"/>
  <c r="CJ109" i="6"/>
  <c r="DC109" i="6" a="1"/>
  <c r="DC109" i="6" s="1"/>
  <c r="CB109" i="6"/>
  <c r="CT109" i="6" a="1"/>
  <c r="CT109" i="6" s="1"/>
  <c r="CM109" i="6"/>
  <c r="DQ109" i="6" a="1"/>
  <c r="DQ109" i="6" s="1"/>
  <c r="BY109" i="6"/>
  <c r="CL109" i="6"/>
  <c r="CZ109" i="6" a="1"/>
  <c r="CZ109" i="6" s="1"/>
  <c r="BV109" i="6"/>
  <c r="CW109" i="6" a="1"/>
  <c r="CW109" i="6" s="1"/>
  <c r="CC109" i="6"/>
  <c r="DA109" i="6" a="1"/>
  <c r="DA109" i="6" s="1"/>
  <c r="DG109" i="6" a="1"/>
  <c r="DG109" i="6" s="1"/>
  <c r="BW109" i="6"/>
  <c r="CQ109" i="6"/>
  <c r="CA109" i="6"/>
  <c r="DL109" i="6" a="1"/>
  <c r="DL109" i="6" s="1"/>
  <c r="DS109" i="6" a="1"/>
  <c r="DS109" i="6" s="1"/>
  <c r="CU109" i="6" a="1"/>
  <c r="CU109" i="6" s="1"/>
  <c r="CY109" i="6" a="1"/>
  <c r="CY109" i="6" s="1"/>
  <c r="DR109" i="6" a="1"/>
  <c r="DR109" i="6" s="1"/>
  <c r="CG109" i="6"/>
  <c r="BP109" i="6"/>
  <c r="DI112" i="6" a="1"/>
  <c r="DI112" i="6" s="1"/>
  <c r="BX112" i="6"/>
  <c r="BS112" i="6"/>
  <c r="CC112" i="6"/>
  <c r="CT112" i="6" a="1"/>
  <c r="CT112" i="6" s="1"/>
  <c r="CE112" i="6"/>
  <c r="BO112" i="6"/>
  <c r="DP112" i="6" a="1"/>
  <c r="DP112" i="6" s="1"/>
  <c r="CL112" i="6"/>
  <c r="DJ112" i="6" a="1"/>
  <c r="DJ112" i="6" s="1"/>
  <c r="BW112" i="6"/>
  <c r="BV112" i="6"/>
  <c r="CZ112" i="6" a="1"/>
  <c r="CZ112" i="6" s="1"/>
  <c r="CP112" i="6"/>
  <c r="CA112" i="6"/>
  <c r="DL112" i="6" a="1"/>
  <c r="DL112" i="6" s="1"/>
  <c r="CY112" i="6" a="1"/>
  <c r="CY112" i="6" s="1"/>
  <c r="CX112" i="6" a="1"/>
  <c r="CX112" i="6" s="1"/>
  <c r="BT112" i="6"/>
  <c r="BP112" i="6"/>
  <c r="DC112" i="6" a="1"/>
  <c r="DC112" i="6" s="1"/>
  <c r="CV112" i="6" a="1"/>
  <c r="CV112" i="6" s="1"/>
  <c r="DQ112" i="6" a="1"/>
  <c r="DQ112" i="6" s="1"/>
  <c r="DR112" i="6" a="1"/>
  <c r="DR112" i="6" s="1"/>
  <c r="DA112" i="6" a="1"/>
  <c r="DA112" i="6" s="1"/>
  <c r="DE112" i="6" a="1"/>
  <c r="DE112" i="6" s="1"/>
  <c r="CO112" i="6"/>
  <c r="DH112" i="6" a="1"/>
  <c r="DH112" i="6" s="1"/>
  <c r="CU112" i="6" a="1"/>
  <c r="CU112" i="6" s="1"/>
  <c r="CF112" i="6"/>
  <c r="CG112" i="6"/>
  <c r="CB112" i="6"/>
  <c r="BU112" i="6"/>
  <c r="CR112" i="6"/>
  <c r="CQ112" i="6"/>
  <c r="BM112" i="6"/>
  <c r="CI112" i="6"/>
  <c r="BN112" i="6"/>
  <c r="CK112" i="6"/>
  <c r="CJ112" i="6"/>
  <c r="DS112" i="6" a="1"/>
  <c r="DS112" i="6" s="1"/>
  <c r="DD112" i="6" a="1"/>
  <c r="DD112" i="6" s="1"/>
  <c r="DO112" i="6" a="1"/>
  <c r="DO112" i="6" s="1"/>
  <c r="BY112" i="6"/>
  <c r="DN112" i="6" a="1"/>
  <c r="DN112" i="6" s="1"/>
  <c r="CM112" i="6"/>
  <c r="DG112" i="6" a="1"/>
  <c r="DG112" i="6" s="1"/>
  <c r="CW112" i="6" a="1"/>
  <c r="CW112" i="6" s="1"/>
  <c r="DB112" i="6" a="1"/>
  <c r="DB112" i="6" s="1"/>
  <c r="BZ112" i="6"/>
  <c r="CN112" i="6"/>
  <c r="DK112" i="6" a="1"/>
  <c r="DK112" i="6" s="1"/>
  <c r="CD112" i="6"/>
  <c r="DM112" i="6" a="1"/>
  <c r="DM112" i="6" s="1"/>
  <c r="DF112" i="6" a="1"/>
  <c r="DF112" i="6" s="1"/>
  <c r="BL112" i="6"/>
  <c r="CH112" i="6"/>
  <c r="BQ112" i="6"/>
  <c r="BM111" i="6"/>
  <c r="BV111" i="6"/>
  <c r="BT111" i="6"/>
  <c r="DC111" i="6" a="1"/>
  <c r="DC111" i="6" s="1"/>
  <c r="DN111" i="6" a="1"/>
  <c r="DN111" i="6" s="1"/>
  <c r="BW111" i="6"/>
  <c r="DL111" i="6" a="1"/>
  <c r="DL111" i="6" s="1"/>
  <c r="BU111" i="6"/>
  <c r="CA111" i="6"/>
  <c r="CF111" i="6"/>
  <c r="DA111" i="6" a="1"/>
  <c r="DA111" i="6" s="1"/>
  <c r="CV111" i="6" a="1"/>
  <c r="CV111" i="6" s="1"/>
  <c r="BO111" i="6"/>
  <c r="BS111" i="6"/>
  <c r="DS111" i="6" a="1"/>
  <c r="DS111" i="6" s="1"/>
  <c r="CD111" i="6"/>
  <c r="CI111" i="6"/>
  <c r="DB111" i="6" a="1"/>
  <c r="DB111" i="6" s="1"/>
  <c r="BX111" i="6"/>
  <c r="CC111" i="6"/>
  <c r="BL111" i="6"/>
  <c r="DD111" i="6" a="1"/>
  <c r="DD111" i="6" s="1"/>
  <c r="CW111" i="6" a="1"/>
  <c r="CW111" i="6" s="1"/>
  <c r="BZ111" i="6"/>
  <c r="DH111" i="6" a="1"/>
  <c r="DH111" i="6" s="1"/>
  <c r="CH111" i="6"/>
  <c r="CZ111" i="6" a="1"/>
  <c r="CZ111" i="6" s="1"/>
  <c r="DR111" i="6" a="1"/>
  <c r="DR111" i="6" s="1"/>
  <c r="DQ111" i="6" a="1"/>
  <c r="DQ111" i="6" s="1"/>
  <c r="CK111" i="6"/>
  <c r="BP111" i="6"/>
  <c r="CJ111" i="6"/>
  <c r="CL111" i="6"/>
  <c r="DO111" i="6" a="1"/>
  <c r="DO111" i="6" s="1"/>
  <c r="CE111" i="6"/>
  <c r="CB111" i="6"/>
  <c r="BY111" i="6"/>
  <c r="CN111" i="6"/>
  <c r="CT111" i="6" a="1"/>
  <c r="CT111" i="6" s="1"/>
  <c r="CR111" i="6"/>
  <c r="DP111" i="6" a="1"/>
  <c r="DP111" i="6" s="1"/>
  <c r="CX111" i="6" a="1"/>
  <c r="CX111" i="6" s="1"/>
  <c r="DI111" i="6" a="1"/>
  <c r="DI111" i="6" s="1"/>
  <c r="DK111" i="6" a="1"/>
  <c r="DK111" i="6" s="1"/>
  <c r="CM111" i="6"/>
  <c r="CP111" i="6"/>
  <c r="DG111" i="6" a="1"/>
  <c r="DG111" i="6" s="1"/>
  <c r="DF111" i="6" a="1"/>
  <c r="DF111" i="6" s="1"/>
  <c r="CQ111" i="6"/>
  <c r="DJ111" i="6" a="1"/>
  <c r="DJ111" i="6" s="1"/>
  <c r="CO111" i="6"/>
  <c r="DM111" i="6" a="1"/>
  <c r="DM111" i="6" s="1"/>
  <c r="CG111" i="6"/>
  <c r="DE111" i="6" a="1"/>
  <c r="DE111" i="6" s="1"/>
  <c r="CU111" i="6" a="1"/>
  <c r="CU111" i="6" s="1"/>
  <c r="CY111" i="6" a="1"/>
  <c r="CY111" i="6" s="1"/>
  <c r="BQ111" i="6"/>
  <c r="BN111" i="6"/>
  <c r="BZ104" i="6"/>
  <c r="CR104" i="6"/>
  <c r="DO104" i="6" a="1"/>
  <c r="DO104" i="6" s="1"/>
  <c r="DF104" i="6" a="1"/>
  <c r="DF104" i="6" s="1"/>
  <c r="CG104" i="6"/>
  <c r="DD104" i="6" a="1"/>
  <c r="DD104" i="6" s="1"/>
  <c r="BL104" i="6"/>
  <c r="CF104" i="6"/>
  <c r="CC104" i="6"/>
  <c r="DG104" i="6" a="1"/>
  <c r="DG104" i="6" s="1"/>
  <c r="DM104" i="6" a="1"/>
  <c r="DM104" i="6" s="1"/>
  <c r="CP104" i="6"/>
  <c r="BN104" i="6"/>
  <c r="CH104" i="6"/>
  <c r="CT104" i="6" a="1"/>
  <c r="CT104" i="6" s="1"/>
  <c r="CQ104" i="6"/>
  <c r="DA104" i="6" a="1"/>
  <c r="DA104" i="6" s="1"/>
  <c r="DS104" i="6" a="1"/>
  <c r="DS104" i="6" s="1"/>
  <c r="CI104" i="6"/>
  <c r="BX104" i="6"/>
  <c r="DJ104" i="6" a="1"/>
  <c r="DJ104" i="6" s="1"/>
  <c r="BM104" i="6"/>
  <c r="DB104" i="6" a="1"/>
  <c r="DB104" i="6" s="1"/>
  <c r="CA104" i="6"/>
  <c r="BT104" i="6"/>
  <c r="CD104" i="6"/>
  <c r="CK104" i="6"/>
  <c r="DK104" i="6" a="1"/>
  <c r="DK104" i="6" s="1"/>
  <c r="BS104" i="6"/>
  <c r="CM104" i="6"/>
  <c r="CU104" i="6" a="1"/>
  <c r="CU104" i="6" s="1"/>
  <c r="DI104" i="6" a="1"/>
  <c r="DI104" i="6" s="1"/>
  <c r="BW104" i="6"/>
  <c r="DL104" i="6" a="1"/>
  <c r="DL104" i="6" s="1"/>
  <c r="DR104" i="6" a="1"/>
  <c r="DR104" i="6" s="1"/>
  <c r="CX104" i="6" a="1"/>
  <c r="CX104" i="6" s="1"/>
  <c r="CO104" i="6"/>
  <c r="CZ104" i="6" a="1"/>
  <c r="CZ104" i="6" s="1"/>
  <c r="CY104" i="6" a="1"/>
  <c r="CY104" i="6" s="1"/>
  <c r="DN104" i="6" a="1"/>
  <c r="DN104" i="6" s="1"/>
  <c r="CB104" i="6"/>
  <c r="BP104" i="6"/>
  <c r="CW104" i="6" a="1"/>
  <c r="CW104" i="6" s="1"/>
  <c r="CN104" i="6"/>
  <c r="DH104" i="6" a="1"/>
  <c r="DH104" i="6" s="1"/>
  <c r="BV104" i="6"/>
  <c r="BU104" i="6"/>
  <c r="CL104" i="6"/>
  <c r="DE104" i="6" a="1"/>
  <c r="DE104" i="6" s="1"/>
  <c r="CE104" i="6"/>
  <c r="CV104" i="6" a="1"/>
  <c r="CV104" i="6" s="1"/>
  <c r="DP104" i="6" a="1"/>
  <c r="DP104" i="6" s="1"/>
  <c r="BQ104" i="6"/>
  <c r="BO104" i="6"/>
  <c r="CJ104" i="6"/>
  <c r="BY104" i="6"/>
  <c r="DC104" i="6" a="1"/>
  <c r="DC104" i="6" s="1"/>
  <c r="DQ104" i="6" a="1"/>
  <c r="DQ104" i="6" s="1"/>
  <c r="K163" i="12"/>
  <c r="L164" i="12" a="1"/>
  <c r="L164" i="12" s="1"/>
  <c r="J164" i="12" a="1"/>
  <c r="J164" i="12" s="1"/>
  <c r="N163" i="6"/>
  <c r="A164" i="6"/>
  <c r="E165" i="5"/>
  <c r="H165" i="5"/>
  <c r="B165" i="6"/>
  <c r="G165" i="5"/>
  <c r="N165" i="5"/>
  <c r="D165" i="6" s="1"/>
  <c r="H165" i="6" s="1" a="1"/>
  <c r="H165" i="6" s="1"/>
  <c r="T165" i="5" s="1"/>
  <c r="G165" i="12" s="1" a="1"/>
  <c r="G165" i="12" s="1"/>
  <c r="D165" i="5"/>
  <c r="B165" i="12" s="1"/>
  <c r="K165" i="5"/>
  <c r="J165" i="5"/>
  <c r="F165" i="5"/>
  <c r="B165" i="5"/>
  <c r="C166" i="5" s="1"/>
  <c r="AD165" i="5"/>
  <c r="AE165" i="5" a="1"/>
  <c r="AE165" i="5" s="1"/>
  <c r="A165" i="12"/>
  <c r="L172" i="6"/>
  <c r="CC116" i="6" l="1"/>
  <c r="DP116" i="6" a="1"/>
  <c r="DP116" i="6" s="1"/>
  <c r="BW116" i="6"/>
  <c r="CK116" i="6"/>
  <c r="CR116" i="6"/>
  <c r="DA116" i="6" a="1"/>
  <c r="DA116" i="6" s="1"/>
  <c r="DM116" i="6" a="1"/>
  <c r="DM116" i="6" s="1"/>
  <c r="DB116" i="6" a="1"/>
  <c r="DB116" i="6" s="1"/>
  <c r="BT116" i="6"/>
  <c r="BU116" i="6"/>
  <c r="CL116" i="6"/>
  <c r="CF116" i="6"/>
  <c r="DJ116" i="6" a="1"/>
  <c r="DJ116" i="6" s="1"/>
  <c r="DD116" i="6" a="1"/>
  <c r="DD116" i="6" s="1"/>
  <c r="DF116" i="6" a="1"/>
  <c r="DF116" i="6" s="1"/>
  <c r="DS116" i="6" a="1"/>
  <c r="DS116" i="6" s="1"/>
  <c r="BO116" i="6"/>
  <c r="CE116" i="6"/>
  <c r="CT116" i="6" a="1"/>
  <c r="CT116" i="6" s="1"/>
  <c r="CD116" i="6"/>
  <c r="DR116" i="6" a="1"/>
  <c r="DR116" i="6" s="1"/>
  <c r="CP116" i="6"/>
  <c r="CM116" i="6"/>
  <c r="BZ116" i="6"/>
  <c r="CI116" i="6"/>
  <c r="DL116" i="6" a="1"/>
  <c r="DL116" i="6" s="1"/>
  <c r="CO116" i="6"/>
  <c r="CB116" i="6"/>
  <c r="DH116" i="6" a="1"/>
  <c r="DH116" i="6" s="1"/>
  <c r="CZ116" i="6" a="1"/>
  <c r="CZ116" i="6" s="1"/>
  <c r="BS116" i="6"/>
  <c r="DI116" i="6" a="1"/>
  <c r="DI116" i="6" s="1"/>
  <c r="BP116" i="6"/>
  <c r="DK116" i="6" a="1"/>
  <c r="DK116" i="6" s="1"/>
  <c r="CY116" i="6" a="1"/>
  <c r="CY116" i="6" s="1"/>
  <c r="DE116" i="6" a="1"/>
  <c r="DE116" i="6" s="1"/>
  <c r="DN116" i="6" a="1"/>
  <c r="DN116" i="6" s="1"/>
  <c r="DC116" i="6" a="1"/>
  <c r="DC116" i="6" s="1"/>
  <c r="BY116" i="6"/>
  <c r="CQ116" i="6"/>
  <c r="BM116" i="6"/>
  <c r="BL116" i="6"/>
  <c r="CJ116" i="6"/>
  <c r="CV116" i="6" a="1"/>
  <c r="CV116" i="6" s="1"/>
  <c r="CX116" i="6" a="1"/>
  <c r="CX116" i="6" s="1"/>
  <c r="CU116" i="6" a="1"/>
  <c r="CU116" i="6" s="1"/>
  <c r="BX116" i="6"/>
  <c r="CA116" i="6"/>
  <c r="BQ116" i="6"/>
  <c r="DO116" i="6" a="1"/>
  <c r="DO116" i="6" s="1"/>
  <c r="BN116" i="6"/>
  <c r="CN116" i="6"/>
  <c r="DQ116" i="6" a="1"/>
  <c r="DQ116" i="6" s="1"/>
  <c r="CH116" i="6"/>
  <c r="CG116" i="6"/>
  <c r="BV116" i="6"/>
  <c r="DG116" i="6" a="1"/>
  <c r="DG116" i="6" s="1"/>
  <c r="CW116" i="6" a="1"/>
  <c r="CW116" i="6" s="1"/>
  <c r="M117" i="6"/>
  <c r="M119" i="6"/>
  <c r="M120" i="6"/>
  <c r="M122" i="6"/>
  <c r="M123" i="6"/>
  <c r="M124" i="6"/>
  <c r="M121" i="6"/>
  <c r="M118" i="6"/>
  <c r="A165" i="6"/>
  <c r="AD166" i="5"/>
  <c r="A166" i="12"/>
  <c r="E166" i="5"/>
  <c r="N166" i="5"/>
  <c r="D166" i="6" s="1"/>
  <c r="M166" i="6" s="1"/>
  <c r="B166" i="6"/>
  <c r="A166" i="6" s="1"/>
  <c r="AF166" i="5" a="1"/>
  <c r="AF166" i="5" s="1"/>
  <c r="AG166" i="5" s="1" a="1"/>
  <c r="AG166" i="5" s="1"/>
  <c r="U166" i="5" s="1"/>
  <c r="AN166" i="5" s="1" a="1"/>
  <c r="AN166" i="5" s="1"/>
  <c r="B166" i="5"/>
  <c r="C167" i="5" s="1"/>
  <c r="I166" i="5"/>
  <c r="F166" i="5"/>
  <c r="H166" i="5"/>
  <c r="W166" i="5" a="1"/>
  <c r="W166" i="5" s="1"/>
  <c r="H166" i="12" s="1" a="1"/>
  <c r="H166" i="12" s="1"/>
  <c r="G166" i="5"/>
  <c r="AE166" i="5" a="1"/>
  <c r="AE166" i="5" s="1"/>
  <c r="N164" i="6"/>
  <c r="J165" i="12" a="1"/>
  <c r="J165" i="12" s="1"/>
  <c r="L165" i="12" a="1"/>
  <c r="L165" i="12" s="1"/>
  <c r="K164" i="12"/>
  <c r="L173" i="6"/>
  <c r="CR124" i="6" l="1"/>
  <c r="CY124" i="6" a="1"/>
  <c r="CY124" i="6" s="1"/>
  <c r="CM124" i="6"/>
  <c r="DJ124" i="6" a="1"/>
  <c r="DJ124" i="6" s="1"/>
  <c r="DN124" i="6" a="1"/>
  <c r="DN124" i="6" s="1"/>
  <c r="BO124" i="6"/>
  <c r="CH124" i="6"/>
  <c r="CT124" i="6" a="1"/>
  <c r="CT124" i="6" s="1"/>
  <c r="CP124" i="6"/>
  <c r="DA124" i="6" a="1"/>
  <c r="DA124" i="6" s="1"/>
  <c r="BQ124" i="6"/>
  <c r="DH124" i="6" a="1"/>
  <c r="DH124" i="6" s="1"/>
  <c r="CW124" i="6" a="1"/>
  <c r="CW124" i="6" s="1"/>
  <c r="CF124" i="6"/>
  <c r="DM124" i="6" a="1"/>
  <c r="DM124" i="6" s="1"/>
  <c r="BT124" i="6"/>
  <c r="CL124" i="6"/>
  <c r="DQ124" i="6" a="1"/>
  <c r="DQ124" i="6" s="1"/>
  <c r="CX124" i="6" a="1"/>
  <c r="CX124" i="6" s="1"/>
  <c r="CJ124" i="6"/>
  <c r="CQ124" i="6"/>
  <c r="BV124" i="6"/>
  <c r="DS124" i="6" a="1"/>
  <c r="DS124" i="6" s="1"/>
  <c r="BZ124" i="6"/>
  <c r="BN124" i="6"/>
  <c r="DC124" i="6" a="1"/>
  <c r="DC124" i="6" s="1"/>
  <c r="CG124" i="6"/>
  <c r="BY124" i="6"/>
  <c r="DD124" i="6" a="1"/>
  <c r="DD124" i="6" s="1"/>
  <c r="DR124" i="6" a="1"/>
  <c r="DR124" i="6" s="1"/>
  <c r="CE124" i="6"/>
  <c r="DF124" i="6" a="1"/>
  <c r="DF124" i="6" s="1"/>
  <c r="DI124" i="6" a="1"/>
  <c r="DI124" i="6" s="1"/>
  <c r="BS124" i="6"/>
  <c r="DP124" i="6" a="1"/>
  <c r="DP124" i="6" s="1"/>
  <c r="DG124" i="6" a="1"/>
  <c r="DG124" i="6" s="1"/>
  <c r="DO124" i="6" a="1"/>
  <c r="DO124" i="6" s="1"/>
  <c r="BM124" i="6"/>
  <c r="CO124" i="6"/>
  <c r="BU124" i="6"/>
  <c r="DE124" i="6" a="1"/>
  <c r="DE124" i="6" s="1"/>
  <c r="CN124" i="6"/>
  <c r="DL124" i="6" a="1"/>
  <c r="DL124" i="6" s="1"/>
  <c r="CK124" i="6"/>
  <c r="CI124" i="6"/>
  <c r="BW124" i="6"/>
  <c r="DB124" i="6" a="1"/>
  <c r="DB124" i="6" s="1"/>
  <c r="DK124" i="6" a="1"/>
  <c r="DK124" i="6" s="1"/>
  <c r="BL124" i="6"/>
  <c r="CB124" i="6"/>
  <c r="CV124" i="6" a="1"/>
  <c r="CV124" i="6" s="1"/>
  <c r="BX124" i="6"/>
  <c r="CA124" i="6"/>
  <c r="CU124" i="6" a="1"/>
  <c r="CU124" i="6" s="1"/>
  <c r="BP124" i="6"/>
  <c r="CZ124" i="6" a="1"/>
  <c r="CZ124" i="6" s="1"/>
  <c r="CD124" i="6"/>
  <c r="CC124" i="6"/>
  <c r="M126" i="6"/>
  <c r="CU123" i="6" a="1"/>
  <c r="CU123" i="6" s="1"/>
  <c r="CP123" i="6"/>
  <c r="DL123" i="6" a="1"/>
  <c r="DL123" i="6" s="1"/>
  <c r="BU123" i="6"/>
  <c r="DA123" i="6" a="1"/>
  <c r="DA123" i="6" s="1"/>
  <c r="BP123" i="6"/>
  <c r="CN123" i="6"/>
  <c r="CG123" i="6"/>
  <c r="BN123" i="6"/>
  <c r="DD123" i="6" a="1"/>
  <c r="DD123" i="6" s="1"/>
  <c r="CO123" i="6"/>
  <c r="CY123" i="6" a="1"/>
  <c r="CY123" i="6" s="1"/>
  <c r="DO123" i="6" a="1"/>
  <c r="DO123" i="6" s="1"/>
  <c r="CR123" i="6"/>
  <c r="CV123" i="6" a="1"/>
  <c r="CV123" i="6" s="1"/>
  <c r="CF123" i="6"/>
  <c r="BV123" i="6"/>
  <c r="CH123" i="6"/>
  <c r="CE123" i="6"/>
  <c r="DG123" i="6" a="1"/>
  <c r="DG123" i="6" s="1"/>
  <c r="BZ123" i="6"/>
  <c r="CT123" i="6" a="1"/>
  <c r="CT123" i="6" s="1"/>
  <c r="BY123" i="6"/>
  <c r="DR123" i="6" a="1"/>
  <c r="DR123" i="6" s="1"/>
  <c r="CL123" i="6"/>
  <c r="BO123" i="6"/>
  <c r="CX123" i="6" a="1"/>
  <c r="CX123" i="6" s="1"/>
  <c r="DE123" i="6" a="1"/>
  <c r="DE123" i="6" s="1"/>
  <c r="BL123" i="6"/>
  <c r="CZ123" i="6" a="1"/>
  <c r="CZ123" i="6" s="1"/>
  <c r="DQ123" i="6" a="1"/>
  <c r="DQ123" i="6" s="1"/>
  <c r="CD123" i="6"/>
  <c r="DH123" i="6" a="1"/>
  <c r="DH123" i="6" s="1"/>
  <c r="CQ123" i="6"/>
  <c r="CM123" i="6"/>
  <c r="DN123" i="6" a="1"/>
  <c r="DN123" i="6" s="1"/>
  <c r="BW123" i="6"/>
  <c r="BT123" i="6"/>
  <c r="DC123" i="6" a="1"/>
  <c r="DC123" i="6" s="1"/>
  <c r="DS123" i="6" a="1"/>
  <c r="DS123" i="6" s="1"/>
  <c r="DB123" i="6" a="1"/>
  <c r="DB123" i="6" s="1"/>
  <c r="CJ123" i="6"/>
  <c r="CA123" i="6"/>
  <c r="CB123" i="6"/>
  <c r="CK123" i="6"/>
  <c r="DP123" i="6" a="1"/>
  <c r="DP123" i="6" s="1"/>
  <c r="BX123" i="6"/>
  <c r="DM123" i="6" a="1"/>
  <c r="DM123" i="6" s="1"/>
  <c r="DI123" i="6" a="1"/>
  <c r="DI123" i="6" s="1"/>
  <c r="CW123" i="6" a="1"/>
  <c r="CW123" i="6" s="1"/>
  <c r="BS123" i="6"/>
  <c r="DK123" i="6" a="1"/>
  <c r="DK123" i="6" s="1"/>
  <c r="DJ123" i="6" a="1"/>
  <c r="DJ123" i="6" s="1"/>
  <c r="CI123" i="6"/>
  <c r="DF123" i="6" a="1"/>
  <c r="DF123" i="6" s="1"/>
  <c r="BQ123" i="6"/>
  <c r="BM123" i="6"/>
  <c r="CC123" i="6"/>
  <c r="DB122" i="6" a="1"/>
  <c r="DB122" i="6" s="1"/>
  <c r="CF122" i="6"/>
  <c r="CK122" i="6"/>
  <c r="BO122" i="6"/>
  <c r="DG122" i="6" a="1"/>
  <c r="DG122" i="6" s="1"/>
  <c r="BL122" i="6"/>
  <c r="CI122" i="6"/>
  <c r="DN122" i="6" a="1"/>
  <c r="DN122" i="6" s="1"/>
  <c r="CZ122" i="6" a="1"/>
  <c r="CZ122" i="6" s="1"/>
  <c r="BV122" i="6"/>
  <c r="DI122" i="6" a="1"/>
  <c r="DI122" i="6" s="1"/>
  <c r="BT122" i="6"/>
  <c r="CB122" i="6"/>
  <c r="CM122" i="6"/>
  <c r="CA122" i="6"/>
  <c r="BQ122" i="6"/>
  <c r="DL122" i="6" a="1"/>
  <c r="DL122" i="6" s="1"/>
  <c r="CJ122" i="6"/>
  <c r="CC122" i="6"/>
  <c r="DS122" i="6" a="1"/>
  <c r="DS122" i="6" s="1"/>
  <c r="CU122" i="6" a="1"/>
  <c r="CU122" i="6" s="1"/>
  <c r="DC122" i="6" a="1"/>
  <c r="DC122" i="6" s="1"/>
  <c r="CG122" i="6"/>
  <c r="CL122" i="6"/>
  <c r="BX122" i="6"/>
  <c r="CO122" i="6"/>
  <c r="DO122" i="6" a="1"/>
  <c r="DO122" i="6" s="1"/>
  <c r="DA122" i="6" a="1"/>
  <c r="DA122" i="6" s="1"/>
  <c r="DK122" i="6" a="1"/>
  <c r="DK122" i="6" s="1"/>
  <c r="BZ122" i="6"/>
  <c r="DJ122" i="6" a="1"/>
  <c r="DJ122" i="6" s="1"/>
  <c r="DD122" i="6" a="1"/>
  <c r="DD122" i="6" s="1"/>
  <c r="CV122" i="6" a="1"/>
  <c r="CV122" i="6" s="1"/>
  <c r="CT122" i="6" a="1"/>
  <c r="CT122" i="6" s="1"/>
  <c r="BM122" i="6"/>
  <c r="CQ122" i="6"/>
  <c r="BN122" i="6"/>
  <c r="DP122" i="6" a="1"/>
  <c r="DP122" i="6" s="1"/>
  <c r="CX122" i="6" a="1"/>
  <c r="CX122" i="6" s="1"/>
  <c r="CD122" i="6"/>
  <c r="DM122" i="6" a="1"/>
  <c r="DM122" i="6" s="1"/>
  <c r="DQ122" i="6" a="1"/>
  <c r="DQ122" i="6" s="1"/>
  <c r="CE122" i="6"/>
  <c r="DR122" i="6" a="1"/>
  <c r="DR122" i="6" s="1"/>
  <c r="CN122" i="6"/>
  <c r="DH122" i="6" a="1"/>
  <c r="DH122" i="6" s="1"/>
  <c r="CR122" i="6"/>
  <c r="CH122" i="6"/>
  <c r="DE122" i="6" a="1"/>
  <c r="DE122" i="6" s="1"/>
  <c r="CW122" i="6" a="1"/>
  <c r="CW122" i="6" s="1"/>
  <c r="CY122" i="6" a="1"/>
  <c r="CY122" i="6" s="1"/>
  <c r="BW122" i="6"/>
  <c r="BU122" i="6"/>
  <c r="BY122" i="6"/>
  <c r="DF122" i="6" a="1"/>
  <c r="DF122" i="6" s="1"/>
  <c r="BS122" i="6"/>
  <c r="CP122" i="6"/>
  <c r="BP122" i="6"/>
  <c r="CQ120" i="6"/>
  <c r="CU120" i="6" a="1"/>
  <c r="CU120" i="6" s="1"/>
  <c r="CM120" i="6"/>
  <c r="DC120" i="6" a="1"/>
  <c r="DC120" i="6" s="1"/>
  <c r="CE120" i="6"/>
  <c r="DN120" i="6" a="1"/>
  <c r="DN120" i="6" s="1"/>
  <c r="DA120" i="6" a="1"/>
  <c r="DA120" i="6" s="1"/>
  <c r="BU120" i="6"/>
  <c r="CK120" i="6"/>
  <c r="DK120" i="6" a="1"/>
  <c r="DK120" i="6" s="1"/>
  <c r="CC120" i="6"/>
  <c r="CF120" i="6"/>
  <c r="BS120" i="6"/>
  <c r="CY120" i="6" a="1"/>
  <c r="CY120" i="6" s="1"/>
  <c r="DR120" i="6" a="1"/>
  <c r="DR120" i="6" s="1"/>
  <c r="CN120" i="6"/>
  <c r="BL120" i="6"/>
  <c r="DE120" i="6" a="1"/>
  <c r="DE120" i="6" s="1"/>
  <c r="BT120" i="6"/>
  <c r="DB120" i="6" a="1"/>
  <c r="DB120" i="6" s="1"/>
  <c r="CV120" i="6" a="1"/>
  <c r="CV120" i="6" s="1"/>
  <c r="CA120" i="6"/>
  <c r="DI120" i="6" a="1"/>
  <c r="DI120" i="6" s="1"/>
  <c r="BM120" i="6"/>
  <c r="CP120" i="6"/>
  <c r="CZ120" i="6" a="1"/>
  <c r="CZ120" i="6" s="1"/>
  <c r="CL120" i="6"/>
  <c r="CB120" i="6"/>
  <c r="DL120" i="6" a="1"/>
  <c r="DL120" i="6" s="1"/>
  <c r="DP120" i="6" a="1"/>
  <c r="DP120" i="6" s="1"/>
  <c r="DQ120" i="6" a="1"/>
  <c r="DQ120" i="6" s="1"/>
  <c r="CG120" i="6"/>
  <c r="DO120" i="6" a="1"/>
  <c r="DO120" i="6" s="1"/>
  <c r="BQ120" i="6"/>
  <c r="BZ120" i="6"/>
  <c r="BN120" i="6"/>
  <c r="DF120" i="6" a="1"/>
  <c r="DF120" i="6" s="1"/>
  <c r="CX120" i="6" a="1"/>
  <c r="CX120" i="6" s="1"/>
  <c r="BO120" i="6"/>
  <c r="CD120" i="6"/>
  <c r="CI120" i="6"/>
  <c r="CJ120" i="6"/>
  <c r="DD120" i="6" a="1"/>
  <c r="DD120" i="6" s="1"/>
  <c r="CW120" i="6" a="1"/>
  <c r="CW120" i="6" s="1"/>
  <c r="CH120" i="6"/>
  <c r="DJ120" i="6" a="1"/>
  <c r="DJ120" i="6" s="1"/>
  <c r="CT120" i="6" a="1"/>
  <c r="CT120" i="6" s="1"/>
  <c r="BX120" i="6"/>
  <c r="BY120" i="6"/>
  <c r="DM120" i="6" a="1"/>
  <c r="DM120" i="6" s="1"/>
  <c r="BV120" i="6"/>
  <c r="DS120" i="6" a="1"/>
  <c r="DS120" i="6" s="1"/>
  <c r="BW120" i="6"/>
  <c r="CO120" i="6"/>
  <c r="BP120" i="6"/>
  <c r="DG120" i="6" a="1"/>
  <c r="DG120" i="6" s="1"/>
  <c r="CR120" i="6"/>
  <c r="DH120" i="6" a="1"/>
  <c r="DH120" i="6" s="1"/>
  <c r="DI119" i="6" a="1"/>
  <c r="DI119" i="6" s="1"/>
  <c r="BX119" i="6"/>
  <c r="BP119" i="6"/>
  <c r="DE119" i="6" a="1"/>
  <c r="DE119" i="6" s="1"/>
  <c r="CZ119" i="6" a="1"/>
  <c r="CZ119" i="6" s="1"/>
  <c r="CV119" i="6" a="1"/>
  <c r="CV119" i="6" s="1"/>
  <c r="DF119" i="6" a="1"/>
  <c r="DF119" i="6" s="1"/>
  <c r="DD119" i="6" a="1"/>
  <c r="DD119" i="6" s="1"/>
  <c r="CN119" i="6"/>
  <c r="BO119" i="6"/>
  <c r="CR119" i="6"/>
  <c r="CW119" i="6" a="1"/>
  <c r="CW119" i="6" s="1"/>
  <c r="CI119" i="6"/>
  <c r="CF119" i="6"/>
  <c r="DG119" i="6" a="1"/>
  <c r="DG119" i="6" s="1"/>
  <c r="BV119" i="6"/>
  <c r="CY119" i="6" a="1"/>
  <c r="CY119" i="6" s="1"/>
  <c r="DB119" i="6" a="1"/>
  <c r="DB119" i="6" s="1"/>
  <c r="BN119" i="6"/>
  <c r="BM119" i="6"/>
  <c r="BY119" i="6"/>
  <c r="BQ119" i="6"/>
  <c r="DC119" i="6" a="1"/>
  <c r="DC119" i="6" s="1"/>
  <c r="CK119" i="6"/>
  <c r="CM119" i="6"/>
  <c r="CH119" i="6"/>
  <c r="BU119" i="6"/>
  <c r="DO119" i="6" a="1"/>
  <c r="DO119" i="6" s="1"/>
  <c r="BS119" i="6"/>
  <c r="DR119" i="6" a="1"/>
  <c r="DR119" i="6" s="1"/>
  <c r="DL119" i="6" a="1"/>
  <c r="DL119" i="6" s="1"/>
  <c r="DS119" i="6" a="1"/>
  <c r="DS119" i="6" s="1"/>
  <c r="CC119" i="6"/>
  <c r="DJ119" i="6" a="1"/>
  <c r="DJ119" i="6" s="1"/>
  <c r="CQ119" i="6"/>
  <c r="CE119" i="6"/>
  <c r="DN119" i="6" a="1"/>
  <c r="DN119" i="6" s="1"/>
  <c r="DH119" i="6" a="1"/>
  <c r="DH119" i="6" s="1"/>
  <c r="CP119" i="6"/>
  <c r="CX119" i="6" a="1"/>
  <c r="CX119" i="6" s="1"/>
  <c r="BZ119" i="6"/>
  <c r="CG119" i="6"/>
  <c r="DQ119" i="6" a="1"/>
  <c r="DQ119" i="6" s="1"/>
  <c r="DM119" i="6" a="1"/>
  <c r="DM119" i="6" s="1"/>
  <c r="CO119" i="6"/>
  <c r="CB119" i="6"/>
  <c r="CU119" i="6" a="1"/>
  <c r="CU119" i="6" s="1"/>
  <c r="BT119" i="6"/>
  <c r="CJ119" i="6"/>
  <c r="CA119" i="6"/>
  <c r="BL119" i="6"/>
  <c r="DA119" i="6" a="1"/>
  <c r="DA119" i="6" s="1"/>
  <c r="DK119" i="6" a="1"/>
  <c r="DK119" i="6" s="1"/>
  <c r="CT119" i="6" a="1"/>
  <c r="CT119" i="6" s="1"/>
  <c r="DP119" i="6" a="1"/>
  <c r="DP119" i="6" s="1"/>
  <c r="CL119" i="6"/>
  <c r="BW119" i="6"/>
  <c r="CD119" i="6"/>
  <c r="CV117" i="6" a="1"/>
  <c r="CV117" i="6" s="1"/>
  <c r="BL117" i="6"/>
  <c r="DM117" i="6" a="1"/>
  <c r="DM117" i="6" s="1"/>
  <c r="BM117" i="6"/>
  <c r="CJ117" i="6"/>
  <c r="DE117" i="6" a="1"/>
  <c r="DE117" i="6" s="1"/>
  <c r="BX117" i="6"/>
  <c r="DS117" i="6" a="1"/>
  <c r="DS117" i="6" s="1"/>
  <c r="DL117" i="6" a="1"/>
  <c r="DL117" i="6" s="1"/>
  <c r="DI117" i="6" a="1"/>
  <c r="DI117" i="6" s="1"/>
  <c r="CL117" i="6"/>
  <c r="DD117" i="6" a="1"/>
  <c r="DD117" i="6" s="1"/>
  <c r="CZ117" i="6" a="1"/>
  <c r="CZ117" i="6" s="1"/>
  <c r="CY117" i="6" a="1"/>
  <c r="CY117" i="6" s="1"/>
  <c r="DR117" i="6" a="1"/>
  <c r="DR117" i="6" s="1"/>
  <c r="DA117" i="6" a="1"/>
  <c r="DA117" i="6" s="1"/>
  <c r="CX117" i="6" a="1"/>
  <c r="CX117" i="6" s="1"/>
  <c r="CU117" i="6" a="1"/>
  <c r="CU117" i="6" s="1"/>
  <c r="CC117" i="6"/>
  <c r="DP117" i="6" a="1"/>
  <c r="DP117" i="6" s="1"/>
  <c r="CI117" i="6"/>
  <c r="DG117" i="6" a="1"/>
  <c r="DG117" i="6" s="1"/>
  <c r="CR117" i="6"/>
  <c r="CQ117" i="6"/>
  <c r="BW117" i="6"/>
  <c r="CG117" i="6"/>
  <c r="CO117" i="6"/>
  <c r="BT117" i="6"/>
  <c r="CM117" i="6"/>
  <c r="DC117" i="6" a="1"/>
  <c r="DC117" i="6" s="1"/>
  <c r="CH117" i="6"/>
  <c r="BY117" i="6"/>
  <c r="BU117" i="6"/>
  <c r="CE117" i="6"/>
  <c r="CF117" i="6"/>
  <c r="BV117" i="6"/>
  <c r="DQ117" i="6" a="1"/>
  <c r="DQ117" i="6" s="1"/>
  <c r="BQ117" i="6"/>
  <c r="DJ117" i="6" a="1"/>
  <c r="DJ117" i="6" s="1"/>
  <c r="DO117" i="6" a="1"/>
  <c r="DO117" i="6" s="1"/>
  <c r="CW117" i="6" a="1"/>
  <c r="CW117" i="6" s="1"/>
  <c r="DN117" i="6" a="1"/>
  <c r="DN117" i="6" s="1"/>
  <c r="CA117" i="6"/>
  <c r="CP117" i="6"/>
  <c r="BP117" i="6"/>
  <c r="CN117" i="6"/>
  <c r="DB117" i="6" a="1"/>
  <c r="DB117" i="6" s="1"/>
  <c r="DF117" i="6" a="1"/>
  <c r="DF117" i="6" s="1"/>
  <c r="BO117" i="6"/>
  <c r="DK117" i="6" a="1"/>
  <c r="DK117" i="6" s="1"/>
  <c r="BN117" i="6"/>
  <c r="CT117" i="6" a="1"/>
  <c r="CT117" i="6" s="1"/>
  <c r="DH117" i="6" a="1"/>
  <c r="DH117" i="6" s="1"/>
  <c r="BZ117" i="6"/>
  <c r="CB117" i="6"/>
  <c r="CD117" i="6"/>
  <c r="BS117" i="6"/>
  <c r="CK117" i="6"/>
  <c r="CJ118" i="6"/>
  <c r="DF118" i="6" a="1"/>
  <c r="DF118" i="6" s="1"/>
  <c r="DM118" i="6" a="1"/>
  <c r="DM118" i="6" s="1"/>
  <c r="BV118" i="6"/>
  <c r="DG118" i="6" a="1"/>
  <c r="DG118" i="6" s="1"/>
  <c r="CD118" i="6"/>
  <c r="DS118" i="6" a="1"/>
  <c r="DS118" i="6" s="1"/>
  <c r="DA118" i="6" a="1"/>
  <c r="DA118" i="6" s="1"/>
  <c r="BO118" i="6"/>
  <c r="CH118" i="6"/>
  <c r="DR118" i="6" a="1"/>
  <c r="DR118" i="6" s="1"/>
  <c r="DD118" i="6" a="1"/>
  <c r="DD118" i="6" s="1"/>
  <c r="CX118" i="6" a="1"/>
  <c r="CX118" i="6" s="1"/>
  <c r="CZ118" i="6" a="1"/>
  <c r="CZ118" i="6" s="1"/>
  <c r="DH118" i="6" a="1"/>
  <c r="DH118" i="6" s="1"/>
  <c r="BL118" i="6"/>
  <c r="CP118" i="6"/>
  <c r="BZ118" i="6"/>
  <c r="BU118" i="6"/>
  <c r="DQ118" i="6" a="1"/>
  <c r="DQ118" i="6" s="1"/>
  <c r="CE118" i="6"/>
  <c r="BS118" i="6"/>
  <c r="CO118" i="6"/>
  <c r="CQ118" i="6"/>
  <c r="CA118" i="6"/>
  <c r="CL118" i="6"/>
  <c r="DI118" i="6" a="1"/>
  <c r="DI118" i="6" s="1"/>
  <c r="CU118" i="6" a="1"/>
  <c r="CU118" i="6" s="1"/>
  <c r="CK118" i="6"/>
  <c r="BM118" i="6"/>
  <c r="DP118" i="6" a="1"/>
  <c r="DP118" i="6" s="1"/>
  <c r="CT118" i="6" a="1"/>
  <c r="CT118" i="6" s="1"/>
  <c r="BW118" i="6"/>
  <c r="CY118" i="6" a="1"/>
  <c r="CY118" i="6" s="1"/>
  <c r="CC118" i="6"/>
  <c r="DB118" i="6" a="1"/>
  <c r="DB118" i="6" s="1"/>
  <c r="DK118" i="6" a="1"/>
  <c r="DK118" i="6" s="1"/>
  <c r="BT118" i="6"/>
  <c r="DE118" i="6" a="1"/>
  <c r="DE118" i="6" s="1"/>
  <c r="CV118" i="6" a="1"/>
  <c r="CV118" i="6" s="1"/>
  <c r="BQ118" i="6"/>
  <c r="BX118" i="6"/>
  <c r="BN118" i="6"/>
  <c r="DJ118" i="6" a="1"/>
  <c r="DJ118" i="6" s="1"/>
  <c r="CN118" i="6"/>
  <c r="CI118" i="6"/>
  <c r="CM118" i="6"/>
  <c r="CW118" i="6" a="1"/>
  <c r="CW118" i="6" s="1"/>
  <c r="CB118" i="6"/>
  <c r="DO118" i="6" a="1"/>
  <c r="DO118" i="6" s="1"/>
  <c r="CR118" i="6"/>
  <c r="DN118" i="6" a="1"/>
  <c r="DN118" i="6" s="1"/>
  <c r="CF118" i="6"/>
  <c r="CG118" i="6"/>
  <c r="BY118" i="6"/>
  <c r="DC118" i="6" a="1"/>
  <c r="DC118" i="6" s="1"/>
  <c r="DL118" i="6" a="1"/>
  <c r="DL118" i="6" s="1"/>
  <c r="BP118" i="6"/>
  <c r="DH121" i="6" a="1"/>
  <c r="DH121" i="6" s="1"/>
  <c r="CL121" i="6"/>
  <c r="CO121" i="6"/>
  <c r="CD121" i="6"/>
  <c r="CP121" i="6"/>
  <c r="CQ121" i="6"/>
  <c r="DC121" i="6" a="1"/>
  <c r="DC121" i="6" s="1"/>
  <c r="BW121" i="6"/>
  <c r="CK121" i="6"/>
  <c r="CN121" i="6"/>
  <c r="DK121" i="6" a="1"/>
  <c r="DK121" i="6" s="1"/>
  <c r="BX121" i="6"/>
  <c r="CY121" i="6" a="1"/>
  <c r="CY121" i="6" s="1"/>
  <c r="CR121" i="6"/>
  <c r="CF121" i="6"/>
  <c r="BN121" i="6"/>
  <c r="CC121" i="6"/>
  <c r="DQ121" i="6" a="1"/>
  <c r="DQ121" i="6" s="1"/>
  <c r="DA121" i="6" a="1"/>
  <c r="DA121" i="6" s="1"/>
  <c r="DF121" i="6" a="1"/>
  <c r="DF121" i="6" s="1"/>
  <c r="CT121" i="6" a="1"/>
  <c r="CT121" i="6" s="1"/>
  <c r="CV121" i="6" a="1"/>
  <c r="CV121" i="6" s="1"/>
  <c r="CB121" i="6"/>
  <c r="BS121" i="6"/>
  <c r="DI121" i="6" a="1"/>
  <c r="DI121" i="6" s="1"/>
  <c r="DN121" i="6" a="1"/>
  <c r="DN121" i="6" s="1"/>
  <c r="CH121" i="6"/>
  <c r="CW121" i="6" a="1"/>
  <c r="CW121" i="6" s="1"/>
  <c r="BZ121" i="6"/>
  <c r="BQ121" i="6"/>
  <c r="CX121" i="6" a="1"/>
  <c r="CX121" i="6" s="1"/>
  <c r="BU121" i="6"/>
  <c r="CU121" i="6" a="1"/>
  <c r="CU121" i="6" s="1"/>
  <c r="DM121" i="6" a="1"/>
  <c r="DM121" i="6" s="1"/>
  <c r="BT121" i="6"/>
  <c r="CZ121" i="6" a="1"/>
  <c r="CZ121" i="6" s="1"/>
  <c r="DR121" i="6" a="1"/>
  <c r="DR121" i="6" s="1"/>
  <c r="CI121" i="6"/>
  <c r="CA121" i="6"/>
  <c r="DL121" i="6" a="1"/>
  <c r="DL121" i="6" s="1"/>
  <c r="DE121" i="6" a="1"/>
  <c r="DE121" i="6" s="1"/>
  <c r="CG121" i="6"/>
  <c r="BV121" i="6"/>
  <c r="BP121" i="6"/>
  <c r="DO121" i="6" a="1"/>
  <c r="DO121" i="6" s="1"/>
  <c r="CM121" i="6"/>
  <c r="DG121" i="6" a="1"/>
  <c r="DG121" i="6" s="1"/>
  <c r="BM121" i="6"/>
  <c r="DS121" i="6" a="1"/>
  <c r="DS121" i="6" s="1"/>
  <c r="DJ121" i="6" a="1"/>
  <c r="DJ121" i="6" s="1"/>
  <c r="DB121" i="6" a="1"/>
  <c r="DB121" i="6" s="1"/>
  <c r="CJ121" i="6"/>
  <c r="CE121" i="6"/>
  <c r="BL121" i="6"/>
  <c r="BY121" i="6"/>
  <c r="DD121" i="6" a="1"/>
  <c r="DD121" i="6" s="1"/>
  <c r="BO121" i="6"/>
  <c r="DP121" i="6" a="1"/>
  <c r="DP121" i="6" s="1"/>
  <c r="K165" i="12"/>
  <c r="N166" i="6"/>
  <c r="N165" i="6"/>
  <c r="W167" i="5" a="1"/>
  <c r="W167" i="5" s="1"/>
  <c r="H167" i="12" s="1" a="1"/>
  <c r="H167" i="12" s="1"/>
  <c r="F167" i="5"/>
  <c r="AD167" i="5"/>
  <c r="AF167" i="5" a="1"/>
  <c r="AF167" i="5" s="1"/>
  <c r="AG167" i="5" s="1" a="1"/>
  <c r="AG167" i="5" s="1"/>
  <c r="U167" i="5" s="1"/>
  <c r="AN167" i="5" s="1" a="1"/>
  <c r="AN167" i="5" s="1"/>
  <c r="AE167" i="5" a="1"/>
  <c r="AE167" i="5" s="1"/>
  <c r="A167" i="12"/>
  <c r="I167" i="5"/>
  <c r="B167" i="6"/>
  <c r="A167" i="6" s="1"/>
  <c r="E167" i="5"/>
  <c r="C168" i="5"/>
  <c r="H167" i="5"/>
  <c r="N167" i="5"/>
  <c r="D167" i="6" s="1"/>
  <c r="G167" i="5"/>
  <c r="B167" i="5"/>
  <c r="H166" i="6" a="1"/>
  <c r="H166" i="6" s="1"/>
  <c r="T166" i="5" s="1"/>
  <c r="G166" i="12" s="1" a="1"/>
  <c r="G166" i="12" s="1"/>
  <c r="G166" i="6"/>
  <c r="L174" i="6"/>
  <c r="DS166" i="6" a="1"/>
  <c r="DS166" i="6" s="1"/>
  <c r="DF166" i="6" a="1"/>
  <c r="DF166" i="6" s="1"/>
  <c r="CJ166" i="6"/>
  <c r="CZ166" i="6" a="1"/>
  <c r="CZ166" i="6" s="1"/>
  <c r="BZ166" i="6"/>
  <c r="DR166" i="6" a="1"/>
  <c r="DR166" i="6" s="1"/>
  <c r="CO166" i="6"/>
  <c r="CH166" i="6"/>
  <c r="BX166" i="6"/>
  <c r="CL166" i="6"/>
  <c r="CE166" i="6"/>
  <c r="CW166" i="6" a="1"/>
  <c r="CW166" i="6" s="1"/>
  <c r="BY166" i="6"/>
  <c r="DD166" i="6" a="1"/>
  <c r="DD166" i="6" s="1"/>
  <c r="DP166" i="6" a="1"/>
  <c r="DP166" i="6" s="1"/>
  <c r="DB166" i="6" a="1"/>
  <c r="DB166" i="6" s="1"/>
  <c r="CP166" i="6"/>
  <c r="CD166" i="6"/>
  <c r="DL166" i="6" a="1"/>
  <c r="DL166" i="6" s="1"/>
  <c r="CY166" i="6" a="1"/>
  <c r="CY166" i="6" s="1"/>
  <c r="DO166" i="6" a="1"/>
  <c r="DO166" i="6" s="1"/>
  <c r="CK166" i="6"/>
  <c r="BW166" i="6"/>
  <c r="DG166" i="6" a="1"/>
  <c r="DG166" i="6" s="1"/>
  <c r="CR166" i="6"/>
  <c r="BV166" i="6"/>
  <c r="CQ166" i="6"/>
  <c r="CU166" i="6" a="1"/>
  <c r="CU166" i="6" s="1"/>
  <c r="DJ166" i="6" a="1"/>
  <c r="DJ166" i="6" s="1"/>
  <c r="CM166" i="6"/>
  <c r="CT166" i="6" a="1"/>
  <c r="CT166" i="6" s="1"/>
  <c r="DI166" i="6" a="1"/>
  <c r="DI166" i="6" s="1"/>
  <c r="CI166" i="6"/>
  <c r="CV166" i="6" a="1"/>
  <c r="CV166" i="6" s="1"/>
  <c r="DC166" i="6" a="1"/>
  <c r="DC166" i="6" s="1"/>
  <c r="CG166" i="6"/>
  <c r="CA166" i="6"/>
  <c r="DE166" i="6" a="1"/>
  <c r="DE166" i="6" s="1"/>
  <c r="CF166" i="6"/>
  <c r="BS166" i="6"/>
  <c r="DM166" i="6" a="1"/>
  <c r="DM166" i="6" s="1"/>
  <c r="CB166" i="6"/>
  <c r="DQ166" i="6" a="1"/>
  <c r="DQ166" i="6" s="1"/>
  <c r="CX166" i="6" a="1"/>
  <c r="CX166" i="6" s="1"/>
  <c r="DH166" i="6" a="1"/>
  <c r="DH166" i="6" s="1"/>
  <c r="DK166" i="6" a="1"/>
  <c r="DK166" i="6" s="1"/>
  <c r="CN166" i="6"/>
  <c r="BT166" i="6"/>
  <c r="BU166" i="6"/>
  <c r="DA166" i="6" a="1"/>
  <c r="DA166" i="6" s="1"/>
  <c r="DN166" i="6" a="1"/>
  <c r="DN166" i="6" s="1"/>
  <c r="CC166" i="6"/>
  <c r="DM126" i="6" l="1" a="1"/>
  <c r="DM126" i="6" s="1"/>
  <c r="DI126" i="6" a="1"/>
  <c r="DI126" i="6" s="1"/>
  <c r="BS126" i="6"/>
  <c r="BP126" i="6"/>
  <c r="BL126" i="6"/>
  <c r="CL126" i="6"/>
  <c r="BM126" i="6"/>
  <c r="DR126" i="6" a="1"/>
  <c r="DR126" i="6" s="1"/>
  <c r="DA126" i="6" a="1"/>
  <c r="DA126" i="6" s="1"/>
  <c r="CI126" i="6"/>
  <c r="BW126" i="6"/>
  <c r="CK126" i="6"/>
  <c r="DD126" i="6" a="1"/>
  <c r="DD126" i="6" s="1"/>
  <c r="CF126" i="6"/>
  <c r="CA126" i="6"/>
  <c r="DP126" i="6" a="1"/>
  <c r="DP126" i="6" s="1"/>
  <c r="CY126" i="6" a="1"/>
  <c r="CY126" i="6" s="1"/>
  <c r="CE126" i="6"/>
  <c r="CG126" i="6"/>
  <c r="CP126" i="6"/>
  <c r="DC126" i="6" a="1"/>
  <c r="DC126" i="6" s="1"/>
  <c r="BN126" i="6"/>
  <c r="DG126" i="6" a="1"/>
  <c r="DG126" i="6" s="1"/>
  <c r="DJ126" i="6" a="1"/>
  <c r="DJ126" i="6" s="1"/>
  <c r="DO126" i="6" a="1"/>
  <c r="DO126" i="6" s="1"/>
  <c r="DQ126" i="6" a="1"/>
  <c r="DQ126" i="6" s="1"/>
  <c r="DK126" i="6" a="1"/>
  <c r="DK126" i="6" s="1"/>
  <c r="CH126" i="6"/>
  <c r="BX126" i="6"/>
  <c r="BV126" i="6"/>
  <c r="BZ126" i="6"/>
  <c r="CN126" i="6"/>
  <c r="CO126" i="6"/>
  <c r="CU126" i="6" a="1"/>
  <c r="CU126" i="6" s="1"/>
  <c r="CT126" i="6" a="1"/>
  <c r="CT126" i="6" s="1"/>
  <c r="CZ126" i="6" a="1"/>
  <c r="CZ126" i="6" s="1"/>
  <c r="CV126" i="6" a="1"/>
  <c r="CV126" i="6" s="1"/>
  <c r="BO126" i="6"/>
  <c r="CJ126" i="6"/>
  <c r="BQ126" i="6"/>
  <c r="DL126" i="6" a="1"/>
  <c r="DL126" i="6" s="1"/>
  <c r="CC126" i="6"/>
  <c r="DF126" i="6" a="1"/>
  <c r="DF126" i="6" s="1"/>
  <c r="M127" i="6"/>
  <c r="DH126" i="6" a="1"/>
  <c r="DH126" i="6" s="1"/>
  <c r="CW126" i="6" a="1"/>
  <c r="CW126" i="6" s="1"/>
  <c r="CM126" i="6"/>
  <c r="DB126" i="6" a="1"/>
  <c r="DB126" i="6" s="1"/>
  <c r="CQ126" i="6"/>
  <c r="BY126" i="6"/>
  <c r="DN126" i="6" a="1"/>
  <c r="DN126" i="6" s="1"/>
  <c r="DS126" i="6" a="1"/>
  <c r="DS126" i="6" s="1"/>
  <c r="BU126" i="6"/>
  <c r="CD126" i="6"/>
  <c r="DE126" i="6" a="1"/>
  <c r="DE126" i="6" s="1"/>
  <c r="BT126" i="6"/>
  <c r="CR126" i="6"/>
  <c r="CB126" i="6"/>
  <c r="CX126" i="6" a="1"/>
  <c r="CX126" i="6" s="1"/>
  <c r="BL166" i="6"/>
  <c r="AT166" i="6"/>
  <c r="BB166" i="6"/>
  <c r="AZ166" i="6"/>
  <c r="BE166" i="6"/>
  <c r="BQ166" i="6"/>
  <c r="AV166" i="6"/>
  <c r="BM166" i="6"/>
  <c r="BD166" i="6"/>
  <c r="AR166" i="6"/>
  <c r="AX166" i="6"/>
  <c r="AW166" i="6"/>
  <c r="BC166" i="6"/>
  <c r="BG166" i="6"/>
  <c r="BN166" i="6"/>
  <c r="BJ166" i="6"/>
  <c r="BI166" i="6"/>
  <c r="BP166" i="6"/>
  <c r="AS166" i="6"/>
  <c r="BF166" i="6"/>
  <c r="BO166" i="6"/>
  <c r="AU166" i="6"/>
  <c r="BK166" i="6"/>
  <c r="BA166" i="6"/>
  <c r="BH166" i="6"/>
  <c r="AY166" i="6"/>
  <c r="H167" i="6" a="1"/>
  <c r="H167" i="6" s="1"/>
  <c r="T167" i="5" s="1"/>
  <c r="G167" i="12" s="1" a="1"/>
  <c r="G167" i="12" s="1"/>
  <c r="G167" i="6"/>
  <c r="M167" i="6"/>
  <c r="N167" i="6"/>
  <c r="J168" i="5"/>
  <c r="A168" i="12"/>
  <c r="AD168" i="5"/>
  <c r="G168" i="5"/>
  <c r="AE168" i="5" a="1"/>
  <c r="AE168" i="5" s="1"/>
  <c r="K168" i="5"/>
  <c r="C169" i="5"/>
  <c r="F168" i="5"/>
  <c r="E168" i="5"/>
  <c r="D168" i="5"/>
  <c r="B168" i="12" s="1"/>
  <c r="N168" i="5"/>
  <c r="D168" i="6" s="1"/>
  <c r="H168" i="6" s="1" a="1"/>
  <c r="H168" i="6" s="1"/>
  <c r="T168" i="5" s="1"/>
  <c r="G168" i="12" s="1" a="1"/>
  <c r="G168" i="12" s="1"/>
  <c r="B168" i="5"/>
  <c r="H168" i="5"/>
  <c r="B168" i="6"/>
  <c r="L175" i="6"/>
  <c r="CM127" i="6" l="1"/>
  <c r="DO127" i="6" a="1"/>
  <c r="DO127" i="6" s="1"/>
  <c r="BQ127" i="6"/>
  <c r="DE127" i="6" a="1"/>
  <c r="DE127" i="6" s="1"/>
  <c r="CV127" i="6" a="1"/>
  <c r="CV127" i="6" s="1"/>
  <c r="DI127" i="6" a="1"/>
  <c r="DI127" i="6" s="1"/>
  <c r="BS127" i="6"/>
  <c r="DL127" i="6" a="1"/>
  <c r="DL127" i="6" s="1"/>
  <c r="DA127" i="6" a="1"/>
  <c r="DA127" i="6" s="1"/>
  <c r="CI127" i="6"/>
  <c r="DM127" i="6" a="1"/>
  <c r="DM127" i="6" s="1"/>
  <c r="CY127" i="6" a="1"/>
  <c r="CY127" i="6" s="1"/>
  <c r="DN127" i="6" a="1"/>
  <c r="DN127" i="6" s="1"/>
  <c r="CJ127" i="6"/>
  <c r="BX127" i="6"/>
  <c r="CR127" i="6"/>
  <c r="CE127" i="6"/>
  <c r="BP127" i="6"/>
  <c r="BT127" i="6"/>
  <c r="DF127" i="6" a="1"/>
  <c r="DF127" i="6" s="1"/>
  <c r="BZ127" i="6"/>
  <c r="BL127" i="6"/>
  <c r="CO127" i="6"/>
  <c r="CK127" i="6"/>
  <c r="DH127" i="6" a="1"/>
  <c r="DH127" i="6" s="1"/>
  <c r="CZ127" i="6" a="1"/>
  <c r="CZ127" i="6" s="1"/>
  <c r="CP127" i="6"/>
  <c r="BO127" i="6"/>
  <c r="CT127" i="6" a="1"/>
  <c r="CT127" i="6" s="1"/>
  <c r="CG127" i="6"/>
  <c r="DJ127" i="6" a="1"/>
  <c r="DJ127" i="6" s="1"/>
  <c r="BV127" i="6"/>
  <c r="DQ127" i="6" a="1"/>
  <c r="DQ127" i="6" s="1"/>
  <c r="CH127" i="6"/>
  <c r="BU127" i="6"/>
  <c r="DG127" i="6" a="1"/>
  <c r="DG127" i="6" s="1"/>
  <c r="CN127" i="6"/>
  <c r="BN127" i="6"/>
  <c r="CB127" i="6"/>
  <c r="BY127" i="6"/>
  <c r="CA127" i="6"/>
  <c r="DK127" i="6" a="1"/>
  <c r="DK127" i="6" s="1"/>
  <c r="DD127" i="6" a="1"/>
  <c r="DD127" i="6" s="1"/>
  <c r="CD127" i="6"/>
  <c r="DC127" i="6" a="1"/>
  <c r="DC127" i="6" s="1"/>
  <c r="CF127" i="6"/>
  <c r="CW127" i="6" a="1"/>
  <c r="CW127" i="6" s="1"/>
  <c r="CQ127" i="6"/>
  <c r="CC127" i="6"/>
  <c r="CL127" i="6"/>
  <c r="DS127" i="6" a="1"/>
  <c r="DS127" i="6" s="1"/>
  <c r="CU127" i="6" a="1"/>
  <c r="CU127" i="6" s="1"/>
  <c r="DB127" i="6" a="1"/>
  <c r="DB127" i="6" s="1"/>
  <c r="DP127" i="6" a="1"/>
  <c r="DP127" i="6" s="1"/>
  <c r="BM127" i="6"/>
  <c r="BW127" i="6"/>
  <c r="DR127" i="6" a="1"/>
  <c r="DR127" i="6" s="1"/>
  <c r="CX127" i="6" a="1"/>
  <c r="CX127" i="6" s="1"/>
  <c r="M129" i="6"/>
  <c r="CQ167" i="6"/>
  <c r="DJ167" i="6" a="1"/>
  <c r="DJ167" i="6" s="1"/>
  <c r="BG167" i="6"/>
  <c r="BP167" i="6"/>
  <c r="AS167" i="6"/>
  <c r="BF167" i="6"/>
  <c r="CO167" i="6"/>
  <c r="CU167" i="6" a="1"/>
  <c r="CU167" i="6" s="1"/>
  <c r="DA167" i="6" a="1"/>
  <c r="DA167" i="6" s="1"/>
  <c r="CB167" i="6"/>
  <c r="CG167" i="6"/>
  <c r="BD167" i="6"/>
  <c r="BU167" i="6"/>
  <c r="BJ167" i="6"/>
  <c r="DH167" i="6" a="1"/>
  <c r="DH167" i="6" s="1"/>
  <c r="CR167" i="6"/>
  <c r="BY167" i="6"/>
  <c r="CL167" i="6"/>
  <c r="CC167" i="6"/>
  <c r="BQ167" i="6"/>
  <c r="DS167" i="6" a="1"/>
  <c r="DS167" i="6" s="1"/>
  <c r="DD167" i="6" a="1"/>
  <c r="DD167" i="6" s="1"/>
  <c r="CE167" i="6"/>
  <c r="BK167" i="6"/>
  <c r="CN167" i="6"/>
  <c r="CA167" i="6"/>
  <c r="BA167" i="6"/>
  <c r="DI167" i="6" a="1"/>
  <c r="DI167" i="6" s="1"/>
  <c r="CX167" i="6" a="1"/>
  <c r="CX167" i="6" s="1"/>
  <c r="BC167" i="6"/>
  <c r="AW167" i="6"/>
  <c r="CH167" i="6"/>
  <c r="CV167" i="6" a="1"/>
  <c r="CV167" i="6" s="1"/>
  <c r="DR167" i="6" a="1"/>
  <c r="DR167" i="6" s="1"/>
  <c r="BE167" i="6"/>
  <c r="DQ167" i="6" a="1"/>
  <c r="DQ167" i="6" s="1"/>
  <c r="DL167" i="6" a="1"/>
  <c r="DL167" i="6" s="1"/>
  <c r="BZ167" i="6"/>
  <c r="CD167" i="6"/>
  <c r="AX167" i="6"/>
  <c r="BT167" i="6"/>
  <c r="BW167" i="6"/>
  <c r="BI167" i="6"/>
  <c r="AU167" i="6"/>
  <c r="DC167" i="6" a="1"/>
  <c r="DC167" i="6" s="1"/>
  <c r="BL167" i="6"/>
  <c r="BN167" i="6"/>
  <c r="AT167" i="6"/>
  <c r="BX167" i="6"/>
  <c r="CJ167" i="6"/>
  <c r="CF167" i="6"/>
  <c r="BM167" i="6"/>
  <c r="AV167" i="6"/>
  <c r="BS167" i="6"/>
  <c r="DB167" i="6" a="1"/>
  <c r="DB167" i="6" s="1"/>
  <c r="AZ167" i="6"/>
  <c r="DG167" i="6" a="1"/>
  <c r="DG167" i="6" s="1"/>
  <c r="DE167" i="6" a="1"/>
  <c r="DE167" i="6" s="1"/>
  <c r="DF167" i="6" a="1"/>
  <c r="DF167" i="6" s="1"/>
  <c r="CY167" i="6" a="1"/>
  <c r="CY167" i="6" s="1"/>
  <c r="CT167" i="6" a="1"/>
  <c r="CT167" i="6" s="1"/>
  <c r="AY167" i="6"/>
  <c r="DM167" i="6" a="1"/>
  <c r="DM167" i="6" s="1"/>
  <c r="DK167" i="6" a="1"/>
  <c r="DK167" i="6" s="1"/>
  <c r="BO167" i="6"/>
  <c r="CP167" i="6"/>
  <c r="CI167" i="6"/>
  <c r="CK167" i="6"/>
  <c r="CZ167" i="6" a="1"/>
  <c r="CZ167" i="6" s="1"/>
  <c r="BH167" i="6"/>
  <c r="AR167" i="6"/>
  <c r="BB167" i="6"/>
  <c r="CW167" i="6" a="1"/>
  <c r="CW167" i="6" s="1"/>
  <c r="BV167" i="6"/>
  <c r="DN167" i="6" a="1"/>
  <c r="DN167" i="6" s="1"/>
  <c r="DO167" i="6" a="1"/>
  <c r="DO167" i="6" s="1"/>
  <c r="DP167" i="6" a="1"/>
  <c r="DP167" i="6" s="1"/>
  <c r="CM167" i="6"/>
  <c r="J168" i="12" a="1"/>
  <c r="J168" i="12" s="1"/>
  <c r="L168" i="12" a="1"/>
  <c r="L168" i="12" s="1"/>
  <c r="K169" i="5"/>
  <c r="G169" i="5"/>
  <c r="A169" i="12"/>
  <c r="D169" i="5"/>
  <c r="B169" i="12" s="1"/>
  <c r="C170" i="5"/>
  <c r="E169" i="5"/>
  <c r="AE169" i="5" a="1"/>
  <c r="AE169" i="5" s="1"/>
  <c r="J169" i="5"/>
  <c r="AD169" i="5"/>
  <c r="F169" i="5"/>
  <c r="B169" i="6"/>
  <c r="N169" i="5"/>
  <c r="D169" i="6" s="1"/>
  <c r="H169" i="6" s="1" a="1"/>
  <c r="H169" i="6" s="1"/>
  <c r="T169" i="5" s="1"/>
  <c r="G169" i="12" s="1" a="1"/>
  <c r="G169" i="12" s="1"/>
  <c r="H169" i="5"/>
  <c r="B169" i="5"/>
  <c r="A168" i="6"/>
  <c r="L176" i="6"/>
  <c r="F175" i="6"/>
  <c r="CY129" i="6" l="1" a="1"/>
  <c r="CY129" i="6" s="1"/>
  <c r="BQ129" i="6"/>
  <c r="CC129" i="6"/>
  <c r="BV129" i="6"/>
  <c r="BY129" i="6"/>
  <c r="CX129" i="6" a="1"/>
  <c r="CX129" i="6" s="1"/>
  <c r="CZ129" i="6" a="1"/>
  <c r="CZ129" i="6" s="1"/>
  <c r="CP129" i="6"/>
  <c r="CB129" i="6"/>
  <c r="DR129" i="6" a="1"/>
  <c r="DR129" i="6" s="1"/>
  <c r="CK129" i="6"/>
  <c r="CR129" i="6"/>
  <c r="BW129" i="6"/>
  <c r="BP129" i="6"/>
  <c r="CA129" i="6"/>
  <c r="DF129" i="6" a="1"/>
  <c r="DF129" i="6" s="1"/>
  <c r="CW129" i="6" a="1"/>
  <c r="CW129" i="6" s="1"/>
  <c r="CE129" i="6"/>
  <c r="CQ129" i="6"/>
  <c r="CI129" i="6"/>
  <c r="BT129" i="6"/>
  <c r="DM129" i="6" a="1"/>
  <c r="DM129" i="6" s="1"/>
  <c r="CT129" i="6" a="1"/>
  <c r="CT129" i="6" s="1"/>
  <c r="M131" i="6"/>
  <c r="CJ129" i="6"/>
  <c r="DS129" i="6" a="1"/>
  <c r="DS129" i="6" s="1"/>
  <c r="CN129" i="6"/>
  <c r="DJ129" i="6" a="1"/>
  <c r="DJ129" i="6" s="1"/>
  <c r="DO129" i="6" a="1"/>
  <c r="DO129" i="6" s="1"/>
  <c r="CU129" i="6" a="1"/>
  <c r="CU129" i="6" s="1"/>
  <c r="CG129" i="6"/>
  <c r="M130" i="6"/>
  <c r="CH129" i="6"/>
  <c r="DD129" i="6" a="1"/>
  <c r="DD129" i="6" s="1"/>
  <c r="CM129" i="6"/>
  <c r="CF129" i="6"/>
  <c r="DA129" i="6" a="1"/>
  <c r="DA129" i="6" s="1"/>
  <c r="BM129" i="6"/>
  <c r="CV129" i="6" a="1"/>
  <c r="CV129" i="6" s="1"/>
  <c r="DE129" i="6" a="1"/>
  <c r="DE129" i="6" s="1"/>
  <c r="BN129" i="6"/>
  <c r="DK129" i="6" a="1"/>
  <c r="DK129" i="6" s="1"/>
  <c r="CO129" i="6"/>
  <c r="CD129" i="6"/>
  <c r="CL129" i="6"/>
  <c r="DB129" i="6" a="1"/>
  <c r="DB129" i="6" s="1"/>
  <c r="BU129" i="6"/>
  <c r="BZ129" i="6"/>
  <c r="DQ129" i="6" a="1"/>
  <c r="DQ129" i="6" s="1"/>
  <c r="DC129" i="6" a="1"/>
  <c r="DC129" i="6" s="1"/>
  <c r="BO129" i="6"/>
  <c r="DG129" i="6" a="1"/>
  <c r="DG129" i="6" s="1"/>
  <c r="DN129" i="6" a="1"/>
  <c r="DN129" i="6" s="1"/>
  <c r="BL129" i="6"/>
  <c r="BS129" i="6"/>
  <c r="DP129" i="6" a="1"/>
  <c r="DP129" i="6" s="1"/>
  <c r="BX129" i="6"/>
  <c r="DL129" i="6" a="1"/>
  <c r="DL129" i="6" s="1"/>
  <c r="DI129" i="6" a="1"/>
  <c r="DI129" i="6" s="1"/>
  <c r="DH129" i="6" a="1"/>
  <c r="DH129" i="6" s="1"/>
  <c r="K168" i="12"/>
  <c r="A169" i="6"/>
  <c r="N169" i="6" s="1"/>
  <c r="L169" i="12" a="1"/>
  <c r="L169" i="12" s="1"/>
  <c r="J169" i="12" a="1"/>
  <c r="J169" i="12" s="1"/>
  <c r="N168" i="6"/>
  <c r="E170" i="5"/>
  <c r="J170" i="5"/>
  <c r="D170" i="5"/>
  <c r="B170" i="12" s="1"/>
  <c r="B170" i="6"/>
  <c r="AE170" i="5" a="1"/>
  <c r="AE170" i="5" s="1"/>
  <c r="N170" i="5"/>
  <c r="D170" i="6" s="1"/>
  <c r="H170" i="6" s="1" a="1"/>
  <c r="H170" i="6" s="1"/>
  <c r="T170" i="5" s="1"/>
  <c r="G170" i="12" s="1" a="1"/>
  <c r="G170" i="12" s="1"/>
  <c r="A170" i="12"/>
  <c r="AD170" i="5"/>
  <c r="C171" i="5"/>
  <c r="G170" i="5"/>
  <c r="B170" i="5"/>
  <c r="H170" i="5"/>
  <c r="K170" i="5"/>
  <c r="F170" i="5"/>
  <c r="L177" i="6"/>
  <c r="CG131" i="6" l="1"/>
  <c r="DN131" i="6" a="1"/>
  <c r="DN131" i="6" s="1"/>
  <c r="DF131" i="6" a="1"/>
  <c r="DF131" i="6" s="1"/>
  <c r="BU131" i="6"/>
  <c r="CW131" i="6" a="1"/>
  <c r="CW131" i="6" s="1"/>
  <c r="DG131" i="6" a="1"/>
  <c r="DG131" i="6" s="1"/>
  <c r="CY131" i="6" a="1"/>
  <c r="CY131" i="6" s="1"/>
  <c r="BZ131" i="6"/>
  <c r="BW131" i="6"/>
  <c r="BN131" i="6"/>
  <c r="CC131" i="6"/>
  <c r="BQ131" i="6"/>
  <c r="BO131" i="6"/>
  <c r="DE131" i="6" a="1"/>
  <c r="DE131" i="6" s="1"/>
  <c r="BY131" i="6"/>
  <c r="CO131" i="6"/>
  <c r="CI131" i="6"/>
  <c r="DA131" i="6" a="1"/>
  <c r="DA131" i="6" s="1"/>
  <c r="DR131" i="6" a="1"/>
  <c r="DR131" i="6" s="1"/>
  <c r="CQ131" i="6"/>
  <c r="CA131" i="6"/>
  <c r="BL131" i="6"/>
  <c r="DQ131" i="6" a="1"/>
  <c r="DQ131" i="6" s="1"/>
  <c r="CP131" i="6"/>
  <c r="CL131" i="6"/>
  <c r="CM131" i="6"/>
  <c r="DS131" i="6" a="1"/>
  <c r="DS131" i="6" s="1"/>
  <c r="CH131" i="6"/>
  <c r="CE131" i="6"/>
  <c r="DD131" i="6" a="1"/>
  <c r="DD131" i="6" s="1"/>
  <c r="BV131" i="6"/>
  <c r="BX131" i="6"/>
  <c r="DO131" i="6" a="1"/>
  <c r="DO131" i="6" s="1"/>
  <c r="CD131" i="6"/>
  <c r="DC131" i="6" a="1"/>
  <c r="DC131" i="6" s="1"/>
  <c r="BS131" i="6"/>
  <c r="DI131" i="6" a="1"/>
  <c r="DI131" i="6" s="1"/>
  <c r="CX131" i="6" a="1"/>
  <c r="CX131" i="6" s="1"/>
  <c r="CT131" i="6" a="1"/>
  <c r="CT131" i="6" s="1"/>
  <c r="CF131" i="6"/>
  <c r="BT131" i="6"/>
  <c r="BM131" i="6"/>
  <c r="CK131" i="6"/>
  <c r="DK131" i="6" a="1"/>
  <c r="DK131" i="6" s="1"/>
  <c r="DJ131" i="6" a="1"/>
  <c r="DJ131" i="6" s="1"/>
  <c r="CZ131" i="6" a="1"/>
  <c r="CZ131" i="6" s="1"/>
  <c r="CB131" i="6"/>
  <c r="CR131" i="6"/>
  <c r="CJ131" i="6"/>
  <c r="DP131" i="6" a="1"/>
  <c r="DP131" i="6" s="1"/>
  <c r="DM131" i="6" a="1"/>
  <c r="DM131" i="6" s="1"/>
  <c r="CV131" i="6" a="1"/>
  <c r="CV131" i="6" s="1"/>
  <c r="DH131" i="6" a="1"/>
  <c r="DH131" i="6" s="1"/>
  <c r="DL131" i="6" a="1"/>
  <c r="DL131" i="6" s="1"/>
  <c r="CN131" i="6"/>
  <c r="BP131" i="6"/>
  <c r="CU131" i="6" a="1"/>
  <c r="CU131" i="6" s="1"/>
  <c r="DB131" i="6" a="1"/>
  <c r="DB131" i="6" s="1"/>
  <c r="M135" i="6"/>
  <c r="CA130" i="6"/>
  <c r="BQ130" i="6"/>
  <c r="CU130" i="6" a="1"/>
  <c r="CU130" i="6" s="1"/>
  <c r="CN130" i="6"/>
  <c r="BN130" i="6"/>
  <c r="CT130" i="6" a="1"/>
  <c r="CT130" i="6" s="1"/>
  <c r="CZ130" i="6" a="1"/>
  <c r="CZ130" i="6" s="1"/>
  <c r="CD130" i="6"/>
  <c r="CE130" i="6"/>
  <c r="CV130" i="6" a="1"/>
  <c r="CV130" i="6" s="1"/>
  <c r="BV130" i="6"/>
  <c r="CB130" i="6"/>
  <c r="CY130" i="6" a="1"/>
  <c r="CY130" i="6" s="1"/>
  <c r="DE130" i="6" a="1"/>
  <c r="DE130" i="6" s="1"/>
  <c r="DQ130" i="6" a="1"/>
  <c r="DQ130" i="6" s="1"/>
  <c r="DC130" i="6" a="1"/>
  <c r="DC130" i="6" s="1"/>
  <c r="DG130" i="6" a="1"/>
  <c r="DG130" i="6" s="1"/>
  <c r="DJ130" i="6" a="1"/>
  <c r="DJ130" i="6" s="1"/>
  <c r="CI130" i="6"/>
  <c r="DK130" i="6" a="1"/>
  <c r="DK130" i="6" s="1"/>
  <c r="BU130" i="6"/>
  <c r="CG130" i="6"/>
  <c r="BO130" i="6"/>
  <c r="DL130" i="6" a="1"/>
  <c r="DL130" i="6" s="1"/>
  <c r="DM130" i="6" a="1"/>
  <c r="DM130" i="6" s="1"/>
  <c r="BP130" i="6"/>
  <c r="DD130" i="6" a="1"/>
  <c r="DD130" i="6" s="1"/>
  <c r="DR130" i="6" a="1"/>
  <c r="DR130" i="6" s="1"/>
  <c r="DH130" i="6" a="1"/>
  <c r="DH130" i="6" s="1"/>
  <c r="DP130" i="6" a="1"/>
  <c r="DP130" i="6" s="1"/>
  <c r="CF130" i="6"/>
  <c r="CL130" i="6"/>
  <c r="DF130" i="6" a="1"/>
  <c r="DF130" i="6" s="1"/>
  <c r="CR130" i="6"/>
  <c r="BY130" i="6"/>
  <c r="BM130" i="6"/>
  <c r="CQ130" i="6"/>
  <c r="CX130" i="6" a="1"/>
  <c r="CX130" i="6" s="1"/>
  <c r="BS130" i="6"/>
  <c r="CM130" i="6"/>
  <c r="DO130" i="6" a="1"/>
  <c r="DO130" i="6" s="1"/>
  <c r="CK130" i="6"/>
  <c r="DS130" i="6" a="1"/>
  <c r="DS130" i="6" s="1"/>
  <c r="BW130" i="6"/>
  <c r="BL130" i="6"/>
  <c r="DA130" i="6" a="1"/>
  <c r="DA130" i="6" s="1"/>
  <c r="CO130" i="6"/>
  <c r="DI130" i="6" a="1"/>
  <c r="DI130" i="6" s="1"/>
  <c r="CH130" i="6"/>
  <c r="BT130" i="6"/>
  <c r="CC130" i="6"/>
  <c r="DN130" i="6" a="1"/>
  <c r="DN130" i="6" s="1"/>
  <c r="BX130" i="6"/>
  <c r="CP130" i="6"/>
  <c r="BZ130" i="6"/>
  <c r="CJ130" i="6"/>
  <c r="CW130" i="6" a="1"/>
  <c r="CW130" i="6" s="1"/>
  <c r="DB130" i="6" a="1"/>
  <c r="DB130" i="6" s="1"/>
  <c r="A171" i="12"/>
  <c r="K171" i="5"/>
  <c r="E171" i="5"/>
  <c r="H171" i="5"/>
  <c r="F171" i="5"/>
  <c r="AD171" i="5"/>
  <c r="D171" i="5"/>
  <c r="B171" i="12" s="1"/>
  <c r="J171" i="5"/>
  <c r="B171" i="6"/>
  <c r="B171" i="5"/>
  <c r="AE171" i="5" a="1"/>
  <c r="AE171" i="5" s="1"/>
  <c r="G171" i="5"/>
  <c r="N171" i="5"/>
  <c r="D171" i="6" s="1"/>
  <c r="H171" i="6" s="1" a="1"/>
  <c r="H171" i="6" s="1"/>
  <c r="T171" i="5" s="1"/>
  <c r="G171" i="12" s="1" a="1"/>
  <c r="G171" i="12" s="1"/>
  <c r="C172" i="5"/>
  <c r="K169" i="12"/>
  <c r="A170" i="6"/>
  <c r="N170" i="6" s="1"/>
  <c r="J170" i="12" a="1"/>
  <c r="J170" i="12" s="1"/>
  <c r="L170" i="12" a="1"/>
  <c r="L170" i="12" s="1"/>
  <c r="L178" i="6"/>
  <c r="BZ135" i="6" l="1"/>
  <c r="BV135" i="6"/>
  <c r="BX135" i="6"/>
  <c r="DJ135" i="6" a="1"/>
  <c r="DJ135" i="6" s="1"/>
  <c r="CX135" i="6" a="1"/>
  <c r="CX135" i="6" s="1"/>
  <c r="CR135" i="6"/>
  <c r="CN135" i="6"/>
  <c r="DM135" i="6" a="1"/>
  <c r="DM135" i="6" s="1"/>
  <c r="DO135" i="6" a="1"/>
  <c r="DO135" i="6" s="1"/>
  <c r="DK135" i="6" a="1"/>
  <c r="DK135" i="6" s="1"/>
  <c r="CY135" i="6" a="1"/>
  <c r="CY135" i="6" s="1"/>
  <c r="CV135" i="6" a="1"/>
  <c r="CV135" i="6" s="1"/>
  <c r="CO135" i="6"/>
  <c r="DL135" i="6" a="1"/>
  <c r="DL135" i="6" s="1"/>
  <c r="DF135" i="6" a="1"/>
  <c r="DF135" i="6" s="1"/>
  <c r="CI135" i="6"/>
  <c r="BQ135" i="6"/>
  <c r="DH135" i="6" a="1"/>
  <c r="DH135" i="6" s="1"/>
  <c r="CE135" i="6"/>
  <c r="CA135" i="6"/>
  <c r="CK135" i="6"/>
  <c r="CM135" i="6"/>
  <c r="CQ135" i="6"/>
  <c r="BN135" i="6"/>
  <c r="BO135" i="6"/>
  <c r="DA135" i="6" a="1"/>
  <c r="DA135" i="6" s="1"/>
  <c r="DB135" i="6" a="1"/>
  <c r="DB135" i="6" s="1"/>
  <c r="DC135" i="6" a="1"/>
  <c r="DC135" i="6" s="1"/>
  <c r="DQ135" i="6" a="1"/>
  <c r="DQ135" i="6" s="1"/>
  <c r="BU135" i="6"/>
  <c r="BP135" i="6"/>
  <c r="CC135" i="6"/>
  <c r="BW135" i="6"/>
  <c r="CU135" i="6" a="1"/>
  <c r="CU135" i="6" s="1"/>
  <c r="CD135" i="6"/>
  <c r="BY135" i="6"/>
  <c r="BM135" i="6"/>
  <c r="CJ135" i="6"/>
  <c r="CB135" i="6"/>
  <c r="DN135" i="6" a="1"/>
  <c r="DN135" i="6" s="1"/>
  <c r="CL135" i="6"/>
  <c r="DD135" i="6" a="1"/>
  <c r="DD135" i="6" s="1"/>
  <c r="BT135" i="6"/>
  <c r="DI135" i="6" a="1"/>
  <c r="DI135" i="6" s="1"/>
  <c r="CF135" i="6"/>
  <c r="CZ135" i="6" a="1"/>
  <c r="CZ135" i="6" s="1"/>
  <c r="CW135" i="6" a="1"/>
  <c r="CW135" i="6" s="1"/>
  <c r="CH135" i="6"/>
  <c r="DG135" i="6" a="1"/>
  <c r="DG135" i="6" s="1"/>
  <c r="DE135" i="6" a="1"/>
  <c r="DE135" i="6" s="1"/>
  <c r="CT135" i="6" a="1"/>
  <c r="CT135" i="6" s="1"/>
  <c r="BS135" i="6"/>
  <c r="DR135" i="6" a="1"/>
  <c r="DR135" i="6" s="1"/>
  <c r="DP135" i="6" a="1"/>
  <c r="DP135" i="6" s="1"/>
  <c r="DS135" i="6" a="1"/>
  <c r="DS135" i="6" s="1"/>
  <c r="CG135" i="6"/>
  <c r="BL135" i="6"/>
  <c r="CP135" i="6"/>
  <c r="M136" i="6"/>
  <c r="M137" i="6"/>
  <c r="M138" i="6"/>
  <c r="M139" i="6"/>
  <c r="M140" i="6"/>
  <c r="M141" i="6"/>
  <c r="M168" i="6" s="1"/>
  <c r="M143" i="6"/>
  <c r="M144" i="6"/>
  <c r="M145" i="6"/>
  <c r="M146" i="6"/>
  <c r="M147" i="6"/>
  <c r="M148" i="6"/>
  <c r="M149" i="6"/>
  <c r="M150" i="6"/>
  <c r="M151" i="6"/>
  <c r="M152" i="6"/>
  <c r="M153" i="6"/>
  <c r="M154" i="6"/>
  <c r="M155" i="6"/>
  <c r="M157" i="6"/>
  <c r="M158" i="6"/>
  <c r="M159" i="6"/>
  <c r="M160" i="6"/>
  <c r="M161" i="6"/>
  <c r="M162" i="6"/>
  <c r="M163" i="6"/>
  <c r="M164" i="6"/>
  <c r="M165" i="6"/>
  <c r="K170" i="12"/>
  <c r="A171" i="6"/>
  <c r="L171" i="12" a="1"/>
  <c r="L171" i="12" s="1"/>
  <c r="J171" i="12" a="1"/>
  <c r="J171" i="12" s="1"/>
  <c r="G172" i="5"/>
  <c r="K172" i="5"/>
  <c r="B172" i="5"/>
  <c r="AD172" i="5"/>
  <c r="F172" i="5"/>
  <c r="J172" i="5"/>
  <c r="B172" i="6"/>
  <c r="D172" i="5"/>
  <c r="B172" i="12" s="1"/>
  <c r="N172" i="5"/>
  <c r="D172" i="6" s="1"/>
  <c r="H172" i="6" s="1" a="1"/>
  <c r="H172" i="6" s="1"/>
  <c r="T172" i="5" s="1"/>
  <c r="G172" i="12" s="1" a="1"/>
  <c r="G172" i="12" s="1"/>
  <c r="AE172" i="5" a="1"/>
  <c r="AE172" i="5" s="1"/>
  <c r="H172" i="5"/>
  <c r="C173" i="5"/>
  <c r="E172" i="5"/>
  <c r="A172" i="12"/>
  <c r="L179" i="6"/>
  <c r="CU168" i="6" l="1" a="1"/>
  <c r="CU168" i="6" s="1"/>
  <c r="DC168" i="6" a="1"/>
  <c r="DC168" i="6" s="1"/>
  <c r="BP168" i="6"/>
  <c r="DN168" i="6" a="1"/>
  <c r="DN168" i="6" s="1"/>
  <c r="CX168" i="6" a="1"/>
  <c r="CX168" i="6" s="1"/>
  <c r="DK168" i="6" a="1"/>
  <c r="DK168" i="6" s="1"/>
  <c r="CL168" i="6"/>
  <c r="BN168" i="6"/>
  <c r="BS168" i="6"/>
  <c r="BY168" i="6"/>
  <c r="BV168" i="6"/>
  <c r="DH168" i="6" a="1"/>
  <c r="DH168" i="6" s="1"/>
  <c r="DF168" i="6" a="1"/>
  <c r="DF168" i="6" s="1"/>
  <c r="CC168" i="6"/>
  <c r="CG168" i="6"/>
  <c r="CR168" i="6"/>
  <c r="BZ168" i="6"/>
  <c r="CP168" i="6"/>
  <c r="CB168" i="6"/>
  <c r="CY168" i="6" a="1"/>
  <c r="CY168" i="6" s="1"/>
  <c r="CZ168" i="6" a="1"/>
  <c r="CZ168" i="6" s="1"/>
  <c r="DI168" i="6" a="1"/>
  <c r="DI168" i="6" s="1"/>
  <c r="DJ168" i="6" a="1"/>
  <c r="DJ168" i="6" s="1"/>
  <c r="CH168" i="6"/>
  <c r="DQ168" i="6" a="1"/>
  <c r="DQ168" i="6" s="1"/>
  <c r="CF168" i="6"/>
  <c r="CV168" i="6" a="1"/>
  <c r="CV168" i="6" s="1"/>
  <c r="BM168" i="6"/>
  <c r="BQ168" i="6"/>
  <c r="BU168" i="6"/>
  <c r="CE168" i="6"/>
  <c r="CK168" i="6"/>
  <c r="CD168" i="6"/>
  <c r="DP168" i="6" a="1"/>
  <c r="DP168" i="6" s="1"/>
  <c r="DR168" i="6" a="1"/>
  <c r="DR168" i="6" s="1"/>
  <c r="DO168" i="6" a="1"/>
  <c r="DO168" i="6" s="1"/>
  <c r="CQ168" i="6"/>
  <c r="BT168" i="6"/>
  <c r="CA168" i="6"/>
  <c r="DD168" i="6" a="1"/>
  <c r="DD168" i="6" s="1"/>
  <c r="DB168" i="6" a="1"/>
  <c r="DB168" i="6" s="1"/>
  <c r="DE168" i="6" a="1"/>
  <c r="DE168" i="6" s="1"/>
  <c r="CT168" i="6" a="1"/>
  <c r="CT168" i="6" s="1"/>
  <c r="BL168" i="6"/>
  <c r="DG168" i="6" a="1"/>
  <c r="DG168" i="6" s="1"/>
  <c r="DL168" i="6" a="1"/>
  <c r="DL168" i="6" s="1"/>
  <c r="BO168" i="6"/>
  <c r="BX168" i="6"/>
  <c r="CO168" i="6"/>
  <c r="CN168" i="6"/>
  <c r="DA168" i="6" a="1"/>
  <c r="DA168" i="6" s="1"/>
  <c r="CI168" i="6"/>
  <c r="DM168" i="6" a="1"/>
  <c r="DM168" i="6" s="1"/>
  <c r="BW168" i="6"/>
  <c r="DS168" i="6" a="1"/>
  <c r="DS168" i="6" s="1"/>
  <c r="CJ168" i="6"/>
  <c r="CW168" i="6" a="1"/>
  <c r="CW168" i="6" s="1"/>
  <c r="CM168" i="6"/>
  <c r="M169" i="6"/>
  <c r="M170" i="6"/>
  <c r="CC170" i="6" s="1"/>
  <c r="CI158" i="6"/>
  <c r="DN158" i="6" a="1"/>
  <c r="DN158" i="6" s="1"/>
  <c r="CJ158" i="6"/>
  <c r="DB158" i="6" a="1"/>
  <c r="DB158" i="6" s="1"/>
  <c r="DM158" i="6" a="1"/>
  <c r="DM158" i="6" s="1"/>
  <c r="CA158" i="6"/>
  <c r="CR158" i="6"/>
  <c r="BX158" i="6"/>
  <c r="CX158" i="6" a="1"/>
  <c r="CX158" i="6" s="1"/>
  <c r="BN158" i="6"/>
  <c r="CQ158" i="6"/>
  <c r="DR158" i="6" a="1"/>
  <c r="DR158" i="6" s="1"/>
  <c r="CE158" i="6"/>
  <c r="BZ158" i="6"/>
  <c r="DF158" i="6" a="1"/>
  <c r="DF158" i="6" s="1"/>
  <c r="DH158" i="6" a="1"/>
  <c r="DH158" i="6" s="1"/>
  <c r="DK158" i="6" a="1"/>
  <c r="DK158" i="6" s="1"/>
  <c r="DE158" i="6" a="1"/>
  <c r="DE158" i="6" s="1"/>
  <c r="BL158" i="6"/>
  <c r="BQ158" i="6"/>
  <c r="CM158" i="6"/>
  <c r="CF158" i="6"/>
  <c r="CY158" i="6" a="1"/>
  <c r="CY158" i="6" s="1"/>
  <c r="DO158" i="6" a="1"/>
  <c r="DO158" i="6" s="1"/>
  <c r="CH158" i="6"/>
  <c r="CK158" i="6"/>
  <c r="DP158" i="6" a="1"/>
  <c r="DP158" i="6" s="1"/>
  <c r="BU158" i="6"/>
  <c r="CV158" i="6" a="1"/>
  <c r="CV158" i="6" s="1"/>
  <c r="CW158" i="6" a="1"/>
  <c r="CW158" i="6" s="1"/>
  <c r="CO158" i="6"/>
  <c r="CU158" i="6" a="1"/>
  <c r="CU158" i="6" s="1"/>
  <c r="CB158" i="6"/>
  <c r="DQ158" i="6" a="1"/>
  <c r="DQ158" i="6" s="1"/>
  <c r="CC158" i="6"/>
  <c r="DD158" i="6" a="1"/>
  <c r="DD158" i="6" s="1"/>
  <c r="BY158" i="6"/>
  <c r="DI158" i="6" a="1"/>
  <c r="DI158" i="6" s="1"/>
  <c r="BM158" i="6"/>
  <c r="DC158" i="6" a="1"/>
  <c r="DC158" i="6" s="1"/>
  <c r="DG158" i="6" a="1"/>
  <c r="DG158" i="6" s="1"/>
  <c r="BS158" i="6"/>
  <c r="CT158" i="6" a="1"/>
  <c r="CT158" i="6" s="1"/>
  <c r="BO158" i="6"/>
  <c r="BW158" i="6"/>
  <c r="CD158" i="6"/>
  <c r="DJ158" i="6" a="1"/>
  <c r="DJ158" i="6" s="1"/>
  <c r="CL158" i="6"/>
  <c r="BP158" i="6"/>
  <c r="CN158" i="6"/>
  <c r="BV158" i="6"/>
  <c r="CP158" i="6"/>
  <c r="DS158" i="6" a="1"/>
  <c r="DS158" i="6" s="1"/>
  <c r="CG158" i="6"/>
  <c r="BT158" i="6"/>
  <c r="DL158" i="6" a="1"/>
  <c r="DL158" i="6" s="1"/>
  <c r="CZ158" i="6" a="1"/>
  <c r="CZ158" i="6" s="1"/>
  <c r="DA158" i="6" a="1"/>
  <c r="DA158" i="6" s="1"/>
  <c r="CJ149" i="6"/>
  <c r="CV149" i="6" a="1"/>
  <c r="CV149" i="6" s="1"/>
  <c r="CY149" i="6" a="1"/>
  <c r="CY149" i="6" s="1"/>
  <c r="DM149" i="6" a="1"/>
  <c r="DM149" i="6" s="1"/>
  <c r="DF149" i="6" a="1"/>
  <c r="DF149" i="6" s="1"/>
  <c r="BW149" i="6"/>
  <c r="BL149" i="6"/>
  <c r="DQ149" i="6" a="1"/>
  <c r="DQ149" i="6" s="1"/>
  <c r="BX149" i="6"/>
  <c r="BS149" i="6"/>
  <c r="DO149" i="6" a="1"/>
  <c r="DO149" i="6" s="1"/>
  <c r="DS149" i="6" a="1"/>
  <c r="DS149" i="6" s="1"/>
  <c r="CH149" i="6"/>
  <c r="BQ149" i="6"/>
  <c r="DN149" i="6" a="1"/>
  <c r="DN149" i="6" s="1"/>
  <c r="CN149" i="6"/>
  <c r="CE149" i="6"/>
  <c r="BP149" i="6"/>
  <c r="CO149" i="6"/>
  <c r="DG149" i="6" a="1"/>
  <c r="DG149" i="6" s="1"/>
  <c r="DJ149" i="6" a="1"/>
  <c r="DJ149" i="6" s="1"/>
  <c r="DR149" i="6" a="1"/>
  <c r="DR149" i="6" s="1"/>
  <c r="BZ149" i="6"/>
  <c r="DP149" i="6" a="1"/>
  <c r="DP149" i="6" s="1"/>
  <c r="CI149" i="6"/>
  <c r="CB149" i="6"/>
  <c r="CM149" i="6"/>
  <c r="CL149" i="6"/>
  <c r="DL149" i="6" a="1"/>
  <c r="DL149" i="6" s="1"/>
  <c r="CD149" i="6"/>
  <c r="BY149" i="6"/>
  <c r="DC149" i="6" a="1"/>
  <c r="DC149" i="6" s="1"/>
  <c r="DE149" i="6" a="1"/>
  <c r="DE149" i="6" s="1"/>
  <c r="DB149" i="6" a="1"/>
  <c r="DB149" i="6" s="1"/>
  <c r="CP149" i="6"/>
  <c r="CG149" i="6"/>
  <c r="BN149" i="6"/>
  <c r="CA149" i="6"/>
  <c r="BT149" i="6"/>
  <c r="CR149" i="6"/>
  <c r="CU149" i="6" a="1"/>
  <c r="CU149" i="6" s="1"/>
  <c r="CZ149" i="6" a="1"/>
  <c r="CZ149" i="6" s="1"/>
  <c r="CQ149" i="6"/>
  <c r="BO149" i="6"/>
  <c r="CT149" i="6" a="1"/>
  <c r="CT149" i="6" s="1"/>
  <c r="BU149" i="6"/>
  <c r="CX149" i="6" a="1"/>
  <c r="CX149" i="6" s="1"/>
  <c r="CC149" i="6"/>
  <c r="DA149" i="6" a="1"/>
  <c r="DA149" i="6" s="1"/>
  <c r="CK149" i="6"/>
  <c r="BM149" i="6"/>
  <c r="BV149" i="6"/>
  <c r="DH149" i="6" a="1"/>
  <c r="DH149" i="6" s="1"/>
  <c r="DI149" i="6" a="1"/>
  <c r="DI149" i="6" s="1"/>
  <c r="DD149" i="6" a="1"/>
  <c r="DD149" i="6" s="1"/>
  <c r="CW149" i="6" a="1"/>
  <c r="CW149" i="6" s="1"/>
  <c r="DK149" i="6" a="1"/>
  <c r="DK149" i="6" s="1"/>
  <c r="CF149" i="6"/>
  <c r="CZ140" i="6" a="1"/>
  <c r="CZ140" i="6" s="1"/>
  <c r="BY140" i="6"/>
  <c r="CC140" i="6"/>
  <c r="BQ140" i="6"/>
  <c r="BN140" i="6"/>
  <c r="DP140" i="6" a="1"/>
  <c r="DP140" i="6" s="1"/>
  <c r="BV140" i="6"/>
  <c r="CJ140" i="6"/>
  <c r="DK140" i="6" a="1"/>
  <c r="DK140" i="6" s="1"/>
  <c r="DS140" i="6" a="1"/>
  <c r="DS140" i="6" s="1"/>
  <c r="CN140" i="6"/>
  <c r="CP140" i="6"/>
  <c r="DD140" i="6" a="1"/>
  <c r="DD140" i="6" s="1"/>
  <c r="BS140" i="6"/>
  <c r="CY140" i="6" a="1"/>
  <c r="CY140" i="6" s="1"/>
  <c r="DE140" i="6" a="1"/>
  <c r="DE140" i="6" s="1"/>
  <c r="DA140" i="6" a="1"/>
  <c r="DA140" i="6" s="1"/>
  <c r="DJ140" i="6" a="1"/>
  <c r="DJ140" i="6" s="1"/>
  <c r="CB140" i="6"/>
  <c r="DQ140" i="6" a="1"/>
  <c r="DQ140" i="6" s="1"/>
  <c r="CK140" i="6"/>
  <c r="CG140" i="6"/>
  <c r="DH140" i="6" a="1"/>
  <c r="DH140" i="6" s="1"/>
  <c r="CU140" i="6" a="1"/>
  <c r="CU140" i="6" s="1"/>
  <c r="CD140" i="6"/>
  <c r="CI140" i="6"/>
  <c r="BW140" i="6"/>
  <c r="CV140" i="6" a="1"/>
  <c r="CV140" i="6" s="1"/>
  <c r="DR140" i="6" a="1"/>
  <c r="DR140" i="6" s="1"/>
  <c r="BL140" i="6"/>
  <c r="DI140" i="6" a="1"/>
  <c r="DI140" i="6" s="1"/>
  <c r="BM140" i="6"/>
  <c r="DO140" i="6" a="1"/>
  <c r="DO140" i="6" s="1"/>
  <c r="BX140" i="6"/>
  <c r="CH140" i="6"/>
  <c r="BU140" i="6"/>
  <c r="CM140" i="6"/>
  <c r="CL140" i="6"/>
  <c r="CO140" i="6"/>
  <c r="DC140" i="6" a="1"/>
  <c r="DC140" i="6" s="1"/>
  <c r="DG140" i="6" a="1"/>
  <c r="DG140" i="6" s="1"/>
  <c r="CE140" i="6"/>
  <c r="CX140" i="6" a="1"/>
  <c r="CX140" i="6" s="1"/>
  <c r="CR140" i="6"/>
  <c r="BT140" i="6"/>
  <c r="DB140" i="6" a="1"/>
  <c r="DB140" i="6" s="1"/>
  <c r="CT140" i="6" a="1"/>
  <c r="CT140" i="6" s="1"/>
  <c r="CW140" i="6" a="1"/>
  <c r="CW140" i="6" s="1"/>
  <c r="BZ140" i="6"/>
  <c r="DL140" i="6" a="1"/>
  <c r="DL140" i="6" s="1"/>
  <c r="DN140" i="6" a="1"/>
  <c r="DN140" i="6" s="1"/>
  <c r="BP140" i="6"/>
  <c r="CQ140" i="6"/>
  <c r="BO140" i="6"/>
  <c r="DM140" i="6" a="1"/>
  <c r="DM140" i="6" s="1"/>
  <c r="CF140" i="6"/>
  <c r="CA140" i="6"/>
  <c r="DF140" i="6" a="1"/>
  <c r="DF140" i="6" s="1"/>
  <c r="DS157" i="6" a="1"/>
  <c r="DS157" i="6" s="1"/>
  <c r="BY157" i="6"/>
  <c r="BL157" i="6"/>
  <c r="CX157" i="6" a="1"/>
  <c r="CX157" i="6" s="1"/>
  <c r="BQ157" i="6"/>
  <c r="CP157" i="6"/>
  <c r="BP157" i="6"/>
  <c r="BN157" i="6"/>
  <c r="DE157" i="6" a="1"/>
  <c r="DE157" i="6" s="1"/>
  <c r="BS157" i="6"/>
  <c r="BX157" i="6"/>
  <c r="DL157" i="6" a="1"/>
  <c r="DL157" i="6" s="1"/>
  <c r="BU157" i="6"/>
  <c r="DD157" i="6" a="1"/>
  <c r="DD157" i="6" s="1"/>
  <c r="BO157" i="6"/>
  <c r="CT157" i="6" a="1"/>
  <c r="CT157" i="6" s="1"/>
  <c r="BV157" i="6"/>
  <c r="CK157" i="6"/>
  <c r="CQ157" i="6"/>
  <c r="DG157" i="6" a="1"/>
  <c r="DG157" i="6" s="1"/>
  <c r="CG157" i="6"/>
  <c r="DH157" i="6" a="1"/>
  <c r="DH157" i="6" s="1"/>
  <c r="CA157" i="6"/>
  <c r="BM157" i="6"/>
  <c r="CD157" i="6"/>
  <c r="DO157" i="6" a="1"/>
  <c r="DO157" i="6" s="1"/>
  <c r="DA157" i="6" a="1"/>
  <c r="DA157" i="6" s="1"/>
  <c r="DN157" i="6" a="1"/>
  <c r="DN157" i="6" s="1"/>
  <c r="DQ157" i="6" a="1"/>
  <c r="DQ157" i="6" s="1"/>
  <c r="CM157" i="6"/>
  <c r="CW157" i="6" a="1"/>
  <c r="CW157" i="6" s="1"/>
  <c r="DB157" i="6" a="1"/>
  <c r="DB157" i="6" s="1"/>
  <c r="CB157" i="6"/>
  <c r="DJ157" i="6" a="1"/>
  <c r="DJ157" i="6" s="1"/>
  <c r="BZ157" i="6"/>
  <c r="DR157" i="6" a="1"/>
  <c r="DR157" i="6" s="1"/>
  <c r="CN157" i="6"/>
  <c r="CZ157" i="6" a="1"/>
  <c r="CZ157" i="6" s="1"/>
  <c r="DK157" i="6" a="1"/>
  <c r="DK157" i="6" s="1"/>
  <c r="DF157" i="6" a="1"/>
  <c r="DF157" i="6" s="1"/>
  <c r="BT157" i="6"/>
  <c r="CL157" i="6"/>
  <c r="CE157" i="6"/>
  <c r="DP157" i="6" a="1"/>
  <c r="DP157" i="6" s="1"/>
  <c r="CU157" i="6" a="1"/>
  <c r="CU157" i="6" s="1"/>
  <c r="CY157" i="6" a="1"/>
  <c r="CY157" i="6" s="1"/>
  <c r="CO157" i="6"/>
  <c r="CF157" i="6"/>
  <c r="CV157" i="6" a="1"/>
  <c r="CV157" i="6" s="1"/>
  <c r="CJ157" i="6"/>
  <c r="BW157" i="6"/>
  <c r="CC157" i="6"/>
  <c r="CR157" i="6"/>
  <c r="DM157" i="6" a="1"/>
  <c r="DM157" i="6" s="1"/>
  <c r="DC157" i="6" a="1"/>
  <c r="DC157" i="6" s="1"/>
  <c r="CH157" i="6"/>
  <c r="CI157" i="6"/>
  <c r="DI157" i="6" a="1"/>
  <c r="DI157" i="6" s="1"/>
  <c r="DI148" i="6" a="1"/>
  <c r="DI148" i="6" s="1"/>
  <c r="CK148" i="6"/>
  <c r="CN148" i="6"/>
  <c r="BW148" i="6"/>
  <c r="CU148" i="6" a="1"/>
  <c r="CU148" i="6" s="1"/>
  <c r="BL148" i="6"/>
  <c r="CR148" i="6"/>
  <c r="BN148" i="6"/>
  <c r="DO148" i="6" a="1"/>
  <c r="DO148" i="6" s="1"/>
  <c r="CB148" i="6"/>
  <c r="CQ148" i="6"/>
  <c r="DL148" i="6" a="1"/>
  <c r="DL148" i="6" s="1"/>
  <c r="DB148" i="6" a="1"/>
  <c r="DB148" i="6" s="1"/>
  <c r="DF148" i="6" a="1"/>
  <c r="DF148" i="6" s="1"/>
  <c r="DR148" i="6" a="1"/>
  <c r="DR148" i="6" s="1"/>
  <c r="CV148" i="6" a="1"/>
  <c r="CV148" i="6" s="1"/>
  <c r="DM148" i="6" a="1"/>
  <c r="DM148" i="6" s="1"/>
  <c r="CG148" i="6"/>
  <c r="BU148" i="6"/>
  <c r="CJ148" i="6"/>
  <c r="BQ148" i="6"/>
  <c r="CL148" i="6"/>
  <c r="BS148" i="6"/>
  <c r="BM148" i="6"/>
  <c r="CM148" i="6"/>
  <c r="CA148" i="6"/>
  <c r="DH148" i="6" a="1"/>
  <c r="DH148" i="6" s="1"/>
  <c r="CH148" i="6"/>
  <c r="DQ148" i="6" a="1"/>
  <c r="DQ148" i="6" s="1"/>
  <c r="BX148" i="6"/>
  <c r="DC148" i="6" a="1"/>
  <c r="DC148" i="6" s="1"/>
  <c r="CX148" i="6" a="1"/>
  <c r="CX148" i="6" s="1"/>
  <c r="BY148" i="6"/>
  <c r="BO148" i="6"/>
  <c r="CP148" i="6"/>
  <c r="CO148" i="6"/>
  <c r="CT148" i="6" a="1"/>
  <c r="CT148" i="6" s="1"/>
  <c r="CF148" i="6"/>
  <c r="CE148" i="6"/>
  <c r="DE148" i="6" a="1"/>
  <c r="DE148" i="6" s="1"/>
  <c r="CW148" i="6" a="1"/>
  <c r="CW148" i="6" s="1"/>
  <c r="DA148" i="6" a="1"/>
  <c r="DA148" i="6" s="1"/>
  <c r="CC148" i="6"/>
  <c r="DK148" i="6" a="1"/>
  <c r="DK148" i="6" s="1"/>
  <c r="DD148" i="6" a="1"/>
  <c r="DD148" i="6" s="1"/>
  <c r="BZ148" i="6"/>
  <c r="CZ148" i="6" a="1"/>
  <c r="CZ148" i="6" s="1"/>
  <c r="CY148" i="6" a="1"/>
  <c r="CY148" i="6" s="1"/>
  <c r="DJ148" i="6" a="1"/>
  <c r="DJ148" i="6" s="1"/>
  <c r="BV148" i="6"/>
  <c r="BT148" i="6"/>
  <c r="BP148" i="6"/>
  <c r="CD148" i="6"/>
  <c r="DN148" i="6" a="1"/>
  <c r="DN148" i="6" s="1"/>
  <c r="DP148" i="6" a="1"/>
  <c r="DP148" i="6" s="1"/>
  <c r="DS148" i="6" a="1"/>
  <c r="DS148" i="6" s="1"/>
  <c r="CI148" i="6"/>
  <c r="DG148" i="6" a="1"/>
  <c r="DG148" i="6" s="1"/>
  <c r="DQ139" i="6" a="1"/>
  <c r="DQ139" i="6" s="1"/>
  <c r="CF139" i="6"/>
  <c r="BM139" i="6"/>
  <c r="DS139" i="6" a="1"/>
  <c r="DS139" i="6" s="1"/>
  <c r="CB139" i="6"/>
  <c r="DO139" i="6" a="1"/>
  <c r="DO139" i="6" s="1"/>
  <c r="DP139" i="6" a="1"/>
  <c r="DP139" i="6" s="1"/>
  <c r="CD139" i="6"/>
  <c r="BL139" i="6"/>
  <c r="DG139" i="6" a="1"/>
  <c r="DG139" i="6" s="1"/>
  <c r="BO139" i="6"/>
  <c r="DK139" i="6" a="1"/>
  <c r="DK139" i="6" s="1"/>
  <c r="CL139" i="6"/>
  <c r="CV139" i="6" a="1"/>
  <c r="CV139" i="6" s="1"/>
  <c r="CJ139" i="6"/>
  <c r="CU139" i="6" a="1"/>
  <c r="CU139" i="6" s="1"/>
  <c r="CY139" i="6" a="1"/>
  <c r="CY139" i="6" s="1"/>
  <c r="BU139" i="6"/>
  <c r="DN139" i="6" a="1"/>
  <c r="DN139" i="6" s="1"/>
  <c r="BX139" i="6"/>
  <c r="DE139" i="6" a="1"/>
  <c r="DE139" i="6" s="1"/>
  <c r="CT139" i="6" a="1"/>
  <c r="CT139" i="6" s="1"/>
  <c r="DR139" i="6" a="1"/>
  <c r="DR139" i="6" s="1"/>
  <c r="DM139" i="6" a="1"/>
  <c r="DM139" i="6" s="1"/>
  <c r="DD139" i="6" a="1"/>
  <c r="DD139" i="6" s="1"/>
  <c r="BZ139" i="6"/>
  <c r="BW139" i="6"/>
  <c r="BT139" i="6"/>
  <c r="CH139" i="6"/>
  <c r="CN139" i="6"/>
  <c r="CI139" i="6"/>
  <c r="DA139" i="6" a="1"/>
  <c r="DA139" i="6" s="1"/>
  <c r="DF139" i="6" a="1"/>
  <c r="DF139" i="6" s="1"/>
  <c r="CK139" i="6"/>
  <c r="CE139" i="6"/>
  <c r="BQ139" i="6"/>
  <c r="CX139" i="6" a="1"/>
  <c r="CX139" i="6" s="1"/>
  <c r="BP139" i="6"/>
  <c r="CG139" i="6"/>
  <c r="BV139" i="6"/>
  <c r="DH139" i="6" a="1"/>
  <c r="DH139" i="6" s="1"/>
  <c r="CR139" i="6"/>
  <c r="CA139" i="6"/>
  <c r="DI139" i="6" a="1"/>
  <c r="DI139" i="6" s="1"/>
  <c r="CP139" i="6"/>
  <c r="DB139" i="6" a="1"/>
  <c r="DB139" i="6" s="1"/>
  <c r="BY139" i="6"/>
  <c r="DC139" i="6" a="1"/>
  <c r="DC139" i="6" s="1"/>
  <c r="BN139" i="6"/>
  <c r="CO139" i="6"/>
  <c r="DL139" i="6" a="1"/>
  <c r="DL139" i="6" s="1"/>
  <c r="CZ139" i="6" a="1"/>
  <c r="CZ139" i="6" s="1"/>
  <c r="CC139" i="6"/>
  <c r="CW139" i="6" a="1"/>
  <c r="CW139" i="6" s="1"/>
  <c r="CQ139" i="6"/>
  <c r="BS139" i="6"/>
  <c r="CM139" i="6"/>
  <c r="DJ139" i="6" a="1"/>
  <c r="DJ139" i="6" s="1"/>
  <c r="DA150" i="6" a="1"/>
  <c r="DA150" i="6" s="1"/>
  <c r="CP150" i="6"/>
  <c r="DE150" i="6" a="1"/>
  <c r="DE150" i="6" s="1"/>
  <c r="DK150" i="6" a="1"/>
  <c r="DK150" i="6" s="1"/>
  <c r="DH150" i="6" a="1"/>
  <c r="DH150" i="6" s="1"/>
  <c r="BN150" i="6"/>
  <c r="DB150" i="6" a="1"/>
  <c r="DB150" i="6" s="1"/>
  <c r="BU150" i="6"/>
  <c r="CJ150" i="6"/>
  <c r="CD150" i="6"/>
  <c r="BX150" i="6"/>
  <c r="CW150" i="6" a="1"/>
  <c r="CW150" i="6" s="1"/>
  <c r="BQ150" i="6"/>
  <c r="CF150" i="6"/>
  <c r="CH150" i="6"/>
  <c r="CL150" i="6"/>
  <c r="CG150" i="6"/>
  <c r="BS150" i="6"/>
  <c r="DD150" i="6" a="1"/>
  <c r="DD150" i="6" s="1"/>
  <c r="CN150" i="6"/>
  <c r="CT150" i="6" a="1"/>
  <c r="CT150" i="6" s="1"/>
  <c r="CQ150" i="6"/>
  <c r="BW150" i="6"/>
  <c r="DF150" i="6" a="1"/>
  <c r="DF150" i="6" s="1"/>
  <c r="BZ150" i="6"/>
  <c r="CE150" i="6"/>
  <c r="CO150" i="6"/>
  <c r="CV150" i="6" a="1"/>
  <c r="CV150" i="6" s="1"/>
  <c r="CM150" i="6"/>
  <c r="BT150" i="6"/>
  <c r="DO150" i="6" a="1"/>
  <c r="DO150" i="6" s="1"/>
  <c r="DG150" i="6" a="1"/>
  <c r="DG150" i="6" s="1"/>
  <c r="BP150" i="6"/>
  <c r="DI150" i="6" a="1"/>
  <c r="DI150" i="6" s="1"/>
  <c r="CR150" i="6"/>
  <c r="CB150" i="6"/>
  <c r="CX150" i="6" a="1"/>
  <c r="CX150" i="6" s="1"/>
  <c r="CC150" i="6"/>
  <c r="BL150" i="6"/>
  <c r="CI150" i="6"/>
  <c r="DP150" i="6" a="1"/>
  <c r="DP150" i="6" s="1"/>
  <c r="BV150" i="6"/>
  <c r="CU150" i="6" a="1"/>
  <c r="CU150" i="6" s="1"/>
  <c r="CZ150" i="6" a="1"/>
  <c r="CZ150" i="6" s="1"/>
  <c r="DN150" i="6" a="1"/>
  <c r="DN150" i="6" s="1"/>
  <c r="DC150" i="6" a="1"/>
  <c r="DC150" i="6" s="1"/>
  <c r="DR150" i="6" a="1"/>
  <c r="DR150" i="6" s="1"/>
  <c r="CK150" i="6"/>
  <c r="BM150" i="6"/>
  <c r="BO150" i="6"/>
  <c r="DM150" i="6" a="1"/>
  <c r="DM150" i="6" s="1"/>
  <c r="DS150" i="6" a="1"/>
  <c r="DS150" i="6" s="1"/>
  <c r="DL150" i="6" a="1"/>
  <c r="DL150" i="6" s="1"/>
  <c r="CA150" i="6"/>
  <c r="DQ150" i="6" a="1"/>
  <c r="DQ150" i="6" s="1"/>
  <c r="CY150" i="6" a="1"/>
  <c r="CY150" i="6" s="1"/>
  <c r="DJ150" i="6" a="1"/>
  <c r="DJ150" i="6" s="1"/>
  <c r="BY150" i="6"/>
  <c r="DO155" i="6" a="1"/>
  <c r="DO155" i="6" s="1"/>
  <c r="DM155" i="6" a="1"/>
  <c r="DM155" i="6" s="1"/>
  <c r="CI155" i="6"/>
  <c r="DS155" i="6" a="1"/>
  <c r="DS155" i="6" s="1"/>
  <c r="BQ155" i="6"/>
  <c r="BU155" i="6"/>
  <c r="CB155" i="6"/>
  <c r="BS155" i="6"/>
  <c r="BL155" i="6"/>
  <c r="CQ155" i="6"/>
  <c r="CY155" i="6" a="1"/>
  <c r="CY155" i="6" s="1"/>
  <c r="DD155" i="6" a="1"/>
  <c r="DD155" i="6" s="1"/>
  <c r="DA155" i="6" a="1"/>
  <c r="DA155" i="6" s="1"/>
  <c r="CV155" i="6" a="1"/>
  <c r="CV155" i="6" s="1"/>
  <c r="CA155" i="6"/>
  <c r="DP155" i="6" a="1"/>
  <c r="DP155" i="6" s="1"/>
  <c r="BZ155" i="6"/>
  <c r="DN155" i="6" a="1"/>
  <c r="DN155" i="6" s="1"/>
  <c r="CN155" i="6"/>
  <c r="CT155" i="6" a="1"/>
  <c r="CT155" i="6" s="1"/>
  <c r="BN155" i="6"/>
  <c r="CJ155" i="6"/>
  <c r="BO155" i="6"/>
  <c r="CC155" i="6"/>
  <c r="BY155" i="6"/>
  <c r="CL155" i="6"/>
  <c r="CK155" i="6"/>
  <c r="DB155" i="6" a="1"/>
  <c r="DB155" i="6" s="1"/>
  <c r="DF155" i="6" a="1"/>
  <c r="DF155" i="6" s="1"/>
  <c r="DR155" i="6" a="1"/>
  <c r="DR155" i="6" s="1"/>
  <c r="DQ155" i="6" a="1"/>
  <c r="DQ155" i="6" s="1"/>
  <c r="CP155" i="6"/>
  <c r="CX155" i="6" a="1"/>
  <c r="CX155" i="6" s="1"/>
  <c r="CF155" i="6"/>
  <c r="DG155" i="6" a="1"/>
  <c r="DG155" i="6" s="1"/>
  <c r="DC155" i="6" a="1"/>
  <c r="DC155" i="6" s="1"/>
  <c r="CE155" i="6"/>
  <c r="BV155" i="6"/>
  <c r="BW155" i="6"/>
  <c r="CH155" i="6"/>
  <c r="DH155" i="6" a="1"/>
  <c r="DH155" i="6" s="1"/>
  <c r="DL155" i="6" a="1"/>
  <c r="DL155" i="6" s="1"/>
  <c r="DK155" i="6" a="1"/>
  <c r="DK155" i="6" s="1"/>
  <c r="BM155" i="6"/>
  <c r="CW155" i="6" a="1"/>
  <c r="CW155" i="6" s="1"/>
  <c r="DI155" i="6" a="1"/>
  <c r="DI155" i="6" s="1"/>
  <c r="BT155" i="6"/>
  <c r="DJ155" i="6" a="1"/>
  <c r="DJ155" i="6" s="1"/>
  <c r="CG155" i="6"/>
  <c r="DE155" i="6" a="1"/>
  <c r="DE155" i="6" s="1"/>
  <c r="BX155" i="6"/>
  <c r="CM155" i="6"/>
  <c r="CZ155" i="6" a="1"/>
  <c r="CZ155" i="6" s="1"/>
  <c r="CR155" i="6"/>
  <c r="BP155" i="6"/>
  <c r="CD155" i="6"/>
  <c r="CO155" i="6"/>
  <c r="CU155" i="6" a="1"/>
  <c r="CU155" i="6" s="1"/>
  <c r="DG147" i="6" a="1"/>
  <c r="DG147" i="6" s="1"/>
  <c r="DO147" i="6" a="1"/>
  <c r="DO147" i="6" s="1"/>
  <c r="BP147" i="6"/>
  <c r="BU147" i="6"/>
  <c r="DB147" i="6" a="1"/>
  <c r="DB147" i="6" s="1"/>
  <c r="CQ147" i="6"/>
  <c r="CP147" i="6"/>
  <c r="DH147" i="6" a="1"/>
  <c r="DH147" i="6" s="1"/>
  <c r="BV147" i="6"/>
  <c r="CD147" i="6"/>
  <c r="BL147" i="6"/>
  <c r="DN147" i="6" a="1"/>
  <c r="DN147" i="6" s="1"/>
  <c r="DJ147" i="6" a="1"/>
  <c r="DJ147" i="6" s="1"/>
  <c r="DK147" i="6" a="1"/>
  <c r="DK147" i="6" s="1"/>
  <c r="DD147" i="6" a="1"/>
  <c r="DD147" i="6" s="1"/>
  <c r="CR147" i="6"/>
  <c r="CW147" i="6" a="1"/>
  <c r="CW147" i="6" s="1"/>
  <c r="DI147" i="6" a="1"/>
  <c r="DI147" i="6" s="1"/>
  <c r="BS147" i="6"/>
  <c r="DL147" i="6" a="1"/>
  <c r="DL147" i="6" s="1"/>
  <c r="DA147" i="6" a="1"/>
  <c r="DA147" i="6" s="1"/>
  <c r="CF147" i="6"/>
  <c r="DR147" i="6" a="1"/>
  <c r="DR147" i="6" s="1"/>
  <c r="DE147" i="6" a="1"/>
  <c r="DE147" i="6" s="1"/>
  <c r="CT147" i="6" a="1"/>
  <c r="CT147" i="6" s="1"/>
  <c r="BX147" i="6"/>
  <c r="BZ147" i="6"/>
  <c r="CK147" i="6"/>
  <c r="DM147" i="6" a="1"/>
  <c r="DM147" i="6" s="1"/>
  <c r="BN147" i="6"/>
  <c r="CY147" i="6" a="1"/>
  <c r="CY147" i="6" s="1"/>
  <c r="DP147" i="6" a="1"/>
  <c r="DP147" i="6" s="1"/>
  <c r="CV147" i="6" a="1"/>
  <c r="CV147" i="6" s="1"/>
  <c r="CB147" i="6"/>
  <c r="BW147" i="6"/>
  <c r="CH147" i="6"/>
  <c r="BQ147" i="6"/>
  <c r="DS147" i="6" a="1"/>
  <c r="DS147" i="6" s="1"/>
  <c r="CA147" i="6"/>
  <c r="BT147" i="6"/>
  <c r="CG147" i="6"/>
  <c r="CM147" i="6"/>
  <c r="CU147" i="6" a="1"/>
  <c r="CU147" i="6" s="1"/>
  <c r="CJ147" i="6"/>
  <c r="CC147" i="6"/>
  <c r="CI147" i="6"/>
  <c r="BO147" i="6"/>
  <c r="DF147" i="6" a="1"/>
  <c r="DF147" i="6" s="1"/>
  <c r="CE147" i="6"/>
  <c r="DQ147" i="6" a="1"/>
  <c r="DQ147" i="6" s="1"/>
  <c r="CL147" i="6"/>
  <c r="BM147" i="6"/>
  <c r="CN147" i="6"/>
  <c r="CO147" i="6"/>
  <c r="CX147" i="6" a="1"/>
  <c r="CX147" i="6" s="1"/>
  <c r="CZ147" i="6" a="1"/>
  <c r="CZ147" i="6" s="1"/>
  <c r="BY147" i="6"/>
  <c r="DC147" i="6" a="1"/>
  <c r="DC147" i="6" s="1"/>
  <c r="CC138" i="6"/>
  <c r="CD138" i="6"/>
  <c r="BQ138" i="6"/>
  <c r="CA138" i="6"/>
  <c r="DC138" i="6" a="1"/>
  <c r="DC138" i="6" s="1"/>
  <c r="CX138" i="6" a="1"/>
  <c r="CX138" i="6" s="1"/>
  <c r="CP138" i="6"/>
  <c r="CK138" i="6"/>
  <c r="CI138" i="6"/>
  <c r="BT138" i="6"/>
  <c r="CF138" i="6"/>
  <c r="CB138" i="6"/>
  <c r="CE138" i="6"/>
  <c r="CO138" i="6"/>
  <c r="DM138" i="6" a="1"/>
  <c r="DM138" i="6" s="1"/>
  <c r="BS138" i="6"/>
  <c r="DD138" i="6" a="1"/>
  <c r="DD138" i="6" s="1"/>
  <c r="CZ138" i="6" a="1"/>
  <c r="CZ138" i="6" s="1"/>
  <c r="DB138" i="6" a="1"/>
  <c r="DB138" i="6" s="1"/>
  <c r="CU138" i="6" a="1"/>
  <c r="CU138" i="6" s="1"/>
  <c r="CH138" i="6"/>
  <c r="DA138" i="6" a="1"/>
  <c r="DA138" i="6" s="1"/>
  <c r="DK138" i="6" a="1"/>
  <c r="DK138" i="6" s="1"/>
  <c r="BZ138" i="6"/>
  <c r="DJ138" i="6" a="1"/>
  <c r="DJ138" i="6" s="1"/>
  <c r="BM138" i="6"/>
  <c r="CY138" i="6" a="1"/>
  <c r="CY138" i="6" s="1"/>
  <c r="DO138" i="6" a="1"/>
  <c r="DO138" i="6" s="1"/>
  <c r="BL138" i="6"/>
  <c r="BV138" i="6"/>
  <c r="BN138" i="6"/>
  <c r="CV138" i="6" a="1"/>
  <c r="CV138" i="6" s="1"/>
  <c r="CN138" i="6"/>
  <c r="DF138" i="6" a="1"/>
  <c r="DF138" i="6" s="1"/>
  <c r="CG138" i="6"/>
  <c r="CW138" i="6" a="1"/>
  <c r="CW138" i="6" s="1"/>
  <c r="DN138" i="6" a="1"/>
  <c r="DN138" i="6" s="1"/>
  <c r="DQ138" i="6" a="1"/>
  <c r="DQ138" i="6" s="1"/>
  <c r="DH138" i="6" a="1"/>
  <c r="DH138" i="6" s="1"/>
  <c r="CQ138" i="6"/>
  <c r="DE138" i="6" a="1"/>
  <c r="DE138" i="6" s="1"/>
  <c r="CR138" i="6"/>
  <c r="CT138" i="6" a="1"/>
  <c r="CT138" i="6" s="1"/>
  <c r="BU138" i="6"/>
  <c r="BW138" i="6"/>
  <c r="CM138" i="6"/>
  <c r="BY138" i="6"/>
  <c r="DP138" i="6" a="1"/>
  <c r="DP138" i="6" s="1"/>
  <c r="CJ138" i="6"/>
  <c r="BP138" i="6"/>
  <c r="DG138" i="6" a="1"/>
  <c r="DG138" i="6" s="1"/>
  <c r="DL138" i="6" a="1"/>
  <c r="DL138" i="6" s="1"/>
  <c r="DI138" i="6" a="1"/>
  <c r="DI138" i="6" s="1"/>
  <c r="DR138" i="6" a="1"/>
  <c r="DR138" i="6" s="1"/>
  <c r="CL138" i="6"/>
  <c r="DS138" i="6" a="1"/>
  <c r="DS138" i="6" s="1"/>
  <c r="BO138" i="6"/>
  <c r="BX138" i="6"/>
  <c r="CM159" i="6"/>
  <c r="CJ159" i="6"/>
  <c r="CH159" i="6"/>
  <c r="CR159" i="6"/>
  <c r="DS159" i="6" a="1"/>
  <c r="DS159" i="6" s="1"/>
  <c r="BN159" i="6"/>
  <c r="BW159" i="6"/>
  <c r="BX159" i="6"/>
  <c r="CA159" i="6"/>
  <c r="DL159" i="6" a="1"/>
  <c r="DL159" i="6" s="1"/>
  <c r="BL159" i="6"/>
  <c r="CQ159" i="6"/>
  <c r="CI159" i="6"/>
  <c r="DR159" i="6" a="1"/>
  <c r="DR159" i="6" s="1"/>
  <c r="DK159" i="6" a="1"/>
  <c r="DK159" i="6" s="1"/>
  <c r="DC159" i="6" a="1"/>
  <c r="DC159" i="6" s="1"/>
  <c r="DJ159" i="6" a="1"/>
  <c r="DJ159" i="6" s="1"/>
  <c r="DO159" i="6" a="1"/>
  <c r="DO159" i="6" s="1"/>
  <c r="BQ159" i="6"/>
  <c r="CX159" i="6" a="1"/>
  <c r="CX159" i="6" s="1"/>
  <c r="DF159" i="6" a="1"/>
  <c r="DF159" i="6" s="1"/>
  <c r="CO159" i="6"/>
  <c r="CF159" i="6"/>
  <c r="DB159" i="6" a="1"/>
  <c r="DB159" i="6" s="1"/>
  <c r="DQ159" i="6" a="1"/>
  <c r="DQ159" i="6" s="1"/>
  <c r="DG159" i="6" a="1"/>
  <c r="DG159" i="6" s="1"/>
  <c r="CV159" i="6" a="1"/>
  <c r="CV159" i="6" s="1"/>
  <c r="CD159" i="6"/>
  <c r="CC159" i="6"/>
  <c r="DN159" i="6" a="1"/>
  <c r="DN159" i="6" s="1"/>
  <c r="DP159" i="6" a="1"/>
  <c r="DP159" i="6" s="1"/>
  <c r="CP159" i="6"/>
  <c r="BO159" i="6"/>
  <c r="DA159" i="6" a="1"/>
  <c r="DA159" i="6" s="1"/>
  <c r="CB159" i="6"/>
  <c r="CL159" i="6"/>
  <c r="BU159" i="6"/>
  <c r="BY159" i="6"/>
  <c r="CZ159" i="6" a="1"/>
  <c r="CZ159" i="6" s="1"/>
  <c r="DM159" i="6" a="1"/>
  <c r="DM159" i="6" s="1"/>
  <c r="CW159" i="6" a="1"/>
  <c r="CW159" i="6" s="1"/>
  <c r="DE159" i="6" a="1"/>
  <c r="DE159" i="6" s="1"/>
  <c r="BV159" i="6"/>
  <c r="DH159" i="6" a="1"/>
  <c r="DH159" i="6" s="1"/>
  <c r="CY159" i="6" a="1"/>
  <c r="CY159" i="6" s="1"/>
  <c r="CK159" i="6"/>
  <c r="CN159" i="6"/>
  <c r="BM159" i="6"/>
  <c r="BS159" i="6"/>
  <c r="CT159" i="6" a="1"/>
  <c r="CT159" i="6" s="1"/>
  <c r="BP159" i="6"/>
  <c r="BZ159" i="6"/>
  <c r="DI159" i="6" a="1"/>
  <c r="DI159" i="6" s="1"/>
  <c r="BT159" i="6"/>
  <c r="DD159" i="6" a="1"/>
  <c r="DD159" i="6" s="1"/>
  <c r="CG159" i="6"/>
  <c r="CE159" i="6"/>
  <c r="CU159" i="6" a="1"/>
  <c r="CU159" i="6" s="1"/>
  <c r="CP146" i="6"/>
  <c r="BW146" i="6"/>
  <c r="CD146" i="6"/>
  <c r="DC146" i="6" a="1"/>
  <c r="DC146" i="6" s="1"/>
  <c r="CM146" i="6"/>
  <c r="DJ146" i="6" a="1"/>
  <c r="DJ146" i="6" s="1"/>
  <c r="DA146" i="6" a="1"/>
  <c r="DA146" i="6" s="1"/>
  <c r="CG146" i="6"/>
  <c r="DG146" i="6" a="1"/>
  <c r="DG146" i="6" s="1"/>
  <c r="BN146" i="6"/>
  <c r="CZ146" i="6" a="1"/>
  <c r="CZ146" i="6" s="1"/>
  <c r="DB146" i="6" a="1"/>
  <c r="DB146" i="6" s="1"/>
  <c r="DN146" i="6" a="1"/>
  <c r="DN146" i="6" s="1"/>
  <c r="BP146" i="6"/>
  <c r="BV146" i="6"/>
  <c r="CC146" i="6"/>
  <c r="BS146" i="6"/>
  <c r="BO146" i="6"/>
  <c r="BQ146" i="6"/>
  <c r="CJ146" i="6"/>
  <c r="BZ146" i="6"/>
  <c r="CU146" i="6" a="1"/>
  <c r="CU146" i="6" s="1"/>
  <c r="DH146" i="6" a="1"/>
  <c r="DH146" i="6" s="1"/>
  <c r="BL146" i="6"/>
  <c r="CI146" i="6"/>
  <c r="BX146" i="6"/>
  <c r="DO146" i="6" a="1"/>
  <c r="DO146" i="6" s="1"/>
  <c r="CT146" i="6" a="1"/>
  <c r="CT146" i="6" s="1"/>
  <c r="CO146" i="6"/>
  <c r="CA146" i="6"/>
  <c r="CN146" i="6"/>
  <c r="BM146" i="6"/>
  <c r="CF146" i="6"/>
  <c r="DE146" i="6" a="1"/>
  <c r="DE146" i="6" s="1"/>
  <c r="CY146" i="6" a="1"/>
  <c r="CY146" i="6" s="1"/>
  <c r="DK146" i="6" a="1"/>
  <c r="DK146" i="6" s="1"/>
  <c r="CX146" i="6" a="1"/>
  <c r="CX146" i="6" s="1"/>
  <c r="CE146" i="6"/>
  <c r="DI146" i="6" a="1"/>
  <c r="DI146" i="6" s="1"/>
  <c r="DD146" i="6" a="1"/>
  <c r="DD146" i="6" s="1"/>
  <c r="DM146" i="6" a="1"/>
  <c r="DM146" i="6" s="1"/>
  <c r="CR146" i="6"/>
  <c r="DL146" i="6" a="1"/>
  <c r="DL146" i="6" s="1"/>
  <c r="DP146" i="6" a="1"/>
  <c r="DP146" i="6" s="1"/>
  <c r="CH146" i="6"/>
  <c r="CL146" i="6"/>
  <c r="CV146" i="6" a="1"/>
  <c r="CV146" i="6" s="1"/>
  <c r="DQ146" i="6" a="1"/>
  <c r="DQ146" i="6" s="1"/>
  <c r="DF146" i="6" a="1"/>
  <c r="DF146" i="6" s="1"/>
  <c r="DR146" i="6" a="1"/>
  <c r="DR146" i="6" s="1"/>
  <c r="CQ146" i="6"/>
  <c r="DS146" i="6" a="1"/>
  <c r="DS146" i="6" s="1"/>
  <c r="BU146" i="6"/>
  <c r="CW146" i="6" a="1"/>
  <c r="CW146" i="6" s="1"/>
  <c r="CK146" i="6"/>
  <c r="CB146" i="6"/>
  <c r="BY146" i="6"/>
  <c r="BT146" i="6"/>
  <c r="CC137" i="6"/>
  <c r="DD137" i="6" a="1"/>
  <c r="DD137" i="6" s="1"/>
  <c r="CW137" i="6" a="1"/>
  <c r="CW137" i="6" s="1"/>
  <c r="BT137" i="6"/>
  <c r="BY137" i="6"/>
  <c r="DC137" i="6" a="1"/>
  <c r="DC137" i="6" s="1"/>
  <c r="DL137" i="6" a="1"/>
  <c r="DL137" i="6" s="1"/>
  <c r="DF137" i="6" a="1"/>
  <c r="DF137" i="6" s="1"/>
  <c r="CG137" i="6"/>
  <c r="CN137" i="6"/>
  <c r="BV137" i="6"/>
  <c r="BP137" i="6"/>
  <c r="DO137" i="6" a="1"/>
  <c r="DO137" i="6" s="1"/>
  <c r="DM137" i="6" a="1"/>
  <c r="DM137" i="6" s="1"/>
  <c r="CV137" i="6" a="1"/>
  <c r="CV137" i="6" s="1"/>
  <c r="DQ137" i="6" a="1"/>
  <c r="DQ137" i="6" s="1"/>
  <c r="DH137" i="6" a="1"/>
  <c r="DH137" i="6" s="1"/>
  <c r="CZ137" i="6" a="1"/>
  <c r="CZ137" i="6" s="1"/>
  <c r="DK137" i="6" a="1"/>
  <c r="DK137" i="6" s="1"/>
  <c r="CQ137" i="6"/>
  <c r="CY137" i="6" a="1"/>
  <c r="CY137" i="6" s="1"/>
  <c r="DB137" i="6" a="1"/>
  <c r="DB137" i="6" s="1"/>
  <c r="BS137" i="6"/>
  <c r="DG137" i="6" a="1"/>
  <c r="DG137" i="6" s="1"/>
  <c r="CJ137" i="6"/>
  <c r="CE137" i="6"/>
  <c r="CK137" i="6"/>
  <c r="DS137" i="6" a="1"/>
  <c r="DS137" i="6" s="1"/>
  <c r="DI137" i="6" a="1"/>
  <c r="DI137" i="6" s="1"/>
  <c r="BO137" i="6"/>
  <c r="BX137" i="6"/>
  <c r="BQ137" i="6"/>
  <c r="BN137" i="6"/>
  <c r="CF137" i="6"/>
  <c r="DP137" i="6" a="1"/>
  <c r="DP137" i="6" s="1"/>
  <c r="BW137" i="6"/>
  <c r="CX137" i="6" a="1"/>
  <c r="CX137" i="6" s="1"/>
  <c r="DJ137" i="6" a="1"/>
  <c r="DJ137" i="6" s="1"/>
  <c r="CH137" i="6"/>
  <c r="CA137" i="6"/>
  <c r="DN137" i="6" a="1"/>
  <c r="DN137" i="6" s="1"/>
  <c r="DE137" i="6" a="1"/>
  <c r="DE137" i="6" s="1"/>
  <c r="CR137" i="6"/>
  <c r="CB137" i="6"/>
  <c r="BZ137" i="6"/>
  <c r="CP137" i="6"/>
  <c r="CI137" i="6"/>
  <c r="CL137" i="6"/>
  <c r="CM137" i="6"/>
  <c r="DR137" i="6" a="1"/>
  <c r="DR137" i="6" s="1"/>
  <c r="BU137" i="6"/>
  <c r="CT137" i="6" a="1"/>
  <c r="CT137" i="6" s="1"/>
  <c r="CU137" i="6" a="1"/>
  <c r="CU137" i="6" s="1"/>
  <c r="CD137" i="6"/>
  <c r="BM137" i="6"/>
  <c r="BL137" i="6"/>
  <c r="DA137" i="6" a="1"/>
  <c r="DA137" i="6" s="1"/>
  <c r="CO137" i="6"/>
  <c r="BZ141" i="6"/>
  <c r="CI141" i="6"/>
  <c r="CV141" i="6" a="1"/>
  <c r="CV141" i="6" s="1"/>
  <c r="CW141" i="6" a="1"/>
  <c r="CW141" i="6" s="1"/>
  <c r="CJ141" i="6"/>
  <c r="CM141" i="6"/>
  <c r="CD141" i="6"/>
  <c r="DH141" i="6" a="1"/>
  <c r="DH141" i="6" s="1"/>
  <c r="DD141" i="6" a="1"/>
  <c r="DD141" i="6" s="1"/>
  <c r="CU141" i="6" a="1"/>
  <c r="CU141" i="6" s="1"/>
  <c r="CF141" i="6"/>
  <c r="CQ141" i="6"/>
  <c r="BN141" i="6"/>
  <c r="DN141" i="6" a="1"/>
  <c r="DN141" i="6" s="1"/>
  <c r="BV141" i="6"/>
  <c r="CA141" i="6"/>
  <c r="BM141" i="6"/>
  <c r="BO141" i="6"/>
  <c r="BP141" i="6"/>
  <c r="CL141" i="6"/>
  <c r="BT141" i="6"/>
  <c r="BX141" i="6"/>
  <c r="DO141" i="6" a="1"/>
  <c r="DO141" i="6" s="1"/>
  <c r="CY141" i="6" a="1"/>
  <c r="CY141" i="6" s="1"/>
  <c r="BS141" i="6"/>
  <c r="CX141" i="6" a="1"/>
  <c r="CX141" i="6" s="1"/>
  <c r="BU141" i="6"/>
  <c r="CO141" i="6"/>
  <c r="CH141" i="6"/>
  <c r="DQ141" i="6" a="1"/>
  <c r="DQ141" i="6" s="1"/>
  <c r="CT141" i="6" a="1"/>
  <c r="CT141" i="6" s="1"/>
  <c r="CE141" i="6"/>
  <c r="DC141" i="6" a="1"/>
  <c r="DC141" i="6" s="1"/>
  <c r="CP141" i="6"/>
  <c r="DJ141" i="6" a="1"/>
  <c r="DJ141" i="6" s="1"/>
  <c r="DR141" i="6" a="1"/>
  <c r="DR141" i="6" s="1"/>
  <c r="DK141" i="6" a="1"/>
  <c r="DK141" i="6" s="1"/>
  <c r="DB141" i="6" a="1"/>
  <c r="DB141" i="6" s="1"/>
  <c r="DL141" i="6" a="1"/>
  <c r="DL141" i="6" s="1"/>
  <c r="CZ141" i="6" a="1"/>
  <c r="CZ141" i="6" s="1"/>
  <c r="CN141" i="6"/>
  <c r="CR141" i="6"/>
  <c r="BL141" i="6"/>
  <c r="BQ141" i="6"/>
  <c r="DM141" i="6" a="1"/>
  <c r="DM141" i="6" s="1"/>
  <c r="DI141" i="6" a="1"/>
  <c r="DI141" i="6" s="1"/>
  <c r="CC141" i="6"/>
  <c r="BW141" i="6"/>
  <c r="DS141" i="6" a="1"/>
  <c r="DS141" i="6" s="1"/>
  <c r="DG141" i="6" a="1"/>
  <c r="DG141" i="6" s="1"/>
  <c r="CB141" i="6"/>
  <c r="DP141" i="6" a="1"/>
  <c r="DP141" i="6" s="1"/>
  <c r="DE141" i="6" a="1"/>
  <c r="DE141" i="6" s="1"/>
  <c r="BY141" i="6"/>
  <c r="DF141" i="6" a="1"/>
  <c r="DF141" i="6" s="1"/>
  <c r="CG141" i="6"/>
  <c r="DA141" i="6" a="1"/>
  <c r="DA141" i="6" s="1"/>
  <c r="CK141" i="6"/>
  <c r="BV165" i="6"/>
  <c r="BZ165" i="6"/>
  <c r="DR165" i="6" a="1"/>
  <c r="DR165" i="6" s="1"/>
  <c r="DO165" i="6" a="1"/>
  <c r="DO165" i="6" s="1"/>
  <c r="CU165" i="6" a="1"/>
  <c r="CU165" i="6" s="1"/>
  <c r="CB165" i="6"/>
  <c r="DF165" i="6" a="1"/>
  <c r="DF165" i="6" s="1"/>
  <c r="DA165" i="6" a="1"/>
  <c r="DA165" i="6" s="1"/>
  <c r="DE165" i="6" a="1"/>
  <c r="DE165" i="6" s="1"/>
  <c r="CD165" i="6"/>
  <c r="BX165" i="6"/>
  <c r="DD165" i="6" a="1"/>
  <c r="DD165" i="6" s="1"/>
  <c r="CA165" i="6"/>
  <c r="CM165" i="6"/>
  <c r="DK165" i="6" a="1"/>
  <c r="DK165" i="6" s="1"/>
  <c r="CL165" i="6"/>
  <c r="BO165" i="6"/>
  <c r="DS165" i="6" a="1"/>
  <c r="DS165" i="6" s="1"/>
  <c r="CW165" i="6" a="1"/>
  <c r="CW165" i="6" s="1"/>
  <c r="BL165" i="6"/>
  <c r="CJ165" i="6"/>
  <c r="DG165" i="6" a="1"/>
  <c r="DG165" i="6" s="1"/>
  <c r="CO165" i="6"/>
  <c r="CV165" i="6" a="1"/>
  <c r="CV165" i="6" s="1"/>
  <c r="BY165" i="6"/>
  <c r="BW165" i="6"/>
  <c r="DJ165" i="6" a="1"/>
  <c r="DJ165" i="6" s="1"/>
  <c r="CZ165" i="6" a="1"/>
  <c r="CZ165" i="6" s="1"/>
  <c r="DC165" i="6" a="1"/>
  <c r="DC165" i="6" s="1"/>
  <c r="CX165" i="6" a="1"/>
  <c r="CX165" i="6" s="1"/>
  <c r="DP165" i="6" a="1"/>
  <c r="DP165" i="6" s="1"/>
  <c r="CG165" i="6"/>
  <c r="DB165" i="6" a="1"/>
  <c r="DB165" i="6" s="1"/>
  <c r="DI165" i="6" a="1"/>
  <c r="DI165" i="6" s="1"/>
  <c r="DH165" i="6" a="1"/>
  <c r="DH165" i="6" s="1"/>
  <c r="DL165" i="6" a="1"/>
  <c r="DL165" i="6" s="1"/>
  <c r="CI165" i="6"/>
  <c r="CC165" i="6"/>
  <c r="BS165" i="6"/>
  <c r="CQ165" i="6"/>
  <c r="CK165" i="6"/>
  <c r="DM165" i="6" a="1"/>
  <c r="DM165" i="6" s="1"/>
  <c r="BU165" i="6"/>
  <c r="DN165" i="6" a="1"/>
  <c r="DN165" i="6" s="1"/>
  <c r="BQ165" i="6"/>
  <c r="CF165" i="6"/>
  <c r="CT165" i="6" a="1"/>
  <c r="CT165" i="6" s="1"/>
  <c r="DQ165" i="6" a="1"/>
  <c r="DQ165" i="6" s="1"/>
  <c r="CH165" i="6"/>
  <c r="BN165" i="6"/>
  <c r="BM165" i="6"/>
  <c r="BP165" i="6"/>
  <c r="CE165" i="6"/>
  <c r="BT165" i="6"/>
  <c r="CP165" i="6"/>
  <c r="CY165" i="6" a="1"/>
  <c r="CY165" i="6" s="1"/>
  <c r="CN165" i="6"/>
  <c r="CR165" i="6"/>
  <c r="CC154" i="6"/>
  <c r="CU154" i="6" a="1"/>
  <c r="CU154" i="6" s="1"/>
  <c r="BT154" i="6"/>
  <c r="DP154" i="6" a="1"/>
  <c r="DP154" i="6" s="1"/>
  <c r="CG154" i="6"/>
  <c r="BZ154" i="6"/>
  <c r="DH154" i="6" a="1"/>
  <c r="DH154" i="6" s="1"/>
  <c r="CE154" i="6"/>
  <c r="CH154" i="6"/>
  <c r="BO154" i="6"/>
  <c r="DS154" i="6" a="1"/>
  <c r="DS154" i="6" s="1"/>
  <c r="CR154" i="6"/>
  <c r="CP154" i="6"/>
  <c r="BP154" i="6"/>
  <c r="BQ154" i="6"/>
  <c r="CX154" i="6" a="1"/>
  <c r="CX154" i="6" s="1"/>
  <c r="DE154" i="6" a="1"/>
  <c r="DE154" i="6" s="1"/>
  <c r="CN154" i="6"/>
  <c r="CL154" i="6"/>
  <c r="DA154" i="6" a="1"/>
  <c r="DA154" i="6" s="1"/>
  <c r="CJ154" i="6"/>
  <c r="BV154" i="6"/>
  <c r="CK154" i="6"/>
  <c r="BX154" i="6"/>
  <c r="CT154" i="6" a="1"/>
  <c r="CT154" i="6" s="1"/>
  <c r="DB154" i="6" a="1"/>
  <c r="DB154" i="6" s="1"/>
  <c r="DQ154" i="6" a="1"/>
  <c r="DQ154" i="6" s="1"/>
  <c r="CQ154" i="6"/>
  <c r="DO154" i="6" a="1"/>
  <c r="DO154" i="6" s="1"/>
  <c r="CM154" i="6"/>
  <c r="BN154" i="6"/>
  <c r="CA154" i="6"/>
  <c r="DM154" i="6" a="1"/>
  <c r="DM154" i="6" s="1"/>
  <c r="BL154" i="6"/>
  <c r="BU154" i="6"/>
  <c r="CB154" i="6"/>
  <c r="CZ154" i="6" a="1"/>
  <c r="CZ154" i="6" s="1"/>
  <c r="DK154" i="6" a="1"/>
  <c r="DK154" i="6" s="1"/>
  <c r="BW154" i="6"/>
  <c r="DD154" i="6" a="1"/>
  <c r="DD154" i="6" s="1"/>
  <c r="CV154" i="6" a="1"/>
  <c r="CV154" i="6" s="1"/>
  <c r="CO154" i="6"/>
  <c r="BS154" i="6"/>
  <c r="CI154" i="6"/>
  <c r="DI154" i="6" a="1"/>
  <c r="DI154" i="6" s="1"/>
  <c r="DF154" i="6" a="1"/>
  <c r="DF154" i="6" s="1"/>
  <c r="CY154" i="6" a="1"/>
  <c r="CY154" i="6" s="1"/>
  <c r="DG154" i="6" a="1"/>
  <c r="DG154" i="6" s="1"/>
  <c r="CW154" i="6" a="1"/>
  <c r="CW154" i="6" s="1"/>
  <c r="DR154" i="6" a="1"/>
  <c r="DR154" i="6" s="1"/>
  <c r="CF154" i="6"/>
  <c r="DN154" i="6" a="1"/>
  <c r="DN154" i="6" s="1"/>
  <c r="BM154" i="6"/>
  <c r="DC154" i="6" a="1"/>
  <c r="DC154" i="6" s="1"/>
  <c r="DL154" i="6" a="1"/>
  <c r="DL154" i="6" s="1"/>
  <c r="DJ154" i="6" a="1"/>
  <c r="DJ154" i="6" s="1"/>
  <c r="BY154" i="6"/>
  <c r="CD154" i="6"/>
  <c r="BX153" i="6"/>
  <c r="BO153" i="6"/>
  <c r="CD153" i="6"/>
  <c r="BW153" i="6"/>
  <c r="CV153" i="6" a="1"/>
  <c r="CV153" i="6" s="1"/>
  <c r="CC153" i="6"/>
  <c r="CJ153" i="6"/>
  <c r="BL153" i="6"/>
  <c r="DS153" i="6" a="1"/>
  <c r="DS153" i="6" s="1"/>
  <c r="DJ153" i="6" a="1"/>
  <c r="DJ153" i="6" s="1"/>
  <c r="DG153" i="6" a="1"/>
  <c r="DG153" i="6" s="1"/>
  <c r="BM153" i="6"/>
  <c r="DM153" i="6" a="1"/>
  <c r="DM153" i="6" s="1"/>
  <c r="CU153" i="6" a="1"/>
  <c r="CU153" i="6" s="1"/>
  <c r="DA153" i="6" a="1"/>
  <c r="DA153" i="6" s="1"/>
  <c r="BN153" i="6"/>
  <c r="DB153" i="6" a="1"/>
  <c r="DB153" i="6" s="1"/>
  <c r="BU153" i="6"/>
  <c r="DK153" i="6" a="1"/>
  <c r="DK153" i="6" s="1"/>
  <c r="BQ153" i="6"/>
  <c r="DF153" i="6" a="1"/>
  <c r="DF153" i="6" s="1"/>
  <c r="DL153" i="6" a="1"/>
  <c r="DL153" i="6" s="1"/>
  <c r="DD153" i="6" a="1"/>
  <c r="DD153" i="6" s="1"/>
  <c r="CP153" i="6"/>
  <c r="CQ153" i="6"/>
  <c r="CF153" i="6"/>
  <c r="BT153" i="6"/>
  <c r="BV153" i="6"/>
  <c r="CN153" i="6"/>
  <c r="CL153" i="6"/>
  <c r="CO153" i="6"/>
  <c r="CY153" i="6" a="1"/>
  <c r="CY153" i="6" s="1"/>
  <c r="CZ153" i="6" a="1"/>
  <c r="CZ153" i="6" s="1"/>
  <c r="DP153" i="6" a="1"/>
  <c r="DP153" i="6" s="1"/>
  <c r="BZ153" i="6"/>
  <c r="CX153" i="6" a="1"/>
  <c r="CX153" i="6" s="1"/>
  <c r="BP153" i="6"/>
  <c r="CB153" i="6"/>
  <c r="CR153" i="6"/>
  <c r="CI153" i="6"/>
  <c r="DH153" i="6" a="1"/>
  <c r="DH153" i="6" s="1"/>
  <c r="CH153" i="6"/>
  <c r="DE153" i="6" a="1"/>
  <c r="DE153" i="6" s="1"/>
  <c r="CM153" i="6"/>
  <c r="CA153" i="6"/>
  <c r="BY153" i="6"/>
  <c r="CE153" i="6"/>
  <c r="DC153" i="6" a="1"/>
  <c r="DC153" i="6" s="1"/>
  <c r="DI153" i="6" a="1"/>
  <c r="DI153" i="6" s="1"/>
  <c r="CW153" i="6" a="1"/>
  <c r="CW153" i="6" s="1"/>
  <c r="DO153" i="6" a="1"/>
  <c r="DO153" i="6" s="1"/>
  <c r="DR153" i="6" a="1"/>
  <c r="DR153" i="6" s="1"/>
  <c r="DQ153" i="6" a="1"/>
  <c r="DQ153" i="6" s="1"/>
  <c r="DN153" i="6" a="1"/>
  <c r="DN153" i="6" s="1"/>
  <c r="BS153" i="6"/>
  <c r="CG153" i="6"/>
  <c r="CK153" i="6"/>
  <c r="CT153" i="6" a="1"/>
  <c r="CT153" i="6" s="1"/>
  <c r="CQ136" i="6"/>
  <c r="DP136" i="6" a="1"/>
  <c r="DP136" i="6" s="1"/>
  <c r="DN136" i="6" a="1"/>
  <c r="DN136" i="6" s="1"/>
  <c r="DD136" i="6" a="1"/>
  <c r="DD136" i="6" s="1"/>
  <c r="CR136" i="6"/>
  <c r="BO136" i="6"/>
  <c r="DR136" i="6" a="1"/>
  <c r="DR136" i="6" s="1"/>
  <c r="BY136" i="6"/>
  <c r="CZ136" i="6" a="1"/>
  <c r="CZ136" i="6" s="1"/>
  <c r="CD136" i="6"/>
  <c r="CI136" i="6"/>
  <c r="BM136" i="6"/>
  <c r="BN136" i="6"/>
  <c r="CL136" i="6"/>
  <c r="CO136" i="6"/>
  <c r="BP136" i="6"/>
  <c r="BZ136" i="6"/>
  <c r="CV136" i="6" a="1"/>
  <c r="CV136" i="6" s="1"/>
  <c r="CX136" i="6" a="1"/>
  <c r="CX136" i="6" s="1"/>
  <c r="CF136" i="6"/>
  <c r="DF136" i="6" a="1"/>
  <c r="DF136" i="6" s="1"/>
  <c r="DJ136" i="6" a="1"/>
  <c r="DJ136" i="6" s="1"/>
  <c r="DL136" i="6" a="1"/>
  <c r="DL136" i="6" s="1"/>
  <c r="DS136" i="6" a="1"/>
  <c r="DS136" i="6" s="1"/>
  <c r="CU136" i="6" a="1"/>
  <c r="CU136" i="6" s="1"/>
  <c r="CG136" i="6"/>
  <c r="CC136" i="6"/>
  <c r="DC136" i="6" a="1"/>
  <c r="DC136" i="6" s="1"/>
  <c r="CM136" i="6"/>
  <c r="DO136" i="6" a="1"/>
  <c r="DO136" i="6" s="1"/>
  <c r="CB136" i="6"/>
  <c r="DK136" i="6" a="1"/>
  <c r="DK136" i="6" s="1"/>
  <c r="DB136" i="6" a="1"/>
  <c r="DB136" i="6" s="1"/>
  <c r="BU136" i="6"/>
  <c r="CK136" i="6"/>
  <c r="CT136" i="6" a="1"/>
  <c r="CT136" i="6" s="1"/>
  <c r="BL136" i="6"/>
  <c r="DG136" i="6" a="1"/>
  <c r="DG136" i="6" s="1"/>
  <c r="BX136" i="6"/>
  <c r="BW136" i="6"/>
  <c r="CE136" i="6"/>
  <c r="CH136" i="6"/>
  <c r="BT136" i="6"/>
  <c r="CY136" i="6" a="1"/>
  <c r="CY136" i="6" s="1"/>
  <c r="BQ136" i="6"/>
  <c r="CN136" i="6"/>
  <c r="DI136" i="6" a="1"/>
  <c r="DI136" i="6" s="1"/>
  <c r="DH136" i="6" a="1"/>
  <c r="DH136" i="6" s="1"/>
  <c r="DE136" i="6" a="1"/>
  <c r="DE136" i="6" s="1"/>
  <c r="BV136" i="6"/>
  <c r="DA136" i="6" a="1"/>
  <c r="DA136" i="6" s="1"/>
  <c r="CA136" i="6"/>
  <c r="CJ136" i="6"/>
  <c r="BS136" i="6"/>
  <c r="DM136" i="6" a="1"/>
  <c r="DM136" i="6" s="1"/>
  <c r="CP136" i="6"/>
  <c r="DQ136" i="6" a="1"/>
  <c r="DQ136" i="6" s="1"/>
  <c r="CW136" i="6" a="1"/>
  <c r="CW136" i="6" s="1"/>
  <c r="CX164" i="6" a="1"/>
  <c r="CX164" i="6" s="1"/>
  <c r="CJ164" i="6"/>
  <c r="BX164" i="6"/>
  <c r="CL164" i="6"/>
  <c r="DK164" i="6" a="1"/>
  <c r="DK164" i="6" s="1"/>
  <c r="BV164" i="6"/>
  <c r="CF164" i="6"/>
  <c r="CC164" i="6"/>
  <c r="CU164" i="6" a="1"/>
  <c r="CU164" i="6" s="1"/>
  <c r="BQ164" i="6"/>
  <c r="BM164" i="6"/>
  <c r="DD164" i="6" a="1"/>
  <c r="DD164" i="6" s="1"/>
  <c r="BW164" i="6"/>
  <c r="DO164" i="6" a="1"/>
  <c r="DO164" i="6" s="1"/>
  <c r="CH164" i="6"/>
  <c r="DA164" i="6" a="1"/>
  <c r="DA164" i="6" s="1"/>
  <c r="DE164" i="6" a="1"/>
  <c r="DE164" i="6" s="1"/>
  <c r="DB164" i="6" a="1"/>
  <c r="DB164" i="6" s="1"/>
  <c r="BY164" i="6"/>
  <c r="BZ164" i="6"/>
  <c r="BT164" i="6"/>
  <c r="CG164" i="6"/>
  <c r="CM164" i="6"/>
  <c r="DR164" i="6" a="1"/>
  <c r="DR164" i="6" s="1"/>
  <c r="CP164" i="6"/>
  <c r="CY164" i="6" a="1"/>
  <c r="CY164" i="6" s="1"/>
  <c r="CE164" i="6"/>
  <c r="BO164" i="6"/>
  <c r="CI164" i="6"/>
  <c r="CZ164" i="6" a="1"/>
  <c r="CZ164" i="6" s="1"/>
  <c r="BS164" i="6"/>
  <c r="CO164" i="6"/>
  <c r="BU164" i="6"/>
  <c r="DF164" i="6" a="1"/>
  <c r="DF164" i="6" s="1"/>
  <c r="DG164" i="6" a="1"/>
  <c r="DG164" i="6" s="1"/>
  <c r="BP164" i="6"/>
  <c r="DS164" i="6" a="1"/>
  <c r="DS164" i="6" s="1"/>
  <c r="DQ164" i="6" a="1"/>
  <c r="DQ164" i="6" s="1"/>
  <c r="CR164" i="6"/>
  <c r="CV164" i="6" a="1"/>
  <c r="CV164" i="6" s="1"/>
  <c r="CW164" i="6" a="1"/>
  <c r="CW164" i="6" s="1"/>
  <c r="DI164" i="6" a="1"/>
  <c r="DI164" i="6" s="1"/>
  <c r="DL164" i="6" a="1"/>
  <c r="DL164" i="6" s="1"/>
  <c r="BL164" i="6"/>
  <c r="BN164" i="6"/>
  <c r="DJ164" i="6" a="1"/>
  <c r="DJ164" i="6" s="1"/>
  <c r="CN164" i="6"/>
  <c r="DC164" i="6" a="1"/>
  <c r="DC164" i="6" s="1"/>
  <c r="CQ164" i="6"/>
  <c r="CD164" i="6"/>
  <c r="CB164" i="6"/>
  <c r="DM164" i="6" a="1"/>
  <c r="DM164" i="6" s="1"/>
  <c r="CA164" i="6"/>
  <c r="DP164" i="6" a="1"/>
  <c r="DP164" i="6" s="1"/>
  <c r="CK164" i="6"/>
  <c r="CT164" i="6" a="1"/>
  <c r="CT164" i="6" s="1"/>
  <c r="DN164" i="6" a="1"/>
  <c r="DN164" i="6" s="1"/>
  <c r="DH164" i="6" a="1"/>
  <c r="DH164" i="6" s="1"/>
  <c r="CH162" i="6"/>
  <c r="CV162" i="6" a="1"/>
  <c r="CV162" i="6" s="1"/>
  <c r="BT162" i="6"/>
  <c r="CF162" i="6"/>
  <c r="CM162" i="6"/>
  <c r="DD162" i="6" a="1"/>
  <c r="DD162" i="6" s="1"/>
  <c r="CW162" i="6" a="1"/>
  <c r="CW162" i="6" s="1"/>
  <c r="CN162" i="6"/>
  <c r="BW162" i="6"/>
  <c r="CI162" i="6"/>
  <c r="BL162" i="6"/>
  <c r="CR162" i="6"/>
  <c r="CX162" i="6" a="1"/>
  <c r="CX162" i="6" s="1"/>
  <c r="BS162" i="6"/>
  <c r="DB162" i="6" a="1"/>
  <c r="DB162" i="6" s="1"/>
  <c r="CA162" i="6"/>
  <c r="BY162" i="6"/>
  <c r="DR162" i="6" a="1"/>
  <c r="DR162" i="6" s="1"/>
  <c r="CJ162" i="6"/>
  <c r="DL162" i="6" a="1"/>
  <c r="DL162" i="6" s="1"/>
  <c r="CK162" i="6"/>
  <c r="DH162" i="6" a="1"/>
  <c r="DH162" i="6" s="1"/>
  <c r="DE162" i="6" a="1"/>
  <c r="DE162" i="6" s="1"/>
  <c r="DC162" i="6" a="1"/>
  <c r="DC162" i="6" s="1"/>
  <c r="BO162" i="6"/>
  <c r="DO162" i="6" a="1"/>
  <c r="DO162" i="6" s="1"/>
  <c r="DF162" i="6" a="1"/>
  <c r="DF162" i="6" s="1"/>
  <c r="DQ162" i="6" a="1"/>
  <c r="DQ162" i="6" s="1"/>
  <c r="DA162" i="6" a="1"/>
  <c r="DA162" i="6" s="1"/>
  <c r="DN162" i="6" a="1"/>
  <c r="DN162" i="6" s="1"/>
  <c r="BZ162" i="6"/>
  <c r="BQ162" i="6"/>
  <c r="CB162" i="6"/>
  <c r="BN162" i="6"/>
  <c r="CT162" i="6" a="1"/>
  <c r="CT162" i="6" s="1"/>
  <c r="CZ162" i="6" a="1"/>
  <c r="CZ162" i="6" s="1"/>
  <c r="CQ162" i="6"/>
  <c r="CD162" i="6"/>
  <c r="CL162" i="6"/>
  <c r="CG162" i="6"/>
  <c r="CC162" i="6"/>
  <c r="BV162" i="6"/>
  <c r="DM162" i="6" a="1"/>
  <c r="DM162" i="6" s="1"/>
  <c r="DI162" i="6" a="1"/>
  <c r="DI162" i="6" s="1"/>
  <c r="BP162" i="6"/>
  <c r="DK162" i="6" a="1"/>
  <c r="DK162" i="6" s="1"/>
  <c r="DG162" i="6" a="1"/>
  <c r="DG162" i="6" s="1"/>
  <c r="CE162" i="6"/>
  <c r="BM162" i="6"/>
  <c r="DP162" i="6" a="1"/>
  <c r="DP162" i="6" s="1"/>
  <c r="CO162" i="6"/>
  <c r="DS162" i="6" a="1"/>
  <c r="DS162" i="6" s="1"/>
  <c r="CU162" i="6" a="1"/>
  <c r="CU162" i="6" s="1"/>
  <c r="BX162" i="6"/>
  <c r="BU162" i="6"/>
  <c r="DJ162" i="6" a="1"/>
  <c r="DJ162" i="6" s="1"/>
  <c r="CP162" i="6"/>
  <c r="CY162" i="6" a="1"/>
  <c r="CY162" i="6" s="1"/>
  <c r="CK161" i="6"/>
  <c r="CE161" i="6"/>
  <c r="DF161" i="6" a="1"/>
  <c r="DF161" i="6" s="1"/>
  <c r="CH161" i="6"/>
  <c r="DA161" i="6" a="1"/>
  <c r="DA161" i="6" s="1"/>
  <c r="BU161" i="6"/>
  <c r="CR161" i="6"/>
  <c r="DE161" i="6" a="1"/>
  <c r="DE161" i="6" s="1"/>
  <c r="CQ161" i="6"/>
  <c r="DC161" i="6" a="1"/>
  <c r="DC161" i="6" s="1"/>
  <c r="BQ161" i="6"/>
  <c r="DQ161" i="6" a="1"/>
  <c r="DQ161" i="6" s="1"/>
  <c r="DM161" i="6" a="1"/>
  <c r="DM161" i="6" s="1"/>
  <c r="DD161" i="6" a="1"/>
  <c r="DD161" i="6" s="1"/>
  <c r="CY161" i="6" a="1"/>
  <c r="CY161" i="6" s="1"/>
  <c r="DB161" i="6" a="1"/>
  <c r="DB161" i="6" s="1"/>
  <c r="CJ161" i="6"/>
  <c r="CI161" i="6"/>
  <c r="DJ161" i="6" a="1"/>
  <c r="DJ161" i="6" s="1"/>
  <c r="BV161" i="6"/>
  <c r="CD161" i="6"/>
  <c r="CC161" i="6"/>
  <c r="BX161" i="6"/>
  <c r="CO161" i="6"/>
  <c r="CX161" i="6" a="1"/>
  <c r="CX161" i="6" s="1"/>
  <c r="DR161" i="6" a="1"/>
  <c r="DR161" i="6" s="1"/>
  <c r="CL161" i="6"/>
  <c r="CZ161" i="6" a="1"/>
  <c r="CZ161" i="6" s="1"/>
  <c r="DI161" i="6" a="1"/>
  <c r="DI161" i="6" s="1"/>
  <c r="BM161" i="6"/>
  <c r="BW161" i="6"/>
  <c r="CT161" i="6" a="1"/>
  <c r="CT161" i="6" s="1"/>
  <c r="BL161" i="6"/>
  <c r="CF161" i="6"/>
  <c r="CP161" i="6"/>
  <c r="BS161" i="6"/>
  <c r="CN161" i="6"/>
  <c r="CW161" i="6" a="1"/>
  <c r="CW161" i="6" s="1"/>
  <c r="CU161" i="6" a="1"/>
  <c r="CU161" i="6" s="1"/>
  <c r="DN161" i="6" a="1"/>
  <c r="DN161" i="6" s="1"/>
  <c r="BO161" i="6"/>
  <c r="DO161" i="6" a="1"/>
  <c r="DO161" i="6" s="1"/>
  <c r="CB161" i="6"/>
  <c r="DG161" i="6" a="1"/>
  <c r="DG161" i="6" s="1"/>
  <c r="BY161" i="6"/>
  <c r="CM161" i="6"/>
  <c r="DL161" i="6" a="1"/>
  <c r="DL161" i="6" s="1"/>
  <c r="DS161" i="6" a="1"/>
  <c r="DS161" i="6" s="1"/>
  <c r="BP161" i="6"/>
  <c r="DH161" i="6" a="1"/>
  <c r="DH161" i="6" s="1"/>
  <c r="CV161" i="6" a="1"/>
  <c r="CV161" i="6" s="1"/>
  <c r="BN161" i="6"/>
  <c r="BT161" i="6"/>
  <c r="DP161" i="6" a="1"/>
  <c r="DP161" i="6" s="1"/>
  <c r="BZ161" i="6"/>
  <c r="CG161" i="6"/>
  <c r="CA161" i="6"/>
  <c r="DK161" i="6" a="1"/>
  <c r="DK161" i="6" s="1"/>
  <c r="DB144" i="6" a="1"/>
  <c r="DB144" i="6" s="1"/>
  <c r="CQ144" i="6"/>
  <c r="CI144" i="6"/>
  <c r="CH144" i="6"/>
  <c r="DI144" i="6" a="1"/>
  <c r="DI144" i="6" s="1"/>
  <c r="DP144" i="6" a="1"/>
  <c r="DP144" i="6" s="1"/>
  <c r="DL144" i="6" a="1"/>
  <c r="DL144" i="6" s="1"/>
  <c r="CO144" i="6"/>
  <c r="CJ144" i="6"/>
  <c r="CP144" i="6"/>
  <c r="CX144" i="6" a="1"/>
  <c r="CX144" i="6" s="1"/>
  <c r="DA144" i="6" a="1"/>
  <c r="DA144" i="6" s="1"/>
  <c r="CK144" i="6"/>
  <c r="DE144" i="6" a="1"/>
  <c r="DE144" i="6" s="1"/>
  <c r="BZ144" i="6"/>
  <c r="BL144" i="6"/>
  <c r="BV144" i="6"/>
  <c r="CN144" i="6"/>
  <c r="DK144" i="6" a="1"/>
  <c r="DK144" i="6" s="1"/>
  <c r="CW144" i="6" a="1"/>
  <c r="CW144" i="6" s="1"/>
  <c r="BO144" i="6"/>
  <c r="DS144" i="6" a="1"/>
  <c r="DS144" i="6" s="1"/>
  <c r="DN144" i="6" a="1"/>
  <c r="DN144" i="6" s="1"/>
  <c r="CL144" i="6"/>
  <c r="DF144" i="6" a="1"/>
  <c r="DF144" i="6" s="1"/>
  <c r="DC144" i="6" a="1"/>
  <c r="DC144" i="6" s="1"/>
  <c r="CC144" i="6"/>
  <c r="BS144" i="6"/>
  <c r="DQ144" i="6" a="1"/>
  <c r="DQ144" i="6" s="1"/>
  <c r="BU144" i="6"/>
  <c r="BM144" i="6"/>
  <c r="BX144" i="6"/>
  <c r="DJ144" i="6" a="1"/>
  <c r="DJ144" i="6" s="1"/>
  <c r="BQ144" i="6"/>
  <c r="CR144" i="6"/>
  <c r="BP144" i="6"/>
  <c r="DR144" i="6" a="1"/>
  <c r="DR144" i="6" s="1"/>
  <c r="CY144" i="6" a="1"/>
  <c r="CY144" i="6" s="1"/>
  <c r="BY144" i="6"/>
  <c r="DO144" i="6" a="1"/>
  <c r="DO144" i="6" s="1"/>
  <c r="CB144" i="6"/>
  <c r="CT144" i="6" a="1"/>
  <c r="CT144" i="6" s="1"/>
  <c r="BT144" i="6"/>
  <c r="DM144" i="6" a="1"/>
  <c r="DM144" i="6" s="1"/>
  <c r="DG144" i="6" a="1"/>
  <c r="DG144" i="6" s="1"/>
  <c r="CA144" i="6"/>
  <c r="DD144" i="6" a="1"/>
  <c r="DD144" i="6" s="1"/>
  <c r="CE144" i="6"/>
  <c r="BW144" i="6"/>
  <c r="CD144" i="6"/>
  <c r="BN144" i="6"/>
  <c r="CU144" i="6" a="1"/>
  <c r="CU144" i="6" s="1"/>
  <c r="CV144" i="6" a="1"/>
  <c r="CV144" i="6" s="1"/>
  <c r="CM144" i="6"/>
  <c r="DH144" i="6" a="1"/>
  <c r="DH144" i="6" s="1"/>
  <c r="CZ144" i="6" a="1"/>
  <c r="CZ144" i="6" s="1"/>
  <c r="CG144" i="6"/>
  <c r="CF144" i="6"/>
  <c r="DE163" i="6" a="1"/>
  <c r="DE163" i="6" s="1"/>
  <c r="BP163" i="6"/>
  <c r="BU163" i="6"/>
  <c r="DL163" i="6" a="1"/>
  <c r="DL163" i="6" s="1"/>
  <c r="DH163" i="6" a="1"/>
  <c r="DH163" i="6" s="1"/>
  <c r="DK163" i="6" a="1"/>
  <c r="DK163" i="6" s="1"/>
  <c r="DP163" i="6" a="1"/>
  <c r="DP163" i="6" s="1"/>
  <c r="CP163" i="6"/>
  <c r="CA163" i="6"/>
  <c r="DD163" i="6" a="1"/>
  <c r="DD163" i="6" s="1"/>
  <c r="CD163" i="6"/>
  <c r="BV163" i="6"/>
  <c r="CN163" i="6"/>
  <c r="BS163" i="6"/>
  <c r="CR163" i="6"/>
  <c r="BL163" i="6"/>
  <c r="BQ163" i="6"/>
  <c r="DN163" i="6" a="1"/>
  <c r="DN163" i="6" s="1"/>
  <c r="BM163" i="6"/>
  <c r="DM163" i="6" a="1"/>
  <c r="DM163" i="6" s="1"/>
  <c r="DS163" i="6" a="1"/>
  <c r="DS163" i="6" s="1"/>
  <c r="DR163" i="6" a="1"/>
  <c r="DR163" i="6" s="1"/>
  <c r="CU163" i="6" a="1"/>
  <c r="CU163" i="6" s="1"/>
  <c r="DB163" i="6" a="1"/>
  <c r="DB163" i="6" s="1"/>
  <c r="BW163" i="6"/>
  <c r="DF163" i="6" a="1"/>
  <c r="DF163" i="6" s="1"/>
  <c r="CG163" i="6"/>
  <c r="BN163" i="6"/>
  <c r="CV163" i="6" a="1"/>
  <c r="CV163" i="6" s="1"/>
  <c r="CK163" i="6"/>
  <c r="CO163" i="6"/>
  <c r="CJ163" i="6"/>
  <c r="BZ163" i="6"/>
  <c r="BX163" i="6"/>
  <c r="CC163" i="6"/>
  <c r="CL163" i="6"/>
  <c r="BY163" i="6"/>
  <c r="CM163" i="6"/>
  <c r="BO163" i="6"/>
  <c r="DA163" i="6" a="1"/>
  <c r="DA163" i="6" s="1"/>
  <c r="CB163" i="6"/>
  <c r="DC163" i="6" a="1"/>
  <c r="DC163" i="6" s="1"/>
  <c r="CZ163" i="6" a="1"/>
  <c r="CZ163" i="6" s="1"/>
  <c r="DJ163" i="6" a="1"/>
  <c r="DJ163" i="6" s="1"/>
  <c r="BT163" i="6"/>
  <c r="CX163" i="6" a="1"/>
  <c r="CX163" i="6" s="1"/>
  <c r="DQ163" i="6" a="1"/>
  <c r="DQ163" i="6" s="1"/>
  <c r="DO163" i="6" a="1"/>
  <c r="DO163" i="6" s="1"/>
  <c r="CH163" i="6"/>
  <c r="CF163" i="6"/>
  <c r="CW163" i="6" a="1"/>
  <c r="CW163" i="6" s="1"/>
  <c r="CE163" i="6"/>
  <c r="CY163" i="6" a="1"/>
  <c r="CY163" i="6" s="1"/>
  <c r="CI163" i="6"/>
  <c r="CQ163" i="6"/>
  <c r="CT163" i="6" a="1"/>
  <c r="CT163" i="6" s="1"/>
  <c r="DI163" i="6" a="1"/>
  <c r="DI163" i="6" s="1"/>
  <c r="DG163" i="6" a="1"/>
  <c r="DG163" i="6" s="1"/>
  <c r="DL145" i="6" a="1"/>
  <c r="DL145" i="6" s="1"/>
  <c r="CE145" i="6"/>
  <c r="DH145" i="6" a="1"/>
  <c r="DH145" i="6" s="1"/>
  <c r="CV145" i="6" a="1"/>
  <c r="CV145" i="6" s="1"/>
  <c r="DE145" i="6" a="1"/>
  <c r="DE145" i="6" s="1"/>
  <c r="CX145" i="6" a="1"/>
  <c r="CX145" i="6" s="1"/>
  <c r="BY145" i="6"/>
  <c r="DD145" i="6" a="1"/>
  <c r="DD145" i="6" s="1"/>
  <c r="BU145" i="6"/>
  <c r="CI145" i="6"/>
  <c r="DC145" i="6" a="1"/>
  <c r="DC145" i="6" s="1"/>
  <c r="DI145" i="6" a="1"/>
  <c r="DI145" i="6" s="1"/>
  <c r="CR145" i="6"/>
  <c r="CB145" i="6"/>
  <c r="DB145" i="6" a="1"/>
  <c r="DB145" i="6" s="1"/>
  <c r="BV145" i="6"/>
  <c r="CJ145" i="6"/>
  <c r="CF145" i="6"/>
  <c r="BX145" i="6"/>
  <c r="DQ145" i="6" a="1"/>
  <c r="DQ145" i="6" s="1"/>
  <c r="BQ145" i="6"/>
  <c r="CG145" i="6"/>
  <c r="BN145" i="6"/>
  <c r="BZ145" i="6"/>
  <c r="DK145" i="6" a="1"/>
  <c r="DK145" i="6" s="1"/>
  <c r="BT145" i="6"/>
  <c r="BP145" i="6"/>
  <c r="CH145" i="6"/>
  <c r="CT145" i="6" a="1"/>
  <c r="CT145" i="6" s="1"/>
  <c r="DM145" i="6" a="1"/>
  <c r="DM145" i="6" s="1"/>
  <c r="DO145" i="6" a="1"/>
  <c r="DO145" i="6" s="1"/>
  <c r="DG145" i="6" a="1"/>
  <c r="DG145" i="6" s="1"/>
  <c r="DF145" i="6" a="1"/>
  <c r="DF145" i="6" s="1"/>
  <c r="CU145" i="6" a="1"/>
  <c r="CU145" i="6" s="1"/>
  <c r="CO145" i="6"/>
  <c r="CK145" i="6"/>
  <c r="BO145" i="6"/>
  <c r="BS145" i="6"/>
  <c r="BM145" i="6"/>
  <c r="CY145" i="6" a="1"/>
  <c r="CY145" i="6" s="1"/>
  <c r="BW145" i="6"/>
  <c r="CN145" i="6"/>
  <c r="CQ145" i="6"/>
  <c r="BL145" i="6"/>
  <c r="CA145" i="6"/>
  <c r="CD145" i="6"/>
  <c r="DR145" i="6" a="1"/>
  <c r="DR145" i="6" s="1"/>
  <c r="DN145" i="6" a="1"/>
  <c r="DN145" i="6" s="1"/>
  <c r="CC145" i="6"/>
  <c r="CL145" i="6"/>
  <c r="CW145" i="6" a="1"/>
  <c r="CW145" i="6" s="1"/>
  <c r="CZ145" i="6" a="1"/>
  <c r="CZ145" i="6" s="1"/>
  <c r="DP145" i="6" a="1"/>
  <c r="DP145" i="6" s="1"/>
  <c r="DS145" i="6" a="1"/>
  <c r="DS145" i="6" s="1"/>
  <c r="DA145" i="6" a="1"/>
  <c r="DA145" i="6" s="1"/>
  <c r="CM145" i="6"/>
  <c r="DJ145" i="6" a="1"/>
  <c r="DJ145" i="6" s="1"/>
  <c r="CP145" i="6"/>
  <c r="DB152" i="6" a="1"/>
  <c r="DB152" i="6" s="1"/>
  <c r="CA152" i="6"/>
  <c r="CW152" i="6" a="1"/>
  <c r="CW152" i="6" s="1"/>
  <c r="BQ152" i="6"/>
  <c r="DM152" i="6" a="1"/>
  <c r="DM152" i="6" s="1"/>
  <c r="BZ152" i="6"/>
  <c r="DO152" i="6" a="1"/>
  <c r="DO152" i="6" s="1"/>
  <c r="CU152" i="6" a="1"/>
  <c r="CU152" i="6" s="1"/>
  <c r="CZ152" i="6" a="1"/>
  <c r="CZ152" i="6" s="1"/>
  <c r="CH152" i="6"/>
  <c r="CQ152" i="6"/>
  <c r="DC152" i="6" a="1"/>
  <c r="DC152" i="6" s="1"/>
  <c r="CX152" i="6" a="1"/>
  <c r="CX152" i="6" s="1"/>
  <c r="CC152" i="6"/>
  <c r="CK152" i="6"/>
  <c r="CT152" i="6" a="1"/>
  <c r="CT152" i="6" s="1"/>
  <c r="DH152" i="6" a="1"/>
  <c r="DH152" i="6" s="1"/>
  <c r="BM152" i="6"/>
  <c r="BY152" i="6"/>
  <c r="BL152" i="6"/>
  <c r="BX152" i="6"/>
  <c r="BS152" i="6"/>
  <c r="CD152" i="6"/>
  <c r="CG152" i="6"/>
  <c r="CE152" i="6"/>
  <c r="CN152" i="6"/>
  <c r="DG152" i="6" a="1"/>
  <c r="DG152" i="6" s="1"/>
  <c r="DP152" i="6" a="1"/>
  <c r="DP152" i="6" s="1"/>
  <c r="DS152" i="6" a="1"/>
  <c r="DS152" i="6" s="1"/>
  <c r="BT152" i="6"/>
  <c r="DK152" i="6" a="1"/>
  <c r="DK152" i="6" s="1"/>
  <c r="CR152" i="6"/>
  <c r="DE152" i="6" a="1"/>
  <c r="DE152" i="6" s="1"/>
  <c r="DF152" i="6" a="1"/>
  <c r="DF152" i="6" s="1"/>
  <c r="CV152" i="6" a="1"/>
  <c r="CV152" i="6" s="1"/>
  <c r="BP152" i="6"/>
  <c r="CL152" i="6"/>
  <c r="CI152" i="6"/>
  <c r="BN152" i="6"/>
  <c r="DJ152" i="6" a="1"/>
  <c r="DJ152" i="6" s="1"/>
  <c r="DD152" i="6" a="1"/>
  <c r="DD152" i="6" s="1"/>
  <c r="DN152" i="6" a="1"/>
  <c r="DN152" i="6" s="1"/>
  <c r="DI152" i="6" a="1"/>
  <c r="DI152" i="6" s="1"/>
  <c r="BW152" i="6"/>
  <c r="CJ152" i="6"/>
  <c r="BU152" i="6"/>
  <c r="CF152" i="6"/>
  <c r="BO152" i="6"/>
  <c r="CB152" i="6"/>
  <c r="DQ152" i="6" a="1"/>
  <c r="DQ152" i="6" s="1"/>
  <c r="DL152" i="6" a="1"/>
  <c r="DL152" i="6" s="1"/>
  <c r="CP152" i="6"/>
  <c r="DA152" i="6" a="1"/>
  <c r="DA152" i="6" s="1"/>
  <c r="CY152" i="6" a="1"/>
  <c r="CY152" i="6" s="1"/>
  <c r="CM152" i="6"/>
  <c r="CO152" i="6"/>
  <c r="BV152" i="6"/>
  <c r="DR152" i="6" a="1"/>
  <c r="DR152" i="6" s="1"/>
  <c r="BL160" i="6"/>
  <c r="BW160" i="6"/>
  <c r="DI160" i="6" a="1"/>
  <c r="DI160" i="6" s="1"/>
  <c r="CL160" i="6"/>
  <c r="BU160" i="6"/>
  <c r="DC160" i="6" a="1"/>
  <c r="DC160" i="6" s="1"/>
  <c r="DS160" i="6" a="1"/>
  <c r="DS160" i="6" s="1"/>
  <c r="CA160" i="6"/>
  <c r="DA160" i="6" a="1"/>
  <c r="DA160" i="6" s="1"/>
  <c r="DH160" i="6" a="1"/>
  <c r="DH160" i="6" s="1"/>
  <c r="DD160" i="6" a="1"/>
  <c r="DD160" i="6" s="1"/>
  <c r="CV160" i="6" a="1"/>
  <c r="CV160" i="6" s="1"/>
  <c r="CG160" i="6"/>
  <c r="DQ160" i="6" a="1"/>
  <c r="DQ160" i="6" s="1"/>
  <c r="DR160" i="6" a="1"/>
  <c r="DR160" i="6" s="1"/>
  <c r="CF160" i="6"/>
  <c r="DB160" i="6" a="1"/>
  <c r="DB160" i="6" s="1"/>
  <c r="CB160" i="6"/>
  <c r="DJ160" i="6" a="1"/>
  <c r="DJ160" i="6" s="1"/>
  <c r="CO160" i="6"/>
  <c r="BV160" i="6"/>
  <c r="BZ160" i="6"/>
  <c r="DK160" i="6" a="1"/>
  <c r="DK160" i="6" s="1"/>
  <c r="BT160" i="6"/>
  <c r="CT160" i="6" a="1"/>
  <c r="CT160" i="6" s="1"/>
  <c r="DG160" i="6" a="1"/>
  <c r="DG160" i="6" s="1"/>
  <c r="DN160" i="6" a="1"/>
  <c r="DN160" i="6" s="1"/>
  <c r="CE160" i="6"/>
  <c r="BO160" i="6"/>
  <c r="CU160" i="6" a="1"/>
  <c r="CU160" i="6" s="1"/>
  <c r="BY160" i="6"/>
  <c r="CY160" i="6" a="1"/>
  <c r="CY160" i="6" s="1"/>
  <c r="BQ160" i="6"/>
  <c r="CN160" i="6"/>
  <c r="BP160" i="6"/>
  <c r="DL160" i="6" a="1"/>
  <c r="DL160" i="6" s="1"/>
  <c r="CR160" i="6"/>
  <c r="BX160" i="6"/>
  <c r="CP160" i="6"/>
  <c r="CZ160" i="6" a="1"/>
  <c r="CZ160" i="6" s="1"/>
  <c r="DE160" i="6" a="1"/>
  <c r="DE160" i="6" s="1"/>
  <c r="BN160" i="6"/>
  <c r="CJ160" i="6"/>
  <c r="CC160" i="6"/>
  <c r="CQ160" i="6"/>
  <c r="DM160" i="6" a="1"/>
  <c r="DM160" i="6" s="1"/>
  <c r="DF160" i="6" a="1"/>
  <c r="DF160" i="6" s="1"/>
  <c r="CK160" i="6"/>
  <c r="DP160" i="6" a="1"/>
  <c r="DP160" i="6" s="1"/>
  <c r="CX160" i="6" a="1"/>
  <c r="CX160" i="6" s="1"/>
  <c r="CM160" i="6"/>
  <c r="DO160" i="6" a="1"/>
  <c r="DO160" i="6" s="1"/>
  <c r="BS160" i="6"/>
  <c r="CW160" i="6" a="1"/>
  <c r="CW160" i="6" s="1"/>
  <c r="CD160" i="6"/>
  <c r="CI160" i="6"/>
  <c r="BM160" i="6"/>
  <c r="CH160" i="6"/>
  <c r="DG151" i="6" a="1"/>
  <c r="DG151" i="6" s="1"/>
  <c r="DB151" i="6" a="1"/>
  <c r="DB151" i="6" s="1"/>
  <c r="CI151" i="6"/>
  <c r="BN151" i="6"/>
  <c r="DL151" i="6" a="1"/>
  <c r="DL151" i="6" s="1"/>
  <c r="CZ151" i="6" a="1"/>
  <c r="CZ151" i="6" s="1"/>
  <c r="DK151" i="6" a="1"/>
  <c r="DK151" i="6" s="1"/>
  <c r="BM151" i="6"/>
  <c r="CO151" i="6"/>
  <c r="DM151" i="6" a="1"/>
  <c r="DM151" i="6" s="1"/>
  <c r="DF151" i="6" a="1"/>
  <c r="DF151" i="6" s="1"/>
  <c r="CD151" i="6"/>
  <c r="BY151" i="6"/>
  <c r="CP151" i="6"/>
  <c r="DE151" i="6" a="1"/>
  <c r="DE151" i="6" s="1"/>
  <c r="DQ151" i="6" a="1"/>
  <c r="DQ151" i="6" s="1"/>
  <c r="BO151" i="6"/>
  <c r="DP151" i="6" a="1"/>
  <c r="DP151" i="6" s="1"/>
  <c r="BT151" i="6"/>
  <c r="BX151" i="6"/>
  <c r="CT151" i="6" a="1"/>
  <c r="CT151" i="6" s="1"/>
  <c r="DS151" i="6" a="1"/>
  <c r="DS151" i="6" s="1"/>
  <c r="DI151" i="6" a="1"/>
  <c r="DI151" i="6" s="1"/>
  <c r="DH151" i="6" a="1"/>
  <c r="DH151" i="6" s="1"/>
  <c r="CK151" i="6"/>
  <c r="BP151" i="6"/>
  <c r="CX151" i="6" a="1"/>
  <c r="CX151" i="6" s="1"/>
  <c r="CN151" i="6"/>
  <c r="CY151" i="6" a="1"/>
  <c r="CY151" i="6" s="1"/>
  <c r="CB151" i="6"/>
  <c r="DD151" i="6" a="1"/>
  <c r="DD151" i="6" s="1"/>
  <c r="CU151" i="6" a="1"/>
  <c r="CU151" i="6" s="1"/>
  <c r="BS151" i="6"/>
  <c r="CE151" i="6"/>
  <c r="DC151" i="6" a="1"/>
  <c r="DC151" i="6" s="1"/>
  <c r="BU151" i="6"/>
  <c r="BV151" i="6"/>
  <c r="DN151" i="6" a="1"/>
  <c r="DN151" i="6" s="1"/>
  <c r="DA151" i="6" a="1"/>
  <c r="DA151" i="6" s="1"/>
  <c r="DR151" i="6" a="1"/>
  <c r="DR151" i="6" s="1"/>
  <c r="BW151" i="6"/>
  <c r="DO151" i="6" a="1"/>
  <c r="DO151" i="6" s="1"/>
  <c r="CJ151" i="6"/>
  <c r="CL151" i="6"/>
  <c r="CM151" i="6"/>
  <c r="BZ151" i="6"/>
  <c r="CV151" i="6" a="1"/>
  <c r="CV151" i="6" s="1"/>
  <c r="BQ151" i="6"/>
  <c r="BL151" i="6"/>
  <c r="CR151" i="6"/>
  <c r="CC151" i="6"/>
  <c r="CF151" i="6"/>
  <c r="CQ151" i="6"/>
  <c r="CW151" i="6" a="1"/>
  <c r="CW151" i="6" s="1"/>
  <c r="DJ151" i="6" a="1"/>
  <c r="DJ151" i="6" s="1"/>
  <c r="CH151" i="6"/>
  <c r="CA151" i="6"/>
  <c r="CG151" i="6"/>
  <c r="BS143" i="6"/>
  <c r="DA143" i="6" a="1"/>
  <c r="DA143" i="6" s="1"/>
  <c r="BV143" i="6"/>
  <c r="CB143" i="6"/>
  <c r="CC143" i="6"/>
  <c r="BL143" i="6"/>
  <c r="CU143" i="6" a="1"/>
  <c r="CU143" i="6" s="1"/>
  <c r="CV143" i="6" a="1"/>
  <c r="CV143" i="6" s="1"/>
  <c r="CG143" i="6"/>
  <c r="DE143" i="6" a="1"/>
  <c r="DE143" i="6" s="1"/>
  <c r="CI143" i="6"/>
  <c r="CT143" i="6" a="1"/>
  <c r="CT143" i="6" s="1"/>
  <c r="CA143" i="6"/>
  <c r="CJ143" i="6"/>
  <c r="CX143" i="6" a="1"/>
  <c r="CX143" i="6" s="1"/>
  <c r="DC143" i="6" a="1"/>
  <c r="DC143" i="6" s="1"/>
  <c r="CM143" i="6"/>
  <c r="CL143" i="6"/>
  <c r="DG143" i="6" a="1"/>
  <c r="DG143" i="6" s="1"/>
  <c r="BQ143" i="6"/>
  <c r="BX143" i="6"/>
  <c r="DB143" i="6" a="1"/>
  <c r="DB143" i="6" s="1"/>
  <c r="CF143" i="6"/>
  <c r="DP143" i="6" a="1"/>
  <c r="DP143" i="6" s="1"/>
  <c r="CK143" i="6"/>
  <c r="DO143" i="6" a="1"/>
  <c r="DO143" i="6" s="1"/>
  <c r="BP143" i="6"/>
  <c r="DM143" i="6" a="1"/>
  <c r="DM143" i="6" s="1"/>
  <c r="CP143" i="6"/>
  <c r="DK143" i="6" a="1"/>
  <c r="DK143" i="6" s="1"/>
  <c r="CE143" i="6"/>
  <c r="CZ143" i="6" a="1"/>
  <c r="CZ143" i="6" s="1"/>
  <c r="DI143" i="6" a="1"/>
  <c r="DI143" i="6" s="1"/>
  <c r="DQ143" i="6" a="1"/>
  <c r="DQ143" i="6" s="1"/>
  <c r="BU143" i="6"/>
  <c r="BY143" i="6"/>
  <c r="CY143" i="6" a="1"/>
  <c r="CY143" i="6" s="1"/>
  <c r="BO143" i="6"/>
  <c r="DJ143" i="6" a="1"/>
  <c r="DJ143" i="6" s="1"/>
  <c r="DF143" i="6" a="1"/>
  <c r="DF143" i="6" s="1"/>
  <c r="BZ143" i="6"/>
  <c r="DH143" i="6" a="1"/>
  <c r="DH143" i="6" s="1"/>
  <c r="BM143" i="6"/>
  <c r="DL143" i="6" a="1"/>
  <c r="DL143" i="6" s="1"/>
  <c r="CW143" i="6" a="1"/>
  <c r="CW143" i="6" s="1"/>
  <c r="CH143" i="6"/>
  <c r="DD143" i="6" a="1"/>
  <c r="DD143" i="6" s="1"/>
  <c r="DR143" i="6" a="1"/>
  <c r="DR143" i="6" s="1"/>
  <c r="CD143" i="6"/>
  <c r="DS143" i="6" a="1"/>
  <c r="DS143" i="6" s="1"/>
  <c r="CO143" i="6"/>
  <c r="DN143" i="6" a="1"/>
  <c r="DN143" i="6" s="1"/>
  <c r="CN143" i="6"/>
  <c r="CQ143" i="6"/>
  <c r="BW143" i="6"/>
  <c r="BT143" i="6"/>
  <c r="CR143" i="6"/>
  <c r="BN143" i="6"/>
  <c r="AD173" i="5"/>
  <c r="K173" i="5"/>
  <c r="H173" i="5"/>
  <c r="C174" i="5"/>
  <c r="B173" i="6"/>
  <c r="D173" i="5"/>
  <c r="B173" i="12" s="1"/>
  <c r="AE173" i="5" a="1"/>
  <c r="AE173" i="5" s="1"/>
  <c r="A173" i="12"/>
  <c r="N173" i="5"/>
  <c r="D173" i="6" s="1"/>
  <c r="H173" i="6" s="1" a="1"/>
  <c r="H173" i="6" s="1"/>
  <c r="T173" i="5" s="1"/>
  <c r="G173" i="12" s="1" a="1"/>
  <c r="G173" i="12" s="1"/>
  <c r="E173" i="5"/>
  <c r="G173" i="5"/>
  <c r="J173" i="5"/>
  <c r="F173" i="5"/>
  <c r="B173" i="5"/>
  <c r="A172" i="6"/>
  <c r="M172" i="6" s="1"/>
  <c r="CP172" i="6" s="1"/>
  <c r="J172" i="12" a="1"/>
  <c r="J172" i="12" s="1"/>
  <c r="L172" i="12" a="1"/>
  <c r="L172" i="12" s="1"/>
  <c r="K171" i="12"/>
  <c r="N171" i="6"/>
  <c r="M171" i="6"/>
  <c r="L180" i="6"/>
  <c r="BO170" i="6" l="1"/>
  <c r="CX170" i="6" a="1"/>
  <c r="CX170" i="6" s="1"/>
  <c r="CT170" i="6" a="1"/>
  <c r="CT170" i="6" s="1"/>
  <c r="DG170" i="6" a="1"/>
  <c r="DG170" i="6" s="1"/>
  <c r="BU170" i="6"/>
  <c r="DC170" i="6" a="1"/>
  <c r="DC170" i="6" s="1"/>
  <c r="BP170" i="6"/>
  <c r="CZ170" i="6" a="1"/>
  <c r="CZ170" i="6" s="1"/>
  <c r="BN170" i="6"/>
  <c r="DH170" i="6" a="1"/>
  <c r="DH170" i="6" s="1"/>
  <c r="CG170" i="6"/>
  <c r="DR170" i="6" a="1"/>
  <c r="DR170" i="6" s="1"/>
  <c r="CJ170" i="6"/>
  <c r="CK170" i="6"/>
  <c r="DJ170" i="6" a="1"/>
  <c r="DJ170" i="6" s="1"/>
  <c r="CU170" i="6" a="1"/>
  <c r="CU170" i="6" s="1"/>
  <c r="DK170" i="6" a="1"/>
  <c r="DK170" i="6" s="1"/>
  <c r="CH170" i="6"/>
  <c r="DS170" i="6" a="1"/>
  <c r="DS170" i="6" s="1"/>
  <c r="CE170" i="6"/>
  <c r="BV170" i="6"/>
  <c r="BM170" i="6"/>
  <c r="CM170" i="6"/>
  <c r="CF170" i="6"/>
  <c r="CR170" i="6"/>
  <c r="DE170" i="6" a="1"/>
  <c r="DE170" i="6" s="1"/>
  <c r="DD170" i="6" a="1"/>
  <c r="DD170" i="6" s="1"/>
  <c r="DO170" i="6" a="1"/>
  <c r="DO170" i="6" s="1"/>
  <c r="DF170" i="6" a="1"/>
  <c r="DF170" i="6" s="1"/>
  <c r="CA170" i="6"/>
  <c r="DN170" i="6" a="1"/>
  <c r="DN170" i="6" s="1"/>
  <c r="CP170" i="6"/>
  <c r="CY170" i="6" a="1"/>
  <c r="CY170" i="6" s="1"/>
  <c r="BX170" i="6"/>
  <c r="DB170" i="6" a="1"/>
  <c r="DB170" i="6" s="1"/>
  <c r="CO170" i="6"/>
  <c r="CV170" i="6" a="1"/>
  <c r="CV170" i="6" s="1"/>
  <c r="DL170" i="6" a="1"/>
  <c r="DL170" i="6" s="1"/>
  <c r="CD170" i="6"/>
  <c r="BZ170" i="6"/>
  <c r="BS170" i="6"/>
  <c r="BL170" i="6"/>
  <c r="BW170" i="6"/>
  <c r="DQ170" i="6" a="1"/>
  <c r="DQ170" i="6" s="1"/>
  <c r="BY170" i="6"/>
  <c r="BT170" i="6"/>
  <c r="CL170" i="6"/>
  <c r="DA170" i="6" a="1"/>
  <c r="DA170" i="6" s="1"/>
  <c r="CW170" i="6" a="1"/>
  <c r="CW170" i="6" s="1"/>
  <c r="CB170" i="6"/>
  <c r="BQ170" i="6"/>
  <c r="CN170" i="6"/>
  <c r="DI170" i="6" a="1"/>
  <c r="DI170" i="6" s="1"/>
  <c r="CI170" i="6"/>
  <c r="DP170" i="6" a="1"/>
  <c r="DP170" i="6" s="1"/>
  <c r="CQ170" i="6"/>
  <c r="DM170" i="6" a="1"/>
  <c r="DM170" i="6" s="1"/>
  <c r="DR169" i="6" a="1"/>
  <c r="DR169" i="6" s="1"/>
  <c r="CW169" i="6" a="1"/>
  <c r="CW169" i="6" s="1"/>
  <c r="DL169" i="6" a="1"/>
  <c r="DL169" i="6" s="1"/>
  <c r="DB169" i="6" a="1"/>
  <c r="DB169" i="6" s="1"/>
  <c r="CZ169" i="6" a="1"/>
  <c r="CZ169" i="6" s="1"/>
  <c r="CK169" i="6"/>
  <c r="CV169" i="6" a="1"/>
  <c r="CV169" i="6" s="1"/>
  <c r="DN169" i="6" a="1"/>
  <c r="DN169" i="6" s="1"/>
  <c r="DC169" i="6" a="1"/>
  <c r="DC169" i="6" s="1"/>
  <c r="CB169" i="6"/>
  <c r="BQ169" i="6"/>
  <c r="DA169" i="6" a="1"/>
  <c r="DA169" i="6" s="1"/>
  <c r="BM169" i="6"/>
  <c r="CI169" i="6"/>
  <c r="CL169" i="6"/>
  <c r="BO169" i="6"/>
  <c r="CM169" i="6"/>
  <c r="BX169" i="6"/>
  <c r="BT169" i="6"/>
  <c r="CD169" i="6"/>
  <c r="BU169" i="6"/>
  <c r="DJ169" i="6" a="1"/>
  <c r="DJ169" i="6" s="1"/>
  <c r="DS169" i="6" a="1"/>
  <c r="DS169" i="6" s="1"/>
  <c r="BZ169" i="6"/>
  <c r="DO169" i="6" a="1"/>
  <c r="DO169" i="6" s="1"/>
  <c r="BY169" i="6"/>
  <c r="CU169" i="6" a="1"/>
  <c r="CU169" i="6" s="1"/>
  <c r="DD169" i="6" a="1"/>
  <c r="DD169" i="6" s="1"/>
  <c r="CA169" i="6"/>
  <c r="CE169" i="6"/>
  <c r="DP169" i="6" a="1"/>
  <c r="DP169" i="6" s="1"/>
  <c r="CO169" i="6"/>
  <c r="DF169" i="6" a="1"/>
  <c r="DF169" i="6" s="1"/>
  <c r="BV169" i="6"/>
  <c r="BW169" i="6"/>
  <c r="CC169" i="6"/>
  <c r="BS169" i="6"/>
  <c r="CJ169" i="6"/>
  <c r="CY169" i="6" a="1"/>
  <c r="CY169" i="6" s="1"/>
  <c r="CP169" i="6"/>
  <c r="BN169" i="6"/>
  <c r="CR169" i="6"/>
  <c r="CT169" i="6" a="1"/>
  <c r="CT169" i="6" s="1"/>
  <c r="BP169" i="6"/>
  <c r="CX169" i="6" a="1"/>
  <c r="CX169" i="6" s="1"/>
  <c r="CQ169" i="6"/>
  <c r="DH169" i="6" a="1"/>
  <c r="DH169" i="6" s="1"/>
  <c r="DE169" i="6" a="1"/>
  <c r="DE169" i="6" s="1"/>
  <c r="DG169" i="6" a="1"/>
  <c r="DG169" i="6" s="1"/>
  <c r="CG169" i="6"/>
  <c r="CF169" i="6"/>
  <c r="BL169" i="6"/>
  <c r="DK169" i="6" a="1"/>
  <c r="DK169" i="6" s="1"/>
  <c r="CH169" i="6"/>
  <c r="DM169" i="6" a="1"/>
  <c r="DM169" i="6" s="1"/>
  <c r="DQ169" i="6" a="1"/>
  <c r="DQ169" i="6" s="1"/>
  <c r="DI169" i="6" a="1"/>
  <c r="DI169" i="6" s="1"/>
  <c r="CN169" i="6"/>
  <c r="N172" i="6"/>
  <c r="K172" i="12"/>
  <c r="BQ172" i="6"/>
  <c r="DQ172" i="6" a="1"/>
  <c r="DQ172" i="6" s="1"/>
  <c r="DC172" i="6" a="1"/>
  <c r="DC172" i="6" s="1"/>
  <c r="BL172" i="6"/>
  <c r="CW172" i="6" a="1"/>
  <c r="CW172" i="6" s="1"/>
  <c r="CM172" i="6"/>
  <c r="BM172" i="6"/>
  <c r="CH172" i="6"/>
  <c r="CB172" i="6"/>
  <c r="BS172" i="6"/>
  <c r="DK172" i="6" a="1"/>
  <c r="DK172" i="6" s="1"/>
  <c r="DE172" i="6" a="1"/>
  <c r="DE172" i="6" s="1"/>
  <c r="DN172" i="6" a="1"/>
  <c r="DN172" i="6" s="1"/>
  <c r="J173" i="12" a="1"/>
  <c r="J173" i="12" s="1"/>
  <c r="L173" i="12" a="1"/>
  <c r="L173" i="12" s="1"/>
  <c r="DD171" i="6" a="1"/>
  <c r="DD171" i="6" s="1"/>
  <c r="BW171" i="6"/>
  <c r="DC171" i="6" a="1"/>
  <c r="DC171" i="6" s="1"/>
  <c r="DM171" i="6" a="1"/>
  <c r="DM171" i="6" s="1"/>
  <c r="BX171" i="6"/>
  <c r="DA171" i="6" a="1"/>
  <c r="DA171" i="6" s="1"/>
  <c r="CL171" i="6"/>
  <c r="CE171" i="6"/>
  <c r="CF171" i="6"/>
  <c r="DG171" i="6" a="1"/>
  <c r="DG171" i="6" s="1"/>
  <c r="CZ171" i="6" a="1"/>
  <c r="CZ171" i="6" s="1"/>
  <c r="BP171" i="6"/>
  <c r="CJ171" i="6"/>
  <c r="BQ171" i="6"/>
  <c r="DK171" i="6" a="1"/>
  <c r="DK171" i="6" s="1"/>
  <c r="DO171" i="6" a="1"/>
  <c r="DO171" i="6" s="1"/>
  <c r="BO171" i="6"/>
  <c r="CN171" i="6"/>
  <c r="DL171" i="6" a="1"/>
  <c r="DL171" i="6" s="1"/>
  <c r="CO171" i="6"/>
  <c r="CT171" i="6" a="1"/>
  <c r="CT171" i="6" s="1"/>
  <c r="BV171" i="6"/>
  <c r="CU171" i="6" a="1"/>
  <c r="CU171" i="6" s="1"/>
  <c r="CP171" i="6"/>
  <c r="DS171" i="6" a="1"/>
  <c r="DS171" i="6" s="1"/>
  <c r="DJ171" i="6" a="1"/>
  <c r="DJ171" i="6" s="1"/>
  <c r="CK171" i="6"/>
  <c r="DH171" i="6" a="1"/>
  <c r="DH171" i="6" s="1"/>
  <c r="BM171" i="6"/>
  <c r="DQ171" i="6" a="1"/>
  <c r="DQ171" i="6" s="1"/>
  <c r="CR171" i="6"/>
  <c r="CY171" i="6" a="1"/>
  <c r="CY171" i="6" s="1"/>
  <c r="DP171" i="6" a="1"/>
  <c r="DP171" i="6" s="1"/>
  <c r="CD171" i="6"/>
  <c r="CV171" i="6" a="1"/>
  <c r="CV171" i="6" s="1"/>
  <c r="DN171" i="6" a="1"/>
  <c r="DN171" i="6" s="1"/>
  <c r="DR171" i="6" a="1"/>
  <c r="DR171" i="6" s="1"/>
  <c r="CM171" i="6"/>
  <c r="CG171" i="6"/>
  <c r="CC171" i="6"/>
  <c r="BY171" i="6"/>
  <c r="DF171" i="6" a="1"/>
  <c r="DF171" i="6" s="1"/>
  <c r="BU171" i="6"/>
  <c r="BZ171" i="6"/>
  <c r="CQ171" i="6"/>
  <c r="DE171" i="6" a="1"/>
  <c r="DE171" i="6" s="1"/>
  <c r="CW171" i="6" a="1"/>
  <c r="CW171" i="6" s="1"/>
  <c r="BL171" i="6"/>
  <c r="DI171" i="6" a="1"/>
  <c r="DI171" i="6" s="1"/>
  <c r="CI171" i="6"/>
  <c r="CB171" i="6"/>
  <c r="CX171" i="6" a="1"/>
  <c r="CX171" i="6" s="1"/>
  <c r="BT171" i="6"/>
  <c r="CH171" i="6"/>
  <c r="DB171" i="6" a="1"/>
  <c r="DB171" i="6" s="1"/>
  <c r="BS171" i="6"/>
  <c r="BN171" i="6"/>
  <c r="CA171" i="6"/>
  <c r="CV172" i="6" a="1"/>
  <c r="CV172" i="6" s="1"/>
  <c r="DB172" i="6" a="1"/>
  <c r="DB172" i="6" s="1"/>
  <c r="CA172" i="6"/>
  <c r="DR172" i="6" a="1"/>
  <c r="DR172" i="6" s="1"/>
  <c r="DF172" i="6" a="1"/>
  <c r="DF172" i="6" s="1"/>
  <c r="CF172" i="6"/>
  <c r="CY172" i="6" a="1"/>
  <c r="CY172" i="6" s="1"/>
  <c r="BX172" i="6"/>
  <c r="CD172" i="6"/>
  <c r="DS172" i="6" a="1"/>
  <c r="DS172" i="6" s="1"/>
  <c r="CC172" i="6"/>
  <c r="BZ172" i="6"/>
  <c r="CT172" i="6" a="1"/>
  <c r="CT172" i="6" s="1"/>
  <c r="BP172" i="6"/>
  <c r="BY172" i="6"/>
  <c r="CZ172" i="6" a="1"/>
  <c r="CZ172" i="6" s="1"/>
  <c r="DL172" i="6" a="1"/>
  <c r="DL172" i="6" s="1"/>
  <c r="DJ172" i="6" a="1"/>
  <c r="DJ172" i="6" s="1"/>
  <c r="CG172" i="6"/>
  <c r="CI172" i="6"/>
  <c r="CL172" i="6"/>
  <c r="A173" i="6"/>
  <c r="BU172" i="6"/>
  <c r="CO172" i="6"/>
  <c r="BT172" i="6"/>
  <c r="CE172" i="6"/>
  <c r="CK172" i="6"/>
  <c r="CQ172" i="6"/>
  <c r="DG172" i="6" a="1"/>
  <c r="DG172" i="6" s="1"/>
  <c r="DP172" i="6" a="1"/>
  <c r="DP172" i="6" s="1"/>
  <c r="AD174" i="5"/>
  <c r="E174" i="5"/>
  <c r="AE174" i="5" a="1"/>
  <c r="AE174" i="5" s="1"/>
  <c r="A174" i="12"/>
  <c r="F174" i="5"/>
  <c r="J174" i="5"/>
  <c r="N174" i="5"/>
  <c r="D174" i="6" s="1"/>
  <c r="H174" i="6" s="1" a="1"/>
  <c r="H174" i="6" s="1"/>
  <c r="T174" i="5" s="1"/>
  <c r="G174" i="12" s="1" a="1"/>
  <c r="G174" i="12" s="1"/>
  <c r="D174" i="5"/>
  <c r="B174" i="12" s="1"/>
  <c r="B174" i="5"/>
  <c r="C175" i="5" s="1"/>
  <c r="G174" i="5"/>
  <c r="H174" i="5"/>
  <c r="K174" i="5"/>
  <c r="B174" i="6"/>
  <c r="BW172" i="6"/>
  <c r="BN172" i="6"/>
  <c r="CJ172" i="6"/>
  <c r="DO172" i="6" a="1"/>
  <c r="DO172" i="6" s="1"/>
  <c r="BO172" i="6"/>
  <c r="CN172" i="6"/>
  <c r="DH172" i="6" a="1"/>
  <c r="DH172" i="6" s="1"/>
  <c r="DD172" i="6" a="1"/>
  <c r="DD172" i="6" s="1"/>
  <c r="BV172" i="6"/>
  <c r="DI172" i="6" a="1"/>
  <c r="DI172" i="6" s="1"/>
  <c r="CU172" i="6" a="1"/>
  <c r="CU172" i="6" s="1"/>
  <c r="DM172" i="6" a="1"/>
  <c r="DM172" i="6" s="1"/>
  <c r="CX172" i="6" a="1"/>
  <c r="CX172" i="6" s="1"/>
  <c r="DA172" i="6" a="1"/>
  <c r="DA172" i="6" s="1"/>
  <c r="CR172" i="6"/>
  <c r="L181" i="6"/>
  <c r="F180" i="6"/>
  <c r="K173" i="12" l="1"/>
  <c r="B175" i="6"/>
  <c r="AF175" i="5" a="1"/>
  <c r="AF175" i="5" s="1"/>
  <c r="AG175" i="5" s="1" a="1"/>
  <c r="AG175" i="5" s="1"/>
  <c r="U175" i="5" s="1"/>
  <c r="AN175" i="5" s="1" a="1"/>
  <c r="AN175" i="5" s="1"/>
  <c r="A175" i="12"/>
  <c r="F175" i="5"/>
  <c r="N175" i="5"/>
  <c r="D175" i="6" s="1"/>
  <c r="M175" i="6" s="1"/>
  <c r="AD175" i="5"/>
  <c r="C176" i="5"/>
  <c r="G175" i="5"/>
  <c r="B175" i="5"/>
  <c r="I175" i="5"/>
  <c r="E175" i="5"/>
  <c r="AE175" i="5" a="1"/>
  <c r="AE175" i="5" s="1"/>
  <c r="W175" i="5" a="1"/>
  <c r="W175" i="5" s="1"/>
  <c r="H175" i="12" s="1" a="1"/>
  <c r="H175" i="12" s="1"/>
  <c r="H175" i="5"/>
  <c r="M173" i="6"/>
  <c r="N173" i="6"/>
  <c r="A174" i="6"/>
  <c r="L174" i="12" a="1"/>
  <c r="L174" i="12" s="1"/>
  <c r="J174" i="12" a="1"/>
  <c r="J174" i="12" s="1"/>
  <c r="L182" i="6"/>
  <c r="A175" i="6" l="1"/>
  <c r="K174" i="12"/>
  <c r="N175" i="6"/>
  <c r="CK173" i="6"/>
  <c r="DS173" i="6" a="1"/>
  <c r="DS173" i="6" s="1"/>
  <c r="DR173" i="6" a="1"/>
  <c r="DR173" i="6" s="1"/>
  <c r="DC173" i="6" a="1"/>
  <c r="DC173" i="6" s="1"/>
  <c r="DQ173" i="6" a="1"/>
  <c r="DQ173" i="6" s="1"/>
  <c r="BW173" i="6"/>
  <c r="BO173" i="6"/>
  <c r="DN173" i="6" a="1"/>
  <c r="DN173" i="6" s="1"/>
  <c r="BY173" i="6"/>
  <c r="BS173" i="6"/>
  <c r="BQ173" i="6"/>
  <c r="DB173" i="6" a="1"/>
  <c r="DB173" i="6" s="1"/>
  <c r="CH173" i="6"/>
  <c r="CZ173" i="6" a="1"/>
  <c r="CZ173" i="6" s="1"/>
  <c r="CE173" i="6"/>
  <c r="BZ173" i="6"/>
  <c r="CI173" i="6"/>
  <c r="CR173" i="6"/>
  <c r="DO173" i="6" a="1"/>
  <c r="DO173" i="6" s="1"/>
  <c r="CN173" i="6"/>
  <c r="CQ173" i="6"/>
  <c r="BL173" i="6"/>
  <c r="BX173" i="6"/>
  <c r="DJ173" i="6" a="1"/>
  <c r="DJ173" i="6" s="1"/>
  <c r="BN173" i="6"/>
  <c r="DH173" i="6" a="1"/>
  <c r="DH173" i="6" s="1"/>
  <c r="CA173" i="6"/>
  <c r="CV173" i="6" a="1"/>
  <c r="CV173" i="6" s="1"/>
  <c r="CX173" i="6" a="1"/>
  <c r="CX173" i="6" s="1"/>
  <c r="DI173" i="6" a="1"/>
  <c r="DI173" i="6" s="1"/>
  <c r="CG173" i="6"/>
  <c r="CC173" i="6"/>
  <c r="DD173" i="6" a="1"/>
  <c r="DD173" i="6" s="1"/>
  <c r="DL173" i="6" a="1"/>
  <c r="DL173" i="6" s="1"/>
  <c r="CB173" i="6"/>
  <c r="DE173" i="6" a="1"/>
  <c r="DE173" i="6" s="1"/>
  <c r="CT173" i="6" a="1"/>
  <c r="CT173" i="6" s="1"/>
  <c r="BP173" i="6"/>
  <c r="CP173" i="6"/>
  <c r="CU173" i="6" a="1"/>
  <c r="CU173" i="6" s="1"/>
  <c r="CL173" i="6"/>
  <c r="DG173" i="6" a="1"/>
  <c r="DG173" i="6" s="1"/>
  <c r="DP173" i="6" a="1"/>
  <c r="DP173" i="6" s="1"/>
  <c r="CM173" i="6"/>
  <c r="CJ173" i="6"/>
  <c r="CO173" i="6"/>
  <c r="DK173" i="6" a="1"/>
  <c r="DK173" i="6" s="1"/>
  <c r="BM173" i="6"/>
  <c r="BU173" i="6"/>
  <c r="CY173" i="6" a="1"/>
  <c r="CY173" i="6" s="1"/>
  <c r="DA173" i="6" a="1"/>
  <c r="DA173" i="6" s="1"/>
  <c r="DM173" i="6" a="1"/>
  <c r="DM173" i="6" s="1"/>
  <c r="BT173" i="6"/>
  <c r="BV173" i="6"/>
  <c r="CF173" i="6"/>
  <c r="CD173" i="6"/>
  <c r="DF173" i="6" a="1"/>
  <c r="DF173" i="6" s="1"/>
  <c r="CW173" i="6" a="1"/>
  <c r="CW173" i="6" s="1"/>
  <c r="H176" i="5"/>
  <c r="N176" i="5"/>
  <c r="D176" i="6" s="1"/>
  <c r="H176" i="6" s="1" a="1"/>
  <c r="H176" i="6" s="1"/>
  <c r="T176" i="5" s="1"/>
  <c r="G176" i="12" s="1" a="1"/>
  <c r="G176" i="12" s="1"/>
  <c r="AE176" i="5" a="1"/>
  <c r="AE176" i="5" s="1"/>
  <c r="E176" i="5"/>
  <c r="G176" i="5"/>
  <c r="C177" i="5"/>
  <c r="B176" i="6"/>
  <c r="K176" i="5"/>
  <c r="B176" i="5"/>
  <c r="J176" i="5"/>
  <c r="D176" i="5"/>
  <c r="B176" i="12" s="1"/>
  <c r="AD176" i="5"/>
  <c r="A176" i="12"/>
  <c r="F176" i="5"/>
  <c r="G175" i="6"/>
  <c r="H175" i="6" a="1"/>
  <c r="H175" i="6" s="1"/>
  <c r="T175" i="5" s="1"/>
  <c r="G175" i="12" s="1" a="1"/>
  <c r="G175" i="12" s="1"/>
  <c r="M174" i="6"/>
  <c r="N174" i="6"/>
  <c r="L183" i="6"/>
  <c r="DL175" i="6" a="1"/>
  <c r="DL175" i="6" s="1"/>
  <c r="DD175" i="6" a="1"/>
  <c r="DD175" i="6" s="1"/>
  <c r="CK175" i="6"/>
  <c r="BT175" i="6"/>
  <c r="BY175" i="6"/>
  <c r="DP175" i="6" a="1"/>
  <c r="DP175" i="6" s="1"/>
  <c r="DK175" i="6" a="1"/>
  <c r="DK175" i="6" s="1"/>
  <c r="CJ175" i="6"/>
  <c r="DC175" i="6" a="1"/>
  <c r="DC175" i="6" s="1"/>
  <c r="DE175" i="6" a="1"/>
  <c r="DE175" i="6" s="1"/>
  <c r="DS175" i="6" a="1"/>
  <c r="DS175" i="6" s="1"/>
  <c r="DJ175" i="6" a="1"/>
  <c r="DJ175" i="6" s="1"/>
  <c r="CH175" i="6"/>
  <c r="BV175" i="6"/>
  <c r="BX175" i="6"/>
  <c r="DN175" i="6" a="1"/>
  <c r="DN175" i="6" s="1"/>
  <c r="CP175" i="6"/>
  <c r="CG175" i="6"/>
  <c r="CW175" i="6" a="1"/>
  <c r="CW175" i="6" s="1"/>
  <c r="DB175" i="6" a="1"/>
  <c r="DB175" i="6" s="1"/>
  <c r="DQ175" i="6" a="1"/>
  <c r="DQ175" i="6" s="1"/>
  <c r="CO175" i="6"/>
  <c r="CE175" i="6"/>
  <c r="DA175" i="6" a="1"/>
  <c r="DA175" i="6" s="1"/>
  <c r="BW175" i="6"/>
  <c r="DG175" i="6" a="1"/>
  <c r="DG175" i="6" s="1"/>
  <c r="DO175" i="6" a="1"/>
  <c r="DO175" i="6" s="1"/>
  <c r="CN175" i="6"/>
  <c r="CD175" i="6"/>
  <c r="CU175" i="6" a="1"/>
  <c r="CU175" i="6" s="1"/>
  <c r="CV175" i="6" a="1"/>
  <c r="CV175" i="6" s="1"/>
  <c r="CZ175" i="6" a="1"/>
  <c r="CZ175" i="6" s="1"/>
  <c r="CI175" i="6"/>
  <c r="CY175" i="6" a="1"/>
  <c r="CY175" i="6" s="1"/>
  <c r="DM175" i="6" a="1"/>
  <c r="DM175" i="6" s="1"/>
  <c r="CL175" i="6"/>
  <c r="CC175" i="6"/>
  <c r="BS175" i="6"/>
  <c r="DI175" i="6" a="1"/>
  <c r="DI175" i="6" s="1"/>
  <c r="CR175" i="6"/>
  <c r="CT175" i="6" a="1"/>
  <c r="CT175" i="6" s="1"/>
  <c r="CQ175" i="6"/>
  <c r="DH175" i="6" a="1"/>
  <c r="DH175" i="6" s="1"/>
  <c r="CM175" i="6"/>
  <c r="BQ175" i="6"/>
  <c r="BU175" i="6"/>
  <c r="CB175" i="6"/>
  <c r="DR175" i="6" a="1"/>
  <c r="DR175" i="6" s="1"/>
  <c r="DF175" i="6" a="1"/>
  <c r="DF175" i="6" s="1"/>
  <c r="CF175" i="6"/>
  <c r="BZ175" i="6"/>
  <c r="CX175" i="6" a="1"/>
  <c r="CX175" i="6" s="1"/>
  <c r="CA175" i="6"/>
  <c r="BO175" i="6" l="1"/>
  <c r="BN175" i="6"/>
  <c r="BE175" i="6"/>
  <c r="AY175" i="6"/>
  <c r="BB175" i="6"/>
  <c r="BK175" i="6"/>
  <c r="AS175" i="6"/>
  <c r="AT175" i="6"/>
  <c r="BG175" i="6"/>
  <c r="AU175" i="6"/>
  <c r="BM175" i="6"/>
  <c r="AZ175" i="6"/>
  <c r="BH175" i="6"/>
  <c r="AW175" i="6"/>
  <c r="BP175" i="6"/>
  <c r="AR175" i="6"/>
  <c r="BF175" i="6"/>
  <c r="BC175" i="6"/>
  <c r="BL175" i="6"/>
  <c r="BD175" i="6"/>
  <c r="BI175" i="6"/>
  <c r="AV175" i="6"/>
  <c r="AX175" i="6"/>
  <c r="BA175" i="6"/>
  <c r="BJ175" i="6"/>
  <c r="AD177" i="5"/>
  <c r="J177" i="5"/>
  <c r="N177" i="5"/>
  <c r="D177" i="6" s="1"/>
  <c r="H177" i="6" s="1" a="1"/>
  <c r="H177" i="6" s="1"/>
  <c r="T177" i="5" s="1"/>
  <c r="G177" i="12" s="1" a="1"/>
  <c r="G177" i="12" s="1"/>
  <c r="E177" i="5"/>
  <c r="A177" i="12"/>
  <c r="AE177" i="5" a="1"/>
  <c r="AE177" i="5" s="1"/>
  <c r="F177" i="5"/>
  <c r="D177" i="5"/>
  <c r="B177" i="12" s="1"/>
  <c r="K177" i="5"/>
  <c r="B177" i="6"/>
  <c r="B177" i="5"/>
  <c r="G177" i="5"/>
  <c r="C178" i="5"/>
  <c r="H177" i="5"/>
  <c r="L176" i="12" a="1"/>
  <c r="L176" i="12" s="1"/>
  <c r="J176" i="12" a="1"/>
  <c r="J176" i="12" s="1"/>
  <c r="BW174" i="6"/>
  <c r="BV174" i="6"/>
  <c r="CI174" i="6"/>
  <c r="BL174" i="6"/>
  <c r="BT174" i="6"/>
  <c r="DJ174" i="6" a="1"/>
  <c r="DJ174" i="6" s="1"/>
  <c r="CA174" i="6"/>
  <c r="DO174" i="6" a="1"/>
  <c r="DO174" i="6" s="1"/>
  <c r="CG174" i="6"/>
  <c r="DG174" i="6" a="1"/>
  <c r="DG174" i="6" s="1"/>
  <c r="CH174" i="6"/>
  <c r="BP174" i="6"/>
  <c r="BU174" i="6"/>
  <c r="DS174" i="6" a="1"/>
  <c r="DS174" i="6" s="1"/>
  <c r="DI174" i="6" a="1"/>
  <c r="DI174" i="6" s="1"/>
  <c r="DL174" i="6" a="1"/>
  <c r="DL174" i="6" s="1"/>
  <c r="DH174" i="6" a="1"/>
  <c r="DH174" i="6" s="1"/>
  <c r="DN174" i="6" a="1"/>
  <c r="DN174" i="6" s="1"/>
  <c r="CB174" i="6"/>
  <c r="BS174" i="6"/>
  <c r="CW174" i="6" a="1"/>
  <c r="CW174" i="6" s="1"/>
  <c r="BQ174" i="6"/>
  <c r="BO174" i="6"/>
  <c r="CF174" i="6"/>
  <c r="CM174" i="6"/>
  <c r="CP174" i="6"/>
  <c r="DK174" i="6" a="1"/>
  <c r="DK174" i="6" s="1"/>
  <c r="BZ174" i="6"/>
  <c r="CQ174" i="6"/>
  <c r="CU174" i="6" a="1"/>
  <c r="CU174" i="6" s="1"/>
  <c r="CT174" i="6" a="1"/>
  <c r="CT174" i="6" s="1"/>
  <c r="BN174" i="6"/>
  <c r="CD174" i="6"/>
  <c r="CN174" i="6"/>
  <c r="DR174" i="6" a="1"/>
  <c r="DR174" i="6" s="1"/>
  <c r="DF174" i="6" a="1"/>
  <c r="DF174" i="6" s="1"/>
  <c r="DC174" i="6" a="1"/>
  <c r="DC174" i="6" s="1"/>
  <c r="DE174" i="6" a="1"/>
  <c r="DE174" i="6" s="1"/>
  <c r="DP174" i="6" a="1"/>
  <c r="DP174" i="6" s="1"/>
  <c r="DB174" i="6" a="1"/>
  <c r="DB174" i="6" s="1"/>
  <c r="BX174" i="6"/>
  <c r="CL174" i="6"/>
  <c r="CC174" i="6"/>
  <c r="CR174" i="6"/>
  <c r="CK174" i="6"/>
  <c r="DQ174" i="6" a="1"/>
  <c r="DQ174" i="6" s="1"/>
  <c r="BM174" i="6"/>
  <c r="CX174" i="6" a="1"/>
  <c r="CX174" i="6" s="1"/>
  <c r="BY174" i="6"/>
  <c r="CZ174" i="6" a="1"/>
  <c r="CZ174" i="6" s="1"/>
  <c r="DD174" i="6" a="1"/>
  <c r="DD174" i="6" s="1"/>
  <c r="CV174" i="6" a="1"/>
  <c r="CV174" i="6" s="1"/>
  <c r="CO174" i="6"/>
  <c r="DM174" i="6" a="1"/>
  <c r="DM174" i="6" s="1"/>
  <c r="DA174" i="6" a="1"/>
  <c r="DA174" i="6" s="1"/>
  <c r="CJ174" i="6"/>
  <c r="CE174" i="6"/>
  <c r="CY174" i="6" a="1"/>
  <c r="CY174" i="6" s="1"/>
  <c r="A176" i="6"/>
  <c r="L184" i="6"/>
  <c r="K176" i="12" l="1"/>
  <c r="E178" i="5"/>
  <c r="AD178" i="5"/>
  <c r="B178" i="6"/>
  <c r="C179" i="5"/>
  <c r="AE178" i="5" a="1"/>
  <c r="AE178" i="5" s="1"/>
  <c r="F178" i="5"/>
  <c r="N178" i="5"/>
  <c r="D178" i="6" s="1"/>
  <c r="H178" i="6" s="1" a="1"/>
  <c r="H178" i="6" s="1"/>
  <c r="T178" i="5" s="1"/>
  <c r="G178" i="12" s="1" a="1"/>
  <c r="G178" i="12" s="1"/>
  <c r="B178" i="5"/>
  <c r="H178" i="5"/>
  <c r="G178" i="5"/>
  <c r="J178" i="5"/>
  <c r="A178" i="12"/>
  <c r="D178" i="5"/>
  <c r="B178" i="12" s="1"/>
  <c r="K178" i="5"/>
  <c r="L177" i="12" a="1"/>
  <c r="L177" i="12" s="1"/>
  <c r="J177" i="12" a="1"/>
  <c r="J177" i="12" s="1"/>
  <c r="A177" i="6"/>
  <c r="N176" i="6"/>
  <c r="M176" i="6"/>
  <c r="L185" i="6"/>
  <c r="K177" i="12" l="1"/>
  <c r="L178" i="12" a="1"/>
  <c r="L178" i="12" s="1"/>
  <c r="J178" i="12" a="1"/>
  <c r="J178" i="12" s="1"/>
  <c r="F179" i="5"/>
  <c r="AD179" i="5"/>
  <c r="D179" i="5"/>
  <c r="B179" i="12" s="1"/>
  <c r="K179" i="5"/>
  <c r="H179" i="5"/>
  <c r="J179" i="5"/>
  <c r="G179" i="5"/>
  <c r="B179" i="6"/>
  <c r="E179" i="5"/>
  <c r="B179" i="5"/>
  <c r="C180" i="5" s="1"/>
  <c r="N179" i="5"/>
  <c r="D179" i="6" s="1"/>
  <c r="H179" i="6" s="1" a="1"/>
  <c r="H179" i="6" s="1"/>
  <c r="T179" i="5" s="1"/>
  <c r="G179" i="12" s="1" a="1"/>
  <c r="G179" i="12" s="1"/>
  <c r="AE179" i="5" a="1"/>
  <c r="AE179" i="5" s="1"/>
  <c r="A179" i="12"/>
  <c r="CK176" i="6"/>
  <c r="BM176" i="6"/>
  <c r="DP176" i="6" a="1"/>
  <c r="DP176" i="6" s="1"/>
  <c r="DF176" i="6" a="1"/>
  <c r="DF176" i="6" s="1"/>
  <c r="CW176" i="6" a="1"/>
  <c r="CW176" i="6" s="1"/>
  <c r="CP176" i="6"/>
  <c r="DS176" i="6" a="1"/>
  <c r="DS176" i="6" s="1"/>
  <c r="BN176" i="6"/>
  <c r="CH176" i="6"/>
  <c r="BP176" i="6"/>
  <c r="CC176" i="6"/>
  <c r="BX176" i="6"/>
  <c r="CY176" i="6" a="1"/>
  <c r="CY176" i="6" s="1"/>
  <c r="DG176" i="6" a="1"/>
  <c r="DG176" i="6" s="1"/>
  <c r="CJ176" i="6"/>
  <c r="CF176" i="6"/>
  <c r="CM176" i="6"/>
  <c r="DB176" i="6" a="1"/>
  <c r="DB176" i="6" s="1"/>
  <c r="DL176" i="6" a="1"/>
  <c r="DL176" i="6" s="1"/>
  <c r="DO176" i="6" a="1"/>
  <c r="DO176" i="6" s="1"/>
  <c r="DD176" i="6" a="1"/>
  <c r="DD176" i="6" s="1"/>
  <c r="DK176" i="6" a="1"/>
  <c r="DK176" i="6" s="1"/>
  <c r="BQ176" i="6"/>
  <c r="BZ176" i="6"/>
  <c r="CL176" i="6"/>
  <c r="CX176" i="6" a="1"/>
  <c r="CX176" i="6" s="1"/>
  <c r="CZ176" i="6" a="1"/>
  <c r="CZ176" i="6" s="1"/>
  <c r="BU176" i="6"/>
  <c r="DM176" i="6" a="1"/>
  <c r="DM176" i="6" s="1"/>
  <c r="DJ176" i="6" a="1"/>
  <c r="DJ176" i="6" s="1"/>
  <c r="DI176" i="6" a="1"/>
  <c r="DI176" i="6" s="1"/>
  <c r="BT176" i="6"/>
  <c r="CV176" i="6" a="1"/>
  <c r="CV176" i="6" s="1"/>
  <c r="CR176" i="6"/>
  <c r="BY176" i="6"/>
  <c r="DC176" i="6" a="1"/>
  <c r="DC176" i="6" s="1"/>
  <c r="BS176" i="6"/>
  <c r="CI176" i="6"/>
  <c r="CU176" i="6" a="1"/>
  <c r="CU176" i="6" s="1"/>
  <c r="DA176" i="6" a="1"/>
  <c r="DA176" i="6" s="1"/>
  <c r="BO176" i="6"/>
  <c r="CD176" i="6"/>
  <c r="CE176" i="6"/>
  <c r="CN176" i="6"/>
  <c r="DR176" i="6" a="1"/>
  <c r="DR176" i="6" s="1"/>
  <c r="DQ176" i="6" a="1"/>
  <c r="DQ176" i="6" s="1"/>
  <c r="CG176" i="6"/>
  <c r="CQ176" i="6"/>
  <c r="DE176" i="6" a="1"/>
  <c r="DE176" i="6" s="1"/>
  <c r="CA176" i="6"/>
  <c r="BW176" i="6"/>
  <c r="CT176" i="6" a="1"/>
  <c r="CT176" i="6" s="1"/>
  <c r="BL176" i="6"/>
  <c r="DH176" i="6" a="1"/>
  <c r="DH176" i="6" s="1"/>
  <c r="CO176" i="6"/>
  <c r="BV176" i="6"/>
  <c r="DN176" i="6" a="1"/>
  <c r="DN176" i="6" s="1"/>
  <c r="CB176" i="6"/>
  <c r="A178" i="6"/>
  <c r="N178" i="6" s="1"/>
  <c r="M177" i="6"/>
  <c r="N177" i="6"/>
  <c r="L186" i="6"/>
  <c r="J179" i="12" l="1" a="1"/>
  <c r="J179" i="12" s="1"/>
  <c r="L179" i="12" a="1"/>
  <c r="L179" i="12" s="1"/>
  <c r="BY177" i="6"/>
  <c r="CD177" i="6"/>
  <c r="DB177" i="6" a="1"/>
  <c r="DB177" i="6" s="1"/>
  <c r="CN177" i="6"/>
  <c r="BU177" i="6"/>
  <c r="DR177" i="6" a="1"/>
  <c r="DR177" i="6" s="1"/>
  <c r="CV177" i="6" a="1"/>
  <c r="CV177" i="6" s="1"/>
  <c r="BP177" i="6"/>
  <c r="BX177" i="6"/>
  <c r="DD177" i="6" a="1"/>
  <c r="DD177" i="6" s="1"/>
  <c r="DH177" i="6" a="1"/>
  <c r="DH177" i="6" s="1"/>
  <c r="BW177" i="6"/>
  <c r="DP177" i="6" a="1"/>
  <c r="DP177" i="6" s="1"/>
  <c r="CC177" i="6"/>
  <c r="CH177" i="6"/>
  <c r="DS177" i="6" a="1"/>
  <c r="DS177" i="6" s="1"/>
  <c r="CU177" i="6" a="1"/>
  <c r="CU177" i="6" s="1"/>
  <c r="CA177" i="6"/>
  <c r="BT177" i="6"/>
  <c r="CW177" i="6" a="1"/>
  <c r="CW177" i="6" s="1"/>
  <c r="DL177" i="6" a="1"/>
  <c r="DL177" i="6" s="1"/>
  <c r="CK177" i="6"/>
  <c r="DG177" i="6" a="1"/>
  <c r="DG177" i="6" s="1"/>
  <c r="DN177" i="6" a="1"/>
  <c r="DN177" i="6" s="1"/>
  <c r="BQ177" i="6"/>
  <c r="BN177" i="6"/>
  <c r="CL177" i="6"/>
  <c r="DK177" i="6" a="1"/>
  <c r="DK177" i="6" s="1"/>
  <c r="BO177" i="6"/>
  <c r="CF177" i="6"/>
  <c r="CB177" i="6"/>
  <c r="CI177" i="6"/>
  <c r="CM177" i="6"/>
  <c r="DJ177" i="6" a="1"/>
  <c r="DJ177" i="6" s="1"/>
  <c r="CJ177" i="6"/>
  <c r="BL177" i="6"/>
  <c r="DM177" i="6" a="1"/>
  <c r="DM177" i="6" s="1"/>
  <c r="CQ177" i="6"/>
  <c r="DA177" i="6" a="1"/>
  <c r="DA177" i="6" s="1"/>
  <c r="CY177" i="6" a="1"/>
  <c r="CY177" i="6" s="1"/>
  <c r="BM177" i="6"/>
  <c r="DQ177" i="6" a="1"/>
  <c r="DQ177" i="6" s="1"/>
  <c r="CX177" i="6" a="1"/>
  <c r="CX177" i="6" s="1"/>
  <c r="BV177" i="6"/>
  <c r="DO177" i="6" a="1"/>
  <c r="DO177" i="6" s="1"/>
  <c r="DC177" i="6" a="1"/>
  <c r="DC177" i="6" s="1"/>
  <c r="CO177" i="6"/>
  <c r="CT177" i="6" a="1"/>
  <c r="CT177" i="6" s="1"/>
  <c r="CZ177" i="6" a="1"/>
  <c r="CZ177" i="6" s="1"/>
  <c r="BZ177" i="6"/>
  <c r="DE177" i="6" a="1"/>
  <c r="DE177" i="6" s="1"/>
  <c r="DI177" i="6" a="1"/>
  <c r="DI177" i="6" s="1"/>
  <c r="CP177" i="6"/>
  <c r="CG177" i="6"/>
  <c r="CR177" i="6"/>
  <c r="BS177" i="6"/>
  <c r="DF177" i="6" a="1"/>
  <c r="DF177" i="6" s="1"/>
  <c r="CE177" i="6"/>
  <c r="AE180" i="5" a="1"/>
  <c r="AE180" i="5" s="1"/>
  <c r="AF180" i="5" a="1"/>
  <c r="AF180" i="5" s="1"/>
  <c r="AG180" i="5" s="1" a="1"/>
  <c r="AG180" i="5" s="1"/>
  <c r="U180" i="5" s="1"/>
  <c r="AN180" i="5" s="1" a="1"/>
  <c r="AN180" i="5" s="1"/>
  <c r="F180" i="5"/>
  <c r="H180" i="5"/>
  <c r="I180" i="5"/>
  <c r="W180" i="5" a="1"/>
  <c r="W180" i="5" s="1"/>
  <c r="H180" i="12" s="1" a="1"/>
  <c r="H180" i="12" s="1"/>
  <c r="E180" i="5"/>
  <c r="N180" i="5"/>
  <c r="D180" i="6" s="1"/>
  <c r="N180" i="6" s="1"/>
  <c r="AD180" i="5"/>
  <c r="A180" i="12"/>
  <c r="C181" i="5"/>
  <c r="G180" i="5"/>
  <c r="B180" i="6"/>
  <c r="B180" i="5"/>
  <c r="M178" i="6"/>
  <c r="A179" i="6"/>
  <c r="K178" i="12"/>
  <c r="L187" i="6"/>
  <c r="A180" i="6" l="1"/>
  <c r="M180" i="6"/>
  <c r="DG180" i="6" s="1" a="1"/>
  <c r="DG180" i="6" s="1"/>
  <c r="K179" i="12"/>
  <c r="E181" i="5"/>
  <c r="B181" i="6"/>
  <c r="D181" i="5"/>
  <c r="B181" i="12" s="1"/>
  <c r="K181" i="5"/>
  <c r="J181" i="5"/>
  <c r="F181" i="5"/>
  <c r="A181" i="12"/>
  <c r="H181" i="5"/>
  <c r="C182" i="5"/>
  <c r="B181" i="5"/>
  <c r="AE181" i="5" a="1"/>
  <c r="AE181" i="5" s="1"/>
  <c r="AD181" i="5"/>
  <c r="G181" i="5"/>
  <c r="N181" i="5"/>
  <c r="D181" i="6" s="1"/>
  <c r="H181" i="6" s="1" a="1"/>
  <c r="H181" i="6" s="1"/>
  <c r="T181" i="5" s="1"/>
  <c r="G181" i="12" s="1" a="1"/>
  <c r="G181" i="12" s="1"/>
  <c r="N179" i="6"/>
  <c r="M179" i="6"/>
  <c r="G180" i="6"/>
  <c r="H180" i="6" a="1"/>
  <c r="H180" i="6" s="1"/>
  <c r="T180" i="5" s="1"/>
  <c r="G180" i="12" s="1" a="1"/>
  <c r="G180" i="12" s="1"/>
  <c r="DI178" i="6" a="1"/>
  <c r="DI178" i="6" s="1"/>
  <c r="BU178" i="6"/>
  <c r="BY178" i="6"/>
  <c r="DP178" i="6" a="1"/>
  <c r="DP178" i="6" s="1"/>
  <c r="DB178" i="6" a="1"/>
  <c r="DB178" i="6" s="1"/>
  <c r="CD178" i="6"/>
  <c r="BM178" i="6"/>
  <c r="BO178" i="6"/>
  <c r="CB178" i="6"/>
  <c r="DE178" i="6" a="1"/>
  <c r="DE178" i="6" s="1"/>
  <c r="CK178" i="6"/>
  <c r="DS178" i="6" a="1"/>
  <c r="DS178" i="6" s="1"/>
  <c r="CF178" i="6"/>
  <c r="DH178" i="6" a="1"/>
  <c r="DH178" i="6" s="1"/>
  <c r="DN178" i="6" a="1"/>
  <c r="DN178" i="6" s="1"/>
  <c r="DQ178" i="6" a="1"/>
  <c r="DQ178" i="6" s="1"/>
  <c r="CW178" i="6" a="1"/>
  <c r="CW178" i="6" s="1"/>
  <c r="BQ178" i="6"/>
  <c r="CQ178" i="6"/>
  <c r="DG178" i="6" a="1"/>
  <c r="DG178" i="6" s="1"/>
  <c r="BT178" i="6"/>
  <c r="DK178" i="6" a="1"/>
  <c r="DK178" i="6" s="1"/>
  <c r="CH178" i="6"/>
  <c r="CP178" i="6"/>
  <c r="CL178" i="6"/>
  <c r="BN178" i="6"/>
  <c r="BX178" i="6"/>
  <c r="CI178" i="6"/>
  <c r="BS178" i="6"/>
  <c r="CR178" i="6"/>
  <c r="CT178" i="6" a="1"/>
  <c r="CT178" i="6" s="1"/>
  <c r="CX178" i="6" a="1"/>
  <c r="CX178" i="6" s="1"/>
  <c r="CZ178" i="6" a="1"/>
  <c r="CZ178" i="6" s="1"/>
  <c r="CG178" i="6"/>
  <c r="CM178" i="6"/>
  <c r="BV178" i="6"/>
  <c r="CN178" i="6"/>
  <c r="BZ178" i="6"/>
  <c r="CU178" i="6" a="1"/>
  <c r="CU178" i="6" s="1"/>
  <c r="CC178" i="6"/>
  <c r="CA178" i="6"/>
  <c r="DD178" i="6" a="1"/>
  <c r="DD178" i="6" s="1"/>
  <c r="DC178" i="6" a="1"/>
  <c r="DC178" i="6" s="1"/>
  <c r="CY178" i="6" a="1"/>
  <c r="CY178" i="6" s="1"/>
  <c r="DL178" i="6" a="1"/>
  <c r="DL178" i="6" s="1"/>
  <c r="DJ178" i="6" a="1"/>
  <c r="DJ178" i="6" s="1"/>
  <c r="DA178" i="6" a="1"/>
  <c r="DA178" i="6" s="1"/>
  <c r="DM178" i="6" a="1"/>
  <c r="DM178" i="6" s="1"/>
  <c r="BP178" i="6"/>
  <c r="BW178" i="6"/>
  <c r="DR178" i="6" a="1"/>
  <c r="DR178" i="6" s="1"/>
  <c r="CV178" i="6" a="1"/>
  <c r="CV178" i="6" s="1"/>
  <c r="CJ178" i="6"/>
  <c r="DF178" i="6" a="1"/>
  <c r="DF178" i="6" s="1"/>
  <c r="CO178" i="6"/>
  <c r="DO178" i="6" a="1"/>
  <c r="DO178" i="6" s="1"/>
  <c r="BL178" i="6"/>
  <c r="CE178" i="6"/>
  <c r="L188" i="6"/>
  <c r="CF180" i="6" l="1"/>
  <c r="CP180" i="6"/>
  <c r="CQ180" i="6"/>
  <c r="DQ180" i="6" a="1"/>
  <c r="DQ180" i="6" s="1"/>
  <c r="BS180" i="6"/>
  <c r="DH180" i="6" a="1"/>
  <c r="DH180" i="6" s="1"/>
  <c r="BK180" i="6"/>
  <c r="DD180" i="6" a="1"/>
  <c r="DD180" i="6" s="1"/>
  <c r="BF180" i="6"/>
  <c r="CU180" i="6" a="1"/>
  <c r="CU180" i="6" s="1"/>
  <c r="DO180" i="6" a="1"/>
  <c r="DO180" i="6" s="1"/>
  <c r="AT180" i="6"/>
  <c r="CH180" i="6"/>
  <c r="CR180" i="6"/>
  <c r="CZ180" i="6" a="1"/>
  <c r="CZ180" i="6" s="1"/>
  <c r="DC180" i="6" a="1"/>
  <c r="DC180" i="6" s="1"/>
  <c r="CE180" i="6"/>
  <c r="BJ180" i="6"/>
  <c r="BX180" i="6"/>
  <c r="DE180" i="6" a="1"/>
  <c r="DE180" i="6" s="1"/>
  <c r="BA180" i="6"/>
  <c r="BW180" i="6"/>
  <c r="CG180" i="6"/>
  <c r="CT180" i="6" a="1"/>
  <c r="CT180" i="6" s="1"/>
  <c r="CJ180" i="6"/>
  <c r="DN180" i="6" a="1"/>
  <c r="DN180" i="6" s="1"/>
  <c r="BI180" i="6"/>
  <c r="AU180" i="6"/>
  <c r="DR180" i="6" a="1"/>
  <c r="DR180" i="6" s="1"/>
  <c r="BY180" i="6"/>
  <c r="DK180" i="6" a="1"/>
  <c r="DK180" i="6" s="1"/>
  <c r="DA180" i="6" a="1"/>
  <c r="DA180" i="6" s="1"/>
  <c r="DB180" i="6" a="1"/>
  <c r="DB180" i="6" s="1"/>
  <c r="CN180" i="6"/>
  <c r="CW180" i="6" a="1"/>
  <c r="CW180" i="6" s="1"/>
  <c r="DP180" i="6" a="1"/>
  <c r="DP180" i="6" s="1"/>
  <c r="DF180" i="6" a="1"/>
  <c r="DF180" i="6" s="1"/>
  <c r="CK180" i="6"/>
  <c r="CY180" i="6" a="1"/>
  <c r="CY180" i="6" s="1"/>
  <c r="BZ180" i="6"/>
  <c r="CA180" i="6"/>
  <c r="DS180" i="6" a="1"/>
  <c r="DS180" i="6" s="1"/>
  <c r="CB180" i="6"/>
  <c r="BV180" i="6"/>
  <c r="CI180" i="6"/>
  <c r="DI180" i="6" a="1"/>
  <c r="DI180" i="6" s="1"/>
  <c r="CD180" i="6"/>
  <c r="CX180" i="6" a="1"/>
  <c r="CX180" i="6" s="1"/>
  <c r="DL180" i="6" a="1"/>
  <c r="DL180" i="6" s="1"/>
  <c r="BU180" i="6"/>
  <c r="CO180" i="6"/>
  <c r="CV180" i="6" a="1"/>
  <c r="CV180" i="6" s="1"/>
  <c r="CL180" i="6"/>
  <c r="CC180" i="6"/>
  <c r="BT180" i="6"/>
  <c r="DM180" i="6" a="1"/>
  <c r="DM180" i="6" s="1"/>
  <c r="DJ180" i="6" a="1"/>
  <c r="DJ180" i="6" s="1"/>
  <c r="CM180" i="6"/>
  <c r="BG180" i="6"/>
  <c r="AW180" i="6"/>
  <c r="BP180" i="6"/>
  <c r="BE180" i="6"/>
  <c r="BH180" i="6"/>
  <c r="BM180" i="6"/>
  <c r="AV180" i="6"/>
  <c r="BD180" i="6"/>
  <c r="BQ180" i="6"/>
  <c r="AY180" i="6"/>
  <c r="BL180" i="6"/>
  <c r="BO180" i="6"/>
  <c r="AS180" i="6"/>
  <c r="AR180" i="6"/>
  <c r="AX180" i="6"/>
  <c r="BB180" i="6"/>
  <c r="BN180" i="6"/>
  <c r="BC180" i="6"/>
  <c r="AZ180" i="6"/>
  <c r="CA179" i="6"/>
  <c r="DO179" i="6" a="1"/>
  <c r="DO179" i="6" s="1"/>
  <c r="DC179" i="6" a="1"/>
  <c r="DC179" i="6" s="1"/>
  <c r="CW179" i="6" a="1"/>
  <c r="CW179" i="6" s="1"/>
  <c r="CF179" i="6"/>
  <c r="DN179" i="6" a="1"/>
  <c r="DN179" i="6" s="1"/>
  <c r="DF179" i="6" a="1"/>
  <c r="DF179" i="6" s="1"/>
  <c r="CN179" i="6"/>
  <c r="DG179" i="6" a="1"/>
  <c r="DG179" i="6" s="1"/>
  <c r="DS179" i="6" a="1"/>
  <c r="DS179" i="6" s="1"/>
  <c r="DA179" i="6" a="1"/>
  <c r="DA179" i="6" s="1"/>
  <c r="CL179" i="6"/>
  <c r="DE179" i="6" a="1"/>
  <c r="DE179" i="6" s="1"/>
  <c r="CJ179" i="6"/>
  <c r="CQ179" i="6"/>
  <c r="CD179" i="6"/>
  <c r="BU179" i="6"/>
  <c r="BS179" i="6"/>
  <c r="CG179" i="6"/>
  <c r="BX179" i="6"/>
  <c r="DB179" i="6" a="1"/>
  <c r="DB179" i="6" s="1"/>
  <c r="CY179" i="6" a="1"/>
  <c r="CY179" i="6" s="1"/>
  <c r="DQ179" i="6" a="1"/>
  <c r="DQ179" i="6" s="1"/>
  <c r="DI179" i="6" a="1"/>
  <c r="DI179" i="6" s="1"/>
  <c r="BW179" i="6"/>
  <c r="BN179" i="6"/>
  <c r="BZ179" i="6"/>
  <c r="CT179" i="6" a="1"/>
  <c r="CT179" i="6" s="1"/>
  <c r="CI179" i="6"/>
  <c r="CO179" i="6"/>
  <c r="DM179" i="6" a="1"/>
  <c r="DM179" i="6" s="1"/>
  <c r="CM179" i="6"/>
  <c r="DH179" i="6" a="1"/>
  <c r="DH179" i="6" s="1"/>
  <c r="BT179" i="6"/>
  <c r="CH179" i="6"/>
  <c r="BP179" i="6"/>
  <c r="CE179" i="6"/>
  <c r="BQ179" i="6"/>
  <c r="CU179" i="6" a="1"/>
  <c r="CU179" i="6" s="1"/>
  <c r="DR179" i="6" a="1"/>
  <c r="DR179" i="6" s="1"/>
  <c r="CV179" i="6" a="1"/>
  <c r="CV179" i="6" s="1"/>
  <c r="BL179" i="6"/>
  <c r="BO179" i="6"/>
  <c r="BM179" i="6"/>
  <c r="CK179" i="6"/>
  <c r="BY179" i="6"/>
  <c r="BV179" i="6"/>
  <c r="DJ179" i="6" a="1"/>
  <c r="DJ179" i="6" s="1"/>
  <c r="CC179" i="6"/>
  <c r="DL179" i="6" a="1"/>
  <c r="DL179" i="6" s="1"/>
  <c r="CP179" i="6"/>
  <c r="CB179" i="6"/>
  <c r="CX179" i="6" a="1"/>
  <c r="CX179" i="6" s="1"/>
  <c r="DK179" i="6" a="1"/>
  <c r="DK179" i="6" s="1"/>
  <c r="CR179" i="6"/>
  <c r="DP179" i="6" a="1"/>
  <c r="DP179" i="6" s="1"/>
  <c r="DD179" i="6" a="1"/>
  <c r="DD179" i="6" s="1"/>
  <c r="CZ179" i="6" a="1"/>
  <c r="CZ179" i="6" s="1"/>
  <c r="L181" i="12" a="1"/>
  <c r="L181" i="12" s="1"/>
  <c r="J181" i="12" a="1"/>
  <c r="J181" i="12" s="1"/>
  <c r="A181" i="6"/>
  <c r="D182" i="5"/>
  <c r="B182" i="12" s="1"/>
  <c r="B182" i="5"/>
  <c r="H182" i="5"/>
  <c r="B182" i="6"/>
  <c r="F182" i="5"/>
  <c r="N182" i="5"/>
  <c r="D182" i="6" s="1"/>
  <c r="H182" i="6" s="1" a="1"/>
  <c r="H182" i="6" s="1"/>
  <c r="T182" i="5" s="1"/>
  <c r="G182" i="12" s="1" a="1"/>
  <c r="G182" i="12" s="1"/>
  <c r="J182" i="5"/>
  <c r="C183" i="5"/>
  <c r="A182" i="12"/>
  <c r="E182" i="5"/>
  <c r="AD182" i="5"/>
  <c r="AE182" i="5" a="1"/>
  <c r="AE182" i="5" s="1"/>
  <c r="K182" i="5"/>
  <c r="G182" i="5"/>
  <c r="L189" i="6"/>
  <c r="F188" i="6"/>
  <c r="L182" i="12" l="1" a="1"/>
  <c r="L182" i="12" s="1"/>
  <c r="J182" i="12" a="1"/>
  <c r="J182" i="12" s="1"/>
  <c r="H183" i="5"/>
  <c r="F183" i="5"/>
  <c r="C184" i="5"/>
  <c r="AD183" i="5"/>
  <c r="A183" i="12"/>
  <c r="N183" i="5"/>
  <c r="D183" i="6" s="1"/>
  <c r="H183" i="6" s="1" a="1"/>
  <c r="H183" i="6" s="1"/>
  <c r="T183" i="5" s="1"/>
  <c r="G183" i="12" s="1" a="1"/>
  <c r="G183" i="12" s="1"/>
  <c r="B183" i="6"/>
  <c r="AE183" i="5" a="1"/>
  <c r="AE183" i="5" s="1"/>
  <c r="K183" i="5"/>
  <c r="D183" i="5"/>
  <c r="B183" i="12" s="1"/>
  <c r="G183" i="5"/>
  <c r="B183" i="5"/>
  <c r="J183" i="5"/>
  <c r="E183" i="5"/>
  <c r="N181" i="6"/>
  <c r="M181" i="6"/>
  <c r="K181" i="12"/>
  <c r="A182" i="6"/>
  <c r="L190" i="6"/>
  <c r="N184" i="5" l="1"/>
  <c r="D184" i="6" s="1"/>
  <c r="H184" i="6" s="1" a="1"/>
  <c r="H184" i="6" s="1"/>
  <c r="T184" i="5" s="1"/>
  <c r="G184" i="12" s="1" a="1"/>
  <c r="G184" i="12" s="1"/>
  <c r="E184" i="5"/>
  <c r="G184" i="5"/>
  <c r="B184" i="5"/>
  <c r="B184" i="6"/>
  <c r="C185" i="5"/>
  <c r="K184" i="5"/>
  <c r="F184" i="5"/>
  <c r="A184" i="12"/>
  <c r="D184" i="5"/>
  <c r="B184" i="12" s="1"/>
  <c r="J184" i="5"/>
  <c r="H184" i="5"/>
  <c r="AE184" i="5" a="1"/>
  <c r="AE184" i="5" s="1"/>
  <c r="AD184" i="5"/>
  <c r="J183" i="12" a="1"/>
  <c r="J183" i="12" s="1"/>
  <c r="L183" i="12" a="1"/>
  <c r="L183" i="12" s="1"/>
  <c r="N182" i="6"/>
  <c r="M182" i="6"/>
  <c r="CJ181" i="6"/>
  <c r="DJ181" i="6" a="1"/>
  <c r="DJ181" i="6" s="1"/>
  <c r="CA181" i="6"/>
  <c r="CN181" i="6"/>
  <c r="CC181" i="6"/>
  <c r="DH181" i="6" a="1"/>
  <c r="DH181" i="6" s="1"/>
  <c r="BT181" i="6"/>
  <c r="DM181" i="6" a="1"/>
  <c r="DM181" i="6" s="1"/>
  <c r="CX181" i="6" a="1"/>
  <c r="CX181" i="6" s="1"/>
  <c r="DE181" i="6" a="1"/>
  <c r="DE181" i="6" s="1"/>
  <c r="CD181" i="6"/>
  <c r="BS181" i="6"/>
  <c r="DR181" i="6" a="1"/>
  <c r="DR181" i="6" s="1"/>
  <c r="CP181" i="6"/>
  <c r="DK181" i="6" a="1"/>
  <c r="DK181" i="6" s="1"/>
  <c r="CH181" i="6"/>
  <c r="DQ181" i="6" a="1"/>
  <c r="DQ181" i="6" s="1"/>
  <c r="CZ181" i="6" a="1"/>
  <c r="CZ181" i="6" s="1"/>
  <c r="DC181" i="6" a="1"/>
  <c r="DC181" i="6" s="1"/>
  <c r="CB181" i="6"/>
  <c r="DB181" i="6" a="1"/>
  <c r="DB181" i="6" s="1"/>
  <c r="BQ181" i="6"/>
  <c r="DG181" i="6" a="1"/>
  <c r="DG181" i="6" s="1"/>
  <c r="BO181" i="6"/>
  <c r="DI181" i="6" a="1"/>
  <c r="DI181" i="6" s="1"/>
  <c r="CW181" i="6" a="1"/>
  <c r="CW181" i="6" s="1"/>
  <c r="BM181" i="6"/>
  <c r="BV181" i="6"/>
  <c r="CO181" i="6"/>
  <c r="CR181" i="6"/>
  <c r="BW181" i="6"/>
  <c r="CM181" i="6"/>
  <c r="CK181" i="6"/>
  <c r="CT181" i="6" a="1"/>
  <c r="CT181" i="6" s="1"/>
  <c r="CY181" i="6" a="1"/>
  <c r="CY181" i="6" s="1"/>
  <c r="CU181" i="6" a="1"/>
  <c r="CU181" i="6" s="1"/>
  <c r="DL181" i="6" a="1"/>
  <c r="DL181" i="6" s="1"/>
  <c r="CE181" i="6"/>
  <c r="CI181" i="6"/>
  <c r="BN181" i="6"/>
  <c r="BU181" i="6"/>
  <c r="BX181" i="6"/>
  <c r="DS181" i="6" a="1"/>
  <c r="DS181" i="6" s="1"/>
  <c r="CG181" i="6"/>
  <c r="DA181" i="6" a="1"/>
  <c r="DA181" i="6" s="1"/>
  <c r="DO181" i="6" a="1"/>
  <c r="DO181" i="6" s="1"/>
  <c r="BP181" i="6"/>
  <c r="DD181" i="6" a="1"/>
  <c r="DD181" i="6" s="1"/>
  <c r="DF181" i="6" a="1"/>
  <c r="DF181" i="6" s="1"/>
  <c r="CV181" i="6" a="1"/>
  <c r="CV181" i="6" s="1"/>
  <c r="BY181" i="6"/>
  <c r="DP181" i="6" a="1"/>
  <c r="DP181" i="6" s="1"/>
  <c r="CL181" i="6"/>
  <c r="BZ181" i="6"/>
  <c r="DN181" i="6" a="1"/>
  <c r="DN181" i="6" s="1"/>
  <c r="BL181" i="6"/>
  <c r="CQ181" i="6"/>
  <c r="CF181" i="6"/>
  <c r="A183" i="6"/>
  <c r="N183" i="6" s="1"/>
  <c r="K182" i="12"/>
  <c r="L191" i="6"/>
  <c r="K183" i="12" l="1"/>
  <c r="D185" i="5"/>
  <c r="B185" i="12" s="1"/>
  <c r="AD185" i="5"/>
  <c r="H185" i="5"/>
  <c r="E185" i="5"/>
  <c r="N185" i="5"/>
  <c r="D185" i="6" s="1"/>
  <c r="H185" i="6" s="1" a="1"/>
  <c r="H185" i="6" s="1"/>
  <c r="T185" i="5" s="1"/>
  <c r="G185" i="12" s="1" a="1"/>
  <c r="G185" i="12" s="1"/>
  <c r="B185" i="5"/>
  <c r="J185" i="5"/>
  <c r="K185" i="5"/>
  <c r="AE185" i="5" a="1"/>
  <c r="AE185" i="5" s="1"/>
  <c r="F185" i="5"/>
  <c r="A185" i="12"/>
  <c r="C186" i="5"/>
  <c r="G185" i="5"/>
  <c r="B185" i="6"/>
  <c r="A184" i="6"/>
  <c r="DI182" i="6" a="1"/>
  <c r="DI182" i="6" s="1"/>
  <c r="BS182" i="6"/>
  <c r="CB182" i="6"/>
  <c r="CH182" i="6"/>
  <c r="BW182" i="6"/>
  <c r="CZ182" i="6" a="1"/>
  <c r="CZ182" i="6" s="1"/>
  <c r="CQ182" i="6"/>
  <c r="BM182" i="6"/>
  <c r="CL182" i="6"/>
  <c r="CU182" i="6" a="1"/>
  <c r="CU182" i="6" s="1"/>
  <c r="CW182" i="6" a="1"/>
  <c r="CW182" i="6" s="1"/>
  <c r="CX182" i="6" a="1"/>
  <c r="CX182" i="6" s="1"/>
  <c r="DO182" i="6" a="1"/>
  <c r="DO182" i="6" s="1"/>
  <c r="BV182" i="6"/>
  <c r="BO182" i="6"/>
  <c r="BQ182" i="6"/>
  <c r="BU182" i="6"/>
  <c r="DS182" i="6" a="1"/>
  <c r="DS182" i="6" s="1"/>
  <c r="DR182" i="6" a="1"/>
  <c r="DR182" i="6" s="1"/>
  <c r="DA182" i="6" a="1"/>
  <c r="DA182" i="6" s="1"/>
  <c r="CO182" i="6"/>
  <c r="DF182" i="6" a="1"/>
  <c r="DF182" i="6" s="1"/>
  <c r="BZ182" i="6"/>
  <c r="DG182" i="6" a="1"/>
  <c r="DG182" i="6" s="1"/>
  <c r="CA182" i="6"/>
  <c r="CE182" i="6"/>
  <c r="DK182" i="6" a="1"/>
  <c r="DK182" i="6" s="1"/>
  <c r="DB182" i="6" a="1"/>
  <c r="DB182" i="6" s="1"/>
  <c r="CT182" i="6" a="1"/>
  <c r="CT182" i="6" s="1"/>
  <c r="BX182" i="6"/>
  <c r="DD182" i="6" a="1"/>
  <c r="DD182" i="6" s="1"/>
  <c r="CN182" i="6"/>
  <c r="BT182" i="6"/>
  <c r="BY182" i="6"/>
  <c r="DJ182" i="6" a="1"/>
  <c r="DJ182" i="6" s="1"/>
  <c r="DM182" i="6" a="1"/>
  <c r="DM182" i="6" s="1"/>
  <c r="DE182" i="6" a="1"/>
  <c r="DE182" i="6" s="1"/>
  <c r="CD182" i="6"/>
  <c r="CI182" i="6"/>
  <c r="CG182" i="6"/>
  <c r="CP182" i="6"/>
  <c r="CF182" i="6"/>
  <c r="DH182" i="6" a="1"/>
  <c r="DH182" i="6" s="1"/>
  <c r="CK182" i="6"/>
  <c r="DP182" i="6" a="1"/>
  <c r="DP182" i="6" s="1"/>
  <c r="CM182" i="6"/>
  <c r="DL182" i="6" a="1"/>
  <c r="DL182" i="6" s="1"/>
  <c r="BL182" i="6"/>
  <c r="DC182" i="6" a="1"/>
  <c r="DC182" i="6" s="1"/>
  <c r="CC182" i="6"/>
  <c r="BP182" i="6"/>
  <c r="CJ182" i="6"/>
  <c r="DN182" i="6" a="1"/>
  <c r="DN182" i="6" s="1"/>
  <c r="BN182" i="6"/>
  <c r="DQ182" i="6" a="1"/>
  <c r="DQ182" i="6" s="1"/>
  <c r="CY182" i="6" a="1"/>
  <c r="CY182" i="6" s="1"/>
  <c r="CR182" i="6"/>
  <c r="CV182" i="6" a="1"/>
  <c r="CV182" i="6" s="1"/>
  <c r="J184" i="12" a="1"/>
  <c r="J184" i="12" s="1"/>
  <c r="L184" i="12" a="1"/>
  <c r="L184" i="12" s="1"/>
  <c r="M183" i="6"/>
  <c r="L192" i="6"/>
  <c r="K184" i="12" l="1"/>
  <c r="N184" i="6"/>
  <c r="M184" i="6"/>
  <c r="A185" i="6"/>
  <c r="BW183" i="6"/>
  <c r="BT183" i="6"/>
  <c r="CI183" i="6"/>
  <c r="DE183" i="6" a="1"/>
  <c r="DE183" i="6" s="1"/>
  <c r="DI183" i="6" a="1"/>
  <c r="DI183" i="6" s="1"/>
  <c r="CH183" i="6"/>
  <c r="BM183" i="6"/>
  <c r="DJ183" i="6" a="1"/>
  <c r="DJ183" i="6" s="1"/>
  <c r="CO183" i="6"/>
  <c r="BQ183" i="6"/>
  <c r="DM183" i="6" a="1"/>
  <c r="DM183" i="6" s="1"/>
  <c r="DO183" i="6" a="1"/>
  <c r="DO183" i="6" s="1"/>
  <c r="DD183" i="6" a="1"/>
  <c r="DD183" i="6" s="1"/>
  <c r="DH183" i="6" a="1"/>
  <c r="DH183" i="6" s="1"/>
  <c r="CN183" i="6"/>
  <c r="BV183" i="6"/>
  <c r="BL183" i="6"/>
  <c r="CR183" i="6"/>
  <c r="BN183" i="6"/>
  <c r="CC183" i="6"/>
  <c r="DS183" i="6" a="1"/>
  <c r="DS183" i="6" s="1"/>
  <c r="CP183" i="6"/>
  <c r="BX183" i="6"/>
  <c r="CD183" i="6"/>
  <c r="CT183" i="6" a="1"/>
  <c r="CT183" i="6" s="1"/>
  <c r="DL183" i="6" a="1"/>
  <c r="DL183" i="6" s="1"/>
  <c r="DQ183" i="6" a="1"/>
  <c r="DQ183" i="6" s="1"/>
  <c r="CU183" i="6" a="1"/>
  <c r="CU183" i="6" s="1"/>
  <c r="BS183" i="6"/>
  <c r="DN183" i="6" a="1"/>
  <c r="DN183" i="6" s="1"/>
  <c r="BU183" i="6"/>
  <c r="CA183" i="6"/>
  <c r="CL183" i="6"/>
  <c r="BO183" i="6"/>
  <c r="CV183" i="6" a="1"/>
  <c r="CV183" i="6" s="1"/>
  <c r="DP183" i="6" a="1"/>
  <c r="DP183" i="6" s="1"/>
  <c r="CJ183" i="6"/>
  <c r="BP183" i="6"/>
  <c r="DC183" i="6" a="1"/>
  <c r="DC183" i="6" s="1"/>
  <c r="CW183" i="6" a="1"/>
  <c r="CW183" i="6" s="1"/>
  <c r="CK183" i="6"/>
  <c r="DF183" i="6" a="1"/>
  <c r="DF183" i="6" s="1"/>
  <c r="CB183" i="6"/>
  <c r="CG183" i="6"/>
  <c r="CZ183" i="6" a="1"/>
  <c r="CZ183" i="6" s="1"/>
  <c r="BY183" i="6"/>
  <c r="CF183" i="6"/>
  <c r="CQ183" i="6"/>
  <c r="DA183" i="6" a="1"/>
  <c r="DA183" i="6" s="1"/>
  <c r="CE183" i="6"/>
  <c r="DK183" i="6" a="1"/>
  <c r="DK183" i="6" s="1"/>
  <c r="CY183" i="6" a="1"/>
  <c r="CY183" i="6" s="1"/>
  <c r="DR183" i="6" a="1"/>
  <c r="DR183" i="6" s="1"/>
  <c r="DG183" i="6" a="1"/>
  <c r="DG183" i="6" s="1"/>
  <c r="DB183" i="6" a="1"/>
  <c r="DB183" i="6" s="1"/>
  <c r="CM183" i="6"/>
  <c r="BZ183" i="6"/>
  <c r="CX183" i="6" a="1"/>
  <c r="CX183" i="6" s="1"/>
  <c r="B186" i="6"/>
  <c r="D186" i="5"/>
  <c r="B186" i="12" s="1"/>
  <c r="B186" i="5"/>
  <c r="J186" i="5"/>
  <c r="A186" i="12"/>
  <c r="AD186" i="5"/>
  <c r="H186" i="5"/>
  <c r="G186" i="5"/>
  <c r="N186" i="5"/>
  <c r="D186" i="6" s="1"/>
  <c r="H186" i="6" s="1" a="1"/>
  <c r="H186" i="6" s="1"/>
  <c r="T186" i="5" s="1"/>
  <c r="G186" i="12" s="1" a="1"/>
  <c r="G186" i="12" s="1"/>
  <c r="F186" i="5"/>
  <c r="C187" i="5"/>
  <c r="E186" i="5"/>
  <c r="AE186" i="5" a="1"/>
  <c r="AE186" i="5" s="1"/>
  <c r="K186" i="5"/>
  <c r="L185" i="12" a="1"/>
  <c r="L185" i="12" s="1"/>
  <c r="J185" i="12" a="1"/>
  <c r="J185" i="12" s="1"/>
  <c r="L193" i="6"/>
  <c r="G187" i="5" l="1"/>
  <c r="A187" i="12"/>
  <c r="AE187" i="5" a="1"/>
  <c r="AE187" i="5" s="1"/>
  <c r="K187" i="5"/>
  <c r="B187" i="5"/>
  <c r="C188" i="5" s="1"/>
  <c r="J187" i="5"/>
  <c r="F187" i="5"/>
  <c r="H187" i="5"/>
  <c r="N187" i="5"/>
  <c r="D187" i="6" s="1"/>
  <c r="H187" i="6" s="1" a="1"/>
  <c r="H187" i="6" s="1"/>
  <c r="T187" i="5" s="1"/>
  <c r="G187" i="12" s="1" a="1"/>
  <c r="G187" i="12" s="1"/>
  <c r="E187" i="5"/>
  <c r="AD187" i="5"/>
  <c r="D187" i="5"/>
  <c r="B187" i="12" s="1"/>
  <c r="B187" i="6"/>
  <c r="A186" i="6"/>
  <c r="N186" i="6" s="1"/>
  <c r="K185" i="12"/>
  <c r="M185" i="6"/>
  <c r="N185" i="6"/>
  <c r="DH184" i="6" a="1"/>
  <c r="DH184" i="6" s="1"/>
  <c r="CH184" i="6"/>
  <c r="CQ184" i="6"/>
  <c r="BY184" i="6"/>
  <c r="CM184" i="6"/>
  <c r="BW184" i="6"/>
  <c r="BS184" i="6"/>
  <c r="BL184" i="6"/>
  <c r="DE184" i="6" a="1"/>
  <c r="DE184" i="6" s="1"/>
  <c r="DL184" i="6" a="1"/>
  <c r="DL184" i="6" s="1"/>
  <c r="CJ184" i="6"/>
  <c r="CX184" i="6" a="1"/>
  <c r="CX184" i="6" s="1"/>
  <c r="BT184" i="6"/>
  <c r="CT184" i="6" a="1"/>
  <c r="CT184" i="6" s="1"/>
  <c r="CL184" i="6"/>
  <c r="DF184" i="6" a="1"/>
  <c r="DF184" i="6" s="1"/>
  <c r="DP184" i="6" a="1"/>
  <c r="DP184" i="6" s="1"/>
  <c r="DQ184" i="6" a="1"/>
  <c r="DQ184" i="6" s="1"/>
  <c r="BX184" i="6"/>
  <c r="DK184" i="6" a="1"/>
  <c r="DK184" i="6" s="1"/>
  <c r="BO184" i="6"/>
  <c r="CF184" i="6"/>
  <c r="CW184" i="6" a="1"/>
  <c r="CW184" i="6" s="1"/>
  <c r="CZ184" i="6" a="1"/>
  <c r="CZ184" i="6" s="1"/>
  <c r="CN184" i="6"/>
  <c r="DA184" i="6" a="1"/>
  <c r="DA184" i="6" s="1"/>
  <c r="CV184" i="6" a="1"/>
  <c r="CV184" i="6" s="1"/>
  <c r="CG184" i="6"/>
  <c r="CD184" i="6"/>
  <c r="CR184" i="6"/>
  <c r="CA184" i="6"/>
  <c r="CC184" i="6"/>
  <c r="BM184" i="6"/>
  <c r="CB184" i="6"/>
  <c r="DC184" i="6" a="1"/>
  <c r="DC184" i="6" s="1"/>
  <c r="DM184" i="6" a="1"/>
  <c r="DM184" i="6" s="1"/>
  <c r="CU184" i="6" a="1"/>
  <c r="CU184" i="6" s="1"/>
  <c r="DJ184" i="6" a="1"/>
  <c r="DJ184" i="6" s="1"/>
  <c r="DB184" i="6" a="1"/>
  <c r="DB184" i="6" s="1"/>
  <c r="BN184" i="6"/>
  <c r="DN184" i="6" a="1"/>
  <c r="DN184" i="6" s="1"/>
  <c r="BV184" i="6"/>
  <c r="CO184" i="6"/>
  <c r="DI184" i="6" a="1"/>
  <c r="DI184" i="6" s="1"/>
  <c r="DG184" i="6" a="1"/>
  <c r="DG184" i="6" s="1"/>
  <c r="BU184" i="6"/>
  <c r="BP184" i="6"/>
  <c r="BQ184" i="6"/>
  <c r="CY184" i="6" a="1"/>
  <c r="CY184" i="6" s="1"/>
  <c r="DO184" i="6" a="1"/>
  <c r="DO184" i="6" s="1"/>
  <c r="CP184" i="6"/>
  <c r="DR184" i="6" a="1"/>
  <c r="DR184" i="6" s="1"/>
  <c r="CE184" i="6"/>
  <c r="BZ184" i="6"/>
  <c r="CK184" i="6"/>
  <c r="DD184" i="6" a="1"/>
  <c r="DD184" i="6" s="1"/>
  <c r="CI184" i="6"/>
  <c r="DS184" i="6" a="1"/>
  <c r="DS184" i="6" s="1"/>
  <c r="J186" i="12" a="1"/>
  <c r="J186" i="12" s="1"/>
  <c r="L186" i="12" a="1"/>
  <c r="L186" i="12" s="1"/>
  <c r="L194" i="6"/>
  <c r="M186" i="6" l="1"/>
  <c r="BW186" i="6" s="1"/>
  <c r="K186" i="12"/>
  <c r="BU185" i="6"/>
  <c r="BP185" i="6"/>
  <c r="CH185" i="6"/>
  <c r="CR185" i="6"/>
  <c r="DA185" i="6" a="1"/>
  <c r="DA185" i="6" s="1"/>
  <c r="CU185" i="6" a="1"/>
  <c r="CU185" i="6" s="1"/>
  <c r="CO185" i="6"/>
  <c r="CF185" i="6"/>
  <c r="DH185" i="6" a="1"/>
  <c r="DH185" i="6" s="1"/>
  <c r="DQ185" i="6" a="1"/>
  <c r="DQ185" i="6" s="1"/>
  <c r="DS185" i="6" a="1"/>
  <c r="DS185" i="6" s="1"/>
  <c r="DC185" i="6" a="1"/>
  <c r="DC185" i="6" s="1"/>
  <c r="CT185" i="6" a="1"/>
  <c r="CT185" i="6" s="1"/>
  <c r="DD185" i="6" a="1"/>
  <c r="DD185" i="6" s="1"/>
  <c r="DK185" i="6" a="1"/>
  <c r="DK185" i="6" s="1"/>
  <c r="BY185" i="6"/>
  <c r="CL185" i="6"/>
  <c r="CB185" i="6"/>
  <c r="CY185" i="6" a="1"/>
  <c r="CY185" i="6" s="1"/>
  <c r="CI185" i="6"/>
  <c r="DL185" i="6" a="1"/>
  <c r="DL185" i="6" s="1"/>
  <c r="CM185" i="6"/>
  <c r="BS185" i="6"/>
  <c r="DR185" i="6" a="1"/>
  <c r="DR185" i="6" s="1"/>
  <c r="CG185" i="6"/>
  <c r="CA185" i="6"/>
  <c r="CZ185" i="6" a="1"/>
  <c r="CZ185" i="6" s="1"/>
  <c r="BM185" i="6"/>
  <c r="CN185" i="6"/>
  <c r="CV185" i="6" a="1"/>
  <c r="CV185" i="6" s="1"/>
  <c r="DN185" i="6" a="1"/>
  <c r="DN185" i="6" s="1"/>
  <c r="DJ185" i="6" a="1"/>
  <c r="DJ185" i="6" s="1"/>
  <c r="BX185" i="6"/>
  <c r="DE185" i="6" a="1"/>
  <c r="DE185" i="6" s="1"/>
  <c r="BT185" i="6"/>
  <c r="BV185" i="6"/>
  <c r="CK185" i="6"/>
  <c r="BW185" i="6"/>
  <c r="CW185" i="6" a="1"/>
  <c r="CW185" i="6" s="1"/>
  <c r="DM185" i="6" a="1"/>
  <c r="DM185" i="6" s="1"/>
  <c r="BO185" i="6"/>
  <c r="DF185" i="6" a="1"/>
  <c r="DF185" i="6" s="1"/>
  <c r="BZ185" i="6"/>
  <c r="DO185" i="6" a="1"/>
  <c r="DO185" i="6" s="1"/>
  <c r="DB185" i="6" a="1"/>
  <c r="DB185" i="6" s="1"/>
  <c r="CP185" i="6"/>
  <c r="CQ185" i="6"/>
  <c r="CE185" i="6"/>
  <c r="BQ185" i="6"/>
  <c r="CJ185" i="6"/>
  <c r="CX185" i="6" a="1"/>
  <c r="CX185" i="6" s="1"/>
  <c r="DI185" i="6" a="1"/>
  <c r="DI185" i="6" s="1"/>
  <c r="DP185" i="6" a="1"/>
  <c r="DP185" i="6" s="1"/>
  <c r="CD185" i="6"/>
  <c r="CC185" i="6"/>
  <c r="DG185" i="6" a="1"/>
  <c r="DG185" i="6" s="1"/>
  <c r="BL185" i="6"/>
  <c r="BN185" i="6"/>
  <c r="BM186" i="6"/>
  <c r="DH186" i="6" a="1"/>
  <c r="DH186" i="6" s="1"/>
  <c r="CC186" i="6"/>
  <c r="CG186" i="6"/>
  <c r="CT186" i="6" a="1"/>
  <c r="CT186" i="6" s="1"/>
  <c r="DE186" i="6" a="1"/>
  <c r="DE186" i="6" s="1"/>
  <c r="CH186" i="6"/>
  <c r="A187" i="6"/>
  <c r="E188" i="5"/>
  <c r="C189" i="5"/>
  <c r="F188" i="5"/>
  <c r="B188" i="5"/>
  <c r="AE188" i="5" a="1"/>
  <c r="AE188" i="5" s="1"/>
  <c r="I188" i="5"/>
  <c r="B188" i="6"/>
  <c r="A188" i="6" s="1"/>
  <c r="H188" i="5"/>
  <c r="AF188" i="5" a="1"/>
  <c r="AF188" i="5" s="1"/>
  <c r="AG188" i="5" s="1" a="1"/>
  <c r="AG188" i="5" s="1"/>
  <c r="U188" i="5" s="1"/>
  <c r="AN188" i="5" s="1" a="1"/>
  <c r="AN188" i="5" s="1"/>
  <c r="W188" i="5" a="1"/>
  <c r="W188" i="5" s="1"/>
  <c r="H188" i="12" s="1" a="1"/>
  <c r="H188" i="12" s="1"/>
  <c r="A188" i="12"/>
  <c r="AD188" i="5"/>
  <c r="G188" i="5"/>
  <c r="N188" i="5"/>
  <c r="D188" i="6" s="1"/>
  <c r="N188" i="6" s="1"/>
  <c r="CZ186" i="6" a="1"/>
  <c r="CZ186" i="6" s="1"/>
  <c r="BO186" i="6"/>
  <c r="DB186" i="6" a="1"/>
  <c r="DB186" i="6" s="1"/>
  <c r="CY186" i="6" a="1"/>
  <c r="CY186" i="6" s="1"/>
  <c r="CU186" i="6" a="1"/>
  <c r="CU186" i="6" s="1"/>
  <c r="DC186" i="6" a="1"/>
  <c r="DC186" i="6" s="1"/>
  <c r="CL186" i="6"/>
  <c r="DR186" i="6" a="1"/>
  <c r="DR186" i="6" s="1"/>
  <c r="DM186" i="6" a="1"/>
  <c r="DM186" i="6" s="1"/>
  <c r="DS186" i="6" a="1"/>
  <c r="DS186" i="6" s="1"/>
  <c r="BP186" i="6"/>
  <c r="CK186" i="6"/>
  <c r="BT186" i="6"/>
  <c r="CN186" i="6"/>
  <c r="BN186" i="6"/>
  <c r="DO186" i="6" a="1"/>
  <c r="DO186" i="6" s="1"/>
  <c r="DD186" i="6" a="1"/>
  <c r="DD186" i="6" s="1"/>
  <c r="BU186" i="6"/>
  <c r="CQ186" i="6"/>
  <c r="BY186" i="6"/>
  <c r="J187" i="12" a="1"/>
  <c r="J187" i="12" s="1"/>
  <c r="L187" i="12" a="1"/>
  <c r="L187" i="12" s="1"/>
  <c r="BL186" i="6"/>
  <c r="BS186" i="6"/>
  <c r="CB186" i="6"/>
  <c r="BZ186" i="6"/>
  <c r="DG186" i="6" a="1"/>
  <c r="DG186" i="6" s="1"/>
  <c r="CF186" i="6"/>
  <c r="L195" i="6"/>
  <c r="DN186" i="6" l="1" a="1"/>
  <c r="DN186" i="6" s="1"/>
  <c r="CR186" i="6"/>
  <c r="CW186" i="6" a="1"/>
  <c r="CW186" i="6" s="1"/>
  <c r="DI186" i="6" a="1"/>
  <c r="DI186" i="6" s="1"/>
  <c r="BX186" i="6"/>
  <c r="CI186" i="6"/>
  <c r="CP186" i="6"/>
  <c r="CA186" i="6"/>
  <c r="DQ186" i="6" a="1"/>
  <c r="DQ186" i="6" s="1"/>
  <c r="CE186" i="6"/>
  <c r="CO186" i="6"/>
  <c r="CV186" i="6" a="1"/>
  <c r="CV186" i="6" s="1"/>
  <c r="DA186" i="6" a="1"/>
  <c r="DA186" i="6" s="1"/>
  <c r="CX186" i="6" a="1"/>
  <c r="CX186" i="6" s="1"/>
  <c r="DK186" i="6" a="1"/>
  <c r="DK186" i="6" s="1"/>
  <c r="BQ186" i="6"/>
  <c r="DJ186" i="6" a="1"/>
  <c r="DJ186" i="6" s="1"/>
  <c r="BV186" i="6"/>
  <c r="DF186" i="6" a="1"/>
  <c r="DF186" i="6" s="1"/>
  <c r="CD186" i="6"/>
  <c r="CM186" i="6"/>
  <c r="DP186" i="6" a="1"/>
  <c r="DP186" i="6" s="1"/>
  <c r="CJ186" i="6"/>
  <c r="DL186" i="6" a="1"/>
  <c r="DL186" i="6" s="1"/>
  <c r="K187" i="12"/>
  <c r="M188" i="6"/>
  <c r="DA188" i="6" s="1" a="1"/>
  <c r="DA188" i="6" s="1"/>
  <c r="G188" i="6"/>
  <c r="H188" i="6" a="1"/>
  <c r="H188" i="6" s="1"/>
  <c r="T188" i="5" s="1"/>
  <c r="G188" i="12" s="1" a="1"/>
  <c r="G188" i="12" s="1"/>
  <c r="D189" i="5"/>
  <c r="B189" i="12" s="1"/>
  <c r="F189" i="5"/>
  <c r="C190" i="5"/>
  <c r="J189" i="5"/>
  <c r="G189" i="5"/>
  <c r="B189" i="5"/>
  <c r="E189" i="5"/>
  <c r="AD189" i="5"/>
  <c r="K189" i="5"/>
  <c r="N189" i="5"/>
  <c r="D189" i="6" s="1"/>
  <c r="H189" i="6" s="1" a="1"/>
  <c r="H189" i="6" s="1"/>
  <c r="T189" i="5" s="1"/>
  <c r="G189" i="12" s="1" a="1"/>
  <c r="G189" i="12" s="1"/>
  <c r="H189" i="5"/>
  <c r="AE189" i="5" a="1"/>
  <c r="AE189" i="5" s="1"/>
  <c r="A189" i="12"/>
  <c r="B189" i="6"/>
  <c r="M187" i="6"/>
  <c r="N187" i="6"/>
  <c r="L196" i="6"/>
  <c r="BX188" i="6" l="1"/>
  <c r="DK188" i="6" a="1"/>
  <c r="DK188" i="6" s="1"/>
  <c r="CL188" i="6"/>
  <c r="DF188" i="6" a="1"/>
  <c r="DF188" i="6" s="1"/>
  <c r="BW188" i="6"/>
  <c r="DN188" i="6" a="1"/>
  <c r="DN188" i="6" s="1"/>
  <c r="CR188" i="6"/>
  <c r="CH188" i="6"/>
  <c r="BT188" i="6"/>
  <c r="DD188" i="6" a="1"/>
  <c r="DD188" i="6" s="1"/>
  <c r="DH188" i="6" a="1"/>
  <c r="DH188" i="6" s="1"/>
  <c r="CD188" i="6"/>
  <c r="CY188" i="6" a="1"/>
  <c r="CY188" i="6" s="1"/>
  <c r="DC188" i="6" a="1"/>
  <c r="DC188" i="6" s="1"/>
  <c r="CV188" i="6" a="1"/>
  <c r="CV188" i="6" s="1"/>
  <c r="CB188" i="6"/>
  <c r="DO188" i="6" a="1"/>
  <c r="DO188" i="6" s="1"/>
  <c r="DL188" i="6" a="1"/>
  <c r="DL188" i="6" s="1"/>
  <c r="BY188" i="6"/>
  <c r="CZ188" i="6" a="1"/>
  <c r="CZ188" i="6" s="1"/>
  <c r="DQ188" i="6" a="1"/>
  <c r="DQ188" i="6" s="1"/>
  <c r="CK188" i="6"/>
  <c r="CW188" i="6" a="1"/>
  <c r="CW188" i="6" s="1"/>
  <c r="BV188" i="6"/>
  <c r="CU188" i="6" a="1"/>
  <c r="CU188" i="6" s="1"/>
  <c r="DB188" i="6" a="1"/>
  <c r="DB188" i="6" s="1"/>
  <c r="CJ188" i="6"/>
  <c r="CT188" i="6" a="1"/>
  <c r="CT188" i="6" s="1"/>
  <c r="BZ188" i="6"/>
  <c r="CO188" i="6"/>
  <c r="CC188" i="6"/>
  <c r="DJ188" i="6" a="1"/>
  <c r="DJ188" i="6" s="1"/>
  <c r="BU188" i="6"/>
  <c r="CP188" i="6"/>
  <c r="DG188" i="6" a="1"/>
  <c r="DG188" i="6" s="1"/>
  <c r="DE188" i="6" a="1"/>
  <c r="DE188" i="6" s="1"/>
  <c r="CE188" i="6"/>
  <c r="DS188" i="6" a="1"/>
  <c r="DS188" i="6" s="1"/>
  <c r="CI188" i="6"/>
  <c r="DM188" i="6" a="1"/>
  <c r="DM188" i="6" s="1"/>
  <c r="CM188" i="6"/>
  <c r="CQ188" i="6"/>
  <c r="BS188" i="6"/>
  <c r="CX188" i="6" a="1"/>
  <c r="CX188" i="6" s="1"/>
  <c r="CF188" i="6"/>
  <c r="CG188" i="6"/>
  <c r="DP188" i="6" a="1"/>
  <c r="DP188" i="6" s="1"/>
  <c r="DR188" i="6" a="1"/>
  <c r="DR188" i="6" s="1"/>
  <c r="AW188" i="6"/>
  <c r="BC188" i="6"/>
  <c r="BI188" i="6"/>
  <c r="AV188" i="6"/>
  <c r="BD188" i="6"/>
  <c r="CA188" i="6"/>
  <c r="AX188" i="6"/>
  <c r="BH188" i="6"/>
  <c r="BN188" i="6"/>
  <c r="AZ188" i="6"/>
  <c r="BL188" i="6"/>
  <c r="BB188" i="6"/>
  <c r="BJ188" i="6"/>
  <c r="CN188" i="6"/>
  <c r="DI188" i="6" a="1"/>
  <c r="DI188" i="6" s="1"/>
  <c r="BG188" i="6"/>
  <c r="BE188" i="6"/>
  <c r="AT188" i="6"/>
  <c r="AU188" i="6"/>
  <c r="AY188" i="6"/>
  <c r="BK188" i="6"/>
  <c r="BO188" i="6"/>
  <c r="BQ188" i="6"/>
  <c r="AR188" i="6"/>
  <c r="BP188" i="6"/>
  <c r="AS188" i="6"/>
  <c r="BA188" i="6"/>
  <c r="BF188" i="6"/>
  <c r="BM188" i="6"/>
  <c r="A189" i="6"/>
  <c r="N189" i="6" s="1"/>
  <c r="L189" i="12" a="1"/>
  <c r="L189" i="12" s="1"/>
  <c r="J189" i="12" a="1"/>
  <c r="J189" i="12" s="1"/>
  <c r="C191" i="5"/>
  <c r="B190" i="5"/>
  <c r="G190" i="5"/>
  <c r="B190" i="6"/>
  <c r="A190" i="12"/>
  <c r="E190" i="5"/>
  <c r="N190" i="5"/>
  <c r="D190" i="6" s="1"/>
  <c r="H190" i="6" s="1" a="1"/>
  <c r="H190" i="6" s="1"/>
  <c r="T190" i="5" s="1"/>
  <c r="G190" i="12" s="1" a="1"/>
  <c r="G190" i="12" s="1"/>
  <c r="D190" i="5"/>
  <c r="B190" i="12" s="1"/>
  <c r="H190" i="5"/>
  <c r="J190" i="5"/>
  <c r="K190" i="5"/>
  <c r="F190" i="5"/>
  <c r="AE190" i="5" a="1"/>
  <c r="AE190" i="5" s="1"/>
  <c r="AD190" i="5"/>
  <c r="DR187" i="6" a="1"/>
  <c r="DR187" i="6" s="1"/>
  <c r="DH187" i="6" a="1"/>
  <c r="DH187" i="6" s="1"/>
  <c r="CX187" i="6" a="1"/>
  <c r="CX187" i="6" s="1"/>
  <c r="BL187" i="6"/>
  <c r="CE187" i="6"/>
  <c r="DS187" i="6" a="1"/>
  <c r="DS187" i="6" s="1"/>
  <c r="CV187" i="6" a="1"/>
  <c r="CV187" i="6" s="1"/>
  <c r="CF187" i="6"/>
  <c r="DC187" i="6" a="1"/>
  <c r="DC187" i="6" s="1"/>
  <c r="CL187" i="6"/>
  <c r="DO187" i="6" a="1"/>
  <c r="DO187" i="6" s="1"/>
  <c r="CC187" i="6"/>
  <c r="DF187" i="6" a="1"/>
  <c r="DF187" i="6" s="1"/>
  <c r="BS187" i="6"/>
  <c r="BV187" i="6"/>
  <c r="BO187" i="6"/>
  <c r="DJ187" i="6" a="1"/>
  <c r="DJ187" i="6" s="1"/>
  <c r="BY187" i="6"/>
  <c r="DA187" i="6" a="1"/>
  <c r="DA187" i="6" s="1"/>
  <c r="DG187" i="6" a="1"/>
  <c r="DG187" i="6" s="1"/>
  <c r="CI187" i="6"/>
  <c r="BU187" i="6"/>
  <c r="DP187" i="6" a="1"/>
  <c r="DP187" i="6" s="1"/>
  <c r="DE187" i="6" a="1"/>
  <c r="DE187" i="6" s="1"/>
  <c r="CR187" i="6"/>
  <c r="CP187" i="6"/>
  <c r="DB187" i="6" a="1"/>
  <c r="DB187" i="6" s="1"/>
  <c r="DM187" i="6" a="1"/>
  <c r="DM187" i="6" s="1"/>
  <c r="BM187" i="6"/>
  <c r="BW187" i="6"/>
  <c r="CO187" i="6"/>
  <c r="BN187" i="6"/>
  <c r="CB187" i="6"/>
  <c r="DL187" i="6" a="1"/>
  <c r="DL187" i="6" s="1"/>
  <c r="DK187" i="6" a="1"/>
  <c r="DK187" i="6" s="1"/>
  <c r="CD187" i="6"/>
  <c r="CZ187" i="6" a="1"/>
  <c r="CZ187" i="6" s="1"/>
  <c r="BZ187" i="6"/>
  <c r="CQ187" i="6"/>
  <c r="CH187" i="6"/>
  <c r="CG187" i="6"/>
  <c r="CN187" i="6"/>
  <c r="CW187" i="6" a="1"/>
  <c r="CW187" i="6" s="1"/>
  <c r="BQ187" i="6"/>
  <c r="CY187" i="6" a="1"/>
  <c r="CY187" i="6" s="1"/>
  <c r="BP187" i="6"/>
  <c r="CM187" i="6"/>
  <c r="CT187" i="6" a="1"/>
  <c r="CT187" i="6" s="1"/>
  <c r="DD187" i="6" a="1"/>
  <c r="DD187" i="6" s="1"/>
  <c r="BT187" i="6"/>
  <c r="DN187" i="6" a="1"/>
  <c r="DN187" i="6" s="1"/>
  <c r="CU187" i="6" a="1"/>
  <c r="CU187" i="6" s="1"/>
  <c r="DI187" i="6" a="1"/>
  <c r="DI187" i="6" s="1"/>
  <c r="CK187" i="6"/>
  <c r="CA187" i="6"/>
  <c r="DQ187" i="6" a="1"/>
  <c r="DQ187" i="6" s="1"/>
  <c r="CJ187" i="6"/>
  <c r="BX187" i="6"/>
  <c r="L197" i="6"/>
  <c r="A190" i="6" l="1"/>
  <c r="N190" i="6" s="1"/>
  <c r="M189" i="6"/>
  <c r="L190" i="12" a="1"/>
  <c r="L190" i="12" s="1"/>
  <c r="J190" i="12" a="1"/>
  <c r="J190" i="12" s="1"/>
  <c r="AD191" i="5"/>
  <c r="F191" i="5"/>
  <c r="B191" i="6"/>
  <c r="K191" i="5"/>
  <c r="C192" i="5"/>
  <c r="A191" i="12"/>
  <c r="E191" i="5"/>
  <c r="D191" i="5"/>
  <c r="B191" i="12" s="1"/>
  <c r="J191" i="5"/>
  <c r="N191" i="5"/>
  <c r="D191" i="6" s="1"/>
  <c r="H191" i="6" s="1" a="1"/>
  <c r="H191" i="6" s="1"/>
  <c r="T191" i="5" s="1"/>
  <c r="G191" i="12" s="1" a="1"/>
  <c r="G191" i="12" s="1"/>
  <c r="AE191" i="5" a="1"/>
  <c r="AE191" i="5" s="1"/>
  <c r="B191" i="5"/>
  <c r="G191" i="5"/>
  <c r="H191" i="5"/>
  <c r="K189" i="12"/>
  <c r="L198" i="6"/>
  <c r="CI189" i="6" l="1"/>
  <c r="M190" i="6"/>
  <c r="DD190" i="6" s="1" a="1"/>
  <c r="DD190" i="6" s="1"/>
  <c r="DQ189" i="6" a="1"/>
  <c r="DQ189" i="6" s="1"/>
  <c r="CA189" i="6"/>
  <c r="DH189" i="6" a="1"/>
  <c r="DH189" i="6" s="1"/>
  <c r="CO189" i="6"/>
  <c r="BQ189" i="6"/>
  <c r="DF189" i="6" a="1"/>
  <c r="DF189" i="6" s="1"/>
  <c r="DD189" i="6" a="1"/>
  <c r="DD189" i="6" s="1"/>
  <c r="CQ189" i="6"/>
  <c r="DS189" i="6" a="1"/>
  <c r="DS189" i="6" s="1"/>
  <c r="CU189" i="6" a="1"/>
  <c r="CU189" i="6" s="1"/>
  <c r="CN189" i="6"/>
  <c r="BU189" i="6"/>
  <c r="BZ189" i="6"/>
  <c r="BT189" i="6"/>
  <c r="CT189" i="6" a="1"/>
  <c r="CT189" i="6" s="1"/>
  <c r="BL189" i="6"/>
  <c r="CM189" i="6"/>
  <c r="CX189" i="6" a="1"/>
  <c r="CX189" i="6" s="1"/>
  <c r="DC189" i="6" a="1"/>
  <c r="DC189" i="6" s="1"/>
  <c r="BP189" i="6"/>
  <c r="CE189" i="6"/>
  <c r="BV189" i="6"/>
  <c r="CC189" i="6"/>
  <c r="CG189" i="6"/>
  <c r="CW189" i="6" a="1"/>
  <c r="CW189" i="6" s="1"/>
  <c r="CB189" i="6"/>
  <c r="DA189" i="6" a="1"/>
  <c r="DA189" i="6" s="1"/>
  <c r="DM189" i="6" a="1"/>
  <c r="DM189" i="6" s="1"/>
  <c r="BO189" i="6"/>
  <c r="CK189" i="6"/>
  <c r="CV189" i="6" a="1"/>
  <c r="CV189" i="6" s="1"/>
  <c r="BW189" i="6"/>
  <c r="DJ189" i="6" a="1"/>
  <c r="DJ189" i="6" s="1"/>
  <c r="CZ189" i="6" a="1"/>
  <c r="CZ189" i="6" s="1"/>
  <c r="CR189" i="6"/>
  <c r="CY189" i="6" a="1"/>
  <c r="CY189" i="6" s="1"/>
  <c r="CD189" i="6"/>
  <c r="CL189" i="6"/>
  <c r="BS189" i="6"/>
  <c r="BY189" i="6"/>
  <c r="DB189" i="6" a="1"/>
  <c r="DB189" i="6" s="1"/>
  <c r="CH189" i="6"/>
  <c r="DR189" i="6" a="1"/>
  <c r="DR189" i="6" s="1"/>
  <c r="DE189" i="6" a="1"/>
  <c r="DE189" i="6" s="1"/>
  <c r="DP189" i="6" a="1"/>
  <c r="DP189" i="6" s="1"/>
  <c r="CP189" i="6"/>
  <c r="CJ189" i="6"/>
  <c r="BX189" i="6"/>
  <c r="DN189" i="6" a="1"/>
  <c r="DN189" i="6" s="1"/>
  <c r="DI189" i="6" a="1"/>
  <c r="DI189" i="6" s="1"/>
  <c r="DL189" i="6" a="1"/>
  <c r="DL189" i="6" s="1"/>
  <c r="DK189" i="6" a="1"/>
  <c r="DK189" i="6" s="1"/>
  <c r="CF189" i="6"/>
  <c r="BN189" i="6"/>
  <c r="DO189" i="6" a="1"/>
  <c r="DO189" i="6" s="1"/>
  <c r="DG189" i="6" a="1"/>
  <c r="DG189" i="6" s="1"/>
  <c r="BM189" i="6"/>
  <c r="A191" i="6"/>
  <c r="M191" i="6" s="1"/>
  <c r="J191" i="12" a="1"/>
  <c r="J191" i="12" s="1"/>
  <c r="L191" i="12" a="1"/>
  <c r="L191" i="12" s="1"/>
  <c r="K192" i="5"/>
  <c r="N192" i="5"/>
  <c r="D192" i="6" s="1"/>
  <c r="H192" i="6" s="1" a="1"/>
  <c r="H192" i="6" s="1"/>
  <c r="T192" i="5" s="1"/>
  <c r="G192" i="12" s="1" a="1"/>
  <c r="G192" i="12" s="1"/>
  <c r="AD192" i="5"/>
  <c r="F192" i="5"/>
  <c r="C193" i="5"/>
  <c r="A192" i="12"/>
  <c r="B192" i="5"/>
  <c r="D192" i="5"/>
  <c r="B192" i="12" s="1"/>
  <c r="H192" i="5"/>
  <c r="G192" i="5"/>
  <c r="B192" i="6"/>
  <c r="E192" i="5"/>
  <c r="J192" i="5"/>
  <c r="AE192" i="5" a="1"/>
  <c r="AE192" i="5" s="1"/>
  <c r="K190" i="12"/>
  <c r="L199" i="6"/>
  <c r="CD190" i="6" l="1"/>
  <c r="DR190" i="6" a="1"/>
  <c r="DR190" i="6" s="1"/>
  <c r="CQ190" i="6"/>
  <c r="CI190" i="6"/>
  <c r="BQ190" i="6"/>
  <c r="DF190" i="6" a="1"/>
  <c r="DF190" i="6" s="1"/>
  <c r="BS190" i="6"/>
  <c r="CK190" i="6"/>
  <c r="DE190" i="6" a="1"/>
  <c r="DE190" i="6" s="1"/>
  <c r="CN190" i="6"/>
  <c r="DS190" i="6" a="1"/>
  <c r="DS190" i="6" s="1"/>
  <c r="DQ190" i="6" a="1"/>
  <c r="DQ190" i="6" s="1"/>
  <c r="BZ190" i="6"/>
  <c r="CA190" i="6"/>
  <c r="DJ190" i="6" a="1"/>
  <c r="DJ190" i="6" s="1"/>
  <c r="CY190" i="6" a="1"/>
  <c r="CY190" i="6" s="1"/>
  <c r="CU190" i="6" a="1"/>
  <c r="CU190" i="6" s="1"/>
  <c r="BP190" i="6"/>
  <c r="BY190" i="6"/>
  <c r="CF190" i="6"/>
  <c r="CG190" i="6"/>
  <c r="CP190" i="6"/>
  <c r="CB190" i="6"/>
  <c r="CC190" i="6"/>
  <c r="BW190" i="6"/>
  <c r="DN190" i="6" a="1"/>
  <c r="DN190" i="6" s="1"/>
  <c r="CZ190" i="6" a="1"/>
  <c r="CZ190" i="6" s="1"/>
  <c r="CW190" i="6" a="1"/>
  <c r="CW190" i="6" s="1"/>
  <c r="BL190" i="6"/>
  <c r="DC190" i="6" a="1"/>
  <c r="DC190" i="6" s="1"/>
  <c r="BO190" i="6"/>
  <c r="CX190" i="6" a="1"/>
  <c r="CX190" i="6" s="1"/>
  <c r="BX190" i="6"/>
  <c r="DG190" i="6" a="1"/>
  <c r="DG190" i="6" s="1"/>
  <c r="CM190" i="6"/>
  <c r="BV190" i="6"/>
  <c r="DK190" i="6" a="1"/>
  <c r="DK190" i="6" s="1"/>
  <c r="DI190" i="6" a="1"/>
  <c r="DI190" i="6" s="1"/>
  <c r="DL190" i="6" a="1"/>
  <c r="DL190" i="6" s="1"/>
  <c r="CE190" i="6"/>
  <c r="CV190" i="6" a="1"/>
  <c r="CV190" i="6" s="1"/>
  <c r="CR190" i="6"/>
  <c r="DO190" i="6" a="1"/>
  <c r="DO190" i="6" s="1"/>
  <c r="DA190" i="6" a="1"/>
  <c r="DA190" i="6" s="1"/>
  <c r="BM190" i="6"/>
  <c r="CL190" i="6"/>
  <c r="DB190" i="6" a="1"/>
  <c r="DB190" i="6" s="1"/>
  <c r="DM190" i="6" a="1"/>
  <c r="DM190" i="6" s="1"/>
  <c r="BT190" i="6"/>
  <c r="DP190" i="6" a="1"/>
  <c r="DP190" i="6" s="1"/>
  <c r="DH190" i="6" a="1"/>
  <c r="DH190" i="6" s="1"/>
  <c r="CJ190" i="6"/>
  <c r="CT190" i="6" a="1"/>
  <c r="CT190" i="6" s="1"/>
  <c r="BU190" i="6"/>
  <c r="BN190" i="6"/>
  <c r="CO190" i="6"/>
  <c r="CH190" i="6"/>
  <c r="N191" i="6"/>
  <c r="CE191" i="6"/>
  <c r="DO191" i="6" a="1"/>
  <c r="DO191" i="6" s="1"/>
  <c r="BN191" i="6"/>
  <c r="DS191" i="6" a="1"/>
  <c r="DS191" i="6" s="1"/>
  <c r="BV191" i="6"/>
  <c r="CY191" i="6" a="1"/>
  <c r="CY191" i="6" s="1"/>
  <c r="DJ191" i="6" a="1"/>
  <c r="DJ191" i="6" s="1"/>
  <c r="CI191" i="6"/>
  <c r="DK191" i="6" a="1"/>
  <c r="DK191" i="6" s="1"/>
  <c r="DM191" i="6" a="1"/>
  <c r="DM191" i="6" s="1"/>
  <c r="CZ191" i="6" a="1"/>
  <c r="CZ191" i="6" s="1"/>
  <c r="DH191" i="6" a="1"/>
  <c r="DH191" i="6" s="1"/>
  <c r="DL191" i="6" a="1"/>
  <c r="DL191" i="6" s="1"/>
  <c r="CF191" i="6"/>
  <c r="DG191" i="6" a="1"/>
  <c r="DG191" i="6" s="1"/>
  <c r="BU191" i="6"/>
  <c r="K191" i="12"/>
  <c r="BS191" i="6"/>
  <c r="BL191" i="6"/>
  <c r="DA191" i="6" a="1"/>
  <c r="DA191" i="6" s="1"/>
  <c r="CH191" i="6"/>
  <c r="CD191" i="6"/>
  <c r="BZ191" i="6"/>
  <c r="DQ191" i="6" a="1"/>
  <c r="DQ191" i="6" s="1"/>
  <c r="CL191" i="6"/>
  <c r="DI191" i="6" a="1"/>
  <c r="DI191" i="6" s="1"/>
  <c r="CK191" i="6"/>
  <c r="CB191" i="6"/>
  <c r="CG191" i="6"/>
  <c r="A192" i="6"/>
  <c r="M192" i="6" s="1"/>
  <c r="BO191" i="6"/>
  <c r="BP191" i="6"/>
  <c r="DD191" i="6" a="1"/>
  <c r="DD191" i="6" s="1"/>
  <c r="CP191" i="6"/>
  <c r="DR191" i="6" a="1"/>
  <c r="DR191" i="6" s="1"/>
  <c r="CN191" i="6"/>
  <c r="BT191" i="6"/>
  <c r="BX191" i="6"/>
  <c r="BW191" i="6"/>
  <c r="CM191" i="6"/>
  <c r="CO191" i="6"/>
  <c r="CR191" i="6"/>
  <c r="CW191" i="6" a="1"/>
  <c r="CW191" i="6" s="1"/>
  <c r="CA191" i="6"/>
  <c r="DP191" i="6" a="1"/>
  <c r="DP191" i="6" s="1"/>
  <c r="DN191" i="6" a="1"/>
  <c r="DN191" i="6" s="1"/>
  <c r="CX191" i="6" a="1"/>
  <c r="CX191" i="6" s="1"/>
  <c r="CT191" i="6" a="1"/>
  <c r="CT191" i="6" s="1"/>
  <c r="DF191" i="6" a="1"/>
  <c r="DF191" i="6" s="1"/>
  <c r="DE191" i="6" a="1"/>
  <c r="DE191" i="6" s="1"/>
  <c r="BY191" i="6"/>
  <c r="CV191" i="6" a="1"/>
  <c r="CV191" i="6" s="1"/>
  <c r="DC191" i="6" a="1"/>
  <c r="DC191" i="6" s="1"/>
  <c r="BM191" i="6"/>
  <c r="CQ191" i="6"/>
  <c r="BQ191" i="6"/>
  <c r="CC191" i="6"/>
  <c r="DB191" i="6" a="1"/>
  <c r="DB191" i="6" s="1"/>
  <c r="CJ191" i="6"/>
  <c r="CU191" i="6" a="1"/>
  <c r="CU191" i="6" s="1"/>
  <c r="J192" i="12" a="1"/>
  <c r="J192" i="12" s="1"/>
  <c r="L192" i="12" a="1"/>
  <c r="L192" i="12" s="1"/>
  <c r="B193" i="6"/>
  <c r="AE193" i="5" a="1"/>
  <c r="AE193" i="5" s="1"/>
  <c r="K193" i="5"/>
  <c r="B193" i="5"/>
  <c r="F193" i="5"/>
  <c r="C194" i="5"/>
  <c r="E193" i="5"/>
  <c r="N193" i="5"/>
  <c r="D193" i="6" s="1"/>
  <c r="H193" i="6" s="1" a="1"/>
  <c r="H193" i="6" s="1"/>
  <c r="T193" i="5" s="1"/>
  <c r="G193" i="12" s="1" a="1"/>
  <c r="G193" i="12" s="1"/>
  <c r="H193" i="5"/>
  <c r="G193" i="5"/>
  <c r="AD193" i="5"/>
  <c r="J193" i="5"/>
  <c r="D193" i="5"/>
  <c r="B193" i="12" s="1"/>
  <c r="A193" i="12"/>
  <c r="L200" i="6"/>
  <c r="CU192" i="6" l="1" a="1"/>
  <c r="CU192" i="6" s="1"/>
  <c r="DF192" i="6" a="1"/>
  <c r="DF192" i="6" s="1"/>
  <c r="DA192" i="6" a="1"/>
  <c r="DA192" i="6" s="1"/>
  <c r="BO192" i="6"/>
  <c r="CC192" i="6"/>
  <c r="CF192" i="6"/>
  <c r="BU192" i="6"/>
  <c r="DC192" i="6" a="1"/>
  <c r="DC192" i="6" s="1"/>
  <c r="BY192" i="6"/>
  <c r="BW192" i="6"/>
  <c r="DE192" i="6" a="1"/>
  <c r="DE192" i="6" s="1"/>
  <c r="N192" i="6"/>
  <c r="DM192" i="6" a="1"/>
  <c r="DM192" i="6" s="1"/>
  <c r="CX192" i="6" a="1"/>
  <c r="CX192" i="6" s="1"/>
  <c r="BL192" i="6"/>
  <c r="CW192" i="6" a="1"/>
  <c r="CW192" i="6" s="1"/>
  <c r="BT192" i="6"/>
  <c r="DD192" i="6" a="1"/>
  <c r="DD192" i="6" s="1"/>
  <c r="CN192" i="6"/>
  <c r="CV192" i="6" a="1"/>
  <c r="CV192" i="6" s="1"/>
  <c r="CJ192" i="6"/>
  <c r="CE192" i="6"/>
  <c r="DJ192" i="6" a="1"/>
  <c r="DJ192" i="6" s="1"/>
  <c r="K192" i="12"/>
  <c r="DP192" i="6" a="1"/>
  <c r="DP192" i="6" s="1"/>
  <c r="DO192" i="6" a="1"/>
  <c r="DO192" i="6" s="1"/>
  <c r="CM192" i="6"/>
  <c r="CZ192" i="6" a="1"/>
  <c r="CZ192" i="6" s="1"/>
  <c r="CI192" i="6"/>
  <c r="BQ192" i="6"/>
  <c r="CG192" i="6"/>
  <c r="BV192" i="6"/>
  <c r="CL192" i="6"/>
  <c r="BP192" i="6"/>
  <c r="DB192" i="6" a="1"/>
  <c r="DB192" i="6" s="1"/>
  <c r="CO192" i="6"/>
  <c r="DH192" i="6" a="1"/>
  <c r="DH192" i="6" s="1"/>
  <c r="BX192" i="6"/>
  <c r="CD192" i="6"/>
  <c r="DS192" i="6" a="1"/>
  <c r="DS192" i="6" s="1"/>
  <c r="CB192" i="6"/>
  <c r="DK192" i="6" a="1"/>
  <c r="DK192" i="6" s="1"/>
  <c r="DL192" i="6" a="1"/>
  <c r="DL192" i="6" s="1"/>
  <c r="BN192" i="6"/>
  <c r="DG192" i="6" a="1"/>
  <c r="DG192" i="6" s="1"/>
  <c r="CP192" i="6"/>
  <c r="CT192" i="6" a="1"/>
  <c r="CT192" i="6" s="1"/>
  <c r="CH192" i="6"/>
  <c r="CA192" i="6"/>
  <c r="BZ192" i="6"/>
  <c r="DN192" i="6" a="1"/>
  <c r="DN192" i="6" s="1"/>
  <c r="BM192" i="6"/>
  <c r="CY192" i="6" a="1"/>
  <c r="CY192" i="6" s="1"/>
  <c r="DQ192" i="6" a="1"/>
  <c r="DQ192" i="6" s="1"/>
  <c r="CK192" i="6"/>
  <c r="DI192" i="6" a="1"/>
  <c r="DI192" i="6" s="1"/>
  <c r="BS192" i="6"/>
  <c r="DR192" i="6" a="1"/>
  <c r="DR192" i="6" s="1"/>
  <c r="CQ192" i="6"/>
  <c r="CR192" i="6"/>
  <c r="L193" i="12" a="1"/>
  <c r="L193" i="12" s="1"/>
  <c r="J193" i="12" a="1"/>
  <c r="J193" i="12" s="1"/>
  <c r="C195" i="5"/>
  <c r="D194" i="5"/>
  <c r="B194" i="12" s="1"/>
  <c r="AE194" i="5" a="1"/>
  <c r="AE194" i="5" s="1"/>
  <c r="B194" i="6"/>
  <c r="B194" i="5"/>
  <c r="E194" i="5"/>
  <c r="G194" i="5"/>
  <c r="J194" i="5"/>
  <c r="K194" i="5"/>
  <c r="N194" i="5"/>
  <c r="D194" i="6" s="1"/>
  <c r="H194" i="6" s="1" a="1"/>
  <c r="H194" i="6" s="1"/>
  <c r="T194" i="5" s="1"/>
  <c r="G194" i="12" s="1" a="1"/>
  <c r="G194" i="12" s="1"/>
  <c r="AD194" i="5"/>
  <c r="A194" i="12"/>
  <c r="H194" i="5"/>
  <c r="F194" i="5"/>
  <c r="A193" i="6"/>
  <c r="L201" i="6"/>
  <c r="K193" i="12" l="1"/>
  <c r="A194" i="6"/>
  <c r="M194" i="6" s="1"/>
  <c r="J194" i="12" a="1"/>
  <c r="J194" i="12" s="1"/>
  <c r="L194" i="12" a="1"/>
  <c r="L194" i="12" s="1"/>
  <c r="D195" i="5"/>
  <c r="B195" i="12" s="1"/>
  <c r="F195" i="5"/>
  <c r="B195" i="6"/>
  <c r="K195" i="5"/>
  <c r="N195" i="5"/>
  <c r="D195" i="6" s="1"/>
  <c r="H195" i="6" s="1" a="1"/>
  <c r="H195" i="6" s="1"/>
  <c r="T195" i="5" s="1"/>
  <c r="G195" i="12" s="1" a="1"/>
  <c r="G195" i="12" s="1"/>
  <c r="E195" i="5"/>
  <c r="B195" i="5"/>
  <c r="J195" i="5"/>
  <c r="H195" i="5"/>
  <c r="C196" i="5"/>
  <c r="AE195" i="5" a="1"/>
  <c r="AE195" i="5" s="1"/>
  <c r="A195" i="12"/>
  <c r="G195" i="5"/>
  <c r="AD195" i="5"/>
  <c r="M193" i="6"/>
  <c r="N193" i="6"/>
  <c r="L202" i="6"/>
  <c r="CT194" i="6" l="1" a="1"/>
  <c r="CT194" i="6" s="1"/>
  <c r="BT194" i="6"/>
  <c r="DO194" i="6" a="1"/>
  <c r="DO194" i="6" s="1"/>
  <c r="DH194" i="6" a="1"/>
  <c r="DH194" i="6" s="1"/>
  <c r="CP194" i="6"/>
  <c r="BW194" i="6"/>
  <c r="CM194" i="6"/>
  <c r="BU194" i="6"/>
  <c r="DB194" i="6" a="1"/>
  <c r="DB194" i="6" s="1"/>
  <c r="DI194" i="6" a="1"/>
  <c r="DI194" i="6" s="1"/>
  <c r="DA194" i="6" a="1"/>
  <c r="DA194" i="6" s="1"/>
  <c r="CI194" i="6"/>
  <c r="CQ194" i="6"/>
  <c r="CY194" i="6" a="1"/>
  <c r="CY194" i="6" s="1"/>
  <c r="BP194" i="6"/>
  <c r="DK194" i="6" a="1"/>
  <c r="DK194" i="6" s="1"/>
  <c r="DC194" i="6" a="1"/>
  <c r="DC194" i="6" s="1"/>
  <c r="BS194" i="6"/>
  <c r="CR194" i="6"/>
  <c r="BN194" i="6"/>
  <c r="CH194" i="6"/>
  <c r="CN194" i="6"/>
  <c r="CJ194" i="6"/>
  <c r="CF194" i="6"/>
  <c r="CW194" i="6" a="1"/>
  <c r="CW194" i="6" s="1"/>
  <c r="DJ194" i="6" a="1"/>
  <c r="DJ194" i="6" s="1"/>
  <c r="DE194" i="6" a="1"/>
  <c r="DE194" i="6" s="1"/>
  <c r="DQ194" i="6" a="1"/>
  <c r="DQ194" i="6" s="1"/>
  <c r="CC194" i="6"/>
  <c r="CU194" i="6" a="1"/>
  <c r="CU194" i="6" s="1"/>
  <c r="BY194" i="6"/>
  <c r="DF194" i="6" a="1"/>
  <c r="DF194" i="6" s="1"/>
  <c r="CO194" i="6"/>
  <c r="CB194" i="6"/>
  <c r="DN194" i="6" a="1"/>
  <c r="DN194" i="6" s="1"/>
  <c r="BL194" i="6"/>
  <c r="DS194" i="6" a="1"/>
  <c r="DS194" i="6" s="1"/>
  <c r="CD194" i="6"/>
  <c r="DP194" i="6" a="1"/>
  <c r="DP194" i="6" s="1"/>
  <c r="DR194" i="6" a="1"/>
  <c r="DR194" i="6" s="1"/>
  <c r="CG194" i="6"/>
  <c r="CZ194" i="6" a="1"/>
  <c r="CZ194" i="6" s="1"/>
  <c r="CX194" i="6" a="1"/>
  <c r="CX194" i="6" s="1"/>
  <c r="DL194" i="6" a="1"/>
  <c r="DL194" i="6" s="1"/>
  <c r="BX194" i="6"/>
  <c r="BM194" i="6"/>
  <c r="DG194" i="6" a="1"/>
  <c r="DG194" i="6" s="1"/>
  <c r="DD194" i="6" a="1"/>
  <c r="DD194" i="6" s="1"/>
  <c r="CA194" i="6"/>
  <c r="CV194" i="6" a="1"/>
  <c r="CV194" i="6" s="1"/>
  <c r="BZ194" i="6"/>
  <c r="CL194" i="6"/>
  <c r="BV194" i="6"/>
  <c r="BO194" i="6"/>
  <c r="CE194" i="6"/>
  <c r="CK194" i="6"/>
  <c r="DM194" i="6" a="1"/>
  <c r="DM194" i="6" s="1"/>
  <c r="BQ194" i="6"/>
  <c r="N194" i="6"/>
  <c r="J195" i="12" a="1"/>
  <c r="J195" i="12" s="1"/>
  <c r="L195" i="12" a="1"/>
  <c r="L195" i="12" s="1"/>
  <c r="A195" i="6"/>
  <c r="D196" i="5"/>
  <c r="B196" i="12" s="1"/>
  <c r="B196" i="5"/>
  <c r="AD196" i="5"/>
  <c r="F196" i="5"/>
  <c r="K196" i="5"/>
  <c r="J196" i="5"/>
  <c r="E196" i="5"/>
  <c r="G196" i="5"/>
  <c r="B196" i="6"/>
  <c r="A196" i="12"/>
  <c r="C197" i="5"/>
  <c r="AE196" i="5" a="1"/>
  <c r="AE196" i="5" s="1"/>
  <c r="N196" i="5"/>
  <c r="D196" i="6" s="1"/>
  <c r="H196" i="6" s="1" a="1"/>
  <c r="H196" i="6" s="1"/>
  <c r="T196" i="5" s="1"/>
  <c r="G196" i="12" s="1" a="1"/>
  <c r="G196" i="12" s="1"/>
  <c r="H196" i="5"/>
  <c r="K194" i="12"/>
  <c r="DC193" i="6" a="1"/>
  <c r="DC193" i="6" s="1"/>
  <c r="BT193" i="6"/>
  <c r="DI193" i="6" a="1"/>
  <c r="DI193" i="6" s="1"/>
  <c r="CA193" i="6"/>
  <c r="DS193" i="6" a="1"/>
  <c r="DS193" i="6" s="1"/>
  <c r="DP193" i="6" a="1"/>
  <c r="DP193" i="6" s="1"/>
  <c r="BX193" i="6"/>
  <c r="BQ193" i="6"/>
  <c r="BP193" i="6"/>
  <c r="CO193" i="6"/>
  <c r="CN193" i="6"/>
  <c r="CF193" i="6"/>
  <c r="CU193" i="6" a="1"/>
  <c r="CU193" i="6" s="1"/>
  <c r="CL193" i="6"/>
  <c r="DF193" i="6" a="1"/>
  <c r="DF193" i="6" s="1"/>
  <c r="DG193" i="6" a="1"/>
  <c r="DG193" i="6" s="1"/>
  <c r="CH193" i="6"/>
  <c r="BN193" i="6"/>
  <c r="CR193" i="6"/>
  <c r="CI193" i="6"/>
  <c r="CG193" i="6"/>
  <c r="DQ193" i="6" a="1"/>
  <c r="DQ193" i="6" s="1"/>
  <c r="DD193" i="6" a="1"/>
  <c r="DD193" i="6" s="1"/>
  <c r="DA193" i="6" a="1"/>
  <c r="DA193" i="6" s="1"/>
  <c r="DK193" i="6" a="1"/>
  <c r="DK193" i="6" s="1"/>
  <c r="BL193" i="6"/>
  <c r="DM193" i="6" a="1"/>
  <c r="DM193" i="6" s="1"/>
  <c r="CV193" i="6" a="1"/>
  <c r="CV193" i="6" s="1"/>
  <c r="DO193" i="6" a="1"/>
  <c r="DO193" i="6" s="1"/>
  <c r="CP193" i="6"/>
  <c r="BV193" i="6"/>
  <c r="BO193" i="6"/>
  <c r="CX193" i="6" a="1"/>
  <c r="CX193" i="6" s="1"/>
  <c r="BS193" i="6"/>
  <c r="DL193" i="6" a="1"/>
  <c r="DL193" i="6" s="1"/>
  <c r="CT193" i="6" a="1"/>
  <c r="CT193" i="6" s="1"/>
  <c r="CY193" i="6" a="1"/>
  <c r="CY193" i="6" s="1"/>
  <c r="DR193" i="6" a="1"/>
  <c r="DR193" i="6" s="1"/>
  <c r="BU193" i="6"/>
  <c r="BY193" i="6"/>
  <c r="DN193" i="6" a="1"/>
  <c r="DN193" i="6" s="1"/>
  <c r="DJ193" i="6" a="1"/>
  <c r="DJ193" i="6" s="1"/>
  <c r="CB193" i="6"/>
  <c r="CE193" i="6"/>
  <c r="CQ193" i="6"/>
  <c r="CM193" i="6"/>
  <c r="CZ193" i="6" a="1"/>
  <c r="CZ193" i="6" s="1"/>
  <c r="CJ193" i="6"/>
  <c r="CD193" i="6"/>
  <c r="CC193" i="6"/>
  <c r="BM193" i="6"/>
  <c r="BZ193" i="6"/>
  <c r="DH193" i="6" a="1"/>
  <c r="DH193" i="6" s="1"/>
  <c r="DB193" i="6" a="1"/>
  <c r="DB193" i="6" s="1"/>
  <c r="CW193" i="6" a="1"/>
  <c r="CW193" i="6" s="1"/>
  <c r="BW193" i="6"/>
  <c r="CK193" i="6"/>
  <c r="DE193" i="6" a="1"/>
  <c r="DE193" i="6" s="1"/>
  <c r="L203" i="6"/>
  <c r="K195" i="12" l="1"/>
  <c r="AD197" i="5"/>
  <c r="D197" i="5"/>
  <c r="B197" i="12" s="1"/>
  <c r="H197" i="5"/>
  <c r="B197" i="5"/>
  <c r="K197" i="5"/>
  <c r="G197" i="5"/>
  <c r="B197" i="6"/>
  <c r="F197" i="5"/>
  <c r="C198" i="5"/>
  <c r="AE197" i="5" a="1"/>
  <c r="AE197" i="5" s="1"/>
  <c r="N197" i="5"/>
  <c r="D197" i="6" s="1"/>
  <c r="H197" i="6" s="1" a="1"/>
  <c r="H197" i="6" s="1"/>
  <c r="T197" i="5" s="1"/>
  <c r="G197" i="12" s="1" a="1"/>
  <c r="G197" i="12" s="1"/>
  <c r="J197" i="5"/>
  <c r="A197" i="12"/>
  <c r="E197" i="5"/>
  <c r="L196" i="12" a="1"/>
  <c r="L196" i="12" s="1"/>
  <c r="J196" i="12" a="1"/>
  <c r="J196" i="12" s="1"/>
  <c r="A196" i="6"/>
  <c r="M195" i="6"/>
  <c r="N195" i="6"/>
  <c r="L204" i="6"/>
  <c r="F203" i="6"/>
  <c r="K196" i="12" l="1"/>
  <c r="A197" i="6"/>
  <c r="M197" i="6" s="1"/>
  <c r="DK197" i="6" s="1" a="1"/>
  <c r="DK197" i="6" s="1"/>
  <c r="J197" i="12" a="1"/>
  <c r="J197" i="12" s="1"/>
  <c r="L197" i="12" a="1"/>
  <c r="L197" i="12" s="1"/>
  <c r="CX195" i="6" a="1"/>
  <c r="CX195" i="6" s="1"/>
  <c r="CM195" i="6"/>
  <c r="CD195" i="6"/>
  <c r="DS195" i="6" a="1"/>
  <c r="DS195" i="6" s="1"/>
  <c r="CO195" i="6"/>
  <c r="BS195" i="6"/>
  <c r="BL195" i="6"/>
  <c r="DJ195" i="6" a="1"/>
  <c r="DJ195" i="6" s="1"/>
  <c r="CC195" i="6"/>
  <c r="BP195" i="6"/>
  <c r="CB195" i="6"/>
  <c r="CR195" i="6"/>
  <c r="DR195" i="6" a="1"/>
  <c r="DR195" i="6" s="1"/>
  <c r="DB195" i="6" a="1"/>
  <c r="DB195" i="6" s="1"/>
  <c r="DL195" i="6" a="1"/>
  <c r="DL195" i="6" s="1"/>
  <c r="CL195" i="6"/>
  <c r="BW195" i="6"/>
  <c r="DN195" i="6" a="1"/>
  <c r="DN195" i="6" s="1"/>
  <c r="DC195" i="6" a="1"/>
  <c r="DC195" i="6" s="1"/>
  <c r="DP195" i="6" a="1"/>
  <c r="DP195" i="6" s="1"/>
  <c r="BU195" i="6"/>
  <c r="BV195" i="6"/>
  <c r="DM195" i="6" a="1"/>
  <c r="DM195" i="6" s="1"/>
  <c r="BO195" i="6"/>
  <c r="CW195" i="6" a="1"/>
  <c r="CW195" i="6" s="1"/>
  <c r="DK195" i="6" a="1"/>
  <c r="DK195" i="6" s="1"/>
  <c r="CA195" i="6"/>
  <c r="DE195" i="6" a="1"/>
  <c r="DE195" i="6" s="1"/>
  <c r="CG195" i="6"/>
  <c r="DD195" i="6" a="1"/>
  <c r="DD195" i="6" s="1"/>
  <c r="CF195" i="6"/>
  <c r="BT195" i="6"/>
  <c r="CU195" i="6" a="1"/>
  <c r="CU195" i="6" s="1"/>
  <c r="DH195" i="6" a="1"/>
  <c r="DH195" i="6" s="1"/>
  <c r="CQ195" i="6"/>
  <c r="BX195" i="6"/>
  <c r="CJ195" i="6"/>
  <c r="BY195" i="6"/>
  <c r="CP195" i="6"/>
  <c r="CI195" i="6"/>
  <c r="BN195" i="6"/>
  <c r="CT195" i="6" a="1"/>
  <c r="CT195" i="6" s="1"/>
  <c r="DQ195" i="6" a="1"/>
  <c r="DQ195" i="6" s="1"/>
  <c r="CE195" i="6"/>
  <c r="BZ195" i="6"/>
  <c r="BQ195" i="6"/>
  <c r="DF195" i="6" a="1"/>
  <c r="DF195" i="6" s="1"/>
  <c r="CY195" i="6" a="1"/>
  <c r="CY195" i="6" s="1"/>
  <c r="CN195" i="6"/>
  <c r="CH195" i="6"/>
  <c r="DO195" i="6" a="1"/>
  <c r="DO195" i="6" s="1"/>
  <c r="DG195" i="6" a="1"/>
  <c r="DG195" i="6" s="1"/>
  <c r="CV195" i="6" a="1"/>
  <c r="CV195" i="6" s="1"/>
  <c r="CK195" i="6"/>
  <c r="CZ195" i="6" a="1"/>
  <c r="CZ195" i="6" s="1"/>
  <c r="DI195" i="6" a="1"/>
  <c r="DI195" i="6" s="1"/>
  <c r="BM195" i="6"/>
  <c r="DA195" i="6" a="1"/>
  <c r="DA195" i="6" s="1"/>
  <c r="N196" i="6"/>
  <c r="M196" i="6"/>
  <c r="B198" i="6"/>
  <c r="H198" i="5"/>
  <c r="E198" i="5"/>
  <c r="J198" i="5"/>
  <c r="C199" i="5"/>
  <c r="F198" i="5"/>
  <c r="D198" i="5"/>
  <c r="B198" i="12" s="1"/>
  <c r="A198" i="12"/>
  <c r="N198" i="5"/>
  <c r="D198" i="6" s="1"/>
  <c r="H198" i="6" s="1" a="1"/>
  <c r="H198" i="6" s="1"/>
  <c r="T198" i="5" s="1"/>
  <c r="G198" i="12" s="1" a="1"/>
  <c r="G198" i="12" s="1"/>
  <c r="G198" i="5"/>
  <c r="B198" i="5"/>
  <c r="K198" i="5"/>
  <c r="AD198" i="5"/>
  <c r="AE198" i="5" a="1"/>
  <c r="AE198" i="5" s="1"/>
  <c r="L205" i="6"/>
  <c r="F204" i="6"/>
  <c r="CZ197" i="6" l="1" a="1"/>
  <c r="CZ197" i="6" s="1"/>
  <c r="DN197" i="6" a="1"/>
  <c r="DN197" i="6" s="1"/>
  <c r="BW197" i="6"/>
  <c r="CX197" i="6" a="1"/>
  <c r="CX197" i="6" s="1"/>
  <c r="BQ197" i="6"/>
  <c r="CO197" i="6"/>
  <c r="DQ197" i="6" a="1"/>
  <c r="DQ197" i="6" s="1"/>
  <c r="BN197" i="6"/>
  <c r="CK197" i="6"/>
  <c r="CT197" i="6" a="1"/>
  <c r="CT197" i="6" s="1"/>
  <c r="CH197" i="6"/>
  <c r="BT197" i="6"/>
  <c r="DC197" i="6" a="1"/>
  <c r="DC197" i="6" s="1"/>
  <c r="DM197" i="6" a="1"/>
  <c r="DM197" i="6" s="1"/>
  <c r="CE197" i="6"/>
  <c r="BY197" i="6"/>
  <c r="CY197" i="6" a="1"/>
  <c r="CY197" i="6" s="1"/>
  <c r="BM197" i="6"/>
  <c r="DJ197" i="6" a="1"/>
  <c r="DJ197" i="6" s="1"/>
  <c r="DB197" i="6" a="1"/>
  <c r="DB197" i="6" s="1"/>
  <c r="DO197" i="6" a="1"/>
  <c r="DO197" i="6" s="1"/>
  <c r="CD197" i="6"/>
  <c r="BP197" i="6"/>
  <c r="DF197" i="6" a="1"/>
  <c r="DF197" i="6" s="1"/>
  <c r="DA197" i="6" a="1"/>
  <c r="DA197" i="6" s="1"/>
  <c r="DI197" i="6" a="1"/>
  <c r="DI197" i="6" s="1"/>
  <c r="CQ197" i="6"/>
  <c r="CJ197" i="6"/>
  <c r="DH197" i="6" a="1"/>
  <c r="DH197" i="6" s="1"/>
  <c r="CG197" i="6"/>
  <c r="CV197" i="6" a="1"/>
  <c r="CV197" i="6" s="1"/>
  <c r="CN197" i="6"/>
  <c r="CI197" i="6"/>
  <c r="CA197" i="6"/>
  <c r="BX197" i="6"/>
  <c r="DS197" i="6" a="1"/>
  <c r="DS197" i="6" s="1"/>
  <c r="DE197" i="6" a="1"/>
  <c r="DE197" i="6" s="1"/>
  <c r="CW197" i="6" a="1"/>
  <c r="CW197" i="6" s="1"/>
  <c r="DL197" i="6" a="1"/>
  <c r="DL197" i="6" s="1"/>
  <c r="BL197" i="6"/>
  <c r="BV197" i="6"/>
  <c r="CR197" i="6"/>
  <c r="CU197" i="6" a="1"/>
  <c r="CU197" i="6" s="1"/>
  <c r="CF197" i="6"/>
  <c r="BU197" i="6"/>
  <c r="DP197" i="6" a="1"/>
  <c r="DP197" i="6" s="1"/>
  <c r="CB197" i="6"/>
  <c r="BS197" i="6"/>
  <c r="DR197" i="6" a="1"/>
  <c r="DR197" i="6" s="1"/>
  <c r="CC197" i="6"/>
  <c r="BO197" i="6"/>
  <c r="DG197" i="6" a="1"/>
  <c r="DG197" i="6" s="1"/>
  <c r="CP197" i="6"/>
  <c r="BZ197" i="6"/>
  <c r="CL197" i="6"/>
  <c r="DD197" i="6" a="1"/>
  <c r="DD197" i="6" s="1"/>
  <c r="CM197" i="6"/>
  <c r="K197" i="12"/>
  <c r="N197" i="6"/>
  <c r="A198" i="6"/>
  <c r="M198" i="6" s="1"/>
  <c r="L198" i="12" a="1"/>
  <c r="L198" i="12" s="1"/>
  <c r="J198" i="12" a="1"/>
  <c r="J198" i="12" s="1"/>
  <c r="CW196" i="6" a="1"/>
  <c r="CW196" i="6" s="1"/>
  <c r="DL196" i="6" a="1"/>
  <c r="DL196" i="6" s="1"/>
  <c r="CL196" i="6"/>
  <c r="BT196" i="6"/>
  <c r="DC196" i="6" a="1"/>
  <c r="DC196" i="6" s="1"/>
  <c r="CH196" i="6"/>
  <c r="CB196" i="6"/>
  <c r="CX196" i="6" a="1"/>
  <c r="CX196" i="6" s="1"/>
  <c r="DF196" i="6" a="1"/>
  <c r="DF196" i="6" s="1"/>
  <c r="DQ196" i="6" a="1"/>
  <c r="DQ196" i="6" s="1"/>
  <c r="BW196" i="6"/>
  <c r="DK196" i="6" a="1"/>
  <c r="DK196" i="6" s="1"/>
  <c r="DB196" i="6" a="1"/>
  <c r="DB196" i="6" s="1"/>
  <c r="BO196" i="6"/>
  <c r="CE196" i="6"/>
  <c r="BL196" i="6"/>
  <c r="CP196" i="6"/>
  <c r="DO196" i="6" a="1"/>
  <c r="DO196" i="6" s="1"/>
  <c r="BS196" i="6"/>
  <c r="CY196" i="6" a="1"/>
  <c r="CY196" i="6" s="1"/>
  <c r="DJ196" i="6" a="1"/>
  <c r="DJ196" i="6" s="1"/>
  <c r="CT196" i="6" a="1"/>
  <c r="CT196" i="6" s="1"/>
  <c r="DE196" i="6" a="1"/>
  <c r="DE196" i="6" s="1"/>
  <c r="BM196" i="6"/>
  <c r="BY196" i="6"/>
  <c r="BP196" i="6"/>
  <c r="BQ196" i="6"/>
  <c r="CO196" i="6"/>
  <c r="BX196" i="6"/>
  <c r="CD196" i="6"/>
  <c r="BU196" i="6"/>
  <c r="CM196" i="6"/>
  <c r="CF196" i="6"/>
  <c r="DM196" i="6" a="1"/>
  <c r="DM196" i="6" s="1"/>
  <c r="CV196" i="6" a="1"/>
  <c r="CV196" i="6" s="1"/>
  <c r="DH196" i="6" a="1"/>
  <c r="DH196" i="6" s="1"/>
  <c r="CK196" i="6"/>
  <c r="DP196" i="6" a="1"/>
  <c r="DP196" i="6" s="1"/>
  <c r="DD196" i="6" a="1"/>
  <c r="DD196" i="6" s="1"/>
  <c r="BV196" i="6"/>
  <c r="DG196" i="6" a="1"/>
  <c r="DG196" i="6" s="1"/>
  <c r="CQ196" i="6"/>
  <c r="CG196" i="6"/>
  <c r="CC196" i="6"/>
  <c r="DN196" i="6" a="1"/>
  <c r="DN196" i="6" s="1"/>
  <c r="CN196" i="6"/>
  <c r="CZ196" i="6" a="1"/>
  <c r="CZ196" i="6" s="1"/>
  <c r="CR196" i="6"/>
  <c r="BZ196" i="6"/>
  <c r="DR196" i="6" a="1"/>
  <c r="DR196" i="6" s="1"/>
  <c r="CJ196" i="6"/>
  <c r="CI196" i="6"/>
  <c r="BN196" i="6"/>
  <c r="DA196" i="6" a="1"/>
  <c r="DA196" i="6" s="1"/>
  <c r="CU196" i="6" a="1"/>
  <c r="CU196" i="6" s="1"/>
  <c r="DS196" i="6" a="1"/>
  <c r="DS196" i="6" s="1"/>
  <c r="CA196" i="6"/>
  <c r="DI196" i="6" a="1"/>
  <c r="DI196" i="6" s="1"/>
  <c r="G199" i="5"/>
  <c r="E199" i="5"/>
  <c r="K199" i="5"/>
  <c r="B199" i="5"/>
  <c r="F199" i="5"/>
  <c r="AE199" i="5" a="1"/>
  <c r="AE199" i="5" s="1"/>
  <c r="N199" i="5"/>
  <c r="D199" i="6" s="1"/>
  <c r="H199" i="6" s="1" a="1"/>
  <c r="H199" i="6" s="1"/>
  <c r="T199" i="5" s="1"/>
  <c r="G199" i="12" s="1" a="1"/>
  <c r="G199" i="12" s="1"/>
  <c r="H199" i="5"/>
  <c r="AD199" i="5"/>
  <c r="D199" i="5"/>
  <c r="B199" i="12" s="1"/>
  <c r="J199" i="5"/>
  <c r="C200" i="5"/>
  <c r="A199" i="12"/>
  <c r="B199" i="6"/>
  <c r="L206" i="6"/>
  <c r="N198" i="6" l="1"/>
  <c r="A199" i="6"/>
  <c r="N199" i="6" s="1"/>
  <c r="CD198" i="6"/>
  <c r="CA198" i="6"/>
  <c r="CP198" i="6"/>
  <c r="DE198" i="6" a="1"/>
  <c r="DE198" i="6" s="1"/>
  <c r="BN198" i="6"/>
  <c r="CR198" i="6"/>
  <c r="DM198" i="6" a="1"/>
  <c r="DM198" i="6" s="1"/>
  <c r="BY198" i="6"/>
  <c r="BX198" i="6"/>
  <c r="DQ198" i="6" a="1"/>
  <c r="DQ198" i="6" s="1"/>
  <c r="DO198" i="6" a="1"/>
  <c r="DO198" i="6" s="1"/>
  <c r="CY198" i="6" a="1"/>
  <c r="CY198" i="6" s="1"/>
  <c r="DI198" i="6" a="1"/>
  <c r="DI198" i="6" s="1"/>
  <c r="BU198" i="6"/>
  <c r="CO198" i="6"/>
  <c r="BW198" i="6"/>
  <c r="BP198" i="6"/>
  <c r="DP198" i="6" a="1"/>
  <c r="DP198" i="6" s="1"/>
  <c r="DA198" i="6" a="1"/>
  <c r="DA198" i="6" s="1"/>
  <c r="CE198" i="6"/>
  <c r="BS198" i="6"/>
  <c r="DN198" i="6" a="1"/>
  <c r="DN198" i="6" s="1"/>
  <c r="CQ198" i="6"/>
  <c r="BZ198" i="6"/>
  <c r="DH198" i="6" a="1"/>
  <c r="DH198" i="6" s="1"/>
  <c r="CW198" i="6" a="1"/>
  <c r="CW198" i="6" s="1"/>
  <c r="CM198" i="6"/>
  <c r="DC198" i="6" a="1"/>
  <c r="DC198" i="6" s="1"/>
  <c r="CK198" i="6"/>
  <c r="CI198" i="6"/>
  <c r="DD198" i="6" a="1"/>
  <c r="DD198" i="6" s="1"/>
  <c r="DF198" i="6" a="1"/>
  <c r="DF198" i="6" s="1"/>
  <c r="CT198" i="6" a="1"/>
  <c r="CT198" i="6" s="1"/>
  <c r="CN198" i="6"/>
  <c r="CC198" i="6"/>
  <c r="CX198" i="6" a="1"/>
  <c r="CX198" i="6" s="1"/>
  <c r="CL198" i="6"/>
  <c r="DB198" i="6" a="1"/>
  <c r="DB198" i="6" s="1"/>
  <c r="CZ198" i="6" a="1"/>
  <c r="CZ198" i="6" s="1"/>
  <c r="DR198" i="6" a="1"/>
  <c r="DR198" i="6" s="1"/>
  <c r="CJ198" i="6"/>
  <c r="BM198" i="6"/>
  <c r="CF198" i="6"/>
  <c r="BV198" i="6"/>
  <c r="BT198" i="6"/>
  <c r="CV198" i="6" a="1"/>
  <c r="CV198" i="6" s="1"/>
  <c r="BO198" i="6"/>
  <c r="CB198" i="6"/>
  <c r="DG198" i="6" a="1"/>
  <c r="DG198" i="6" s="1"/>
  <c r="DS198" i="6" a="1"/>
  <c r="DS198" i="6" s="1"/>
  <c r="CU198" i="6" a="1"/>
  <c r="CU198" i="6" s="1"/>
  <c r="DL198" i="6" a="1"/>
  <c r="DL198" i="6" s="1"/>
  <c r="DK198" i="6" a="1"/>
  <c r="DK198" i="6" s="1"/>
  <c r="CH198" i="6"/>
  <c r="CG198" i="6"/>
  <c r="BL198" i="6"/>
  <c r="BQ198" i="6"/>
  <c r="DJ198" i="6" a="1"/>
  <c r="DJ198" i="6" s="1"/>
  <c r="J199" i="12" a="1"/>
  <c r="J199" i="12" s="1"/>
  <c r="L199" i="12" a="1"/>
  <c r="L199" i="12" s="1"/>
  <c r="K198" i="12"/>
  <c r="J200" i="5"/>
  <c r="A200" i="12"/>
  <c r="B200" i="5"/>
  <c r="D200" i="5"/>
  <c r="B200" i="12" s="1"/>
  <c r="N200" i="5"/>
  <c r="D200" i="6" s="1"/>
  <c r="H200" i="6" s="1" a="1"/>
  <c r="H200" i="6" s="1"/>
  <c r="T200" i="5" s="1"/>
  <c r="G200" i="12" s="1" a="1"/>
  <c r="G200" i="12" s="1"/>
  <c r="C201" i="5"/>
  <c r="AD200" i="5"/>
  <c r="AE200" i="5" a="1"/>
  <c r="AE200" i="5" s="1"/>
  <c r="G200" i="5"/>
  <c r="H200" i="5"/>
  <c r="F200" i="5"/>
  <c r="B200" i="6"/>
  <c r="K200" i="5"/>
  <c r="E200" i="5"/>
  <c r="L207" i="6"/>
  <c r="M199" i="6" l="1"/>
  <c r="K199" i="12"/>
  <c r="J200" i="12" a="1"/>
  <c r="J200" i="12" s="1"/>
  <c r="L200" i="12" a="1"/>
  <c r="L200" i="12" s="1"/>
  <c r="F201" i="5"/>
  <c r="D201" i="5"/>
  <c r="B201" i="12" s="1"/>
  <c r="K201" i="5"/>
  <c r="B201" i="5"/>
  <c r="A201" i="12"/>
  <c r="J201" i="5"/>
  <c r="AE201" i="5" a="1"/>
  <c r="AE201" i="5" s="1"/>
  <c r="N201" i="5"/>
  <c r="D201" i="6" s="1"/>
  <c r="H201" i="6" s="1" a="1"/>
  <c r="H201" i="6" s="1"/>
  <c r="T201" i="5" s="1"/>
  <c r="G201" i="12" s="1" a="1"/>
  <c r="G201" i="12" s="1"/>
  <c r="B201" i="6"/>
  <c r="H201" i="5"/>
  <c r="E201" i="5"/>
  <c r="G201" i="5"/>
  <c r="AD201" i="5"/>
  <c r="C202" i="5"/>
  <c r="A200" i="6"/>
  <c r="L208" i="6"/>
  <c r="DK199" i="6" l="1" a="1"/>
  <c r="DK199" i="6" s="1"/>
  <c r="CN199" i="6"/>
  <c r="CE199" i="6"/>
  <c r="CP199" i="6"/>
  <c r="DG199" i="6" a="1"/>
  <c r="DG199" i="6" s="1"/>
  <c r="CI199" i="6"/>
  <c r="DN199" i="6" a="1"/>
  <c r="DN199" i="6" s="1"/>
  <c r="BW199" i="6"/>
  <c r="BN199" i="6"/>
  <c r="BX199" i="6"/>
  <c r="DP199" i="6" a="1"/>
  <c r="DP199" i="6" s="1"/>
  <c r="CH199" i="6"/>
  <c r="DD199" i="6" a="1"/>
  <c r="DD199" i="6" s="1"/>
  <c r="CB199" i="6"/>
  <c r="CC199" i="6"/>
  <c r="BY199" i="6"/>
  <c r="BL199" i="6"/>
  <c r="CO199" i="6"/>
  <c r="DC199" i="6" a="1"/>
  <c r="DC199" i="6" s="1"/>
  <c r="BU199" i="6"/>
  <c r="CA199" i="6"/>
  <c r="BV199" i="6"/>
  <c r="CF199" i="6"/>
  <c r="CU199" i="6" a="1"/>
  <c r="CU199" i="6" s="1"/>
  <c r="BP199" i="6"/>
  <c r="DH199" i="6" a="1"/>
  <c r="DH199" i="6" s="1"/>
  <c r="DA199" i="6" a="1"/>
  <c r="DA199" i="6" s="1"/>
  <c r="BM199" i="6"/>
  <c r="DO199" i="6" a="1"/>
  <c r="DO199" i="6" s="1"/>
  <c r="CT199" i="6" a="1"/>
  <c r="CT199" i="6" s="1"/>
  <c r="CZ199" i="6" a="1"/>
  <c r="CZ199" i="6" s="1"/>
  <c r="DI199" i="6" a="1"/>
  <c r="DI199" i="6" s="1"/>
  <c r="DJ199" i="6" a="1"/>
  <c r="DJ199" i="6" s="1"/>
  <c r="CQ199" i="6"/>
  <c r="BO199" i="6"/>
  <c r="CG199" i="6"/>
  <c r="CY199" i="6" a="1"/>
  <c r="CY199" i="6" s="1"/>
  <c r="DL199" i="6" a="1"/>
  <c r="DL199" i="6" s="1"/>
  <c r="BQ199" i="6"/>
  <c r="CJ199" i="6"/>
  <c r="DR199" i="6" a="1"/>
  <c r="DR199" i="6" s="1"/>
  <c r="CR199" i="6"/>
  <c r="CW199" i="6" a="1"/>
  <c r="CW199" i="6" s="1"/>
  <c r="DS199" i="6" a="1"/>
  <c r="DS199" i="6" s="1"/>
  <c r="BS199" i="6"/>
  <c r="DF199" i="6" a="1"/>
  <c r="DF199" i="6" s="1"/>
  <c r="CL199" i="6"/>
  <c r="CK199" i="6"/>
  <c r="CD199" i="6"/>
  <c r="DQ199" i="6" a="1"/>
  <c r="DQ199" i="6" s="1"/>
  <c r="CV199" i="6" a="1"/>
  <c r="CV199" i="6" s="1"/>
  <c r="DM199" i="6" a="1"/>
  <c r="DM199" i="6" s="1"/>
  <c r="BT199" i="6"/>
  <c r="CM199" i="6"/>
  <c r="BZ199" i="6"/>
  <c r="DB199" i="6" a="1"/>
  <c r="DB199" i="6" s="1"/>
  <c r="DE199" i="6" a="1"/>
  <c r="DE199" i="6" s="1"/>
  <c r="CX199" i="6" a="1"/>
  <c r="CX199" i="6" s="1"/>
  <c r="A201" i="6"/>
  <c r="M200" i="6"/>
  <c r="N200" i="6"/>
  <c r="J202" i="5"/>
  <c r="D202" i="5"/>
  <c r="B202" i="12" s="1"/>
  <c r="A202" i="12"/>
  <c r="E202" i="5"/>
  <c r="AE202" i="5" a="1"/>
  <c r="AE202" i="5" s="1"/>
  <c r="N202" i="5"/>
  <c r="D202" i="6" s="1"/>
  <c r="H202" i="6" s="1" a="1"/>
  <c r="H202" i="6" s="1"/>
  <c r="T202" i="5" s="1"/>
  <c r="G202" i="12" s="1" a="1"/>
  <c r="G202" i="12" s="1"/>
  <c r="H202" i="5"/>
  <c r="F202" i="5"/>
  <c r="K202" i="5"/>
  <c r="B202" i="5"/>
  <c r="C203" i="5" s="1"/>
  <c r="AD202" i="5"/>
  <c r="B202" i="6"/>
  <c r="G202" i="5"/>
  <c r="J201" i="12" a="1"/>
  <c r="J201" i="12" s="1"/>
  <c r="L201" i="12" a="1"/>
  <c r="L201" i="12" s="1"/>
  <c r="K200" i="12"/>
  <c r="L209" i="6"/>
  <c r="K201" i="12" l="1"/>
  <c r="A202" i="6"/>
  <c r="M202" i="6" s="1"/>
  <c r="DD202" i="6" s="1" a="1"/>
  <c r="DD202" i="6" s="1"/>
  <c r="J202" i="12" a="1"/>
  <c r="J202" i="12" s="1"/>
  <c r="L202" i="12" a="1"/>
  <c r="L202" i="12" s="1"/>
  <c r="W203" i="5" a="1"/>
  <c r="W203" i="5" s="1"/>
  <c r="H203" i="12" s="1" a="1"/>
  <c r="H203" i="12" s="1"/>
  <c r="AD203" i="5"/>
  <c r="G203" i="5"/>
  <c r="H203" i="5"/>
  <c r="AE203" i="5" a="1"/>
  <c r="AE203" i="5" s="1"/>
  <c r="B203" i="5"/>
  <c r="C204" i="5" s="1"/>
  <c r="I203" i="5"/>
  <c r="E203" i="5"/>
  <c r="AF203" i="5" a="1"/>
  <c r="AF203" i="5" s="1"/>
  <c r="AG203" i="5" s="1" a="1"/>
  <c r="AG203" i="5" s="1"/>
  <c r="U203" i="5" s="1"/>
  <c r="AN203" i="5" s="1" a="1"/>
  <c r="AN203" i="5" s="1"/>
  <c r="N203" i="5"/>
  <c r="D203" i="6" s="1"/>
  <c r="N203" i="6" s="1"/>
  <c r="A203" i="12"/>
  <c r="B203" i="6"/>
  <c r="A203" i="6" s="1"/>
  <c r="F203" i="5"/>
  <c r="BY200" i="6"/>
  <c r="CD200" i="6"/>
  <c r="BT200" i="6"/>
  <c r="DA200" i="6" a="1"/>
  <c r="DA200" i="6" s="1"/>
  <c r="CF200" i="6"/>
  <c r="BM200" i="6"/>
  <c r="CI200" i="6"/>
  <c r="CM200" i="6"/>
  <c r="CO200" i="6"/>
  <c r="CN200" i="6"/>
  <c r="DR200" i="6" a="1"/>
  <c r="DR200" i="6" s="1"/>
  <c r="CV200" i="6" a="1"/>
  <c r="CV200" i="6" s="1"/>
  <c r="DP200" i="6" a="1"/>
  <c r="DP200" i="6" s="1"/>
  <c r="CW200" i="6" a="1"/>
  <c r="CW200" i="6" s="1"/>
  <c r="BS200" i="6"/>
  <c r="BX200" i="6"/>
  <c r="DC200" i="6" a="1"/>
  <c r="DC200" i="6" s="1"/>
  <c r="BQ200" i="6"/>
  <c r="CH200" i="6"/>
  <c r="DS200" i="6" a="1"/>
  <c r="DS200" i="6" s="1"/>
  <c r="BO200" i="6"/>
  <c r="DG200" i="6" a="1"/>
  <c r="DG200" i="6" s="1"/>
  <c r="DH200" i="6" a="1"/>
  <c r="DH200" i="6" s="1"/>
  <c r="DO200" i="6" a="1"/>
  <c r="DO200" i="6" s="1"/>
  <c r="DK200" i="6" a="1"/>
  <c r="DK200" i="6" s="1"/>
  <c r="CX200" i="6" a="1"/>
  <c r="CX200" i="6" s="1"/>
  <c r="DL200" i="6" a="1"/>
  <c r="DL200" i="6" s="1"/>
  <c r="CA200" i="6"/>
  <c r="DE200" i="6" a="1"/>
  <c r="DE200" i="6" s="1"/>
  <c r="CL200" i="6"/>
  <c r="DD200" i="6" a="1"/>
  <c r="DD200" i="6" s="1"/>
  <c r="CT200" i="6" a="1"/>
  <c r="CT200" i="6" s="1"/>
  <c r="CQ200" i="6"/>
  <c r="DB200" i="6" a="1"/>
  <c r="DB200" i="6" s="1"/>
  <c r="CJ200" i="6"/>
  <c r="BV200" i="6"/>
  <c r="CP200" i="6"/>
  <c r="CC200" i="6"/>
  <c r="CK200" i="6"/>
  <c r="BN200" i="6"/>
  <c r="DN200" i="6" a="1"/>
  <c r="DN200" i="6" s="1"/>
  <c r="CY200" i="6" a="1"/>
  <c r="CY200" i="6" s="1"/>
  <c r="BZ200" i="6"/>
  <c r="CG200" i="6"/>
  <c r="DI200" i="6" a="1"/>
  <c r="DI200" i="6" s="1"/>
  <c r="BW200" i="6"/>
  <c r="BU200" i="6"/>
  <c r="CU200" i="6" a="1"/>
  <c r="CU200" i="6" s="1"/>
  <c r="BP200" i="6"/>
  <c r="CZ200" i="6" a="1"/>
  <c r="CZ200" i="6" s="1"/>
  <c r="CE200" i="6"/>
  <c r="DQ200" i="6" a="1"/>
  <c r="DQ200" i="6" s="1"/>
  <c r="CB200" i="6"/>
  <c r="CR200" i="6"/>
  <c r="DM200" i="6" a="1"/>
  <c r="DM200" i="6" s="1"/>
  <c r="DF200" i="6" a="1"/>
  <c r="DF200" i="6" s="1"/>
  <c r="DJ200" i="6" a="1"/>
  <c r="DJ200" i="6" s="1"/>
  <c r="BL200" i="6"/>
  <c r="N201" i="6"/>
  <c r="M201" i="6"/>
  <c r="L210" i="6"/>
  <c r="K202" i="12" l="1"/>
  <c r="CR202" i="6"/>
  <c r="DS202" i="6" a="1"/>
  <c r="DS202" i="6" s="1"/>
  <c r="CB202" i="6"/>
  <c r="DG202" i="6" a="1"/>
  <c r="DG202" i="6" s="1"/>
  <c r="DM202" i="6" a="1"/>
  <c r="DM202" i="6" s="1"/>
  <c r="DL202" i="6" a="1"/>
  <c r="DL202" i="6" s="1"/>
  <c r="BT202" i="6"/>
  <c r="CK202" i="6"/>
  <c r="M203" i="6"/>
  <c r="CK203" i="6" s="1"/>
  <c r="CV202" i="6" a="1"/>
  <c r="CV202" i="6" s="1"/>
  <c r="CD202" i="6"/>
  <c r="BZ202" i="6"/>
  <c r="BU202" i="6"/>
  <c r="CU202" i="6" a="1"/>
  <c r="CU202" i="6" s="1"/>
  <c r="CJ202" i="6"/>
  <c r="CC202" i="6"/>
  <c r="BP202" i="6"/>
  <c r="CN202" i="6"/>
  <c r="CA202" i="6"/>
  <c r="CL202" i="6"/>
  <c r="DQ202" i="6" a="1"/>
  <c r="DQ202" i="6" s="1"/>
  <c r="DH202" i="6" a="1"/>
  <c r="DH202" i="6" s="1"/>
  <c r="BX202" i="6"/>
  <c r="CO202" i="6"/>
  <c r="CY202" i="6" a="1"/>
  <c r="CY202" i="6" s="1"/>
  <c r="BL202" i="6"/>
  <c r="CG202" i="6"/>
  <c r="BN202" i="6"/>
  <c r="CZ202" i="6" a="1"/>
  <c r="CZ202" i="6" s="1"/>
  <c r="DN202" i="6" a="1"/>
  <c r="DN202" i="6" s="1"/>
  <c r="DF202" i="6" a="1"/>
  <c r="DF202" i="6" s="1"/>
  <c r="CW202" i="6" a="1"/>
  <c r="CW202" i="6" s="1"/>
  <c r="DR202" i="6" a="1"/>
  <c r="DR202" i="6" s="1"/>
  <c r="DO202" i="6" a="1"/>
  <c r="DO202" i="6" s="1"/>
  <c r="DP202" i="6" a="1"/>
  <c r="DP202" i="6" s="1"/>
  <c r="CI202" i="6"/>
  <c r="BM202" i="6"/>
  <c r="DI202" i="6" a="1"/>
  <c r="DI202" i="6" s="1"/>
  <c r="BW202" i="6"/>
  <c r="CT202" i="6" a="1"/>
  <c r="CT202" i="6" s="1"/>
  <c r="CM202" i="6"/>
  <c r="BO202" i="6"/>
  <c r="BV202" i="6"/>
  <c r="DB202" i="6" a="1"/>
  <c r="DB202" i="6" s="1"/>
  <c r="CF202" i="6"/>
  <c r="BS202" i="6"/>
  <c r="DE202" i="6" a="1"/>
  <c r="DE202" i="6" s="1"/>
  <c r="DA202" i="6" a="1"/>
  <c r="DA202" i="6" s="1"/>
  <c r="DC202" i="6" a="1"/>
  <c r="DC202" i="6" s="1"/>
  <c r="CH202" i="6"/>
  <c r="DK202" i="6" a="1"/>
  <c r="DK202" i="6" s="1"/>
  <c r="BQ202" i="6"/>
  <c r="BY202" i="6"/>
  <c r="CX202" i="6" a="1"/>
  <c r="CX202" i="6" s="1"/>
  <c r="CE202" i="6"/>
  <c r="CQ202" i="6"/>
  <c r="CP202" i="6"/>
  <c r="DJ202" i="6" a="1"/>
  <c r="DJ202" i="6" s="1"/>
  <c r="N202" i="6"/>
  <c r="B204" i="5"/>
  <c r="AD204" i="5"/>
  <c r="N204" i="5"/>
  <c r="D204" i="6" s="1"/>
  <c r="N204" i="6" s="1"/>
  <c r="H204" i="5"/>
  <c r="B204" i="6"/>
  <c r="C205" i="5"/>
  <c r="G204" i="5"/>
  <c r="W204" i="5" a="1"/>
  <c r="W204" i="5" s="1"/>
  <c r="H204" i="12" s="1" a="1"/>
  <c r="H204" i="12" s="1"/>
  <c r="AE204" i="5" a="1"/>
  <c r="AE204" i="5" s="1"/>
  <c r="I204" i="5"/>
  <c r="A204" i="12"/>
  <c r="E204" i="5"/>
  <c r="F204" i="5"/>
  <c r="AF204" i="5" a="1"/>
  <c r="AF204" i="5" s="1"/>
  <c r="AG204" i="5" s="1" a="1"/>
  <c r="AG204" i="5" s="1"/>
  <c r="U204" i="5" s="1"/>
  <c r="AN204" i="5" s="1" a="1"/>
  <c r="AN204" i="5" s="1"/>
  <c r="G203" i="6"/>
  <c r="H203" i="6" a="1"/>
  <c r="H203" i="6" s="1"/>
  <c r="T203" i="5" s="1"/>
  <c r="G203" i="12" s="1" a="1"/>
  <c r="G203" i="12" s="1"/>
  <c r="DC201" i="6" a="1"/>
  <c r="DC201" i="6" s="1"/>
  <c r="DE201" i="6" a="1"/>
  <c r="DE201" i="6" s="1"/>
  <c r="BU201" i="6"/>
  <c r="CI201" i="6"/>
  <c r="BV201" i="6"/>
  <c r="CE201" i="6"/>
  <c r="DB201" i="6" a="1"/>
  <c r="DB201" i="6" s="1"/>
  <c r="CM201" i="6"/>
  <c r="DL201" i="6" a="1"/>
  <c r="DL201" i="6" s="1"/>
  <c r="BQ201" i="6"/>
  <c r="DG201" i="6" a="1"/>
  <c r="DG201" i="6" s="1"/>
  <c r="BX201" i="6"/>
  <c r="BM201" i="6"/>
  <c r="BY201" i="6"/>
  <c r="BZ201" i="6"/>
  <c r="CC201" i="6"/>
  <c r="CN201" i="6"/>
  <c r="CA201" i="6"/>
  <c r="CK201" i="6"/>
  <c r="CU201" i="6" a="1"/>
  <c r="CU201" i="6" s="1"/>
  <c r="CT201" i="6" a="1"/>
  <c r="CT201" i="6" s="1"/>
  <c r="BP201" i="6"/>
  <c r="DK201" i="6" a="1"/>
  <c r="DK201" i="6" s="1"/>
  <c r="DS201" i="6" a="1"/>
  <c r="DS201" i="6" s="1"/>
  <c r="BW201" i="6"/>
  <c r="CB201" i="6"/>
  <c r="DI201" i="6" a="1"/>
  <c r="DI201" i="6" s="1"/>
  <c r="DM201" i="6" a="1"/>
  <c r="DM201" i="6" s="1"/>
  <c r="CW201" i="6" a="1"/>
  <c r="CW201" i="6" s="1"/>
  <c r="DR201" i="6" a="1"/>
  <c r="DR201" i="6" s="1"/>
  <c r="CD201" i="6"/>
  <c r="DO201" i="6" a="1"/>
  <c r="DO201" i="6" s="1"/>
  <c r="CP201" i="6"/>
  <c r="CJ201" i="6"/>
  <c r="CX201" i="6" a="1"/>
  <c r="CX201" i="6" s="1"/>
  <c r="DF201" i="6" a="1"/>
  <c r="DF201" i="6" s="1"/>
  <c r="CF201" i="6"/>
  <c r="DH201" i="6" a="1"/>
  <c r="DH201" i="6" s="1"/>
  <c r="BL201" i="6"/>
  <c r="DQ201" i="6" a="1"/>
  <c r="DQ201" i="6" s="1"/>
  <c r="CO201" i="6"/>
  <c r="CL201" i="6"/>
  <c r="CR201" i="6"/>
  <c r="BS201" i="6"/>
  <c r="BN201" i="6"/>
  <c r="CY201" i="6" a="1"/>
  <c r="CY201" i="6" s="1"/>
  <c r="BO201" i="6"/>
  <c r="CG201" i="6"/>
  <c r="DP201" i="6" a="1"/>
  <c r="DP201" i="6" s="1"/>
  <c r="CQ201" i="6"/>
  <c r="CH201" i="6"/>
  <c r="DN201" i="6" a="1"/>
  <c r="DN201" i="6" s="1"/>
  <c r="CZ201" i="6" a="1"/>
  <c r="CZ201" i="6" s="1"/>
  <c r="DD201" i="6" a="1"/>
  <c r="DD201" i="6" s="1"/>
  <c r="DA201" i="6" a="1"/>
  <c r="DA201" i="6" s="1"/>
  <c r="BT201" i="6"/>
  <c r="DJ201" i="6" a="1"/>
  <c r="DJ201" i="6" s="1"/>
  <c r="CV201" i="6" a="1"/>
  <c r="CV201" i="6" s="1"/>
  <c r="L211" i="6"/>
  <c r="CW203" i="6" l="1" a="1"/>
  <c r="CW203" i="6" s="1"/>
  <c r="A204" i="6"/>
  <c r="CB203" i="6"/>
  <c r="DI203" i="6" a="1"/>
  <c r="DI203" i="6" s="1"/>
  <c r="DR203" i="6" a="1"/>
  <c r="DR203" i="6" s="1"/>
  <c r="DM203" i="6" a="1"/>
  <c r="DM203" i="6" s="1"/>
  <c r="BZ203" i="6"/>
  <c r="DC203" i="6" a="1"/>
  <c r="DC203" i="6" s="1"/>
  <c r="DH203" i="6" a="1"/>
  <c r="DH203" i="6" s="1"/>
  <c r="BS203" i="6"/>
  <c r="DA203" i="6" a="1"/>
  <c r="DA203" i="6" s="1"/>
  <c r="CV203" i="6" a="1"/>
  <c r="CV203" i="6" s="1"/>
  <c r="CL203" i="6"/>
  <c r="DL203" i="6" a="1"/>
  <c r="DL203" i="6" s="1"/>
  <c r="DG203" i="6" a="1"/>
  <c r="DG203" i="6" s="1"/>
  <c r="CI203" i="6"/>
  <c r="CP203" i="6"/>
  <c r="CC203" i="6"/>
  <c r="CX203" i="6" a="1"/>
  <c r="CX203" i="6" s="1"/>
  <c r="CZ203" i="6" a="1"/>
  <c r="CZ203" i="6" s="1"/>
  <c r="DE203" i="6" a="1"/>
  <c r="DE203" i="6" s="1"/>
  <c r="CN203" i="6"/>
  <c r="CQ203" i="6"/>
  <c r="BX203" i="6"/>
  <c r="BW203" i="6"/>
  <c r="BV203" i="6"/>
  <c r="DO203" i="6" a="1"/>
  <c r="DO203" i="6" s="1"/>
  <c r="BU203" i="6"/>
  <c r="CA203" i="6"/>
  <c r="DB203" i="6" a="1"/>
  <c r="DB203" i="6" s="1"/>
  <c r="CG203" i="6"/>
  <c r="DP203" i="6" a="1"/>
  <c r="DP203" i="6" s="1"/>
  <c r="CF203" i="6"/>
  <c r="CM203" i="6"/>
  <c r="CY203" i="6" a="1"/>
  <c r="CY203" i="6" s="1"/>
  <c r="CU203" i="6" a="1"/>
  <c r="CU203" i="6" s="1"/>
  <c r="DS203" i="6" a="1"/>
  <c r="DS203" i="6" s="1"/>
  <c r="BT203" i="6"/>
  <c r="DN203" i="6" a="1"/>
  <c r="DN203" i="6" s="1"/>
  <c r="CT203" i="6" a="1"/>
  <c r="CT203" i="6" s="1"/>
  <c r="DD203" i="6" a="1"/>
  <c r="DD203" i="6" s="1"/>
  <c r="CR203" i="6"/>
  <c r="CE203" i="6"/>
  <c r="DJ203" i="6" a="1"/>
  <c r="DJ203" i="6" s="1"/>
  <c r="CH203" i="6"/>
  <c r="BY203" i="6"/>
  <c r="CJ203" i="6"/>
  <c r="CO203" i="6"/>
  <c r="CD203" i="6"/>
  <c r="DK203" i="6" a="1"/>
  <c r="DK203" i="6" s="1"/>
  <c r="DF203" i="6" a="1"/>
  <c r="DF203" i="6" s="1"/>
  <c r="DQ203" i="6" a="1"/>
  <c r="DQ203" i="6" s="1"/>
  <c r="M204" i="6"/>
  <c r="BI203" i="6"/>
  <c r="AZ203" i="6"/>
  <c r="BA203" i="6"/>
  <c r="BM203" i="6"/>
  <c r="BJ203" i="6"/>
  <c r="BH203" i="6"/>
  <c r="BK203" i="6"/>
  <c r="AR203" i="6"/>
  <c r="AX203" i="6"/>
  <c r="BC203" i="6"/>
  <c r="AW203" i="6"/>
  <c r="BB203" i="6"/>
  <c r="AT203" i="6"/>
  <c r="AS203" i="6"/>
  <c r="BE203" i="6"/>
  <c r="BF203" i="6"/>
  <c r="AV203" i="6"/>
  <c r="BG203" i="6"/>
  <c r="AU203" i="6"/>
  <c r="BP203" i="6"/>
  <c r="BL203" i="6"/>
  <c r="BO203" i="6"/>
  <c r="BQ203" i="6"/>
  <c r="BD203" i="6"/>
  <c r="BN203" i="6"/>
  <c r="AY203" i="6"/>
  <c r="F205" i="5"/>
  <c r="J205" i="5"/>
  <c r="H205" i="5"/>
  <c r="B205" i="6"/>
  <c r="AE205" i="5" a="1"/>
  <c r="AE205" i="5" s="1"/>
  <c r="B205" i="5"/>
  <c r="AD205" i="5"/>
  <c r="K205" i="5"/>
  <c r="N205" i="5"/>
  <c r="D205" i="6" s="1"/>
  <c r="H205" i="6" s="1" a="1"/>
  <c r="H205" i="6" s="1"/>
  <c r="T205" i="5" s="1"/>
  <c r="G205" i="12" s="1" a="1"/>
  <c r="G205" i="12" s="1"/>
  <c r="A205" i="12"/>
  <c r="D205" i="5"/>
  <c r="B205" i="12" s="1"/>
  <c r="C206" i="5"/>
  <c r="E205" i="5"/>
  <c r="G205" i="5"/>
  <c r="H204" i="6" a="1"/>
  <c r="H204" i="6" s="1"/>
  <c r="T204" i="5" s="1"/>
  <c r="G204" i="12" s="1" a="1"/>
  <c r="G204" i="12" s="1"/>
  <c r="G204" i="6"/>
  <c r="L212" i="6"/>
  <c r="BW204" i="6" l="1"/>
  <c r="CG204" i="6"/>
  <c r="AY204" i="6"/>
  <c r="DD204" i="6" a="1"/>
  <c r="DD204" i="6" s="1"/>
  <c r="BD204" i="6"/>
  <c r="DM204" i="6" a="1"/>
  <c r="DM204" i="6" s="1"/>
  <c r="DL204" i="6" a="1"/>
  <c r="DL204" i="6" s="1"/>
  <c r="CZ204" i="6" a="1"/>
  <c r="CZ204" i="6" s="1"/>
  <c r="CN204" i="6"/>
  <c r="CO204" i="6"/>
  <c r="AW204" i="6"/>
  <c r="BV204" i="6"/>
  <c r="CC204" i="6"/>
  <c r="DR204" i="6" a="1"/>
  <c r="DR204" i="6" s="1"/>
  <c r="CP204" i="6"/>
  <c r="BS204" i="6"/>
  <c r="DI204" i="6" a="1"/>
  <c r="DI204" i="6" s="1"/>
  <c r="BI204" i="6"/>
  <c r="CB204" i="6"/>
  <c r="CJ204" i="6"/>
  <c r="AV204" i="6"/>
  <c r="CD204" i="6"/>
  <c r="DN204" i="6" a="1"/>
  <c r="DN204" i="6" s="1"/>
  <c r="BH204" i="6"/>
  <c r="DA204" i="6" a="1"/>
  <c r="DA204" i="6" s="1"/>
  <c r="DP204" i="6" a="1"/>
  <c r="DP204" i="6" s="1"/>
  <c r="BP204" i="6"/>
  <c r="CR204" i="6"/>
  <c r="CL204" i="6"/>
  <c r="DB204" i="6" a="1"/>
  <c r="DB204" i="6" s="1"/>
  <c r="BN204" i="6"/>
  <c r="DK204" i="6" a="1"/>
  <c r="DK204" i="6" s="1"/>
  <c r="BA204" i="6"/>
  <c r="BU204" i="6"/>
  <c r="BM204" i="6"/>
  <c r="CX204" i="6" a="1"/>
  <c r="CX204" i="6" s="1"/>
  <c r="AX204" i="6"/>
  <c r="AT204" i="6"/>
  <c r="CK204" i="6"/>
  <c r="BK204" i="6"/>
  <c r="DQ204" i="6" a="1"/>
  <c r="DQ204" i="6" s="1"/>
  <c r="BT204" i="6"/>
  <c r="CE204" i="6"/>
  <c r="CH204" i="6"/>
  <c r="CI204" i="6"/>
  <c r="BE204" i="6"/>
  <c r="BQ204" i="6"/>
  <c r="CU204" i="6" a="1"/>
  <c r="CU204" i="6" s="1"/>
  <c r="DG204" i="6" a="1"/>
  <c r="DG204" i="6" s="1"/>
  <c r="CT204" i="6" a="1"/>
  <c r="CT204" i="6" s="1"/>
  <c r="DC204" i="6" a="1"/>
  <c r="DC204" i="6" s="1"/>
  <c r="BJ204" i="6"/>
  <c r="BX204" i="6"/>
  <c r="BG204" i="6"/>
  <c r="CM204" i="6"/>
  <c r="CV204" i="6" a="1"/>
  <c r="CV204" i="6" s="1"/>
  <c r="BO204" i="6"/>
  <c r="AR204" i="6"/>
  <c r="BB204" i="6"/>
  <c r="CW204" i="6" a="1"/>
  <c r="CW204" i="6" s="1"/>
  <c r="DJ204" i="6" a="1"/>
  <c r="DJ204" i="6" s="1"/>
  <c r="BY204" i="6"/>
  <c r="AS204" i="6"/>
  <c r="BZ204" i="6"/>
  <c r="DH204" i="6" a="1"/>
  <c r="DH204" i="6" s="1"/>
  <c r="DF204" i="6" a="1"/>
  <c r="DF204" i="6" s="1"/>
  <c r="DE204" i="6" a="1"/>
  <c r="DE204" i="6" s="1"/>
  <c r="AU204" i="6"/>
  <c r="BF204" i="6"/>
  <c r="CA204" i="6"/>
  <c r="CF204" i="6"/>
  <c r="CY204" i="6" a="1"/>
  <c r="CY204" i="6" s="1"/>
  <c r="CQ204" i="6"/>
  <c r="DS204" i="6" a="1"/>
  <c r="DS204" i="6" s="1"/>
  <c r="DO204" i="6" a="1"/>
  <c r="DO204" i="6" s="1"/>
  <c r="BC204" i="6"/>
  <c r="A205" i="6"/>
  <c r="M205" i="6" s="1"/>
  <c r="BL204" i="6"/>
  <c r="AZ204" i="6"/>
  <c r="A206" i="12"/>
  <c r="D206" i="5"/>
  <c r="B206" i="12" s="1"/>
  <c r="J206" i="5"/>
  <c r="AD206" i="5"/>
  <c r="E206" i="5"/>
  <c r="C207" i="5"/>
  <c r="K206" i="5"/>
  <c r="H206" i="5"/>
  <c r="N206" i="5"/>
  <c r="D206" i="6" s="1"/>
  <c r="H206" i="6" s="1" a="1"/>
  <c r="H206" i="6" s="1"/>
  <c r="T206" i="5" s="1"/>
  <c r="G206" i="12" s="1" a="1"/>
  <c r="G206" i="12" s="1"/>
  <c r="B206" i="6"/>
  <c r="AE206" i="5" a="1"/>
  <c r="AE206" i="5" s="1"/>
  <c r="G206" i="5"/>
  <c r="B206" i="5"/>
  <c r="F206" i="5"/>
  <c r="J205" i="12" a="1"/>
  <c r="J205" i="12" s="1"/>
  <c r="L205" i="12" a="1"/>
  <c r="L205" i="12" s="1"/>
  <c r="L213" i="6"/>
  <c r="BY205" i="6" l="1"/>
  <c r="K205" i="12"/>
  <c r="N205" i="6"/>
  <c r="CO205" i="6"/>
  <c r="DB205" i="6" a="1"/>
  <c r="DB205" i="6" s="1"/>
  <c r="CL205" i="6"/>
  <c r="CP205" i="6"/>
  <c r="BM205" i="6"/>
  <c r="DS205" i="6" a="1"/>
  <c r="DS205" i="6" s="1"/>
  <c r="DG205" i="6" a="1"/>
  <c r="DG205" i="6" s="1"/>
  <c r="BP205" i="6"/>
  <c r="CJ205" i="6"/>
  <c r="CX205" i="6" a="1"/>
  <c r="CX205" i="6" s="1"/>
  <c r="DN205" i="6" a="1"/>
  <c r="DN205" i="6" s="1"/>
  <c r="DL205" i="6" a="1"/>
  <c r="DL205" i="6" s="1"/>
  <c r="CF205" i="6"/>
  <c r="DP205" i="6" a="1"/>
  <c r="DP205" i="6" s="1"/>
  <c r="DI205" i="6" a="1"/>
  <c r="DI205" i="6" s="1"/>
  <c r="CH205" i="6"/>
  <c r="CU205" i="6" a="1"/>
  <c r="CU205" i="6" s="1"/>
  <c r="CG205" i="6"/>
  <c r="BL205" i="6"/>
  <c r="CW205" i="6" a="1"/>
  <c r="CW205" i="6" s="1"/>
  <c r="DR205" i="6" a="1"/>
  <c r="DR205" i="6" s="1"/>
  <c r="BV205" i="6"/>
  <c r="BZ205" i="6"/>
  <c r="CM205" i="6"/>
  <c r="CN205" i="6"/>
  <c r="DM205" i="6" a="1"/>
  <c r="DM205" i="6" s="1"/>
  <c r="CC205" i="6"/>
  <c r="CT205" i="6" a="1"/>
  <c r="CT205" i="6" s="1"/>
  <c r="DA205" i="6" a="1"/>
  <c r="DA205" i="6" s="1"/>
  <c r="CI205" i="6"/>
  <c r="DO205" i="6" a="1"/>
  <c r="DO205" i="6" s="1"/>
  <c r="CA205" i="6"/>
  <c r="BW205" i="6"/>
  <c r="DQ205" i="6" a="1"/>
  <c r="DQ205" i="6" s="1"/>
  <c r="DF205" i="6" a="1"/>
  <c r="DF205" i="6" s="1"/>
  <c r="CZ205" i="6" a="1"/>
  <c r="CZ205" i="6" s="1"/>
  <c r="CR205" i="6"/>
  <c r="DJ205" i="6" a="1"/>
  <c r="DJ205" i="6" s="1"/>
  <c r="BT205" i="6"/>
  <c r="DD205" i="6" a="1"/>
  <c r="DD205" i="6" s="1"/>
  <c r="BQ205" i="6"/>
  <c r="DK205" i="6" a="1"/>
  <c r="DK205" i="6" s="1"/>
  <c r="BU205" i="6"/>
  <c r="CK205" i="6"/>
  <c r="BN205" i="6"/>
  <c r="BX205" i="6"/>
  <c r="BS205" i="6"/>
  <c r="CQ205" i="6"/>
  <c r="DH205" i="6" a="1"/>
  <c r="DH205" i="6" s="1"/>
  <c r="CB205" i="6"/>
  <c r="DC205" i="6" a="1"/>
  <c r="DC205" i="6" s="1"/>
  <c r="CD205" i="6"/>
  <c r="CY205" i="6" a="1"/>
  <c r="CY205" i="6" s="1"/>
  <c r="BO205" i="6"/>
  <c r="DE205" i="6" a="1"/>
  <c r="DE205" i="6" s="1"/>
  <c r="CV205" i="6" a="1"/>
  <c r="CV205" i="6" s="1"/>
  <c r="CE205" i="6"/>
  <c r="B207" i="5"/>
  <c r="AD207" i="5"/>
  <c r="G207" i="5"/>
  <c r="H207" i="5"/>
  <c r="F207" i="5"/>
  <c r="K207" i="5"/>
  <c r="B207" i="6"/>
  <c r="A207" i="12"/>
  <c r="N207" i="5"/>
  <c r="D207" i="6" s="1"/>
  <c r="H207" i="6" s="1" a="1"/>
  <c r="H207" i="6" s="1"/>
  <c r="T207" i="5" s="1"/>
  <c r="G207" i="12" s="1" a="1"/>
  <c r="G207" i="12" s="1"/>
  <c r="AE207" i="5" a="1"/>
  <c r="AE207" i="5" s="1"/>
  <c r="D207" i="5"/>
  <c r="B207" i="12" s="1"/>
  <c r="J207" i="5"/>
  <c r="C208" i="5"/>
  <c r="E207" i="5"/>
  <c r="A206" i="6"/>
  <c r="L206" i="12" a="1"/>
  <c r="L206" i="12" s="1"/>
  <c r="J206" i="12" a="1"/>
  <c r="J206" i="12" s="1"/>
  <c r="L214" i="6"/>
  <c r="K206" i="12" l="1"/>
  <c r="A207" i="6"/>
  <c r="B208" i="5"/>
  <c r="AD208" i="5"/>
  <c r="AE208" i="5" a="1"/>
  <c r="AE208" i="5" s="1"/>
  <c r="E208" i="5"/>
  <c r="D208" i="5"/>
  <c r="B208" i="12" s="1"/>
  <c r="B208" i="6"/>
  <c r="J208" i="5"/>
  <c r="K208" i="5"/>
  <c r="G208" i="5"/>
  <c r="H208" i="5"/>
  <c r="A208" i="12"/>
  <c r="F208" i="5"/>
  <c r="C209" i="5"/>
  <c r="N208" i="5"/>
  <c r="D208" i="6" s="1"/>
  <c r="H208" i="6" s="1" a="1"/>
  <c r="H208" i="6" s="1"/>
  <c r="T208" i="5" s="1"/>
  <c r="G208" i="12" s="1" a="1"/>
  <c r="G208" i="12" s="1"/>
  <c r="M206" i="6"/>
  <c r="N206" i="6"/>
  <c r="J207" i="12" a="1"/>
  <c r="J207" i="12" s="1"/>
  <c r="L207" i="12" a="1"/>
  <c r="L207" i="12" s="1"/>
  <c r="L215" i="6"/>
  <c r="K207" i="12" l="1"/>
  <c r="A208" i="6"/>
  <c r="M208" i="6" s="1"/>
  <c r="DS208" i="6" s="1" a="1"/>
  <c r="DS208" i="6" s="1"/>
  <c r="F209" i="5"/>
  <c r="B209" i="6"/>
  <c r="A209" i="12"/>
  <c r="AD209" i="5"/>
  <c r="J209" i="5"/>
  <c r="N209" i="5"/>
  <c r="D209" i="6" s="1"/>
  <c r="H209" i="6" s="1" a="1"/>
  <c r="H209" i="6" s="1"/>
  <c r="T209" i="5" s="1"/>
  <c r="G209" i="12" s="1" a="1"/>
  <c r="G209" i="12" s="1"/>
  <c r="C210" i="5"/>
  <c r="G209" i="5"/>
  <c r="K209" i="5"/>
  <c r="B209" i="5"/>
  <c r="H209" i="5"/>
  <c r="D209" i="5"/>
  <c r="B209" i="12" s="1"/>
  <c r="AE209" i="5" a="1"/>
  <c r="AE209" i="5" s="1"/>
  <c r="E209" i="5"/>
  <c r="J208" i="12" a="1"/>
  <c r="J208" i="12" s="1"/>
  <c r="L208" i="12" a="1"/>
  <c r="L208" i="12" s="1"/>
  <c r="CD206" i="6"/>
  <c r="CX206" i="6" a="1"/>
  <c r="CX206" i="6" s="1"/>
  <c r="CW206" i="6" a="1"/>
  <c r="CW206" i="6" s="1"/>
  <c r="CG206" i="6"/>
  <c r="CO206" i="6"/>
  <c r="CP206" i="6"/>
  <c r="CJ206" i="6"/>
  <c r="BO206" i="6"/>
  <c r="BT206" i="6"/>
  <c r="DS206" i="6" a="1"/>
  <c r="DS206" i="6" s="1"/>
  <c r="CN206" i="6"/>
  <c r="CI206" i="6"/>
  <c r="BM206" i="6"/>
  <c r="CR206" i="6"/>
  <c r="BW206" i="6"/>
  <c r="DD206" i="6" a="1"/>
  <c r="DD206" i="6" s="1"/>
  <c r="CY206" i="6" a="1"/>
  <c r="CY206" i="6" s="1"/>
  <c r="DL206" i="6" a="1"/>
  <c r="DL206" i="6" s="1"/>
  <c r="BV206" i="6"/>
  <c r="BP206" i="6"/>
  <c r="CV206" i="6" a="1"/>
  <c r="CV206" i="6" s="1"/>
  <c r="BQ206" i="6"/>
  <c r="DH206" i="6" a="1"/>
  <c r="DH206" i="6" s="1"/>
  <c r="CQ206" i="6"/>
  <c r="DE206" i="6" a="1"/>
  <c r="DE206" i="6" s="1"/>
  <c r="CH206" i="6"/>
  <c r="DA206" i="6" a="1"/>
  <c r="DA206" i="6" s="1"/>
  <c r="CF206" i="6"/>
  <c r="BZ206" i="6"/>
  <c r="CE206" i="6"/>
  <c r="BX206" i="6"/>
  <c r="CL206" i="6"/>
  <c r="DQ206" i="6" a="1"/>
  <c r="DQ206" i="6" s="1"/>
  <c r="DB206" i="6" a="1"/>
  <c r="DB206" i="6" s="1"/>
  <c r="CU206" i="6" a="1"/>
  <c r="CU206" i="6" s="1"/>
  <c r="BN206" i="6"/>
  <c r="CT206" i="6" a="1"/>
  <c r="CT206" i="6" s="1"/>
  <c r="BS206" i="6"/>
  <c r="CC206" i="6"/>
  <c r="DP206" i="6" a="1"/>
  <c r="DP206" i="6" s="1"/>
  <c r="BL206" i="6"/>
  <c r="DC206" i="6" a="1"/>
  <c r="DC206" i="6" s="1"/>
  <c r="CK206" i="6"/>
  <c r="CZ206" i="6" a="1"/>
  <c r="CZ206" i="6" s="1"/>
  <c r="CM206" i="6"/>
  <c r="DK206" i="6" a="1"/>
  <c r="DK206" i="6" s="1"/>
  <c r="DI206" i="6" a="1"/>
  <c r="DI206" i="6" s="1"/>
  <c r="DN206" i="6" a="1"/>
  <c r="DN206" i="6" s="1"/>
  <c r="DM206" i="6" a="1"/>
  <c r="DM206" i="6" s="1"/>
  <c r="BY206" i="6"/>
  <c r="CA206" i="6"/>
  <c r="BU206" i="6"/>
  <c r="CB206" i="6"/>
  <c r="DJ206" i="6" a="1"/>
  <c r="DJ206" i="6" s="1"/>
  <c r="DG206" i="6" a="1"/>
  <c r="DG206" i="6" s="1"/>
  <c r="DF206" i="6" a="1"/>
  <c r="DF206" i="6" s="1"/>
  <c r="DO206" i="6" a="1"/>
  <c r="DO206" i="6" s="1"/>
  <c r="DR206" i="6" a="1"/>
  <c r="DR206" i="6" s="1"/>
  <c r="M207" i="6"/>
  <c r="N207" i="6"/>
  <c r="L216" i="6"/>
  <c r="N208" i="6" l="1"/>
  <c r="CB208" i="6"/>
  <c r="BX208" i="6"/>
  <c r="CR208" i="6"/>
  <c r="DJ208" i="6" a="1"/>
  <c r="DJ208" i="6" s="1"/>
  <c r="BL208" i="6"/>
  <c r="DA208" i="6" a="1"/>
  <c r="DA208" i="6" s="1"/>
  <c r="BT208" i="6"/>
  <c r="CQ208" i="6"/>
  <c r="DO208" i="6" a="1"/>
  <c r="DO208" i="6" s="1"/>
  <c r="BM208" i="6"/>
  <c r="BY208" i="6"/>
  <c r="CU208" i="6" a="1"/>
  <c r="CU208" i="6" s="1"/>
  <c r="DD208" i="6" a="1"/>
  <c r="DD208" i="6" s="1"/>
  <c r="CT208" i="6" a="1"/>
  <c r="CT208" i="6" s="1"/>
  <c r="DH208" i="6" a="1"/>
  <c r="DH208" i="6" s="1"/>
  <c r="DM208" i="6" a="1"/>
  <c r="DM208" i="6" s="1"/>
  <c r="CJ208" i="6"/>
  <c r="BP208" i="6"/>
  <c r="BZ208" i="6"/>
  <c r="BN208" i="6"/>
  <c r="DI208" i="6" a="1"/>
  <c r="DI208" i="6" s="1"/>
  <c r="DB208" i="6" a="1"/>
  <c r="DB208" i="6" s="1"/>
  <c r="DL208" i="6" a="1"/>
  <c r="DL208" i="6" s="1"/>
  <c r="CN208" i="6"/>
  <c r="DP208" i="6" a="1"/>
  <c r="DP208" i="6" s="1"/>
  <c r="CM208" i="6"/>
  <c r="CZ208" i="6" a="1"/>
  <c r="CZ208" i="6" s="1"/>
  <c r="CD208" i="6"/>
  <c r="DG208" i="6" a="1"/>
  <c r="DG208" i="6" s="1"/>
  <c r="BU208" i="6"/>
  <c r="DC208" i="6" a="1"/>
  <c r="DC208" i="6" s="1"/>
  <c r="DR208" i="6" a="1"/>
  <c r="DR208" i="6" s="1"/>
  <c r="CV208" i="6" a="1"/>
  <c r="CV208" i="6" s="1"/>
  <c r="CI208" i="6"/>
  <c r="CK208" i="6"/>
  <c r="CW208" i="6" a="1"/>
  <c r="CW208" i="6" s="1"/>
  <c r="CX208" i="6" a="1"/>
  <c r="CX208" i="6" s="1"/>
  <c r="BQ208" i="6"/>
  <c r="DQ208" i="6" a="1"/>
  <c r="DQ208" i="6" s="1"/>
  <c r="CP208" i="6"/>
  <c r="CO208" i="6"/>
  <c r="CA208" i="6"/>
  <c r="BW208" i="6"/>
  <c r="DN208" i="6" a="1"/>
  <c r="DN208" i="6" s="1"/>
  <c r="DF208" i="6" a="1"/>
  <c r="DF208" i="6" s="1"/>
  <c r="CL208" i="6"/>
  <c r="CY208" i="6" a="1"/>
  <c r="CY208" i="6" s="1"/>
  <c r="DE208" i="6" a="1"/>
  <c r="DE208" i="6" s="1"/>
  <c r="BV208" i="6"/>
  <c r="CG208" i="6"/>
  <c r="BO208" i="6"/>
  <c r="CH208" i="6"/>
  <c r="DK208" i="6" a="1"/>
  <c r="DK208" i="6" s="1"/>
  <c r="BS208" i="6"/>
  <c r="CF208" i="6"/>
  <c r="CC208" i="6"/>
  <c r="CE208" i="6"/>
  <c r="N210" i="5"/>
  <c r="D210" i="6" s="1"/>
  <c r="H210" i="6" s="1" a="1"/>
  <c r="H210" i="6" s="1"/>
  <c r="T210" i="5" s="1"/>
  <c r="G210" i="12" s="1" a="1"/>
  <c r="G210" i="12" s="1"/>
  <c r="J210" i="5"/>
  <c r="F210" i="5"/>
  <c r="H210" i="5"/>
  <c r="B210" i="6"/>
  <c r="A210" i="12"/>
  <c r="C211" i="5"/>
  <c r="K210" i="5"/>
  <c r="AE210" i="5" a="1"/>
  <c r="AE210" i="5" s="1"/>
  <c r="B210" i="5"/>
  <c r="D210" i="5"/>
  <c r="B210" i="12" s="1"/>
  <c r="E210" i="5"/>
  <c r="AD210" i="5"/>
  <c r="G210" i="5"/>
  <c r="CT207" i="6" a="1"/>
  <c r="CT207" i="6" s="1"/>
  <c r="BW207" i="6"/>
  <c r="CF207" i="6"/>
  <c r="DM207" i="6" a="1"/>
  <c r="DM207" i="6" s="1"/>
  <c r="CC207" i="6"/>
  <c r="BX207" i="6"/>
  <c r="DP207" i="6" a="1"/>
  <c r="DP207" i="6" s="1"/>
  <c r="BT207" i="6"/>
  <c r="CW207" i="6" a="1"/>
  <c r="CW207" i="6" s="1"/>
  <c r="CJ207" i="6"/>
  <c r="DI207" i="6" a="1"/>
  <c r="DI207" i="6" s="1"/>
  <c r="CP207" i="6"/>
  <c r="CX207" i="6" a="1"/>
  <c r="CX207" i="6" s="1"/>
  <c r="DK207" i="6" a="1"/>
  <c r="DK207" i="6" s="1"/>
  <c r="BQ207" i="6"/>
  <c r="DQ207" i="6" a="1"/>
  <c r="DQ207" i="6" s="1"/>
  <c r="DJ207" i="6" a="1"/>
  <c r="DJ207" i="6" s="1"/>
  <c r="CN207" i="6"/>
  <c r="CE207" i="6"/>
  <c r="CK207" i="6"/>
  <c r="DC207" i="6" a="1"/>
  <c r="DC207" i="6" s="1"/>
  <c r="CL207" i="6"/>
  <c r="DD207" i="6" a="1"/>
  <c r="DD207" i="6" s="1"/>
  <c r="DN207" i="6" a="1"/>
  <c r="DN207" i="6" s="1"/>
  <c r="CH207" i="6"/>
  <c r="CR207" i="6"/>
  <c r="CI207" i="6"/>
  <c r="CD207" i="6"/>
  <c r="CB207" i="6"/>
  <c r="CA207" i="6"/>
  <c r="CQ207" i="6"/>
  <c r="BZ207" i="6"/>
  <c r="CV207" i="6" a="1"/>
  <c r="CV207" i="6" s="1"/>
  <c r="BO207" i="6"/>
  <c r="BM207" i="6"/>
  <c r="BL207" i="6"/>
  <c r="CG207" i="6"/>
  <c r="BS207" i="6"/>
  <c r="DH207" i="6" a="1"/>
  <c r="DH207" i="6" s="1"/>
  <c r="BY207" i="6"/>
  <c r="DE207" i="6" a="1"/>
  <c r="DE207" i="6" s="1"/>
  <c r="DR207" i="6" a="1"/>
  <c r="DR207" i="6" s="1"/>
  <c r="CZ207" i="6" a="1"/>
  <c r="CZ207" i="6" s="1"/>
  <c r="CU207" i="6" a="1"/>
  <c r="CU207" i="6" s="1"/>
  <c r="BP207" i="6"/>
  <c r="DS207" i="6" a="1"/>
  <c r="DS207" i="6" s="1"/>
  <c r="BU207" i="6"/>
  <c r="BN207" i="6"/>
  <c r="CO207" i="6"/>
  <c r="DF207" i="6" a="1"/>
  <c r="DF207" i="6" s="1"/>
  <c r="BV207" i="6"/>
  <c r="DO207" i="6" a="1"/>
  <c r="DO207" i="6" s="1"/>
  <c r="DA207" i="6" a="1"/>
  <c r="DA207" i="6" s="1"/>
  <c r="DG207" i="6" a="1"/>
  <c r="DG207" i="6" s="1"/>
  <c r="DL207" i="6" a="1"/>
  <c r="DL207" i="6" s="1"/>
  <c r="CY207" i="6" a="1"/>
  <c r="CY207" i="6" s="1"/>
  <c r="DB207" i="6" a="1"/>
  <c r="DB207" i="6" s="1"/>
  <c r="CM207" i="6"/>
  <c r="L209" i="12" a="1"/>
  <c r="L209" i="12" s="1"/>
  <c r="J209" i="12" a="1"/>
  <c r="J209" i="12" s="1"/>
  <c r="A209" i="6"/>
  <c r="K208" i="12"/>
  <c r="L217" i="6"/>
  <c r="K209" i="12" l="1"/>
  <c r="H211" i="5"/>
  <c r="D211" i="5"/>
  <c r="B211" i="12" s="1"/>
  <c r="AE211" i="5" a="1"/>
  <c r="AE211" i="5" s="1"/>
  <c r="F211" i="5"/>
  <c r="K211" i="5"/>
  <c r="N211" i="5"/>
  <c r="D211" i="6" s="1"/>
  <c r="H211" i="6" s="1" a="1"/>
  <c r="H211" i="6" s="1"/>
  <c r="T211" i="5" s="1"/>
  <c r="G211" i="12" s="1" a="1"/>
  <c r="G211" i="12" s="1"/>
  <c r="AD211" i="5"/>
  <c r="B211" i="6"/>
  <c r="J211" i="5"/>
  <c r="B211" i="5"/>
  <c r="A211" i="12"/>
  <c r="G211" i="5"/>
  <c r="E211" i="5"/>
  <c r="C212" i="5"/>
  <c r="J210" i="12" a="1"/>
  <c r="J210" i="12" s="1"/>
  <c r="L210" i="12" a="1"/>
  <c r="L210" i="12" s="1"/>
  <c r="A210" i="6"/>
  <c r="N209" i="6"/>
  <c r="M209" i="6"/>
  <c r="F217" i="6"/>
  <c r="L218" i="6"/>
  <c r="K210" i="12" l="1"/>
  <c r="A211" i="6"/>
  <c r="N211" i="6" s="1"/>
  <c r="DQ209" i="6" a="1"/>
  <c r="DQ209" i="6" s="1"/>
  <c r="CJ209" i="6"/>
  <c r="CV209" i="6" a="1"/>
  <c r="CV209" i="6" s="1"/>
  <c r="DM209" i="6" a="1"/>
  <c r="DM209" i="6" s="1"/>
  <c r="BX209" i="6"/>
  <c r="DR209" i="6" a="1"/>
  <c r="DR209" i="6" s="1"/>
  <c r="CL209" i="6"/>
  <c r="DA209" i="6" a="1"/>
  <c r="DA209" i="6" s="1"/>
  <c r="CI209" i="6"/>
  <c r="CP209" i="6"/>
  <c r="CF209" i="6"/>
  <c r="DL209" i="6" a="1"/>
  <c r="DL209" i="6" s="1"/>
  <c r="CK209" i="6"/>
  <c r="BQ209" i="6"/>
  <c r="CN209" i="6"/>
  <c r="CH209" i="6"/>
  <c r="DP209" i="6" a="1"/>
  <c r="DP209" i="6" s="1"/>
  <c r="CM209" i="6"/>
  <c r="DE209" i="6" a="1"/>
  <c r="DE209" i="6" s="1"/>
  <c r="CO209" i="6"/>
  <c r="DJ209" i="6" a="1"/>
  <c r="DJ209" i="6" s="1"/>
  <c r="BO209" i="6"/>
  <c r="CA209" i="6"/>
  <c r="CX209" i="6" a="1"/>
  <c r="CX209" i="6" s="1"/>
  <c r="DG209" i="6" a="1"/>
  <c r="DG209" i="6" s="1"/>
  <c r="CW209" i="6" a="1"/>
  <c r="CW209" i="6" s="1"/>
  <c r="BV209" i="6"/>
  <c r="CC209" i="6"/>
  <c r="CD209" i="6"/>
  <c r="BL209" i="6"/>
  <c r="BW209" i="6"/>
  <c r="DC209" i="6" a="1"/>
  <c r="DC209" i="6" s="1"/>
  <c r="BT209" i="6"/>
  <c r="BP209" i="6"/>
  <c r="CR209" i="6"/>
  <c r="DI209" i="6" a="1"/>
  <c r="DI209" i="6" s="1"/>
  <c r="BS209" i="6"/>
  <c r="CG209" i="6"/>
  <c r="CQ209" i="6"/>
  <c r="CZ209" i="6" a="1"/>
  <c r="CZ209" i="6" s="1"/>
  <c r="DB209" i="6" a="1"/>
  <c r="DB209" i="6" s="1"/>
  <c r="DS209" i="6" a="1"/>
  <c r="DS209" i="6" s="1"/>
  <c r="DN209" i="6" a="1"/>
  <c r="DN209" i="6" s="1"/>
  <c r="DF209" i="6" a="1"/>
  <c r="DF209" i="6" s="1"/>
  <c r="CU209" i="6" a="1"/>
  <c r="CU209" i="6" s="1"/>
  <c r="BM209" i="6"/>
  <c r="BU209" i="6"/>
  <c r="DK209" i="6" a="1"/>
  <c r="DK209" i="6" s="1"/>
  <c r="BY209" i="6"/>
  <c r="CY209" i="6" a="1"/>
  <c r="CY209" i="6" s="1"/>
  <c r="BN209" i="6"/>
  <c r="DO209" i="6" a="1"/>
  <c r="DO209" i="6" s="1"/>
  <c r="BZ209" i="6"/>
  <c r="CT209" i="6" a="1"/>
  <c r="CT209" i="6" s="1"/>
  <c r="DD209" i="6" a="1"/>
  <c r="DD209" i="6" s="1"/>
  <c r="CB209" i="6"/>
  <c r="DH209" i="6" a="1"/>
  <c r="DH209" i="6" s="1"/>
  <c r="CE209" i="6"/>
  <c r="L211" i="12" a="1"/>
  <c r="L211" i="12" s="1"/>
  <c r="J211" i="12" a="1"/>
  <c r="J211" i="12" s="1"/>
  <c r="B212" i="5"/>
  <c r="C213" i="5"/>
  <c r="H212" i="5"/>
  <c r="F212" i="5"/>
  <c r="D212" i="5"/>
  <c r="B212" i="12" s="1"/>
  <c r="K212" i="5"/>
  <c r="N212" i="5"/>
  <c r="D212" i="6" s="1"/>
  <c r="H212" i="6" s="1" a="1"/>
  <c r="H212" i="6" s="1"/>
  <c r="T212" i="5" s="1"/>
  <c r="G212" i="12" s="1" a="1"/>
  <c r="G212" i="12" s="1"/>
  <c r="G212" i="5"/>
  <c r="J212" i="5"/>
  <c r="B212" i="6"/>
  <c r="E212" i="5"/>
  <c r="A212" i="12"/>
  <c r="AE212" i="5" a="1"/>
  <c r="AE212" i="5" s="1"/>
  <c r="AD212" i="5"/>
  <c r="N210" i="6"/>
  <c r="M210" i="6"/>
  <c r="L219" i="6"/>
  <c r="M211" i="6" l="1"/>
  <c r="A212" i="6"/>
  <c r="M212" i="6" s="1"/>
  <c r="CM212" i="6" s="1"/>
  <c r="E213" i="5"/>
  <c r="D213" i="5"/>
  <c r="B213" i="12" s="1"/>
  <c r="F213" i="5"/>
  <c r="AD213" i="5"/>
  <c r="N213" i="5"/>
  <c r="D213" i="6" s="1"/>
  <c r="H213" i="6" s="1" a="1"/>
  <c r="H213" i="6" s="1"/>
  <c r="T213" i="5" s="1"/>
  <c r="G213" i="12" s="1" a="1"/>
  <c r="G213" i="12" s="1"/>
  <c r="J213" i="5"/>
  <c r="B213" i="5"/>
  <c r="H213" i="5"/>
  <c r="A213" i="12"/>
  <c r="G213" i="5"/>
  <c r="C214" i="5"/>
  <c r="K213" i="5"/>
  <c r="AE213" i="5" a="1"/>
  <c r="AE213" i="5" s="1"/>
  <c r="B213" i="6"/>
  <c r="DM210" i="6" a="1"/>
  <c r="DM210" i="6" s="1"/>
  <c r="BY210" i="6"/>
  <c r="DJ210" i="6" a="1"/>
  <c r="DJ210" i="6" s="1"/>
  <c r="CP210" i="6"/>
  <c r="CI210" i="6"/>
  <c r="CU210" i="6" a="1"/>
  <c r="CU210" i="6" s="1"/>
  <c r="DH210" i="6" a="1"/>
  <c r="DH210" i="6" s="1"/>
  <c r="BM210" i="6"/>
  <c r="BS210" i="6"/>
  <c r="CC210" i="6"/>
  <c r="CA210" i="6"/>
  <c r="DR210" i="6" a="1"/>
  <c r="DR210" i="6" s="1"/>
  <c r="DF210" i="6" a="1"/>
  <c r="DF210" i="6" s="1"/>
  <c r="CT210" i="6" a="1"/>
  <c r="CT210" i="6" s="1"/>
  <c r="CH210" i="6"/>
  <c r="DL210" i="6" a="1"/>
  <c r="DL210" i="6" s="1"/>
  <c r="CE210" i="6"/>
  <c r="CO210" i="6"/>
  <c r="BU210" i="6"/>
  <c r="DC210" i="6" a="1"/>
  <c r="DC210" i="6" s="1"/>
  <c r="DP210" i="6" a="1"/>
  <c r="DP210" i="6" s="1"/>
  <c r="DS210" i="6" a="1"/>
  <c r="DS210" i="6" s="1"/>
  <c r="DO210" i="6" a="1"/>
  <c r="DO210" i="6" s="1"/>
  <c r="DN210" i="6" a="1"/>
  <c r="DN210" i="6" s="1"/>
  <c r="BN210" i="6"/>
  <c r="DG210" i="6" a="1"/>
  <c r="DG210" i="6" s="1"/>
  <c r="CN210" i="6"/>
  <c r="CK210" i="6"/>
  <c r="BV210" i="6"/>
  <c r="CV210" i="6" a="1"/>
  <c r="CV210" i="6" s="1"/>
  <c r="DI210" i="6" a="1"/>
  <c r="DI210" i="6" s="1"/>
  <c r="BW210" i="6"/>
  <c r="BO210" i="6"/>
  <c r="CG210" i="6"/>
  <c r="DD210" i="6" a="1"/>
  <c r="DD210" i="6" s="1"/>
  <c r="CX210" i="6" a="1"/>
  <c r="CX210" i="6" s="1"/>
  <c r="DK210" i="6" a="1"/>
  <c r="DK210" i="6" s="1"/>
  <c r="CW210" i="6" a="1"/>
  <c r="CW210" i="6" s="1"/>
  <c r="BZ210" i="6"/>
  <c r="BT210" i="6"/>
  <c r="BX210" i="6"/>
  <c r="CZ210" i="6" a="1"/>
  <c r="CZ210" i="6" s="1"/>
  <c r="CR210" i="6"/>
  <c r="CB210" i="6"/>
  <c r="CM210" i="6"/>
  <c r="BP210" i="6"/>
  <c r="CF210" i="6"/>
  <c r="DB210" i="6" a="1"/>
  <c r="DB210" i="6" s="1"/>
  <c r="BL210" i="6"/>
  <c r="DQ210" i="6" a="1"/>
  <c r="DQ210" i="6" s="1"/>
  <c r="DA210" i="6" a="1"/>
  <c r="DA210" i="6" s="1"/>
  <c r="BQ210" i="6"/>
  <c r="CD210" i="6"/>
  <c r="CQ210" i="6"/>
  <c r="CL210" i="6"/>
  <c r="CJ210" i="6"/>
  <c r="DE210" i="6" a="1"/>
  <c r="DE210" i="6" s="1"/>
  <c r="CY210" i="6" a="1"/>
  <c r="CY210" i="6" s="1"/>
  <c r="L212" i="12" a="1"/>
  <c r="L212" i="12" s="1"/>
  <c r="J212" i="12" a="1"/>
  <c r="J212" i="12" s="1"/>
  <c r="K211" i="12"/>
  <c r="L220" i="6"/>
  <c r="CH211" i="6" l="1"/>
  <c r="DM211" i="6" a="1"/>
  <c r="DM211" i="6" s="1"/>
  <c r="CT211" i="6" a="1"/>
  <c r="CT211" i="6" s="1"/>
  <c r="DB211" i="6" a="1"/>
  <c r="DB211" i="6" s="1"/>
  <c r="DF211" i="6" a="1"/>
  <c r="DF211" i="6" s="1"/>
  <c r="BY211" i="6"/>
  <c r="DQ211" i="6" a="1"/>
  <c r="DQ211" i="6" s="1"/>
  <c r="DN211" i="6" a="1"/>
  <c r="DN211" i="6" s="1"/>
  <c r="CV211" i="6" a="1"/>
  <c r="CV211" i="6" s="1"/>
  <c r="CL211" i="6"/>
  <c r="CK211" i="6"/>
  <c r="BP212" i="6"/>
  <c r="DC212" i="6" a="1"/>
  <c r="DC212" i="6" s="1"/>
  <c r="BM212" i="6"/>
  <c r="CL212" i="6"/>
  <c r="BQ212" i="6"/>
  <c r="DI212" i="6" a="1"/>
  <c r="DI212" i="6" s="1"/>
  <c r="BZ212" i="6"/>
  <c r="CB212" i="6"/>
  <c r="CA212" i="6"/>
  <c r="DN212" i="6" a="1"/>
  <c r="DN212" i="6" s="1"/>
  <c r="CV212" i="6" a="1"/>
  <c r="CV212" i="6" s="1"/>
  <c r="CW212" i="6" a="1"/>
  <c r="CW212" i="6" s="1"/>
  <c r="CD212" i="6"/>
  <c r="DK212" i="6" a="1"/>
  <c r="DK212" i="6" s="1"/>
  <c r="BY212" i="6"/>
  <c r="DG212" i="6" a="1"/>
  <c r="DG212" i="6" s="1"/>
  <c r="DQ212" i="6" a="1"/>
  <c r="DQ212" i="6" s="1"/>
  <c r="CY212" i="6" a="1"/>
  <c r="CY212" i="6" s="1"/>
  <c r="CH212" i="6"/>
  <c r="BN212" i="6"/>
  <c r="CX212" i="6" a="1"/>
  <c r="CX212" i="6" s="1"/>
  <c r="BX212" i="6"/>
  <c r="CR212" i="6"/>
  <c r="BO212" i="6"/>
  <c r="DR212" i="6" a="1"/>
  <c r="DR212" i="6" s="1"/>
  <c r="CN212" i="6"/>
  <c r="DM212" i="6" a="1"/>
  <c r="DM212" i="6" s="1"/>
  <c r="CG212" i="6"/>
  <c r="CT212" i="6" a="1"/>
  <c r="CT212" i="6" s="1"/>
  <c r="DS212" i="6" a="1"/>
  <c r="DS212" i="6" s="1"/>
  <c r="CC212" i="6"/>
  <c r="DB212" i="6" a="1"/>
  <c r="DB212" i="6" s="1"/>
  <c r="CZ212" i="6" a="1"/>
  <c r="CZ212" i="6" s="1"/>
  <c r="BL212" i="6"/>
  <c r="CE212" i="6"/>
  <c r="CI212" i="6"/>
  <c r="DP212" i="6" a="1"/>
  <c r="DP212" i="6" s="1"/>
  <c r="CP212" i="6"/>
  <c r="DF212" i="6" a="1"/>
  <c r="DF212" i="6" s="1"/>
  <c r="CK212" i="6"/>
  <c r="DH212" i="6" a="1"/>
  <c r="DH212" i="6" s="1"/>
  <c r="CF212" i="6"/>
  <c r="BT212" i="6"/>
  <c r="DJ212" i="6" a="1"/>
  <c r="DJ212" i="6" s="1"/>
  <c r="DA212" i="6" a="1"/>
  <c r="DA212" i="6" s="1"/>
  <c r="CJ212" i="6"/>
  <c r="DD212" i="6" a="1"/>
  <c r="DD212" i="6" s="1"/>
  <c r="BV212" i="6"/>
  <c r="BU212" i="6"/>
  <c r="DL212" i="6" a="1"/>
  <c r="DL212" i="6" s="1"/>
  <c r="CO212" i="6"/>
  <c r="CD211" i="6"/>
  <c r="BW212" i="6"/>
  <c r="CU212" i="6" a="1"/>
  <c r="CU212" i="6" s="1"/>
  <c r="DO212" i="6" a="1"/>
  <c r="DO212" i="6" s="1"/>
  <c r="DE212" i="6" a="1"/>
  <c r="DE212" i="6" s="1"/>
  <c r="CQ212" i="6"/>
  <c r="BS212" i="6"/>
  <c r="CF211" i="6"/>
  <c r="DR211" i="6" a="1"/>
  <c r="DR211" i="6" s="1"/>
  <c r="DS211" i="6" a="1"/>
  <c r="DS211" i="6" s="1"/>
  <c r="BS211" i="6"/>
  <c r="DI211" i="6" a="1"/>
  <c r="DI211" i="6" s="1"/>
  <c r="CB211" i="6"/>
  <c r="CY211" i="6" a="1"/>
  <c r="CY211" i="6" s="1"/>
  <c r="DP211" i="6" a="1"/>
  <c r="DP211" i="6" s="1"/>
  <c r="DC211" i="6" a="1"/>
  <c r="DC211" i="6" s="1"/>
  <c r="CE211" i="6"/>
  <c r="DH211" i="6" a="1"/>
  <c r="DH211" i="6" s="1"/>
  <c r="DO211" i="6" a="1"/>
  <c r="DO211" i="6" s="1"/>
  <c r="CQ211" i="6"/>
  <c r="DJ211" i="6" a="1"/>
  <c r="DJ211" i="6" s="1"/>
  <c r="CA211" i="6"/>
  <c r="CZ211" i="6" a="1"/>
  <c r="CZ211" i="6" s="1"/>
  <c r="CG211" i="6"/>
  <c r="BX211" i="6"/>
  <c r="BT211" i="6"/>
  <c r="CU211" i="6" a="1"/>
  <c r="CU211" i="6" s="1"/>
  <c r="CC211" i="6"/>
  <c r="BQ211" i="6"/>
  <c r="BW211" i="6"/>
  <c r="CX211" i="6" a="1"/>
  <c r="CX211" i="6" s="1"/>
  <c r="CP211" i="6"/>
  <c r="BU211" i="6"/>
  <c r="CR211" i="6"/>
  <c r="DL211" i="6" a="1"/>
  <c r="DL211" i="6" s="1"/>
  <c r="BL211" i="6"/>
  <c r="CN211" i="6"/>
  <c r="DE211" i="6" a="1"/>
  <c r="DE211" i="6" s="1"/>
  <c r="BZ211" i="6"/>
  <c r="DK211" i="6" a="1"/>
  <c r="DK211" i="6" s="1"/>
  <c r="CW211" i="6" a="1"/>
  <c r="CW211" i="6" s="1"/>
  <c r="DG211" i="6" a="1"/>
  <c r="DG211" i="6" s="1"/>
  <c r="BN211" i="6"/>
  <c r="BO211" i="6"/>
  <c r="DD211" i="6" a="1"/>
  <c r="DD211" i="6" s="1"/>
  <c r="BV211" i="6"/>
  <c r="CI211" i="6"/>
  <c r="CJ211" i="6"/>
  <c r="CM211" i="6"/>
  <c r="CO211" i="6"/>
  <c r="BP211" i="6"/>
  <c r="DA211" i="6" a="1"/>
  <c r="DA211" i="6" s="1"/>
  <c r="BM211" i="6"/>
  <c r="K212" i="12"/>
  <c r="A213" i="6"/>
  <c r="M213" i="6" s="1"/>
  <c r="N212" i="6"/>
  <c r="D214" i="5"/>
  <c r="B214" i="12" s="1"/>
  <c r="B214" i="6"/>
  <c r="K214" i="5"/>
  <c r="B214" i="5"/>
  <c r="N214" i="5"/>
  <c r="D214" i="6" s="1"/>
  <c r="H214" i="6" s="1" a="1"/>
  <c r="H214" i="6" s="1"/>
  <c r="T214" i="5" s="1"/>
  <c r="G214" i="12" s="1" a="1"/>
  <c r="G214" i="12" s="1"/>
  <c r="H214" i="5"/>
  <c r="J214" i="5"/>
  <c r="F214" i="5"/>
  <c r="G214" i="5"/>
  <c r="A214" i="12"/>
  <c r="AD214" i="5"/>
  <c r="C215" i="5"/>
  <c r="E214" i="5"/>
  <c r="AE214" i="5" a="1"/>
  <c r="AE214" i="5" s="1"/>
  <c r="J213" i="12" a="1"/>
  <c r="J213" i="12" s="1"/>
  <c r="L213" i="12" a="1"/>
  <c r="L213" i="12" s="1"/>
  <c r="L221" i="6"/>
  <c r="DL213" i="6" l="1" a="1"/>
  <c r="DL213" i="6" s="1"/>
  <c r="BQ213" i="6"/>
  <c r="BO213" i="6"/>
  <c r="DE213" i="6" a="1"/>
  <c r="DE213" i="6" s="1"/>
  <c r="CN213" i="6"/>
  <c r="CW213" i="6" a="1"/>
  <c r="CW213" i="6" s="1"/>
  <c r="CT213" i="6" a="1"/>
  <c r="CT213" i="6" s="1"/>
  <c r="CF213" i="6"/>
  <c r="CG213" i="6"/>
  <c r="DR213" i="6" a="1"/>
  <c r="DR213" i="6" s="1"/>
  <c r="CJ213" i="6"/>
  <c r="BS213" i="6"/>
  <c r="DQ213" i="6" a="1"/>
  <c r="DQ213" i="6" s="1"/>
  <c r="CD213" i="6"/>
  <c r="BM213" i="6"/>
  <c r="CR213" i="6"/>
  <c r="DK213" i="6" a="1"/>
  <c r="DK213" i="6" s="1"/>
  <c r="CY213" i="6" a="1"/>
  <c r="CY213" i="6" s="1"/>
  <c r="DH213" i="6" a="1"/>
  <c r="DH213" i="6" s="1"/>
  <c r="BW213" i="6"/>
  <c r="CM213" i="6"/>
  <c r="CQ213" i="6"/>
  <c r="BN213" i="6"/>
  <c r="BT213" i="6"/>
  <c r="CH213" i="6"/>
  <c r="CB213" i="6"/>
  <c r="CC213" i="6"/>
  <c r="DJ213" i="6" a="1"/>
  <c r="DJ213" i="6" s="1"/>
  <c r="DM213" i="6" a="1"/>
  <c r="DM213" i="6" s="1"/>
  <c r="DB213" i="6" a="1"/>
  <c r="DB213" i="6" s="1"/>
  <c r="BU213" i="6"/>
  <c r="CI213" i="6"/>
  <c r="DA213" i="6" a="1"/>
  <c r="DA213" i="6" s="1"/>
  <c r="CV213" i="6" a="1"/>
  <c r="CV213" i="6" s="1"/>
  <c r="DI213" i="6" a="1"/>
  <c r="DI213" i="6" s="1"/>
  <c r="DN213" i="6" a="1"/>
  <c r="DN213" i="6" s="1"/>
  <c r="BP213" i="6"/>
  <c r="CZ213" i="6" a="1"/>
  <c r="CZ213" i="6" s="1"/>
  <c r="CA213" i="6"/>
  <c r="DF213" i="6" a="1"/>
  <c r="DF213" i="6" s="1"/>
  <c r="DS213" i="6" a="1"/>
  <c r="DS213" i="6" s="1"/>
  <c r="CL213" i="6"/>
  <c r="BZ213" i="6"/>
  <c r="BY213" i="6"/>
  <c r="CE213" i="6"/>
  <c r="DP213" i="6" a="1"/>
  <c r="DP213" i="6" s="1"/>
  <c r="CK213" i="6"/>
  <c r="DD213" i="6" a="1"/>
  <c r="DD213" i="6" s="1"/>
  <c r="DC213" i="6" a="1"/>
  <c r="DC213" i="6" s="1"/>
  <c r="K213" i="12"/>
  <c r="CP213" i="6"/>
  <c r="BX213" i="6"/>
  <c r="CO213" i="6"/>
  <c r="BL213" i="6"/>
  <c r="DG213" i="6" a="1"/>
  <c r="DG213" i="6" s="1"/>
  <c r="DO213" i="6" a="1"/>
  <c r="DO213" i="6" s="1"/>
  <c r="BV213" i="6"/>
  <c r="CX213" i="6" a="1"/>
  <c r="CX213" i="6" s="1"/>
  <c r="CU213" i="6" a="1"/>
  <c r="CU213" i="6" s="1"/>
  <c r="N213" i="6"/>
  <c r="B215" i="5"/>
  <c r="AE215" i="5" a="1"/>
  <c r="AE215" i="5" s="1"/>
  <c r="G215" i="5"/>
  <c r="AD215" i="5"/>
  <c r="K215" i="5"/>
  <c r="F215" i="5"/>
  <c r="E215" i="5"/>
  <c r="C216" i="5"/>
  <c r="H215" i="5"/>
  <c r="N215" i="5"/>
  <c r="D215" i="6" s="1"/>
  <c r="H215" i="6" s="1" a="1"/>
  <c r="H215" i="6" s="1"/>
  <c r="T215" i="5" s="1"/>
  <c r="G215" i="12" s="1" a="1"/>
  <c r="G215" i="12" s="1"/>
  <c r="A215" i="12"/>
  <c r="J215" i="5"/>
  <c r="B215" i="6"/>
  <c r="D215" i="5"/>
  <c r="B215" i="12" s="1"/>
  <c r="L214" i="12" a="1"/>
  <c r="L214" i="12" s="1"/>
  <c r="J214" i="12" a="1"/>
  <c r="J214" i="12" s="1"/>
  <c r="A214" i="6"/>
  <c r="N214" i="6" s="1"/>
  <c r="L222" i="6"/>
  <c r="L223" i="6" s="1"/>
  <c r="L224" i="6" l="1"/>
  <c r="L225" i="6" s="1"/>
  <c r="A215" i="6"/>
  <c r="N215" i="6" s="1"/>
  <c r="M214" i="6"/>
  <c r="A216" i="12"/>
  <c r="AE216" i="5" a="1"/>
  <c r="AE216" i="5" s="1"/>
  <c r="B216" i="6"/>
  <c r="K216" i="5"/>
  <c r="AD216" i="5"/>
  <c r="F216" i="5"/>
  <c r="J216" i="5"/>
  <c r="N216" i="5"/>
  <c r="D216" i="6" s="1"/>
  <c r="H216" i="6" s="1" a="1"/>
  <c r="H216" i="6" s="1"/>
  <c r="T216" i="5" s="1"/>
  <c r="G216" i="12" s="1" a="1"/>
  <c r="G216" i="12" s="1"/>
  <c r="B216" i="5"/>
  <c r="C217" i="5" s="1"/>
  <c r="D216" i="5"/>
  <c r="B216" i="12" s="1"/>
  <c r="E216" i="5"/>
  <c r="G216" i="5"/>
  <c r="H216" i="5"/>
  <c r="L215" i="12" a="1"/>
  <c r="L215" i="12" s="1"/>
  <c r="J215" i="12" a="1"/>
  <c r="J215" i="12" s="1"/>
  <c r="K214" i="12"/>
  <c r="DN214" i="6" l="1" a="1"/>
  <c r="DN214" i="6" s="1"/>
  <c r="M215" i="6"/>
  <c r="CL215" i="6" s="1"/>
  <c r="K215" i="12"/>
  <c r="CH214" i="6"/>
  <c r="BL214" i="6"/>
  <c r="BP214" i="6"/>
  <c r="DD214" i="6" a="1"/>
  <c r="DD214" i="6" s="1"/>
  <c r="CT214" i="6" a="1"/>
  <c r="CT214" i="6" s="1"/>
  <c r="DA214" i="6" a="1"/>
  <c r="DA214" i="6" s="1"/>
  <c r="BN214" i="6"/>
  <c r="CG214" i="6"/>
  <c r="BY214" i="6"/>
  <c r="CZ214" i="6" a="1"/>
  <c r="CZ214" i="6" s="1"/>
  <c r="BZ214" i="6"/>
  <c r="BO214" i="6"/>
  <c r="DR214" i="6" a="1"/>
  <c r="DR214" i="6" s="1"/>
  <c r="CE214" i="6"/>
  <c r="CV214" i="6" a="1"/>
  <c r="CV214" i="6" s="1"/>
  <c r="BV214" i="6"/>
  <c r="CA214" i="6"/>
  <c r="CI214" i="6"/>
  <c r="DL214" i="6" a="1"/>
  <c r="DL214" i="6" s="1"/>
  <c r="DQ214" i="6" a="1"/>
  <c r="DQ214" i="6" s="1"/>
  <c r="CL214" i="6"/>
  <c r="DH214" i="6" a="1"/>
  <c r="DH214" i="6" s="1"/>
  <c r="CK214" i="6"/>
  <c r="CY214" i="6" a="1"/>
  <c r="CY214" i="6" s="1"/>
  <c r="BU214" i="6"/>
  <c r="DP214" i="6" a="1"/>
  <c r="DP214" i="6" s="1"/>
  <c r="BQ214" i="6"/>
  <c r="CQ214" i="6"/>
  <c r="CB214" i="6"/>
  <c r="DB214" i="6" a="1"/>
  <c r="DB214" i="6" s="1"/>
  <c r="CJ214" i="6"/>
  <c r="CX214" i="6" a="1"/>
  <c r="CX214" i="6" s="1"/>
  <c r="DM214" i="6" a="1"/>
  <c r="DM214" i="6" s="1"/>
  <c r="CO214" i="6"/>
  <c r="CC214" i="6"/>
  <c r="DG214" i="6" a="1"/>
  <c r="DG214" i="6" s="1"/>
  <c r="BX214" i="6"/>
  <c r="CF214" i="6"/>
  <c r="CN214" i="6"/>
  <c r="DK214" i="6" a="1"/>
  <c r="DK214" i="6" s="1"/>
  <c r="CP214" i="6"/>
  <c r="DC214" i="6" a="1"/>
  <c r="DC214" i="6" s="1"/>
  <c r="BM214" i="6"/>
  <c r="CW214" i="6" a="1"/>
  <c r="CW214" i="6" s="1"/>
  <c r="BW214" i="6"/>
  <c r="DO214" i="6" a="1"/>
  <c r="DO214" i="6" s="1"/>
  <c r="CU214" i="6" a="1"/>
  <c r="CU214" i="6" s="1"/>
  <c r="BS214" i="6"/>
  <c r="DF214" i="6" a="1"/>
  <c r="DF214" i="6" s="1"/>
  <c r="DJ214" i="6" a="1"/>
  <c r="DJ214" i="6" s="1"/>
  <c r="BT214" i="6"/>
  <c r="DE214" i="6" a="1"/>
  <c r="DE214" i="6" s="1"/>
  <c r="DS214" i="6" a="1"/>
  <c r="DS214" i="6" s="1"/>
  <c r="DI214" i="6" a="1"/>
  <c r="DI214" i="6" s="1"/>
  <c r="CR214" i="6"/>
  <c r="CD214" i="6"/>
  <c r="CM214" i="6"/>
  <c r="A216" i="6"/>
  <c r="N216" i="6" s="1"/>
  <c r="AE217" i="5" a="1"/>
  <c r="AE217" i="5" s="1"/>
  <c r="AF217" i="5" a="1"/>
  <c r="AF217" i="5" s="1"/>
  <c r="AG217" i="5" s="1" a="1"/>
  <c r="AG217" i="5" s="1"/>
  <c r="U217" i="5" s="1"/>
  <c r="AN217" i="5" s="1" a="1"/>
  <c r="AN217" i="5" s="1"/>
  <c r="A217" i="12"/>
  <c r="W217" i="5" a="1"/>
  <c r="W217" i="5" s="1"/>
  <c r="H217" i="12" s="1" a="1"/>
  <c r="H217" i="12" s="1"/>
  <c r="H217" i="5"/>
  <c r="AD217" i="5"/>
  <c r="E217" i="5"/>
  <c r="C218" i="5"/>
  <c r="B217" i="6"/>
  <c r="F217" i="5"/>
  <c r="I217" i="5"/>
  <c r="G217" i="5"/>
  <c r="B217" i="5"/>
  <c r="N217" i="5"/>
  <c r="D217" i="6" s="1"/>
  <c r="M217" i="6" s="1"/>
  <c r="L216" i="12" a="1"/>
  <c r="L216" i="12" s="1"/>
  <c r="J216" i="12" a="1"/>
  <c r="J216" i="12" s="1"/>
  <c r="F225" i="6"/>
  <c r="L226" i="6"/>
  <c r="A217" i="6" l="1"/>
  <c r="CP215" i="6"/>
  <c r="DF215" i="6" a="1"/>
  <c r="DF215" i="6" s="1"/>
  <c r="DE215" i="6" a="1"/>
  <c r="DE215" i="6" s="1"/>
  <c r="DK215" i="6" a="1"/>
  <c r="DK215" i="6" s="1"/>
  <c r="BS215" i="6"/>
  <c r="CV215" i="6" a="1"/>
  <c r="CV215" i="6" s="1"/>
  <c r="DM215" i="6" a="1"/>
  <c r="DM215" i="6" s="1"/>
  <c r="BN215" i="6"/>
  <c r="BX215" i="6"/>
  <c r="DI215" i="6" a="1"/>
  <c r="DI215" i="6" s="1"/>
  <c r="BU215" i="6"/>
  <c r="DS215" i="6" a="1"/>
  <c r="DS215" i="6" s="1"/>
  <c r="BT215" i="6"/>
  <c r="CR215" i="6"/>
  <c r="DA215" i="6" a="1"/>
  <c r="DA215" i="6" s="1"/>
  <c r="CC215" i="6"/>
  <c r="CX215" i="6" a="1"/>
  <c r="CX215" i="6" s="1"/>
  <c r="DJ215" i="6" a="1"/>
  <c r="DJ215" i="6" s="1"/>
  <c r="CB215" i="6"/>
  <c r="BO215" i="6"/>
  <c r="BP215" i="6"/>
  <c r="DN215" i="6" a="1"/>
  <c r="DN215" i="6" s="1"/>
  <c r="DR215" i="6" a="1"/>
  <c r="DR215" i="6" s="1"/>
  <c r="CO215" i="6"/>
  <c r="DL215" i="6" a="1"/>
  <c r="DL215" i="6" s="1"/>
  <c r="CZ215" i="6" a="1"/>
  <c r="CZ215" i="6" s="1"/>
  <c r="DC215" i="6" a="1"/>
  <c r="DC215" i="6" s="1"/>
  <c r="CD215" i="6"/>
  <c r="CF215" i="6"/>
  <c r="BM215" i="6"/>
  <c r="CU215" i="6" a="1"/>
  <c r="CU215" i="6" s="1"/>
  <c r="CI215" i="6"/>
  <c r="DB215" i="6" a="1"/>
  <c r="DB215" i="6" s="1"/>
  <c r="DD215" i="6" a="1"/>
  <c r="DD215" i="6" s="1"/>
  <c r="DG215" i="6" a="1"/>
  <c r="DG215" i="6" s="1"/>
  <c r="BL215" i="6"/>
  <c r="DP215" i="6" a="1"/>
  <c r="DP215" i="6" s="1"/>
  <c r="DH215" i="6" a="1"/>
  <c r="DH215" i="6" s="1"/>
  <c r="DO215" i="6" a="1"/>
  <c r="DO215" i="6" s="1"/>
  <c r="CQ215" i="6"/>
  <c r="CE215" i="6"/>
  <c r="CG215" i="6"/>
  <c r="CK215" i="6"/>
  <c r="CJ215" i="6"/>
  <c r="BY215" i="6"/>
  <c r="CM215" i="6"/>
  <c r="CW215" i="6" a="1"/>
  <c r="CW215" i="6" s="1"/>
  <c r="BW215" i="6"/>
  <c r="CA215" i="6"/>
  <c r="CN215" i="6"/>
  <c r="CY215" i="6" a="1"/>
  <c r="CY215" i="6" s="1"/>
  <c r="CH215" i="6"/>
  <c r="BV215" i="6"/>
  <c r="BZ215" i="6"/>
  <c r="DQ215" i="6" a="1"/>
  <c r="DQ215" i="6" s="1"/>
  <c r="CT215" i="6" a="1"/>
  <c r="CT215" i="6" s="1"/>
  <c r="BQ215" i="6"/>
  <c r="N217" i="6"/>
  <c r="K218" i="5"/>
  <c r="H218" i="5"/>
  <c r="B218" i="6"/>
  <c r="AE218" i="5" a="1"/>
  <c r="AE218" i="5" s="1"/>
  <c r="A218" i="12"/>
  <c r="AD218" i="5"/>
  <c r="N218" i="5"/>
  <c r="D218" i="6" s="1"/>
  <c r="H218" i="6" s="1" a="1"/>
  <c r="H218" i="6" s="1"/>
  <c r="T218" i="5" s="1"/>
  <c r="G218" i="12" s="1" a="1"/>
  <c r="G218" i="12" s="1"/>
  <c r="C219" i="5"/>
  <c r="E218" i="5"/>
  <c r="J218" i="5"/>
  <c r="F218" i="5"/>
  <c r="G218" i="5"/>
  <c r="B218" i="5"/>
  <c r="D218" i="5"/>
  <c r="B218" i="12" s="1"/>
  <c r="K216" i="12"/>
  <c r="M216" i="6"/>
  <c r="G217" i="6"/>
  <c r="H217" i="6" a="1"/>
  <c r="H217" i="6" s="1"/>
  <c r="T217" i="5" s="1"/>
  <c r="G217" i="12" s="1" a="1"/>
  <c r="G217" i="12" s="1"/>
  <c r="L227" i="6"/>
  <c r="DM217" i="6" a="1"/>
  <c r="DM217" i="6" s="1"/>
  <c r="DG217" i="6" a="1"/>
  <c r="DG217" i="6" s="1"/>
  <c r="CB217" i="6"/>
  <c r="DR217" i="6" a="1"/>
  <c r="DR217" i="6" s="1"/>
  <c r="DD217" i="6" a="1"/>
  <c r="DD217" i="6" s="1"/>
  <c r="CJ217" i="6"/>
  <c r="DQ217" i="6" a="1"/>
  <c r="DQ217" i="6" s="1"/>
  <c r="CL217" i="6"/>
  <c r="CH217" i="6"/>
  <c r="DC217" i="6" a="1"/>
  <c r="DC217" i="6" s="1"/>
  <c r="CV217" i="6" a="1"/>
  <c r="CV217" i="6" s="1"/>
  <c r="CZ217" i="6" a="1"/>
  <c r="CZ217" i="6" s="1"/>
  <c r="DP217" i="6" a="1"/>
  <c r="DP217" i="6" s="1"/>
  <c r="CK217" i="6"/>
  <c r="CG217" i="6"/>
  <c r="CC217" i="6"/>
  <c r="CW217" i="6" a="1"/>
  <c r="CW217" i="6" s="1"/>
  <c r="BU217" i="6"/>
  <c r="CP217" i="6"/>
  <c r="BZ217" i="6"/>
  <c r="CM217" i="6"/>
  <c r="BX217" i="6"/>
  <c r="CN217" i="6"/>
  <c r="DB217" i="6" a="1"/>
  <c r="DB217" i="6" s="1"/>
  <c r="CX217" i="6" a="1"/>
  <c r="CX217" i="6" s="1"/>
  <c r="DO217" i="6" a="1"/>
  <c r="DO217" i="6" s="1"/>
  <c r="CQ217" i="6"/>
  <c r="CE217" i="6"/>
  <c r="BW217" i="6"/>
  <c r="DA217" i="6" a="1"/>
  <c r="DA217" i="6" s="1"/>
  <c r="DL217" i="6" a="1"/>
  <c r="DL217" i="6" s="1"/>
  <c r="CD217" i="6"/>
  <c r="CU217" i="6" a="1"/>
  <c r="CU217" i="6" s="1"/>
  <c r="DH217" i="6" a="1"/>
  <c r="DH217" i="6" s="1"/>
  <c r="DS217" i="6" a="1"/>
  <c r="DS217" i="6" s="1"/>
  <c r="BY217" i="6"/>
  <c r="DI217" i="6" a="1"/>
  <c r="DI217" i="6" s="1"/>
  <c r="DE217" i="6" a="1"/>
  <c r="DE217" i="6" s="1"/>
  <c r="CR217" i="6"/>
  <c r="CY217" i="6" a="1"/>
  <c r="CY217" i="6" s="1"/>
  <c r="BV217" i="6"/>
  <c r="DK217" i="6" a="1"/>
  <c r="DK217" i="6" s="1"/>
  <c r="CO217" i="6"/>
  <c r="CA217" i="6"/>
  <c r="DJ217" i="6" a="1"/>
  <c r="DJ217" i="6" s="1"/>
  <c r="BT217" i="6"/>
  <c r="DN217" i="6" a="1"/>
  <c r="DN217" i="6" s="1"/>
  <c r="DF217" i="6" a="1"/>
  <c r="DF217" i="6" s="1"/>
  <c r="CI217" i="6"/>
  <c r="CT217" i="6" a="1"/>
  <c r="CT217" i="6" s="1"/>
  <c r="CF217" i="6"/>
  <c r="BS217" i="6"/>
  <c r="AS217" i="6" l="1"/>
  <c r="BL217" i="6"/>
  <c r="BQ217" i="6"/>
  <c r="BN217" i="6"/>
  <c r="AZ217" i="6"/>
  <c r="BJ217" i="6"/>
  <c r="AT217" i="6"/>
  <c r="BM217" i="6"/>
  <c r="BB217" i="6"/>
  <c r="BC217" i="6"/>
  <c r="BF217" i="6"/>
  <c r="BO217" i="6"/>
  <c r="AR217" i="6"/>
  <c r="AW217" i="6"/>
  <c r="BE217" i="6"/>
  <c r="AY217" i="6"/>
  <c r="BG217" i="6"/>
  <c r="BD217" i="6"/>
  <c r="AX217" i="6"/>
  <c r="BP217" i="6"/>
  <c r="BA217" i="6"/>
  <c r="BH217" i="6"/>
  <c r="BI217" i="6"/>
  <c r="AU217" i="6"/>
  <c r="AV217" i="6"/>
  <c r="BK217" i="6"/>
  <c r="DL216" i="6" a="1"/>
  <c r="DL216" i="6" s="1"/>
  <c r="CL216" i="6"/>
  <c r="CT216" i="6" a="1"/>
  <c r="CT216" i="6" s="1"/>
  <c r="DH216" i="6" a="1"/>
  <c r="DH216" i="6" s="1"/>
  <c r="CP216" i="6"/>
  <c r="CM216" i="6"/>
  <c r="CR216" i="6"/>
  <c r="BN216" i="6"/>
  <c r="CX216" i="6" a="1"/>
  <c r="CX216" i="6" s="1"/>
  <c r="CK216" i="6"/>
  <c r="BP216" i="6"/>
  <c r="CO216" i="6"/>
  <c r="CJ216" i="6"/>
  <c r="BY216" i="6"/>
  <c r="DP216" i="6" a="1"/>
  <c r="DP216" i="6" s="1"/>
  <c r="CE216" i="6"/>
  <c r="BU216" i="6"/>
  <c r="CC216" i="6"/>
  <c r="BO216" i="6"/>
  <c r="DR216" i="6" a="1"/>
  <c r="DR216" i="6" s="1"/>
  <c r="CY216" i="6" a="1"/>
  <c r="CY216" i="6" s="1"/>
  <c r="CA216" i="6"/>
  <c r="BZ216" i="6"/>
  <c r="BS216" i="6"/>
  <c r="CZ216" i="6" a="1"/>
  <c r="CZ216" i="6" s="1"/>
  <c r="DE216" i="6" a="1"/>
  <c r="DE216" i="6" s="1"/>
  <c r="DF216" i="6" a="1"/>
  <c r="DF216" i="6" s="1"/>
  <c r="CV216" i="6" a="1"/>
  <c r="CV216" i="6" s="1"/>
  <c r="CU216" i="6" a="1"/>
  <c r="CU216" i="6" s="1"/>
  <c r="DB216" i="6" a="1"/>
  <c r="DB216" i="6" s="1"/>
  <c r="DQ216" i="6" a="1"/>
  <c r="DQ216" i="6" s="1"/>
  <c r="BW216" i="6"/>
  <c r="BX216" i="6"/>
  <c r="CQ216" i="6"/>
  <c r="CH216" i="6"/>
  <c r="BV216" i="6"/>
  <c r="DG216" i="6" a="1"/>
  <c r="DG216" i="6" s="1"/>
  <c r="CB216" i="6"/>
  <c r="DI216" i="6" a="1"/>
  <c r="DI216" i="6" s="1"/>
  <c r="CD216" i="6"/>
  <c r="CN216" i="6"/>
  <c r="DD216" i="6" a="1"/>
  <c r="DD216" i="6" s="1"/>
  <c r="CF216" i="6"/>
  <c r="DC216" i="6" a="1"/>
  <c r="DC216" i="6" s="1"/>
  <c r="DM216" i="6" a="1"/>
  <c r="DM216" i="6" s="1"/>
  <c r="DA216" i="6" a="1"/>
  <c r="DA216" i="6" s="1"/>
  <c r="BL216" i="6"/>
  <c r="CW216" i="6" a="1"/>
  <c r="CW216" i="6" s="1"/>
  <c r="DJ216" i="6" a="1"/>
  <c r="DJ216" i="6" s="1"/>
  <c r="CG216" i="6"/>
  <c r="CI216" i="6"/>
  <c r="DO216" i="6" a="1"/>
  <c r="DO216" i="6" s="1"/>
  <c r="DK216" i="6" a="1"/>
  <c r="DK216" i="6" s="1"/>
  <c r="DN216" i="6" a="1"/>
  <c r="DN216" i="6" s="1"/>
  <c r="BM216" i="6"/>
  <c r="DS216" i="6" a="1"/>
  <c r="DS216" i="6" s="1"/>
  <c r="BQ216" i="6"/>
  <c r="BT216" i="6"/>
  <c r="G219" i="5"/>
  <c r="F219" i="5"/>
  <c r="B219" i="6"/>
  <c r="AD219" i="5"/>
  <c r="AE219" i="5" a="1"/>
  <c r="AE219" i="5" s="1"/>
  <c r="J219" i="5"/>
  <c r="C220" i="5"/>
  <c r="K219" i="5"/>
  <c r="A219" i="12"/>
  <c r="N219" i="5"/>
  <c r="D219" i="6" s="1"/>
  <c r="H219" i="6" s="1" a="1"/>
  <c r="H219" i="6" s="1"/>
  <c r="T219" i="5" s="1"/>
  <c r="G219" i="12" s="1" a="1"/>
  <c r="G219" i="12" s="1"/>
  <c r="B219" i="5"/>
  <c r="H219" i="5"/>
  <c r="D219" i="5"/>
  <c r="B219" i="12" s="1"/>
  <c r="E219" i="5"/>
  <c r="J218" i="12" a="1"/>
  <c r="J218" i="12" s="1"/>
  <c r="L218" i="12" a="1"/>
  <c r="L218" i="12" s="1"/>
  <c r="A218" i="6"/>
  <c r="N218" i="6" s="1"/>
  <c r="L228" i="6"/>
  <c r="K218" i="12" l="1"/>
  <c r="M218" i="6"/>
  <c r="A219" i="6"/>
  <c r="L219" i="12" a="1"/>
  <c r="L219" i="12" s="1"/>
  <c r="J219" i="12" a="1"/>
  <c r="J219" i="12" s="1"/>
  <c r="D220" i="5"/>
  <c r="B220" i="12" s="1"/>
  <c r="AD220" i="5"/>
  <c r="AE220" i="5" a="1"/>
  <c r="AE220" i="5" s="1"/>
  <c r="G220" i="5"/>
  <c r="J220" i="5"/>
  <c r="B220" i="6"/>
  <c r="H220" i="5"/>
  <c r="C221" i="5"/>
  <c r="K220" i="5"/>
  <c r="F220" i="5"/>
  <c r="E220" i="5"/>
  <c r="A220" i="12"/>
  <c r="B220" i="5"/>
  <c r="N220" i="5"/>
  <c r="D220" i="6" s="1"/>
  <c r="H220" i="6" s="1" a="1"/>
  <c r="H220" i="6" s="1"/>
  <c r="T220" i="5" s="1"/>
  <c r="G220" i="12" s="1" a="1"/>
  <c r="G220" i="12" s="1"/>
  <c r="L229" i="6"/>
  <c r="BV218" i="6" l="1"/>
  <c r="CM218" i="6"/>
  <c r="DQ218" i="6" a="1"/>
  <c r="DQ218" i="6" s="1"/>
  <c r="BL218" i="6"/>
  <c r="DF218" i="6" a="1"/>
  <c r="DF218" i="6" s="1"/>
  <c r="CL218" i="6"/>
  <c r="DL218" i="6" a="1"/>
  <c r="DL218" i="6" s="1"/>
  <c r="DS218" i="6" a="1"/>
  <c r="DS218" i="6" s="1"/>
  <c r="CT218" i="6" a="1"/>
  <c r="CT218" i="6" s="1"/>
  <c r="CB218" i="6"/>
  <c r="CW218" i="6" a="1"/>
  <c r="CW218" i="6" s="1"/>
  <c r="BZ218" i="6"/>
  <c r="BS218" i="6"/>
  <c r="CK218" i="6"/>
  <c r="DK218" i="6" a="1"/>
  <c r="DK218" i="6" s="1"/>
  <c r="CX218" i="6" a="1"/>
  <c r="CX218" i="6" s="1"/>
  <c r="BU218" i="6"/>
  <c r="CI218" i="6"/>
  <c r="CE218" i="6"/>
  <c r="BP218" i="6"/>
  <c r="CJ218" i="6"/>
  <c r="CF218" i="6"/>
  <c r="CG218" i="6"/>
  <c r="BQ218" i="6"/>
  <c r="BN218" i="6"/>
  <c r="DP218" i="6" a="1"/>
  <c r="DP218" i="6" s="1"/>
  <c r="DE218" i="6" a="1"/>
  <c r="DE218" i="6" s="1"/>
  <c r="CH218" i="6"/>
  <c r="CP218" i="6"/>
  <c r="CO218" i="6"/>
  <c r="CC218" i="6"/>
  <c r="CV218" i="6" a="1"/>
  <c r="CV218" i="6" s="1"/>
  <c r="BO218" i="6"/>
  <c r="CU218" i="6" a="1"/>
  <c r="CU218" i="6" s="1"/>
  <c r="BT218" i="6"/>
  <c r="CD218" i="6"/>
  <c r="DN218" i="6" a="1"/>
  <c r="DN218" i="6" s="1"/>
  <c r="DM218" i="6" a="1"/>
  <c r="DM218" i="6" s="1"/>
  <c r="DC218" i="6" a="1"/>
  <c r="DC218" i="6" s="1"/>
  <c r="DH218" i="6" a="1"/>
  <c r="DH218" i="6" s="1"/>
  <c r="DI218" i="6" a="1"/>
  <c r="DI218" i="6" s="1"/>
  <c r="DG218" i="6" a="1"/>
  <c r="DG218" i="6" s="1"/>
  <c r="DO218" i="6" a="1"/>
  <c r="DO218" i="6" s="1"/>
  <c r="BX218" i="6"/>
  <c r="CZ218" i="6" a="1"/>
  <c r="CZ218" i="6" s="1"/>
  <c r="CN218" i="6"/>
  <c r="CR218" i="6"/>
  <c r="CQ218" i="6"/>
  <c r="DJ218" i="6" a="1"/>
  <c r="DJ218" i="6" s="1"/>
  <c r="BW218" i="6"/>
  <c r="BY218" i="6"/>
  <c r="DB218" i="6" a="1"/>
  <c r="DB218" i="6" s="1"/>
  <c r="CA218" i="6"/>
  <c r="DD218" i="6" a="1"/>
  <c r="DD218" i="6" s="1"/>
  <c r="BM218" i="6"/>
  <c r="CY218" i="6" a="1"/>
  <c r="CY218" i="6" s="1"/>
  <c r="DA218" i="6" a="1"/>
  <c r="DA218" i="6" s="1"/>
  <c r="DR218" i="6" a="1"/>
  <c r="DR218" i="6" s="1"/>
  <c r="L220" i="12" a="1"/>
  <c r="L220" i="12" s="1"/>
  <c r="J220" i="12" a="1"/>
  <c r="J220" i="12" s="1"/>
  <c r="M219" i="6"/>
  <c r="N219" i="6"/>
  <c r="K219" i="12"/>
  <c r="G221" i="5"/>
  <c r="C222" i="5"/>
  <c r="C223" i="5" s="1"/>
  <c r="F221" i="5"/>
  <c r="AD221" i="5"/>
  <c r="K221" i="5"/>
  <c r="B221" i="5"/>
  <c r="E221" i="5"/>
  <c r="B221" i="6"/>
  <c r="D221" i="5"/>
  <c r="B221" i="12" s="1"/>
  <c r="H221" i="5"/>
  <c r="AE221" i="5" a="1"/>
  <c r="AE221" i="5" s="1"/>
  <c r="J221" i="5"/>
  <c r="A221" i="12"/>
  <c r="N221" i="5"/>
  <c r="D221" i="6" s="1"/>
  <c r="H221" i="6" s="1" a="1"/>
  <c r="H221" i="6" s="1"/>
  <c r="T221" i="5" s="1"/>
  <c r="G221" i="12" s="1" a="1"/>
  <c r="G221" i="12" s="1"/>
  <c r="A220" i="6"/>
  <c r="L230" i="6"/>
  <c r="C224" i="5" l="1"/>
  <c r="A223" i="12"/>
  <c r="K223" i="5"/>
  <c r="J223" i="5"/>
  <c r="AE223" i="5" a="1"/>
  <c r="AE223" i="5" s="1"/>
  <c r="AD223" i="5"/>
  <c r="N223" i="5"/>
  <c r="D223" i="5"/>
  <c r="B223" i="12" s="1"/>
  <c r="B223" i="6"/>
  <c r="K220" i="12"/>
  <c r="K222" i="5"/>
  <c r="F222" i="5"/>
  <c r="F223" i="5" s="1"/>
  <c r="E222" i="5"/>
  <c r="E223" i="5" s="1"/>
  <c r="B222" i="6"/>
  <c r="AE222" i="5" a="1"/>
  <c r="AE222" i="5" s="1"/>
  <c r="G222" i="5"/>
  <c r="G223" i="5" s="1"/>
  <c r="D222" i="5"/>
  <c r="B222" i="12" s="1"/>
  <c r="N222" i="5"/>
  <c r="D222" i="6" s="1"/>
  <c r="H222" i="6" s="1" a="1"/>
  <c r="H222" i="6" s="1"/>
  <c r="T222" i="5" s="1"/>
  <c r="G222" i="12" s="1" a="1"/>
  <c r="G222" i="12" s="1"/>
  <c r="J222" i="5"/>
  <c r="AD222" i="5"/>
  <c r="H222" i="5"/>
  <c r="H223" i="5" s="1"/>
  <c r="A222" i="12"/>
  <c r="B222" i="5"/>
  <c r="B223" i="5" s="1"/>
  <c r="A221" i="6"/>
  <c r="N221" i="6" s="1"/>
  <c r="N220" i="6"/>
  <c r="M220" i="6"/>
  <c r="CC219" i="6"/>
  <c r="BZ219" i="6"/>
  <c r="DM219" i="6" a="1"/>
  <c r="DM219" i="6" s="1"/>
  <c r="BV219" i="6"/>
  <c r="CA219" i="6"/>
  <c r="DP219" i="6" a="1"/>
  <c r="DP219" i="6" s="1"/>
  <c r="BQ219" i="6"/>
  <c r="CX219" i="6" a="1"/>
  <c r="CX219" i="6" s="1"/>
  <c r="DS219" i="6" a="1"/>
  <c r="DS219" i="6" s="1"/>
  <c r="CW219" i="6" a="1"/>
  <c r="CW219" i="6" s="1"/>
  <c r="DG219" i="6" a="1"/>
  <c r="DG219" i="6" s="1"/>
  <c r="DF219" i="6" a="1"/>
  <c r="DF219" i="6" s="1"/>
  <c r="CI219" i="6"/>
  <c r="CT219" i="6" a="1"/>
  <c r="CT219" i="6" s="1"/>
  <c r="CR219" i="6"/>
  <c r="BL219" i="6"/>
  <c r="CH219" i="6"/>
  <c r="BN219" i="6"/>
  <c r="CB219" i="6"/>
  <c r="CY219" i="6" a="1"/>
  <c r="CY219" i="6" s="1"/>
  <c r="CN219" i="6"/>
  <c r="CU219" i="6" a="1"/>
  <c r="CU219" i="6" s="1"/>
  <c r="DJ219" i="6" a="1"/>
  <c r="DJ219" i="6" s="1"/>
  <c r="BY219" i="6"/>
  <c r="DO219" i="6" a="1"/>
  <c r="DO219" i="6" s="1"/>
  <c r="CZ219" i="6" a="1"/>
  <c r="CZ219" i="6" s="1"/>
  <c r="CP219" i="6"/>
  <c r="BO219" i="6"/>
  <c r="BW219" i="6"/>
  <c r="BP219" i="6"/>
  <c r="CF219" i="6"/>
  <c r="DE219" i="6" a="1"/>
  <c r="DE219" i="6" s="1"/>
  <c r="DB219" i="6" a="1"/>
  <c r="DB219" i="6" s="1"/>
  <c r="DR219" i="6" a="1"/>
  <c r="DR219" i="6" s="1"/>
  <c r="CD219" i="6"/>
  <c r="BT219" i="6"/>
  <c r="CQ219" i="6"/>
  <c r="BU219" i="6"/>
  <c r="BS219" i="6"/>
  <c r="CM219" i="6"/>
  <c r="DC219" i="6" a="1"/>
  <c r="DC219" i="6" s="1"/>
  <c r="CG219" i="6"/>
  <c r="DH219" i="6" a="1"/>
  <c r="DH219" i="6" s="1"/>
  <c r="BX219" i="6"/>
  <c r="DN219" i="6" a="1"/>
  <c r="DN219" i="6" s="1"/>
  <c r="CE219" i="6"/>
  <c r="DA219" i="6" a="1"/>
  <c r="DA219" i="6" s="1"/>
  <c r="CJ219" i="6"/>
  <c r="DL219" i="6" a="1"/>
  <c r="DL219" i="6" s="1"/>
  <c r="DD219" i="6" a="1"/>
  <c r="DD219" i="6" s="1"/>
  <c r="DK219" i="6" a="1"/>
  <c r="DK219" i="6" s="1"/>
  <c r="CO219" i="6"/>
  <c r="DI219" i="6" a="1"/>
  <c r="DI219" i="6" s="1"/>
  <c r="CV219" i="6" a="1"/>
  <c r="CV219" i="6" s="1"/>
  <c r="CK219" i="6"/>
  <c r="DQ219" i="6" a="1"/>
  <c r="DQ219" i="6" s="1"/>
  <c r="BM219" i="6"/>
  <c r="CL219" i="6"/>
  <c r="L221" i="12" a="1"/>
  <c r="L221" i="12" s="1"/>
  <c r="J221" i="12" a="1"/>
  <c r="J221" i="12" s="1"/>
  <c r="L231" i="6"/>
  <c r="L232" i="6" s="1"/>
  <c r="L233" i="6" s="1"/>
  <c r="D223" i="6" l="1"/>
  <c r="J223" i="12" a="1"/>
  <c r="J223" i="12" s="1"/>
  <c r="L223" i="12" a="1"/>
  <c r="L223" i="12" s="1"/>
  <c r="A224" i="12"/>
  <c r="AD224" i="5"/>
  <c r="K224" i="5"/>
  <c r="G224" i="5"/>
  <c r="N224" i="5"/>
  <c r="E224" i="5"/>
  <c r="AE224" i="5" a="1"/>
  <c r="AE224" i="5" s="1"/>
  <c r="H224" i="5"/>
  <c r="D224" i="5"/>
  <c r="B224" i="12" s="1"/>
  <c r="F224" i="5"/>
  <c r="J224" i="5"/>
  <c r="B224" i="5"/>
  <c r="C225" i="5" s="1"/>
  <c r="B224" i="6"/>
  <c r="M221" i="6"/>
  <c r="K221" i="12"/>
  <c r="J222" i="12" a="1"/>
  <c r="J222" i="12" s="1"/>
  <c r="L222" i="12" a="1"/>
  <c r="L222" i="12" s="1"/>
  <c r="A222" i="6"/>
  <c r="DI220" i="6" a="1"/>
  <c r="DI220" i="6" s="1"/>
  <c r="CB220" i="6"/>
  <c r="BU220" i="6"/>
  <c r="CA220" i="6"/>
  <c r="DR220" i="6" a="1"/>
  <c r="DR220" i="6" s="1"/>
  <c r="CY220" i="6" a="1"/>
  <c r="CY220" i="6" s="1"/>
  <c r="CR220" i="6"/>
  <c r="BN220" i="6"/>
  <c r="CP220" i="6"/>
  <c r="DD220" i="6" a="1"/>
  <c r="DD220" i="6" s="1"/>
  <c r="DC220" i="6" a="1"/>
  <c r="DC220" i="6" s="1"/>
  <c r="DM220" i="6" a="1"/>
  <c r="DM220" i="6" s="1"/>
  <c r="DF220" i="6" a="1"/>
  <c r="DF220" i="6" s="1"/>
  <c r="DQ220" i="6" a="1"/>
  <c r="DQ220" i="6" s="1"/>
  <c r="CD220" i="6"/>
  <c r="BQ220" i="6"/>
  <c r="CT220" i="6" a="1"/>
  <c r="CT220" i="6" s="1"/>
  <c r="BO220" i="6"/>
  <c r="CN220" i="6"/>
  <c r="CH220" i="6"/>
  <c r="CW220" i="6" a="1"/>
  <c r="CW220" i="6" s="1"/>
  <c r="DG220" i="6" a="1"/>
  <c r="DG220" i="6" s="1"/>
  <c r="CZ220" i="6" a="1"/>
  <c r="CZ220" i="6" s="1"/>
  <c r="CU220" i="6" a="1"/>
  <c r="CU220" i="6" s="1"/>
  <c r="CJ220" i="6"/>
  <c r="DA220" i="6" a="1"/>
  <c r="DA220" i="6" s="1"/>
  <c r="CG220" i="6"/>
  <c r="BW220" i="6"/>
  <c r="CK220" i="6"/>
  <c r="DJ220" i="6" a="1"/>
  <c r="DJ220" i="6" s="1"/>
  <c r="DS220" i="6" a="1"/>
  <c r="DS220" i="6" s="1"/>
  <c r="BZ220" i="6"/>
  <c r="CX220" i="6" a="1"/>
  <c r="CX220" i="6" s="1"/>
  <c r="BS220" i="6"/>
  <c r="DE220" i="6" a="1"/>
  <c r="DE220" i="6" s="1"/>
  <c r="CQ220" i="6"/>
  <c r="CL220" i="6"/>
  <c r="CC220" i="6"/>
  <c r="BT220" i="6"/>
  <c r="CM220" i="6"/>
  <c r="DB220" i="6" a="1"/>
  <c r="DB220" i="6" s="1"/>
  <c r="BP220" i="6"/>
  <c r="DK220" i="6" a="1"/>
  <c r="DK220" i="6" s="1"/>
  <c r="DL220" i="6" a="1"/>
  <c r="DL220" i="6" s="1"/>
  <c r="BY220" i="6"/>
  <c r="BX220" i="6"/>
  <c r="DN220" i="6" a="1"/>
  <c r="DN220" i="6" s="1"/>
  <c r="BL220" i="6"/>
  <c r="BM220" i="6"/>
  <c r="CI220" i="6"/>
  <c r="CO220" i="6"/>
  <c r="DO220" i="6" a="1"/>
  <c r="DO220" i="6" s="1"/>
  <c r="DH220" i="6" a="1"/>
  <c r="DH220" i="6" s="1"/>
  <c r="CV220" i="6" a="1"/>
  <c r="CV220" i="6" s="1"/>
  <c r="CF220" i="6"/>
  <c r="BV220" i="6"/>
  <c r="CE220" i="6"/>
  <c r="DP220" i="6" a="1"/>
  <c r="DP220" i="6" s="1"/>
  <c r="C226" i="5" l="1"/>
  <c r="A226" i="12" s="1"/>
  <c r="AE225" i="5" a="1"/>
  <c r="AE225" i="5" s="1"/>
  <c r="E225" i="5"/>
  <c r="N225" i="5"/>
  <c r="D225" i="6" s="1"/>
  <c r="M225" i="6" s="1"/>
  <c r="DH225" i="6" s="1" a="1"/>
  <c r="DH225" i="6" s="1"/>
  <c r="B225" i="6"/>
  <c r="AF225" i="5" a="1"/>
  <c r="AF225" i="5" s="1"/>
  <c r="AG225" i="5" s="1" a="1"/>
  <c r="AG225" i="5" s="1"/>
  <c r="U225" i="5" s="1"/>
  <c r="AN225" i="5" s="1" a="1"/>
  <c r="AN225" i="5" s="1"/>
  <c r="H225" i="5"/>
  <c r="F225" i="5"/>
  <c r="B225" i="5"/>
  <c r="A225" i="12"/>
  <c r="I225" i="5"/>
  <c r="W225" i="5" a="1"/>
  <c r="W225" i="5" s="1"/>
  <c r="H225" i="12" s="1" a="1"/>
  <c r="H225" i="12" s="1"/>
  <c r="AD225" i="5"/>
  <c r="G225" i="5"/>
  <c r="K223" i="12"/>
  <c r="J224" i="12" a="1"/>
  <c r="J224" i="12" s="1"/>
  <c r="L224" i="12" a="1"/>
  <c r="L224" i="12" s="1"/>
  <c r="D224" i="6"/>
  <c r="N223" i="6"/>
  <c r="H223" i="6" a="1"/>
  <c r="H223" i="6" s="1"/>
  <c r="M223" i="6"/>
  <c r="CJ223" i="6" s="1"/>
  <c r="A225" i="6"/>
  <c r="K222" i="12"/>
  <c r="N222" i="6"/>
  <c r="M222" i="6"/>
  <c r="C227" i="5"/>
  <c r="N226" i="5"/>
  <c r="D226" i="6" s="1"/>
  <c r="H226" i="6" s="1" a="1"/>
  <c r="H226" i="6" s="1"/>
  <c r="T226" i="5" s="1"/>
  <c r="G226" i="12" s="1" a="1"/>
  <c r="G226" i="12" s="1"/>
  <c r="CE221" i="6"/>
  <c r="CJ221" i="6"/>
  <c r="BT221" i="6"/>
  <c r="DD221" i="6" a="1"/>
  <c r="DD221" i="6" s="1"/>
  <c r="BQ221" i="6"/>
  <c r="CV221" i="6" a="1"/>
  <c r="CV221" i="6" s="1"/>
  <c r="CX221" i="6" a="1"/>
  <c r="CX221" i="6" s="1"/>
  <c r="DH221" i="6" a="1"/>
  <c r="DH221" i="6" s="1"/>
  <c r="DK221" i="6" a="1"/>
  <c r="DK221" i="6" s="1"/>
  <c r="CY221" i="6" a="1"/>
  <c r="CY221" i="6" s="1"/>
  <c r="DE221" i="6" a="1"/>
  <c r="DE221" i="6" s="1"/>
  <c r="DS221" i="6" a="1"/>
  <c r="DS221" i="6" s="1"/>
  <c r="CZ221" i="6" a="1"/>
  <c r="CZ221" i="6" s="1"/>
  <c r="CF221" i="6"/>
  <c r="BL221" i="6"/>
  <c r="DL221" i="6" a="1"/>
  <c r="DL221" i="6" s="1"/>
  <c r="CO221" i="6"/>
  <c r="DG221" i="6" a="1"/>
  <c r="DG221" i="6" s="1"/>
  <c r="CH221" i="6"/>
  <c r="BN221" i="6"/>
  <c r="CK221" i="6"/>
  <c r="CD221" i="6"/>
  <c r="CT221" i="6" a="1"/>
  <c r="CT221" i="6" s="1"/>
  <c r="CP221" i="6"/>
  <c r="CL221" i="6"/>
  <c r="DM221" i="6" a="1"/>
  <c r="DM221" i="6" s="1"/>
  <c r="CW221" i="6" a="1"/>
  <c r="CW221" i="6" s="1"/>
  <c r="BO221" i="6"/>
  <c r="BV221" i="6"/>
  <c r="BY221" i="6"/>
  <c r="BW221" i="6"/>
  <c r="CB221" i="6"/>
  <c r="CG221" i="6"/>
  <c r="CC221" i="6"/>
  <c r="BS221" i="6"/>
  <c r="CU221" i="6" a="1"/>
  <c r="CU221" i="6" s="1"/>
  <c r="DB221" i="6" a="1"/>
  <c r="DB221" i="6" s="1"/>
  <c r="BX221" i="6"/>
  <c r="DQ221" i="6" a="1"/>
  <c r="DQ221" i="6" s="1"/>
  <c r="BZ221" i="6"/>
  <c r="DN221" i="6" a="1"/>
  <c r="DN221" i="6" s="1"/>
  <c r="DR221" i="6" a="1"/>
  <c r="DR221" i="6" s="1"/>
  <c r="CM221" i="6"/>
  <c r="CQ221" i="6"/>
  <c r="BU221" i="6"/>
  <c r="DC221" i="6" a="1"/>
  <c r="DC221" i="6" s="1"/>
  <c r="BM221" i="6"/>
  <c r="DA221" i="6" a="1"/>
  <c r="DA221" i="6" s="1"/>
  <c r="CR221" i="6"/>
  <c r="DF221" i="6" a="1"/>
  <c r="DF221" i="6" s="1"/>
  <c r="DI221" i="6" a="1"/>
  <c r="DI221" i="6" s="1"/>
  <c r="CA221" i="6"/>
  <c r="DP221" i="6" a="1"/>
  <c r="DP221" i="6" s="1"/>
  <c r="DO221" i="6" a="1"/>
  <c r="DO221" i="6" s="1"/>
  <c r="BP221" i="6"/>
  <c r="DJ221" i="6" a="1"/>
  <c r="DJ221" i="6" s="1"/>
  <c r="CI221" i="6"/>
  <c r="CN221" i="6"/>
  <c r="L234" i="6"/>
  <c r="D226" i="5" l="1"/>
  <c r="B226" i="12" s="1"/>
  <c r="J226" i="5"/>
  <c r="AE226" i="5" a="1"/>
  <c r="AE226" i="5" s="1"/>
  <c r="G226" i="5"/>
  <c r="B226" i="6"/>
  <c r="K226" i="5"/>
  <c r="F226" i="5"/>
  <c r="B226" i="5"/>
  <c r="B227" i="5" s="1"/>
  <c r="AD226" i="5"/>
  <c r="DN225" i="6" a="1"/>
  <c r="DN225" i="6" s="1"/>
  <c r="E226" i="5"/>
  <c r="DS225" i="6" a="1"/>
  <c r="DS225" i="6" s="1"/>
  <c r="CV225" i="6" a="1"/>
  <c r="CV225" i="6" s="1"/>
  <c r="DK225" i="6" a="1"/>
  <c r="DK225" i="6" s="1"/>
  <c r="CJ225" i="6"/>
  <c r="H226" i="5"/>
  <c r="H227" i="5" s="1"/>
  <c r="CE225" i="6"/>
  <c r="CC225" i="6"/>
  <c r="DE225" i="6" a="1"/>
  <c r="DE225" i="6" s="1"/>
  <c r="BS225" i="6"/>
  <c r="CY225" i="6" a="1"/>
  <c r="CY225" i="6" s="1"/>
  <c r="CK225" i="6"/>
  <c r="BW225" i="6"/>
  <c r="BY225" i="6"/>
  <c r="CD225" i="6"/>
  <c r="DG225" i="6" a="1"/>
  <c r="DG225" i="6" s="1"/>
  <c r="CN225" i="6"/>
  <c r="CP225" i="6"/>
  <c r="BT225" i="6"/>
  <c r="CT225" i="6" a="1"/>
  <c r="CT225" i="6" s="1"/>
  <c r="CM225" i="6"/>
  <c r="DC225" i="6" a="1"/>
  <c r="DC225" i="6" s="1"/>
  <c r="CG225" i="6"/>
  <c r="CR225" i="6"/>
  <c r="DD225" i="6" a="1"/>
  <c r="DD225" i="6" s="1"/>
  <c r="CA225" i="6"/>
  <c r="CH225" i="6"/>
  <c r="DB225" i="6" a="1"/>
  <c r="DB225" i="6" s="1"/>
  <c r="CU225" i="6" a="1"/>
  <c r="CU225" i="6" s="1"/>
  <c r="CQ225" i="6"/>
  <c r="CL225" i="6"/>
  <c r="DF225" i="6" a="1"/>
  <c r="DF225" i="6" s="1"/>
  <c r="DO225" i="6" a="1"/>
  <c r="DO225" i="6" s="1"/>
  <c r="CO225" i="6"/>
  <c r="BZ225" i="6"/>
  <c r="DL225" i="6" a="1"/>
  <c r="DL225" i="6" s="1"/>
  <c r="DR225" i="6" a="1"/>
  <c r="DR225" i="6" s="1"/>
  <c r="DI225" i="6" a="1"/>
  <c r="DI225" i="6" s="1"/>
  <c r="CF225" i="6"/>
  <c r="N225" i="6"/>
  <c r="CI225" i="6"/>
  <c r="BV225" i="6"/>
  <c r="CW225" i="6" a="1"/>
  <c r="CW225" i="6" s="1"/>
  <c r="DA225" i="6" a="1"/>
  <c r="DA225" i="6" s="1"/>
  <c r="DP225" i="6" a="1"/>
  <c r="DP225" i="6" s="1"/>
  <c r="BU225" i="6"/>
  <c r="CZ225" i="6" a="1"/>
  <c r="CZ225" i="6" s="1"/>
  <c r="DQ225" i="6" a="1"/>
  <c r="DQ225" i="6" s="1"/>
  <c r="BX225" i="6"/>
  <c r="CX225" i="6" a="1"/>
  <c r="CX225" i="6" s="1"/>
  <c r="CB225" i="6"/>
  <c r="DM225" i="6" a="1"/>
  <c r="DM225" i="6" s="1"/>
  <c r="DJ225" i="6" a="1"/>
  <c r="DJ225" i="6" s="1"/>
  <c r="H225" i="6" a="1"/>
  <c r="H225" i="6" s="1"/>
  <c r="BM225" i="6" s="1"/>
  <c r="G225" i="6"/>
  <c r="CQ223" i="6"/>
  <c r="DL223" i="6" a="1"/>
  <c r="DL223" i="6" s="1"/>
  <c r="BU223" i="6"/>
  <c r="CX223" i="6" a="1"/>
  <c r="CX223" i="6" s="1"/>
  <c r="K224" i="12"/>
  <c r="CA223" i="6"/>
  <c r="DA223" i="6" a="1"/>
  <c r="DA223" i="6" s="1"/>
  <c r="CK223" i="6"/>
  <c r="DF223" i="6" a="1"/>
  <c r="DF223" i="6" s="1"/>
  <c r="CM223" i="6"/>
  <c r="DH223" i="6" a="1"/>
  <c r="DH223" i="6" s="1"/>
  <c r="CG223" i="6"/>
  <c r="DD223" i="6" a="1"/>
  <c r="DD223" i="6" s="1"/>
  <c r="BZ223" i="6"/>
  <c r="CP223" i="6"/>
  <c r="DM223" i="6" a="1"/>
  <c r="DM223" i="6" s="1"/>
  <c r="BX223" i="6"/>
  <c r="CN223" i="6"/>
  <c r="CI223" i="6"/>
  <c r="DE223" i="6" a="1"/>
  <c r="DE223" i="6" s="1"/>
  <c r="BL223" i="6"/>
  <c r="CT223" i="6" a="1"/>
  <c r="CT223" i="6" s="1"/>
  <c r="DN223" i="6" a="1"/>
  <c r="DN223" i="6" s="1"/>
  <c r="BN223" i="6"/>
  <c r="CU223" i="6" a="1"/>
  <c r="CU223" i="6" s="1"/>
  <c r="DP223" i="6" a="1"/>
  <c r="DP223" i="6" s="1"/>
  <c r="CO223" i="6"/>
  <c r="DJ223" i="6" a="1"/>
  <c r="DJ223" i="6" s="1"/>
  <c r="BM223" i="6"/>
  <c r="CD223" i="6"/>
  <c r="DG223" i="6" a="1"/>
  <c r="DG223" i="6" s="1"/>
  <c r="DO223" i="6" a="1"/>
  <c r="DO223" i="6" s="1"/>
  <c r="CB223" i="6"/>
  <c r="CR223" i="6"/>
  <c r="BW223" i="6"/>
  <c r="CY223" i="6" a="1"/>
  <c r="CY223" i="6" s="1"/>
  <c r="BP223" i="6"/>
  <c r="CV223" i="6" a="1"/>
  <c r="CV223" i="6" s="1"/>
  <c r="DR223" i="6" a="1"/>
  <c r="DR223" i="6" s="1"/>
  <c r="BQ223" i="6"/>
  <c r="CH223" i="6"/>
  <c r="DI223" i="6" a="1"/>
  <c r="DI223" i="6" s="1"/>
  <c r="DQ223" i="6" a="1"/>
  <c r="DQ223" i="6" s="1"/>
  <c r="BO223" i="6"/>
  <c r="CF223" i="6"/>
  <c r="BS223" i="6"/>
  <c r="CW223" i="6" a="1"/>
  <c r="CW223" i="6" s="1"/>
  <c r="CC223" i="6"/>
  <c r="DB223" i="6" a="1"/>
  <c r="DB223" i="6" s="1"/>
  <c r="CE223" i="6"/>
  <c r="DC223" i="6" a="1"/>
  <c r="DC223" i="6" s="1"/>
  <c r="BY223" i="6"/>
  <c r="CZ223" i="6" a="1"/>
  <c r="CZ223" i="6" s="1"/>
  <c r="T223" i="5"/>
  <c r="BV223" i="6"/>
  <c r="CL223" i="6"/>
  <c r="DK223" i="6" a="1"/>
  <c r="DK223" i="6" s="1"/>
  <c r="DS223" i="6" a="1"/>
  <c r="DS223" i="6" s="1"/>
  <c r="BT223" i="6"/>
  <c r="H224" i="6" a="1"/>
  <c r="H224" i="6" s="1"/>
  <c r="N224" i="6"/>
  <c r="M224" i="6"/>
  <c r="CP224" i="6" s="1"/>
  <c r="J226" i="12" a="1"/>
  <c r="J226" i="12" s="1"/>
  <c r="L226" i="12" a="1"/>
  <c r="L226" i="12" s="1"/>
  <c r="CD222" i="6"/>
  <c r="DO222" i="6" a="1"/>
  <c r="DO222" i="6" s="1"/>
  <c r="CV222" i="6" a="1"/>
  <c r="CV222" i="6" s="1"/>
  <c r="DJ222" i="6" a="1"/>
  <c r="DJ222" i="6" s="1"/>
  <c r="CQ222" i="6"/>
  <c r="CO222" i="6"/>
  <c r="DK222" i="6" a="1"/>
  <c r="DK222" i="6" s="1"/>
  <c r="DG222" i="6" a="1"/>
  <c r="DG222" i="6" s="1"/>
  <c r="CH222" i="6"/>
  <c r="CL222" i="6"/>
  <c r="DC222" i="6" a="1"/>
  <c r="DC222" i="6" s="1"/>
  <c r="BN222" i="6"/>
  <c r="CJ222" i="6"/>
  <c r="CG222" i="6"/>
  <c r="CC222" i="6"/>
  <c r="DR222" i="6" a="1"/>
  <c r="DR222" i="6" s="1"/>
  <c r="CY222" i="6" a="1"/>
  <c r="CY222" i="6" s="1"/>
  <c r="CE222" i="6"/>
  <c r="DE222" i="6" a="1"/>
  <c r="DE222" i="6" s="1"/>
  <c r="DP222" i="6" a="1"/>
  <c r="DP222" i="6" s="1"/>
  <c r="BP222" i="6"/>
  <c r="BO222" i="6"/>
  <c r="CF222" i="6"/>
  <c r="CW222" i="6" a="1"/>
  <c r="CW222" i="6" s="1"/>
  <c r="CI222" i="6"/>
  <c r="CX222" i="6" a="1"/>
  <c r="CX222" i="6" s="1"/>
  <c r="CA222" i="6"/>
  <c r="BW222" i="6"/>
  <c r="BZ222" i="6"/>
  <c r="DL222" i="6" a="1"/>
  <c r="DL222" i="6" s="1"/>
  <c r="CP222" i="6"/>
  <c r="CT222" i="6" a="1"/>
  <c r="CT222" i="6" s="1"/>
  <c r="DA222" i="6" a="1"/>
  <c r="DA222" i="6" s="1"/>
  <c r="BY222" i="6"/>
  <c r="CB222" i="6"/>
  <c r="DQ222" i="6" a="1"/>
  <c r="DQ222" i="6" s="1"/>
  <c r="DM222" i="6" a="1"/>
  <c r="DM222" i="6" s="1"/>
  <c r="BL222" i="6"/>
  <c r="BS222" i="6"/>
  <c r="DI222" i="6" a="1"/>
  <c r="DI222" i="6" s="1"/>
  <c r="CU222" i="6" a="1"/>
  <c r="CU222" i="6" s="1"/>
  <c r="DB222" i="6" a="1"/>
  <c r="DB222" i="6" s="1"/>
  <c r="DH222" i="6" a="1"/>
  <c r="DH222" i="6" s="1"/>
  <c r="BX222" i="6"/>
  <c r="DN222" i="6" a="1"/>
  <c r="DN222" i="6" s="1"/>
  <c r="BV222" i="6"/>
  <c r="BT222" i="6"/>
  <c r="DF222" i="6" a="1"/>
  <c r="DF222" i="6" s="1"/>
  <c r="BM222" i="6"/>
  <c r="BU222" i="6"/>
  <c r="CZ222" i="6" a="1"/>
  <c r="CZ222" i="6" s="1"/>
  <c r="BQ222" i="6"/>
  <c r="CN222" i="6"/>
  <c r="DS222" i="6" a="1"/>
  <c r="DS222" i="6" s="1"/>
  <c r="CK222" i="6"/>
  <c r="CR222" i="6"/>
  <c r="DD222" i="6" a="1"/>
  <c r="DD222" i="6" s="1"/>
  <c r="CM222" i="6"/>
  <c r="G227" i="5"/>
  <c r="A227" i="12"/>
  <c r="J227" i="5"/>
  <c r="E227" i="5"/>
  <c r="N227" i="5"/>
  <c r="D227" i="6" s="1"/>
  <c r="H227" i="6" s="1" a="1"/>
  <c r="H227" i="6" s="1"/>
  <c r="T227" i="5" s="1"/>
  <c r="G227" i="12" s="1" a="1"/>
  <c r="G227" i="12" s="1"/>
  <c r="F227" i="5"/>
  <c r="D227" i="5"/>
  <c r="B227" i="12" s="1"/>
  <c r="C228" i="5"/>
  <c r="AD227" i="5"/>
  <c r="AE227" i="5" a="1"/>
  <c r="AE227" i="5" s="1"/>
  <c r="B227" i="6"/>
  <c r="K227" i="5"/>
  <c r="A226" i="6"/>
  <c r="F234" i="6"/>
  <c r="L235" i="6"/>
  <c r="L236" i="6" s="1"/>
  <c r="BN225" i="6" l="1"/>
  <c r="BB225" i="6"/>
  <c r="AT225" i="6"/>
  <c r="AX225" i="6"/>
  <c r="BL225" i="6"/>
  <c r="BO225" i="6"/>
  <c r="AS225" i="6"/>
  <c r="BF225" i="6"/>
  <c r="AU225" i="6"/>
  <c r="AY225" i="6"/>
  <c r="BK225" i="6"/>
  <c r="BD225" i="6"/>
  <c r="BQ225" i="6"/>
  <c r="BC225" i="6"/>
  <c r="BJ225" i="6"/>
  <c r="AV225" i="6"/>
  <c r="BH225" i="6"/>
  <c r="BA225" i="6"/>
  <c r="AZ225" i="6"/>
  <c r="BG225" i="6"/>
  <c r="BP225" i="6"/>
  <c r="BI225" i="6"/>
  <c r="CA224" i="6"/>
  <c r="DS224" i="6" a="1"/>
  <c r="DS224" i="6" s="1"/>
  <c r="BN224" i="6"/>
  <c r="T225" i="5"/>
  <c r="G225" i="12" s="1" a="1"/>
  <c r="G225" i="12" s="1"/>
  <c r="AW225" i="6"/>
  <c r="AR225" i="6"/>
  <c r="BE225" i="6"/>
  <c r="DI224" i="6" a="1"/>
  <c r="DI224" i="6" s="1"/>
  <c r="CU224" i="6" a="1"/>
  <c r="CU224" i="6" s="1"/>
  <c r="CW224" i="6" a="1"/>
  <c r="CW224" i="6" s="1"/>
  <c r="DG224" i="6" a="1"/>
  <c r="DG224" i="6" s="1"/>
  <c r="CO224" i="6"/>
  <c r="DQ224" i="6" a="1"/>
  <c r="DQ224" i="6" s="1"/>
  <c r="DK224" i="6" a="1"/>
  <c r="DK224" i="6" s="1"/>
  <c r="DE224" i="6" a="1"/>
  <c r="DE224" i="6" s="1"/>
  <c r="CZ224" i="6" a="1"/>
  <c r="CZ224" i="6" s="1"/>
  <c r="BQ224" i="6"/>
  <c r="DA224" i="6" a="1"/>
  <c r="DA224" i="6" s="1"/>
  <c r="CE224" i="6"/>
  <c r="CI224" i="6"/>
  <c r="BW224" i="6"/>
  <c r="DO224" i="6" a="1"/>
  <c r="DO224" i="6" s="1"/>
  <c r="BT224" i="6"/>
  <c r="DH224" i="6" a="1"/>
  <c r="DH224" i="6" s="1"/>
  <c r="CJ224" i="6"/>
  <c r="BY224" i="6"/>
  <c r="DP224" i="6" a="1"/>
  <c r="DP224" i="6" s="1"/>
  <c r="BM224" i="6"/>
  <c r="CD224" i="6"/>
  <c r="CQ224" i="6"/>
  <c r="DC224" i="6" a="1"/>
  <c r="DC224" i="6" s="1"/>
  <c r="BS224" i="6"/>
  <c r="DM224" i="6" a="1"/>
  <c r="DM224" i="6" s="1"/>
  <c r="CM224" i="6"/>
  <c r="BX224" i="6"/>
  <c r="CN224" i="6"/>
  <c r="BL224" i="6"/>
  <c r="CC224" i="6"/>
  <c r="CT224" i="6" a="1"/>
  <c r="CT224" i="6" s="1"/>
  <c r="DB224" i="6" a="1"/>
  <c r="DB224" i="6" s="1"/>
  <c r="DJ224" i="6" a="1"/>
  <c r="DJ224" i="6" s="1"/>
  <c r="DR224" i="6" a="1"/>
  <c r="DR224" i="6" s="1"/>
  <c r="CH224" i="6"/>
  <c r="CY224" i="6" a="1"/>
  <c r="CY224" i="6" s="1"/>
  <c r="CB224" i="6"/>
  <c r="CR224" i="6"/>
  <c r="BP224" i="6"/>
  <c r="CG224" i="6"/>
  <c r="CV224" i="6" a="1"/>
  <c r="CV224" i="6" s="1"/>
  <c r="DD224" i="6" a="1"/>
  <c r="DD224" i="6" s="1"/>
  <c r="DL224" i="6" a="1"/>
  <c r="DL224" i="6" s="1"/>
  <c r="T224" i="5"/>
  <c r="BV224" i="6"/>
  <c r="CL224" i="6"/>
  <c r="BO224" i="6"/>
  <c r="CF224" i="6"/>
  <c r="BU224" i="6"/>
  <c r="CK224" i="6"/>
  <c r="CX224" i="6" a="1"/>
  <c r="CX224" i="6" s="1"/>
  <c r="DF224" i="6" a="1"/>
  <c r="DF224" i="6" s="1"/>
  <c r="DN224" i="6" a="1"/>
  <c r="DN224" i="6" s="1"/>
  <c r="BZ224" i="6"/>
  <c r="A227" i="6"/>
  <c r="N227" i="6" s="1"/>
  <c r="K226" i="12"/>
  <c r="L227" i="12" a="1"/>
  <c r="L227" i="12" s="1"/>
  <c r="J227" i="12" a="1"/>
  <c r="J227" i="12" s="1"/>
  <c r="A228" i="12"/>
  <c r="G228" i="5"/>
  <c r="H228" i="5"/>
  <c r="AD228" i="5"/>
  <c r="J228" i="5"/>
  <c r="B228" i="6"/>
  <c r="F228" i="5"/>
  <c r="N228" i="5"/>
  <c r="D228" i="6" s="1"/>
  <c r="H228" i="6" s="1" a="1"/>
  <c r="H228" i="6" s="1"/>
  <c r="T228" i="5" s="1"/>
  <c r="G228" i="12" s="1" a="1"/>
  <c r="G228" i="12" s="1"/>
  <c r="C229" i="5"/>
  <c r="B228" i="5"/>
  <c r="E228" i="5"/>
  <c r="K228" i="5"/>
  <c r="AE228" i="5" a="1"/>
  <c r="AE228" i="5" s="1"/>
  <c r="D228" i="5"/>
  <c r="B228" i="12" s="1"/>
  <c r="M226" i="6"/>
  <c r="N226" i="6"/>
  <c r="A228" i="6" l="1"/>
  <c r="M228" i="6" s="1"/>
  <c r="CE228" i="6" s="1"/>
  <c r="C230" i="5"/>
  <c r="AE229" i="5" a="1"/>
  <c r="AE229" i="5" s="1"/>
  <c r="H229" i="5"/>
  <c r="G229" i="5"/>
  <c r="B229" i="6"/>
  <c r="J229" i="5"/>
  <c r="A229" i="12"/>
  <c r="K229" i="5"/>
  <c r="E229" i="5"/>
  <c r="B229" i="5"/>
  <c r="D229" i="5"/>
  <c r="B229" i="12" s="1"/>
  <c r="AD229" i="5"/>
  <c r="N229" i="5"/>
  <c r="D229" i="6" s="1"/>
  <c r="H229" i="6" s="1" a="1"/>
  <c r="H229" i="6" s="1"/>
  <c r="T229" i="5" s="1"/>
  <c r="G229" i="12" s="1" a="1"/>
  <c r="G229" i="12" s="1"/>
  <c r="F229" i="5"/>
  <c r="J228" i="12" a="1"/>
  <c r="J228" i="12" s="1"/>
  <c r="L228" i="12" a="1"/>
  <c r="L228" i="12" s="1"/>
  <c r="DK226" i="6" a="1"/>
  <c r="DK226" i="6" s="1"/>
  <c r="CD226" i="6"/>
  <c r="CK226" i="6"/>
  <c r="DQ226" i="6" a="1"/>
  <c r="DQ226" i="6" s="1"/>
  <c r="CL226" i="6"/>
  <c r="DM226" i="6" a="1"/>
  <c r="DM226" i="6" s="1"/>
  <c r="CZ226" i="6" a="1"/>
  <c r="CZ226" i="6" s="1"/>
  <c r="CT226" i="6" a="1"/>
  <c r="CT226" i="6" s="1"/>
  <c r="CG226" i="6"/>
  <c r="CO226" i="6"/>
  <c r="DB226" i="6" a="1"/>
  <c r="DB226" i="6" s="1"/>
  <c r="CV226" i="6" a="1"/>
  <c r="CV226" i="6" s="1"/>
  <c r="DD226" i="6" a="1"/>
  <c r="DD226" i="6" s="1"/>
  <c r="CX226" i="6" a="1"/>
  <c r="CX226" i="6" s="1"/>
  <c r="CN226" i="6"/>
  <c r="BY226" i="6"/>
  <c r="DI226" i="6" a="1"/>
  <c r="DI226" i="6" s="1"/>
  <c r="BU226" i="6"/>
  <c r="BN226" i="6"/>
  <c r="DH226" i="6" a="1"/>
  <c r="DH226" i="6" s="1"/>
  <c r="CC226" i="6"/>
  <c r="DC226" i="6" a="1"/>
  <c r="DC226" i="6" s="1"/>
  <c r="BV226" i="6"/>
  <c r="CJ226" i="6"/>
  <c r="BZ226" i="6"/>
  <c r="BL226" i="6"/>
  <c r="BQ226" i="6"/>
  <c r="CA226" i="6"/>
  <c r="CW226" i="6" a="1"/>
  <c r="CW226" i="6" s="1"/>
  <c r="DO226" i="6" a="1"/>
  <c r="DO226" i="6" s="1"/>
  <c r="DJ226" i="6" a="1"/>
  <c r="DJ226" i="6" s="1"/>
  <c r="DS226" i="6" a="1"/>
  <c r="DS226" i="6" s="1"/>
  <c r="DA226" i="6" a="1"/>
  <c r="DA226" i="6" s="1"/>
  <c r="DE226" i="6" a="1"/>
  <c r="DE226" i="6" s="1"/>
  <c r="CE226" i="6"/>
  <c r="BM226" i="6"/>
  <c r="CI226" i="6"/>
  <c r="CP226" i="6"/>
  <c r="BT226" i="6"/>
  <c r="BW226" i="6"/>
  <c r="BP226" i="6"/>
  <c r="CR226" i="6"/>
  <c r="CB226" i="6"/>
  <c r="CH226" i="6"/>
  <c r="DN226" i="6" a="1"/>
  <c r="DN226" i="6" s="1"/>
  <c r="BS226" i="6"/>
  <c r="CQ226" i="6"/>
  <c r="DF226" i="6" a="1"/>
  <c r="DF226" i="6" s="1"/>
  <c r="BO226" i="6"/>
  <c r="DG226" i="6" a="1"/>
  <c r="DG226" i="6" s="1"/>
  <c r="CF226" i="6"/>
  <c r="DR226" i="6" a="1"/>
  <c r="DR226" i="6" s="1"/>
  <c r="DL226" i="6" a="1"/>
  <c r="DL226" i="6" s="1"/>
  <c r="CU226" i="6" a="1"/>
  <c r="CU226" i="6" s="1"/>
  <c r="CY226" i="6" a="1"/>
  <c r="CY226" i="6" s="1"/>
  <c r="BX226" i="6"/>
  <c r="CM226" i="6"/>
  <c r="DP226" i="6" a="1"/>
  <c r="DP226" i="6" s="1"/>
  <c r="K227" i="12"/>
  <c r="M227" i="6"/>
  <c r="L237" i="6"/>
  <c r="CG228" i="6" l="1"/>
  <c r="CQ228" i="6"/>
  <c r="DB228" i="6" a="1"/>
  <c r="DB228" i="6" s="1"/>
  <c r="DP228" i="6" a="1"/>
  <c r="DP228" i="6" s="1"/>
  <c r="BO228" i="6"/>
  <c r="DQ228" i="6" a="1"/>
  <c r="DQ228" i="6" s="1"/>
  <c r="DA228" i="6" a="1"/>
  <c r="DA228" i="6" s="1"/>
  <c r="CX228" i="6" a="1"/>
  <c r="CX228" i="6" s="1"/>
  <c r="CL228" i="6"/>
  <c r="CM228" i="6"/>
  <c r="CZ228" i="6" a="1"/>
  <c r="CZ228" i="6" s="1"/>
  <c r="DD228" i="6" a="1"/>
  <c r="DD228" i="6" s="1"/>
  <c r="DE228" i="6" a="1"/>
  <c r="DE228" i="6" s="1"/>
  <c r="CP228" i="6"/>
  <c r="BL228" i="6"/>
  <c r="BQ228" i="6"/>
  <c r="DJ228" i="6" a="1"/>
  <c r="DJ228" i="6" s="1"/>
  <c r="CO228" i="6"/>
  <c r="BP228" i="6"/>
  <c r="CA228" i="6"/>
  <c r="CJ228" i="6"/>
  <c r="BN228" i="6"/>
  <c r="DR228" i="6" a="1"/>
  <c r="DR228" i="6" s="1"/>
  <c r="BM228" i="6"/>
  <c r="DN228" i="6" a="1"/>
  <c r="DN228" i="6" s="1"/>
  <c r="DS228" i="6" a="1"/>
  <c r="DS228" i="6" s="1"/>
  <c r="CW228" i="6" a="1"/>
  <c r="CW228" i="6" s="1"/>
  <c r="DF228" i="6" a="1"/>
  <c r="DF228" i="6" s="1"/>
  <c r="CV228" i="6" a="1"/>
  <c r="CV228" i="6" s="1"/>
  <c r="CH228" i="6"/>
  <c r="BV228" i="6"/>
  <c r="CC228" i="6"/>
  <c r="CT228" i="6" a="1"/>
  <c r="CT228" i="6" s="1"/>
  <c r="DO228" i="6" a="1"/>
  <c r="DO228" i="6" s="1"/>
  <c r="BX228" i="6"/>
  <c r="CR228" i="6"/>
  <c r="BU228" i="6"/>
  <c r="CI228" i="6"/>
  <c r="CB228" i="6"/>
  <c r="CN228" i="6"/>
  <c r="CY228" i="6" a="1"/>
  <c r="CY228" i="6" s="1"/>
  <c r="DK228" i="6" a="1"/>
  <c r="DK228" i="6" s="1"/>
  <c r="BW228" i="6"/>
  <c r="DM228" i="6" a="1"/>
  <c r="DM228" i="6" s="1"/>
  <c r="BY228" i="6"/>
  <c r="BT228" i="6"/>
  <c r="DC228" i="6" a="1"/>
  <c r="DC228" i="6" s="1"/>
  <c r="DG228" i="6" a="1"/>
  <c r="DG228" i="6" s="1"/>
  <c r="CD228" i="6"/>
  <c r="CU228" i="6" a="1"/>
  <c r="CU228" i="6" s="1"/>
  <c r="BZ228" i="6"/>
  <c r="BS228" i="6"/>
  <c r="DL228" i="6" a="1"/>
  <c r="DL228" i="6" s="1"/>
  <c r="CF228" i="6"/>
  <c r="DH228" i="6" a="1"/>
  <c r="DH228" i="6" s="1"/>
  <c r="CK228" i="6"/>
  <c r="DI228" i="6" a="1"/>
  <c r="DI228" i="6" s="1"/>
  <c r="N228" i="6"/>
  <c r="J229" i="12" a="1"/>
  <c r="J229" i="12" s="1"/>
  <c r="L229" i="12" a="1"/>
  <c r="L229" i="12" s="1"/>
  <c r="A229" i="6"/>
  <c r="CR227" i="6"/>
  <c r="BM227" i="6"/>
  <c r="CX227" i="6" a="1"/>
  <c r="CX227" i="6" s="1"/>
  <c r="DO227" i="6" a="1"/>
  <c r="DO227" i="6" s="1"/>
  <c r="CU227" i="6" a="1"/>
  <c r="CU227" i="6" s="1"/>
  <c r="BP227" i="6"/>
  <c r="DE227" i="6" a="1"/>
  <c r="DE227" i="6" s="1"/>
  <c r="DI227" i="6" a="1"/>
  <c r="DI227" i="6" s="1"/>
  <c r="DN227" i="6" a="1"/>
  <c r="DN227" i="6" s="1"/>
  <c r="BY227" i="6"/>
  <c r="CV227" i="6" a="1"/>
  <c r="CV227" i="6" s="1"/>
  <c r="DC227" i="6" a="1"/>
  <c r="DC227" i="6" s="1"/>
  <c r="BT227" i="6"/>
  <c r="DM227" i="6" a="1"/>
  <c r="DM227" i="6" s="1"/>
  <c r="DB227" i="6" a="1"/>
  <c r="DB227" i="6" s="1"/>
  <c r="CK227" i="6"/>
  <c r="CD227" i="6"/>
  <c r="BZ227" i="6"/>
  <c r="CQ227" i="6"/>
  <c r="CO227" i="6"/>
  <c r="CN227" i="6"/>
  <c r="DG227" i="6" a="1"/>
  <c r="DG227" i="6" s="1"/>
  <c r="BX227" i="6"/>
  <c r="BS227" i="6"/>
  <c r="DH227" i="6" a="1"/>
  <c r="DH227" i="6" s="1"/>
  <c r="BL227" i="6"/>
  <c r="BW227" i="6"/>
  <c r="CC227" i="6"/>
  <c r="BQ227" i="6"/>
  <c r="CW227" i="6" a="1"/>
  <c r="CW227" i="6" s="1"/>
  <c r="DR227" i="6" a="1"/>
  <c r="DR227" i="6" s="1"/>
  <c r="DD227" i="6" a="1"/>
  <c r="DD227" i="6" s="1"/>
  <c r="DJ227" i="6" a="1"/>
  <c r="DJ227" i="6" s="1"/>
  <c r="CY227" i="6" a="1"/>
  <c r="CY227" i="6" s="1"/>
  <c r="CA227" i="6"/>
  <c r="CE227" i="6"/>
  <c r="CM227" i="6"/>
  <c r="BO227" i="6"/>
  <c r="BN227" i="6"/>
  <c r="DQ227" i="6" a="1"/>
  <c r="DQ227" i="6" s="1"/>
  <c r="CF227" i="6"/>
  <c r="DL227" i="6" a="1"/>
  <c r="DL227" i="6" s="1"/>
  <c r="CJ227" i="6"/>
  <c r="CP227" i="6"/>
  <c r="CL227" i="6"/>
  <c r="CI227" i="6"/>
  <c r="CH227" i="6"/>
  <c r="CT227" i="6" a="1"/>
  <c r="CT227" i="6" s="1"/>
  <c r="CZ227" i="6" a="1"/>
  <c r="CZ227" i="6" s="1"/>
  <c r="CB227" i="6"/>
  <c r="BU227" i="6"/>
  <c r="BV227" i="6"/>
  <c r="DS227" i="6" a="1"/>
  <c r="DS227" i="6" s="1"/>
  <c r="DP227" i="6" a="1"/>
  <c r="DP227" i="6" s="1"/>
  <c r="DK227" i="6" a="1"/>
  <c r="DK227" i="6" s="1"/>
  <c r="CG227" i="6"/>
  <c r="DF227" i="6" a="1"/>
  <c r="DF227" i="6" s="1"/>
  <c r="DA227" i="6" a="1"/>
  <c r="DA227" i="6" s="1"/>
  <c r="C231" i="5"/>
  <c r="C232" i="5" s="1"/>
  <c r="AE230" i="5" a="1"/>
  <c r="AE230" i="5" s="1"/>
  <c r="A230" i="12"/>
  <c r="B230" i="5"/>
  <c r="H230" i="5"/>
  <c r="AD230" i="5"/>
  <c r="J230" i="5"/>
  <c r="F230" i="5"/>
  <c r="D230" i="5"/>
  <c r="B230" i="12" s="1"/>
  <c r="E230" i="5"/>
  <c r="N230" i="5"/>
  <c r="D230" i="6" s="1"/>
  <c r="H230" i="6" s="1" a="1"/>
  <c r="H230" i="6" s="1"/>
  <c r="T230" i="5" s="1"/>
  <c r="G230" i="12" s="1" a="1"/>
  <c r="G230" i="12" s="1"/>
  <c r="B230" i="6"/>
  <c r="G230" i="5"/>
  <c r="K230" i="5"/>
  <c r="K228" i="12"/>
  <c r="L238" i="6"/>
  <c r="A232" i="12" l="1"/>
  <c r="AE232" i="5" a="1"/>
  <c r="AE232" i="5" s="1"/>
  <c r="AD232" i="5"/>
  <c r="N232" i="5"/>
  <c r="D232" i="5"/>
  <c r="B232" i="12" s="1"/>
  <c r="K232" i="5"/>
  <c r="J232" i="5"/>
  <c r="B232" i="6"/>
  <c r="K229" i="12"/>
  <c r="K231" i="5"/>
  <c r="AD231" i="5"/>
  <c r="B231" i="6"/>
  <c r="N231" i="5"/>
  <c r="D231" i="6" s="1"/>
  <c r="H231" i="6" s="1" a="1"/>
  <c r="H231" i="6" s="1"/>
  <c r="T231" i="5" s="1"/>
  <c r="G231" i="12" s="1" a="1"/>
  <c r="G231" i="12" s="1"/>
  <c r="J231" i="5"/>
  <c r="D231" i="5"/>
  <c r="B231" i="12" s="1"/>
  <c r="A231" i="12"/>
  <c r="H231" i="5"/>
  <c r="H232" i="5" s="1"/>
  <c r="G231" i="5"/>
  <c r="G232" i="5" s="1"/>
  <c r="AE231" i="5" a="1"/>
  <c r="AE231" i="5" s="1"/>
  <c r="E231" i="5"/>
  <c r="E232" i="5" s="1"/>
  <c r="F231" i="5"/>
  <c r="F232" i="5" s="1"/>
  <c r="B231" i="5"/>
  <c r="B232" i="5" s="1"/>
  <c r="M229" i="6"/>
  <c r="N229" i="6"/>
  <c r="L230" i="12" a="1"/>
  <c r="L230" i="12" s="1"/>
  <c r="J230" i="12" a="1"/>
  <c r="J230" i="12" s="1"/>
  <c r="A230" i="6"/>
  <c r="N230" i="6" s="1"/>
  <c r="L239" i="6"/>
  <c r="C233" i="5" l="1"/>
  <c r="F233" i="5" s="1"/>
  <c r="D232" i="6"/>
  <c r="L232" i="12" a="1"/>
  <c r="L232" i="12" s="1"/>
  <c r="J232" i="12" a="1"/>
  <c r="J232" i="12" s="1"/>
  <c r="M230" i="6"/>
  <c r="DN230" i="6" s="1" a="1"/>
  <c r="DN230" i="6" s="1"/>
  <c r="CR229" i="6"/>
  <c r="DN229" i="6" a="1"/>
  <c r="DN229" i="6" s="1"/>
  <c r="CU229" i="6" a="1"/>
  <c r="CU229" i="6" s="1"/>
  <c r="BW229" i="6"/>
  <c r="BV229" i="6"/>
  <c r="BS229" i="6"/>
  <c r="CL229" i="6"/>
  <c r="BL229" i="6"/>
  <c r="CI229" i="6"/>
  <c r="CG229" i="6"/>
  <c r="CC229" i="6"/>
  <c r="CH229" i="6"/>
  <c r="CO229" i="6"/>
  <c r="BZ229" i="6"/>
  <c r="CA229" i="6"/>
  <c r="DB229" i="6" a="1"/>
  <c r="DB229" i="6" s="1"/>
  <c r="DL229" i="6" a="1"/>
  <c r="DL229" i="6" s="1"/>
  <c r="DE229" i="6" a="1"/>
  <c r="DE229" i="6" s="1"/>
  <c r="BU229" i="6"/>
  <c r="BP229" i="6"/>
  <c r="CV229" i="6" a="1"/>
  <c r="CV229" i="6" s="1"/>
  <c r="DC229" i="6" a="1"/>
  <c r="DC229" i="6" s="1"/>
  <c r="BT229" i="6"/>
  <c r="BQ229" i="6"/>
  <c r="DR229" i="6" a="1"/>
  <c r="DR229" i="6" s="1"/>
  <c r="DK229" i="6" a="1"/>
  <c r="DK229" i="6" s="1"/>
  <c r="BY229" i="6"/>
  <c r="CF229" i="6"/>
  <c r="CZ229" i="6" a="1"/>
  <c r="CZ229" i="6" s="1"/>
  <c r="DA229" i="6" a="1"/>
  <c r="DA229" i="6" s="1"/>
  <c r="DQ229" i="6" a="1"/>
  <c r="DQ229" i="6" s="1"/>
  <c r="DF229" i="6" a="1"/>
  <c r="DF229" i="6" s="1"/>
  <c r="DJ229" i="6" a="1"/>
  <c r="DJ229" i="6" s="1"/>
  <c r="DP229" i="6" a="1"/>
  <c r="DP229" i="6" s="1"/>
  <c r="BX229" i="6"/>
  <c r="CT229" i="6" a="1"/>
  <c r="CT229" i="6" s="1"/>
  <c r="CW229" i="6" a="1"/>
  <c r="CW229" i="6" s="1"/>
  <c r="DO229" i="6" a="1"/>
  <c r="DO229" i="6" s="1"/>
  <c r="DH229" i="6" a="1"/>
  <c r="DH229" i="6" s="1"/>
  <c r="CB229" i="6"/>
  <c r="CM229" i="6"/>
  <c r="CE229" i="6"/>
  <c r="DD229" i="6" a="1"/>
  <c r="DD229" i="6" s="1"/>
  <c r="BO229" i="6"/>
  <c r="CN229" i="6"/>
  <c r="CP229" i="6"/>
  <c r="CQ229" i="6"/>
  <c r="DG229" i="6" a="1"/>
  <c r="DG229" i="6" s="1"/>
  <c r="CD229" i="6"/>
  <c r="CY229" i="6" a="1"/>
  <c r="CY229" i="6" s="1"/>
  <c r="CJ229" i="6"/>
  <c r="BN229" i="6"/>
  <c r="BM229" i="6"/>
  <c r="DM229" i="6" a="1"/>
  <c r="DM229" i="6" s="1"/>
  <c r="DS229" i="6" a="1"/>
  <c r="DS229" i="6" s="1"/>
  <c r="CX229" i="6" a="1"/>
  <c r="CX229" i="6" s="1"/>
  <c r="DI229" i="6" a="1"/>
  <c r="DI229" i="6" s="1"/>
  <c r="CK229" i="6"/>
  <c r="J231" i="12" a="1"/>
  <c r="J231" i="12" s="1"/>
  <c r="L231" i="12" a="1"/>
  <c r="L231" i="12" s="1"/>
  <c r="A231" i="6"/>
  <c r="A232" i="6" s="1"/>
  <c r="K230" i="12"/>
  <c r="L240" i="6"/>
  <c r="B233" i="5" l="1"/>
  <c r="H233" i="5"/>
  <c r="A233" i="12"/>
  <c r="AF233" i="5" a="1"/>
  <c r="AF233" i="5" s="1"/>
  <c r="AE233" i="5" a="1"/>
  <c r="AE233" i="5" s="1"/>
  <c r="B233" i="6"/>
  <c r="A233" i="6" s="1"/>
  <c r="AD233" i="5"/>
  <c r="N233" i="5"/>
  <c r="D233" i="6" s="1"/>
  <c r="H233" i="6" s="1" a="1"/>
  <c r="H233" i="6" s="1"/>
  <c r="W233" i="5" a="1"/>
  <c r="W233" i="5" s="1"/>
  <c r="H233" i="12" s="1" a="1"/>
  <c r="H233" i="12" s="1"/>
  <c r="E233" i="12"/>
  <c r="G233" i="5"/>
  <c r="E233" i="5"/>
  <c r="N232" i="6"/>
  <c r="M232" i="6"/>
  <c r="DP232" i="6" s="1" a="1"/>
  <c r="DP232" i="6" s="1"/>
  <c r="H232" i="6" a="1"/>
  <c r="H232" i="6" s="1"/>
  <c r="K232" i="12"/>
  <c r="C234" i="5"/>
  <c r="DE230" i="6" a="1"/>
  <c r="DE230" i="6" s="1"/>
  <c r="DS230" i="6" a="1"/>
  <c r="DS230" i="6" s="1"/>
  <c r="CB230" i="6"/>
  <c r="DB230" i="6" a="1"/>
  <c r="DB230" i="6" s="1"/>
  <c r="CZ230" i="6" a="1"/>
  <c r="CZ230" i="6" s="1"/>
  <c r="DL230" i="6" a="1"/>
  <c r="DL230" i="6" s="1"/>
  <c r="BL230" i="6"/>
  <c r="CL230" i="6"/>
  <c r="DM230" i="6" a="1"/>
  <c r="DM230" i="6" s="1"/>
  <c r="BS230" i="6"/>
  <c r="BW230" i="6"/>
  <c r="CO230" i="6"/>
  <c r="BO230" i="6"/>
  <c r="DG230" i="6" a="1"/>
  <c r="DG230" i="6" s="1"/>
  <c r="DA230" i="6" a="1"/>
  <c r="DA230" i="6" s="1"/>
  <c r="DI230" i="6" a="1"/>
  <c r="DI230" i="6" s="1"/>
  <c r="DC230" i="6" a="1"/>
  <c r="DC230" i="6" s="1"/>
  <c r="DK230" i="6" a="1"/>
  <c r="DK230" i="6" s="1"/>
  <c r="CM230" i="6"/>
  <c r="BN230" i="6"/>
  <c r="CW230" i="6" a="1"/>
  <c r="CW230" i="6" s="1"/>
  <c r="CK230" i="6"/>
  <c r="CE230" i="6"/>
  <c r="CR230" i="6"/>
  <c r="DH230" i="6" a="1"/>
  <c r="DH230" i="6" s="1"/>
  <c r="DD230" i="6" a="1"/>
  <c r="DD230" i="6" s="1"/>
  <c r="BX230" i="6"/>
  <c r="CP230" i="6"/>
  <c r="BQ230" i="6"/>
  <c r="CI230" i="6"/>
  <c r="DQ230" i="6" a="1"/>
  <c r="DQ230" i="6" s="1"/>
  <c r="DF230" i="6" a="1"/>
  <c r="DF230" i="6" s="1"/>
  <c r="CY230" i="6" a="1"/>
  <c r="CY230" i="6" s="1"/>
  <c r="BT230" i="6"/>
  <c r="BY230" i="6"/>
  <c r="BZ230" i="6"/>
  <c r="CX230" i="6" a="1"/>
  <c r="CX230" i="6" s="1"/>
  <c r="BM230" i="6"/>
  <c r="CF230" i="6"/>
  <c r="DR230" i="6" a="1"/>
  <c r="DR230" i="6" s="1"/>
  <c r="DJ230" i="6" a="1"/>
  <c r="DJ230" i="6" s="1"/>
  <c r="CH230" i="6"/>
  <c r="CT230" i="6" a="1"/>
  <c r="CT230" i="6" s="1"/>
  <c r="CU230" i="6" a="1"/>
  <c r="CU230" i="6" s="1"/>
  <c r="CG230" i="6"/>
  <c r="CV230" i="6" a="1"/>
  <c r="CV230" i="6" s="1"/>
  <c r="BP230" i="6"/>
  <c r="DO230" i="6" a="1"/>
  <c r="DO230" i="6" s="1"/>
  <c r="CN230" i="6"/>
  <c r="BV230" i="6"/>
  <c r="CA230" i="6"/>
  <c r="CQ230" i="6"/>
  <c r="DP230" i="6" a="1"/>
  <c r="DP230" i="6" s="1"/>
  <c r="BU230" i="6"/>
  <c r="CJ230" i="6"/>
  <c r="CC230" i="6"/>
  <c r="K231" i="12"/>
  <c r="CD230" i="6"/>
  <c r="M231" i="6"/>
  <c r="N231" i="6"/>
  <c r="L241" i="6"/>
  <c r="K50" i="5"/>
  <c r="K62" i="5"/>
  <c r="K66" i="5"/>
  <c r="K73" i="5"/>
  <c r="K76" i="5"/>
  <c r="K84" i="5"/>
  <c r="K94" i="5"/>
  <c r="K115" i="5"/>
  <c r="K133" i="5"/>
  <c r="K166" i="5"/>
  <c r="K26" i="5"/>
  <c r="K36" i="5"/>
  <c r="K45" i="5"/>
  <c r="K102" i="5"/>
  <c r="J102" i="5"/>
  <c r="J107" i="5"/>
  <c r="J110" i="5"/>
  <c r="K110" i="5"/>
  <c r="K134" i="5"/>
  <c r="J134" i="5"/>
  <c r="K142" i="5"/>
  <c r="J142" i="5"/>
  <c r="K156" i="5"/>
  <c r="J156" i="5"/>
  <c r="K167" i="5"/>
  <c r="J167" i="5"/>
  <c r="K175" i="5"/>
  <c r="J175" i="5"/>
  <c r="K180" i="5"/>
  <c r="J180" i="5"/>
  <c r="J188" i="5"/>
  <c r="K204" i="5"/>
  <c r="N233" i="6" l="1"/>
  <c r="M233" i="6"/>
  <c r="G233" i="6"/>
  <c r="AG233" i="5" a="1"/>
  <c r="AG233" i="5" s="1"/>
  <c r="S233" i="5" a="1"/>
  <c r="S233" i="5" s="1"/>
  <c r="F233" i="12" s="1" a="1"/>
  <c r="F233" i="12" s="1"/>
  <c r="F233" i="6"/>
  <c r="T233" i="5"/>
  <c r="BT232" i="6"/>
  <c r="CC232" i="6"/>
  <c r="DR232" i="6" a="1"/>
  <c r="DR232" i="6" s="1"/>
  <c r="CQ232" i="6"/>
  <c r="DI232" i="6" a="1"/>
  <c r="DI232" i="6" s="1"/>
  <c r="CP232" i="6"/>
  <c r="DB232" i="6" a="1"/>
  <c r="DB232" i="6" s="1"/>
  <c r="BM232" i="6"/>
  <c r="BW232" i="6"/>
  <c r="DO232" i="6" a="1"/>
  <c r="DO232" i="6" s="1"/>
  <c r="CN232" i="6"/>
  <c r="CG232" i="6"/>
  <c r="BS232" i="6"/>
  <c r="DM232" i="6" a="1"/>
  <c r="DM232" i="6" s="1"/>
  <c r="DF232" i="6" a="1"/>
  <c r="DF232" i="6" s="1"/>
  <c r="BV232" i="6"/>
  <c r="CE232" i="6"/>
  <c r="DS232" i="6" a="1"/>
  <c r="DS232" i="6" s="1"/>
  <c r="CO232" i="6"/>
  <c r="CA232" i="6"/>
  <c r="DQ232" i="6" a="1"/>
  <c r="DQ232" i="6" s="1"/>
  <c r="BL232" i="6"/>
  <c r="DJ232" i="6" a="1"/>
  <c r="DJ232" i="6" s="1"/>
  <c r="CD232" i="6"/>
  <c r="CM232" i="6"/>
  <c r="CV232" i="6" a="1"/>
  <c r="CV232" i="6" s="1"/>
  <c r="CI232" i="6"/>
  <c r="T232" i="5"/>
  <c r="BU232" i="6"/>
  <c r="DN232" i="6" a="1"/>
  <c r="DN232" i="6" s="1"/>
  <c r="CL232" i="6"/>
  <c r="CU232" i="6" a="1"/>
  <c r="CU232" i="6" s="1"/>
  <c r="CZ232" i="6" a="1"/>
  <c r="CZ232" i="6" s="1"/>
  <c r="CY232" i="6" a="1"/>
  <c r="CY232" i="6" s="1"/>
  <c r="DD232" i="6" a="1"/>
  <c r="DD232" i="6" s="1"/>
  <c r="CW232" i="6" a="1"/>
  <c r="CW232" i="6" s="1"/>
  <c r="BQ232" i="6"/>
  <c r="CB232" i="6"/>
  <c r="CK232" i="6"/>
  <c r="DC232" i="6" a="1"/>
  <c r="DC232" i="6" s="1"/>
  <c r="BO232" i="6"/>
  <c r="DH232" i="6" a="1"/>
  <c r="DH232" i="6" s="1"/>
  <c r="DA232" i="6" a="1"/>
  <c r="DA232" i="6" s="1"/>
  <c r="BZ232" i="6"/>
  <c r="CJ232" i="6"/>
  <c r="CT232" i="6" a="1"/>
  <c r="CT232" i="6" s="1"/>
  <c r="DG232" i="6" a="1"/>
  <c r="DG232" i="6" s="1"/>
  <c r="BX232" i="6"/>
  <c r="BP232" i="6"/>
  <c r="DL232" i="6" a="1"/>
  <c r="DL232" i="6" s="1"/>
  <c r="DE232" i="6" a="1"/>
  <c r="DE232" i="6" s="1"/>
  <c r="CH232" i="6"/>
  <c r="CR232" i="6"/>
  <c r="CX232" i="6" a="1"/>
  <c r="CX232" i="6" s="1"/>
  <c r="BN232" i="6"/>
  <c r="DK232" i="6" a="1"/>
  <c r="DK232" i="6" s="1"/>
  <c r="CF232" i="6"/>
  <c r="BY232" i="6"/>
  <c r="F234" i="5"/>
  <c r="W234" i="5" a="1"/>
  <c r="W234" i="5" s="1"/>
  <c r="H234" i="12" s="1" a="1"/>
  <c r="H234" i="12" s="1"/>
  <c r="I234" i="5"/>
  <c r="AD234" i="5"/>
  <c r="C235" i="5"/>
  <c r="AF234" i="5" a="1"/>
  <c r="AF234" i="5" s="1"/>
  <c r="AG234" i="5" s="1" a="1"/>
  <c r="AG234" i="5" s="1"/>
  <c r="U234" i="5" s="1"/>
  <c r="AN234" i="5" s="1" a="1"/>
  <c r="AN234" i="5" s="1"/>
  <c r="A234" i="12"/>
  <c r="H234" i="5"/>
  <c r="G234" i="5"/>
  <c r="E234" i="5"/>
  <c r="B234" i="5"/>
  <c r="N234" i="5"/>
  <c r="D234" i="6" s="1"/>
  <c r="N234" i="6" s="1"/>
  <c r="AE234" i="5" a="1"/>
  <c r="AE234" i="5" s="1"/>
  <c r="B234" i="6"/>
  <c r="A234" i="6" s="1"/>
  <c r="DP231" i="6" a="1"/>
  <c r="DP231" i="6" s="1"/>
  <c r="CU231" i="6" a="1"/>
  <c r="CU231" i="6" s="1"/>
  <c r="CL231" i="6"/>
  <c r="BV231" i="6"/>
  <c r="BT231" i="6"/>
  <c r="BY231" i="6"/>
  <c r="DQ231" i="6" a="1"/>
  <c r="DQ231" i="6" s="1"/>
  <c r="BL231" i="6"/>
  <c r="BO231" i="6"/>
  <c r="DH231" i="6" a="1"/>
  <c r="DH231" i="6" s="1"/>
  <c r="DS231" i="6" a="1"/>
  <c r="DS231" i="6" s="1"/>
  <c r="CJ231" i="6"/>
  <c r="DR231" i="6" a="1"/>
  <c r="DR231" i="6" s="1"/>
  <c r="BQ231" i="6"/>
  <c r="CR231" i="6"/>
  <c r="CP231" i="6"/>
  <c r="DA231" i="6" a="1"/>
  <c r="DA231" i="6" s="1"/>
  <c r="CD231" i="6"/>
  <c r="DI231" i="6" a="1"/>
  <c r="DI231" i="6" s="1"/>
  <c r="CT231" i="6" a="1"/>
  <c r="CT231" i="6" s="1"/>
  <c r="CB231" i="6"/>
  <c r="CQ231" i="6"/>
  <c r="CH231" i="6"/>
  <c r="CK231" i="6"/>
  <c r="DE231" i="6" a="1"/>
  <c r="DE231" i="6" s="1"/>
  <c r="CE231" i="6"/>
  <c r="DJ231" i="6" a="1"/>
  <c r="DJ231" i="6" s="1"/>
  <c r="BN231" i="6"/>
  <c r="CW231" i="6" a="1"/>
  <c r="CW231" i="6" s="1"/>
  <c r="CM231" i="6"/>
  <c r="CA231" i="6"/>
  <c r="DC231" i="6" a="1"/>
  <c r="DC231" i="6" s="1"/>
  <c r="BZ231" i="6"/>
  <c r="DF231" i="6" a="1"/>
  <c r="DF231" i="6" s="1"/>
  <c r="CV231" i="6" a="1"/>
  <c r="CV231" i="6" s="1"/>
  <c r="BU231" i="6"/>
  <c r="CG231" i="6"/>
  <c r="DD231" i="6" a="1"/>
  <c r="DD231" i="6" s="1"/>
  <c r="DB231" i="6" a="1"/>
  <c r="DB231" i="6" s="1"/>
  <c r="CI231" i="6"/>
  <c r="DL231" i="6" a="1"/>
  <c r="DL231" i="6" s="1"/>
  <c r="CZ231" i="6" a="1"/>
  <c r="CZ231" i="6" s="1"/>
  <c r="CN231" i="6"/>
  <c r="BS231" i="6"/>
  <c r="DO231" i="6" a="1"/>
  <c r="DO231" i="6" s="1"/>
  <c r="CX231" i="6" a="1"/>
  <c r="CX231" i="6" s="1"/>
  <c r="CO231" i="6"/>
  <c r="DM231" i="6" a="1"/>
  <c r="DM231" i="6" s="1"/>
  <c r="CC231" i="6"/>
  <c r="DN231" i="6" a="1"/>
  <c r="DN231" i="6" s="1"/>
  <c r="BP231" i="6"/>
  <c r="BW231" i="6"/>
  <c r="DK231" i="6" a="1"/>
  <c r="DK231" i="6" s="1"/>
  <c r="CY231" i="6" a="1"/>
  <c r="CY231" i="6" s="1"/>
  <c r="DG231" i="6" a="1"/>
  <c r="DG231" i="6" s="1"/>
  <c r="CF231" i="6"/>
  <c r="BX231" i="6"/>
  <c r="BM231" i="6"/>
  <c r="L242" i="6"/>
  <c r="D102" i="5"/>
  <c r="B102" i="12" s="1"/>
  <c r="D134" i="5"/>
  <c r="B134" i="12" s="1"/>
  <c r="D167" i="5"/>
  <c r="B167" i="12" s="1"/>
  <c r="D156" i="5"/>
  <c r="B156" i="12" s="1"/>
  <c r="D180" i="5"/>
  <c r="B180" i="12" s="1"/>
  <c r="D142" i="5"/>
  <c r="D110" i="5"/>
  <c r="D175" i="5"/>
  <c r="BK233" i="6" l="1"/>
  <c r="CK233" i="6"/>
  <c r="BD233" i="6"/>
  <c r="DA233" i="6" a="1"/>
  <c r="DA233" i="6" s="1"/>
  <c r="CU233" i="6" a="1"/>
  <c r="CU233" i="6" s="1"/>
  <c r="BC233" i="6"/>
  <c r="BZ233" i="6"/>
  <c r="BM233" i="6"/>
  <c r="BX233" i="6"/>
  <c r="DD233" i="6" a="1"/>
  <c r="DD233" i="6" s="1"/>
  <c r="DI233" i="6" a="1"/>
  <c r="DI233" i="6" s="1"/>
  <c r="DN233" i="6" a="1"/>
  <c r="DN233" i="6" s="1"/>
  <c r="CM233" i="6"/>
  <c r="BY233" i="6"/>
  <c r="CI233" i="6"/>
  <c r="AV233" i="6"/>
  <c r="BN233" i="6"/>
  <c r="BO233" i="6"/>
  <c r="CZ233" i="6" a="1"/>
  <c r="CZ233" i="6" s="1"/>
  <c r="DE233" i="6" a="1"/>
  <c r="DE233" i="6" s="1"/>
  <c r="BU233" i="6"/>
  <c r="CD233" i="6"/>
  <c r="CN233" i="6"/>
  <c r="BQ233" i="6"/>
  <c r="DQ233" i="6" a="1"/>
  <c r="DQ233" i="6" s="1"/>
  <c r="BE233" i="6"/>
  <c r="DG233" i="6" a="1"/>
  <c r="DG233" i="6" s="1"/>
  <c r="AR233" i="6"/>
  <c r="BB233" i="6"/>
  <c r="CC233" i="6"/>
  <c r="CH233" i="6"/>
  <c r="DJ233" i="6" a="1"/>
  <c r="DJ233" i="6" s="1"/>
  <c r="DS233" i="6" a="1"/>
  <c r="DS233" i="6" s="1"/>
  <c r="DL233" i="6" a="1"/>
  <c r="DL233" i="6" s="1"/>
  <c r="CA233" i="6"/>
  <c r="CX233" i="6" a="1"/>
  <c r="CX233" i="6" s="1"/>
  <c r="BF233" i="6"/>
  <c r="BG233" i="6"/>
  <c r="CV233" i="6" a="1"/>
  <c r="CV233" i="6" s="1"/>
  <c r="AU233" i="6"/>
  <c r="CW233" i="6" a="1"/>
  <c r="CW233" i="6" s="1"/>
  <c r="BL233" i="6"/>
  <c r="CE233" i="6"/>
  <c r="CF233" i="6"/>
  <c r="AS233" i="6"/>
  <c r="CR233" i="6"/>
  <c r="AW233" i="6"/>
  <c r="DC233" i="6" a="1"/>
  <c r="DC233" i="6" s="1"/>
  <c r="AY233" i="6"/>
  <c r="AT233" i="6"/>
  <c r="CP233" i="6"/>
  <c r="BA233" i="6"/>
  <c r="BV233" i="6"/>
  <c r="DO233" i="6" a="1"/>
  <c r="DO233" i="6" s="1"/>
  <c r="DH233" i="6" a="1"/>
  <c r="DH233" i="6" s="1"/>
  <c r="DM233" i="6" a="1"/>
  <c r="DM233" i="6" s="1"/>
  <c r="CT233" i="6" a="1"/>
  <c r="CT233" i="6" s="1"/>
  <c r="AX233" i="6"/>
  <c r="CY233" i="6" a="1"/>
  <c r="CY233" i="6" s="1"/>
  <c r="BP233" i="6"/>
  <c r="CJ233" i="6"/>
  <c r="CG233" i="6"/>
  <c r="CQ233" i="6"/>
  <c r="DF233" i="6" a="1"/>
  <c r="DF233" i="6" s="1"/>
  <c r="BW233" i="6"/>
  <c r="BH233" i="6"/>
  <c r="BS233" i="6"/>
  <c r="CB233" i="6"/>
  <c r="BT233" i="6"/>
  <c r="CL233" i="6"/>
  <c r="BI233" i="6"/>
  <c r="DP233" i="6" a="1"/>
  <c r="DP233" i="6" s="1"/>
  <c r="DB233" i="6" a="1"/>
  <c r="DB233" i="6" s="1"/>
  <c r="DK233" i="6" a="1"/>
  <c r="DK233" i="6" s="1"/>
  <c r="AZ233" i="6"/>
  <c r="BJ233" i="6"/>
  <c r="A235" i="12"/>
  <c r="C236" i="5"/>
  <c r="C237" i="5" s="1"/>
  <c r="AE235" i="5" a="1"/>
  <c r="AE235" i="5" s="1"/>
  <c r="AD235" i="5"/>
  <c r="B235" i="5"/>
  <c r="B235" i="6"/>
  <c r="N235" i="5"/>
  <c r="D235" i="6" s="1"/>
  <c r="H235" i="6" s="1" a="1"/>
  <c r="H235" i="6" s="1"/>
  <c r="T235" i="5" s="1"/>
  <c r="G235" i="12" s="1" a="1"/>
  <c r="G235" i="12" s="1"/>
  <c r="H234" i="6" a="1"/>
  <c r="H234" i="6" s="1"/>
  <c r="T234" i="5" s="1"/>
  <c r="G234" i="12" s="1" a="1"/>
  <c r="G234" i="12" s="1"/>
  <c r="CO233" i="6"/>
  <c r="DR233" i="6" a="1"/>
  <c r="DR233" i="6" s="1"/>
  <c r="G233" i="12" a="1"/>
  <c r="G233" i="12" s="1"/>
  <c r="G232" i="12" a="1"/>
  <c r="G232" i="12" s="1"/>
  <c r="G234" i="6"/>
  <c r="E235" i="5"/>
  <c r="G235" i="5"/>
  <c r="F235" i="5"/>
  <c r="H235" i="5"/>
  <c r="M234" i="6"/>
  <c r="L243" i="6"/>
  <c r="B110" i="12"/>
  <c r="B175" i="12"/>
  <c r="B142" i="12"/>
  <c r="DP234" i="6" l="1" a="1"/>
  <c r="DP234" i="6" s="1"/>
  <c r="A236" i="12"/>
  <c r="AE236" i="5" a="1"/>
  <c r="AE236" i="5" s="1"/>
  <c r="H236" i="5"/>
  <c r="H237" i="5" s="1"/>
  <c r="AD236" i="5"/>
  <c r="G236" i="5"/>
  <c r="G237" i="5" s="1"/>
  <c r="F236" i="5"/>
  <c r="F237" i="5" s="1"/>
  <c r="N236" i="5"/>
  <c r="E236" i="5"/>
  <c r="E237" i="5" s="1"/>
  <c r="D236" i="5"/>
  <c r="B236" i="12" s="1"/>
  <c r="K236" i="5"/>
  <c r="J236" i="5"/>
  <c r="B236" i="5"/>
  <c r="B237" i="5" s="1"/>
  <c r="B236" i="6"/>
  <c r="A235" i="6"/>
  <c r="N235" i="6" s="1"/>
  <c r="DK234" i="6" a="1"/>
  <c r="DK234" i="6" s="1"/>
  <c r="BC234" i="6"/>
  <c r="BN234" i="6"/>
  <c r="BJ234" i="6"/>
  <c r="DC234" i="6" a="1"/>
  <c r="DC234" i="6" s="1"/>
  <c r="BD234" i="6"/>
  <c r="DS234" i="6" a="1"/>
  <c r="DS234" i="6" s="1"/>
  <c r="DG234" i="6" a="1"/>
  <c r="DG234" i="6" s="1"/>
  <c r="CO234" i="6"/>
  <c r="CG234" i="6"/>
  <c r="DB234" i="6" a="1"/>
  <c r="DB234" i="6" s="1"/>
  <c r="AX234" i="6"/>
  <c r="CZ234" i="6" a="1"/>
  <c r="CZ234" i="6" s="1"/>
  <c r="DA234" i="6" a="1"/>
  <c r="DA234" i="6" s="1"/>
  <c r="CH234" i="6"/>
  <c r="AV234" i="6"/>
  <c r="AW234" i="6"/>
  <c r="CI234" i="6"/>
  <c r="BE234" i="6"/>
  <c r="BP234" i="6"/>
  <c r="CD234" i="6"/>
  <c r="DO234" i="6" a="1"/>
  <c r="DO234" i="6" s="1"/>
  <c r="DQ234" i="6" a="1"/>
  <c r="DQ234" i="6" s="1"/>
  <c r="BF234" i="6"/>
  <c r="DR234" i="6" a="1"/>
  <c r="DR234" i="6" s="1"/>
  <c r="BY234" i="6"/>
  <c r="DE234" i="6" a="1"/>
  <c r="DE234" i="6" s="1"/>
  <c r="DI234" i="6" a="1"/>
  <c r="DI234" i="6" s="1"/>
  <c r="CB234" i="6"/>
  <c r="AY234" i="6"/>
  <c r="BO234" i="6"/>
  <c r="AT234" i="6"/>
  <c r="CM234" i="6"/>
  <c r="CT234" i="6" a="1"/>
  <c r="CT234" i="6" s="1"/>
  <c r="CE234" i="6"/>
  <c r="CC234" i="6"/>
  <c r="AZ234" i="6"/>
  <c r="BB234" i="6"/>
  <c r="CX234" i="6" a="1"/>
  <c r="CX234" i="6" s="1"/>
  <c r="CF234" i="6"/>
  <c r="AS234" i="6"/>
  <c r="BS234" i="6"/>
  <c r="BM234" i="6"/>
  <c r="BZ234" i="6"/>
  <c r="DD234" i="6" a="1"/>
  <c r="DD234" i="6" s="1"/>
  <c r="CJ234" i="6"/>
  <c r="CL234" i="6"/>
  <c r="CV234" i="6" a="1"/>
  <c r="CV234" i="6" s="1"/>
  <c r="CA234" i="6"/>
  <c r="AR234" i="6"/>
  <c r="BW234" i="6"/>
  <c r="CQ234" i="6"/>
  <c r="DJ234" i="6" a="1"/>
  <c r="DJ234" i="6" s="1"/>
  <c r="BT234" i="6"/>
  <c r="BX234" i="6"/>
  <c r="DH234" i="6" a="1"/>
  <c r="DH234" i="6" s="1"/>
  <c r="CR234" i="6"/>
  <c r="CW234" i="6" a="1"/>
  <c r="CW234" i="6" s="1"/>
  <c r="BH234" i="6"/>
  <c r="BI234" i="6"/>
  <c r="BU234" i="6"/>
  <c r="DN234" i="6" a="1"/>
  <c r="DN234" i="6" s="1"/>
  <c r="BL234" i="6"/>
  <c r="CU234" i="6" a="1"/>
  <c r="CU234" i="6" s="1"/>
  <c r="BV234" i="6"/>
  <c r="CY234" i="6" a="1"/>
  <c r="CY234" i="6" s="1"/>
  <c r="DL234" i="6" a="1"/>
  <c r="DL234" i="6" s="1"/>
  <c r="BG234" i="6"/>
  <c r="BQ234" i="6"/>
  <c r="CN234" i="6"/>
  <c r="BK234" i="6"/>
  <c r="DF234" i="6" a="1"/>
  <c r="DF234" i="6" s="1"/>
  <c r="DM234" i="6" a="1"/>
  <c r="DM234" i="6" s="1"/>
  <c r="BA234" i="6"/>
  <c r="AU234" i="6"/>
  <c r="CK234" i="6"/>
  <c r="CP234" i="6"/>
  <c r="N237" i="5"/>
  <c r="D237" i="6" s="1"/>
  <c r="H237" i="6" s="1" a="1"/>
  <c r="H237" i="6" s="1"/>
  <c r="T237" i="5" s="1"/>
  <c r="G237" i="12" s="1" a="1"/>
  <c r="G237" i="12" s="1"/>
  <c r="C238" i="5"/>
  <c r="K237" i="5"/>
  <c r="AE237" i="5" a="1"/>
  <c r="AE237" i="5" s="1"/>
  <c r="D237" i="5"/>
  <c r="B237" i="12" s="1"/>
  <c r="J237" i="5"/>
  <c r="AD237" i="5"/>
  <c r="B237" i="6"/>
  <c r="A237" i="12"/>
  <c r="L244" i="6"/>
  <c r="M235" i="6" l="1"/>
  <c r="D236" i="6"/>
  <c r="L236" i="12" a="1"/>
  <c r="L236" i="12" s="1"/>
  <c r="J236" i="12" a="1"/>
  <c r="J236" i="12" s="1"/>
  <c r="J238" i="5"/>
  <c r="AD238" i="5"/>
  <c r="G238" i="5"/>
  <c r="B238" i="5"/>
  <c r="E238" i="5"/>
  <c r="AE238" i="5" a="1"/>
  <c r="AE238" i="5" s="1"/>
  <c r="C239" i="5"/>
  <c r="K238" i="5"/>
  <c r="N238" i="5"/>
  <c r="D238" i="6" s="1"/>
  <c r="H238" i="6" s="1" a="1"/>
  <c r="H238" i="6" s="1"/>
  <c r="T238" i="5" s="1"/>
  <c r="G238" i="12" s="1" a="1"/>
  <c r="G238" i="12" s="1"/>
  <c r="D238" i="5"/>
  <c r="B238" i="12" s="1"/>
  <c r="B238" i="6"/>
  <c r="H238" i="5"/>
  <c r="F238" i="5"/>
  <c r="A238" i="12"/>
  <c r="L237" i="12" a="1"/>
  <c r="L237" i="12" s="1"/>
  <c r="J237" i="12" a="1"/>
  <c r="J237" i="12" s="1"/>
  <c r="CV235" i="6" l="1" a="1"/>
  <c r="CV235" i="6" s="1"/>
  <c r="CG235" i="6"/>
  <c r="DE235" i="6" a="1"/>
  <c r="DE235" i="6" s="1"/>
  <c r="CJ235" i="6"/>
  <c r="CP235" i="6"/>
  <c r="DA235" i="6" a="1"/>
  <c r="DA235" i="6" s="1"/>
  <c r="CL235" i="6"/>
  <c r="DQ235" i="6" a="1"/>
  <c r="DQ235" i="6" s="1"/>
  <c r="DC235" i="6" a="1"/>
  <c r="DC235" i="6" s="1"/>
  <c r="CQ235" i="6"/>
  <c r="BS235" i="6"/>
  <c r="BY235" i="6"/>
  <c r="CK235" i="6"/>
  <c r="DL235" i="6" a="1"/>
  <c r="DL235" i="6" s="1"/>
  <c r="BX235" i="6"/>
  <c r="BW235" i="6"/>
  <c r="CU235" i="6" a="1"/>
  <c r="CU235" i="6" s="1"/>
  <c r="CC235" i="6"/>
  <c r="DJ235" i="6" a="1"/>
  <c r="DJ235" i="6" s="1"/>
  <c r="BT235" i="6"/>
  <c r="DM235" i="6" a="1"/>
  <c r="DM235" i="6" s="1"/>
  <c r="DN235" i="6" a="1"/>
  <c r="DN235" i="6" s="1"/>
  <c r="BZ235" i="6"/>
  <c r="DH235" i="6" a="1"/>
  <c r="DH235" i="6" s="1"/>
  <c r="CA235" i="6"/>
  <c r="DO235" i="6" a="1"/>
  <c r="DO235" i="6" s="1"/>
  <c r="CR235" i="6"/>
  <c r="DI235" i="6" a="1"/>
  <c r="DI235" i="6" s="1"/>
  <c r="BQ235" i="6"/>
  <c r="DG235" i="6" a="1"/>
  <c r="DG235" i="6" s="1"/>
  <c r="CX235" i="6" a="1"/>
  <c r="CX235" i="6" s="1"/>
  <c r="DB235" i="6" a="1"/>
  <c r="DB235" i="6" s="1"/>
  <c r="BV235" i="6"/>
  <c r="CE235" i="6"/>
  <c r="DD235" i="6" a="1"/>
  <c r="DD235" i="6" s="1"/>
  <c r="CT235" i="6" a="1"/>
  <c r="CT235" i="6" s="1"/>
  <c r="DR235" i="6" a="1"/>
  <c r="DR235" i="6" s="1"/>
  <c r="CO235" i="6"/>
  <c r="BP235" i="6"/>
  <c r="CF235" i="6"/>
  <c r="CM235" i="6"/>
  <c r="CY235" i="6" a="1"/>
  <c r="CY235" i="6" s="1"/>
  <c r="BO235" i="6"/>
  <c r="CN235" i="6"/>
  <c r="DF235" i="6" a="1"/>
  <c r="DF235" i="6" s="1"/>
  <c r="CB235" i="6"/>
  <c r="CD235" i="6"/>
  <c r="BU235" i="6"/>
  <c r="DS235" i="6" a="1"/>
  <c r="DS235" i="6" s="1"/>
  <c r="CZ235" i="6" a="1"/>
  <c r="CZ235" i="6" s="1"/>
  <c r="BL235" i="6"/>
  <c r="CI235" i="6"/>
  <c r="DK235" i="6" a="1"/>
  <c r="DK235" i="6" s="1"/>
  <c r="CW235" i="6" a="1"/>
  <c r="CW235" i="6" s="1"/>
  <c r="CH235" i="6"/>
  <c r="BN235" i="6"/>
  <c r="BM235" i="6"/>
  <c r="DP235" i="6" a="1"/>
  <c r="DP235" i="6" s="1"/>
  <c r="H236" i="6" a="1"/>
  <c r="H236" i="6" s="1"/>
  <c r="A236" i="6"/>
  <c r="A237" i="6" s="1"/>
  <c r="M237" i="6" s="1"/>
  <c r="K236" i="12"/>
  <c r="AE239" i="5" a="1"/>
  <c r="AE239" i="5" s="1"/>
  <c r="D239" i="5"/>
  <c r="B239" i="12" s="1"/>
  <c r="C240" i="5"/>
  <c r="F239" i="5"/>
  <c r="AD239" i="5"/>
  <c r="H239" i="5"/>
  <c r="A239" i="12"/>
  <c r="B239" i="6"/>
  <c r="B239" i="5"/>
  <c r="J239" i="5"/>
  <c r="G239" i="5"/>
  <c r="E239" i="5"/>
  <c r="K239" i="5"/>
  <c r="N239" i="5"/>
  <c r="D239" i="6" s="1"/>
  <c r="H239" i="6" s="1" a="1"/>
  <c r="H239" i="6" s="1"/>
  <c r="T239" i="5" s="1"/>
  <c r="G239" i="12" s="1" a="1"/>
  <c r="G239" i="12" s="1"/>
  <c r="L238" i="12" a="1"/>
  <c r="L238" i="12" s="1"/>
  <c r="J238" i="12" a="1"/>
  <c r="J238" i="12" s="1"/>
  <c r="K237" i="12"/>
  <c r="A238" i="6" l="1"/>
  <c r="A239" i="6" s="1"/>
  <c r="N236" i="6"/>
  <c r="M236" i="6"/>
  <c r="T236" i="5"/>
  <c r="K238" i="12"/>
  <c r="J239" i="12" a="1"/>
  <c r="J239" i="12" s="1"/>
  <c r="L239" i="12" a="1"/>
  <c r="L239" i="12" s="1"/>
  <c r="AE240" i="5" a="1"/>
  <c r="AE240" i="5" s="1"/>
  <c r="AD240" i="5"/>
  <c r="B240" i="5"/>
  <c r="H240" i="5"/>
  <c r="C241" i="5"/>
  <c r="E240" i="5"/>
  <c r="D240" i="5"/>
  <c r="B240" i="12" s="1"/>
  <c r="G240" i="5"/>
  <c r="A240" i="12"/>
  <c r="B240" i="6"/>
  <c r="F240" i="5"/>
  <c r="N240" i="5"/>
  <c r="D240" i="6" s="1"/>
  <c r="H240" i="6" s="1" a="1"/>
  <c r="H240" i="6" s="1"/>
  <c r="T240" i="5" s="1"/>
  <c r="G240" i="12" s="1" a="1"/>
  <c r="G240" i="12" s="1"/>
  <c r="J240" i="5"/>
  <c r="K240" i="5"/>
  <c r="BT237" i="6"/>
  <c r="DB237" i="6" a="1"/>
  <c r="DB237" i="6" s="1"/>
  <c r="CN237" i="6"/>
  <c r="BX237" i="6"/>
  <c r="DS237" i="6" a="1"/>
  <c r="DS237" i="6" s="1"/>
  <c r="CC237" i="6"/>
  <c r="CW237" i="6" a="1"/>
  <c r="CW237" i="6" s="1"/>
  <c r="CM237" i="6"/>
  <c r="CA237" i="6"/>
  <c r="BY237" i="6"/>
  <c r="CX237" i="6" a="1"/>
  <c r="CX237" i="6" s="1"/>
  <c r="CH237" i="6"/>
  <c r="DN237" i="6" a="1"/>
  <c r="DN237" i="6" s="1"/>
  <c r="DI237" i="6" a="1"/>
  <c r="DI237" i="6" s="1"/>
  <c r="DH237" i="6" a="1"/>
  <c r="DH237" i="6" s="1"/>
  <c r="CG237" i="6"/>
  <c r="CO237" i="6"/>
  <c r="CT237" i="6" a="1"/>
  <c r="CT237" i="6" s="1"/>
  <c r="DJ237" i="6" a="1"/>
  <c r="DJ237" i="6" s="1"/>
  <c r="BU237" i="6"/>
  <c r="BO237" i="6"/>
  <c r="CD237" i="6"/>
  <c r="CV237" i="6" a="1"/>
  <c r="CV237" i="6" s="1"/>
  <c r="BP237" i="6"/>
  <c r="CI237" i="6"/>
  <c r="DQ237" i="6" a="1"/>
  <c r="DQ237" i="6" s="1"/>
  <c r="CF237" i="6"/>
  <c r="BZ237" i="6"/>
  <c r="CK237" i="6"/>
  <c r="CZ237" i="6" a="1"/>
  <c r="CZ237" i="6" s="1"/>
  <c r="DA237" i="6" a="1"/>
  <c r="DA237" i="6" s="1"/>
  <c r="DL237" i="6" a="1"/>
  <c r="DL237" i="6" s="1"/>
  <c r="CQ237" i="6"/>
  <c r="BV237" i="6"/>
  <c r="CP237" i="6"/>
  <c r="BN237" i="6"/>
  <c r="CR237" i="6"/>
  <c r="BS237" i="6"/>
  <c r="CB237" i="6"/>
  <c r="CU237" i="6" a="1"/>
  <c r="CU237" i="6" s="1"/>
  <c r="DM237" i="6" a="1"/>
  <c r="DM237" i="6" s="1"/>
  <c r="CJ237" i="6"/>
  <c r="DG237" i="6" a="1"/>
  <c r="DG237" i="6" s="1"/>
  <c r="DD237" i="6" a="1"/>
  <c r="DD237" i="6" s="1"/>
  <c r="CY237" i="6" a="1"/>
  <c r="CY237" i="6" s="1"/>
  <c r="BM237" i="6"/>
  <c r="DO237" i="6" a="1"/>
  <c r="DO237" i="6" s="1"/>
  <c r="DF237" i="6" a="1"/>
  <c r="DF237" i="6" s="1"/>
  <c r="CL237" i="6"/>
  <c r="BW237" i="6"/>
  <c r="DP237" i="6" a="1"/>
  <c r="DP237" i="6" s="1"/>
  <c r="DE237" i="6" a="1"/>
  <c r="DE237" i="6" s="1"/>
  <c r="BL237" i="6"/>
  <c r="DR237" i="6" a="1"/>
  <c r="DR237" i="6" s="1"/>
  <c r="DK237" i="6" a="1"/>
  <c r="DK237" i="6" s="1"/>
  <c r="CE237" i="6"/>
  <c r="DC237" i="6" a="1"/>
  <c r="DC237" i="6" s="1"/>
  <c r="BQ237" i="6"/>
  <c r="K19" i="5"/>
  <c r="K17" i="5"/>
  <c r="M238" i="6" l="1"/>
  <c r="DR238" i="6" s="1" a="1"/>
  <c r="DR238" i="6" s="1"/>
  <c r="BL236" i="6"/>
  <c r="G236" i="12" a="1"/>
  <c r="G236" i="12" s="1"/>
  <c r="DP236" i="6" a="1"/>
  <c r="DP236" i="6" s="1"/>
  <c r="BY236" i="6"/>
  <c r="BX236" i="6"/>
  <c r="DG236" i="6" a="1"/>
  <c r="DG236" i="6" s="1"/>
  <c r="CK236" i="6"/>
  <c r="CB236" i="6"/>
  <c r="DE236" i="6" a="1"/>
  <c r="DE236" i="6" s="1"/>
  <c r="DL236" i="6" a="1"/>
  <c r="DL236" i="6" s="1"/>
  <c r="DC236" i="6" a="1"/>
  <c r="DC236" i="6" s="1"/>
  <c r="DR236" i="6" a="1"/>
  <c r="DR236" i="6" s="1"/>
  <c r="CC236" i="6"/>
  <c r="BT236" i="6"/>
  <c r="DA236" i="6" a="1"/>
  <c r="DA236" i="6" s="1"/>
  <c r="BQ236" i="6"/>
  <c r="DH236" i="6" a="1"/>
  <c r="DH236" i="6" s="1"/>
  <c r="CY236" i="6" a="1"/>
  <c r="CY236" i="6" s="1"/>
  <c r="DN236" i="6" a="1"/>
  <c r="DN236" i="6" s="1"/>
  <c r="BU236" i="6"/>
  <c r="CW236" i="6" a="1"/>
  <c r="CW236" i="6" s="1"/>
  <c r="CP236" i="6"/>
  <c r="CA236" i="6"/>
  <c r="DD236" i="6" a="1"/>
  <c r="DD236" i="6" s="1"/>
  <c r="CU236" i="6" a="1"/>
  <c r="CU236" i="6" s="1"/>
  <c r="CL236" i="6"/>
  <c r="DJ236" i="6" a="1"/>
  <c r="DJ236" i="6" s="1"/>
  <c r="CQ236" i="6"/>
  <c r="CH236" i="6"/>
  <c r="BZ236" i="6"/>
  <c r="CZ236" i="6" a="1"/>
  <c r="CZ236" i="6" s="1"/>
  <c r="CM236" i="6"/>
  <c r="CD236" i="6"/>
  <c r="DF236" i="6" a="1"/>
  <c r="DF236" i="6" s="1"/>
  <c r="CI236" i="6"/>
  <c r="CV236" i="6" a="1"/>
  <c r="CV236" i="6" s="1"/>
  <c r="DS236" i="6" a="1"/>
  <c r="DS236" i="6" s="1"/>
  <c r="CE236" i="6"/>
  <c r="BV236" i="6"/>
  <c r="DB236" i="6" a="1"/>
  <c r="DB236" i="6" s="1"/>
  <c r="DQ236" i="6" a="1"/>
  <c r="DQ236" i="6" s="1"/>
  <c r="CO236" i="6"/>
  <c r="CN236" i="6"/>
  <c r="DO236" i="6" a="1"/>
  <c r="DO236" i="6" s="1"/>
  <c r="BW236" i="6"/>
  <c r="BM236" i="6"/>
  <c r="CX236" i="6" a="1"/>
  <c r="CX236" i="6" s="1"/>
  <c r="CR236" i="6"/>
  <c r="DM236" i="6" a="1"/>
  <c r="DM236" i="6" s="1"/>
  <c r="BS236" i="6"/>
  <c r="CG236" i="6"/>
  <c r="CF236" i="6"/>
  <c r="DK236" i="6" a="1"/>
  <c r="DK236" i="6" s="1"/>
  <c r="CT236" i="6" a="1"/>
  <c r="CT236" i="6" s="1"/>
  <c r="CJ236" i="6"/>
  <c r="DI236" i="6" a="1"/>
  <c r="DI236" i="6" s="1"/>
  <c r="BN236" i="6"/>
  <c r="BP236" i="6"/>
  <c r="BO236" i="6"/>
  <c r="K239" i="12"/>
  <c r="A240" i="6"/>
  <c r="J240" i="12" a="1"/>
  <c r="J240" i="12" s="1"/>
  <c r="L240" i="12" a="1"/>
  <c r="L240" i="12" s="1"/>
  <c r="DC238" i="6" a="1"/>
  <c r="DC238" i="6" s="1"/>
  <c r="BS238" i="6"/>
  <c r="DE238" i="6" a="1"/>
  <c r="DE238" i="6" s="1"/>
  <c r="CI238" i="6"/>
  <c r="DN238" i="6" a="1"/>
  <c r="DN238" i="6" s="1"/>
  <c r="BN238" i="6"/>
  <c r="DQ238" i="6" a="1"/>
  <c r="DQ238" i="6" s="1"/>
  <c r="DB238" i="6" a="1"/>
  <c r="DB238" i="6" s="1"/>
  <c r="DD238" i="6" a="1"/>
  <c r="DD238" i="6" s="1"/>
  <c r="BL238" i="6"/>
  <c r="CN238" i="6"/>
  <c r="CO238" i="6"/>
  <c r="CM238" i="6"/>
  <c r="DO238" i="6" a="1"/>
  <c r="DO238" i="6" s="1"/>
  <c r="CT238" i="6" a="1"/>
  <c r="CT238" i="6" s="1"/>
  <c r="DF238" i="6" a="1"/>
  <c r="DF238" i="6" s="1"/>
  <c r="CK238" i="6"/>
  <c r="BW238" i="6"/>
  <c r="BO238" i="6"/>
  <c r="BZ238" i="6"/>
  <c r="BU238" i="6"/>
  <c r="CJ238" i="6"/>
  <c r="DL238" i="6" a="1"/>
  <c r="DL238" i="6" s="1"/>
  <c r="CY238" i="6" a="1"/>
  <c r="CY238" i="6" s="1"/>
  <c r="DG238" i="6" a="1"/>
  <c r="DG238" i="6" s="1"/>
  <c r="CU238" i="6" a="1"/>
  <c r="CU238" i="6" s="1"/>
  <c r="CB238" i="6"/>
  <c r="DH238" i="6" a="1"/>
  <c r="DH238" i="6" s="1"/>
  <c r="BY238" i="6"/>
  <c r="CA238" i="6"/>
  <c r="DP238" i="6" a="1"/>
  <c r="DP238" i="6" s="1"/>
  <c r="CV238" i="6" a="1"/>
  <c r="CV238" i="6" s="1"/>
  <c r="DM238" i="6" a="1"/>
  <c r="DM238" i="6" s="1"/>
  <c r="BX238" i="6"/>
  <c r="CW238" i="6" a="1"/>
  <c r="CW238" i="6" s="1"/>
  <c r="CC238" i="6"/>
  <c r="BQ238" i="6"/>
  <c r="DK238" i="6" a="1"/>
  <c r="DK238" i="6" s="1"/>
  <c r="CP238" i="6"/>
  <c r="BT238" i="6"/>
  <c r="DA238" i="6" a="1"/>
  <c r="DA238" i="6" s="1"/>
  <c r="CF238" i="6"/>
  <c r="DS238" i="6" a="1"/>
  <c r="DS238" i="6" s="1"/>
  <c r="CX238" i="6" a="1"/>
  <c r="CX238" i="6" s="1"/>
  <c r="BP238" i="6"/>
  <c r="DI238" i="6" a="1"/>
  <c r="DI238" i="6" s="1"/>
  <c r="CL238" i="6"/>
  <c r="CG238" i="6"/>
  <c r="CE238" i="6"/>
  <c r="CZ238" i="6" a="1"/>
  <c r="CZ238" i="6" s="1"/>
  <c r="B241" i="6"/>
  <c r="D241" i="5"/>
  <c r="B241" i="12" s="1"/>
  <c r="A241" i="12"/>
  <c r="H241" i="5"/>
  <c r="E241" i="5"/>
  <c r="J241" i="5"/>
  <c r="B241" i="5"/>
  <c r="AE241" i="5" a="1"/>
  <c r="AE241" i="5" s="1"/>
  <c r="F241" i="5"/>
  <c r="N241" i="5"/>
  <c r="D241" i="6" s="1"/>
  <c r="H241" i="6" s="1" a="1"/>
  <c r="H241" i="6" s="1"/>
  <c r="T241" i="5" s="1"/>
  <c r="G241" i="12" s="1" a="1"/>
  <c r="G241" i="12" s="1"/>
  <c r="K241" i="5"/>
  <c r="G241" i="5"/>
  <c r="AD241" i="5"/>
  <c r="C242" i="5"/>
  <c r="M239" i="6"/>
  <c r="B15" i="11"/>
  <c r="A15" i="13"/>
  <c r="K16" i="5"/>
  <c r="DJ238" i="6" l="1" a="1"/>
  <c r="DJ238" i="6" s="1"/>
  <c r="CD238" i="6"/>
  <c r="CH238" i="6"/>
  <c r="BM238" i="6"/>
  <c r="CQ238" i="6"/>
  <c r="CR238" i="6"/>
  <c r="BV238" i="6"/>
  <c r="K240" i="12"/>
  <c r="M240" i="6"/>
  <c r="CV240" i="6" s="1" a="1"/>
  <c r="CV240" i="6" s="1"/>
  <c r="L241" i="12" a="1"/>
  <c r="L241" i="12" s="1"/>
  <c r="J241" i="12" a="1"/>
  <c r="J241" i="12" s="1"/>
  <c r="A241" i="6"/>
  <c r="CB239" i="6"/>
  <c r="BT239" i="6"/>
  <c r="CH239" i="6"/>
  <c r="DA239" i="6" a="1"/>
  <c r="DA239" i="6" s="1"/>
  <c r="DB239" i="6" a="1"/>
  <c r="DB239" i="6" s="1"/>
  <c r="DS239" i="6" a="1"/>
  <c r="DS239" i="6" s="1"/>
  <c r="BM239" i="6"/>
  <c r="CL239" i="6"/>
  <c r="CE239" i="6"/>
  <c r="DJ239" i="6" a="1"/>
  <c r="DJ239" i="6" s="1"/>
  <c r="CN239" i="6"/>
  <c r="BY239" i="6"/>
  <c r="CZ239" i="6" a="1"/>
  <c r="CZ239" i="6" s="1"/>
  <c r="CU239" i="6" a="1"/>
  <c r="CU239" i="6" s="1"/>
  <c r="BQ239" i="6"/>
  <c r="DF239" i="6" a="1"/>
  <c r="DF239" i="6" s="1"/>
  <c r="DC239" i="6" a="1"/>
  <c r="DC239" i="6" s="1"/>
  <c r="BW239" i="6"/>
  <c r="DQ239" i="6" a="1"/>
  <c r="DQ239" i="6" s="1"/>
  <c r="DM239" i="6" a="1"/>
  <c r="DM239" i="6" s="1"/>
  <c r="CO239" i="6"/>
  <c r="CK239" i="6"/>
  <c r="DD239" i="6" a="1"/>
  <c r="DD239" i="6" s="1"/>
  <c r="DL239" i="6" a="1"/>
  <c r="DL239" i="6" s="1"/>
  <c r="DI239" i="6" a="1"/>
  <c r="DI239" i="6" s="1"/>
  <c r="BN239" i="6"/>
  <c r="CQ239" i="6"/>
  <c r="CY239" i="6" a="1"/>
  <c r="CY239" i="6" s="1"/>
  <c r="BP239" i="6"/>
  <c r="CJ239" i="6"/>
  <c r="DN239" i="6" a="1"/>
  <c r="DN239" i="6" s="1"/>
  <c r="CV239" i="6" a="1"/>
  <c r="CV239" i="6" s="1"/>
  <c r="CP239" i="6"/>
  <c r="CA239" i="6"/>
  <c r="CD239" i="6"/>
  <c r="BV239" i="6"/>
  <c r="CI239" i="6"/>
  <c r="CF239" i="6"/>
  <c r="DP239" i="6" a="1"/>
  <c r="DP239" i="6" s="1"/>
  <c r="BS239" i="6"/>
  <c r="BX239" i="6"/>
  <c r="DO239" i="6" a="1"/>
  <c r="DO239" i="6" s="1"/>
  <c r="CG239" i="6"/>
  <c r="DR239" i="6" a="1"/>
  <c r="DR239" i="6" s="1"/>
  <c r="DK239" i="6" a="1"/>
  <c r="DK239" i="6" s="1"/>
  <c r="DE239" i="6" a="1"/>
  <c r="DE239" i="6" s="1"/>
  <c r="CT239" i="6" a="1"/>
  <c r="CT239" i="6" s="1"/>
  <c r="CX239" i="6" a="1"/>
  <c r="CX239" i="6" s="1"/>
  <c r="BZ239" i="6"/>
  <c r="CM239" i="6"/>
  <c r="BU239" i="6"/>
  <c r="BL239" i="6"/>
  <c r="CR239" i="6"/>
  <c r="DH239" i="6" a="1"/>
  <c r="DH239" i="6" s="1"/>
  <c r="CC239" i="6"/>
  <c r="DG239" i="6" a="1"/>
  <c r="DG239" i="6" s="1"/>
  <c r="CW239" i="6" a="1"/>
  <c r="CW239" i="6" s="1"/>
  <c r="BO239" i="6"/>
  <c r="N242" i="5"/>
  <c r="D242" i="6" s="1"/>
  <c r="H242" i="6" s="1" a="1"/>
  <c r="H242" i="6" s="1"/>
  <c r="T242" i="5" s="1"/>
  <c r="G242" i="12" s="1" a="1"/>
  <c r="G242" i="12" s="1"/>
  <c r="A242" i="12"/>
  <c r="B242" i="6"/>
  <c r="H242" i="5"/>
  <c r="K242" i="5"/>
  <c r="J242" i="5"/>
  <c r="F242" i="5"/>
  <c r="AE242" i="5" a="1"/>
  <c r="AE242" i="5" s="1"/>
  <c r="D242" i="5"/>
  <c r="B242" i="12" s="1"/>
  <c r="G242" i="5"/>
  <c r="E242" i="5"/>
  <c r="C243" i="5"/>
  <c r="AD242" i="5"/>
  <c r="B242" i="5"/>
  <c r="J19" i="5"/>
  <c r="D19" i="5" s="1"/>
  <c r="K107" i="5"/>
  <c r="D107" i="5" s="1"/>
  <c r="B107" i="12" s="1"/>
  <c r="G15" i="11"/>
  <c r="F15" i="13" s="1"/>
  <c r="C15" i="13"/>
  <c r="K15" i="11" a="1"/>
  <c r="K15" i="11" s="1"/>
  <c r="J15" i="13" s="1"/>
  <c r="J17" i="5"/>
  <c r="D17" i="5" s="1"/>
  <c r="B17" i="12" s="1"/>
  <c r="B19" i="12" l="1"/>
  <c r="CC240" i="6"/>
  <c r="CM240" i="6"/>
  <c r="BZ240" i="6"/>
  <c r="CL240" i="6"/>
  <c r="DR240" i="6" a="1"/>
  <c r="DR240" i="6" s="1"/>
  <c r="CQ240" i="6"/>
  <c r="CJ240" i="6"/>
  <c r="CD240" i="6"/>
  <c r="DB240" i="6" a="1"/>
  <c r="DB240" i="6" s="1"/>
  <c r="BT240" i="6"/>
  <c r="BO240" i="6"/>
  <c r="BS240" i="6"/>
  <c r="CN240" i="6"/>
  <c r="CK240" i="6"/>
  <c r="CH240" i="6"/>
  <c r="DI240" i="6" a="1"/>
  <c r="DI240" i="6" s="1"/>
  <c r="BV240" i="6"/>
  <c r="DS240" i="6" a="1"/>
  <c r="DS240" i="6" s="1"/>
  <c r="BX240" i="6"/>
  <c r="DF240" i="6" a="1"/>
  <c r="DF240" i="6" s="1"/>
  <c r="DH240" i="6" a="1"/>
  <c r="DH240" i="6" s="1"/>
  <c r="DM240" i="6" a="1"/>
  <c r="DM240" i="6" s="1"/>
  <c r="CW240" i="6" a="1"/>
  <c r="CW240" i="6" s="1"/>
  <c r="CZ240" i="6" a="1"/>
  <c r="CZ240" i="6" s="1"/>
  <c r="DA240" i="6" a="1"/>
  <c r="DA240" i="6" s="1"/>
  <c r="DC240" i="6" a="1"/>
  <c r="DC240" i="6" s="1"/>
  <c r="DD240" i="6" a="1"/>
  <c r="DD240" i="6" s="1"/>
  <c r="DJ240" i="6" a="1"/>
  <c r="DJ240" i="6" s="1"/>
  <c r="BL240" i="6"/>
  <c r="CE240" i="6"/>
  <c r="CO240" i="6"/>
  <c r="CX240" i="6" a="1"/>
  <c r="CX240" i="6" s="1"/>
  <c r="CG240" i="6"/>
  <c r="DO240" i="6" a="1"/>
  <c r="DO240" i="6" s="1"/>
  <c r="DE240" i="6" a="1"/>
  <c r="DE240" i="6" s="1"/>
  <c r="DP240" i="6" a="1"/>
  <c r="DP240" i="6" s="1"/>
  <c r="BQ240" i="6"/>
  <c r="CY240" i="6" a="1"/>
  <c r="CY240" i="6" s="1"/>
  <c r="DK240" i="6" a="1"/>
  <c r="DK240" i="6" s="1"/>
  <c r="BN240" i="6"/>
  <c r="BW240" i="6"/>
  <c r="DL240" i="6" a="1"/>
  <c r="DL240" i="6" s="1"/>
  <c r="CP240" i="6"/>
  <c r="CF240" i="6"/>
  <c r="DG240" i="6" a="1"/>
  <c r="DG240" i="6" s="1"/>
  <c r="DN240" i="6" a="1"/>
  <c r="DN240" i="6" s="1"/>
  <c r="CB240" i="6"/>
  <c r="BM240" i="6"/>
  <c r="CT240" i="6" a="1"/>
  <c r="CT240" i="6" s="1"/>
  <c r="BY240" i="6"/>
  <c r="CR240" i="6"/>
  <c r="CI240" i="6"/>
  <c r="BU240" i="6"/>
  <c r="DQ240" i="6" a="1"/>
  <c r="DQ240" i="6" s="1"/>
  <c r="CA240" i="6"/>
  <c r="CU240" i="6" a="1"/>
  <c r="CU240" i="6" s="1"/>
  <c r="BP240" i="6"/>
  <c r="L242" i="12" a="1"/>
  <c r="L242" i="12" s="1"/>
  <c r="J242" i="12" a="1"/>
  <c r="J242" i="12" s="1"/>
  <c r="M241" i="6"/>
  <c r="AD243" i="5"/>
  <c r="F107" i="8" s="1" a="1"/>
  <c r="F107" i="8" s="1"/>
  <c r="F108" i="8" s="1"/>
  <c r="E243" i="5"/>
  <c r="A12" i="13" s="1"/>
  <c r="J243" i="5"/>
  <c r="A243" i="12"/>
  <c r="B243" i="5"/>
  <c r="H243" i="5"/>
  <c r="F243" i="5"/>
  <c r="D243" i="5"/>
  <c r="B243" i="12" s="1"/>
  <c r="A5" i="5"/>
  <c r="N243" i="5"/>
  <c r="D243" i="6" s="1"/>
  <c r="H243" i="6" s="1" a="1"/>
  <c r="H243" i="6" s="1"/>
  <c r="T243" i="5" s="1"/>
  <c r="G243" i="12" s="1" a="1"/>
  <c r="G243" i="12" s="1"/>
  <c r="AE243" i="5" a="1"/>
  <c r="AE243" i="5" s="1"/>
  <c r="G243" i="5"/>
  <c r="K243" i="5"/>
  <c r="B243" i="6"/>
  <c r="K241" i="12"/>
  <c r="A21" i="13"/>
  <c r="B16" i="11"/>
  <c r="A19" i="13"/>
  <c r="B20" i="11"/>
  <c r="A18" i="13"/>
  <c r="B22" i="11"/>
  <c r="A17" i="13"/>
  <c r="A16" i="13"/>
  <c r="B23" i="11"/>
  <c r="B19" i="11"/>
  <c r="B21" i="11"/>
  <c r="B17" i="11"/>
  <c r="A242" i="6"/>
  <c r="K15" i="13" a="1"/>
  <c r="K15" i="13" s="1"/>
  <c r="J16" i="5" l="1"/>
  <c r="D16" i="5" s="1"/>
  <c r="B16" i="12" s="1"/>
  <c r="B12" i="11"/>
  <c r="AB12" i="11" s="1" a="1"/>
  <c r="AB12" i="11" s="1"/>
  <c r="N12" i="11" s="1"/>
  <c r="K132" i="5"/>
  <c r="K233" i="5"/>
  <c r="J233" i="5"/>
  <c r="K203" i="5"/>
  <c r="K235" i="5"/>
  <c r="J235" i="5"/>
  <c r="J225" i="5"/>
  <c r="J217" i="5"/>
  <c r="J204" i="5"/>
  <c r="D204" i="5" s="1"/>
  <c r="B204" i="12" s="1"/>
  <c r="J166" i="5"/>
  <c r="D166" i="5" s="1"/>
  <c r="B166" i="12" s="1"/>
  <c r="J203" i="5"/>
  <c r="J133" i="5"/>
  <c r="D133" i="5" s="1"/>
  <c r="B133" i="12" s="1"/>
  <c r="K128" i="5"/>
  <c r="J128" i="5"/>
  <c r="J115" i="5"/>
  <c r="D115" i="5" s="1"/>
  <c r="B115" i="12" s="1"/>
  <c r="J125" i="5"/>
  <c r="D125" i="5" s="1"/>
  <c r="B125" i="12" s="1"/>
  <c r="K101" i="5"/>
  <c r="K83" i="5"/>
  <c r="K114" i="5"/>
  <c r="J76" i="5"/>
  <c r="D76" i="5" s="1"/>
  <c r="B76" i="12" s="1"/>
  <c r="J101" i="5"/>
  <c r="J84" i="5"/>
  <c r="D84" i="5" s="1"/>
  <c r="B84" i="12" s="1"/>
  <c r="J91" i="5"/>
  <c r="D91" i="5" s="1"/>
  <c r="B91" i="12" s="1"/>
  <c r="J99" i="5"/>
  <c r="D99" i="5" s="1"/>
  <c r="B99" i="12" s="1"/>
  <c r="J94" i="5"/>
  <c r="D94" i="5" s="1"/>
  <c r="B94" i="12" s="1"/>
  <c r="K61" i="5"/>
  <c r="K75" i="5"/>
  <c r="J50" i="5"/>
  <c r="D50" i="5" s="1"/>
  <c r="B50" i="12" s="1"/>
  <c r="J73" i="5"/>
  <c r="D73" i="5" s="1"/>
  <c r="B73" i="12" s="1"/>
  <c r="J62" i="5"/>
  <c r="D62" i="5" s="1"/>
  <c r="B62" i="12" s="1"/>
  <c r="J66" i="5"/>
  <c r="D66" i="5" s="1"/>
  <c r="B66" i="12" s="1"/>
  <c r="K25" i="5"/>
  <c r="K49" i="5"/>
  <c r="F68" i="8" a="1"/>
  <c r="F68" i="8" s="1"/>
  <c r="F69" i="8" s="1"/>
  <c r="J68" i="8" s="1"/>
  <c r="K23" i="5"/>
  <c r="J36" i="5"/>
  <c r="D36" i="5" s="1"/>
  <c r="B36" i="12" s="1"/>
  <c r="J45" i="5"/>
  <c r="D45" i="5" s="1"/>
  <c r="B45" i="12" s="1"/>
  <c r="J26" i="5"/>
  <c r="D26" i="5" s="1"/>
  <c r="B26" i="12" s="1"/>
  <c r="F119" i="8" a="1"/>
  <c r="F119" i="8" s="1"/>
  <c r="F120" i="8" s="1"/>
  <c r="J119" i="8" s="1"/>
  <c r="A243" i="6"/>
  <c r="F143" i="8" a="1"/>
  <c r="F143" i="8" s="1"/>
  <c r="F144" i="8" s="1"/>
  <c r="F113" i="8" a="1"/>
  <c r="F113" i="8" s="1"/>
  <c r="F114" i="8" s="1"/>
  <c r="F59" i="8" a="1"/>
  <c r="F59" i="8" s="1"/>
  <c r="F60" i="8" s="1"/>
  <c r="F101" i="8" a="1"/>
  <c r="F101" i="8" s="1"/>
  <c r="F102" i="8" s="1"/>
  <c r="F92" i="8" a="1"/>
  <c r="F92" i="8" s="1"/>
  <c r="F93" i="8" s="1"/>
  <c r="F140" i="8" a="1"/>
  <c r="F140" i="8" s="1"/>
  <c r="F141" i="8" s="1"/>
  <c r="F134" i="8" a="1"/>
  <c r="F134" i="8" s="1"/>
  <c r="F135" i="8" s="1"/>
  <c r="F29" i="8" a="1"/>
  <c r="F29" i="8" s="1"/>
  <c r="F30" i="8" s="1"/>
  <c r="F35" i="8" a="1"/>
  <c r="F35" i="8" s="1"/>
  <c r="F36" i="8" s="1"/>
  <c r="F152" i="8" a="1"/>
  <c r="F152" i="8" s="1"/>
  <c r="F62" i="8" a="1"/>
  <c r="F62" i="8" s="1"/>
  <c r="F63" i="8" s="1"/>
  <c r="F80" i="8" a="1"/>
  <c r="F80" i="8" s="1"/>
  <c r="F81" i="8" s="1"/>
  <c r="F77" i="8" a="1"/>
  <c r="F77" i="8" s="1"/>
  <c r="F78" i="8" s="1"/>
  <c r="F116" i="8" a="1"/>
  <c r="F116" i="8" s="1"/>
  <c r="F117" i="8" s="1"/>
  <c r="F50" i="8" a="1"/>
  <c r="F50" i="8" s="1"/>
  <c r="F51" i="8" s="1"/>
  <c r="F89" i="8" a="1"/>
  <c r="F89" i="8" s="1"/>
  <c r="F90" i="8" s="1"/>
  <c r="F65" i="8" a="1"/>
  <c r="F65" i="8" s="1"/>
  <c r="F66" i="8" s="1"/>
  <c r="F104" i="8" a="1"/>
  <c r="F104" i="8" s="1"/>
  <c r="F105" i="8" s="1"/>
  <c r="F131" i="8" a="1"/>
  <c r="F131" i="8" s="1"/>
  <c r="F132" i="8" s="1"/>
  <c r="F20" i="8" a="1"/>
  <c r="F20" i="8" s="1"/>
  <c r="F21" i="8" s="1"/>
  <c r="F38" i="8" a="1"/>
  <c r="F38" i="8" s="1"/>
  <c r="F39" i="8" s="1"/>
  <c r="F1" i="8" a="1"/>
  <c r="F1" i="8" s="1"/>
  <c r="F2" i="8" s="1"/>
  <c r="F98" i="8" a="1"/>
  <c r="F98" i="8" s="1"/>
  <c r="F99" i="8" s="1"/>
  <c r="F74" i="8" a="1"/>
  <c r="F74" i="8" s="1"/>
  <c r="F75" i="8" s="1"/>
  <c r="F23" i="8" a="1"/>
  <c r="F23" i="8" s="1"/>
  <c r="F24" i="8" s="1"/>
  <c r="F53" i="8" a="1"/>
  <c r="F53" i="8" s="1"/>
  <c r="F54" i="8" s="1"/>
  <c r="F155" i="8" a="1"/>
  <c r="F155" i="8" s="1"/>
  <c r="F137" i="8" a="1"/>
  <c r="F137" i="8" s="1"/>
  <c r="F138" i="8" s="1"/>
  <c r="F71" i="8" a="1"/>
  <c r="F71" i="8" s="1"/>
  <c r="F72" i="8" s="1"/>
  <c r="F14" i="8" a="1"/>
  <c r="F14" i="8" s="1"/>
  <c r="F15" i="8" s="1"/>
  <c r="F26" i="8" a="1"/>
  <c r="F26" i="8" s="1"/>
  <c r="F27" i="8" s="1"/>
  <c r="F83" i="8" a="1"/>
  <c r="F83" i="8" s="1"/>
  <c r="F84" i="8" s="1"/>
  <c r="F56" i="8" a="1"/>
  <c r="F56" i="8" s="1"/>
  <c r="F57" i="8" s="1"/>
  <c r="F161" i="8" a="1"/>
  <c r="F161" i="8" s="1"/>
  <c r="F17" i="8" a="1"/>
  <c r="F17" i="8" s="1"/>
  <c r="F18" i="8" s="1"/>
  <c r="F110" i="8" a="1"/>
  <c r="F110" i="8" s="1"/>
  <c r="F111" i="8" s="1"/>
  <c r="F122" i="8" a="1"/>
  <c r="F122" i="8" s="1"/>
  <c r="F123" i="8" s="1"/>
  <c r="F128" i="8" a="1"/>
  <c r="F128" i="8" s="1"/>
  <c r="F129" i="8" s="1"/>
  <c r="F95" i="8" a="1"/>
  <c r="F95" i="8" s="1"/>
  <c r="F96" i="8" s="1"/>
  <c r="F32" i="8" a="1"/>
  <c r="F32" i="8" s="1"/>
  <c r="F33" i="8" s="1"/>
  <c r="F86" i="8" a="1"/>
  <c r="F86" i="8" s="1"/>
  <c r="F87" i="8" s="1"/>
  <c r="F146" i="8" a="1"/>
  <c r="F146" i="8" s="1"/>
  <c r="F147" i="8" s="1"/>
  <c r="F47" i="8" a="1"/>
  <c r="F47" i="8" s="1"/>
  <c r="F48" i="8" s="1"/>
  <c r="F41" i="8" a="1"/>
  <c r="F41" i="8" s="1"/>
  <c r="F42" i="8" s="1"/>
  <c r="M242" i="6"/>
  <c r="C22" i="13"/>
  <c r="K22" i="11" a="1"/>
  <c r="K22" i="11" s="1"/>
  <c r="J22" i="13" s="1"/>
  <c r="G22" i="11"/>
  <c r="F22" i="13" s="1"/>
  <c r="J23" i="5"/>
  <c r="J61" i="5"/>
  <c r="J25" i="5"/>
  <c r="J83" i="5"/>
  <c r="J114" i="5"/>
  <c r="J132" i="5"/>
  <c r="D132" i="5" s="1"/>
  <c r="B132" i="12" s="1"/>
  <c r="J75" i="5"/>
  <c r="J49" i="5"/>
  <c r="M107" i="8"/>
  <c r="S109" i="8" s="1"/>
  <c r="J107" i="8"/>
  <c r="B12" i="13"/>
  <c r="AM12" i="13" s="1" a="1"/>
  <c r="AM12" i="13" s="1"/>
  <c r="K188" i="5"/>
  <c r="D188" i="5" s="1"/>
  <c r="B188" i="12" s="1"/>
  <c r="K217" i="5"/>
  <c r="DI241" i="6" a="1"/>
  <c r="DI241" i="6" s="1"/>
  <c r="BW241" i="6"/>
  <c r="DC241" i="6" a="1"/>
  <c r="DC241" i="6" s="1"/>
  <c r="DA241" i="6" a="1"/>
  <c r="DA241" i="6" s="1"/>
  <c r="CK241" i="6"/>
  <c r="CY241" i="6" a="1"/>
  <c r="CY241" i="6" s="1"/>
  <c r="BL241" i="6"/>
  <c r="CF241" i="6"/>
  <c r="DQ241" i="6" a="1"/>
  <c r="DQ241" i="6" s="1"/>
  <c r="DH241" i="6" a="1"/>
  <c r="DH241" i="6" s="1"/>
  <c r="BM241" i="6"/>
  <c r="CH241" i="6"/>
  <c r="CU241" i="6" a="1"/>
  <c r="CU241" i="6" s="1"/>
  <c r="CT241" i="6" a="1"/>
  <c r="CT241" i="6" s="1"/>
  <c r="BX241" i="6"/>
  <c r="CV241" i="6" a="1"/>
  <c r="CV241" i="6" s="1"/>
  <c r="BV241" i="6"/>
  <c r="DL241" i="6" a="1"/>
  <c r="DL241" i="6" s="1"/>
  <c r="BP241" i="6"/>
  <c r="BO241" i="6"/>
  <c r="DS241" i="6" a="1"/>
  <c r="DS241" i="6" s="1"/>
  <c r="CG241" i="6"/>
  <c r="DD241" i="6" a="1"/>
  <c r="DD241" i="6" s="1"/>
  <c r="DN241" i="6" a="1"/>
  <c r="DN241" i="6" s="1"/>
  <c r="BZ241" i="6"/>
  <c r="CB241" i="6"/>
  <c r="CO241" i="6"/>
  <c r="CN241" i="6"/>
  <c r="CM241" i="6"/>
  <c r="CC241" i="6"/>
  <c r="BN241" i="6"/>
  <c r="DF241" i="6" a="1"/>
  <c r="DF241" i="6" s="1"/>
  <c r="CA241" i="6"/>
  <c r="CQ241" i="6"/>
  <c r="CJ241" i="6"/>
  <c r="DO241" i="6" a="1"/>
  <c r="DO241" i="6" s="1"/>
  <c r="BU241" i="6"/>
  <c r="CI241" i="6"/>
  <c r="CE241" i="6"/>
  <c r="BT241" i="6"/>
  <c r="BQ241" i="6"/>
  <c r="DP241" i="6" a="1"/>
  <c r="DP241" i="6" s="1"/>
  <c r="CD241" i="6"/>
  <c r="BY241" i="6"/>
  <c r="DJ241" i="6" a="1"/>
  <c r="DJ241" i="6" s="1"/>
  <c r="CW241" i="6" a="1"/>
  <c r="CW241" i="6" s="1"/>
  <c r="CR241" i="6"/>
  <c r="DE241" i="6" a="1"/>
  <c r="DE241" i="6" s="1"/>
  <c r="CZ241" i="6" a="1"/>
  <c r="CZ241" i="6" s="1"/>
  <c r="DB241" i="6" a="1"/>
  <c r="DB241" i="6" s="1"/>
  <c r="CL241" i="6"/>
  <c r="CP241" i="6"/>
  <c r="DK241" i="6" a="1"/>
  <c r="DK241" i="6" s="1"/>
  <c r="DR241" i="6" a="1"/>
  <c r="DR241" i="6" s="1"/>
  <c r="DG241" i="6" a="1"/>
  <c r="DG241" i="6" s="1"/>
  <c r="BS241" i="6"/>
  <c r="DM241" i="6" a="1"/>
  <c r="DM241" i="6" s="1"/>
  <c r="CX241" i="6" a="1"/>
  <c r="CX241" i="6" s="1"/>
  <c r="C17" i="13"/>
  <c r="K17" i="11" a="1"/>
  <c r="K17" i="11" s="1"/>
  <c r="J17" i="13" s="1"/>
  <c r="G17" i="11"/>
  <c r="F17" i="13" s="1"/>
  <c r="C20" i="13"/>
  <c r="K20" i="11" a="1"/>
  <c r="K20" i="11" s="1"/>
  <c r="J20" i="13" s="1"/>
  <c r="G20" i="11"/>
  <c r="F20" i="13" s="1"/>
  <c r="F125" i="8" a="1"/>
  <c r="F125" i="8" s="1"/>
  <c r="F126" i="8" s="1"/>
  <c r="K21" i="11" a="1"/>
  <c r="K21" i="11" s="1"/>
  <c r="J21" i="13" s="1"/>
  <c r="G21" i="11"/>
  <c r="F21" i="13" s="1"/>
  <c r="C21" i="13"/>
  <c r="K225" i="5"/>
  <c r="K234" i="5"/>
  <c r="L243" i="12" a="1"/>
  <c r="L243" i="12" s="1"/>
  <c r="J243" i="12" a="1"/>
  <c r="J243" i="12" s="1"/>
  <c r="F44" i="8" a="1"/>
  <c r="F44" i="8" s="1"/>
  <c r="F45" i="8" s="1"/>
  <c r="C19" i="13"/>
  <c r="G19" i="11"/>
  <c r="F19" i="13" s="1"/>
  <c r="K19" i="11" a="1"/>
  <c r="K19" i="11" s="1"/>
  <c r="J19" i="13" s="1"/>
  <c r="F158" i="8" a="1"/>
  <c r="F158" i="8" s="1"/>
  <c r="K242" i="12"/>
  <c r="G23" i="11"/>
  <c r="F23" i="13" s="1"/>
  <c r="C23" i="13"/>
  <c r="K23" i="11" a="1"/>
  <c r="K23" i="11" s="1"/>
  <c r="J23" i="13" s="1"/>
  <c r="K16" i="11" a="1"/>
  <c r="K16" i="11" s="1"/>
  <c r="J16" i="13" s="1"/>
  <c r="G16" i="11"/>
  <c r="F16" i="13" s="1"/>
  <c r="C16" i="13"/>
  <c r="K22" i="5"/>
  <c r="J22" i="5"/>
  <c r="A23" i="13"/>
  <c r="A20" i="13"/>
  <c r="A22" i="13"/>
  <c r="B18" i="11"/>
  <c r="F149" i="8" a="1"/>
  <c r="F149" i="8" s="1"/>
  <c r="J234" i="5"/>
  <c r="AA12" i="11" l="1" a="1"/>
  <c r="AA12" i="11" s="1"/>
  <c r="O12" i="11" a="1"/>
  <c r="O12" i="11" s="1"/>
  <c r="G12" i="11"/>
  <c r="F12" i="13" s="1"/>
  <c r="D225" i="5"/>
  <c r="B225" i="12" s="1"/>
  <c r="K12" i="11" a="1"/>
  <c r="K12" i="11" s="1"/>
  <c r="J12" i="13" s="1"/>
  <c r="C12" i="13"/>
  <c r="S12" i="13" s="1"/>
  <c r="B14" i="13"/>
  <c r="D61" i="5"/>
  <c r="B61" i="12" s="1"/>
  <c r="D233" i="5"/>
  <c r="B233" i="12" s="1"/>
  <c r="D217" i="5"/>
  <c r="B217" i="12" s="1"/>
  <c r="D23" i="5"/>
  <c r="D203" i="5"/>
  <c r="B203" i="12" s="1"/>
  <c r="D235" i="5"/>
  <c r="B235" i="12" s="1"/>
  <c r="D75" i="5"/>
  <c r="B75" i="12" s="1"/>
  <c r="D128" i="5"/>
  <c r="B128" i="12" s="1"/>
  <c r="D101" i="5"/>
  <c r="B101" i="12" s="1"/>
  <c r="D114" i="5"/>
  <c r="B114" i="12" s="1"/>
  <c r="D83" i="5"/>
  <c r="B83" i="12" s="1"/>
  <c r="D25" i="5"/>
  <c r="B25" i="12" s="1"/>
  <c r="M68" i="8"/>
  <c r="S70" i="8" s="1"/>
  <c r="D49" i="5"/>
  <c r="B49" i="12" s="1"/>
  <c r="Q107" i="8"/>
  <c r="M119" i="8"/>
  <c r="S121" i="8" s="1"/>
  <c r="M243" i="6"/>
  <c r="AF17" i="7" s="1" a="1"/>
  <c r="AF17" i="7" s="1"/>
  <c r="M86" i="8"/>
  <c r="J86" i="8"/>
  <c r="D234" i="5"/>
  <c r="B234" i="12" s="1"/>
  <c r="CO242" i="6"/>
  <c r="DK242" i="6" a="1"/>
  <c r="DK242" i="6" s="1"/>
  <c r="CX242" i="6" a="1"/>
  <c r="CX242" i="6" s="1"/>
  <c r="CJ242" i="6"/>
  <c r="DO242" i="6" a="1"/>
  <c r="DO242" i="6" s="1"/>
  <c r="CQ242" i="6"/>
  <c r="BW242" i="6"/>
  <c r="CB242" i="6"/>
  <c r="CY242" i="6" a="1"/>
  <c r="CY242" i="6" s="1"/>
  <c r="DP242" i="6" a="1"/>
  <c r="DP242" i="6" s="1"/>
  <c r="BZ242" i="6"/>
  <c r="BQ242" i="6"/>
  <c r="BS242" i="6"/>
  <c r="CV242" i="6" a="1"/>
  <c r="CV242" i="6" s="1"/>
  <c r="DG242" i="6" a="1"/>
  <c r="DG242" i="6" s="1"/>
  <c r="CW242" i="6" a="1"/>
  <c r="CW242" i="6" s="1"/>
  <c r="CI242" i="6"/>
  <c r="DA242" i="6" a="1"/>
  <c r="DA242" i="6" s="1"/>
  <c r="BM242" i="6"/>
  <c r="DR242" i="6" a="1"/>
  <c r="DR242" i="6" s="1"/>
  <c r="CU242" i="6" a="1"/>
  <c r="CU242" i="6" s="1"/>
  <c r="DJ242" i="6" a="1"/>
  <c r="DJ242" i="6" s="1"/>
  <c r="CA242" i="6"/>
  <c r="DC242" i="6" a="1"/>
  <c r="DC242" i="6" s="1"/>
  <c r="CP242" i="6"/>
  <c r="DN242" i="6" a="1"/>
  <c r="DN242" i="6" s="1"/>
  <c r="BY242" i="6"/>
  <c r="BO242" i="6"/>
  <c r="BN242" i="6"/>
  <c r="CZ242" i="6" a="1"/>
  <c r="CZ242" i="6" s="1"/>
  <c r="DM242" i="6" a="1"/>
  <c r="DM242" i="6" s="1"/>
  <c r="CC242" i="6"/>
  <c r="BP242" i="6"/>
  <c r="DE242" i="6" a="1"/>
  <c r="DE242" i="6" s="1"/>
  <c r="CE242" i="6"/>
  <c r="BV242" i="6"/>
  <c r="BU242" i="6"/>
  <c r="DB242" i="6" a="1"/>
  <c r="DB242" i="6" s="1"/>
  <c r="CR242" i="6"/>
  <c r="DF242" i="6" a="1"/>
  <c r="DF242" i="6" s="1"/>
  <c r="CD242" i="6"/>
  <c r="CH242" i="6"/>
  <c r="CN242" i="6"/>
  <c r="BT242" i="6"/>
  <c r="CK242" i="6"/>
  <c r="BX242" i="6"/>
  <c r="DQ242" i="6" a="1"/>
  <c r="DQ242" i="6" s="1"/>
  <c r="DS242" i="6" a="1"/>
  <c r="DS242" i="6" s="1"/>
  <c r="CF242" i="6"/>
  <c r="CG242" i="6"/>
  <c r="CM242" i="6"/>
  <c r="BL242" i="6"/>
  <c r="DD242" i="6" a="1"/>
  <c r="DD242" i="6" s="1"/>
  <c r="DL242" i="6" a="1"/>
  <c r="DL242" i="6" s="1"/>
  <c r="CL242" i="6"/>
  <c r="DH242" i="6" a="1"/>
  <c r="DH242" i="6" s="1"/>
  <c r="CT242" i="6" a="1"/>
  <c r="CT242" i="6" s="1"/>
  <c r="DI242" i="6" a="1"/>
  <c r="DI242" i="6" s="1"/>
  <c r="M110" i="8"/>
  <c r="J110" i="8"/>
  <c r="J137" i="8"/>
  <c r="M137" i="8"/>
  <c r="M20" i="8"/>
  <c r="J20" i="8"/>
  <c r="M80" i="8"/>
  <c r="J80" i="8"/>
  <c r="J101" i="8"/>
  <c r="M101" i="8"/>
  <c r="B22" i="13"/>
  <c r="K23" i="13" a="1"/>
  <c r="K23" i="13" s="1"/>
  <c r="K21" i="13" a="1"/>
  <c r="K21" i="13" s="1"/>
  <c r="K20" i="13" a="1"/>
  <c r="K20" i="13" s="1"/>
  <c r="AH12" i="13"/>
  <c r="J47" i="8"/>
  <c r="M47" i="8"/>
  <c r="Q47" i="8" s="1"/>
  <c r="M17" i="8"/>
  <c r="J17" i="8"/>
  <c r="J131" i="8"/>
  <c r="M131" i="8"/>
  <c r="M62" i="8"/>
  <c r="J62" i="8"/>
  <c r="J59" i="8"/>
  <c r="M59" i="8"/>
  <c r="Q59" i="8" s="1"/>
  <c r="F10" i="8" a="1"/>
  <c r="F10" i="8" s="1"/>
  <c r="G18" i="11"/>
  <c r="F18" i="13" s="1"/>
  <c r="C18" i="13"/>
  <c r="K18" i="11" a="1"/>
  <c r="K18" i="11" s="1"/>
  <c r="J18" i="13" s="1"/>
  <c r="K16" i="13" a="1"/>
  <c r="K16" i="13" s="1"/>
  <c r="K19" i="13" a="1"/>
  <c r="K19" i="13" s="1"/>
  <c r="K17" i="13" a="1"/>
  <c r="K17" i="13" s="1"/>
  <c r="M41" i="8"/>
  <c r="P41" i="8" s="1"/>
  <c r="J41" i="8"/>
  <c r="M53" i="8"/>
  <c r="J53" i="8"/>
  <c r="J104" i="8"/>
  <c r="M104" i="8"/>
  <c r="M113" i="8"/>
  <c r="J113" i="8"/>
  <c r="M143" i="8"/>
  <c r="S145" i="8" s="1"/>
  <c r="J143" i="8"/>
  <c r="J56" i="8"/>
  <c r="M56" i="8"/>
  <c r="S58" i="8" s="1"/>
  <c r="J32" i="8"/>
  <c r="M32" i="8"/>
  <c r="J83" i="8"/>
  <c r="M83" i="8"/>
  <c r="J74" i="8"/>
  <c r="M74" i="8"/>
  <c r="M89" i="8"/>
  <c r="J89" i="8"/>
  <c r="M29" i="8"/>
  <c r="J29" i="8"/>
  <c r="J23" i="8"/>
  <c r="M23" i="8"/>
  <c r="S25" i="8" s="1"/>
  <c r="M44" i="8"/>
  <c r="S46" i="8" s="1"/>
  <c r="J44" i="8"/>
  <c r="M95" i="8"/>
  <c r="S97" i="8" s="1"/>
  <c r="J95" i="8"/>
  <c r="M26" i="8"/>
  <c r="J26" i="8"/>
  <c r="M98" i="8"/>
  <c r="Q98" i="8" s="1"/>
  <c r="J98" i="8"/>
  <c r="J50" i="8"/>
  <c r="M50" i="8"/>
  <c r="Q50" i="8" s="1"/>
  <c r="M134" i="8"/>
  <c r="J134" i="8"/>
  <c r="M35" i="8"/>
  <c r="S37" i="8" s="1"/>
  <c r="J35" i="8"/>
  <c r="J125" i="8"/>
  <c r="M125" i="8"/>
  <c r="K22" i="13" a="1"/>
  <c r="K22" i="13" s="1"/>
  <c r="J128" i="8"/>
  <c r="M128" i="8"/>
  <c r="J14" i="8"/>
  <c r="M14" i="8"/>
  <c r="P14" i="8" s="1"/>
  <c r="P1" i="8"/>
  <c r="S1" i="8"/>
  <c r="M1" i="8"/>
  <c r="Q1" i="8"/>
  <c r="N1" i="8"/>
  <c r="O1" i="8"/>
  <c r="I1" i="8"/>
  <c r="J1" i="8"/>
  <c r="M116" i="8"/>
  <c r="J116" i="8"/>
  <c r="M140" i="8"/>
  <c r="S142" i="8" s="1"/>
  <c r="J140" i="8"/>
  <c r="M65" i="8"/>
  <c r="P65" i="8" s="1"/>
  <c r="J65" i="8"/>
  <c r="D22" i="5"/>
  <c r="K243" i="12"/>
  <c r="AE12" i="13"/>
  <c r="M122" i="8"/>
  <c r="J122" i="8"/>
  <c r="M71" i="8"/>
  <c r="J71" i="8"/>
  <c r="M38" i="8"/>
  <c r="J38" i="8"/>
  <c r="M77" i="8"/>
  <c r="J77" i="8"/>
  <c r="J92" i="8"/>
  <c r="M92" i="8"/>
  <c r="L12" i="13"/>
  <c r="C12" i="11"/>
  <c r="Z12" i="11"/>
  <c r="P12" i="11"/>
  <c r="J146" i="8"/>
  <c r="M146" i="8"/>
  <c r="Q146" i="8" s="1"/>
  <c r="J76" i="6" a="1"/>
  <c r="J76" i="6" s="1"/>
  <c r="J62" i="6" a="1"/>
  <c r="J62" i="6" s="1"/>
  <c r="J49" i="6" a="1"/>
  <c r="J49" i="6" s="1"/>
  <c r="J25" i="6" a="1"/>
  <c r="J25" i="6" s="1"/>
  <c r="J26" i="6" a="1"/>
  <c r="J26" i="6" s="1"/>
  <c r="J50" i="6" a="1"/>
  <c r="J50" i="6" s="1"/>
  <c r="J17" i="6" a="1"/>
  <c r="J17" i="6" s="1"/>
  <c r="J66" i="6" a="1"/>
  <c r="J66" i="6" s="1"/>
  <c r="J45" i="6" a="1"/>
  <c r="J45" i="6" s="1"/>
  <c r="J36" i="6" a="1"/>
  <c r="J36" i="6" s="1"/>
  <c r="J61" i="6" a="1"/>
  <c r="J61" i="6" s="1"/>
  <c r="J73" i="6" a="1"/>
  <c r="J73" i="6" s="1"/>
  <c r="J75" i="6" a="1"/>
  <c r="J75" i="6" s="1"/>
  <c r="J83" i="6" a="1"/>
  <c r="J83" i="6" s="1"/>
  <c r="J84" i="6" a="1"/>
  <c r="J84" i="6" s="1"/>
  <c r="J91" i="6" a="1"/>
  <c r="J91" i="6" s="1"/>
  <c r="J94" i="6" a="1"/>
  <c r="J94" i="6" s="1"/>
  <c r="J99" i="6" a="1"/>
  <c r="J99" i="6" s="1"/>
  <c r="J101" i="6" a="1"/>
  <c r="J101" i="6" s="1"/>
  <c r="J102" i="6" a="1"/>
  <c r="J102" i="6" s="1"/>
  <c r="J107" i="6" a="1"/>
  <c r="J107" i="6" s="1"/>
  <c r="J110" i="6" a="1"/>
  <c r="J110" i="6" s="1"/>
  <c r="J114" i="6" a="1"/>
  <c r="J114" i="6" s="1"/>
  <c r="J115" i="6" a="1"/>
  <c r="J115" i="6" s="1"/>
  <c r="J125" i="6" a="1"/>
  <c r="J125" i="6" s="1"/>
  <c r="J128" i="6" a="1"/>
  <c r="J128" i="6" s="1"/>
  <c r="J132" i="6" a="1"/>
  <c r="J132" i="6" s="1"/>
  <c r="J133" i="6" a="1"/>
  <c r="J133" i="6" s="1"/>
  <c r="J134" i="6" a="1"/>
  <c r="J134" i="6" s="1"/>
  <c r="J142" i="6" a="1"/>
  <c r="J142" i="6" s="1"/>
  <c r="J156" i="6" a="1"/>
  <c r="J156" i="6" s="1"/>
  <c r="J166" i="6" a="1"/>
  <c r="J166" i="6" s="1"/>
  <c r="J167" i="6" a="1"/>
  <c r="J167" i="6" s="1"/>
  <c r="J175" i="6" a="1"/>
  <c r="J175" i="6" s="1"/>
  <c r="J180" i="6" a="1"/>
  <c r="J180" i="6" s="1"/>
  <c r="J188" i="6" a="1"/>
  <c r="J188" i="6" s="1"/>
  <c r="J203" i="6" a="1"/>
  <c r="J203" i="6" s="1"/>
  <c r="J204" i="6" a="1"/>
  <c r="J204" i="6" s="1"/>
  <c r="J217" i="6" a="1"/>
  <c r="J217" i="6" s="1"/>
  <c r="J225" i="6" a="1"/>
  <c r="J225" i="6" s="1"/>
  <c r="J234" i="6" a="1"/>
  <c r="J234" i="6" s="1"/>
  <c r="AC40" i="7" l="1" a="1"/>
  <c r="AC40" i="7" s="1"/>
  <c r="AG25" i="7" a="1"/>
  <c r="AG25" i="7" s="1"/>
  <c r="AG27" i="7" a="1"/>
  <c r="AG27" i="7" s="1"/>
  <c r="AE19" i="7" a="1"/>
  <c r="AE19" i="7" s="1"/>
  <c r="AB46" i="7" a="1"/>
  <c r="AB46" i="7" s="1"/>
  <c r="AI40" i="7" a="1"/>
  <c r="AI40" i="7" s="1"/>
  <c r="AB52" i="7" a="1"/>
  <c r="AB52" i="7" s="1"/>
  <c r="AB53" i="7" a="1"/>
  <c r="AB53" i="7" s="1"/>
  <c r="AI19" i="7" a="1"/>
  <c r="AI19" i="7" s="1"/>
  <c r="AB43" i="7" a="1"/>
  <c r="AB43" i="7" s="1"/>
  <c r="AI54" i="7" a="1"/>
  <c r="AI54" i="7" s="1"/>
  <c r="AH44" i="7" a="1"/>
  <c r="AH44" i="7" s="1"/>
  <c r="AE39" i="7" a="1"/>
  <c r="AE39" i="7" s="1"/>
  <c r="AH30" i="7" a="1"/>
  <c r="AH30" i="7" s="1"/>
  <c r="AD56" i="7" a="1"/>
  <c r="AD56" i="7" s="1"/>
  <c r="AI47" i="7" a="1"/>
  <c r="AI47" i="7" s="1"/>
  <c r="AF33" i="7" a="1"/>
  <c r="AF33" i="7" s="1"/>
  <c r="AE38" i="7" a="1"/>
  <c r="AE38" i="7" s="1"/>
  <c r="AE34" i="7" a="1"/>
  <c r="AE34" i="7" s="1"/>
  <c r="AF56" i="7" a="1"/>
  <c r="AF56" i="7" s="1"/>
  <c r="AI25" i="7" a="1"/>
  <c r="AI25" i="7" s="1"/>
  <c r="AB33" i="7" a="1"/>
  <c r="AB33" i="7" s="1"/>
  <c r="AD38" i="7" a="1"/>
  <c r="AD38" i="7" s="1"/>
  <c r="AG47" i="7" a="1"/>
  <c r="AG47" i="7" s="1"/>
  <c r="AC20" i="7" a="1"/>
  <c r="AC20" i="7" s="1"/>
  <c r="AC44" i="7" a="1"/>
  <c r="AC44" i="7" s="1"/>
  <c r="AD24" i="7" a="1"/>
  <c r="AD24" i="7" s="1"/>
  <c r="AD34" i="7" a="1"/>
  <c r="AD34" i="7" s="1"/>
  <c r="AI44" i="7" a="1"/>
  <c r="AI44" i="7" s="1"/>
  <c r="AG34" i="7" a="1"/>
  <c r="AG34" i="7" s="1"/>
  <c r="AH18" i="7" a="1"/>
  <c r="AH18" i="7" s="1"/>
  <c r="AE37" i="7" a="1"/>
  <c r="AE37" i="7" s="1"/>
  <c r="AD21" i="7" a="1"/>
  <c r="AD21" i="7" s="1"/>
  <c r="AI22" i="7" a="1"/>
  <c r="AI22" i="7" s="1"/>
  <c r="AE33" i="7" a="1"/>
  <c r="AE33" i="7" s="1"/>
  <c r="AD29" i="7" a="1"/>
  <c r="AD29" i="7" s="1"/>
  <c r="AC38" i="7" a="1"/>
  <c r="AC38" i="7" s="1"/>
  <c r="AI31" i="7" a="1"/>
  <c r="AI31" i="7" s="1"/>
  <c r="AD18" i="7" a="1"/>
  <c r="AD18" i="7" s="1"/>
  <c r="AI21" i="7" a="1"/>
  <c r="AI21" i="7" s="1"/>
  <c r="AI32" i="7" a="1"/>
  <c r="AI32" i="7" s="1"/>
  <c r="AH29" i="7" a="1"/>
  <c r="AH29" i="7" s="1"/>
  <c r="AB47" i="7" a="1"/>
  <c r="AB47" i="7" s="1"/>
  <c r="AH23" i="7" a="1"/>
  <c r="AH23" i="7" s="1"/>
  <c r="AG19" i="7" a="1"/>
  <c r="AG19" i="7" s="1"/>
  <c r="AD47" i="7" a="1"/>
  <c r="AD47" i="7" s="1"/>
  <c r="AF42" i="7" a="1"/>
  <c r="AF42" i="7" s="1"/>
  <c r="AG26" i="7" a="1"/>
  <c r="AG26" i="7" s="1"/>
  <c r="AH43" i="7" a="1"/>
  <c r="AH43" i="7" s="1"/>
  <c r="AD40" i="7" a="1"/>
  <c r="AD40" i="7" s="1"/>
  <c r="AG51" i="7" a="1"/>
  <c r="AG51" i="7" s="1"/>
  <c r="AF37" i="7" a="1"/>
  <c r="AF37" i="7" s="1"/>
  <c r="AG44" i="7" a="1"/>
  <c r="AG44" i="7" s="1"/>
  <c r="AD53" i="7" a="1"/>
  <c r="AD53" i="7" s="1"/>
  <c r="AF36" i="7" a="1"/>
  <c r="AF36" i="7" s="1"/>
  <c r="AH50" i="7" a="1"/>
  <c r="AH50" i="7" s="1"/>
  <c r="AB29" i="7" a="1"/>
  <c r="AB29" i="7" s="1"/>
  <c r="AF51" i="7" a="1"/>
  <c r="AF51" i="7" s="1"/>
  <c r="AC24" i="7" a="1"/>
  <c r="AC24" i="7" s="1"/>
  <c r="AF34" i="7" a="1"/>
  <c r="AF34" i="7" s="1"/>
  <c r="AB24" i="7" a="1"/>
  <c r="AB24" i="7" s="1"/>
  <c r="AE22" i="7" a="1"/>
  <c r="AE22" i="7" s="1"/>
  <c r="AD39" i="7" a="1"/>
  <c r="AD39" i="7" s="1"/>
  <c r="AH53" i="7" a="1"/>
  <c r="AH53" i="7" s="1"/>
  <c r="AH33" i="7" a="1"/>
  <c r="AH33" i="7" s="1"/>
  <c r="AG35" i="7" a="1"/>
  <c r="AG35" i="7" s="1"/>
  <c r="AC25" i="7" a="1"/>
  <c r="AC25" i="7" s="1"/>
  <c r="AC55" i="7" a="1"/>
  <c r="AC55" i="7" s="1"/>
  <c r="AG28" i="7" a="1"/>
  <c r="AG28" i="7" s="1"/>
  <c r="AF29" i="7" a="1"/>
  <c r="AF29" i="7" s="1"/>
  <c r="AB35" i="7" a="1"/>
  <c r="AB35" i="7" s="1"/>
  <c r="AB50" i="7" a="1"/>
  <c r="AB50" i="7" s="1"/>
  <c r="AH37" i="7" a="1"/>
  <c r="AH37" i="7" s="1"/>
  <c r="AC49" i="7" a="1"/>
  <c r="AC49" i="7" s="1"/>
  <c r="AE46" i="7" a="1"/>
  <c r="AE46" i="7" s="1"/>
  <c r="AG30" i="7" a="1"/>
  <c r="AG30" i="7" s="1"/>
  <c r="AG48" i="7" a="1"/>
  <c r="AG48" i="7" s="1"/>
  <c r="AI38" i="7" a="1"/>
  <c r="AI38" i="7" s="1"/>
  <c r="AE50" i="7" a="1"/>
  <c r="AE50" i="7" s="1"/>
  <c r="AD54" i="7" a="1"/>
  <c r="AD54" i="7" s="1"/>
  <c r="AF35" i="7" a="1"/>
  <c r="AF35" i="7" s="1"/>
  <c r="AB19" i="7" a="1"/>
  <c r="AB19" i="7" s="1"/>
  <c r="AD48" i="7" a="1"/>
  <c r="AD48" i="7" s="1"/>
  <c r="AG52" i="7" a="1"/>
  <c r="AG52" i="7" s="1"/>
  <c r="AI35" i="7" a="1"/>
  <c r="AI35" i="7" s="1"/>
  <c r="AH47" i="7" a="1"/>
  <c r="AH47" i="7" s="1"/>
  <c r="AC30" i="7" a="1"/>
  <c r="AC30" i="7" s="1"/>
  <c r="AE30" i="7" a="1"/>
  <c r="AE30" i="7" s="1"/>
  <c r="AF45" i="7" a="1"/>
  <c r="AF45" i="7" s="1"/>
  <c r="AG43" i="7" a="1"/>
  <c r="AG43" i="7" s="1"/>
  <c r="AE56" i="7" a="1"/>
  <c r="AE56" i="7" s="1"/>
  <c r="AH32" i="7" a="1"/>
  <c r="AH32" i="7" s="1"/>
  <c r="AC48" i="7" a="1"/>
  <c r="AC48" i="7" s="1"/>
  <c r="AH26" i="7" a="1"/>
  <c r="AH26" i="7" s="1"/>
  <c r="AE16" i="7" a="1"/>
  <c r="AE16" i="7" s="1"/>
  <c r="AD25" i="7" a="1"/>
  <c r="AD25" i="7" s="1"/>
  <c r="AH17" i="7" a="1"/>
  <c r="AH17" i="7" s="1"/>
  <c r="AD28" i="7" a="1"/>
  <c r="AD28" i="7" s="1"/>
  <c r="AH55" i="7" a="1"/>
  <c r="AH55" i="7" s="1"/>
  <c r="AG41" i="7" a="1"/>
  <c r="AG41" i="7" s="1"/>
  <c r="AB34" i="7" a="1"/>
  <c r="AB34" i="7" s="1"/>
  <c r="AG29" i="7" a="1"/>
  <c r="AG29" i="7" s="1"/>
  <c r="AI36" i="7" a="1"/>
  <c r="AI36" i="7" s="1"/>
  <c r="AE20" i="7" a="1"/>
  <c r="AE20" i="7" s="1"/>
  <c r="AB40" i="7" a="1"/>
  <c r="AB40" i="7" s="1"/>
  <c r="AF16" i="7" a="1"/>
  <c r="AF16" i="7" s="1"/>
  <c r="AB38" i="7" a="1"/>
  <c r="AB38" i="7" s="1"/>
  <c r="AG49" i="7" a="1"/>
  <c r="AG49" i="7" s="1"/>
  <c r="AC52" i="7" a="1"/>
  <c r="AC52" i="7" s="1"/>
  <c r="AD36" i="7" a="1"/>
  <c r="AD36" i="7" s="1"/>
  <c r="AF50" i="7" a="1"/>
  <c r="AF50" i="7" s="1"/>
  <c r="AI34" i="7" a="1"/>
  <c r="AI34" i="7" s="1"/>
  <c r="AH48" i="7" a="1"/>
  <c r="AH48" i="7" s="1"/>
  <c r="AF25" i="7" a="1"/>
  <c r="AF25" i="7" s="1"/>
  <c r="AC18" i="7" a="1"/>
  <c r="AC18" i="7" s="1"/>
  <c r="AE21" i="7" a="1"/>
  <c r="AE21" i="7" s="1"/>
  <c r="AC39" i="7" a="1"/>
  <c r="AC39" i="7" s="1"/>
  <c r="AF22" i="7" a="1"/>
  <c r="AF22" i="7" s="1"/>
  <c r="AG17" i="7" a="1"/>
  <c r="AG17" i="7" s="1"/>
  <c r="AG45" i="7" a="1"/>
  <c r="AG45" i="7" s="1"/>
  <c r="AC32" i="7" a="1"/>
  <c r="AC32" i="7" s="1"/>
  <c r="AB56" i="7" a="1"/>
  <c r="AB56" i="7" s="1"/>
  <c r="AI18" i="7" a="1"/>
  <c r="AI18" i="7" s="1"/>
  <c r="AC53" i="7" a="1"/>
  <c r="AC53" i="7" s="1"/>
  <c r="AG33" i="7" a="1"/>
  <c r="AG33" i="7" s="1"/>
  <c r="AI17" i="7" a="1"/>
  <c r="AI17" i="7" s="1"/>
  <c r="AG50" i="7" a="1"/>
  <c r="AG50" i="7" s="1"/>
  <c r="AE35" i="7" a="1"/>
  <c r="AE35" i="7" s="1"/>
  <c r="AG39" i="7" a="1"/>
  <c r="AG39" i="7" s="1"/>
  <c r="AC17" i="7" a="1"/>
  <c r="AC17" i="7" s="1"/>
  <c r="AC26" i="7" a="1"/>
  <c r="AC26" i="7" s="1"/>
  <c r="AC23" i="7" a="1"/>
  <c r="AC23" i="7" s="1"/>
  <c r="AF24" i="7" a="1"/>
  <c r="AF24" i="7" s="1"/>
  <c r="AC37" i="7" a="1"/>
  <c r="AC37" i="7" s="1"/>
  <c r="AD46" i="7" a="1"/>
  <c r="AD46" i="7" s="1"/>
  <c r="AI42" i="7" a="1"/>
  <c r="AI42" i="7" s="1"/>
  <c r="AG32" i="7" a="1"/>
  <c r="AG32" i="7" s="1"/>
  <c r="AG18" i="7" a="1"/>
  <c r="AG18" i="7" s="1"/>
  <c r="AH31" i="7" a="1"/>
  <c r="AH31" i="7" s="1"/>
  <c r="AC46" i="7" a="1"/>
  <c r="AC46" i="7" s="1"/>
  <c r="AF26" i="7" a="1"/>
  <c r="AF26" i="7" s="1"/>
  <c r="AF54" i="7" a="1"/>
  <c r="AF54" i="7" s="1"/>
  <c r="AG38" i="7" a="1"/>
  <c r="AG38" i="7" s="1"/>
  <c r="AH56" i="7" a="1"/>
  <c r="AH56" i="7" s="1"/>
  <c r="AE32" i="7" a="1"/>
  <c r="AE32" i="7" s="1"/>
  <c r="AI41" i="7" a="1"/>
  <c r="AI41" i="7" s="1"/>
  <c r="AE44" i="7" a="1"/>
  <c r="AE44" i="7" s="1"/>
  <c r="AB51" i="7" a="1"/>
  <c r="AB51" i="7" s="1"/>
  <c r="AH25" i="7" a="1"/>
  <c r="AH25" i="7" s="1"/>
  <c r="AE52" i="7" a="1"/>
  <c r="AE52" i="7" s="1"/>
  <c r="AB31" i="7" a="1"/>
  <c r="AB31" i="7" s="1"/>
  <c r="AE40" i="7" a="1"/>
  <c r="AE40" i="7" s="1"/>
  <c r="AI39" i="7" a="1"/>
  <c r="AI39" i="7" s="1"/>
  <c r="AH41" i="7" a="1"/>
  <c r="AH41" i="7" s="1"/>
  <c r="AF41" i="7" a="1"/>
  <c r="AF41" i="7" s="1"/>
  <c r="AH34" i="7" a="1"/>
  <c r="AH34" i="7" s="1"/>
  <c r="AF27" i="7" a="1"/>
  <c r="AF27" i="7" s="1"/>
  <c r="AB17" i="7" a="1"/>
  <c r="AB17" i="7" s="1"/>
  <c r="AG56" i="7" a="1"/>
  <c r="AG56" i="7" s="1"/>
  <c r="AH22" i="7" a="1"/>
  <c r="AH22" i="7" s="1"/>
  <c r="AC35" i="7" a="1"/>
  <c r="AC35" i="7" s="1"/>
  <c r="AH45" i="7" a="1"/>
  <c r="AH45" i="7" s="1"/>
  <c r="AF53" i="7" a="1"/>
  <c r="AF53" i="7" s="1"/>
  <c r="AD17" i="7" a="1"/>
  <c r="AD17" i="7" s="1"/>
  <c r="AB54" i="7" a="1"/>
  <c r="AB54" i="7" s="1"/>
  <c r="AE48" i="7" a="1"/>
  <c r="AE48" i="7" s="1"/>
  <c r="AD44" i="7" a="1"/>
  <c r="AD44" i="7" s="1"/>
  <c r="AE41" i="7" a="1"/>
  <c r="AE41" i="7" s="1"/>
  <c r="AE24" i="7" a="1"/>
  <c r="AE24" i="7" s="1"/>
  <c r="AH52" i="7" a="1"/>
  <c r="AH52" i="7" s="1"/>
  <c r="AG24" i="7" a="1"/>
  <c r="AG24" i="7" s="1"/>
  <c r="AC54" i="7" a="1"/>
  <c r="AC54" i="7" s="1"/>
  <c r="AH24" i="7" a="1"/>
  <c r="AH24" i="7" s="1"/>
  <c r="AF19" i="7" a="1"/>
  <c r="AF19" i="7" s="1"/>
  <c r="AE31" i="7" a="1"/>
  <c r="AE31" i="7" s="1"/>
  <c r="AF31" i="7" a="1"/>
  <c r="AF31" i="7" s="1"/>
  <c r="AB49" i="7" a="1"/>
  <c r="AB49" i="7" s="1"/>
  <c r="AE28" i="7" a="1"/>
  <c r="AE28" i="7" s="1"/>
  <c r="AD23" i="7" a="1"/>
  <c r="AD23" i="7" s="1"/>
  <c r="AE36" i="7" a="1"/>
  <c r="AE36" i="7" s="1"/>
  <c r="AE47" i="7" a="1"/>
  <c r="AE47" i="7" s="1"/>
  <c r="AH54" i="7" a="1"/>
  <c r="AH54" i="7" s="1"/>
  <c r="AG42" i="7" a="1"/>
  <c r="AG42" i="7" s="1"/>
  <c r="AF55" i="7" a="1"/>
  <c r="AF55" i="7" s="1"/>
  <c r="AD41" i="7" a="1"/>
  <c r="AD41" i="7" s="1"/>
  <c r="AB16" i="7" a="1"/>
  <c r="AB16" i="7" s="1"/>
  <c r="AC42" i="7" a="1"/>
  <c r="AC42" i="7" s="1"/>
  <c r="AI27" i="7" a="1"/>
  <c r="AI27" i="7" s="1"/>
  <c r="AB27" i="7" a="1"/>
  <c r="AB27" i="7" s="1"/>
  <c r="AI51" i="7" a="1"/>
  <c r="AI51" i="7" s="1"/>
  <c r="AB18" i="7" a="1"/>
  <c r="AB18" i="7" s="1"/>
  <c r="AF28" i="7" a="1"/>
  <c r="AF28" i="7" s="1"/>
  <c r="AG22" i="7" a="1"/>
  <c r="AG22" i="7" s="1"/>
  <c r="AC50" i="7" a="1"/>
  <c r="AC50" i="7" s="1"/>
  <c r="AB48" i="7" a="1"/>
  <c r="AB48" i="7" s="1"/>
  <c r="AB21" i="7" a="1"/>
  <c r="AB21" i="7" s="1"/>
  <c r="AE23" i="7" a="1"/>
  <c r="AE23" i="7" s="1"/>
  <c r="AF23" i="7" a="1"/>
  <c r="AF23" i="7" s="1"/>
  <c r="AF47" i="7" a="1"/>
  <c r="AF47" i="7" s="1"/>
  <c r="AD51" i="7" a="1"/>
  <c r="AD51" i="7" s="1"/>
  <c r="AE17" i="7" a="1"/>
  <c r="AE17" i="7" s="1"/>
  <c r="AF30" i="7" a="1"/>
  <c r="AF30" i="7" s="1"/>
  <c r="AI50" i="7" a="1"/>
  <c r="AI50" i="7" s="1"/>
  <c r="AB45" i="7" a="1"/>
  <c r="AB45" i="7" s="1"/>
  <c r="AH16" i="7" a="1"/>
  <c r="AH16" i="7" s="1"/>
  <c r="AF40" i="7" a="1"/>
  <c r="AF40" i="7" s="1"/>
  <c r="AD55" i="7" a="1"/>
  <c r="AD55" i="7" s="1"/>
  <c r="AG23" i="7" a="1"/>
  <c r="AG23" i="7" s="1"/>
  <c r="AC51" i="7" a="1"/>
  <c r="AC51" i="7" s="1"/>
  <c r="AG46" i="7" a="1"/>
  <c r="AG46" i="7" s="1"/>
  <c r="AG20" i="7" a="1"/>
  <c r="AG20" i="7" s="1"/>
  <c r="AD26" i="7" a="1"/>
  <c r="AD26" i="7" s="1"/>
  <c r="AE53" i="7" a="1"/>
  <c r="AE53" i="7" s="1"/>
  <c r="AI55" i="7" a="1"/>
  <c r="AI55" i="7" s="1"/>
  <c r="AB23" i="7" a="1"/>
  <c r="AB23" i="7" s="1"/>
  <c r="AB32" i="7" a="1"/>
  <c r="AB32" i="7" s="1"/>
  <c r="AB30" i="7" a="1"/>
  <c r="AB30" i="7" s="1"/>
  <c r="AD30" i="7" a="1"/>
  <c r="AD30" i="7" s="1"/>
  <c r="A10" i="9"/>
  <c r="AC16" i="7" a="1"/>
  <c r="AC16" i="7" s="1"/>
  <c r="AI53" i="7" a="1"/>
  <c r="AI53" i="7" s="1"/>
  <c r="AD19" i="7" a="1"/>
  <c r="AD19" i="7" s="1"/>
  <c r="AD42" i="7" a="1"/>
  <c r="AD42" i="7" s="1"/>
  <c r="AH40" i="7" a="1"/>
  <c r="AH40" i="7" s="1"/>
  <c r="AF20" i="7" a="1"/>
  <c r="AF20" i="7" s="1"/>
  <c r="AD35" i="7" a="1"/>
  <c r="AD35" i="7" s="1"/>
  <c r="AG54" i="7" a="1"/>
  <c r="AG54" i="7" s="1"/>
  <c r="AI43" i="7" a="1"/>
  <c r="AI43" i="7" s="1"/>
  <c r="AB41" i="7" a="1"/>
  <c r="AB41" i="7" s="1"/>
  <c r="AI49" i="7" a="1"/>
  <c r="AI49" i="7" s="1"/>
  <c r="AH20" i="7" a="1"/>
  <c r="AH20" i="7" s="1"/>
  <c r="AH39" i="7" a="1"/>
  <c r="AH39" i="7" s="1"/>
  <c r="AI20" i="7" a="1"/>
  <c r="AI20" i="7" s="1"/>
  <c r="AG21" i="7" a="1"/>
  <c r="AG21" i="7" s="1"/>
  <c r="AF21" i="7" a="1"/>
  <c r="AF21" i="7" s="1"/>
  <c r="AH42" i="7" a="1"/>
  <c r="AH42" i="7" s="1"/>
  <c r="AF18" i="7" a="1"/>
  <c r="AF18" i="7" s="1"/>
  <c r="AF52" i="7" a="1"/>
  <c r="AF52" i="7" s="1"/>
  <c r="AC41" i="7" a="1"/>
  <c r="AC41" i="7" s="1"/>
  <c r="AI16" i="7" a="1"/>
  <c r="AI16" i="7" s="1"/>
  <c r="AD32" i="7" a="1"/>
  <c r="AD32" i="7" s="1"/>
  <c r="AD20" i="7" a="1"/>
  <c r="AD20" i="7" s="1"/>
  <c r="AB39" i="7" a="1"/>
  <c r="AB39" i="7" s="1"/>
  <c r="AD50" i="7" a="1"/>
  <c r="AD50" i="7" s="1"/>
  <c r="AB25" i="7" a="1"/>
  <c r="AB25" i="7" s="1"/>
  <c r="AD22" i="7" a="1"/>
  <c r="AD22" i="7" s="1"/>
  <c r="AH19" i="7" a="1"/>
  <c r="AH19" i="7" s="1"/>
  <c r="AC45" i="7" a="1"/>
  <c r="AC45" i="7" s="1"/>
  <c r="AD33" i="7" a="1"/>
  <c r="AD33" i="7" s="1"/>
  <c r="AG31" i="7" a="1"/>
  <c r="AG31" i="7" s="1"/>
  <c r="AD16" i="7" a="1"/>
  <c r="AD16" i="7" s="1"/>
  <c r="AF46" i="7" a="1"/>
  <c r="AF46" i="7" s="1"/>
  <c r="AI52" i="7" a="1"/>
  <c r="AI52" i="7" s="1"/>
  <c r="AF43" i="7" a="1"/>
  <c r="AF43" i="7" s="1"/>
  <c r="AI30" i="7" a="1"/>
  <c r="AI30" i="7" s="1"/>
  <c r="AE51" i="7" a="1"/>
  <c r="AE51" i="7" s="1"/>
  <c r="AE26" i="7" a="1"/>
  <c r="AE26" i="7" s="1"/>
  <c r="AE27" i="7" a="1"/>
  <c r="AE27" i="7" s="1"/>
  <c r="AH51" i="7" a="1"/>
  <c r="AH51" i="7" s="1"/>
  <c r="AC19" i="7" a="1"/>
  <c r="AC19" i="7" s="1"/>
  <c r="AI45" i="7" a="1"/>
  <c r="AI45" i="7" s="1"/>
  <c r="AC43" i="7" a="1"/>
  <c r="AC43" i="7" s="1"/>
  <c r="AI24" i="7" a="1"/>
  <c r="AI24" i="7" s="1"/>
  <c r="AG55" i="7" a="1"/>
  <c r="AG55" i="7" s="1"/>
  <c r="AC21" i="7" a="1"/>
  <c r="AC21" i="7" s="1"/>
  <c r="AE42" i="7" a="1"/>
  <c r="AE42" i="7" s="1"/>
  <c r="AH38" i="7" a="1"/>
  <c r="AH38" i="7" s="1"/>
  <c r="AE29" i="7" a="1"/>
  <c r="AE29" i="7" s="1"/>
  <c r="AH46" i="7" a="1"/>
  <c r="AH46" i="7" s="1"/>
  <c r="AH21" i="7" a="1"/>
  <c r="AH21" i="7" s="1"/>
  <c r="AF49" i="7" a="1"/>
  <c r="AF49" i="7" s="1"/>
  <c r="AE25" i="7" a="1"/>
  <c r="AE25" i="7" s="1"/>
  <c r="AD52" i="7" a="1"/>
  <c r="AD52" i="7" s="1"/>
  <c r="AH36" i="7" a="1"/>
  <c r="AH36" i="7" s="1"/>
  <c r="AH28" i="7" a="1"/>
  <c r="AH28" i="7" s="1"/>
  <c r="AB42" i="7" a="1"/>
  <c r="AB42" i="7" s="1"/>
  <c r="AD49" i="7" a="1"/>
  <c r="AD49" i="7" s="1"/>
  <c r="AG16" i="7" a="1"/>
  <c r="AG16" i="7" s="1"/>
  <c r="AC36" i="7" a="1"/>
  <c r="AC36" i="7" s="1"/>
  <c r="AC22" i="7" a="1"/>
  <c r="AC22" i="7" s="1"/>
  <c r="AE54" i="7" a="1"/>
  <c r="AE54" i="7" s="1"/>
  <c r="AG40" i="7" a="1"/>
  <c r="AG40" i="7" s="1"/>
  <c r="AI26" i="7" a="1"/>
  <c r="AI26" i="7" s="1"/>
  <c r="AB22" i="7" a="1"/>
  <c r="AB22" i="7" s="1"/>
  <c r="AE43" i="7" a="1"/>
  <c r="AE43" i="7" s="1"/>
  <c r="AF44" i="7" a="1"/>
  <c r="AF44" i="7" s="1"/>
  <c r="AB36" i="7" a="1"/>
  <c r="AB36" i="7" s="1"/>
  <c r="AF32" i="7" a="1"/>
  <c r="AF32" i="7" s="1"/>
  <c r="AC34" i="7" a="1"/>
  <c r="AC34" i="7" s="1"/>
  <c r="AH49" i="7" a="1"/>
  <c r="AH49" i="7" s="1"/>
  <c r="AF38" i="7" a="1"/>
  <c r="AF38" i="7" s="1"/>
  <c r="AF39" i="7" a="1"/>
  <c r="AF39" i="7" s="1"/>
  <c r="AI23" i="7" a="1"/>
  <c r="AI23" i="7" s="1"/>
  <c r="O12" i="13"/>
  <c r="P12" i="13" s="1"/>
  <c r="AI56" i="7" a="1"/>
  <c r="AI56" i="7" s="1"/>
  <c r="AC28" i="7" a="1"/>
  <c r="AC28" i="7" s="1"/>
  <c r="AI33" i="7" a="1"/>
  <c r="AI33" i="7" s="1"/>
  <c r="AB44" i="7" a="1"/>
  <c r="AB44" i="7" s="1"/>
  <c r="AC47" i="7" a="1"/>
  <c r="AC47" i="7" s="1"/>
  <c r="AB37" i="7" a="1"/>
  <c r="AB37" i="7" s="1"/>
  <c r="AC27" i="7" a="1"/>
  <c r="AC27" i="7" s="1"/>
  <c r="AE18" i="7" a="1"/>
  <c r="AE18" i="7" s="1"/>
  <c r="AB20" i="7" a="1"/>
  <c r="AB20" i="7" s="1"/>
  <c r="AG37" i="7" a="1"/>
  <c r="AG37" i="7" s="1"/>
  <c r="AI28" i="7" a="1"/>
  <c r="AI28" i="7" s="1"/>
  <c r="AB28" i="7" a="1"/>
  <c r="AB28" i="7" s="1"/>
  <c r="AC29" i="7" a="1"/>
  <c r="AC29" i="7" s="1"/>
  <c r="AF48" i="7" a="1"/>
  <c r="AF48" i="7" s="1"/>
  <c r="AB55" i="7" a="1"/>
  <c r="AB55" i="7" s="1"/>
  <c r="AC33" i="7" a="1"/>
  <c r="AC33" i="7" s="1"/>
  <c r="AD31" i="7" a="1"/>
  <c r="AD31" i="7" s="1"/>
  <c r="AD27" i="7" a="1"/>
  <c r="AD27" i="7" s="1"/>
  <c r="AE49" i="7" a="1"/>
  <c r="AE49" i="7" s="1"/>
  <c r="AB26" i="7" a="1"/>
  <c r="AB26" i="7" s="1"/>
  <c r="AE55" i="7" a="1"/>
  <c r="AE55" i="7" s="1"/>
  <c r="AH35" i="7" a="1"/>
  <c r="AH35" i="7" s="1"/>
  <c r="AG36" i="7" a="1"/>
  <c r="AG36" i="7" s="1"/>
  <c r="AI37" i="7" a="1"/>
  <c r="AI37" i="7" s="1"/>
  <c r="AE45" i="7" a="1"/>
  <c r="AE45" i="7" s="1"/>
  <c r="AG53" i="7" a="1"/>
  <c r="AG53" i="7" s="1"/>
  <c r="AD37" i="7" a="1"/>
  <c r="AD37" i="7" s="1"/>
  <c r="AC56" i="7" a="1"/>
  <c r="AC56" i="7" s="1"/>
  <c r="AI29" i="7" a="1"/>
  <c r="AI29" i="7" s="1"/>
  <c r="AH27" i="7" a="1"/>
  <c r="AH27" i="7" s="1"/>
  <c r="AD43" i="7" a="1"/>
  <c r="AD43" i="7" s="1"/>
  <c r="AI46" i="7" a="1"/>
  <c r="AI46" i="7" s="1"/>
  <c r="AI48" i="7" a="1"/>
  <c r="AI48" i="7" s="1"/>
  <c r="AC31" i="7" a="1"/>
  <c r="AC31" i="7" s="1"/>
  <c r="AD45" i="7" a="1"/>
  <c r="AD45" i="7" s="1"/>
  <c r="M12" i="13"/>
  <c r="R12" i="13"/>
  <c r="K12" i="13" a="1"/>
  <c r="K12" i="13" s="1"/>
  <c r="T12" i="13"/>
  <c r="U12" i="13"/>
  <c r="B18" i="13"/>
  <c r="B20" i="13"/>
  <c r="B23" i="12"/>
  <c r="B16" i="13"/>
  <c r="B23" i="13"/>
  <c r="B19" i="13"/>
  <c r="B21" i="13"/>
  <c r="B17" i="13"/>
  <c r="Q68" i="8"/>
  <c r="O23" i="8"/>
  <c r="Q23" i="8"/>
  <c r="O38" i="8"/>
  <c r="P47" i="8"/>
  <c r="Q65" i="8"/>
  <c r="Q14" i="8"/>
  <c r="Q113" i="8"/>
  <c r="O92" i="8"/>
  <c r="P98" i="8"/>
  <c r="O86" i="8"/>
  <c r="O74" i="8"/>
  <c r="Q143" i="8"/>
  <c r="Q38" i="8"/>
  <c r="Q41" i="8"/>
  <c r="C29" i="9"/>
  <c r="F29" i="9" s="1"/>
  <c r="C45" i="9"/>
  <c r="F45" i="9" s="1"/>
  <c r="C42" i="10"/>
  <c r="A42" i="10" s="1"/>
  <c r="C33" i="9"/>
  <c r="F33" i="9" s="1"/>
  <c r="C48" i="10"/>
  <c r="A48" i="10" s="1"/>
  <c r="C55" i="9"/>
  <c r="F55" i="9" s="1"/>
  <c r="C22" i="9"/>
  <c r="F22" i="9" s="1"/>
  <c r="C46" i="9"/>
  <c r="F46" i="9" s="1"/>
  <c r="C54" i="9"/>
  <c r="F54" i="9" s="1"/>
  <c r="DE243" i="6" a="1"/>
  <c r="DE243" i="6" s="1"/>
  <c r="DH243" i="6" a="1"/>
  <c r="DH243" i="6" s="1"/>
  <c r="CB243" i="6"/>
  <c r="DI243" i="6" a="1"/>
  <c r="DI243" i="6" s="1"/>
  <c r="DF243" i="6" a="1"/>
  <c r="DF243" i="6" s="1"/>
  <c r="CJ243" i="6"/>
  <c r="DD243" i="6" a="1"/>
  <c r="DD243" i="6" s="1"/>
  <c r="BQ243" i="6"/>
  <c r="BQ15" i="6" s="1"/>
  <c r="AP15" i="6" s="1"/>
  <c r="AP11" i="6" s="1"/>
  <c r="CN243" i="6"/>
  <c r="CH243" i="6"/>
  <c r="DM243" i="6" a="1"/>
  <c r="DM243" i="6" s="1"/>
  <c r="DB243" i="6" a="1"/>
  <c r="DB243" i="6" s="1"/>
  <c r="DJ243" i="6" a="1"/>
  <c r="DJ243" i="6" s="1"/>
  <c r="CQ243" i="6"/>
  <c r="BM243" i="6"/>
  <c r="BM15" i="6" s="1"/>
  <c r="AL15" i="6" s="1"/>
  <c r="AL11" i="6" s="1"/>
  <c r="C29" i="10"/>
  <c r="A29" i="10" s="1"/>
  <c r="C24" i="9"/>
  <c r="F24" i="9" s="1"/>
  <c r="DO243" i="6" a="1"/>
  <c r="DO243" i="6" s="1"/>
  <c r="CK243" i="6"/>
  <c r="C43" i="10"/>
  <c r="A43" i="10" s="1"/>
  <c r="C38" i="9"/>
  <c r="F38" i="9" s="1"/>
  <c r="C20" i="10"/>
  <c r="A20" i="10" s="1"/>
  <c r="C49" i="10"/>
  <c r="A49" i="10" s="1"/>
  <c r="C52" i="10"/>
  <c r="A52" i="10" s="1"/>
  <c r="C26" i="9"/>
  <c r="F26" i="9" s="1"/>
  <c r="C51" i="9"/>
  <c r="F51" i="9" s="1"/>
  <c r="C53" i="9"/>
  <c r="F53" i="9" s="1"/>
  <c r="C38" i="10"/>
  <c r="A38" i="10" s="1"/>
  <c r="C40" i="10"/>
  <c r="A40" i="10" s="1"/>
  <c r="C23" i="9"/>
  <c r="F23" i="9" s="1"/>
  <c r="CX243" i="6" a="1"/>
  <c r="CX243" i="6" s="1"/>
  <c r="C47" i="10"/>
  <c r="A47" i="10" s="1"/>
  <c r="CZ243" i="6" a="1"/>
  <c r="CZ243" i="6" s="1"/>
  <c r="C51" i="10"/>
  <c r="A51" i="10" s="1"/>
  <c r="C20" i="9"/>
  <c r="F20" i="9" s="1"/>
  <c r="C44" i="9"/>
  <c r="F44" i="9" s="1"/>
  <c r="C56" i="9"/>
  <c r="F56" i="9" s="1"/>
  <c r="C37" i="9"/>
  <c r="F37" i="9" s="1"/>
  <c r="C1" i="9"/>
  <c r="F1" i="9" s="1"/>
  <c r="C26" i="10"/>
  <c r="A26" i="10" s="1"/>
  <c r="C16" i="9"/>
  <c r="F16" i="9" s="1"/>
  <c r="C50" i="9"/>
  <c r="F50" i="9" s="1"/>
  <c r="C22" i="10"/>
  <c r="A22" i="10" s="1"/>
  <c r="C54" i="10"/>
  <c r="A54" i="10" s="1"/>
  <c r="C50" i="10"/>
  <c r="A50" i="10" s="1"/>
  <c r="DP243" i="6" a="1"/>
  <c r="DP243" i="6" s="1"/>
  <c r="BV243" i="6"/>
  <c r="CP243" i="6"/>
  <c r="BZ243" i="6"/>
  <c r="DR243" i="6" a="1"/>
  <c r="DR243" i="6" s="1"/>
  <c r="CO243" i="6"/>
  <c r="CD243" i="6"/>
  <c r="BS243" i="6"/>
  <c r="CY243" i="6" a="1"/>
  <c r="CY243" i="6" s="1"/>
  <c r="C42" i="9"/>
  <c r="F42" i="9" s="1"/>
  <c r="C41" i="9"/>
  <c r="F41" i="9" s="1"/>
  <c r="C19" i="10"/>
  <c r="A19" i="10" s="1"/>
  <c r="C30" i="10"/>
  <c r="A30" i="10" s="1"/>
  <c r="C27" i="9"/>
  <c r="F27" i="9" s="1"/>
  <c r="C35" i="9"/>
  <c r="F35" i="9" s="1"/>
  <c r="C53" i="10"/>
  <c r="A53" i="10" s="1"/>
  <c r="C18" i="9"/>
  <c r="F18" i="9" s="1"/>
  <c r="C33" i="10"/>
  <c r="A33" i="10" s="1"/>
  <c r="C40" i="9"/>
  <c r="F40" i="9" s="1"/>
  <c r="DK243" i="6" a="1"/>
  <c r="DK243" i="6" s="1"/>
  <c r="CU243" i="6" a="1"/>
  <c r="CU243" i="6" s="1"/>
  <c r="CE243" i="6"/>
  <c r="CF243" i="6"/>
  <c r="CL243" i="6"/>
  <c r="CC243" i="6"/>
  <c r="BW243" i="6"/>
  <c r="CM243" i="6"/>
  <c r="BN243" i="6"/>
  <c r="BN15" i="6" s="1"/>
  <c r="AM15" i="6" s="1"/>
  <c r="AM11" i="6" s="1"/>
  <c r="C52" i="9"/>
  <c r="F52" i="9" s="1"/>
  <c r="CV243" i="6" a="1"/>
  <c r="CV243" i="6" s="1"/>
  <c r="C24" i="10"/>
  <c r="A24" i="10" s="1"/>
  <c r="C55" i="10"/>
  <c r="A55" i="10" s="1"/>
  <c r="C36" i="9"/>
  <c r="F36" i="9" s="1"/>
  <c r="C43" i="9"/>
  <c r="F43" i="9" s="1"/>
  <c r="C46" i="10"/>
  <c r="A46" i="10" s="1"/>
  <c r="C48" i="9"/>
  <c r="F48" i="9" s="1"/>
  <c r="C30" i="9"/>
  <c r="F30" i="9" s="1"/>
  <c r="C56" i="10"/>
  <c r="A56" i="10" s="1"/>
  <c r="C21" i="10"/>
  <c r="A21" i="10" s="1"/>
  <c r="C31" i="10"/>
  <c r="A31" i="10" s="1"/>
  <c r="A15" i="9"/>
  <c r="C1" i="10"/>
  <c r="A1" i="10" s="1"/>
  <c r="C19" i="9"/>
  <c r="F19" i="9" s="1"/>
  <c r="CI243" i="6"/>
  <c r="DN243" i="6" a="1"/>
  <c r="DN243" i="6" s="1"/>
  <c r="CA243" i="6"/>
  <c r="DS243" i="6" a="1"/>
  <c r="DS243" i="6" s="1"/>
  <c r="BU243" i="6"/>
  <c r="CW243" i="6" a="1"/>
  <c r="CW243" i="6" s="1"/>
  <c r="BL243" i="6"/>
  <c r="BL15" i="6" s="1"/>
  <c r="AK15" i="6" s="1"/>
  <c r="AK11" i="6" s="1"/>
  <c r="DA243" i="6" a="1"/>
  <c r="DA243" i="6" s="1"/>
  <c r="DG243" i="6" a="1"/>
  <c r="DG243" i="6" s="1"/>
  <c r="CR243" i="6"/>
  <c r="CT243" i="6" a="1"/>
  <c r="CT243" i="6" s="1"/>
  <c r="BT243" i="6"/>
  <c r="BX243" i="6"/>
  <c r="DC243" i="6" a="1"/>
  <c r="DC243" i="6" s="1"/>
  <c r="DQ243" i="6" a="1"/>
  <c r="DQ243" i="6" s="1"/>
  <c r="BY243" i="6"/>
  <c r="C31" i="9"/>
  <c r="F31" i="9" s="1"/>
  <c r="M12" i="6" a="1"/>
  <c r="M12" i="6" s="1"/>
  <c r="C17" i="9"/>
  <c r="F17" i="9" s="1"/>
  <c r="C25" i="10"/>
  <c r="A25" i="10" s="1"/>
  <c r="C27" i="10"/>
  <c r="A27" i="10" s="1"/>
  <c r="C21" i="9"/>
  <c r="F21" i="9" s="1"/>
  <c r="C25" i="9"/>
  <c r="F25" i="9" s="1"/>
  <c r="C45" i="10"/>
  <c r="A45" i="10" s="1"/>
  <c r="C28" i="10"/>
  <c r="A28" i="10" s="1"/>
  <c r="C32" i="10"/>
  <c r="A32" i="10" s="1"/>
  <c r="C28" i="9"/>
  <c r="F28" i="9" s="1"/>
  <c r="C41" i="10"/>
  <c r="A41" i="10" s="1"/>
  <c r="C35" i="10"/>
  <c r="A35" i="10" s="1"/>
  <c r="CG243" i="6"/>
  <c r="BO243" i="6"/>
  <c r="BO15" i="6" s="1"/>
  <c r="AN15" i="6" s="1"/>
  <c r="AN11" i="6" s="1"/>
  <c r="C16" i="10"/>
  <c r="A16" i="10" s="1"/>
  <c r="C34" i="9"/>
  <c r="F34" i="9" s="1"/>
  <c r="C47" i="9"/>
  <c r="F47" i="9" s="1"/>
  <c r="C18" i="10"/>
  <c r="A18" i="10" s="1"/>
  <c r="C17" i="10"/>
  <c r="A17" i="10" s="1"/>
  <c r="C49" i="9"/>
  <c r="F49" i="9" s="1"/>
  <c r="C36" i="10"/>
  <c r="A36" i="10" s="1"/>
  <c r="C23" i="10"/>
  <c r="A23" i="10" s="1"/>
  <c r="C32" i="9"/>
  <c r="F32" i="9" s="1"/>
  <c r="C37" i="10"/>
  <c r="A37" i="10" s="1"/>
  <c r="C44" i="10"/>
  <c r="A44" i="10" s="1"/>
  <c r="C34" i="10"/>
  <c r="A34" i="10" s="1"/>
  <c r="DL243" i="6" a="1"/>
  <c r="DL243" i="6" s="1"/>
  <c r="BP243" i="6"/>
  <c r="BP15" i="6" s="1"/>
  <c r="AO15" i="6" s="1"/>
  <c r="AO11" i="6" s="1"/>
  <c r="Q95" i="8"/>
  <c r="H1" i="8" a="1"/>
  <c r="H1" i="8" s="1"/>
  <c r="J2" i="8" s="1"/>
  <c r="G1" i="8"/>
  <c r="G2" i="8" s="1" a="1"/>
  <c r="G2" i="8" s="1"/>
  <c r="H2" i="8" a="1"/>
  <c r="H2" i="8" s="1"/>
  <c r="P35" i="8"/>
  <c r="Q44" i="8"/>
  <c r="Q83" i="8"/>
  <c r="O83" i="8"/>
  <c r="P83" i="8"/>
  <c r="S85" i="8"/>
  <c r="S106" i="8"/>
  <c r="O104" i="8"/>
  <c r="Q104" i="8"/>
  <c r="P104" i="8"/>
  <c r="O62" i="8"/>
  <c r="S64" i="8"/>
  <c r="O77" i="8"/>
  <c r="S79" i="8"/>
  <c r="P77" i="8"/>
  <c r="Q119" i="8"/>
  <c r="P122" i="8"/>
  <c r="O122" i="8"/>
  <c r="S124" i="8"/>
  <c r="Q116" i="8"/>
  <c r="S118" i="8"/>
  <c r="P116" i="8"/>
  <c r="O116" i="8"/>
  <c r="O35" i="8"/>
  <c r="S136" i="8"/>
  <c r="P134" i="8"/>
  <c r="P44" i="8"/>
  <c r="O29" i="8"/>
  <c r="Q29" i="8"/>
  <c r="S31" i="8"/>
  <c r="P29" i="8"/>
  <c r="S133" i="8"/>
  <c r="Q131" i="8"/>
  <c r="O131" i="8"/>
  <c r="P131" i="8"/>
  <c r="Q20" i="8"/>
  <c r="S22" i="8"/>
  <c r="P20" i="8"/>
  <c r="O20" i="8"/>
  <c r="Q122" i="8"/>
  <c r="S127" i="8"/>
  <c r="O125" i="8"/>
  <c r="Q125" i="8"/>
  <c r="P125" i="8"/>
  <c r="P26" i="8"/>
  <c r="S28" i="8"/>
  <c r="Q26" i="8"/>
  <c r="O26" i="8"/>
  <c r="P32" i="8"/>
  <c r="S34" i="8"/>
  <c r="Q32" i="8"/>
  <c r="S139" i="8"/>
  <c r="P137" i="8"/>
  <c r="B22" i="12"/>
  <c r="B15" i="13"/>
  <c r="D15" i="5"/>
  <c r="O50" i="8"/>
  <c r="P50" i="8"/>
  <c r="S52" i="8"/>
  <c r="S91" i="8"/>
  <c r="P89" i="8"/>
  <c r="O89" i="8"/>
  <c r="O32" i="8"/>
  <c r="S55" i="8"/>
  <c r="P53" i="8"/>
  <c r="O53" i="8"/>
  <c r="Q53" i="8"/>
  <c r="K18" i="13" a="1"/>
  <c r="K18" i="13" s="1"/>
  <c r="P59" i="8"/>
  <c r="S61" i="8"/>
  <c r="O101" i="8"/>
  <c r="S88" i="8"/>
  <c r="P86" i="8"/>
  <c r="D12" i="13"/>
  <c r="V12" i="13"/>
  <c r="P62" i="8"/>
  <c r="S67" i="8"/>
  <c r="O14" i="8"/>
  <c r="A14" i="8"/>
  <c r="S16" i="8"/>
  <c r="O44" i="8"/>
  <c r="Q89" i="8"/>
  <c r="Q17" i="8"/>
  <c r="O17" i="8"/>
  <c r="P17" i="8"/>
  <c r="S19" i="8"/>
  <c r="Q56" i="8"/>
  <c r="S103" i="8"/>
  <c r="P101" i="8"/>
  <c r="Q101" i="8"/>
  <c r="Q35" i="8"/>
  <c r="S40" i="8"/>
  <c r="P38" i="8"/>
  <c r="O56" i="8"/>
  <c r="P95" i="8"/>
  <c r="O59" i="8"/>
  <c r="Q86" i="8"/>
  <c r="P110" i="8"/>
  <c r="S112" i="8"/>
  <c r="Q110" i="8"/>
  <c r="O110" i="8"/>
  <c r="P107" i="8"/>
  <c r="O107" i="8"/>
  <c r="O65" i="8"/>
  <c r="P92" i="8"/>
  <c r="S94" i="8"/>
  <c r="Q92" i="8"/>
  <c r="P128" i="8"/>
  <c r="Q128" i="8"/>
  <c r="S130" i="8"/>
  <c r="O128" i="8"/>
  <c r="O119" i="8"/>
  <c r="S100" i="8"/>
  <c r="O98" i="8"/>
  <c r="O95" i="8"/>
  <c r="S76" i="8"/>
  <c r="Q74" i="8"/>
  <c r="P74" i="8"/>
  <c r="Q62" i="8"/>
  <c r="P23" i="8"/>
  <c r="O68" i="8"/>
  <c r="P68" i="8"/>
  <c r="S73" i="8"/>
  <c r="O71" i="8"/>
  <c r="P71" i="8"/>
  <c r="Q71" i="8"/>
  <c r="P119" i="8"/>
  <c r="R1" i="8"/>
  <c r="S3" i="8"/>
  <c r="A1" i="8"/>
  <c r="P113" i="8"/>
  <c r="O113" i="8"/>
  <c r="S115" i="8"/>
  <c r="S43" i="8"/>
  <c r="O41" i="8"/>
  <c r="S49" i="8"/>
  <c r="O47" i="8"/>
  <c r="Q77" i="8"/>
  <c r="S82" i="8"/>
  <c r="Q80" i="8"/>
  <c r="P80" i="8"/>
  <c r="O80" i="8"/>
  <c r="P56" i="8"/>
  <c r="P140" i="8"/>
  <c r="A146" i="8"/>
  <c r="F150" i="8"/>
  <c r="S148" i="8"/>
  <c r="N20" i="8"/>
  <c r="N14" i="8"/>
  <c r="R14" i="8" s="1"/>
  <c r="N17" i="8"/>
  <c r="N12" i="13" l="1"/>
  <c r="AC14" i="7"/>
  <c r="AG14" i="7"/>
  <c r="AB14" i="7"/>
  <c r="AI14" i="7"/>
  <c r="AF14" i="7"/>
  <c r="AH14" i="7"/>
  <c r="AE14" i="7"/>
  <c r="AD14" i="7"/>
  <c r="AR3" i="8" a="1"/>
  <c r="AR3" i="8" s="1"/>
  <c r="AN3" i="8" a="1"/>
  <c r="AN3" i="8" s="1"/>
  <c r="AJ3" i="8" a="1"/>
  <c r="AJ3" i="8" s="1"/>
  <c r="AR1" i="8" a="1"/>
  <c r="AR1" i="8" s="1"/>
  <c r="AN1" i="8" a="1"/>
  <c r="AN1" i="8" s="1"/>
  <c r="AJ1" i="8" a="1"/>
  <c r="AJ1" i="8" s="1"/>
  <c r="AP3" i="8" a="1"/>
  <c r="AP3" i="8" s="1"/>
  <c r="AL3" i="8" a="1"/>
  <c r="AL3" i="8" s="1"/>
  <c r="AH3" i="8" a="1"/>
  <c r="AH3" i="8" s="1"/>
  <c r="AP1" i="8" a="1"/>
  <c r="AP1" i="8" s="1"/>
  <c r="AL1" i="8" a="1"/>
  <c r="AL1" i="8" s="1"/>
  <c r="AH1" i="8" a="1"/>
  <c r="AH1" i="8" s="1"/>
  <c r="AO1" i="8" a="1"/>
  <c r="AO1" i="8" s="1"/>
  <c r="AG3" i="8" a="1"/>
  <c r="AG3" i="8" s="1"/>
  <c r="AQ3" i="8" a="1"/>
  <c r="AQ3" i="8" s="1"/>
  <c r="AM1" i="8" a="1"/>
  <c r="AM1" i="8" s="1"/>
  <c r="AM3" i="8" a="1"/>
  <c r="AM3" i="8" s="1"/>
  <c r="AI1" i="8" a="1"/>
  <c r="AI1" i="8" s="1"/>
  <c r="AI3" i="8" a="1"/>
  <c r="AI3" i="8" s="1"/>
  <c r="AK3" i="8" a="1"/>
  <c r="AK3" i="8" s="1"/>
  <c r="AG1" i="8" a="1"/>
  <c r="AG1" i="8" s="1"/>
  <c r="AQ1" i="8" a="1"/>
  <c r="AQ1" i="8" s="1"/>
  <c r="AO3" i="8" a="1"/>
  <c r="AO3" i="8" s="1"/>
  <c r="AK1" i="8" a="1"/>
  <c r="AK1" i="8" s="1"/>
  <c r="R17" i="8"/>
  <c r="F19" i="8" s="1"/>
  <c r="R20" i="8"/>
  <c r="Y1" i="8" a="1"/>
  <c r="Y1" i="8" s="1"/>
  <c r="Z3" i="8" a="1"/>
  <c r="Z3" i="8" s="1"/>
  <c r="AC1" i="8" a="1"/>
  <c r="AC1" i="8" s="1"/>
  <c r="AD3" i="8" a="1"/>
  <c r="AD3" i="8" s="1"/>
  <c r="AE1" i="8" a="1"/>
  <c r="AE1" i="8" s="1"/>
  <c r="D1" i="8"/>
  <c r="AC3" i="8" a="1"/>
  <c r="AC3" i="8" s="1"/>
  <c r="E3" i="8" a="1"/>
  <c r="E3" i="8" s="1"/>
  <c r="U3" i="8" a="1"/>
  <c r="U3" i="8" s="1"/>
  <c r="Y3" i="8" a="1"/>
  <c r="Y3" i="8" s="1"/>
  <c r="U1" i="8" a="1"/>
  <c r="U1" i="8" s="1"/>
  <c r="AB3" i="8" a="1"/>
  <c r="AB3" i="8" s="1"/>
  <c r="AD1" i="8" a="1"/>
  <c r="AD1" i="8" s="1"/>
  <c r="AF1" i="8" a="1"/>
  <c r="AF1" i="8" s="1"/>
  <c r="AE3" i="8" a="1"/>
  <c r="AE3" i="8" s="1"/>
  <c r="X1" i="8" a="1"/>
  <c r="X1" i="8" s="1"/>
  <c r="AB1" i="8" a="1"/>
  <c r="AB1" i="8" s="1"/>
  <c r="AA1" i="8" a="1"/>
  <c r="AA1" i="8" s="1"/>
  <c r="AA3" i="8" a="1"/>
  <c r="AA3" i="8" s="1"/>
  <c r="E1" i="8" a="1"/>
  <c r="E1" i="8" s="1"/>
  <c r="V1" i="8" a="1"/>
  <c r="V1" i="8" s="1"/>
  <c r="C1" i="8"/>
  <c r="AF3" i="8" a="1"/>
  <c r="AF3" i="8" s="1"/>
  <c r="F3" i="8"/>
  <c r="X3" i="8" a="1"/>
  <c r="X3" i="8" s="1"/>
  <c r="W3" i="8" a="1"/>
  <c r="W3" i="8" s="1"/>
  <c r="Z1" i="8" a="1"/>
  <c r="Z1" i="8" s="1"/>
  <c r="V3" i="8" a="1"/>
  <c r="V3" i="8" s="1"/>
  <c r="W1" i="8" a="1"/>
  <c r="W1" i="8" s="1"/>
  <c r="M149" i="8"/>
  <c r="D14" i="8"/>
  <c r="F16" i="8"/>
  <c r="C14" i="8"/>
  <c r="F22" i="8" l="1"/>
  <c r="AP22" i="8" s="1" a="1"/>
  <c r="AP22" i="8" s="1"/>
  <c r="AP19" i="8" a="1"/>
  <c r="AP19" i="8" s="1"/>
  <c r="AO19" i="8" a="1"/>
  <c r="AO19" i="8" s="1"/>
  <c r="AR19" i="8" a="1"/>
  <c r="AR19" i="8" s="1"/>
  <c r="AQ19" i="8" a="1"/>
  <c r="AQ19" i="8" s="1"/>
  <c r="F153" i="8"/>
  <c r="Q149" i="8"/>
  <c r="S151" i="8"/>
  <c r="AQ22" i="8" l="1" a="1"/>
  <c r="AQ22" i="8" s="1"/>
  <c r="AR22" i="8" a="1"/>
  <c r="AR22" i="8" s="1"/>
  <c r="AO22" i="8" a="1"/>
  <c r="AO22" i="8" s="1"/>
  <c r="J152" i="8"/>
  <c r="M152" i="8"/>
  <c r="S152" i="8"/>
  <c r="I152" i="8"/>
  <c r="N80" i="8" l="1"/>
  <c r="R80" i="8" s="1"/>
  <c r="N29" i="8"/>
  <c r="R29" i="8" s="1"/>
  <c r="N140" i="8"/>
  <c r="N77" i="8"/>
  <c r="R77" i="8" s="1"/>
  <c r="N23" i="8"/>
  <c r="R23" i="8" s="1"/>
  <c r="N38" i="8"/>
  <c r="R38" i="8" s="1"/>
  <c r="N119" i="8"/>
  <c r="R119" i="8" s="1"/>
  <c r="N83" i="8"/>
  <c r="R83" i="8" s="1"/>
  <c r="N56" i="8"/>
  <c r="R56" i="8" s="1"/>
  <c r="N74" i="8"/>
  <c r="R74" i="8" s="1"/>
  <c r="N146" i="8"/>
  <c r="N98" i="8"/>
  <c r="R98" i="8" s="1"/>
  <c r="N107" i="8"/>
  <c r="R107" i="8" s="1"/>
  <c r="N92" i="8"/>
  <c r="R92" i="8" s="1"/>
  <c r="N101" i="8"/>
  <c r="R101" i="8" s="1"/>
  <c r="N89" i="8"/>
  <c r="R89" i="8" s="1"/>
  <c r="N44" i="8"/>
  <c r="R44" i="8" s="1"/>
  <c r="N143" i="8"/>
  <c r="N125" i="8"/>
  <c r="R125" i="8" s="1"/>
  <c r="N62" i="8"/>
  <c r="R62" i="8" s="1"/>
  <c r="N134" i="8"/>
  <c r="N47" i="8"/>
  <c r="R47" i="8" s="1"/>
  <c r="N68" i="8"/>
  <c r="R68" i="8" s="1"/>
  <c r="N131" i="8"/>
  <c r="R131" i="8" s="1"/>
  <c r="N113" i="8"/>
  <c r="R113" i="8" s="1"/>
  <c r="N59" i="8"/>
  <c r="R59" i="8" s="1"/>
  <c r="N26" i="8"/>
  <c r="R26" i="8" s="1"/>
  <c r="N128" i="8"/>
  <c r="R128" i="8" s="1"/>
  <c r="N122" i="8"/>
  <c r="R122" i="8" s="1"/>
  <c r="N50" i="8"/>
  <c r="R50" i="8" s="1"/>
  <c r="N32" i="8"/>
  <c r="R32" i="8" s="1"/>
  <c r="N41" i="8"/>
  <c r="R41" i="8" s="1"/>
  <c r="N53" i="8"/>
  <c r="R53" i="8" s="1"/>
  <c r="N95" i="8"/>
  <c r="R95" i="8" s="1"/>
  <c r="N35" i="8"/>
  <c r="R35" i="8" s="1"/>
  <c r="N104" i="8"/>
  <c r="R104" i="8" s="1"/>
  <c r="N116" i="8"/>
  <c r="R116" i="8" s="1"/>
  <c r="N65" i="8"/>
  <c r="R65" i="8" s="1"/>
  <c r="N137" i="8"/>
  <c r="N110" i="8"/>
  <c r="R110" i="8" s="1"/>
  <c r="N71" i="8"/>
  <c r="R71" i="8" s="1"/>
  <c r="N86" i="8"/>
  <c r="R86" i="8" s="1"/>
  <c r="H152" i="8" a="1"/>
  <c r="H152" i="8" s="1"/>
  <c r="J153" i="8" s="1"/>
  <c r="H153" i="8" a="1"/>
  <c r="H153" i="8" s="1"/>
  <c r="G152" i="8"/>
  <c r="Q152" i="8"/>
  <c r="P152" i="8"/>
  <c r="O152" i="8"/>
  <c r="S154" i="8"/>
  <c r="A152" i="8"/>
  <c r="N149" i="8"/>
  <c r="F156" i="8"/>
  <c r="F40" i="8" l="1"/>
  <c r="AP40" i="8" s="1" a="1"/>
  <c r="AP40" i="8" s="1"/>
  <c r="F43" i="8"/>
  <c r="F118" i="8"/>
  <c r="AQ118" i="8" s="1" a="1"/>
  <c r="AQ118" i="8" s="1"/>
  <c r="F25" i="8"/>
  <c r="F130" i="8"/>
  <c r="AP130" i="8" s="1" a="1"/>
  <c r="AP130" i="8" s="1"/>
  <c r="F64" i="8"/>
  <c r="AR64" i="8" s="1" a="1"/>
  <c r="AR64" i="8" s="1"/>
  <c r="F100" i="8"/>
  <c r="AO100" i="8" s="1" a="1"/>
  <c r="AO100" i="8" s="1"/>
  <c r="F79" i="8"/>
  <c r="AR79" i="8" s="1" a="1"/>
  <c r="AR79" i="8" s="1"/>
  <c r="F91" i="8"/>
  <c r="AR91" i="8" s="1" a="1"/>
  <c r="AR91" i="8" s="1"/>
  <c r="F37" i="8"/>
  <c r="AO37" i="8" s="1" a="1"/>
  <c r="AO37" i="8" s="1"/>
  <c r="F28" i="8"/>
  <c r="AO28" i="8" s="1" a="1"/>
  <c r="AO28" i="8" s="1"/>
  <c r="F133" i="8"/>
  <c r="AQ133" i="8" s="1" a="1"/>
  <c r="AQ133" i="8" s="1"/>
  <c r="F106" i="8"/>
  <c r="F88" i="8"/>
  <c r="AP88" i="8" s="1" a="1"/>
  <c r="AP88" i="8" s="1"/>
  <c r="F61" i="8"/>
  <c r="F76" i="8"/>
  <c r="AP76" i="8" s="1" a="1"/>
  <c r="AP76" i="8" s="1"/>
  <c r="F55" i="8"/>
  <c r="AP55" i="8" s="1" a="1"/>
  <c r="AP55" i="8" s="1"/>
  <c r="F115" i="8"/>
  <c r="AO115" i="8" s="1" a="1"/>
  <c r="AO115" i="8" s="1"/>
  <c r="F46" i="8"/>
  <c r="AP46" i="8" s="1" a="1"/>
  <c r="AP46" i="8" s="1"/>
  <c r="F58" i="8"/>
  <c r="AQ58" i="8" s="1" a="1"/>
  <c r="AQ58" i="8" s="1"/>
  <c r="F49" i="8"/>
  <c r="F94" i="8"/>
  <c r="F124" i="8"/>
  <c r="AR124" i="8" s="1" a="1"/>
  <c r="AR124" i="8" s="1"/>
  <c r="F109" i="8"/>
  <c r="F73" i="8"/>
  <c r="AP73" i="8" s="1" a="1"/>
  <c r="AP73" i="8" s="1"/>
  <c r="F97" i="8"/>
  <c r="AQ97" i="8" s="1" a="1"/>
  <c r="AQ97" i="8" s="1"/>
  <c r="F127" i="8"/>
  <c r="AO127" i="8" s="1" a="1"/>
  <c r="AO127" i="8" s="1"/>
  <c r="F112" i="8"/>
  <c r="AP112" i="8" s="1" a="1"/>
  <c r="AP112" i="8" s="1"/>
  <c r="F31" i="8"/>
  <c r="F82" i="8"/>
  <c r="F52" i="8"/>
  <c r="AP52" i="8" s="1" a="1"/>
  <c r="AP52" i="8" s="1"/>
  <c r="F67" i="8"/>
  <c r="F85" i="8"/>
  <c r="AR85" i="8" s="1" a="1"/>
  <c r="AR85" i="8" s="1"/>
  <c r="F34" i="8"/>
  <c r="AP34" i="8" s="1" a="1"/>
  <c r="AP34" i="8" s="1"/>
  <c r="F70" i="8"/>
  <c r="AP70" i="8" s="1" a="1"/>
  <c r="AP70" i="8" s="1"/>
  <c r="F103" i="8"/>
  <c r="AQ103" i="8" s="1" a="1"/>
  <c r="AQ103" i="8" s="1"/>
  <c r="F121" i="8"/>
  <c r="M155" i="8"/>
  <c r="S155" i="8"/>
  <c r="G155" i="8" s="1"/>
  <c r="I155" i="8"/>
  <c r="J155" i="8"/>
  <c r="AO40" i="8" l="1" a="1"/>
  <c r="AO40" i="8" s="1"/>
  <c r="AO118" i="8" a="1"/>
  <c r="AO118" i="8" s="1"/>
  <c r="AR133" i="8" a="1"/>
  <c r="AR133" i="8" s="1"/>
  <c r="AP100" i="8" a="1"/>
  <c r="AP100" i="8" s="1"/>
  <c r="AO133" i="8" a="1"/>
  <c r="AO133" i="8" s="1"/>
  <c r="AO46" i="8" a="1"/>
  <c r="AO46" i="8" s="1"/>
  <c r="AP37" i="8" a="1"/>
  <c r="AP37" i="8" s="1"/>
  <c r="AP64" i="8" a="1"/>
  <c r="AP64" i="8" s="1"/>
  <c r="AP133" i="8" a="1"/>
  <c r="AP133" i="8" s="1"/>
  <c r="AQ40" i="8" a="1"/>
  <c r="AQ40" i="8" s="1"/>
  <c r="AR100" i="8" a="1"/>
  <c r="AR100" i="8" s="1"/>
  <c r="AO58" i="8" a="1"/>
  <c r="AO58" i="8" s="1"/>
  <c r="AR58" i="8" a="1"/>
  <c r="AR58" i="8" s="1"/>
  <c r="AO88" i="8" a="1"/>
  <c r="AO88" i="8" s="1"/>
  <c r="AP79" i="8" a="1"/>
  <c r="AP79" i="8" s="1"/>
  <c r="AQ88" i="8" a="1"/>
  <c r="AQ88" i="8" s="1"/>
  <c r="AR88" i="8" a="1"/>
  <c r="AR88" i="8" s="1"/>
  <c r="AP58" i="8" a="1"/>
  <c r="AP58" i="8" s="1"/>
  <c r="AO55" i="8" a="1"/>
  <c r="AO55" i="8" s="1"/>
  <c r="AQ37" i="8" a="1"/>
  <c r="AQ37" i="8" s="1"/>
  <c r="AQ55" i="8" a="1"/>
  <c r="AQ55" i="8" s="1"/>
  <c r="AO130" i="8" a="1"/>
  <c r="AO130" i="8" s="1"/>
  <c r="AR115" i="8" a="1"/>
  <c r="AR115" i="8" s="1"/>
  <c r="AQ130" i="8" a="1"/>
  <c r="AQ130" i="8" s="1"/>
  <c r="AQ115" i="8" a="1"/>
  <c r="AQ115" i="8" s="1"/>
  <c r="AR130" i="8" a="1"/>
  <c r="AR130" i="8" s="1"/>
  <c r="AP115" i="8" a="1"/>
  <c r="AP115" i="8" s="1"/>
  <c r="AR46" i="8" a="1"/>
  <c r="AR46" i="8" s="1"/>
  <c r="AR37" i="8" a="1"/>
  <c r="AR37" i="8" s="1"/>
  <c r="AQ124" i="8" a="1"/>
  <c r="AQ124" i="8" s="1"/>
  <c r="AQ127" i="8" a="1"/>
  <c r="AQ127" i="8" s="1"/>
  <c r="AQ28" i="8" a="1"/>
  <c r="AQ28" i="8" s="1"/>
  <c r="AQ91" i="8" a="1"/>
  <c r="AQ91" i="8" s="1"/>
  <c r="AQ64" i="8" a="1"/>
  <c r="AQ64" i="8" s="1"/>
  <c r="AQ85" i="8" a="1"/>
  <c r="AQ85" i="8" s="1"/>
  <c r="AR28" i="8" a="1"/>
  <c r="AR28" i="8" s="1"/>
  <c r="AP91" i="8" a="1"/>
  <c r="AP91" i="8" s="1"/>
  <c r="AO64" i="8" a="1"/>
  <c r="AO64" i="8" s="1"/>
  <c r="AO112" i="8" a="1"/>
  <c r="AO112" i="8" s="1"/>
  <c r="AR73" i="8" a="1"/>
  <c r="AR73" i="8" s="1"/>
  <c r="AP85" i="8" a="1"/>
  <c r="AP85" i="8" s="1"/>
  <c r="AR76" i="8" a="1"/>
  <c r="AR76" i="8" s="1"/>
  <c r="AP97" i="8" a="1"/>
  <c r="AP97" i="8" s="1"/>
  <c r="AR97" i="8" a="1"/>
  <c r="AR97" i="8" s="1"/>
  <c r="AR70" i="8" a="1"/>
  <c r="AR70" i="8" s="1"/>
  <c r="AQ34" i="8" a="1"/>
  <c r="AQ34" i="8" s="1"/>
  <c r="AO34" i="8" a="1"/>
  <c r="AO34" i="8" s="1"/>
  <c r="AQ112" i="8" a="1"/>
  <c r="AQ112" i="8" s="1"/>
  <c r="AQ46" i="8" a="1"/>
  <c r="AQ46" i="8" s="1"/>
  <c r="AR55" i="8" a="1"/>
  <c r="AR55" i="8" s="1"/>
  <c r="AQ73" i="8" a="1"/>
  <c r="AQ73" i="8" s="1"/>
  <c r="AO85" i="8" a="1"/>
  <c r="AO85" i="8" s="1"/>
  <c r="AQ76" i="8" a="1"/>
  <c r="AQ76" i="8" s="1"/>
  <c r="AQ79" i="8" a="1"/>
  <c r="AQ79" i="8" s="1"/>
  <c r="AQ100" i="8" a="1"/>
  <c r="AQ100" i="8" s="1"/>
  <c r="AO124" i="8" a="1"/>
  <c r="AO124" i="8" s="1"/>
  <c r="AR118" i="8" a="1"/>
  <c r="AR118" i="8" s="1"/>
  <c r="AR40" i="8" a="1"/>
  <c r="AR40" i="8" s="1"/>
  <c r="AP103" i="8" a="1"/>
  <c r="AP103" i="8" s="1"/>
  <c r="AQ70" i="8" a="1"/>
  <c r="AQ70" i="8" s="1"/>
  <c r="AO73" i="8" a="1"/>
  <c r="AO73" i="8" s="1"/>
  <c r="AO76" i="8" a="1"/>
  <c r="AO76" i="8" s="1"/>
  <c r="AO97" i="8" a="1"/>
  <c r="AO97" i="8" s="1"/>
  <c r="AO91" i="8" a="1"/>
  <c r="AO91" i="8" s="1"/>
  <c r="AO70" i="8" a="1"/>
  <c r="AO70" i="8" s="1"/>
  <c r="AR34" i="8" a="1"/>
  <c r="AR34" i="8" s="1"/>
  <c r="AP127" i="8" a="1"/>
  <c r="AP127" i="8" s="1"/>
  <c r="AP28" i="8" a="1"/>
  <c r="AP28" i="8" s="1"/>
  <c r="AO79" i="8" a="1"/>
  <c r="AO79" i="8" s="1"/>
  <c r="AP124" i="8" a="1"/>
  <c r="AP124" i="8" s="1"/>
  <c r="AP118" i="8" a="1"/>
  <c r="AP118" i="8" s="1"/>
  <c r="AR103" i="8" a="1"/>
  <c r="AR103" i="8" s="1"/>
  <c r="AQ52" i="8" a="1"/>
  <c r="AQ52" i="8" s="1"/>
  <c r="AR112" i="8" a="1"/>
  <c r="AR112" i="8" s="1"/>
  <c r="AR127" i="8" a="1"/>
  <c r="AR127" i="8" s="1"/>
  <c r="AO52" i="8" a="1"/>
  <c r="AO52" i="8" s="1"/>
  <c r="AO103" i="8" a="1"/>
  <c r="AO103" i="8" s="1"/>
  <c r="AR52" i="8" a="1"/>
  <c r="AR52" i="8" s="1"/>
  <c r="P155" i="8"/>
  <c r="H156" i="8" a="1"/>
  <c r="H156" i="8" s="1"/>
  <c r="H155" i="8" a="1"/>
  <c r="H155" i="8" s="1"/>
  <c r="J156" i="8" s="1"/>
  <c r="F159" i="8"/>
  <c r="S157" i="8"/>
  <c r="A155" i="8"/>
  <c r="N152" i="8"/>
  <c r="R152" i="8" s="1"/>
  <c r="Q155" i="8"/>
  <c r="O155" i="8"/>
  <c r="AR154" i="8" l="1" a="1"/>
  <c r="AR154" i="8" s="1"/>
  <c r="AR152" i="8" s="1" a="1"/>
  <c r="AR152" i="8" s="1"/>
  <c r="AN154" i="8" a="1"/>
  <c r="AN154" i="8" s="1"/>
  <c r="AN152" i="8" s="1" a="1"/>
  <c r="AN152" i="8" s="1"/>
  <c r="AJ154" i="8" a="1"/>
  <c r="AJ154" i="8" s="1"/>
  <c r="AJ152" i="8" s="1" a="1"/>
  <c r="AJ152" i="8" s="1"/>
  <c r="AQ154" i="8" a="1"/>
  <c r="AQ154" i="8" s="1"/>
  <c r="AQ152" i="8" s="1" a="1"/>
  <c r="AQ152" i="8" s="1"/>
  <c r="AM154" i="8" a="1"/>
  <c r="AM154" i="8" s="1"/>
  <c r="AM152" i="8" s="1" a="1"/>
  <c r="AM152" i="8" s="1"/>
  <c r="AI154" i="8" a="1"/>
  <c r="AI154" i="8" s="1"/>
  <c r="AI152" i="8" s="1" a="1"/>
  <c r="AI152" i="8" s="1"/>
  <c r="AP154" i="8" a="1"/>
  <c r="AP154" i="8" s="1"/>
  <c r="AP152" i="8" s="1" a="1"/>
  <c r="AP152" i="8" s="1"/>
  <c r="AO154" i="8" a="1"/>
  <c r="AO154" i="8" s="1"/>
  <c r="AO152" i="8" s="1" a="1"/>
  <c r="AO152" i="8" s="1"/>
  <c r="AK154" i="8" a="1"/>
  <c r="AK154" i="8" s="1"/>
  <c r="AK152" i="8" s="1" a="1"/>
  <c r="AK152" i="8" s="1"/>
  <c r="AH154" i="8" a="1"/>
  <c r="AH154" i="8" s="1"/>
  <c r="AH152" i="8" s="1" a="1"/>
  <c r="AH152" i="8" s="1"/>
  <c r="AL154" i="8" a="1"/>
  <c r="AL154" i="8" s="1"/>
  <c r="AL152" i="8" s="1" a="1"/>
  <c r="AL152" i="8" s="1"/>
  <c r="AG154" i="8" a="1"/>
  <c r="AG154" i="8" s="1"/>
  <c r="AG152" i="8" s="1" a="1"/>
  <c r="AG152" i="8" s="1"/>
  <c r="W154" i="8" a="1"/>
  <c r="W154" i="8" s="1"/>
  <c r="W152" i="8" s="1" a="1"/>
  <c r="W152" i="8" s="1"/>
  <c r="C152" i="8"/>
  <c r="U154" i="8" a="1"/>
  <c r="U154" i="8" s="1"/>
  <c r="U152" i="8" s="1" a="1"/>
  <c r="U152" i="8" s="1"/>
  <c r="Z154" i="8" a="1"/>
  <c r="Z154" i="8" s="1"/>
  <c r="Z152" i="8" s="1" a="1"/>
  <c r="Z152" i="8" s="1"/>
  <c r="Y154" i="8" a="1"/>
  <c r="Y154" i="8" s="1"/>
  <c r="Y152" i="8" s="1" a="1"/>
  <c r="Y152" i="8" s="1"/>
  <c r="AB154" i="8" a="1"/>
  <c r="AB154" i="8" s="1"/>
  <c r="AB152" i="8" s="1" a="1"/>
  <c r="AB152" i="8" s="1"/>
  <c r="V154" i="8" a="1"/>
  <c r="V154" i="8" s="1"/>
  <c r="V152" i="8" s="1" a="1"/>
  <c r="V152" i="8" s="1"/>
  <c r="E154" i="8" a="1"/>
  <c r="E154" i="8" s="1"/>
  <c r="E152" i="8" s="1" a="1"/>
  <c r="E152" i="8" s="1"/>
  <c r="F154" i="8"/>
  <c r="D152" i="8"/>
  <c r="AF154" i="8" a="1"/>
  <c r="AF154" i="8" s="1"/>
  <c r="AF152" i="8" s="1" a="1"/>
  <c r="AF152" i="8" s="1"/>
  <c r="AE154" i="8" a="1"/>
  <c r="AE154" i="8" s="1"/>
  <c r="AE152" i="8" s="1" a="1"/>
  <c r="AE152" i="8" s="1"/>
  <c r="X154" i="8" a="1"/>
  <c r="X154" i="8" s="1"/>
  <c r="X152" i="8" s="1" a="1"/>
  <c r="X152" i="8" s="1"/>
  <c r="AD154" i="8" a="1"/>
  <c r="AD154" i="8" s="1"/>
  <c r="AD152" i="8" s="1" a="1"/>
  <c r="AD152" i="8" s="1"/>
  <c r="AA154" i="8" a="1"/>
  <c r="AA154" i="8" s="1"/>
  <c r="AA152" i="8" s="1" a="1"/>
  <c r="AA152" i="8" s="1"/>
  <c r="AC154" i="8" a="1"/>
  <c r="AC154" i="8" s="1"/>
  <c r="AC152" i="8" s="1" a="1"/>
  <c r="AC152" i="8" s="1"/>
  <c r="J158" i="8"/>
  <c r="S158" i="8"/>
  <c r="G158" i="8" s="1"/>
  <c r="M158" i="8"/>
  <c r="I158" i="8"/>
  <c r="Q158" i="8" l="1"/>
  <c r="P158" i="8"/>
  <c r="F162" i="8"/>
  <c r="A158" i="8"/>
  <c r="S160" i="8"/>
  <c r="N155" i="8"/>
  <c r="R155" i="8" s="1"/>
  <c r="H159" i="8" a="1"/>
  <c r="H159" i="8" s="1"/>
  <c r="H158" i="8" a="1"/>
  <c r="H158" i="8" s="1"/>
  <c r="J159" i="8" s="1"/>
  <c r="O158" i="8"/>
  <c r="Q137" i="8"/>
  <c r="AR157" i="8" l="1" a="1"/>
  <c r="AR157" i="8" s="1"/>
  <c r="AR155" i="8" s="1" a="1"/>
  <c r="AR155" i="8" s="1"/>
  <c r="AN157" i="8" a="1"/>
  <c r="AN157" i="8" s="1"/>
  <c r="AN155" i="8" s="1" a="1"/>
  <c r="AN155" i="8" s="1"/>
  <c r="AJ157" i="8" a="1"/>
  <c r="AJ157" i="8" s="1"/>
  <c r="AJ155" i="8" s="1" a="1"/>
  <c r="AJ155" i="8" s="1"/>
  <c r="AQ157" i="8" a="1"/>
  <c r="AQ157" i="8" s="1"/>
  <c r="AQ155" i="8" s="1" a="1"/>
  <c r="AQ155" i="8" s="1"/>
  <c r="AM157" i="8" a="1"/>
  <c r="AM157" i="8" s="1"/>
  <c r="AM155" i="8" s="1" a="1"/>
  <c r="AM155" i="8" s="1"/>
  <c r="AI157" i="8" a="1"/>
  <c r="AI157" i="8" s="1"/>
  <c r="AI155" i="8" s="1" a="1"/>
  <c r="AI155" i="8" s="1"/>
  <c r="AH157" i="8" a="1"/>
  <c r="AH157" i="8" s="1"/>
  <c r="AH155" i="8" s="1" a="1"/>
  <c r="AH155" i="8" s="1"/>
  <c r="AG157" i="8" a="1"/>
  <c r="AG157" i="8" s="1"/>
  <c r="AG155" i="8" s="1" a="1"/>
  <c r="AG155" i="8" s="1"/>
  <c r="AP157" i="8" a="1"/>
  <c r="AP157" i="8" s="1"/>
  <c r="AP155" i="8" s="1" a="1"/>
  <c r="AP155" i="8" s="1"/>
  <c r="AL157" i="8" a="1"/>
  <c r="AL157" i="8" s="1"/>
  <c r="AL155" i="8" s="1" a="1"/>
  <c r="AL155" i="8" s="1"/>
  <c r="AK157" i="8" a="1"/>
  <c r="AK157" i="8" s="1"/>
  <c r="AK155" i="8" s="1" a="1"/>
  <c r="AK155" i="8" s="1"/>
  <c r="AO157" i="8" a="1"/>
  <c r="AO157" i="8" s="1"/>
  <c r="AO155" i="8" s="1" a="1"/>
  <c r="AO155" i="8" s="1"/>
  <c r="F157" i="8"/>
  <c r="X157" i="8" a="1"/>
  <c r="X157" i="8" s="1"/>
  <c r="X155" i="8" s="1" a="1"/>
  <c r="X155" i="8" s="1"/>
  <c r="AC157" i="8" a="1"/>
  <c r="AC157" i="8" s="1"/>
  <c r="AC155" i="8" s="1" a="1"/>
  <c r="AC155" i="8" s="1"/>
  <c r="AF157" i="8" a="1"/>
  <c r="AF157" i="8" s="1"/>
  <c r="AF155" i="8" s="1" a="1"/>
  <c r="AF155" i="8" s="1"/>
  <c r="Y157" i="8" a="1"/>
  <c r="Y157" i="8" s="1"/>
  <c r="Y155" i="8" s="1" a="1"/>
  <c r="Y155" i="8" s="1"/>
  <c r="E157" i="8" a="1"/>
  <c r="E157" i="8" s="1"/>
  <c r="E155" i="8" s="1" a="1"/>
  <c r="E155" i="8" s="1"/>
  <c r="Z157" i="8" a="1"/>
  <c r="Z157" i="8" s="1"/>
  <c r="Z155" i="8" s="1" a="1"/>
  <c r="Z155" i="8" s="1"/>
  <c r="C155" i="8"/>
  <c r="AD157" i="8" a="1"/>
  <c r="AD157" i="8" s="1"/>
  <c r="AD155" i="8" s="1" a="1"/>
  <c r="AD155" i="8" s="1"/>
  <c r="V157" i="8" a="1"/>
  <c r="V157" i="8" s="1"/>
  <c r="V155" i="8" s="1" a="1"/>
  <c r="V155" i="8" s="1"/>
  <c r="W157" i="8" a="1"/>
  <c r="W157" i="8" s="1"/>
  <c r="W155" i="8" s="1" a="1"/>
  <c r="W155" i="8" s="1"/>
  <c r="AE157" i="8" a="1"/>
  <c r="AE157" i="8" s="1"/>
  <c r="AE155" i="8" s="1" a="1"/>
  <c r="AE155" i="8" s="1"/>
  <c r="D155" i="8"/>
  <c r="AA157" i="8" a="1"/>
  <c r="AA157" i="8" s="1"/>
  <c r="AA155" i="8" s="1" a="1"/>
  <c r="AA155" i="8" s="1"/>
  <c r="AB157" i="8" a="1"/>
  <c r="AB157" i="8" s="1"/>
  <c r="AB155" i="8" s="1" a="1"/>
  <c r="AB155" i="8" s="1"/>
  <c r="U157" i="8" a="1"/>
  <c r="U157" i="8" s="1"/>
  <c r="U155" i="8" s="1" a="1"/>
  <c r="U155" i="8" s="1"/>
  <c r="J161" i="8"/>
  <c r="I161" i="8"/>
  <c r="S161" i="8"/>
  <c r="M161" i="8"/>
  <c r="P161" i="8" l="1"/>
  <c r="O134" i="8"/>
  <c r="O137" i="8"/>
  <c r="R137" i="8" s="1"/>
  <c r="P146" i="8"/>
  <c r="O161" i="8"/>
  <c r="O149" i="8"/>
  <c r="Q140" i="8"/>
  <c r="P149" i="8"/>
  <c r="O146" i="8"/>
  <c r="N161" i="8"/>
  <c r="R161" i="8" s="1"/>
  <c r="Q161" i="8"/>
  <c r="H162" i="8" a="1"/>
  <c r="H162" i="8" s="1"/>
  <c r="H161" i="8" a="1"/>
  <c r="H161" i="8" s="1"/>
  <c r="J162" i="8" s="1"/>
  <c r="A161" i="8"/>
  <c r="S163" i="8"/>
  <c r="O140" i="8"/>
  <c r="Q134" i="8"/>
  <c r="N158" i="8"/>
  <c r="R158" i="8" s="1"/>
  <c r="O143" i="8"/>
  <c r="P143" i="8"/>
  <c r="G161" i="8"/>
  <c r="R134" i="8" l="1"/>
  <c r="F136" i="8" s="1"/>
  <c r="AO163" i="8" a="1"/>
  <c r="AO163" i="8" s="1"/>
  <c r="AO161" i="8" s="1" a="1"/>
  <c r="AO161" i="8" s="1"/>
  <c r="AK163" i="8" a="1"/>
  <c r="AK163" i="8" s="1"/>
  <c r="AK161" i="8" s="1" a="1"/>
  <c r="AK161" i="8" s="1"/>
  <c r="AG163" i="8" a="1"/>
  <c r="AG163" i="8" s="1"/>
  <c r="AG161" i="8" s="1" a="1"/>
  <c r="AG161" i="8" s="1"/>
  <c r="AR163" i="8" a="1"/>
  <c r="AR163" i="8" s="1"/>
  <c r="AR161" i="8" s="1" a="1"/>
  <c r="AR161" i="8" s="1"/>
  <c r="AN163" i="8" a="1"/>
  <c r="AN163" i="8" s="1"/>
  <c r="AN161" i="8" s="1" a="1"/>
  <c r="AN161" i="8" s="1"/>
  <c r="AJ163" i="8" a="1"/>
  <c r="AJ163" i="8" s="1"/>
  <c r="AJ161" i="8" s="1" a="1"/>
  <c r="AJ161" i="8" s="1"/>
  <c r="AQ163" i="8" a="1"/>
  <c r="AQ163" i="8" s="1"/>
  <c r="AQ161" i="8" s="1" a="1"/>
  <c r="AQ161" i="8" s="1"/>
  <c r="AM163" i="8" a="1"/>
  <c r="AM163" i="8" s="1"/>
  <c r="AM161" i="8" s="1" a="1"/>
  <c r="AM161" i="8" s="1"/>
  <c r="AI163" i="8" a="1"/>
  <c r="AI163" i="8" s="1"/>
  <c r="AI161" i="8" s="1" a="1"/>
  <c r="AI161" i="8" s="1"/>
  <c r="AP163" i="8" a="1"/>
  <c r="AP163" i="8" s="1"/>
  <c r="AP161" i="8" s="1" a="1"/>
  <c r="AP161" i="8" s="1"/>
  <c r="AL163" i="8" a="1"/>
  <c r="AL163" i="8" s="1"/>
  <c r="AL161" i="8" s="1" a="1"/>
  <c r="AL161" i="8" s="1"/>
  <c r="AH163" i="8" a="1"/>
  <c r="AH163" i="8" s="1"/>
  <c r="AH161" i="8" s="1" a="1"/>
  <c r="AH161" i="8" s="1"/>
  <c r="AO160" i="8" a="1"/>
  <c r="AO160" i="8" s="1"/>
  <c r="AO158" i="8" s="1" a="1"/>
  <c r="AO158" i="8" s="1"/>
  <c r="AK160" i="8" a="1"/>
  <c r="AK160" i="8" s="1"/>
  <c r="AK158" i="8" s="1" a="1"/>
  <c r="AK158" i="8" s="1"/>
  <c r="AG160" i="8" a="1"/>
  <c r="AG160" i="8" s="1"/>
  <c r="AG158" i="8" s="1" a="1"/>
  <c r="AG158" i="8" s="1"/>
  <c r="AR160" i="8" a="1"/>
  <c r="AR160" i="8" s="1"/>
  <c r="AR158" i="8" s="1" a="1"/>
  <c r="AR158" i="8" s="1"/>
  <c r="AN160" i="8" a="1"/>
  <c r="AN160" i="8" s="1"/>
  <c r="AN158" i="8" s="1" a="1"/>
  <c r="AN158" i="8" s="1"/>
  <c r="AJ160" i="8" a="1"/>
  <c r="AJ160" i="8" s="1"/>
  <c r="AJ158" i="8" s="1" a="1"/>
  <c r="AJ158" i="8" s="1"/>
  <c r="AQ160" i="8" a="1"/>
  <c r="AQ160" i="8" s="1"/>
  <c r="AQ158" i="8" s="1" a="1"/>
  <c r="AQ158" i="8" s="1"/>
  <c r="AM160" i="8" a="1"/>
  <c r="AM160" i="8" s="1"/>
  <c r="AM158" i="8" s="1" a="1"/>
  <c r="AM158" i="8" s="1"/>
  <c r="AI160" i="8" a="1"/>
  <c r="AI160" i="8" s="1"/>
  <c r="AI158" i="8" s="1" a="1"/>
  <c r="AI158" i="8" s="1"/>
  <c r="AH160" i="8" a="1"/>
  <c r="AH160" i="8" s="1"/>
  <c r="AH158" i="8" s="1" a="1"/>
  <c r="AH158" i="8" s="1"/>
  <c r="AP160" i="8" a="1"/>
  <c r="AP160" i="8" s="1"/>
  <c r="AP158" i="8" s="1" a="1"/>
  <c r="AP158" i="8" s="1"/>
  <c r="AL160" i="8" a="1"/>
  <c r="AL160" i="8" s="1"/>
  <c r="AL158" i="8" s="1" a="1"/>
  <c r="AL158" i="8" s="1"/>
  <c r="R146" i="8"/>
  <c r="F139" i="8"/>
  <c r="AR139" i="8" s="1" a="1"/>
  <c r="AR139" i="8" s="1"/>
  <c r="AA163" i="8" a="1"/>
  <c r="AA163" i="8" s="1"/>
  <c r="AA161" i="8" s="1" a="1"/>
  <c r="AA161" i="8" s="1"/>
  <c r="AB163" i="8" a="1"/>
  <c r="AB163" i="8" s="1"/>
  <c r="AB161" i="8" s="1" a="1"/>
  <c r="AB161" i="8" s="1"/>
  <c r="W163" i="8" a="1"/>
  <c r="W163" i="8" s="1"/>
  <c r="W161" i="8" s="1" a="1"/>
  <c r="W161" i="8" s="1"/>
  <c r="X163" i="8" a="1"/>
  <c r="X163" i="8" s="1"/>
  <c r="X161" i="8" s="1" a="1"/>
  <c r="X161" i="8" s="1"/>
  <c r="R140" i="8"/>
  <c r="C161" i="8"/>
  <c r="Y163" i="8" a="1"/>
  <c r="Y163" i="8" s="1"/>
  <c r="Y161" i="8" s="1" a="1"/>
  <c r="Y161" i="8" s="1"/>
  <c r="U163" i="8" a="1"/>
  <c r="U163" i="8" s="1"/>
  <c r="U161" i="8" s="1" a="1"/>
  <c r="U161" i="8" s="1"/>
  <c r="AC163" i="8" a="1"/>
  <c r="AC163" i="8" s="1"/>
  <c r="AC161" i="8" s="1" a="1"/>
  <c r="AC161" i="8" s="1"/>
  <c r="V163" i="8" a="1"/>
  <c r="V163" i="8" s="1"/>
  <c r="V161" i="8" s="1" a="1"/>
  <c r="V161" i="8" s="1"/>
  <c r="F163" i="8"/>
  <c r="AD163" i="8" a="1"/>
  <c r="AD163" i="8" s="1"/>
  <c r="AD161" i="8" s="1" a="1"/>
  <c r="AD161" i="8" s="1"/>
  <c r="R143" i="8"/>
  <c r="Z163" i="8" a="1"/>
  <c r="Z163" i="8" s="1"/>
  <c r="Z161" i="8" s="1" a="1"/>
  <c r="Z161" i="8" s="1"/>
  <c r="D161" i="8"/>
  <c r="AF163" i="8" a="1"/>
  <c r="AF163" i="8" s="1"/>
  <c r="AF161" i="8" s="1" a="1"/>
  <c r="AF161" i="8" s="1"/>
  <c r="AE163" i="8" a="1"/>
  <c r="AE163" i="8" s="1"/>
  <c r="AE161" i="8" s="1" a="1"/>
  <c r="AE161" i="8" s="1"/>
  <c r="E163" i="8" a="1"/>
  <c r="E163" i="8" s="1"/>
  <c r="E161" i="8" s="1" a="1"/>
  <c r="E161" i="8" s="1"/>
  <c r="R149" i="8"/>
  <c r="AF160" i="8" a="1"/>
  <c r="AF160" i="8" s="1"/>
  <c r="AF158" i="8" s="1" a="1"/>
  <c r="AF158" i="8" s="1"/>
  <c r="D158" i="8"/>
  <c r="W160" i="8" a="1"/>
  <c r="W160" i="8" s="1"/>
  <c r="W158" i="8" s="1" a="1"/>
  <c r="W158" i="8" s="1"/>
  <c r="V160" i="8" a="1"/>
  <c r="V160" i="8" s="1"/>
  <c r="V158" i="8" s="1" a="1"/>
  <c r="V158" i="8" s="1"/>
  <c r="Z160" i="8" a="1"/>
  <c r="Z160" i="8" s="1"/>
  <c r="Z158" i="8" s="1" a="1"/>
  <c r="Z158" i="8" s="1"/>
  <c r="AB160" i="8" a="1"/>
  <c r="AB160" i="8" s="1"/>
  <c r="AB158" i="8" s="1" a="1"/>
  <c r="AB158" i="8" s="1"/>
  <c r="F160" i="8"/>
  <c r="AC160" i="8" a="1"/>
  <c r="AC160" i="8" s="1"/>
  <c r="AC158" i="8" s="1" a="1"/>
  <c r="AC158" i="8" s="1"/>
  <c r="Y160" i="8" a="1"/>
  <c r="Y160" i="8" s="1"/>
  <c r="Y158" i="8" s="1" a="1"/>
  <c r="Y158" i="8" s="1"/>
  <c r="AA160" i="8" a="1"/>
  <c r="AA160" i="8" s="1"/>
  <c r="AA158" i="8" s="1" a="1"/>
  <c r="AA158" i="8" s="1"/>
  <c r="AE160" i="8" a="1"/>
  <c r="AE160" i="8" s="1"/>
  <c r="AE158" i="8" s="1" a="1"/>
  <c r="AE158" i="8" s="1"/>
  <c r="X160" i="8" a="1"/>
  <c r="X160" i="8" s="1"/>
  <c r="X158" i="8" s="1" a="1"/>
  <c r="X158" i="8" s="1"/>
  <c r="AD160" i="8" a="1"/>
  <c r="AD160" i="8" s="1"/>
  <c r="AD158" i="8" s="1" a="1"/>
  <c r="AD158" i="8" s="1"/>
  <c r="U160" i="8" a="1"/>
  <c r="U160" i="8" s="1"/>
  <c r="U158" i="8" s="1" a="1"/>
  <c r="U158" i="8" s="1"/>
  <c r="C158" i="8"/>
  <c r="E160" i="8" a="1"/>
  <c r="E160" i="8" s="1"/>
  <c r="E158" i="8" s="1" a="1"/>
  <c r="E158" i="8" s="1"/>
  <c r="AP139" i="8" l="1" a="1"/>
  <c r="AP139" i="8" s="1"/>
  <c r="AO139" i="8" a="1"/>
  <c r="AO139" i="8" s="1"/>
  <c r="AQ139" i="8" a="1"/>
  <c r="AQ139" i="8" s="1"/>
  <c r="F145" i="8"/>
  <c r="AR145" i="8" s="1" a="1"/>
  <c r="AR145" i="8" s="1"/>
  <c r="F142" i="8"/>
  <c r="AR142" i="8" s="1" a="1"/>
  <c r="AR142" i="8" s="1"/>
  <c r="F148" i="8"/>
  <c r="F151" i="8"/>
  <c r="AQ151" i="8" s="1" a="1"/>
  <c r="AQ151" i="8" s="1"/>
  <c r="AO145" i="8" l="1" a="1"/>
  <c r="AO145" i="8" s="1"/>
  <c r="AO142" i="8" a="1"/>
  <c r="AO142" i="8" s="1"/>
  <c r="AQ142" i="8" a="1"/>
  <c r="AQ142" i="8" s="1"/>
  <c r="AP145" i="8" a="1"/>
  <c r="AP145" i="8" s="1"/>
  <c r="AQ145" i="8" a="1"/>
  <c r="AQ145" i="8" s="1"/>
  <c r="AP142" i="8" a="1"/>
  <c r="AP142" i="8" s="1"/>
  <c r="AO151" i="8" a="1"/>
  <c r="AO151" i="8" s="1"/>
  <c r="AR151" i="8" a="1"/>
  <c r="AR151" i="8" s="1"/>
  <c r="AP151" i="8" a="1"/>
  <c r="AP151" i="8" s="1"/>
  <c r="F236" i="12" l="1" a="1"/>
  <c r="F236" i="12" s="1"/>
  <c r="F232" i="12" a="1"/>
  <c r="F232" i="12" s="1"/>
  <c r="F24" i="12" a="1"/>
  <c r="F24" i="12" s="1"/>
  <c r="F20" i="12" a="1"/>
  <c r="F20" i="12" s="1"/>
  <c r="F21" i="12" a="1"/>
  <c r="F21" i="12" s="1"/>
  <c r="F18" i="12" a="1"/>
  <c r="F18" i="12" s="1"/>
  <c r="F112" i="12" a="1"/>
  <c r="F112" i="12" s="1"/>
  <c r="F116" i="12" a="1"/>
  <c r="F116" i="12" s="1"/>
  <c r="F119" i="12" a="1"/>
  <c r="F119" i="12" s="1"/>
  <c r="F168" i="12" a="1"/>
  <c r="F168" i="12" s="1"/>
  <c r="F183" i="12" a="1"/>
  <c r="F183" i="12" s="1"/>
  <c r="F87" i="12" a="1"/>
  <c r="F87" i="12" s="1"/>
  <c r="F31" i="12" a="1"/>
  <c r="F31" i="12" s="1"/>
  <c r="F72" i="12" a="1"/>
  <c r="F72" i="12" s="1"/>
  <c r="F74" i="12" a="1"/>
  <c r="F74" i="12" s="1"/>
  <c r="F85" i="12" a="1"/>
  <c r="F85" i="12" s="1"/>
  <c r="F60" i="12" a="1"/>
  <c r="F60" i="12" s="1"/>
  <c r="F70" i="12" a="1"/>
  <c r="F70" i="12" s="1"/>
  <c r="F39" i="12" a="1"/>
  <c r="F39" i="12" s="1"/>
  <c r="F47" i="12" a="1"/>
  <c r="F47" i="12" s="1"/>
  <c r="F55" i="12" a="1"/>
  <c r="F55" i="12" s="1"/>
  <c r="F229" i="12" a="1"/>
  <c r="F229" i="12" s="1"/>
  <c r="F228" i="12" a="1"/>
  <c r="F228" i="12" s="1"/>
  <c r="F28" i="12" a="1"/>
  <c r="F28" i="12" s="1"/>
  <c r="F27" i="12" a="1"/>
  <c r="F27" i="12" s="1"/>
  <c r="F59" i="12" a="1"/>
  <c r="F59" i="12" s="1"/>
  <c r="F90" i="12" a="1"/>
  <c r="F90" i="12" s="1"/>
  <c r="F89" i="12" a="1"/>
  <c r="F89" i="12" s="1"/>
  <c r="F126" i="12" a="1"/>
  <c r="F126" i="12" s="1"/>
  <c r="F144" i="12" a="1"/>
  <c r="F144" i="12" s="1"/>
  <c r="F159" i="12" a="1"/>
  <c r="F159" i="12" s="1"/>
  <c r="F118" i="12" a="1"/>
  <c r="F118" i="12" s="1"/>
  <c r="F108" i="12" a="1"/>
  <c r="F108" i="12" s="1"/>
  <c r="F136" i="12" a="1"/>
  <c r="F136" i="12" s="1"/>
  <c r="F139" i="12" a="1"/>
  <c r="F139" i="12" s="1"/>
  <c r="F111" i="12" a="1"/>
  <c r="F111" i="12" s="1"/>
  <c r="F117" i="12" a="1"/>
  <c r="F117" i="12" s="1"/>
  <c r="F120" i="12" a="1"/>
  <c r="F120" i="12" s="1"/>
  <c r="F92" i="12" a="1"/>
  <c r="F92" i="12" s="1"/>
  <c r="F78" i="12" a="1"/>
  <c r="F78" i="12" s="1"/>
  <c r="F106" i="12" a="1"/>
  <c r="F106" i="12" s="1"/>
  <c r="F127" i="12" a="1"/>
  <c r="F127" i="12" s="1"/>
  <c r="F137" i="12" a="1"/>
  <c r="F137" i="12" s="1"/>
  <c r="F151" i="12" a="1"/>
  <c r="F151" i="12" s="1"/>
  <c r="F176" i="12" a="1"/>
  <c r="F176" i="12" s="1"/>
  <c r="F184" i="12" a="1"/>
  <c r="F184" i="12" s="1"/>
  <c r="F174" i="12" a="1"/>
  <c r="F174" i="12" s="1"/>
  <c r="F197" i="12" a="1"/>
  <c r="F197" i="12" s="1"/>
  <c r="F190" i="12" a="1"/>
  <c r="F190" i="12" s="1"/>
  <c r="F69" i="12" a="1"/>
  <c r="F69" i="12" s="1"/>
  <c r="F96" i="12" a="1"/>
  <c r="F96" i="12" s="1"/>
  <c r="F64" i="12" a="1"/>
  <c r="F64" i="12" s="1"/>
  <c r="F82" i="12" a="1"/>
  <c r="F82" i="12" s="1"/>
  <c r="F81" i="12" a="1"/>
  <c r="F81" i="12" s="1"/>
  <c r="F100" i="12" a="1"/>
  <c r="F100" i="12" s="1"/>
  <c r="F98" i="12" a="1"/>
  <c r="F98" i="12" s="1"/>
  <c r="F105" i="12" a="1"/>
  <c r="F105" i="12" s="1"/>
  <c r="F130" i="12" a="1"/>
  <c r="F130" i="12" s="1"/>
  <c r="F163" i="12" a="1"/>
  <c r="F163" i="12" s="1"/>
  <c r="F154" i="12" a="1"/>
  <c r="F154" i="12" s="1"/>
  <c r="F162" i="12" a="1"/>
  <c r="F162" i="12" s="1"/>
  <c r="F140" i="12" a="1"/>
  <c r="F140" i="12" s="1"/>
  <c r="F148" i="12" a="1"/>
  <c r="F148" i="12" s="1"/>
  <c r="F170" i="12" a="1"/>
  <c r="F170" i="12" s="1"/>
  <c r="F178" i="12" a="1"/>
  <c r="F178" i="12" s="1"/>
  <c r="F53" i="12" a="1"/>
  <c r="F53" i="12" s="1"/>
  <c r="F32" i="12" a="1"/>
  <c r="F32" i="12" s="1"/>
  <c r="F239" i="12" a="1"/>
  <c r="F239" i="12" s="1"/>
  <c r="F238" i="12" a="1"/>
  <c r="F238" i="12" s="1"/>
  <c r="F35" i="12" a="1"/>
  <c r="F35" i="12" s="1"/>
  <c r="F43" i="12" a="1"/>
  <c r="F43" i="12" s="1"/>
  <c r="F219" i="12" a="1"/>
  <c r="F219" i="12" s="1"/>
  <c r="F222" i="12" a="1"/>
  <c r="F222" i="12" s="1"/>
  <c r="F242" i="12" a="1"/>
  <c r="F242" i="12" s="1"/>
  <c r="F241" i="12" a="1"/>
  <c r="F241" i="12" s="1"/>
  <c r="F38" i="12" a="1"/>
  <c r="F38" i="12" s="1"/>
  <c r="F34" i="12" a="1"/>
  <c r="F34" i="12" s="1"/>
  <c r="F42" i="12" a="1"/>
  <c r="F42" i="12" s="1"/>
  <c r="F52" i="12" a="1"/>
  <c r="F52" i="12" s="1"/>
  <c r="F68" i="12" a="1"/>
  <c r="F68" i="12" s="1"/>
  <c r="F67" i="12" a="1"/>
  <c r="F67" i="12" s="1"/>
  <c r="F77" i="12" a="1"/>
  <c r="F77" i="12" s="1"/>
  <c r="F95" i="12" a="1"/>
  <c r="F95" i="12" s="1"/>
  <c r="F122" i="12" a="1"/>
  <c r="F122" i="12" s="1"/>
  <c r="F93" i="12" a="1"/>
  <c r="F93" i="12" s="1"/>
  <c r="F104" i="12" a="1"/>
  <c r="F104" i="12" s="1"/>
  <c r="F113" i="12" a="1"/>
  <c r="F113" i="12" s="1"/>
  <c r="F88" i="12" a="1"/>
  <c r="F88" i="12" s="1"/>
  <c r="F103" i="12" a="1"/>
  <c r="F103" i="12" s="1"/>
  <c r="F121" i="12" a="1"/>
  <c r="F121" i="12" s="1"/>
  <c r="F243" i="12" a="1"/>
  <c r="F243" i="12" s="1"/>
  <c r="F208" i="12" a="1"/>
  <c r="F208" i="12" s="1"/>
  <c r="F212" i="12" a="1"/>
  <c r="F212" i="12" s="1"/>
  <c r="F220" i="12" a="1"/>
  <c r="F220" i="12" s="1"/>
  <c r="F199" i="12" a="1"/>
  <c r="F199" i="12" s="1"/>
  <c r="F215" i="12" a="1"/>
  <c r="F215" i="12" s="1"/>
  <c r="F235" i="12" a="1"/>
  <c r="F235" i="12" s="1"/>
  <c r="F192" i="12" a="1"/>
  <c r="F192" i="12" s="1"/>
  <c r="F172" i="12" a="1"/>
  <c r="F172" i="12" s="1"/>
  <c r="F181" i="12" a="1"/>
  <c r="F181" i="12" s="1"/>
  <c r="F202" i="12" a="1"/>
  <c r="F202" i="12" s="1"/>
  <c r="F211" i="12" a="1"/>
  <c r="F211" i="12" s="1"/>
  <c r="F218" i="12" a="1"/>
  <c r="F218" i="12" s="1"/>
  <c r="F46" i="12" a="1"/>
  <c r="F46" i="12" s="1"/>
  <c r="F44" i="12" a="1"/>
  <c r="F44" i="12" s="1"/>
  <c r="F63" i="12" a="1"/>
  <c r="F63" i="12" s="1"/>
  <c r="F71" i="12" a="1"/>
  <c r="F71" i="12" s="1"/>
  <c r="F80" i="12" a="1"/>
  <c r="F80" i="12" s="1"/>
  <c r="F97" i="12" a="1"/>
  <c r="F97" i="12" s="1"/>
  <c r="F86" i="12" a="1"/>
  <c r="F86" i="12" s="1"/>
  <c r="F79" i="12" a="1"/>
  <c r="F79" i="12" s="1"/>
  <c r="F213" i="12" a="1"/>
  <c r="F213" i="12" s="1"/>
  <c r="F189" i="12" a="1"/>
  <c r="F189" i="12" s="1"/>
  <c r="F182" i="12" a="1"/>
  <c r="F182" i="12" s="1"/>
  <c r="F205" i="12" a="1"/>
  <c r="F205" i="12" s="1"/>
  <c r="F196" i="12" a="1"/>
  <c r="F196" i="12" s="1"/>
  <c r="F169" i="12" a="1"/>
  <c r="F169" i="12" s="1"/>
  <c r="F198" i="12" a="1"/>
  <c r="F198" i="12" s="1"/>
  <c r="F207" i="12" a="1"/>
  <c r="F207" i="12" s="1"/>
  <c r="F214" i="12" a="1"/>
  <c r="F214" i="12" s="1"/>
  <c r="F227" i="12" a="1"/>
  <c r="F227" i="12" s="1"/>
  <c r="F237" i="12" a="1"/>
  <c r="F237" i="12" s="1"/>
  <c r="F58" i="12" a="1"/>
  <c r="F58" i="12" s="1"/>
  <c r="F54" i="12" a="1"/>
  <c r="F54" i="12" s="1"/>
  <c r="F33" i="12" a="1"/>
  <c r="F33" i="12" s="1"/>
  <c r="F41" i="12" a="1"/>
  <c r="F41" i="12" s="1"/>
  <c r="F51" i="12" a="1"/>
  <c r="F51" i="12" s="1"/>
  <c r="F48" i="12" a="1"/>
  <c r="F48" i="12" s="1"/>
  <c r="F37" i="12" a="1"/>
  <c r="F37" i="12" s="1"/>
  <c r="F40" i="12" a="1"/>
  <c r="F40" i="12" s="1"/>
  <c r="F57" i="12" a="1"/>
  <c r="F57" i="12" s="1"/>
  <c r="F56" i="12" a="1"/>
  <c r="F56" i="12" s="1"/>
  <c r="F65" i="12" a="1"/>
  <c r="F65" i="12" s="1"/>
  <c r="F194" i="12" a="1"/>
  <c r="F194" i="12" s="1"/>
  <c r="F193" i="12" a="1"/>
  <c r="F193" i="12" s="1"/>
  <c r="F173" i="12" a="1"/>
  <c r="F173" i="12" s="1"/>
  <c r="F153" i="12" a="1"/>
  <c r="F153" i="12" s="1"/>
  <c r="F186" i="12" a="1"/>
  <c r="F186" i="12" s="1"/>
  <c r="F165" i="12" a="1"/>
  <c r="F165" i="12" s="1"/>
  <c r="F161" i="12" a="1"/>
  <c r="F161" i="12" s="1"/>
  <c r="F160" i="12" a="1"/>
  <c r="F160" i="12" s="1"/>
  <c r="F177" i="12" a="1"/>
  <c r="F177" i="12" s="1"/>
  <c r="F185" i="12" a="1"/>
  <c r="F185" i="12" s="1"/>
  <c r="F131" i="12" a="1"/>
  <c r="F131" i="12" s="1"/>
  <c r="F149" i="12" a="1"/>
  <c r="F149" i="12" s="1"/>
  <c r="F164" i="12" a="1"/>
  <c r="F164" i="12" s="1"/>
  <c r="F187" i="12" a="1"/>
  <c r="F187" i="12" s="1"/>
  <c r="F191" i="12" a="1"/>
  <c r="F191" i="12" s="1"/>
  <c r="F240" i="12" a="1"/>
  <c r="F240" i="12" s="1"/>
  <c r="F231" i="12" a="1"/>
  <c r="F231" i="12" s="1"/>
  <c r="F30" i="12" a="1"/>
  <c r="F30" i="12" s="1"/>
  <c r="F226" i="12" a="1"/>
  <c r="F226" i="12" s="1"/>
  <c r="F221" i="12" a="1"/>
  <c r="F221" i="12" s="1"/>
  <c r="F230" i="12" a="1"/>
  <c r="F230" i="12" s="1"/>
  <c r="F29" i="12" a="1"/>
  <c r="F29" i="12" s="1"/>
  <c r="F158" i="12" a="1"/>
  <c r="F158" i="12" s="1"/>
  <c r="F147" i="12" a="1"/>
  <c r="F147" i="12" s="1"/>
  <c r="F135" i="12" a="1"/>
  <c r="F135" i="12" s="1"/>
  <c r="F150" i="12" a="1"/>
  <c r="F150" i="12" s="1"/>
  <c r="F124" i="12" a="1"/>
  <c r="F124" i="12" s="1"/>
  <c r="F123" i="12" a="1"/>
  <c r="F123" i="12" s="1"/>
  <c r="F143" i="12" a="1"/>
  <c r="F143" i="12" s="1"/>
  <c r="F141" i="12" a="1"/>
  <c r="F141" i="12" s="1"/>
  <c r="F157" i="12" a="1"/>
  <c r="F157" i="12" s="1"/>
  <c r="F138" i="12" a="1"/>
  <c r="F138" i="12" s="1"/>
  <c r="F109" i="12" a="1"/>
  <c r="F109" i="12" s="1"/>
  <c r="F129" i="12" a="1"/>
  <c r="F129" i="12" s="1"/>
  <c r="F146" i="12" a="1"/>
  <c r="F146" i="12" s="1"/>
  <c r="F145" i="12" a="1"/>
  <c r="F145" i="12" s="1"/>
  <c r="F152" i="12" a="1"/>
  <c r="F152" i="12" s="1"/>
  <c r="F155" i="12" a="1"/>
  <c r="F155" i="12" s="1"/>
  <c r="F171" i="12" a="1"/>
  <c r="F171" i="12" s="1"/>
  <c r="F179" i="12" a="1"/>
  <c r="F179" i="12" s="1"/>
  <c r="F195" i="12" a="1"/>
  <c r="F195" i="12" s="1"/>
  <c r="F216" i="12" a="1"/>
  <c r="F216" i="12" s="1"/>
  <c r="F201" i="12" a="1"/>
  <c r="F201" i="12" s="1"/>
  <c r="F210" i="12" a="1"/>
  <c r="F210" i="12" s="1"/>
  <c r="F209" i="12" a="1"/>
  <c r="F209" i="12" s="1"/>
  <c r="F206" i="12" a="1"/>
  <c r="F206" i="12" s="1"/>
  <c r="F200" i="12" a="1"/>
  <c r="F200" i="12" s="1"/>
  <c r="H236" i="12" l="1" a="1"/>
  <c r="H236" i="12" s="1"/>
  <c r="H232" i="12" a="1"/>
  <c r="H232" i="12" s="1"/>
  <c r="H24" i="12" a="1"/>
  <c r="H24" i="12" s="1"/>
  <c r="H21" i="12" a="1"/>
  <c r="H21" i="12" s="1"/>
  <c r="H20" i="12" a="1"/>
  <c r="H20" i="12" s="1"/>
  <c r="H18" i="12" a="1"/>
  <c r="H18" i="12" s="1"/>
  <c r="N237" i="6"/>
  <c r="N238" i="6"/>
  <c r="N239" i="6"/>
  <c r="N240" i="6"/>
  <c r="N241" i="6"/>
  <c r="N242" i="6"/>
  <c r="N243" i="6"/>
  <c r="AE20" i="13" l="1"/>
  <c r="M20" i="13" s="1"/>
  <c r="AH20" i="13"/>
  <c r="O20" i="13" s="1"/>
  <c r="AH21" i="13"/>
  <c r="O21" i="13" s="1"/>
  <c r="AE21" i="13"/>
  <c r="M21" i="13" s="1"/>
  <c r="AH14" i="13"/>
  <c r="O14" i="13" s="1"/>
  <c r="AE14" i="13"/>
  <c r="M14" i="13" s="1"/>
  <c r="AE18" i="13"/>
  <c r="M18" i="13" s="1"/>
  <c r="AH18" i="13"/>
  <c r="O18" i="13" s="1"/>
  <c r="AH15" i="13"/>
  <c r="O15" i="13" s="1"/>
  <c r="AE15" i="13"/>
  <c r="M15" i="13" s="1"/>
  <c r="AH19" i="13"/>
  <c r="O19" i="13" s="1"/>
  <c r="AE19" i="13"/>
  <c r="M19" i="13" s="1"/>
  <c r="AE23" i="13"/>
  <c r="M23" i="13" s="1"/>
  <c r="AH23" i="13"/>
  <c r="O23" i="13" s="1"/>
  <c r="C39" i="9"/>
  <c r="F39" i="9" s="1"/>
  <c r="D8" i="9" s="1"/>
  <c r="F175" i="8" s="1"/>
  <c r="A11" i="12" s="1"/>
  <c r="C39" i="10"/>
  <c r="A39" i="10" s="1"/>
  <c r="N21" i="13" l="1"/>
  <c r="N20" i="13"/>
  <c r="N15" i="13"/>
  <c r="N18" i="13"/>
  <c r="N14" i="13"/>
  <c r="N19" i="13"/>
  <c r="N23" i="13"/>
  <c r="AE17" i="13" l="1"/>
  <c r="M17" i="13" s="1"/>
  <c r="AH17" i="13"/>
  <c r="O17" i="13" s="1"/>
  <c r="AH22" i="13"/>
  <c r="O22" i="13" s="1"/>
  <c r="AE22" i="13"/>
  <c r="M22" i="13" s="1"/>
  <c r="Y65" i="10" a="1"/>
  <c r="Y65" i="10" s="1"/>
  <c r="AE65" i="10" a="1"/>
  <c r="AE65" i="10" s="1"/>
  <c r="AA65" i="10" a="1"/>
  <c r="AA65" i="10" s="1"/>
  <c r="O65" i="10" a="1"/>
  <c r="O65" i="10" s="1"/>
  <c r="AX65" i="10" a="1"/>
  <c r="AX65" i="10" s="1"/>
  <c r="Q65" i="10" a="1"/>
  <c r="Q65" i="10" s="1"/>
  <c r="I65" i="10" a="1"/>
  <c r="I65" i="10" s="1"/>
  <c r="I63" i="10" s="1" a="1"/>
  <c r="I63" i="10" s="1"/>
  <c r="AN65" i="10" a="1"/>
  <c r="AN65" i="10" s="1"/>
  <c r="M65" i="10" a="1"/>
  <c r="M65" i="10" s="1"/>
  <c r="AR65" i="10" a="1"/>
  <c r="AR65" i="10" s="1"/>
  <c r="AP65" i="10" a="1"/>
  <c r="AP65" i="10" s="1"/>
  <c r="AZ65" i="10" a="1"/>
  <c r="AZ65" i="10" s="1"/>
  <c r="BD65" i="10" a="1"/>
  <c r="BD65" i="10" s="1"/>
  <c r="AC65" i="10" a="1"/>
  <c r="AC65" i="10" s="1"/>
  <c r="AE16" i="13"/>
  <c r="M16" i="13" s="1"/>
  <c r="AJ65" i="10" a="1"/>
  <c r="AJ65" i="10" s="1"/>
  <c r="U65" i="10" a="1"/>
  <c r="U65" i="10" s="1"/>
  <c r="K65" i="10" a="1"/>
  <c r="K65" i="10" s="1"/>
  <c r="AH16" i="13"/>
  <c r="O16" i="13" s="1"/>
  <c r="AL65" i="10" a="1"/>
  <c r="AL65" i="10" s="1"/>
  <c r="AV65" i="10" a="1"/>
  <c r="AV65" i="10" s="1"/>
  <c r="AH65" i="10" a="1"/>
  <c r="AH65" i="10" s="1"/>
  <c r="AH63" i="10" s="1" a="1"/>
  <c r="AH63" i="10" s="1"/>
  <c r="BB65" i="10" a="1"/>
  <c r="BB65" i="10" s="1"/>
  <c r="W65" i="10" a="1"/>
  <c r="W65" i="10" s="1"/>
  <c r="AT65" i="10" a="1"/>
  <c r="AT65" i="10" s="1"/>
  <c r="S65" i="10" a="1"/>
  <c r="S65" i="10" s="1"/>
  <c r="L235" i="12" a="1"/>
  <c r="L235" i="12" s="1"/>
  <c r="J235" i="12" a="1"/>
  <c r="J235" i="12" s="1"/>
  <c r="AZ63" i="10" l="1"/>
  <c r="S63" i="10"/>
  <c r="AC63" i="10"/>
  <c r="W63" i="10"/>
  <c r="AR63" i="10"/>
  <c r="K63" i="10"/>
  <c r="N22" i="13"/>
  <c r="AL63" i="10"/>
  <c r="O28" i="13"/>
  <c r="AP63" i="10"/>
  <c r="BB63" i="10"/>
  <c r="AE63" i="10"/>
  <c r="O63" i="10"/>
  <c r="AA63" i="10"/>
  <c r="AT63" i="10"/>
  <c r="U63" i="10"/>
  <c r="M63" i="10"/>
  <c r="Y63" i="10"/>
  <c r="AJ63" i="10"/>
  <c r="AN63" i="10"/>
  <c r="N16" i="13"/>
  <c r="M28" i="13"/>
  <c r="Q63" i="10"/>
  <c r="N17" i="13"/>
  <c r="AV63" i="10"/>
  <c r="BD63" i="10"/>
  <c r="AX63" i="10"/>
  <c r="J233" i="6" a="1"/>
  <c r="J233" i="6" s="1"/>
  <c r="K235" i="12"/>
  <c r="J23" i="6" a="1"/>
  <c r="J23" i="6" s="1"/>
  <c r="J22" i="6" a="1"/>
  <c r="J22" i="6" s="1"/>
  <c r="J19" i="6" a="1"/>
  <c r="J19" i="6" s="1"/>
  <c r="D65" i="8"/>
  <c r="D92" i="8"/>
  <c r="N28" i="13" l="1"/>
  <c r="E33" i="14" s="1"/>
  <c r="D48" i="2" a="1"/>
  <c r="D48" i="2" s="1"/>
  <c r="F33" i="14"/>
  <c r="D47" i="2" a="1"/>
  <c r="D47" i="2" s="1"/>
  <c r="D52" i="2" a="1"/>
  <c r="D52" i="2" s="1"/>
  <c r="D51" i="2" a="1"/>
  <c r="D51" i="2" s="1"/>
  <c r="D54" i="2" a="1"/>
  <c r="D54" i="2" s="1"/>
  <c r="D53" i="2" a="1"/>
  <c r="D53" i="2" s="1"/>
  <c r="AD6" i="13"/>
  <c r="AE6" i="13" s="1"/>
  <c r="D59" i="8"/>
  <c r="D47" i="8"/>
  <c r="D146" i="8"/>
  <c r="D134" i="8"/>
  <c r="D46" i="2" l="1"/>
  <c r="D50" i="2"/>
  <c r="I19" i="5"/>
  <c r="D23" i="8"/>
  <c r="C23" i="8"/>
  <c r="D104" i="8"/>
  <c r="D1" i="2" l="1"/>
  <c r="J254" i="12"/>
  <c r="S69" i="10"/>
  <c r="AR69" i="10"/>
  <c r="D107" i="8"/>
  <c r="D119" i="8"/>
  <c r="D41" i="8"/>
  <c r="D29" i="8"/>
  <c r="I22" i="5" l="1"/>
  <c r="I23" i="5" s="1"/>
  <c r="C65" i="8" l="1"/>
  <c r="C134" i="8"/>
  <c r="C29" i="8"/>
  <c r="C59" i="8"/>
  <c r="C47" i="8"/>
  <c r="C80" i="8"/>
  <c r="C119" i="8"/>
  <c r="C146" i="8"/>
  <c r="C107" i="8"/>
  <c r="C92" i="8"/>
  <c r="C41" i="8"/>
  <c r="J149" i="8" l="1"/>
  <c r="H206" i="12" l="1" a="1"/>
  <c r="H206" i="12" s="1"/>
  <c r="H176" i="12" a="1"/>
  <c r="H176" i="12" s="1"/>
  <c r="H41" i="12" a="1"/>
  <c r="H41" i="12" s="1"/>
  <c r="H138" i="12" a="1"/>
  <c r="H138" i="12" s="1"/>
  <c r="H163" i="12" a="1"/>
  <c r="H163" i="12" s="1"/>
  <c r="H159" i="12" a="1"/>
  <c r="H159" i="12" s="1"/>
  <c r="H186" i="12" a="1"/>
  <c r="H186" i="12" s="1"/>
  <c r="H65" i="12" a="1"/>
  <c r="H65" i="12" s="1"/>
  <c r="H164" i="12" a="1"/>
  <c r="H164" i="12" s="1"/>
  <c r="H85" i="12" a="1"/>
  <c r="H85" i="12" s="1"/>
  <c r="H86" i="12" a="1"/>
  <c r="H86" i="12" s="1"/>
  <c r="H79" i="12" a="1"/>
  <c r="H79" i="12" s="1"/>
  <c r="H220" i="12" a="1"/>
  <c r="H220" i="12" s="1"/>
  <c r="H100" i="12" a="1"/>
  <c r="H100" i="12" s="1"/>
  <c r="H77" i="12" a="1"/>
  <c r="H77" i="12" s="1"/>
  <c r="H39" i="12" a="1"/>
  <c r="H39" i="12" s="1"/>
  <c r="H231" i="12" a="1"/>
  <c r="H231" i="12" s="1"/>
  <c r="H98" i="12" a="1"/>
  <c r="H98" i="12" s="1"/>
  <c r="H82" i="12" a="1"/>
  <c r="H82" i="12" s="1"/>
  <c r="H137" i="12" a="1"/>
  <c r="H137" i="12" s="1"/>
  <c r="H111" i="12" a="1"/>
  <c r="H111" i="12" s="1"/>
  <c r="H150" i="12" a="1"/>
  <c r="H150" i="12" s="1"/>
  <c r="H208" i="12" a="1"/>
  <c r="H208" i="12" s="1"/>
  <c r="H183" i="12" a="1"/>
  <c r="H183" i="12" s="1"/>
  <c r="H238" i="12" a="1"/>
  <c r="H238" i="12" s="1"/>
  <c r="H54" i="12" a="1"/>
  <c r="H54" i="12" s="1"/>
  <c r="H117" i="12" a="1"/>
  <c r="H117" i="12" s="1"/>
  <c r="H96" i="12" a="1"/>
  <c r="H96" i="12" s="1"/>
  <c r="H149" i="12" a="1"/>
  <c r="H149" i="12" s="1"/>
  <c r="H212" i="12" a="1"/>
  <c r="H212" i="12" s="1"/>
  <c r="H190" i="12" a="1"/>
  <c r="H190" i="12" s="1"/>
  <c r="H56" i="12" a="1"/>
  <c r="H56" i="12" s="1"/>
  <c r="H32" i="12" a="1"/>
  <c r="H32" i="12" s="1"/>
  <c r="H162" i="12" a="1"/>
  <c r="H162" i="12" s="1"/>
  <c r="H191" i="12" a="1"/>
  <c r="H191" i="12" s="1"/>
  <c r="H69" i="12" a="1"/>
  <c r="H69" i="12" s="1"/>
  <c r="H189" i="12" a="1"/>
  <c r="H189" i="12" s="1"/>
  <c r="H113" i="12" a="1"/>
  <c r="H113" i="12" s="1"/>
  <c r="H38" i="12" a="1"/>
  <c r="H38" i="12" s="1"/>
  <c r="H171" i="12" a="1"/>
  <c r="H171" i="12" s="1"/>
  <c r="H146" i="12" a="1"/>
  <c r="H146" i="12" s="1"/>
  <c r="H40" i="12" a="1"/>
  <c r="H40" i="12" s="1"/>
  <c r="H70" i="12" a="1"/>
  <c r="H70" i="12" s="1"/>
  <c r="H200" i="12" a="1"/>
  <c r="H200" i="12" s="1"/>
  <c r="H221" i="12" a="1"/>
  <c r="H221" i="12" s="1"/>
  <c r="H160" i="12" a="1"/>
  <c r="H160" i="12" s="1"/>
  <c r="H67" i="12" a="1"/>
  <c r="H67" i="12" s="1"/>
  <c r="H196" i="12" a="1"/>
  <c r="H196" i="12" s="1"/>
  <c r="H120" i="12" a="1"/>
  <c r="H120" i="12" s="1"/>
  <c r="H129" i="12" a="1"/>
  <c r="H129" i="12" s="1"/>
  <c r="H121" i="12" a="1"/>
  <c r="H121" i="12" s="1"/>
  <c r="H80" i="12" a="1"/>
  <c r="H80" i="12" s="1"/>
  <c r="H28" i="12" a="1"/>
  <c r="H28" i="12" s="1"/>
  <c r="H30" i="12" a="1"/>
  <c r="H30" i="12" s="1"/>
  <c r="H95" i="12" a="1"/>
  <c r="H95" i="12" s="1"/>
  <c r="H130" i="12" a="1"/>
  <c r="H130" i="12" s="1"/>
  <c r="H105" i="12" a="1"/>
  <c r="H105" i="12" s="1"/>
  <c r="H44" i="12" a="1"/>
  <c r="H44" i="12" s="1"/>
  <c r="H116" i="12" a="1"/>
  <c r="H116" i="12" s="1"/>
  <c r="H222" i="12" a="1"/>
  <c r="H222" i="12" s="1"/>
  <c r="H197" i="12" a="1"/>
  <c r="H197" i="12" s="1"/>
  <c r="H239" i="12" a="1"/>
  <c r="H239" i="12" s="1"/>
  <c r="H92" i="12" a="1"/>
  <c r="H92" i="12" s="1"/>
  <c r="H213" i="12" a="1"/>
  <c r="H213" i="12" s="1"/>
  <c r="H144" i="12" a="1"/>
  <c r="H144" i="12" s="1"/>
  <c r="H122" i="12" a="1"/>
  <c r="H122" i="12" s="1"/>
  <c r="H229" i="12" a="1"/>
  <c r="H229" i="12" s="1"/>
  <c r="H226" i="12" a="1"/>
  <c r="H226" i="12" s="1"/>
  <c r="H68" i="12" a="1"/>
  <c r="H68" i="12" s="1"/>
  <c r="H104" i="12" a="1"/>
  <c r="H104" i="12" s="1"/>
  <c r="H119" i="12" a="1"/>
  <c r="H119" i="12" s="1"/>
  <c r="H88" i="12" a="1"/>
  <c r="H88" i="12" s="1"/>
  <c r="H198" i="12" a="1"/>
  <c r="H198" i="12" s="1"/>
  <c r="H108" i="12" a="1"/>
  <c r="H108" i="12" s="1"/>
  <c r="H214" i="12" a="1"/>
  <c r="H214" i="12" s="1"/>
  <c r="H199" i="12" a="1"/>
  <c r="H199" i="12" s="1"/>
  <c r="H240" i="12" a="1"/>
  <c r="H240" i="12" s="1"/>
  <c r="H109" i="12" a="1"/>
  <c r="H109" i="12" s="1"/>
  <c r="H31" i="12" a="1"/>
  <c r="H31" i="12" s="1"/>
  <c r="H179" i="12" a="1"/>
  <c r="H179" i="12" s="1"/>
  <c r="H93" i="12" a="1"/>
  <c r="H93" i="12" s="1"/>
  <c r="H165" i="12" a="1"/>
  <c r="H165" i="12" s="1"/>
  <c r="H143" i="12" a="1"/>
  <c r="H143" i="12" s="1"/>
  <c r="H55" i="12" a="1"/>
  <c r="H55" i="12" s="1"/>
  <c r="H135" i="12" a="1"/>
  <c r="H135" i="12" s="1"/>
  <c r="H81" i="12" a="1"/>
  <c r="H81" i="12" s="1"/>
  <c r="H219" i="12" a="1"/>
  <c r="H219" i="12" s="1"/>
  <c r="H201" i="12" a="1"/>
  <c r="H201" i="12" s="1"/>
  <c r="H153" i="12" a="1"/>
  <c r="H153" i="12" s="1"/>
  <c r="H187" i="12" a="1"/>
  <c r="H187" i="12" s="1"/>
  <c r="H207" i="12" a="1"/>
  <c r="H207" i="12" s="1"/>
  <c r="H35" i="12" a="1"/>
  <c r="H35" i="12" s="1"/>
  <c r="H161" i="12" a="1"/>
  <c r="H161" i="12" s="1"/>
  <c r="H178" i="12" a="1"/>
  <c r="H178" i="12" s="1"/>
  <c r="H158" i="12" a="1"/>
  <c r="H158" i="12" s="1"/>
  <c r="H209" i="12" a="1"/>
  <c r="H209" i="12" s="1"/>
  <c r="H192" i="12" a="1"/>
  <c r="H192" i="12" s="1"/>
  <c r="H78" i="12" a="1"/>
  <c r="H78" i="12" s="1"/>
  <c r="H235" i="12" a="1"/>
  <c r="H235" i="12" s="1"/>
  <c r="H27" i="12" a="1"/>
  <c r="H27" i="12" s="1"/>
  <c r="H216" i="12" a="1"/>
  <c r="H216" i="12" s="1"/>
  <c r="H64" i="12" a="1"/>
  <c r="H64" i="12" s="1"/>
  <c r="H185" i="12" a="1"/>
  <c r="H185" i="12" s="1"/>
  <c r="H103" i="12" a="1"/>
  <c r="H103" i="12" s="1"/>
  <c r="H177" i="12" a="1"/>
  <c r="H177" i="12" s="1"/>
  <c r="H155" i="12" a="1"/>
  <c r="H155" i="12" s="1"/>
  <c r="H181" i="12" a="1"/>
  <c r="H181" i="12" s="1"/>
  <c r="H29" i="12" a="1"/>
  <c r="H29" i="12" s="1"/>
  <c r="H241" i="12" a="1"/>
  <c r="H241" i="12" s="1"/>
  <c r="H184" i="12" a="1"/>
  <c r="H184" i="12" s="1"/>
  <c r="H211" i="12" a="1"/>
  <c r="H211" i="12" s="1"/>
  <c r="H131" i="12" a="1"/>
  <c r="H131" i="12" s="1"/>
  <c r="H202" i="12" a="1"/>
  <c r="H202" i="12" s="1"/>
  <c r="H228" i="12" a="1"/>
  <c r="H228" i="12" s="1"/>
  <c r="H118" i="12" a="1"/>
  <c r="H118" i="12" s="1"/>
  <c r="H237" i="12" a="1"/>
  <c r="H237" i="12" s="1"/>
  <c r="H57" i="12" a="1"/>
  <c r="H57" i="12" s="1"/>
  <c r="H63" i="12" a="1"/>
  <c r="H63" i="12" s="1"/>
  <c r="H152" i="12" a="1"/>
  <c r="H152" i="12" s="1"/>
  <c r="H172" i="12" a="1"/>
  <c r="H172" i="12" s="1"/>
  <c r="H46" i="12" a="1"/>
  <c r="H46" i="12" s="1"/>
  <c r="H90" i="12" a="1"/>
  <c r="H90" i="12" s="1"/>
  <c r="H53" i="12" a="1"/>
  <c r="H53" i="12" s="1"/>
  <c r="H89" i="12" a="1"/>
  <c r="H89" i="12" s="1"/>
  <c r="H157" i="12" a="1"/>
  <c r="H157" i="12" s="1"/>
  <c r="H154" i="12" a="1"/>
  <c r="H154" i="12" s="1"/>
  <c r="H195" i="12" a="1"/>
  <c r="H195" i="12" s="1"/>
  <c r="H243" i="12" a="1"/>
  <c r="H243" i="12" s="1"/>
  <c r="H218" i="12" a="1"/>
  <c r="H218" i="12" s="1"/>
  <c r="H106" i="12" a="1"/>
  <c r="H106" i="12" s="1"/>
  <c r="H37" i="12" a="1"/>
  <c r="H37" i="12" s="1"/>
  <c r="H136" i="12" a="1"/>
  <c r="H136" i="12" s="1"/>
  <c r="H74" i="12" a="1"/>
  <c r="H74" i="12" s="1"/>
  <c r="H227" i="12" a="1"/>
  <c r="H227" i="12" s="1"/>
  <c r="H147" i="12" a="1"/>
  <c r="H147" i="12" s="1"/>
  <c r="H193" i="12" a="1"/>
  <c r="H193" i="12" s="1"/>
  <c r="H42" i="12" a="1"/>
  <c r="H42" i="12" s="1"/>
  <c r="H97" i="12" a="1"/>
  <c r="H97" i="12" s="1"/>
  <c r="H51" i="12" a="1"/>
  <c r="H51" i="12" s="1"/>
  <c r="H210" i="12" a="1"/>
  <c r="H210" i="12" s="1"/>
  <c r="H87" i="12" a="1"/>
  <c r="H87" i="12" s="1"/>
  <c r="H127" i="12" a="1"/>
  <c r="H127" i="12" s="1"/>
  <c r="H205" i="12" a="1"/>
  <c r="H205" i="12" s="1"/>
  <c r="H71" i="12" a="1"/>
  <c r="H71" i="12" s="1"/>
  <c r="H168" i="12" a="1"/>
  <c r="H168" i="12" s="1"/>
  <c r="H148" i="12" a="1"/>
  <c r="H148" i="12" s="1"/>
  <c r="H194" i="12" a="1"/>
  <c r="H194" i="12" s="1"/>
  <c r="H215" i="12" a="1"/>
  <c r="H215" i="12" s="1"/>
  <c r="H145" i="12" a="1"/>
  <c r="H145" i="12" s="1"/>
  <c r="H58" i="12" a="1"/>
  <c r="H58" i="12" s="1"/>
  <c r="H72" i="12" a="1"/>
  <c r="H72" i="12" s="1"/>
  <c r="H126" i="12" a="1"/>
  <c r="H126" i="12" s="1"/>
  <c r="H140" i="12" a="1"/>
  <c r="H140" i="12" s="1"/>
  <c r="H169" i="12" a="1"/>
  <c r="H169" i="12" s="1"/>
  <c r="H47" i="12" a="1"/>
  <c r="H47" i="12" s="1"/>
  <c r="H173" i="12" a="1"/>
  <c r="H173" i="12" s="1"/>
  <c r="H48" i="12" a="1"/>
  <c r="H48" i="12" s="1"/>
  <c r="H33" i="12" a="1"/>
  <c r="H33" i="12" s="1"/>
  <c r="H124" i="12" a="1"/>
  <c r="H124" i="12" s="1"/>
  <c r="H170" i="12" a="1"/>
  <c r="H170" i="12" s="1"/>
  <c r="H112" i="12" a="1"/>
  <c r="H112" i="12" s="1"/>
  <c r="H230" i="12" a="1"/>
  <c r="H230" i="12" s="1"/>
  <c r="H242" i="12" a="1"/>
  <c r="H242" i="12" s="1"/>
  <c r="H123" i="12" a="1"/>
  <c r="H123" i="12" s="1"/>
  <c r="H59" i="12" l="1" a="1"/>
  <c r="H59" i="12" s="1"/>
  <c r="H34" i="12" a="1"/>
  <c r="H34" i="12" s="1"/>
  <c r="H43" i="12" a="1"/>
  <c r="H43" i="12" s="1"/>
  <c r="H52" i="12" a="1"/>
  <c r="H52" i="12" s="1"/>
  <c r="H151" i="12" a="1"/>
  <c r="H151" i="12" s="1"/>
  <c r="H139" i="12" a="1"/>
  <c r="H139" i="12" s="1"/>
  <c r="H60" i="12" a="1"/>
  <c r="H60" i="12" s="1"/>
  <c r="H141" i="12" a="1"/>
  <c r="H141" i="12" s="1"/>
  <c r="H182" i="12" a="1"/>
  <c r="H182" i="12" s="1"/>
  <c r="H174" i="12" a="1"/>
  <c r="H174" i="12" s="1"/>
  <c r="P11" i="12" l="1"/>
  <c r="O11" i="12" s="1"/>
  <c r="I233" i="5"/>
  <c r="C104" i="8" l="1"/>
  <c r="AF243" i="5" a="1"/>
  <c r="AF135" i="5" a="1"/>
  <c r="AF68" i="5" a="1"/>
  <c r="AF112" i="5" a="1"/>
  <c r="AF21" i="5" a="1"/>
  <c r="AF215" i="5" a="1"/>
  <c r="AF131" i="5" a="1"/>
  <c r="AF193" i="5" a="1"/>
  <c r="AF141" i="5" a="1"/>
  <c r="AF48" i="5" a="1"/>
  <c r="AF238" i="5" a="1"/>
  <c r="AF190" i="5" a="1"/>
  <c r="AF47" i="5" a="1"/>
  <c r="AF236" i="5" a="1"/>
  <c r="AF212" i="5" a="1"/>
  <c r="AF218" i="5" a="1"/>
  <c r="AF63" i="5" a="1"/>
  <c r="AF40" i="5" a="1"/>
  <c r="AF86" i="5" a="1"/>
  <c r="AF148" i="5" a="1"/>
  <c r="AF111" i="5" a="1"/>
  <c r="AF208" i="5" a="1"/>
  <c r="AF172" i="5" a="1"/>
  <c r="AF78" i="5" a="1"/>
  <c r="AF52" i="5" a="1"/>
  <c r="AF74" i="5" a="1"/>
  <c r="AF168" i="5" a="1"/>
  <c r="AF231" i="5" a="1"/>
  <c r="AF90" i="5" a="1"/>
  <c r="AF57" i="5" a="1"/>
  <c r="AF72" i="5" a="1"/>
  <c r="AF185" i="5" a="1"/>
  <c r="AF65" i="5" a="1"/>
  <c r="AF55" i="5" a="1"/>
  <c r="AF202" i="5" a="1"/>
  <c r="AF105" i="5" a="1"/>
  <c r="AF173" i="5" a="1"/>
  <c r="AF237" i="5" a="1"/>
  <c r="AF43" i="5" a="1"/>
  <c r="AF140" i="5" a="1"/>
  <c r="AF149" i="5" a="1"/>
  <c r="AF154" i="5" a="1"/>
  <c r="AF161" i="5" a="1"/>
  <c r="AF124" i="5" a="1"/>
  <c r="AF53" i="5" a="1"/>
  <c r="AF214" i="5" a="1"/>
  <c r="AF159" i="5" a="1"/>
  <c r="AF41" i="5" a="1"/>
  <c r="AF240" i="5" a="1"/>
  <c r="AF191" i="5" a="1"/>
  <c r="AF210" i="5" a="1"/>
  <c r="AF97" i="5" a="1"/>
  <c r="AF174" i="5" a="1"/>
  <c r="AF160" i="5" a="1"/>
  <c r="AF88" i="5" a="1"/>
  <c r="AF241" i="5" a="1"/>
  <c r="AF189" i="5" a="1"/>
  <c r="AF67" i="5" a="1"/>
  <c r="AF32" i="5" a="1"/>
  <c r="AF82" i="5" a="1"/>
  <c r="AF162" i="5" a="1"/>
  <c r="AF92" i="5" a="1"/>
  <c r="AF194" i="5" a="1"/>
  <c r="AF139" i="5" a="1"/>
  <c r="AF242" i="5" a="1"/>
  <c r="AF165" i="5" a="1"/>
  <c r="AF220" i="5" a="1"/>
  <c r="AF146" i="5" a="1"/>
  <c r="AF213" i="5" a="1"/>
  <c r="AF30" i="5" a="1"/>
  <c r="AF228" i="5" a="1"/>
  <c r="AF81" i="5" a="1"/>
  <c r="AF138" i="5" a="1"/>
  <c r="AF184" i="5" a="1"/>
  <c r="AF27" i="5" a="1"/>
  <c r="AF150" i="5" a="1"/>
  <c r="AF198" i="5" a="1"/>
  <c r="AF122" i="5" a="1"/>
  <c r="AF144" i="5" a="1"/>
  <c r="AF70" i="5" a="1"/>
  <c r="AF153" i="5" a="1"/>
  <c r="AF104" i="5" a="1"/>
  <c r="AF69" i="5" a="1"/>
  <c r="AF54" i="5" a="1"/>
  <c r="AF199" i="5" a="1"/>
  <c r="AF129" i="5" a="1"/>
  <c r="AF178" i="5" a="1"/>
  <c r="AF109" i="5" a="1"/>
  <c r="AF177" i="5" a="1"/>
  <c r="AF59" i="5" a="1"/>
  <c r="AF206" i="5" a="1"/>
  <c r="AF201" i="5" a="1"/>
  <c r="AF20" i="5" a="1"/>
  <c r="AF127" i="5" a="1"/>
  <c r="AF152" i="5" a="1"/>
  <c r="AF116" i="5" a="1"/>
  <c r="AF18" i="5" a="1"/>
  <c r="AF239" i="5" a="1"/>
  <c r="AF229" i="5" a="1"/>
  <c r="AF117" i="5" a="1"/>
  <c r="AF33" i="5" a="1"/>
  <c r="AF143" i="5" a="1"/>
  <c r="AF37" i="5" a="1"/>
  <c r="AF29" i="5" a="1"/>
  <c r="AF227" i="5" a="1"/>
  <c r="AF136" i="5" a="1"/>
  <c r="AF169" i="5" a="1"/>
  <c r="AF31" i="5" a="1"/>
  <c r="AF137" i="5" a="1"/>
  <c r="AF71" i="5" a="1"/>
  <c r="AF87" i="5" a="1"/>
  <c r="AF181" i="5" a="1"/>
  <c r="AF192" i="5" a="1"/>
  <c r="AF64" i="5" a="1"/>
  <c r="AF58" i="5" a="1"/>
  <c r="AF79" i="5" a="1"/>
  <c r="AF216" i="5" a="1"/>
  <c r="AF39" i="5" a="1"/>
  <c r="AF89" i="5" a="1"/>
  <c r="AF85" i="5" a="1"/>
  <c r="AF118" i="5" a="1"/>
  <c r="AF34" i="5" a="1"/>
  <c r="AF211" i="5" a="1"/>
  <c r="AF164" i="5" a="1"/>
  <c r="AF179" i="5" a="1"/>
  <c r="AF182" i="5" a="1"/>
  <c r="AF219" i="5" a="1"/>
  <c r="AF209" i="5" a="1"/>
  <c r="AF80" i="5" a="1"/>
  <c r="AF103" i="5" a="1"/>
  <c r="AF183" i="5" a="1"/>
  <c r="AF113" i="5" a="1"/>
  <c r="AF46" i="5" a="1"/>
  <c r="AF100" i="5" a="1"/>
  <c r="AF207" i="5" a="1"/>
  <c r="AF120" i="5" a="1"/>
  <c r="AF145" i="5" a="1"/>
  <c r="AF108" i="5" a="1"/>
  <c r="AF38" i="5" a="1"/>
  <c r="AF223" i="5" a="1"/>
  <c r="AF93" i="5" a="1"/>
  <c r="AF151" i="5" a="1"/>
  <c r="AF24" i="5" a="1"/>
  <c r="AF205" i="5" a="1"/>
  <c r="AF157" i="5" a="1"/>
  <c r="AF28" i="5" a="1"/>
  <c r="AF95" i="5" a="1"/>
  <c r="AF221" i="5" a="1"/>
  <c r="AF96" i="5" a="1"/>
  <c r="AF224" i="5" a="1"/>
  <c r="AF232" i="5" a="1"/>
  <c r="AF155" i="5" a="1"/>
  <c r="AF163" i="5" a="1"/>
  <c r="AF196" i="5" a="1"/>
  <c r="AF226" i="5" a="1"/>
  <c r="AF200" i="5" a="1"/>
  <c r="AF170" i="5" a="1"/>
  <c r="AF123" i="5" a="1"/>
  <c r="AF195" i="5" a="1"/>
  <c r="AF147" i="5" a="1"/>
  <c r="AF187" i="5" a="1"/>
  <c r="AF119" i="5" a="1"/>
  <c r="AF186" i="5" a="1"/>
  <c r="AF121" i="5" a="1"/>
  <c r="AF56" i="5" a="1"/>
  <c r="AF158" i="5" a="1"/>
  <c r="AF60" i="5" a="1"/>
  <c r="AF51" i="5" a="1"/>
  <c r="AF171" i="5" a="1"/>
  <c r="AF222" i="5" a="1"/>
  <c r="AF35" i="5" a="1"/>
  <c r="AF106" i="5" a="1"/>
  <c r="AF77" i="5" a="1"/>
  <c r="AF235" i="5" a="1"/>
  <c r="AF197" i="5" a="1"/>
  <c r="AF98" i="5" a="1"/>
  <c r="AF44" i="5" a="1"/>
  <c r="AF42" i="5" a="1"/>
  <c r="AF176" i="5" a="1"/>
  <c r="AF126" i="5" a="1"/>
  <c r="AF130" i="5" a="1"/>
  <c r="AF230" i="5" a="1"/>
  <c r="AF230" i="5" l="1"/>
  <c r="AF130" i="5"/>
  <c r="AF126" i="5"/>
  <c r="AF176" i="5"/>
  <c r="AF42" i="5"/>
  <c r="AF44" i="5"/>
  <c r="AF98" i="5"/>
  <c r="AF197" i="5"/>
  <c r="AF235" i="5"/>
  <c r="AF77" i="5"/>
  <c r="AF106" i="5"/>
  <c r="AF35" i="5"/>
  <c r="AF222" i="5"/>
  <c r="AF171" i="5"/>
  <c r="AF51" i="5"/>
  <c r="AF60" i="5"/>
  <c r="AF158" i="5"/>
  <c r="AF56" i="5"/>
  <c r="AF121" i="5"/>
  <c r="AF186" i="5"/>
  <c r="AF119" i="5"/>
  <c r="AF187" i="5"/>
  <c r="AF147" i="5"/>
  <c r="AF195" i="5"/>
  <c r="AF123" i="5"/>
  <c r="AF170" i="5"/>
  <c r="AF200" i="5"/>
  <c r="AF226" i="5"/>
  <c r="AF196" i="5"/>
  <c r="AF163" i="5"/>
  <c r="AF155" i="5"/>
  <c r="AF232" i="5"/>
  <c r="AF224" i="5"/>
  <c r="AF96" i="5"/>
  <c r="AF221" i="5"/>
  <c r="AF95" i="5"/>
  <c r="AF28" i="5"/>
  <c r="AF157" i="5"/>
  <c r="AF205" i="5"/>
  <c r="AF24" i="5"/>
  <c r="AF151" i="5"/>
  <c r="AF93" i="5"/>
  <c r="AF223" i="5"/>
  <c r="AF38" i="5"/>
  <c r="AF108" i="5"/>
  <c r="AF145" i="5"/>
  <c r="AF120" i="5"/>
  <c r="AF207" i="5"/>
  <c r="AF100" i="5"/>
  <c r="AF46" i="5"/>
  <c r="AF113" i="5"/>
  <c r="AF183" i="5"/>
  <c r="AF103" i="5"/>
  <c r="AF80" i="5"/>
  <c r="AF209" i="5"/>
  <c r="AF219" i="5"/>
  <c r="AF182" i="5"/>
  <c r="AF179" i="5"/>
  <c r="AF164" i="5"/>
  <c r="AF211" i="5"/>
  <c r="AF34" i="5"/>
  <c r="AF118" i="5"/>
  <c r="AF85" i="5"/>
  <c r="AF89" i="5"/>
  <c r="AF39" i="5"/>
  <c r="AF216" i="5"/>
  <c r="AF79" i="5"/>
  <c r="AF58" i="5"/>
  <c r="AF64" i="5"/>
  <c r="AF192" i="5"/>
  <c r="AF181" i="5"/>
  <c r="AF87" i="5"/>
  <c r="AF71" i="5"/>
  <c r="AF137" i="5"/>
  <c r="AF31" i="5"/>
  <c r="AF169" i="5"/>
  <c r="AF136" i="5"/>
  <c r="AF227" i="5"/>
  <c r="AF29" i="5"/>
  <c r="AF37" i="5"/>
  <c r="AF143" i="5"/>
  <c r="AF33" i="5"/>
  <c r="AF117" i="5"/>
  <c r="AF229" i="5"/>
  <c r="AF239" i="5"/>
  <c r="AF18" i="5"/>
  <c r="AF116" i="5"/>
  <c r="AF152" i="5"/>
  <c r="AF127" i="5"/>
  <c r="AF20" i="5"/>
  <c r="AF201" i="5"/>
  <c r="AF206" i="5"/>
  <c r="AF59" i="5"/>
  <c r="AF177" i="5"/>
  <c r="AF109" i="5"/>
  <c r="AF178" i="5"/>
  <c r="AF129" i="5"/>
  <c r="AF199" i="5"/>
  <c r="AF54" i="5"/>
  <c r="AF69" i="5"/>
  <c r="AF104" i="5"/>
  <c r="AF153" i="5"/>
  <c r="AF70" i="5"/>
  <c r="AF144" i="5"/>
  <c r="AF122" i="5"/>
  <c r="AF198" i="5"/>
  <c r="AF150" i="5"/>
  <c r="AF27" i="5"/>
  <c r="AF184" i="5"/>
  <c r="AF138" i="5"/>
  <c r="AF81" i="5"/>
  <c r="AF228" i="5"/>
  <c r="AF30" i="5"/>
  <c r="AF213" i="5"/>
  <c r="AF146" i="5"/>
  <c r="AF220" i="5"/>
  <c r="AF165" i="5"/>
  <c r="AF242" i="5"/>
  <c r="AF139" i="5"/>
  <c r="AF194" i="5"/>
  <c r="AF92" i="5"/>
  <c r="AF162" i="5"/>
  <c r="AF82" i="5"/>
  <c r="AF32" i="5"/>
  <c r="AF67" i="5"/>
  <c r="AF189" i="5"/>
  <c r="AF241" i="5"/>
  <c r="AF88" i="5"/>
  <c r="AF160" i="5"/>
  <c r="AF174" i="5"/>
  <c r="AF97" i="5"/>
  <c r="AF210" i="5"/>
  <c r="AF191" i="5"/>
  <c r="AF240" i="5"/>
  <c r="AF41" i="5"/>
  <c r="AF159" i="5"/>
  <c r="AF214" i="5"/>
  <c r="AF53" i="5"/>
  <c r="AF124" i="5"/>
  <c r="AF161" i="5"/>
  <c r="AF154" i="5"/>
  <c r="AF149" i="5"/>
  <c r="AF140" i="5"/>
  <c r="AF43" i="5"/>
  <c r="AF237" i="5"/>
  <c r="AF173" i="5"/>
  <c r="AF105" i="5"/>
  <c r="AF202" i="5"/>
  <c r="AF55" i="5"/>
  <c r="AF65" i="5"/>
  <c r="AF185" i="5"/>
  <c r="AF72" i="5"/>
  <c r="AF57" i="5"/>
  <c r="AF90" i="5"/>
  <c r="AF231" i="5"/>
  <c r="AF168" i="5"/>
  <c r="AF74" i="5"/>
  <c r="AF52" i="5"/>
  <c r="AF78" i="5"/>
  <c r="AF172" i="5"/>
  <c r="AF208" i="5"/>
  <c r="AF111" i="5"/>
  <c r="AF148" i="5"/>
  <c r="AF86" i="5"/>
  <c r="AF40" i="5"/>
  <c r="AF63" i="5"/>
  <c r="AF218" i="5"/>
  <c r="AF212" i="5"/>
  <c r="AF236" i="5"/>
  <c r="AF47" i="5"/>
  <c r="AF190" i="5"/>
  <c r="AF238" i="5"/>
  <c r="AF48" i="5"/>
  <c r="AF141" i="5"/>
  <c r="AF193" i="5"/>
  <c r="AF131" i="5"/>
  <c r="AF215" i="5"/>
  <c r="AF21" i="5"/>
  <c r="AF112" i="5"/>
  <c r="AF68" i="5"/>
  <c r="AF135" i="5"/>
  <c r="AF243" i="5"/>
  <c r="AG184" i="5" l="1" a="1"/>
  <c r="AG184" i="5" s="1"/>
  <c r="U184" i="5" s="1"/>
  <c r="S184" i="5" a="1"/>
  <c r="S184" i="5" s="1"/>
  <c r="G184" i="6" s="1"/>
  <c r="R184" i="5" a="1"/>
  <c r="R184" i="5" s="1"/>
  <c r="R230" i="5" a="1"/>
  <c r="R230" i="5" s="1"/>
  <c r="AG230" i="5" a="1"/>
  <c r="AG230" i="5" s="1"/>
  <c r="U230" i="5" s="1"/>
  <c r="S230" i="5" a="1"/>
  <c r="S230" i="5" s="1"/>
  <c r="G230" i="6" s="1"/>
  <c r="S212" i="5" a="1"/>
  <c r="S212" i="5" s="1"/>
  <c r="G212" i="6" s="1"/>
  <c r="R212" i="5" a="1"/>
  <c r="R212" i="5" s="1"/>
  <c r="AG212" i="5" a="1"/>
  <c r="AG212" i="5" s="1"/>
  <c r="U212" i="5" s="1"/>
  <c r="AG194" i="5" a="1"/>
  <c r="AG194" i="5" s="1"/>
  <c r="U194" i="5" s="1"/>
  <c r="R194" i="5" a="1"/>
  <c r="R194" i="5" s="1"/>
  <c r="S194" i="5" a="1"/>
  <c r="S194" i="5" s="1"/>
  <c r="G194" i="6" s="1"/>
  <c r="S229" i="5" a="1"/>
  <c r="S229" i="5" s="1"/>
  <c r="G229" i="6" s="1"/>
  <c r="AG229" i="5" a="1"/>
  <c r="AG229" i="5" s="1"/>
  <c r="U229" i="5" s="1"/>
  <c r="R229" i="5" a="1"/>
  <c r="R229" i="5" s="1"/>
  <c r="S207" i="5" a="1"/>
  <c r="S207" i="5" s="1"/>
  <c r="G207" i="6" s="1"/>
  <c r="AG207" i="5" a="1"/>
  <c r="AG207" i="5" s="1"/>
  <c r="U207" i="5" s="1"/>
  <c r="R207" i="5" a="1"/>
  <c r="R207" i="5" s="1"/>
  <c r="AG195" i="5" a="1"/>
  <c r="AG195" i="5" s="1"/>
  <c r="U195" i="5" s="1"/>
  <c r="R195" i="5" a="1"/>
  <c r="R195" i="5" s="1"/>
  <c r="S195" i="5" a="1"/>
  <c r="S195" i="5" s="1"/>
  <c r="G195" i="6" s="1"/>
  <c r="R231" i="5" a="1"/>
  <c r="R231" i="5" s="1"/>
  <c r="AG231" i="5" a="1"/>
  <c r="AG231" i="5" s="1"/>
  <c r="U231" i="5" s="1"/>
  <c r="S231" i="5" a="1"/>
  <c r="S231" i="5" s="1"/>
  <c r="G231" i="6" s="1"/>
  <c r="R139" i="5" a="1"/>
  <c r="R139" i="5" s="1"/>
  <c r="S139" i="5" a="1"/>
  <c r="S139" i="5" s="1"/>
  <c r="G139" i="6" s="1"/>
  <c r="AG139" i="5" a="1"/>
  <c r="AG139" i="5" s="1"/>
  <c r="U139" i="5" s="1"/>
  <c r="R117" i="5" a="1"/>
  <c r="R117" i="5" s="1"/>
  <c r="S117" i="5" a="1"/>
  <c r="S117" i="5" s="1"/>
  <c r="G117" i="6" s="1"/>
  <c r="AG117" i="5" a="1"/>
  <c r="AG117" i="5" s="1"/>
  <c r="U117" i="5" s="1"/>
  <c r="R120" i="5" a="1"/>
  <c r="R120" i="5" s="1"/>
  <c r="AG120" i="5" a="1"/>
  <c r="AG120" i="5" s="1"/>
  <c r="U120" i="5" s="1"/>
  <c r="S120" i="5" a="1"/>
  <c r="S120" i="5" s="1"/>
  <c r="G120" i="6" s="1"/>
  <c r="AG106" i="5" a="1"/>
  <c r="AG106" i="5" s="1"/>
  <c r="U106" i="5" s="1"/>
  <c r="S106" i="5" a="1"/>
  <c r="S106" i="5" s="1"/>
  <c r="G106" i="6" s="1"/>
  <c r="R106" i="5" a="1"/>
  <c r="R106" i="5" s="1"/>
  <c r="R63" i="5" a="1"/>
  <c r="R63" i="5" s="1"/>
  <c r="AG63" i="5" a="1"/>
  <c r="AG63" i="5" s="1"/>
  <c r="U63" i="5" s="1"/>
  <c r="S63" i="5" a="1"/>
  <c r="S63" i="5" s="1"/>
  <c r="G63" i="6" s="1"/>
  <c r="S90" i="5" a="1"/>
  <c r="S90" i="5" s="1"/>
  <c r="G90" i="6" s="1"/>
  <c r="R90" i="5" a="1"/>
  <c r="R90" i="5" s="1"/>
  <c r="AG90" i="5" a="1"/>
  <c r="AG90" i="5" s="1"/>
  <c r="U90" i="5" s="1"/>
  <c r="S242" i="5" a="1"/>
  <c r="S242" i="5" s="1"/>
  <c r="G242" i="6" s="1"/>
  <c r="R242" i="5" a="1"/>
  <c r="R242" i="5" s="1"/>
  <c r="AG242" i="5" a="1"/>
  <c r="AG242" i="5" s="1"/>
  <c r="U242" i="5" s="1"/>
  <c r="S198" i="5" a="1"/>
  <c r="S198" i="5" s="1"/>
  <c r="G198" i="6" s="1"/>
  <c r="R198" i="5" a="1"/>
  <c r="R198" i="5" s="1"/>
  <c r="AG198" i="5" a="1"/>
  <c r="AG198" i="5" s="1"/>
  <c r="U198" i="5" s="1"/>
  <c r="AG33" i="5" a="1"/>
  <c r="AG33" i="5" s="1"/>
  <c r="U33" i="5" s="1"/>
  <c r="R33" i="5" a="1"/>
  <c r="R33" i="5" s="1"/>
  <c r="S33" i="5" a="1"/>
  <c r="S33" i="5" s="1"/>
  <c r="G33" i="6" s="1"/>
  <c r="S192" i="5" a="1"/>
  <c r="S192" i="5" s="1"/>
  <c r="G192" i="6" s="1"/>
  <c r="R192" i="5" a="1"/>
  <c r="R192" i="5" s="1"/>
  <c r="AG192" i="5" a="1"/>
  <c r="AG192" i="5" s="1"/>
  <c r="U192" i="5" s="1"/>
  <c r="R145" i="5" a="1"/>
  <c r="R145" i="5" s="1"/>
  <c r="S145" i="5" a="1"/>
  <c r="S145" i="5" s="1"/>
  <c r="G145" i="6" s="1"/>
  <c r="AG145" i="5" a="1"/>
  <c r="AG145" i="5" s="1"/>
  <c r="U145" i="5" s="1"/>
  <c r="AG187" i="5" a="1"/>
  <c r="AG187" i="5" s="1"/>
  <c r="U187" i="5" s="1"/>
  <c r="S187" i="5" a="1"/>
  <c r="S187" i="5" s="1"/>
  <c r="G187" i="6" s="1"/>
  <c r="R187" i="5" a="1"/>
  <c r="R187" i="5" s="1"/>
  <c r="R40" i="5" a="1"/>
  <c r="R40" i="5" s="1"/>
  <c r="AG40" i="5" a="1"/>
  <c r="AG40" i="5" s="1"/>
  <c r="U40" i="5" s="1"/>
  <c r="S40" i="5" a="1"/>
  <c r="S40" i="5" s="1"/>
  <c r="G40" i="6" s="1"/>
  <c r="R154" i="5" a="1"/>
  <c r="R154" i="5" s="1"/>
  <c r="S154" i="5" a="1"/>
  <c r="S154" i="5" s="1"/>
  <c r="G154" i="6" s="1"/>
  <c r="AG154" i="5" a="1"/>
  <c r="AG154" i="5" s="1"/>
  <c r="U154" i="5" s="1"/>
  <c r="AG165" i="5" a="1"/>
  <c r="AG165" i="5" s="1"/>
  <c r="U165" i="5" s="1"/>
  <c r="S165" i="5" a="1"/>
  <c r="S165" i="5" s="1"/>
  <c r="G165" i="6" s="1"/>
  <c r="R165" i="5" a="1"/>
  <c r="R165" i="5" s="1"/>
  <c r="R59" i="5" a="1"/>
  <c r="R59" i="5" s="1"/>
  <c r="S59" i="5" a="1"/>
  <c r="S59" i="5" s="1"/>
  <c r="G59" i="6" s="1"/>
  <c r="AG59" i="5" a="1"/>
  <c r="AG59" i="5" s="1"/>
  <c r="U59" i="5" s="1"/>
  <c r="R182" i="5" a="1"/>
  <c r="R182" i="5" s="1"/>
  <c r="S182" i="5" a="1"/>
  <c r="S182" i="5" s="1"/>
  <c r="G182" i="6" s="1"/>
  <c r="AG182" i="5" a="1"/>
  <c r="AG182" i="5" s="1"/>
  <c r="U182" i="5" s="1"/>
  <c r="AG235" i="5" a="1"/>
  <c r="AG235" i="5" s="1"/>
  <c r="U235" i="5" s="1"/>
  <c r="S235" i="5" a="1"/>
  <c r="S235" i="5" s="1"/>
  <c r="G235" i="6" s="1"/>
  <c r="R235" i="5" a="1"/>
  <c r="R235" i="5" s="1"/>
  <c r="R86" i="5" a="1"/>
  <c r="R86" i="5" s="1"/>
  <c r="S86" i="5" a="1"/>
  <c r="S86" i="5" s="1"/>
  <c r="G86" i="6" s="1"/>
  <c r="AG86" i="5" a="1"/>
  <c r="AG86" i="5" s="1"/>
  <c r="U86" i="5" s="1"/>
  <c r="R72" i="5" a="1"/>
  <c r="R72" i="5" s="1"/>
  <c r="S72" i="5" a="1"/>
  <c r="S72" i="5" s="1"/>
  <c r="G72" i="6" s="1"/>
  <c r="AG72" i="5" a="1"/>
  <c r="AG72" i="5" s="1"/>
  <c r="U72" i="5" s="1"/>
  <c r="AG88" i="5" a="1"/>
  <c r="AG88" i="5" s="1"/>
  <c r="U88" i="5" s="1"/>
  <c r="S88" i="5" a="1"/>
  <c r="S88" i="5" s="1"/>
  <c r="G88" i="6" s="1"/>
  <c r="R88" i="5" a="1"/>
  <c r="R88" i="5" s="1"/>
  <c r="R220" i="5" a="1"/>
  <c r="R220" i="5" s="1"/>
  <c r="AG220" i="5" a="1"/>
  <c r="AG220" i="5" s="1"/>
  <c r="U220" i="5" s="1"/>
  <c r="S220" i="5" a="1"/>
  <c r="S220" i="5" s="1"/>
  <c r="G220" i="6" s="1"/>
  <c r="AG144" i="5" a="1"/>
  <c r="AG144" i="5" s="1"/>
  <c r="U144" i="5" s="1"/>
  <c r="S144" i="5" a="1"/>
  <c r="S144" i="5" s="1"/>
  <c r="G144" i="6" s="1"/>
  <c r="R144" i="5" a="1"/>
  <c r="R144" i="5" s="1"/>
  <c r="S206" i="5" a="1"/>
  <c r="S206" i="5" s="1"/>
  <c r="G206" i="6" s="1"/>
  <c r="AG206" i="5" a="1"/>
  <c r="AG206" i="5" s="1"/>
  <c r="U206" i="5" s="1"/>
  <c r="R206" i="5" a="1"/>
  <c r="R206" i="5" s="1"/>
  <c r="R58" i="5" a="1"/>
  <c r="R58" i="5" s="1"/>
  <c r="S58" i="5" a="1"/>
  <c r="S58" i="5" s="1"/>
  <c r="G58" i="6" s="1"/>
  <c r="AG58" i="5" a="1"/>
  <c r="AG58" i="5" s="1"/>
  <c r="U58" i="5" s="1"/>
  <c r="AG219" i="5" a="1"/>
  <c r="AG219" i="5" s="1"/>
  <c r="U219" i="5" s="1"/>
  <c r="S219" i="5" a="1"/>
  <c r="S219" i="5" s="1"/>
  <c r="G219" i="6" s="1"/>
  <c r="R219" i="5" a="1"/>
  <c r="R219" i="5" s="1"/>
  <c r="S38" i="5" a="1"/>
  <c r="S38" i="5" s="1"/>
  <c r="G38" i="6" s="1"/>
  <c r="R38" i="5" a="1"/>
  <c r="R38" i="5" s="1"/>
  <c r="AG38" i="5" a="1"/>
  <c r="AG38" i="5" s="1"/>
  <c r="U38" i="5" s="1"/>
  <c r="AG232" i="5" a="1"/>
  <c r="AG232" i="5" s="1"/>
  <c r="U232" i="5" s="1"/>
  <c r="R232" i="5" a="1"/>
  <c r="R232" i="5" s="1"/>
  <c r="S232" i="5" a="1"/>
  <c r="S232" i="5" s="1"/>
  <c r="G232" i="6" s="1"/>
  <c r="S186" i="5" a="1"/>
  <c r="S186" i="5" s="1"/>
  <c r="G186" i="6" s="1"/>
  <c r="AG186" i="5" a="1"/>
  <c r="AG186" i="5" s="1"/>
  <c r="U186" i="5" s="1"/>
  <c r="R186" i="5" a="1"/>
  <c r="R186" i="5" s="1"/>
  <c r="S193" i="5" a="1"/>
  <c r="S193" i="5" s="1"/>
  <c r="G193" i="6" s="1"/>
  <c r="AG193" i="5" a="1"/>
  <c r="AG193" i="5" s="1"/>
  <c r="U193" i="5" s="1"/>
  <c r="R193" i="5" a="1"/>
  <c r="R193" i="5" s="1"/>
  <c r="AG185" i="5" a="1"/>
  <c r="AG185" i="5" s="1"/>
  <c r="U185" i="5" s="1"/>
  <c r="S185" i="5" a="1"/>
  <c r="S185" i="5" s="1"/>
  <c r="G185" i="6" s="1"/>
  <c r="R185" i="5" a="1"/>
  <c r="R185" i="5" s="1"/>
  <c r="R241" i="5" a="1"/>
  <c r="R241" i="5" s="1"/>
  <c r="AG241" i="5" a="1"/>
  <c r="AG241" i="5" s="1"/>
  <c r="U241" i="5" s="1"/>
  <c r="S241" i="5" a="1"/>
  <c r="S241" i="5" s="1"/>
  <c r="G241" i="6" s="1"/>
  <c r="S70" i="5" a="1"/>
  <c r="S70" i="5" s="1"/>
  <c r="G70" i="6" s="1"/>
  <c r="AG70" i="5" a="1"/>
  <c r="AG70" i="5" s="1"/>
  <c r="U70" i="5" s="1"/>
  <c r="R70" i="5" a="1"/>
  <c r="R70" i="5" s="1"/>
  <c r="S201" i="5" a="1"/>
  <c r="S201" i="5" s="1"/>
  <c r="G201" i="6" s="1"/>
  <c r="AG201" i="5" a="1"/>
  <c r="AG201" i="5" s="1"/>
  <c r="U201" i="5" s="1"/>
  <c r="R201" i="5" a="1"/>
  <c r="R201" i="5" s="1"/>
  <c r="R29" i="5" a="1"/>
  <c r="R29" i="5" s="1"/>
  <c r="AG29" i="5" a="1"/>
  <c r="AG29" i="5" s="1"/>
  <c r="U29" i="5" s="1"/>
  <c r="S29" i="5" a="1"/>
  <c r="S29" i="5" s="1"/>
  <c r="G29" i="6" s="1"/>
  <c r="AG79" i="5" a="1"/>
  <c r="AG79" i="5" s="1"/>
  <c r="U79" i="5" s="1"/>
  <c r="S79" i="5" a="1"/>
  <c r="S79" i="5" s="1"/>
  <c r="G79" i="6" s="1"/>
  <c r="R79" i="5" a="1"/>
  <c r="R79" i="5" s="1"/>
  <c r="R209" i="5" a="1"/>
  <c r="R209" i="5" s="1"/>
  <c r="S209" i="5" a="1"/>
  <c r="S209" i="5" s="1"/>
  <c r="G209" i="6" s="1"/>
  <c r="AG209" i="5" a="1"/>
  <c r="AG209" i="5" s="1"/>
  <c r="U209" i="5" s="1"/>
  <c r="S223" i="5" a="1"/>
  <c r="S223" i="5" s="1"/>
  <c r="G223" i="6" s="1"/>
  <c r="AG223" i="5" a="1"/>
  <c r="AG223" i="5" s="1"/>
  <c r="U223" i="5" s="1"/>
  <c r="R223" i="5" a="1"/>
  <c r="R223" i="5" s="1"/>
  <c r="S155" i="5" a="1"/>
  <c r="S155" i="5" s="1"/>
  <c r="G155" i="6" s="1"/>
  <c r="AG155" i="5" a="1"/>
  <c r="AG155" i="5" s="1"/>
  <c r="U155" i="5" s="1"/>
  <c r="R155" i="5" a="1"/>
  <c r="R155" i="5" s="1"/>
  <c r="S121" i="5" a="1"/>
  <c r="S121" i="5" s="1"/>
  <c r="G121" i="6" s="1"/>
  <c r="AG121" i="5" a="1"/>
  <c r="AG121" i="5" s="1"/>
  <c r="U121" i="5" s="1"/>
  <c r="R121" i="5" a="1"/>
  <c r="R121" i="5" s="1"/>
  <c r="S98" i="5" a="1"/>
  <c r="S98" i="5" s="1"/>
  <c r="G98" i="6" s="1"/>
  <c r="R98" i="5" a="1"/>
  <c r="R98" i="5" s="1"/>
  <c r="AG98" i="5" a="1"/>
  <c r="AG98" i="5" s="1"/>
  <c r="U98" i="5" s="1"/>
  <c r="S141" i="5" a="1"/>
  <c r="S141" i="5" s="1"/>
  <c r="G141" i="6" s="1"/>
  <c r="R141" i="5" a="1"/>
  <c r="R141" i="5" s="1"/>
  <c r="AG141" i="5" a="1"/>
  <c r="AG141" i="5" s="1"/>
  <c r="U141" i="5" s="1"/>
  <c r="R111" i="5" a="1"/>
  <c r="R111" i="5" s="1"/>
  <c r="AG111" i="5" a="1"/>
  <c r="AG111" i="5" s="1"/>
  <c r="U111" i="5" s="1"/>
  <c r="S111" i="5" a="1"/>
  <c r="S111" i="5" s="1"/>
  <c r="G111" i="6" s="1"/>
  <c r="AG65" i="5" a="1"/>
  <c r="AG65" i="5" s="1"/>
  <c r="U65" i="5" s="1"/>
  <c r="R65" i="5" a="1"/>
  <c r="R65" i="5" s="1"/>
  <c r="S65" i="5" a="1"/>
  <c r="S65" i="5" s="1"/>
  <c r="G65" i="6" s="1"/>
  <c r="AG53" i="5" a="1"/>
  <c r="AG53" i="5" s="1"/>
  <c r="U53" i="5" s="1"/>
  <c r="S53" i="5" a="1"/>
  <c r="S53" i="5" s="1"/>
  <c r="G53" i="6" s="1"/>
  <c r="R53" i="5" a="1"/>
  <c r="R53" i="5" s="1"/>
  <c r="AG189" i="5" a="1"/>
  <c r="AG189" i="5" s="1"/>
  <c r="U189" i="5" s="1"/>
  <c r="S189" i="5" a="1"/>
  <c r="S189" i="5" s="1"/>
  <c r="G189" i="6" s="1"/>
  <c r="R189" i="5" a="1"/>
  <c r="R189" i="5" s="1"/>
  <c r="R213" i="5" a="1"/>
  <c r="R213" i="5" s="1"/>
  <c r="AG213" i="5" a="1"/>
  <c r="AG213" i="5" s="1"/>
  <c r="U213" i="5" s="1"/>
  <c r="S213" i="5" a="1"/>
  <c r="S213" i="5" s="1"/>
  <c r="G213" i="6" s="1"/>
  <c r="R153" i="5" a="1"/>
  <c r="R153" i="5" s="1"/>
  <c r="AG153" i="5" a="1"/>
  <c r="AG153" i="5" s="1"/>
  <c r="U153" i="5" s="1"/>
  <c r="S153" i="5" a="1"/>
  <c r="S153" i="5" s="1"/>
  <c r="G153" i="6" s="1"/>
  <c r="R20" i="5" a="1"/>
  <c r="R20" i="5" s="1"/>
  <c r="AG20" i="5" a="1"/>
  <c r="AG20" i="5" s="1"/>
  <c r="U20" i="5" s="1"/>
  <c r="S20" i="5" a="1"/>
  <c r="S20" i="5" s="1"/>
  <c r="G20" i="6" s="1"/>
  <c r="S227" i="5" a="1"/>
  <c r="S227" i="5" s="1"/>
  <c r="G227" i="6" s="1"/>
  <c r="R227" i="5" a="1"/>
  <c r="R227" i="5" s="1"/>
  <c r="AG227" i="5" a="1"/>
  <c r="AG227" i="5" s="1"/>
  <c r="U227" i="5" s="1"/>
  <c r="R216" i="5" a="1"/>
  <c r="R216" i="5" s="1"/>
  <c r="AG216" i="5" a="1"/>
  <c r="AG216" i="5" s="1"/>
  <c r="U216" i="5" s="1"/>
  <c r="S216" i="5" a="1"/>
  <c r="S216" i="5" s="1"/>
  <c r="G216" i="6" s="1"/>
  <c r="S80" i="5" a="1"/>
  <c r="S80" i="5" s="1"/>
  <c r="G80" i="6" s="1"/>
  <c r="R80" i="5" a="1"/>
  <c r="R80" i="5" s="1"/>
  <c r="AG80" i="5" a="1"/>
  <c r="AG80" i="5" s="1"/>
  <c r="U80" i="5" s="1"/>
  <c r="R93" i="5" a="1"/>
  <c r="R93" i="5" s="1"/>
  <c r="AG93" i="5" a="1"/>
  <c r="AG93" i="5" s="1"/>
  <c r="U93" i="5" s="1"/>
  <c r="S93" i="5" a="1"/>
  <c r="S93" i="5" s="1"/>
  <c r="G93" i="6" s="1"/>
  <c r="S163" i="5" a="1"/>
  <c r="S163" i="5" s="1"/>
  <c r="G163" i="6" s="1"/>
  <c r="AG163" i="5" a="1"/>
  <c r="AG163" i="5" s="1"/>
  <c r="U163" i="5" s="1"/>
  <c r="R163" i="5" a="1"/>
  <c r="R163" i="5" s="1"/>
  <c r="R56" i="5" a="1"/>
  <c r="R56" i="5" s="1"/>
  <c r="S56" i="5" a="1"/>
  <c r="S56" i="5" s="1"/>
  <c r="G56" i="6" s="1"/>
  <c r="AG56" i="5" a="1"/>
  <c r="AG56" i="5" s="1"/>
  <c r="U56" i="5" s="1"/>
  <c r="S44" i="5" a="1"/>
  <c r="S44" i="5" s="1"/>
  <c r="G44" i="6" s="1"/>
  <c r="R44" i="5" a="1"/>
  <c r="R44" i="5" s="1"/>
  <c r="AG44" i="5" a="1"/>
  <c r="AG44" i="5" s="1"/>
  <c r="U44" i="5" s="1"/>
  <c r="S48" i="5" a="1"/>
  <c r="S48" i="5" s="1"/>
  <c r="G48" i="6" s="1"/>
  <c r="AG48" i="5" a="1"/>
  <c r="AG48" i="5" s="1"/>
  <c r="U48" i="5" s="1"/>
  <c r="R48" i="5" a="1"/>
  <c r="R48" i="5" s="1"/>
  <c r="R208" i="5" a="1"/>
  <c r="R208" i="5" s="1"/>
  <c r="S208" i="5" a="1"/>
  <c r="S208" i="5" s="1"/>
  <c r="G208" i="6" s="1"/>
  <c r="AG208" i="5" a="1"/>
  <c r="AG208" i="5" s="1"/>
  <c r="U208" i="5" s="1"/>
  <c r="S55" i="5" a="1"/>
  <c r="S55" i="5" s="1"/>
  <c r="G55" i="6" s="1"/>
  <c r="AG55" i="5" a="1"/>
  <c r="AG55" i="5" s="1"/>
  <c r="U55" i="5" s="1"/>
  <c r="R55" i="5" a="1"/>
  <c r="R55" i="5" s="1"/>
  <c r="AG214" i="5" a="1"/>
  <c r="AG214" i="5" s="1"/>
  <c r="U214" i="5" s="1"/>
  <c r="R214" i="5" a="1"/>
  <c r="R214" i="5" s="1"/>
  <c r="S214" i="5" a="1"/>
  <c r="S214" i="5" s="1"/>
  <c r="G214" i="6" s="1"/>
  <c r="S67" i="5" a="1"/>
  <c r="S67" i="5" s="1"/>
  <c r="G67" i="6" s="1"/>
  <c r="AG67" i="5" a="1"/>
  <c r="AG67" i="5" s="1"/>
  <c r="U67" i="5" s="1"/>
  <c r="R67" i="5" a="1"/>
  <c r="R67" i="5" s="1"/>
  <c r="R30" i="5" a="1"/>
  <c r="R30" i="5" s="1"/>
  <c r="S30" i="5" a="1"/>
  <c r="S30" i="5" s="1"/>
  <c r="G30" i="6" s="1"/>
  <c r="AG30" i="5" a="1"/>
  <c r="AG30" i="5" s="1"/>
  <c r="U30" i="5" s="1"/>
  <c r="AG104" i="5" a="1"/>
  <c r="AG104" i="5" s="1"/>
  <c r="U104" i="5" s="1"/>
  <c r="R104" i="5" a="1"/>
  <c r="R104" i="5" s="1"/>
  <c r="S104" i="5" a="1"/>
  <c r="S104" i="5" s="1"/>
  <c r="G104" i="6" s="1"/>
  <c r="R127" i="5" a="1"/>
  <c r="R127" i="5" s="1"/>
  <c r="AG127" i="5" a="1"/>
  <c r="AG127" i="5" s="1"/>
  <c r="U127" i="5" s="1"/>
  <c r="S127" i="5" a="1"/>
  <c r="S127" i="5" s="1"/>
  <c r="G127" i="6" s="1"/>
  <c r="AG136" i="5" a="1"/>
  <c r="AG136" i="5" s="1"/>
  <c r="U136" i="5" s="1"/>
  <c r="S136" i="5" a="1"/>
  <c r="S136" i="5" s="1"/>
  <c r="G136" i="6" s="1"/>
  <c r="R136" i="5" a="1"/>
  <c r="R136" i="5" s="1"/>
  <c r="S39" i="5" a="1"/>
  <c r="S39" i="5" s="1"/>
  <c r="G39" i="6" s="1"/>
  <c r="AG39" i="5" a="1"/>
  <c r="AG39" i="5" s="1"/>
  <c r="U39" i="5" s="1"/>
  <c r="R39" i="5" a="1"/>
  <c r="R39" i="5" s="1"/>
  <c r="R103" i="5" a="1"/>
  <c r="R103" i="5" s="1"/>
  <c r="AG103" i="5" a="1"/>
  <c r="AG103" i="5" s="1"/>
  <c r="U103" i="5" s="1"/>
  <c r="S103" i="5" a="1"/>
  <c r="S103" i="5" s="1"/>
  <c r="G103" i="6" s="1"/>
  <c r="S151" i="5" a="1"/>
  <c r="S151" i="5" s="1"/>
  <c r="G151" i="6" s="1"/>
  <c r="R151" i="5" a="1"/>
  <c r="R151" i="5" s="1"/>
  <c r="AG151" i="5" a="1"/>
  <c r="AG151" i="5" s="1"/>
  <c r="U151" i="5" s="1"/>
  <c r="R196" i="5" a="1"/>
  <c r="R196" i="5" s="1"/>
  <c r="S196" i="5" a="1"/>
  <c r="S196" i="5" s="1"/>
  <c r="G196" i="6" s="1"/>
  <c r="AG196" i="5" a="1"/>
  <c r="AG196" i="5" s="1"/>
  <c r="U196" i="5" s="1"/>
  <c r="R158" i="5" a="1"/>
  <c r="R158" i="5" s="1"/>
  <c r="AG158" i="5" a="1"/>
  <c r="AG158" i="5" s="1"/>
  <c r="U158" i="5" s="1"/>
  <c r="S158" i="5" a="1"/>
  <c r="S158" i="5" s="1"/>
  <c r="G158" i="6" s="1"/>
  <c r="AG42" i="5" a="1"/>
  <c r="AG42" i="5" s="1"/>
  <c r="U42" i="5" s="1"/>
  <c r="R42" i="5" a="1"/>
  <c r="R42" i="5" s="1"/>
  <c r="S42" i="5" a="1"/>
  <c r="S42" i="5" s="1"/>
  <c r="G42" i="6" s="1"/>
  <c r="S236" i="5" a="1"/>
  <c r="S236" i="5" s="1"/>
  <c r="G236" i="6" s="1"/>
  <c r="R236" i="5" a="1"/>
  <c r="R236" i="5" s="1"/>
  <c r="AG236" i="5" a="1"/>
  <c r="AG236" i="5" s="1"/>
  <c r="U236" i="5" s="1"/>
  <c r="S191" i="5" a="1"/>
  <c r="S191" i="5" s="1"/>
  <c r="G191" i="6" s="1"/>
  <c r="AG191" i="5" a="1"/>
  <c r="AG191" i="5" s="1"/>
  <c r="U191" i="5" s="1"/>
  <c r="R191" i="5" a="1"/>
  <c r="R191" i="5" s="1"/>
  <c r="AG239" i="5" a="1"/>
  <c r="AG239" i="5" s="1"/>
  <c r="U239" i="5" s="1"/>
  <c r="R239" i="5" a="1"/>
  <c r="R239" i="5" s="1"/>
  <c r="S239" i="5" a="1"/>
  <c r="S239" i="5" s="1"/>
  <c r="G239" i="6" s="1"/>
  <c r="S28" i="5" a="1"/>
  <c r="S28" i="5" s="1"/>
  <c r="G28" i="6" s="1"/>
  <c r="AG28" i="5" a="1"/>
  <c r="AG28" i="5" s="1"/>
  <c r="U28" i="5" s="1"/>
  <c r="R28" i="5" a="1"/>
  <c r="R28" i="5" s="1"/>
  <c r="R211" i="5" a="1"/>
  <c r="R211" i="5" s="1"/>
  <c r="AG211" i="5" a="1"/>
  <c r="AG211" i="5" s="1"/>
  <c r="U211" i="5" s="1"/>
  <c r="S211" i="5" a="1"/>
  <c r="S211" i="5" s="1"/>
  <c r="G211" i="6" s="1"/>
  <c r="R135" i="5" a="1"/>
  <c r="R135" i="5" s="1"/>
  <c r="S135" i="5" a="1"/>
  <c r="S135" i="5" s="1"/>
  <c r="G135" i="6" s="1"/>
  <c r="AG135" i="5" a="1"/>
  <c r="AG135" i="5" s="1"/>
  <c r="U135" i="5" s="1"/>
  <c r="S74" i="5" a="1"/>
  <c r="S74" i="5" s="1"/>
  <c r="G74" i="6" s="1"/>
  <c r="R74" i="5" a="1"/>
  <c r="R74" i="5" s="1"/>
  <c r="AG74" i="5" a="1"/>
  <c r="AG74" i="5" s="1"/>
  <c r="U74" i="5" s="1"/>
  <c r="S92" i="5" a="1"/>
  <c r="S92" i="5" s="1"/>
  <c r="G92" i="6" s="1"/>
  <c r="AG92" i="5" a="1"/>
  <c r="AG92" i="5" s="1"/>
  <c r="U92" i="5" s="1"/>
  <c r="R92" i="5" a="1"/>
  <c r="R92" i="5" s="1"/>
  <c r="AG71" i="5" a="1"/>
  <c r="AG71" i="5" s="1"/>
  <c r="U71" i="5" s="1"/>
  <c r="R71" i="5" a="1"/>
  <c r="R71" i="5" s="1"/>
  <c r="S71" i="5" a="1"/>
  <c r="S71" i="5" s="1"/>
  <c r="G71" i="6" s="1"/>
  <c r="R100" i="5" a="1"/>
  <c r="R100" i="5" s="1"/>
  <c r="S100" i="5" a="1"/>
  <c r="S100" i="5" s="1"/>
  <c r="G100" i="6" s="1"/>
  <c r="AG100" i="5" a="1"/>
  <c r="AG100" i="5" s="1"/>
  <c r="U100" i="5" s="1"/>
  <c r="R123" i="5" a="1"/>
  <c r="R123" i="5" s="1"/>
  <c r="S123" i="5" a="1"/>
  <c r="S123" i="5" s="1"/>
  <c r="G123" i="6" s="1"/>
  <c r="AG123" i="5" a="1"/>
  <c r="AG123" i="5" s="1"/>
  <c r="U123" i="5" s="1"/>
  <c r="R68" i="5" a="1"/>
  <c r="R68" i="5" s="1"/>
  <c r="AG68" i="5" a="1"/>
  <c r="AG68" i="5" s="1"/>
  <c r="U68" i="5" s="1"/>
  <c r="S68" i="5" a="1"/>
  <c r="S68" i="5" s="1"/>
  <c r="G68" i="6" s="1"/>
  <c r="R168" i="5" a="1"/>
  <c r="R168" i="5" s="1"/>
  <c r="AG168" i="5" a="1"/>
  <c r="AG168" i="5" s="1"/>
  <c r="U168" i="5" s="1"/>
  <c r="S168" i="5" a="1"/>
  <c r="S168" i="5" s="1"/>
  <c r="G168" i="6" s="1"/>
  <c r="R210" i="5" a="1"/>
  <c r="R210" i="5" s="1"/>
  <c r="S210" i="5" a="1"/>
  <c r="S210" i="5" s="1"/>
  <c r="G210" i="6" s="1"/>
  <c r="AG210" i="5" a="1"/>
  <c r="AG210" i="5" s="1"/>
  <c r="U210" i="5" s="1"/>
  <c r="S27" i="5" a="1"/>
  <c r="S27" i="5" s="1"/>
  <c r="G27" i="6" s="1"/>
  <c r="R27" i="5" a="1"/>
  <c r="R27" i="5" s="1"/>
  <c r="AG27" i="5" a="1"/>
  <c r="AG27" i="5" s="1"/>
  <c r="U27" i="5" s="1"/>
  <c r="R87" i="5" a="1"/>
  <c r="R87" i="5" s="1"/>
  <c r="S87" i="5" a="1"/>
  <c r="S87" i="5" s="1"/>
  <c r="G87" i="6" s="1"/>
  <c r="AG87" i="5" a="1"/>
  <c r="AG87" i="5" s="1"/>
  <c r="U87" i="5" s="1"/>
  <c r="S35" i="5" a="1"/>
  <c r="S35" i="5" s="1"/>
  <c r="G35" i="6" s="1"/>
  <c r="AG35" i="5" a="1"/>
  <c r="AG35" i="5" s="1"/>
  <c r="U35" i="5" s="1"/>
  <c r="R35" i="5" a="1"/>
  <c r="R35" i="5" s="1"/>
  <c r="AG218" i="5" a="1"/>
  <c r="AG218" i="5" s="1"/>
  <c r="U218" i="5" s="1"/>
  <c r="S218" i="5" a="1"/>
  <c r="S218" i="5" s="1"/>
  <c r="G218" i="6" s="1"/>
  <c r="R218" i="5" a="1"/>
  <c r="R218" i="5" s="1"/>
  <c r="AG97" i="5" a="1"/>
  <c r="AG97" i="5" s="1"/>
  <c r="U97" i="5" s="1"/>
  <c r="R97" i="5" a="1"/>
  <c r="R97" i="5" s="1"/>
  <c r="S97" i="5" a="1"/>
  <c r="S97" i="5" s="1"/>
  <c r="G97" i="6" s="1"/>
  <c r="R109" i="5" a="1"/>
  <c r="R109" i="5" s="1"/>
  <c r="S109" i="5" a="1"/>
  <c r="S109" i="5" s="1"/>
  <c r="G109" i="6" s="1"/>
  <c r="AG109" i="5" a="1"/>
  <c r="AG109" i="5" s="1"/>
  <c r="U109" i="5" s="1"/>
  <c r="AG164" i="5" a="1"/>
  <c r="AG164" i="5" s="1"/>
  <c r="U164" i="5" s="1"/>
  <c r="R164" i="5" a="1"/>
  <c r="R164" i="5" s="1"/>
  <c r="S164" i="5" a="1"/>
  <c r="S164" i="5" s="1"/>
  <c r="G164" i="6" s="1"/>
  <c r="R221" i="5" a="1"/>
  <c r="R221" i="5" s="1"/>
  <c r="AG221" i="5" a="1"/>
  <c r="AG221" i="5" s="1"/>
  <c r="U221" i="5" s="1"/>
  <c r="S221" i="5" a="1"/>
  <c r="S221" i="5" s="1"/>
  <c r="G221" i="6" s="1"/>
  <c r="R174" i="5" a="1"/>
  <c r="R174" i="5" s="1"/>
  <c r="S174" i="5" a="1"/>
  <c r="S174" i="5" s="1"/>
  <c r="G174" i="6" s="1"/>
  <c r="AG174" i="5" a="1"/>
  <c r="AG174" i="5" s="1"/>
  <c r="U174" i="5" s="1"/>
  <c r="S96" i="5" a="1"/>
  <c r="S96" i="5" s="1"/>
  <c r="G96" i="6" s="1"/>
  <c r="AG96" i="5" a="1"/>
  <c r="AG96" i="5" s="1"/>
  <c r="U96" i="5" s="1"/>
  <c r="R96" i="5" a="1"/>
  <c r="R96" i="5" s="1"/>
  <c r="S108" i="5" a="1"/>
  <c r="S108" i="5" s="1"/>
  <c r="G108" i="6" s="1"/>
  <c r="R108" i="5" a="1"/>
  <c r="R108" i="5" s="1"/>
  <c r="AG108" i="5" a="1"/>
  <c r="AG108" i="5" s="1"/>
  <c r="U108" i="5" s="1"/>
  <c r="R105" i="5" a="1"/>
  <c r="R105" i="5" s="1"/>
  <c r="S105" i="5" a="1"/>
  <c r="S105" i="5" s="1"/>
  <c r="G105" i="6" s="1"/>
  <c r="AG105" i="5" a="1"/>
  <c r="AG105" i="5" s="1"/>
  <c r="U105" i="5" s="1"/>
  <c r="R205" i="5" a="1"/>
  <c r="R205" i="5" s="1"/>
  <c r="S205" i="5" a="1"/>
  <c r="S205" i="5" s="1"/>
  <c r="G205" i="6" s="1"/>
  <c r="AG205" i="5" a="1"/>
  <c r="AG205" i="5" s="1"/>
  <c r="U205" i="5" s="1"/>
  <c r="R51" i="5" a="1"/>
  <c r="R51" i="5" s="1"/>
  <c r="S51" i="5" a="1"/>
  <c r="S51" i="5" s="1"/>
  <c r="G51" i="6" s="1"/>
  <c r="AG51" i="5" a="1"/>
  <c r="AG51" i="5" s="1"/>
  <c r="U51" i="5" s="1"/>
  <c r="R126" i="5" a="1"/>
  <c r="R126" i="5" s="1"/>
  <c r="S126" i="5" a="1"/>
  <c r="S126" i="5" s="1"/>
  <c r="G126" i="6" s="1"/>
  <c r="AG126" i="5" a="1"/>
  <c r="AG126" i="5" s="1"/>
  <c r="U126" i="5" s="1"/>
  <c r="R237" i="5" a="1"/>
  <c r="R237" i="5" s="1"/>
  <c r="AG237" i="5" a="1"/>
  <c r="AG237" i="5" s="1"/>
  <c r="U237" i="5" s="1"/>
  <c r="S237" i="5" a="1"/>
  <c r="S237" i="5" s="1"/>
  <c r="G237" i="6" s="1"/>
  <c r="S129" i="5" a="1"/>
  <c r="S129" i="5" s="1"/>
  <c r="G129" i="6" s="1"/>
  <c r="AG129" i="5" a="1"/>
  <c r="AG129" i="5" s="1"/>
  <c r="U129" i="5" s="1"/>
  <c r="R129" i="5" a="1"/>
  <c r="R129" i="5" s="1"/>
  <c r="R34" i="5" a="1"/>
  <c r="R34" i="5" s="1"/>
  <c r="S34" i="5" a="1"/>
  <c r="S34" i="5" s="1"/>
  <c r="G34" i="6" s="1"/>
  <c r="AG34" i="5" a="1"/>
  <c r="AG34" i="5" s="1"/>
  <c r="U34" i="5" s="1"/>
  <c r="R222" i="5" a="1"/>
  <c r="R222" i="5" s="1"/>
  <c r="S222" i="5" a="1"/>
  <c r="S222" i="5" s="1"/>
  <c r="G222" i="6" s="1"/>
  <c r="AG222" i="5" a="1"/>
  <c r="AG222" i="5" s="1"/>
  <c r="U222" i="5" s="1"/>
  <c r="R43" i="5" a="1"/>
  <c r="R43" i="5" s="1"/>
  <c r="S43" i="5" a="1"/>
  <c r="S43" i="5" s="1"/>
  <c r="G43" i="6" s="1"/>
  <c r="AG43" i="5" a="1"/>
  <c r="AG43" i="5" s="1"/>
  <c r="U43" i="5" s="1"/>
  <c r="AG178" i="5" a="1"/>
  <c r="AG178" i="5" s="1"/>
  <c r="U178" i="5" s="1"/>
  <c r="R178" i="5" a="1"/>
  <c r="R178" i="5" s="1"/>
  <c r="S178" i="5" a="1"/>
  <c r="S178" i="5" s="1"/>
  <c r="G178" i="6" s="1"/>
  <c r="S95" i="5" a="1"/>
  <c r="S95" i="5" s="1"/>
  <c r="G95" i="6" s="1"/>
  <c r="R95" i="5" a="1"/>
  <c r="R95" i="5" s="1"/>
  <c r="AG95" i="5" a="1"/>
  <c r="AG95" i="5" s="1"/>
  <c r="U95" i="5" s="1"/>
  <c r="AG112" i="5" a="1"/>
  <c r="AG112" i="5" s="1"/>
  <c r="U112" i="5" s="1"/>
  <c r="S112" i="5" a="1"/>
  <c r="S112" i="5" s="1"/>
  <c r="G112" i="6" s="1"/>
  <c r="R112" i="5" a="1"/>
  <c r="R112" i="5" s="1"/>
  <c r="S140" i="5" a="1"/>
  <c r="S140" i="5" s="1"/>
  <c r="G140" i="6" s="1"/>
  <c r="AG140" i="5" a="1"/>
  <c r="AG140" i="5" s="1"/>
  <c r="U140" i="5" s="1"/>
  <c r="R140" i="5" a="1"/>
  <c r="R140" i="5" s="1"/>
  <c r="AG150" i="5" a="1"/>
  <c r="AG150" i="5" s="1"/>
  <c r="U150" i="5" s="1"/>
  <c r="R150" i="5" a="1"/>
  <c r="R150" i="5" s="1"/>
  <c r="S150" i="5" a="1"/>
  <c r="S150" i="5" s="1"/>
  <c r="G150" i="6" s="1"/>
  <c r="S181" i="5" a="1"/>
  <c r="S181" i="5" s="1"/>
  <c r="G181" i="6" s="1"/>
  <c r="R181" i="5" a="1"/>
  <c r="R181" i="5" s="1"/>
  <c r="AG181" i="5" a="1"/>
  <c r="AG181" i="5" s="1"/>
  <c r="U181" i="5" s="1"/>
  <c r="AG147" i="5" a="1"/>
  <c r="AG147" i="5" s="1"/>
  <c r="U147" i="5" s="1"/>
  <c r="R147" i="5" a="1"/>
  <c r="R147" i="5" s="1"/>
  <c r="S147" i="5" a="1"/>
  <c r="S147" i="5" s="1"/>
  <c r="G147" i="6" s="1"/>
  <c r="R21" i="5" a="1"/>
  <c r="R21" i="5" s="1"/>
  <c r="S21" i="5" a="1"/>
  <c r="S21" i="5" s="1"/>
  <c r="G21" i="6" s="1"/>
  <c r="AG21" i="5" a="1"/>
  <c r="AG21" i="5" s="1"/>
  <c r="U21" i="5" s="1"/>
  <c r="AG149" i="5" a="1"/>
  <c r="AG149" i="5" s="1"/>
  <c r="U149" i="5" s="1"/>
  <c r="R149" i="5" a="1"/>
  <c r="R149" i="5" s="1"/>
  <c r="S149" i="5" a="1"/>
  <c r="S149" i="5" s="1"/>
  <c r="G149" i="6" s="1"/>
  <c r="R177" i="5" a="1"/>
  <c r="R177" i="5" s="1"/>
  <c r="S177" i="5" a="1"/>
  <c r="S177" i="5" s="1"/>
  <c r="G177" i="6" s="1"/>
  <c r="AG177" i="5" a="1"/>
  <c r="AG177" i="5" s="1"/>
  <c r="U177" i="5" s="1"/>
  <c r="S179" i="5" a="1"/>
  <c r="S179" i="5" s="1"/>
  <c r="G179" i="6" s="1"/>
  <c r="R179" i="5" a="1"/>
  <c r="R179" i="5" s="1"/>
  <c r="AG179" i="5" a="1"/>
  <c r="AG179" i="5" s="1"/>
  <c r="U179" i="5" s="1"/>
  <c r="R77" i="5" a="1"/>
  <c r="R77" i="5" s="1"/>
  <c r="AG77" i="5" a="1"/>
  <c r="AG77" i="5" s="1"/>
  <c r="U77" i="5" s="1"/>
  <c r="S77" i="5" a="1"/>
  <c r="S77" i="5" s="1"/>
  <c r="G77" i="6" s="1"/>
  <c r="AG215" i="5" a="1"/>
  <c r="AG215" i="5" s="1"/>
  <c r="U215" i="5" s="1"/>
  <c r="R215" i="5" a="1"/>
  <c r="R215" i="5" s="1"/>
  <c r="S215" i="5" a="1"/>
  <c r="S215" i="5" s="1"/>
  <c r="G215" i="6" s="1"/>
  <c r="AG57" i="5" a="1"/>
  <c r="AG57" i="5" s="1"/>
  <c r="U57" i="5" s="1"/>
  <c r="R57" i="5" a="1"/>
  <c r="R57" i="5" s="1"/>
  <c r="S57" i="5" a="1"/>
  <c r="S57" i="5" s="1"/>
  <c r="G57" i="6" s="1"/>
  <c r="AG160" i="5" a="1"/>
  <c r="AG160" i="5" s="1"/>
  <c r="U160" i="5" s="1"/>
  <c r="S160" i="5" a="1"/>
  <c r="S160" i="5" s="1"/>
  <c r="G160" i="6" s="1"/>
  <c r="R160" i="5" a="1"/>
  <c r="R160" i="5" s="1"/>
  <c r="S122" i="5" a="1"/>
  <c r="S122" i="5" s="1"/>
  <c r="G122" i="6" s="1"/>
  <c r="AG122" i="5" a="1"/>
  <c r="AG122" i="5" s="1"/>
  <c r="U122" i="5" s="1"/>
  <c r="R122" i="5" a="1"/>
  <c r="R122" i="5" s="1"/>
  <c r="R143" i="5" a="1"/>
  <c r="R143" i="5" s="1"/>
  <c r="AG143" i="5" a="1"/>
  <c r="AG143" i="5" s="1"/>
  <c r="U143" i="5" s="1"/>
  <c r="S143" i="5" a="1"/>
  <c r="S143" i="5" s="1"/>
  <c r="G143" i="6" s="1"/>
  <c r="S64" i="5" a="1"/>
  <c r="S64" i="5" s="1"/>
  <c r="G64" i="6" s="1"/>
  <c r="AG64" i="5" a="1"/>
  <c r="AG64" i="5" s="1"/>
  <c r="U64" i="5" s="1"/>
  <c r="R64" i="5" a="1"/>
  <c r="R64" i="5" s="1"/>
  <c r="AG224" i="5" a="1"/>
  <c r="AG224" i="5" s="1"/>
  <c r="U224" i="5" s="1"/>
  <c r="S224" i="5" a="1"/>
  <c r="S224" i="5" s="1"/>
  <c r="G224" i="6" s="1"/>
  <c r="R224" i="5" a="1"/>
  <c r="R224" i="5" s="1"/>
  <c r="S119" i="5" a="1"/>
  <c r="S119" i="5" s="1"/>
  <c r="G119" i="6" s="1"/>
  <c r="R119" i="5" a="1"/>
  <c r="R119" i="5" s="1"/>
  <c r="AG119" i="5" a="1"/>
  <c r="AG119" i="5" s="1"/>
  <c r="U119" i="5" s="1"/>
  <c r="AG131" i="5" a="1"/>
  <c r="AG131" i="5" s="1"/>
  <c r="U131" i="5" s="1"/>
  <c r="S131" i="5" a="1"/>
  <c r="S131" i="5" s="1"/>
  <c r="G131" i="6" s="1"/>
  <c r="R131" i="5" a="1"/>
  <c r="R131" i="5" s="1"/>
  <c r="S161" i="5" a="1"/>
  <c r="S161" i="5" s="1"/>
  <c r="G161" i="6" s="1"/>
  <c r="AG161" i="5" a="1"/>
  <c r="AG161" i="5" s="1"/>
  <c r="U161" i="5" s="1"/>
  <c r="R161" i="5" a="1"/>
  <c r="R161" i="5" s="1"/>
  <c r="R37" i="5" a="1"/>
  <c r="R37" i="5" s="1"/>
  <c r="AG37" i="5" a="1"/>
  <c r="AG37" i="5" s="1"/>
  <c r="U37" i="5" s="1"/>
  <c r="S37" i="5" a="1"/>
  <c r="S37" i="5" s="1"/>
  <c r="G37" i="6" s="1"/>
  <c r="S197" i="5" a="1"/>
  <c r="S197" i="5" s="1"/>
  <c r="G197" i="6" s="1"/>
  <c r="R197" i="5" a="1"/>
  <c r="R197" i="5" s="1"/>
  <c r="AG197" i="5" a="1"/>
  <c r="AG197" i="5" s="1"/>
  <c r="U197" i="5" s="1"/>
  <c r="AG148" i="5" a="1"/>
  <c r="AG148" i="5" s="1"/>
  <c r="U148" i="5" s="1"/>
  <c r="R148" i="5" a="1"/>
  <c r="R148" i="5" s="1"/>
  <c r="S148" i="5" a="1"/>
  <c r="S148" i="5" s="1"/>
  <c r="G148" i="6" s="1"/>
  <c r="R124" i="5" a="1"/>
  <c r="R124" i="5" s="1"/>
  <c r="AG124" i="5" a="1"/>
  <c r="AG124" i="5" s="1"/>
  <c r="U124" i="5" s="1"/>
  <c r="S124" i="5" a="1"/>
  <c r="S124" i="5" s="1"/>
  <c r="G124" i="6" s="1"/>
  <c r="S146" i="5" a="1"/>
  <c r="S146" i="5" s="1"/>
  <c r="G146" i="6" s="1"/>
  <c r="AG146" i="5" a="1"/>
  <c r="AG146" i="5" s="1"/>
  <c r="U146" i="5" s="1"/>
  <c r="R146" i="5" a="1"/>
  <c r="R146" i="5" s="1"/>
  <c r="R238" i="5" a="1"/>
  <c r="R238" i="5" s="1"/>
  <c r="AG238" i="5" a="1"/>
  <c r="AG238" i="5" s="1"/>
  <c r="U238" i="5" s="1"/>
  <c r="S238" i="5" a="1"/>
  <c r="S238" i="5" s="1"/>
  <c r="G238" i="6" s="1"/>
  <c r="AG172" i="5" a="1"/>
  <c r="AG172" i="5" s="1"/>
  <c r="U172" i="5" s="1"/>
  <c r="R172" i="5" a="1"/>
  <c r="R172" i="5" s="1"/>
  <c r="S172" i="5" a="1"/>
  <c r="S172" i="5" s="1"/>
  <c r="G172" i="6" s="1"/>
  <c r="AG202" i="5" a="1"/>
  <c r="AG202" i="5" s="1"/>
  <c r="U202" i="5" s="1"/>
  <c r="S202" i="5" a="1"/>
  <c r="S202" i="5" s="1"/>
  <c r="G202" i="6" s="1"/>
  <c r="R202" i="5" a="1"/>
  <c r="R202" i="5" s="1"/>
  <c r="S159" i="5" a="1"/>
  <c r="S159" i="5" s="1"/>
  <c r="G159" i="6" s="1"/>
  <c r="AG159" i="5" a="1"/>
  <c r="AG159" i="5" s="1"/>
  <c r="U159" i="5" s="1"/>
  <c r="R159" i="5" a="1"/>
  <c r="R159" i="5" s="1"/>
  <c r="AG32" i="5" a="1"/>
  <c r="AG32" i="5" s="1"/>
  <c r="U32" i="5" s="1"/>
  <c r="S32" i="5" a="1"/>
  <c r="S32" i="5" s="1"/>
  <c r="G32" i="6" s="1"/>
  <c r="R32" i="5" a="1"/>
  <c r="R32" i="5" s="1"/>
  <c r="AG228" i="5" a="1"/>
  <c r="AG228" i="5" s="1"/>
  <c r="U228" i="5" s="1"/>
  <c r="S228" i="5" a="1"/>
  <c r="S228" i="5" s="1"/>
  <c r="G228" i="6" s="1"/>
  <c r="R228" i="5" a="1"/>
  <c r="R228" i="5" s="1"/>
  <c r="AG69" i="5" a="1"/>
  <c r="AG69" i="5" s="1"/>
  <c r="U69" i="5" s="1"/>
  <c r="R69" i="5" a="1"/>
  <c r="R69" i="5" s="1"/>
  <c r="S69" i="5" a="1"/>
  <c r="S69" i="5" s="1"/>
  <c r="G69" i="6" s="1"/>
  <c r="R152" i="5" a="1"/>
  <c r="R152" i="5" s="1"/>
  <c r="S152" i="5" a="1"/>
  <c r="S152" i="5" s="1"/>
  <c r="G152" i="6" s="1"/>
  <c r="AG152" i="5" a="1"/>
  <c r="AG152" i="5" s="1"/>
  <c r="U152" i="5" s="1"/>
  <c r="R169" i="5" a="1"/>
  <c r="R169" i="5" s="1"/>
  <c r="AG169" i="5" a="1"/>
  <c r="AG169" i="5" s="1"/>
  <c r="U169" i="5" s="1"/>
  <c r="S169" i="5" a="1"/>
  <c r="S169" i="5" s="1"/>
  <c r="G169" i="6" s="1"/>
  <c r="AG89" i="5" a="1"/>
  <c r="AG89" i="5" s="1"/>
  <c r="U89" i="5" s="1"/>
  <c r="S89" i="5" a="1"/>
  <c r="S89" i="5" s="1"/>
  <c r="G89" i="6" s="1"/>
  <c r="R89" i="5" a="1"/>
  <c r="R89" i="5" s="1"/>
  <c r="S183" i="5" a="1"/>
  <c r="S183" i="5" s="1"/>
  <c r="G183" i="6" s="1"/>
  <c r="R183" i="5" a="1"/>
  <c r="R183" i="5" s="1"/>
  <c r="AG183" i="5" a="1"/>
  <c r="AG183" i="5" s="1"/>
  <c r="U183" i="5" s="1"/>
  <c r="R24" i="5" a="1"/>
  <c r="R24" i="5" s="1"/>
  <c r="S24" i="5" a="1"/>
  <c r="S24" i="5" s="1"/>
  <c r="G24" i="6" s="1"/>
  <c r="AG24" i="5" a="1"/>
  <c r="AG24" i="5" s="1"/>
  <c r="U24" i="5" s="1"/>
  <c r="S226" i="5" a="1"/>
  <c r="S226" i="5" s="1"/>
  <c r="G226" i="6" s="1"/>
  <c r="R226" i="5" a="1"/>
  <c r="R226" i="5" s="1"/>
  <c r="AG226" i="5" a="1"/>
  <c r="AG226" i="5" s="1"/>
  <c r="U226" i="5" s="1"/>
  <c r="R60" i="5" a="1"/>
  <c r="R60" i="5" s="1"/>
  <c r="S60" i="5" a="1"/>
  <c r="S60" i="5" s="1"/>
  <c r="G60" i="6" s="1"/>
  <c r="AG60" i="5" a="1"/>
  <c r="AG60" i="5" s="1"/>
  <c r="U60" i="5" s="1"/>
  <c r="S176" i="5" a="1"/>
  <c r="S176" i="5" s="1"/>
  <c r="G176" i="6" s="1"/>
  <c r="R176" i="5" a="1"/>
  <c r="R176" i="5" s="1"/>
  <c r="AG176" i="5" a="1"/>
  <c r="AG176" i="5" s="1"/>
  <c r="U176" i="5" s="1"/>
  <c r="S190" i="5" a="1"/>
  <c r="S190" i="5" s="1"/>
  <c r="G190" i="6" s="1"/>
  <c r="AG190" i="5" a="1"/>
  <c r="AG190" i="5" s="1"/>
  <c r="U190" i="5" s="1"/>
  <c r="R190" i="5" a="1"/>
  <c r="R190" i="5" s="1"/>
  <c r="S78" i="5" a="1"/>
  <c r="S78" i="5" s="1"/>
  <c r="G78" i="6" s="1"/>
  <c r="R78" i="5" a="1"/>
  <c r="R78" i="5" s="1"/>
  <c r="AG78" i="5" a="1"/>
  <c r="AG78" i="5" s="1"/>
  <c r="U78" i="5" s="1"/>
  <c r="R41" i="5" a="1"/>
  <c r="R41" i="5" s="1"/>
  <c r="AG41" i="5" a="1"/>
  <c r="AG41" i="5" s="1"/>
  <c r="U41" i="5" s="1"/>
  <c r="S41" i="5" a="1"/>
  <c r="S41" i="5" s="1"/>
  <c r="G41" i="6" s="1"/>
  <c r="S82" i="5" a="1"/>
  <c r="S82" i="5" s="1"/>
  <c r="G82" i="6" s="1"/>
  <c r="AG82" i="5" a="1"/>
  <c r="AG82" i="5" s="1"/>
  <c r="U82" i="5" s="1"/>
  <c r="R82" i="5" a="1"/>
  <c r="R82" i="5" s="1"/>
  <c r="AG81" i="5" a="1"/>
  <c r="AG81" i="5" s="1"/>
  <c r="U81" i="5" s="1"/>
  <c r="S81" i="5" a="1"/>
  <c r="S81" i="5" s="1"/>
  <c r="G81" i="6" s="1"/>
  <c r="R81" i="5" a="1"/>
  <c r="R81" i="5" s="1"/>
  <c r="AG54" i="5" a="1"/>
  <c r="AG54" i="5" s="1"/>
  <c r="U54" i="5" s="1"/>
  <c r="S54" i="5" a="1"/>
  <c r="S54" i="5" s="1"/>
  <c r="G54" i="6" s="1"/>
  <c r="R54" i="5" a="1"/>
  <c r="R54" i="5" s="1"/>
  <c r="R116" i="5" a="1"/>
  <c r="R116" i="5" s="1"/>
  <c r="S116" i="5" a="1"/>
  <c r="S116" i="5" s="1"/>
  <c r="G116" i="6" s="1"/>
  <c r="AG116" i="5" a="1"/>
  <c r="AG116" i="5" s="1"/>
  <c r="U116" i="5" s="1"/>
  <c r="AG31" i="5" a="1"/>
  <c r="AG31" i="5" s="1"/>
  <c r="U31" i="5" s="1"/>
  <c r="R31" i="5" a="1"/>
  <c r="R31" i="5" s="1"/>
  <c r="S31" i="5" a="1"/>
  <c r="S31" i="5" s="1"/>
  <c r="G31" i="6" s="1"/>
  <c r="AG85" i="5" a="1"/>
  <c r="AG85" i="5" s="1"/>
  <c r="U85" i="5" s="1"/>
  <c r="S85" i="5" a="1"/>
  <c r="S85" i="5" s="1"/>
  <c r="G85" i="6" s="1"/>
  <c r="R85" i="5" a="1"/>
  <c r="R85" i="5" s="1"/>
  <c r="S113" i="5" a="1"/>
  <c r="S113" i="5" s="1"/>
  <c r="G113" i="6" s="1"/>
  <c r="R113" i="5" a="1"/>
  <c r="R113" i="5" s="1"/>
  <c r="AG113" i="5" a="1"/>
  <c r="AG113" i="5" s="1"/>
  <c r="U113" i="5" s="1"/>
  <c r="R200" i="5" a="1"/>
  <c r="R200" i="5" s="1"/>
  <c r="AG200" i="5" a="1"/>
  <c r="AG200" i="5" s="1"/>
  <c r="U200" i="5" s="1"/>
  <c r="S200" i="5" a="1"/>
  <c r="S200" i="5" s="1"/>
  <c r="G200" i="6" s="1"/>
  <c r="R243" i="5" a="1"/>
  <c r="R243" i="5" s="1"/>
  <c r="AG243" i="5" a="1"/>
  <c r="AG243" i="5" s="1"/>
  <c r="U243" i="5" s="1"/>
  <c r="S243" i="5" a="1"/>
  <c r="S243" i="5" s="1"/>
  <c r="G243" i="6" s="1"/>
  <c r="R47" i="5" a="1"/>
  <c r="R47" i="5" s="1"/>
  <c r="AG47" i="5" a="1"/>
  <c r="AG47" i="5" s="1"/>
  <c r="U47" i="5" s="1"/>
  <c r="S47" i="5" a="1"/>
  <c r="S47" i="5" s="1"/>
  <c r="G47" i="6" s="1"/>
  <c r="R52" i="5" a="1"/>
  <c r="R52" i="5" s="1"/>
  <c r="S52" i="5" a="1"/>
  <c r="S52" i="5" s="1"/>
  <c r="G52" i="6" s="1"/>
  <c r="AG52" i="5" a="1"/>
  <c r="AG52" i="5" s="1"/>
  <c r="U52" i="5" s="1"/>
  <c r="AG173" i="5" a="1"/>
  <c r="AG173" i="5" s="1"/>
  <c r="U173" i="5" s="1"/>
  <c r="R173" i="5" a="1"/>
  <c r="R173" i="5" s="1"/>
  <c r="S173" i="5" a="1"/>
  <c r="S173" i="5" s="1"/>
  <c r="G173" i="6" s="1"/>
  <c r="AG240" i="5" a="1"/>
  <c r="AG240" i="5" s="1"/>
  <c r="U240" i="5" s="1"/>
  <c r="S240" i="5" a="1"/>
  <c r="S240" i="5" s="1"/>
  <c r="G240" i="6" s="1"/>
  <c r="R240" i="5" a="1"/>
  <c r="R240" i="5" s="1"/>
  <c r="R162" i="5" a="1"/>
  <c r="R162" i="5" s="1"/>
  <c r="S162" i="5" a="1"/>
  <c r="S162" i="5" s="1"/>
  <c r="G162" i="6" s="1"/>
  <c r="AG162" i="5" a="1"/>
  <c r="AG162" i="5" s="1"/>
  <c r="U162" i="5" s="1"/>
  <c r="AG138" i="5" a="1"/>
  <c r="AG138" i="5" s="1"/>
  <c r="U138" i="5" s="1"/>
  <c r="R138" i="5" a="1"/>
  <c r="R138" i="5" s="1"/>
  <c r="S138" i="5" a="1"/>
  <c r="S138" i="5" s="1"/>
  <c r="G138" i="6" s="1"/>
  <c r="AG199" i="5" a="1"/>
  <c r="AG199" i="5" s="1"/>
  <c r="U199" i="5" s="1"/>
  <c r="R199" i="5" a="1"/>
  <c r="R199" i="5" s="1"/>
  <c r="S199" i="5" a="1"/>
  <c r="S199" i="5" s="1"/>
  <c r="G199" i="6" s="1"/>
  <c r="S18" i="5" a="1"/>
  <c r="S18" i="5" s="1"/>
  <c r="G18" i="6" s="1"/>
  <c r="R18" i="5" a="1"/>
  <c r="R18" i="5" s="1"/>
  <c r="AG18" i="5" a="1"/>
  <c r="AG18" i="5" s="1"/>
  <c r="U18" i="5" s="1"/>
  <c r="S137" i="5" a="1"/>
  <c r="S137" i="5" s="1"/>
  <c r="G137" i="6" s="1"/>
  <c r="AG137" i="5" a="1"/>
  <c r="AG137" i="5" s="1"/>
  <c r="U137" i="5" s="1"/>
  <c r="R137" i="5" a="1"/>
  <c r="R137" i="5" s="1"/>
  <c r="AG118" i="5" a="1"/>
  <c r="AG118" i="5" s="1"/>
  <c r="U118" i="5" s="1"/>
  <c r="R118" i="5" a="1"/>
  <c r="R118" i="5" s="1"/>
  <c r="S118" i="5" a="1"/>
  <c r="S118" i="5" s="1"/>
  <c r="G118" i="6" s="1"/>
  <c r="S46" i="5" a="1"/>
  <c r="S46" i="5" s="1"/>
  <c r="G46" i="6" s="1"/>
  <c r="R46" i="5" a="1"/>
  <c r="R46" i="5" s="1"/>
  <c r="AG46" i="5" a="1"/>
  <c r="AG46" i="5" s="1"/>
  <c r="U46" i="5" s="1"/>
  <c r="AG157" i="5" a="1"/>
  <c r="AG157" i="5" s="1"/>
  <c r="U157" i="5" s="1"/>
  <c r="R157" i="5" a="1"/>
  <c r="R157" i="5" s="1"/>
  <c r="S157" i="5" a="1"/>
  <c r="S157" i="5" s="1"/>
  <c r="G157" i="6" s="1"/>
  <c r="AG170" i="5" a="1"/>
  <c r="AG170" i="5" s="1"/>
  <c r="U170" i="5" s="1"/>
  <c r="S170" i="5" a="1"/>
  <c r="S170" i="5" s="1"/>
  <c r="G170" i="6" s="1"/>
  <c r="R170" i="5" a="1"/>
  <c r="R170" i="5" s="1"/>
  <c r="AG171" i="5" a="1"/>
  <c r="AG171" i="5" s="1"/>
  <c r="U171" i="5" s="1"/>
  <c r="S171" i="5" a="1"/>
  <c r="S171" i="5" s="1"/>
  <c r="G171" i="6" s="1"/>
  <c r="R171" i="5" a="1"/>
  <c r="R171" i="5" s="1"/>
  <c r="AG130" i="5" a="1"/>
  <c r="AG130" i="5" s="1"/>
  <c r="U130" i="5" s="1"/>
  <c r="R130" i="5" a="1"/>
  <c r="R130" i="5" s="1"/>
  <c r="S130" i="5" a="1"/>
  <c r="S130" i="5" s="1"/>
  <c r="G130" i="6" s="1"/>
  <c r="W38" i="5" l="1" a="1"/>
  <c r="W38" i="5" s="1"/>
  <c r="AN38" i="5" a="1"/>
  <c r="AN38" i="5" s="1"/>
  <c r="F170" i="6"/>
  <c r="E170" i="12"/>
  <c r="AC170" i="5" a="1"/>
  <c r="AC170" i="5" s="1"/>
  <c r="W152" i="5" a="1"/>
  <c r="W152" i="5" s="1"/>
  <c r="AN152" i="5" a="1"/>
  <c r="AN152" i="5" s="1"/>
  <c r="F35" i="6"/>
  <c r="E35" i="12"/>
  <c r="AC35" i="5" a="1"/>
  <c r="AC35" i="5" s="1"/>
  <c r="F106" i="6"/>
  <c r="E106" i="12"/>
  <c r="AC106" i="5" a="1"/>
  <c r="AC106" i="5" s="1"/>
  <c r="W37" i="5" a="1"/>
  <c r="W37" i="5" s="1"/>
  <c r="AN37" i="5" a="1"/>
  <c r="AN37" i="5" s="1"/>
  <c r="E179" i="12"/>
  <c r="F179" i="6"/>
  <c r="AC179" i="5" a="1"/>
  <c r="AC179" i="5" s="1"/>
  <c r="F164" i="6"/>
  <c r="E164" i="12"/>
  <c r="AC164" i="5" a="1"/>
  <c r="AC164" i="5" s="1"/>
  <c r="E151" i="12"/>
  <c r="F151" i="6"/>
  <c r="AC151" i="5" a="1"/>
  <c r="AC151" i="5" s="1"/>
  <c r="AN121" i="5" a="1"/>
  <c r="AN121" i="5" s="1"/>
  <c r="W121" i="5" a="1"/>
  <c r="W121" i="5" s="1"/>
  <c r="W224" i="5" a="1"/>
  <c r="W224" i="5" s="1"/>
  <c r="AN224" i="5" a="1"/>
  <c r="AN224" i="5" s="1"/>
  <c r="AN187" i="5" a="1"/>
  <c r="AN187" i="5" s="1"/>
  <c r="W187" i="5" a="1"/>
  <c r="W187" i="5" s="1"/>
  <c r="F161" i="6"/>
  <c r="E161" i="12"/>
  <c r="AC161" i="5" a="1"/>
  <c r="AC161" i="5" s="1"/>
  <c r="W155" i="5" a="1"/>
  <c r="W155" i="5" s="1"/>
  <c r="AN155" i="5" a="1"/>
  <c r="AN155" i="5" s="1"/>
  <c r="F38" i="6"/>
  <c r="E38" i="12"/>
  <c r="AC38" i="5" a="1"/>
  <c r="AC38" i="5" s="1"/>
  <c r="E212" i="12"/>
  <c r="F212" i="6"/>
  <c r="AC212" i="5" a="1"/>
  <c r="AC212" i="5" s="1"/>
  <c r="E124" i="12"/>
  <c r="F124" i="6"/>
  <c r="AC124" i="5" a="1"/>
  <c r="AC124" i="5" s="1"/>
  <c r="F68" i="6"/>
  <c r="E68" i="12"/>
  <c r="AC68" i="5" a="1"/>
  <c r="AC68" i="5" s="1"/>
  <c r="E216" i="12"/>
  <c r="F216" i="6"/>
  <c r="AC216" i="5" a="1"/>
  <c r="AC216" i="5" s="1"/>
  <c r="W185" i="5" a="1"/>
  <c r="W185" i="5" s="1"/>
  <c r="AN185" i="5" a="1"/>
  <c r="AN185" i="5" s="1"/>
  <c r="AN144" i="5" a="1"/>
  <c r="AN144" i="5" s="1"/>
  <c r="W144" i="5" a="1"/>
  <c r="W144" i="5" s="1"/>
  <c r="F86" i="6"/>
  <c r="E86" i="12"/>
  <c r="AC86" i="5" a="1"/>
  <c r="AC86" i="5" s="1"/>
  <c r="W165" i="5" a="1"/>
  <c r="W165" i="5" s="1"/>
  <c r="AN165" i="5" a="1"/>
  <c r="AN165" i="5" s="1"/>
  <c r="F145" i="6"/>
  <c r="E145" i="12"/>
  <c r="AC145" i="5" a="1"/>
  <c r="AC145" i="5" s="1"/>
  <c r="F120" i="6"/>
  <c r="E120" i="12"/>
  <c r="AC120" i="5" a="1"/>
  <c r="AC120" i="5" s="1"/>
  <c r="W195" i="5" a="1"/>
  <c r="W195" i="5" s="1"/>
  <c r="AN195" i="5" a="1"/>
  <c r="AN195" i="5" s="1"/>
  <c r="W46" i="5" a="1"/>
  <c r="W46" i="5" s="1"/>
  <c r="AN46" i="5" a="1"/>
  <c r="AN46" i="5" s="1"/>
  <c r="AN116" i="5" a="1"/>
  <c r="AN116" i="5" s="1"/>
  <c r="W116" i="5" a="1"/>
  <c r="W116" i="5" s="1"/>
  <c r="AN60" i="5" a="1"/>
  <c r="AN60" i="5" s="1"/>
  <c r="W60" i="5" a="1"/>
  <c r="W60" i="5" s="1"/>
  <c r="F89" i="6"/>
  <c r="E89" i="12"/>
  <c r="AC89" i="5" a="1"/>
  <c r="AC89" i="5" s="1"/>
  <c r="E228" i="12"/>
  <c r="F228" i="6"/>
  <c r="AC228" i="5" a="1"/>
  <c r="AC228" i="5" s="1"/>
  <c r="F131" i="6"/>
  <c r="E131" i="12"/>
  <c r="AC131" i="5" a="1"/>
  <c r="AC131" i="5" s="1"/>
  <c r="E129" i="12"/>
  <c r="F129" i="6"/>
  <c r="AC129" i="5" a="1"/>
  <c r="AC129" i="5" s="1"/>
  <c r="W205" i="5" a="1"/>
  <c r="W205" i="5" s="1"/>
  <c r="AN205" i="5" a="1"/>
  <c r="AN205" i="5" s="1"/>
  <c r="AN174" i="5" a="1"/>
  <c r="AN174" i="5" s="1"/>
  <c r="W174" i="5" a="1"/>
  <c r="W174" i="5" s="1"/>
  <c r="W27" i="5" a="1"/>
  <c r="W27" i="5" s="1"/>
  <c r="AN27" i="5" a="1"/>
  <c r="AN27" i="5" s="1"/>
  <c r="W123" i="5" a="1"/>
  <c r="W123" i="5" s="1"/>
  <c r="AN123" i="5" a="1"/>
  <c r="AN123" i="5" s="1"/>
  <c r="AN74" i="5" a="1"/>
  <c r="AN74" i="5" s="1"/>
  <c r="W74" i="5" a="1"/>
  <c r="W74" i="5" s="1"/>
  <c r="F39" i="6"/>
  <c r="E39" i="12"/>
  <c r="AC39" i="5" a="1"/>
  <c r="AC39" i="5" s="1"/>
  <c r="W30" i="5" a="1"/>
  <c r="W30" i="5" s="1"/>
  <c r="AN30" i="5" a="1"/>
  <c r="AN30" i="5" s="1"/>
  <c r="W208" i="5" a="1"/>
  <c r="W208" i="5" s="1"/>
  <c r="AN208" i="5" a="1"/>
  <c r="AN208" i="5" s="1"/>
  <c r="E163" i="12"/>
  <c r="F163" i="6"/>
  <c r="AC163" i="5" a="1"/>
  <c r="AC163" i="5" s="1"/>
  <c r="W227" i="5" a="1"/>
  <c r="W227" i="5" s="1"/>
  <c r="AN227" i="5" a="1"/>
  <c r="AN227" i="5" s="1"/>
  <c r="F189" i="6"/>
  <c r="E189" i="12"/>
  <c r="AC189" i="5" a="1"/>
  <c r="AC189" i="5" s="1"/>
  <c r="W141" i="5" a="1"/>
  <c r="W141" i="5" s="1"/>
  <c r="AN141" i="5" a="1"/>
  <c r="AN141" i="5" s="1"/>
  <c r="F223" i="6"/>
  <c r="E223" i="12"/>
  <c r="AC223" i="5" a="1"/>
  <c r="AC223" i="5" s="1"/>
  <c r="E201" i="12"/>
  <c r="F201" i="6"/>
  <c r="AC201" i="5" a="1"/>
  <c r="AC201" i="5" s="1"/>
  <c r="F193" i="6"/>
  <c r="E193" i="12"/>
  <c r="AC193" i="5" a="1"/>
  <c r="AC193" i="5" s="1"/>
  <c r="E219" i="12"/>
  <c r="F219" i="6"/>
  <c r="AC219" i="5" a="1"/>
  <c r="AC219" i="5" s="1"/>
  <c r="F235" i="6"/>
  <c r="E235" i="12"/>
  <c r="AC235" i="5" a="1"/>
  <c r="AC235" i="5" s="1"/>
  <c r="W154" i="5" a="1"/>
  <c r="W154" i="5" s="1"/>
  <c r="AN154" i="5" a="1"/>
  <c r="AN154" i="5" s="1"/>
  <c r="AN192" i="5" a="1"/>
  <c r="AN192" i="5" s="1"/>
  <c r="W192" i="5" a="1"/>
  <c r="W192" i="5" s="1"/>
  <c r="AN90" i="5" a="1"/>
  <c r="AN90" i="5" s="1"/>
  <c r="W90" i="5" a="1"/>
  <c r="W90" i="5" s="1"/>
  <c r="W117" i="5" a="1"/>
  <c r="W117" i="5" s="1"/>
  <c r="AN117" i="5" a="1"/>
  <c r="AN117" i="5" s="1"/>
  <c r="F207" i="6"/>
  <c r="E207" i="12"/>
  <c r="AC207" i="5" a="1"/>
  <c r="AC207" i="5" s="1"/>
  <c r="AN24" i="5" a="1"/>
  <c r="AN24" i="5" s="1"/>
  <c r="W24" i="5" a="1"/>
  <c r="W24" i="5" s="1"/>
  <c r="F160" i="6"/>
  <c r="E160" i="12"/>
  <c r="AC160" i="5" a="1"/>
  <c r="AC160" i="5" s="1"/>
  <c r="F187" i="6"/>
  <c r="E187" i="12"/>
  <c r="AC187" i="5" a="1"/>
  <c r="AC187" i="5" s="1"/>
  <c r="W146" i="5" a="1"/>
  <c r="W146" i="5" s="1"/>
  <c r="AN146" i="5" a="1"/>
  <c r="AN146" i="5" s="1"/>
  <c r="F71" i="6"/>
  <c r="E71" i="12"/>
  <c r="AC71" i="5" a="1"/>
  <c r="AC71" i="5" s="1"/>
  <c r="W153" i="5" a="1"/>
  <c r="W153" i="5" s="1"/>
  <c r="AN153" i="5" a="1"/>
  <c r="AN153" i="5" s="1"/>
  <c r="W56" i="5" a="1"/>
  <c r="W56" i="5" s="1"/>
  <c r="AN56" i="5" a="1"/>
  <c r="AN56" i="5" s="1"/>
  <c r="AN86" i="5" a="1"/>
  <c r="AN86" i="5" s="1"/>
  <c r="W86" i="5" a="1"/>
  <c r="W86" i="5" s="1"/>
  <c r="AN242" i="5" a="1"/>
  <c r="AN242" i="5" s="1"/>
  <c r="W242" i="5" a="1"/>
  <c r="W242" i="5" s="1"/>
  <c r="F18" i="6"/>
  <c r="E18" i="12"/>
  <c r="AC18" i="5" a="1"/>
  <c r="AC18" i="5" s="1"/>
  <c r="W82" i="5" a="1"/>
  <c r="W82" i="5" s="1"/>
  <c r="AN82" i="5" a="1"/>
  <c r="AN82" i="5" s="1"/>
  <c r="W64" i="5" a="1"/>
  <c r="W64" i="5" s="1"/>
  <c r="AN64" i="5" a="1"/>
  <c r="AN64" i="5" s="1"/>
  <c r="E181" i="12"/>
  <c r="F181" i="6"/>
  <c r="AC181" i="5" a="1"/>
  <c r="AC181" i="5" s="1"/>
  <c r="W96" i="5" a="1"/>
  <c r="W96" i="5" s="1"/>
  <c r="AN96" i="5" a="1"/>
  <c r="AN96" i="5" s="1"/>
  <c r="W68" i="5" a="1"/>
  <c r="W68" i="5" s="1"/>
  <c r="AN68" i="5" a="1"/>
  <c r="AN68" i="5" s="1"/>
  <c r="AN103" i="5" a="1"/>
  <c r="AN103" i="5" s="1"/>
  <c r="W103" i="5" a="1"/>
  <c r="W103" i="5" s="1"/>
  <c r="F104" i="6"/>
  <c r="E104" i="12"/>
  <c r="AC104" i="5" a="1"/>
  <c r="AC104" i="5" s="1"/>
  <c r="W216" i="5" a="1"/>
  <c r="W216" i="5" s="1"/>
  <c r="AN216" i="5" a="1"/>
  <c r="AN216" i="5" s="1"/>
  <c r="AN29" i="5" a="1"/>
  <c r="AN29" i="5" s="1"/>
  <c r="W29" i="5" a="1"/>
  <c r="W29" i="5" s="1"/>
  <c r="AN120" i="5" a="1"/>
  <c r="AN120" i="5" s="1"/>
  <c r="W120" i="5" a="1"/>
  <c r="W120" i="5" s="1"/>
  <c r="W31" i="5" a="1"/>
  <c r="W31" i="5" s="1"/>
  <c r="AN31" i="5" a="1"/>
  <c r="AN31" i="5" s="1"/>
  <c r="F34" i="6"/>
  <c r="E34" i="12"/>
  <c r="AC34" i="5" a="1"/>
  <c r="AC34" i="5" s="1"/>
  <c r="AN42" i="5" a="1"/>
  <c r="AN42" i="5" s="1"/>
  <c r="W42" i="5" a="1"/>
  <c r="W42" i="5" s="1"/>
  <c r="F29" i="6"/>
  <c r="E29" i="12"/>
  <c r="AC29" i="5" a="1"/>
  <c r="AC29" i="5" s="1"/>
  <c r="F148" i="6"/>
  <c r="E148" i="12"/>
  <c r="AC148" i="5" a="1"/>
  <c r="AC148" i="5" s="1"/>
  <c r="AN129" i="5" a="1"/>
  <c r="AN129" i="5" s="1"/>
  <c r="W129" i="5" a="1"/>
  <c r="W129" i="5" s="1"/>
  <c r="E97" i="12"/>
  <c r="F97" i="6"/>
  <c r="AC97" i="5" a="1"/>
  <c r="AC97" i="5" s="1"/>
  <c r="F74" i="6"/>
  <c r="E74" i="12"/>
  <c r="AC74" i="5" a="1"/>
  <c r="AC74" i="5" s="1"/>
  <c r="F239" i="6"/>
  <c r="E239" i="12"/>
  <c r="AC239" i="5" a="1"/>
  <c r="AC239" i="5" s="1"/>
  <c r="W158" i="5" a="1"/>
  <c r="W158" i="5" s="1"/>
  <c r="AN158" i="5" a="1"/>
  <c r="AN158" i="5" s="1"/>
  <c r="AN39" i="5" a="1"/>
  <c r="AN39" i="5" s="1"/>
  <c r="W39" i="5" a="1"/>
  <c r="W39" i="5" s="1"/>
  <c r="AN163" i="5" a="1"/>
  <c r="AN163" i="5" s="1"/>
  <c r="W163" i="5" a="1"/>
  <c r="W163" i="5" s="1"/>
  <c r="F227" i="6"/>
  <c r="E227" i="12"/>
  <c r="AC227" i="5" a="1"/>
  <c r="AC227" i="5" s="1"/>
  <c r="E141" i="12"/>
  <c r="F141" i="6"/>
  <c r="AC141" i="5" a="1"/>
  <c r="AC141" i="5" s="1"/>
  <c r="AN223" i="5" a="1"/>
  <c r="AN223" i="5" s="1"/>
  <c r="W223" i="5" a="1"/>
  <c r="W223" i="5" s="1"/>
  <c r="AN201" i="5" a="1"/>
  <c r="AN201" i="5" s="1"/>
  <c r="W201" i="5" a="1"/>
  <c r="W201" i="5" s="1"/>
  <c r="AN193" i="5" a="1"/>
  <c r="AN193" i="5" s="1"/>
  <c r="W193" i="5" a="1"/>
  <c r="W193" i="5" s="1"/>
  <c r="W220" i="5" a="1"/>
  <c r="W220" i="5" s="1"/>
  <c r="AN220" i="5" a="1"/>
  <c r="AN220" i="5" s="1"/>
  <c r="E192" i="12"/>
  <c r="F192" i="6"/>
  <c r="AC192" i="5" a="1"/>
  <c r="AC192" i="5" s="1"/>
  <c r="E90" i="12"/>
  <c r="F90" i="6"/>
  <c r="AC90" i="5" a="1"/>
  <c r="AC90" i="5" s="1"/>
  <c r="AN207" i="5" a="1"/>
  <c r="AN207" i="5" s="1"/>
  <c r="W207" i="5" a="1"/>
  <c r="W207" i="5" s="1"/>
  <c r="AN230" i="5" a="1"/>
  <c r="AN230" i="5" s="1"/>
  <c r="W230" i="5" a="1"/>
  <c r="W230" i="5" s="1"/>
  <c r="F112" i="6"/>
  <c r="E112" i="12"/>
  <c r="AC112" i="5" a="1"/>
  <c r="AC112" i="5" s="1"/>
  <c r="W59" i="5" a="1"/>
  <c r="W59" i="5" s="1"/>
  <c r="AN59" i="5" a="1"/>
  <c r="AN59" i="5" s="1"/>
  <c r="AN190" i="5" a="1"/>
  <c r="AN190" i="5" s="1"/>
  <c r="W190" i="5" a="1"/>
  <c r="W190" i="5" s="1"/>
  <c r="F147" i="6"/>
  <c r="E147" i="12"/>
  <c r="AC147" i="5" a="1"/>
  <c r="AC147" i="5" s="1"/>
  <c r="AN168" i="5" a="1"/>
  <c r="AN168" i="5" s="1"/>
  <c r="W168" i="5" a="1"/>
  <c r="W168" i="5" s="1"/>
  <c r="F214" i="6"/>
  <c r="E214" i="12"/>
  <c r="AC214" i="5" a="1"/>
  <c r="AC214" i="5" s="1"/>
  <c r="F65" i="6"/>
  <c r="E65" i="12"/>
  <c r="AC65" i="5" a="1"/>
  <c r="AC65" i="5" s="1"/>
  <c r="F232" i="6"/>
  <c r="E232" i="12"/>
  <c r="AC232" i="5" a="1"/>
  <c r="AC232" i="5" s="1"/>
  <c r="W231" i="5" a="1"/>
  <c r="W231" i="5" s="1"/>
  <c r="AN231" i="5" a="1"/>
  <c r="AN231" i="5" s="1"/>
  <c r="F162" i="6"/>
  <c r="E162" i="12"/>
  <c r="AC162" i="5" a="1"/>
  <c r="AC162" i="5" s="1"/>
  <c r="AN147" i="5" a="1"/>
  <c r="AN147" i="5" s="1"/>
  <c r="W147" i="5" a="1"/>
  <c r="W147" i="5" s="1"/>
  <c r="E126" i="12"/>
  <c r="F126" i="6"/>
  <c r="AC126" i="5" a="1"/>
  <c r="AC126" i="5" s="1"/>
  <c r="F211" i="6"/>
  <c r="E211" i="12"/>
  <c r="AC211" i="5" a="1"/>
  <c r="AC211" i="5" s="1"/>
  <c r="AN214" i="5" a="1"/>
  <c r="AN214" i="5" s="1"/>
  <c r="W214" i="5" a="1"/>
  <c r="W214" i="5" s="1"/>
  <c r="E153" i="12"/>
  <c r="F153" i="6"/>
  <c r="AC153" i="5" a="1"/>
  <c r="AC153" i="5" s="1"/>
  <c r="AN232" i="5" a="1"/>
  <c r="AN232" i="5" s="1"/>
  <c r="W232" i="5" a="1"/>
  <c r="W232" i="5" s="1"/>
  <c r="F59" i="6"/>
  <c r="E59" i="12"/>
  <c r="AC59" i="5" a="1"/>
  <c r="AC59" i="5" s="1"/>
  <c r="AN194" i="5" a="1"/>
  <c r="AN194" i="5" s="1"/>
  <c r="W194" i="5" a="1"/>
  <c r="W194" i="5" s="1"/>
  <c r="F82" i="6"/>
  <c r="E82" i="12"/>
  <c r="AC82" i="5" a="1"/>
  <c r="AC82" i="5" s="1"/>
  <c r="W95" i="5" a="1"/>
  <c r="W95" i="5" s="1"/>
  <c r="AN95" i="5" a="1"/>
  <c r="AN95" i="5" s="1"/>
  <c r="F155" i="6"/>
  <c r="E155" i="12"/>
  <c r="AC155" i="5" a="1"/>
  <c r="AC155" i="5" s="1"/>
  <c r="F165" i="6"/>
  <c r="E165" i="12"/>
  <c r="AC165" i="5" a="1"/>
  <c r="AC165" i="5" s="1"/>
  <c r="AN212" i="5" a="1"/>
  <c r="AN212" i="5" s="1"/>
  <c r="W212" i="5" a="1"/>
  <c r="W212" i="5" s="1"/>
  <c r="F31" i="6"/>
  <c r="E31" i="12"/>
  <c r="AC31" i="5" a="1"/>
  <c r="AC31" i="5" s="1"/>
  <c r="E183" i="12"/>
  <c r="F183" i="6"/>
  <c r="AC183" i="5" a="1"/>
  <c r="AC183" i="5" s="1"/>
  <c r="W124" i="5" a="1"/>
  <c r="W124" i="5" s="1"/>
  <c r="AN124" i="5" a="1"/>
  <c r="AN124" i="5" s="1"/>
  <c r="E57" i="12"/>
  <c r="F57" i="6"/>
  <c r="AC57" i="5" a="1"/>
  <c r="AC57" i="5" s="1"/>
  <c r="E95" i="12"/>
  <c r="F95" i="6"/>
  <c r="AC95" i="5" a="1"/>
  <c r="AC95" i="5" s="1"/>
  <c r="AN92" i="5" a="1"/>
  <c r="AN92" i="5" s="1"/>
  <c r="W92" i="5" a="1"/>
  <c r="W92" i="5" s="1"/>
  <c r="E42" i="12"/>
  <c r="F42" i="6"/>
  <c r="AC42" i="5" a="1"/>
  <c r="AC42" i="5" s="1"/>
  <c r="AN111" i="5" a="1"/>
  <c r="AN111" i="5" s="1"/>
  <c r="W111" i="5" a="1"/>
  <c r="W111" i="5" s="1"/>
  <c r="AN69" i="5" a="1"/>
  <c r="AN69" i="5" s="1"/>
  <c r="W69" i="5" a="1"/>
  <c r="W69" i="5" s="1"/>
  <c r="F56" i="6"/>
  <c r="E56" i="12"/>
  <c r="AC56" i="5" a="1"/>
  <c r="AC56" i="5" s="1"/>
  <c r="E130" i="12"/>
  <c r="F130" i="6"/>
  <c r="AC130" i="5" a="1"/>
  <c r="AC130" i="5" s="1"/>
  <c r="W41" i="5" a="1"/>
  <c r="W41" i="5" s="1"/>
  <c r="AN41" i="5" a="1"/>
  <c r="AN41" i="5" s="1"/>
  <c r="W143" i="5" a="1"/>
  <c r="W143" i="5" s="1"/>
  <c r="AN143" i="5" a="1"/>
  <c r="AN143" i="5" s="1"/>
  <c r="AN199" i="5" a="1"/>
  <c r="AN199" i="5" s="1"/>
  <c r="W199" i="5" a="1"/>
  <c r="W199" i="5" s="1"/>
  <c r="E60" i="12"/>
  <c r="F60" i="6"/>
  <c r="AC60" i="5" a="1"/>
  <c r="AC60" i="5" s="1"/>
  <c r="W228" i="5" a="1"/>
  <c r="W228" i="5" s="1"/>
  <c r="AN228" i="5" a="1"/>
  <c r="AN228" i="5" s="1"/>
  <c r="W172" i="5" a="1"/>
  <c r="W172" i="5" s="1"/>
  <c r="AN172" i="5" a="1"/>
  <c r="AN172" i="5" s="1"/>
  <c r="AN148" i="5" a="1"/>
  <c r="AN148" i="5" s="1"/>
  <c r="W148" i="5" a="1"/>
  <c r="W148" i="5" s="1"/>
  <c r="W131" i="5" a="1"/>
  <c r="W131" i="5" s="1"/>
  <c r="AN131" i="5" a="1"/>
  <c r="AN131" i="5" s="1"/>
  <c r="E143" i="12"/>
  <c r="F143" i="6"/>
  <c r="AC143" i="5" a="1"/>
  <c r="AC143" i="5" s="1"/>
  <c r="AN215" i="5" a="1"/>
  <c r="AN215" i="5" s="1"/>
  <c r="W215" i="5" a="1"/>
  <c r="W215" i="5" s="1"/>
  <c r="W149" i="5" a="1"/>
  <c r="W149" i="5" s="1"/>
  <c r="AN149" i="5" a="1"/>
  <c r="AN149" i="5" s="1"/>
  <c r="W150" i="5" a="1"/>
  <c r="W150" i="5" s="1"/>
  <c r="AN150" i="5" a="1"/>
  <c r="AN150" i="5" s="1"/>
  <c r="W178" i="5" a="1"/>
  <c r="W178" i="5" s="1"/>
  <c r="AN178" i="5" a="1"/>
  <c r="AN178" i="5" s="1"/>
  <c r="E205" i="12"/>
  <c r="F205" i="6"/>
  <c r="AC205" i="5" a="1"/>
  <c r="AC205" i="5" s="1"/>
  <c r="E174" i="12"/>
  <c r="F174" i="6"/>
  <c r="AC174" i="5" a="1"/>
  <c r="AC174" i="5" s="1"/>
  <c r="AN97" i="5" a="1"/>
  <c r="AN97" i="5" s="1"/>
  <c r="W97" i="5" a="1"/>
  <c r="W97" i="5" s="1"/>
  <c r="F123" i="6"/>
  <c r="E123" i="12"/>
  <c r="AC123" i="5" a="1"/>
  <c r="AC123" i="5" s="1"/>
  <c r="AN239" i="5" a="1"/>
  <c r="AN239" i="5" s="1"/>
  <c r="W239" i="5" a="1"/>
  <c r="W239" i="5" s="1"/>
  <c r="E158" i="12"/>
  <c r="F158" i="6"/>
  <c r="AC158" i="5" a="1"/>
  <c r="AC158" i="5" s="1"/>
  <c r="F30" i="6"/>
  <c r="E30" i="12"/>
  <c r="AC30" i="5" a="1"/>
  <c r="AC30" i="5" s="1"/>
  <c r="F208" i="6"/>
  <c r="E208" i="12"/>
  <c r="AC208" i="5" a="1"/>
  <c r="AC208" i="5" s="1"/>
  <c r="AN189" i="5" a="1"/>
  <c r="AN189" i="5" s="1"/>
  <c r="W189" i="5" a="1"/>
  <c r="W189" i="5" s="1"/>
  <c r="W219" i="5" a="1"/>
  <c r="W219" i="5" s="1"/>
  <c r="AN219" i="5" a="1"/>
  <c r="AN219" i="5" s="1"/>
  <c r="E220" i="12"/>
  <c r="F220" i="6"/>
  <c r="AC220" i="5" a="1"/>
  <c r="AC220" i="5" s="1"/>
  <c r="W235" i="5" a="1"/>
  <c r="W235" i="5" s="1"/>
  <c r="AN235" i="5" a="1"/>
  <c r="AN235" i="5" s="1"/>
  <c r="F154" i="6"/>
  <c r="E154" i="12"/>
  <c r="AC154" i="5" a="1"/>
  <c r="AC154" i="5" s="1"/>
  <c r="F117" i="6"/>
  <c r="E117" i="12"/>
  <c r="AC117" i="5" a="1"/>
  <c r="AC117" i="5" s="1"/>
  <c r="F230" i="6"/>
  <c r="E230" i="12"/>
  <c r="AC230" i="5" a="1"/>
  <c r="AC230" i="5" s="1"/>
  <c r="E85" i="12"/>
  <c r="F85" i="6"/>
  <c r="AC85" i="5" a="1"/>
  <c r="AC85" i="5" s="1"/>
  <c r="F146" i="6"/>
  <c r="E146" i="12"/>
  <c r="AC146" i="5" a="1"/>
  <c r="AC146" i="5" s="1"/>
  <c r="AN126" i="5" a="1"/>
  <c r="AN126" i="5" s="1"/>
  <c r="W126" i="5" a="1"/>
  <c r="W126" i="5" s="1"/>
  <c r="AN80" i="5" a="1"/>
  <c r="AN80" i="5" s="1"/>
  <c r="W80" i="5" a="1"/>
  <c r="W80" i="5" s="1"/>
  <c r="F79" i="6"/>
  <c r="E79" i="12"/>
  <c r="AC79" i="5" a="1"/>
  <c r="AC79" i="5" s="1"/>
  <c r="AN198" i="5" a="1"/>
  <c r="AN198" i="5" s="1"/>
  <c r="W198" i="5" a="1"/>
  <c r="W198" i="5" s="1"/>
  <c r="AN137" i="5" a="1"/>
  <c r="AN137" i="5" s="1"/>
  <c r="W137" i="5" a="1"/>
  <c r="W137" i="5" s="1"/>
  <c r="W159" i="5" a="1"/>
  <c r="W159" i="5" s="1"/>
  <c r="AN159" i="5" a="1"/>
  <c r="AN159" i="5" s="1"/>
  <c r="F236" i="6"/>
  <c r="E236" i="12"/>
  <c r="AC236" i="5" a="1"/>
  <c r="AC236" i="5" s="1"/>
  <c r="AN81" i="5" a="1"/>
  <c r="AN81" i="5" s="1"/>
  <c r="W81" i="5" a="1"/>
  <c r="W81" i="5" s="1"/>
  <c r="F152" i="6"/>
  <c r="E152" i="12"/>
  <c r="AC152" i="5" a="1"/>
  <c r="AC152" i="5" s="1"/>
  <c r="W160" i="5" a="1"/>
  <c r="W160" i="5" s="1"/>
  <c r="AN160" i="5" a="1"/>
  <c r="AN160" i="5" s="1"/>
  <c r="AN164" i="5" a="1"/>
  <c r="AN164" i="5" s="1"/>
  <c r="W164" i="5" a="1"/>
  <c r="W164" i="5" s="1"/>
  <c r="AN79" i="5" a="1"/>
  <c r="AN79" i="5" s="1"/>
  <c r="W79" i="5" a="1"/>
  <c r="W79" i="5" s="1"/>
  <c r="AN106" i="5" a="1"/>
  <c r="AN106" i="5" s="1"/>
  <c r="W106" i="5" a="1"/>
  <c r="W106" i="5" s="1"/>
  <c r="AN18" i="5" a="1"/>
  <c r="AN18" i="5" s="1"/>
  <c r="W18" i="5" a="1"/>
  <c r="W18" i="5" s="1"/>
  <c r="AN177" i="5" a="1"/>
  <c r="AN177" i="5" s="1"/>
  <c r="W177" i="5" a="1"/>
  <c r="W177" i="5" s="1"/>
  <c r="E96" i="12"/>
  <c r="F96" i="6"/>
  <c r="AC96" i="5" a="1"/>
  <c r="AC96" i="5" s="1"/>
  <c r="E144" i="12"/>
  <c r="F144" i="6"/>
  <c r="AC144" i="5" a="1"/>
  <c r="AC144" i="5" s="1"/>
  <c r="E157" i="12"/>
  <c r="F157" i="6"/>
  <c r="AC157" i="5" a="1"/>
  <c r="AC157" i="5" s="1"/>
  <c r="W243" i="5" a="1"/>
  <c r="W243" i="5" s="1"/>
  <c r="AN243" i="5" a="1"/>
  <c r="AN243" i="5" s="1"/>
  <c r="E176" i="12"/>
  <c r="F176" i="6"/>
  <c r="AC176" i="5" a="1"/>
  <c r="AC176" i="5" s="1"/>
  <c r="E69" i="12"/>
  <c r="F69" i="6"/>
  <c r="AC69" i="5" a="1"/>
  <c r="AC69" i="5" s="1"/>
  <c r="W161" i="5" a="1"/>
  <c r="W161" i="5" s="1"/>
  <c r="AN161" i="5" a="1"/>
  <c r="AN161" i="5" s="1"/>
  <c r="W28" i="5" a="1"/>
  <c r="W28" i="5" s="1"/>
  <c r="AN28" i="5" a="1"/>
  <c r="AN28" i="5" s="1"/>
  <c r="W55" i="5" a="1"/>
  <c r="W55" i="5" s="1"/>
  <c r="AN55" i="5" a="1"/>
  <c r="AN55" i="5" s="1"/>
  <c r="AN213" i="5" a="1"/>
  <c r="AN213" i="5" s="1"/>
  <c r="W213" i="5" a="1"/>
  <c r="W213" i="5" s="1"/>
  <c r="F195" i="6"/>
  <c r="E195" i="12"/>
  <c r="AC195" i="5" a="1"/>
  <c r="AC195" i="5" s="1"/>
  <c r="F243" i="6"/>
  <c r="E243" i="12"/>
  <c r="AC243" i="5" a="1"/>
  <c r="AC243" i="5" s="1"/>
  <c r="AN202" i="5" a="1"/>
  <c r="AN202" i="5" s="1"/>
  <c r="W202" i="5" a="1"/>
  <c r="W202" i="5" s="1"/>
  <c r="F177" i="6"/>
  <c r="E177" i="12"/>
  <c r="AC177" i="5" a="1"/>
  <c r="AC177" i="5" s="1"/>
  <c r="F109" i="6"/>
  <c r="E109" i="12"/>
  <c r="AC109" i="5" a="1"/>
  <c r="AC109" i="5" s="1"/>
  <c r="E103" i="12"/>
  <c r="F103" i="6"/>
  <c r="AC103" i="5" a="1"/>
  <c r="AC103" i="5" s="1"/>
  <c r="E111" i="12"/>
  <c r="F111" i="6"/>
  <c r="AC111" i="5" a="1"/>
  <c r="AC111" i="5" s="1"/>
  <c r="E116" i="12"/>
  <c r="F116" i="6"/>
  <c r="AC116" i="5" a="1"/>
  <c r="AC116" i="5" s="1"/>
  <c r="AN52" i="5" a="1"/>
  <c r="AN52" i="5" s="1"/>
  <c r="W52" i="5" a="1"/>
  <c r="W52" i="5" s="1"/>
  <c r="W78" i="5" a="1"/>
  <c r="W78" i="5" s="1"/>
  <c r="AN78" i="5" a="1"/>
  <c r="AN78" i="5" s="1"/>
  <c r="W197" i="5" a="1"/>
  <c r="W197" i="5" s="1"/>
  <c r="AN197" i="5" a="1"/>
  <c r="AN197" i="5" s="1"/>
  <c r="AN21" i="5" a="1"/>
  <c r="AN21" i="5" s="1"/>
  <c r="W21" i="5" a="1"/>
  <c r="W21" i="5" s="1"/>
  <c r="E140" i="12"/>
  <c r="F140" i="6"/>
  <c r="AC140" i="5" a="1"/>
  <c r="AC140" i="5" s="1"/>
  <c r="W43" i="5" a="1"/>
  <c r="W43" i="5" s="1"/>
  <c r="AN43" i="5" a="1"/>
  <c r="AN43" i="5" s="1"/>
  <c r="AN105" i="5" a="1"/>
  <c r="AN105" i="5" s="1"/>
  <c r="W105" i="5" a="1"/>
  <c r="W105" i="5" s="1"/>
  <c r="E218" i="12"/>
  <c r="F218" i="6"/>
  <c r="AC218" i="5" a="1"/>
  <c r="AC218" i="5" s="1"/>
  <c r="W210" i="5" a="1"/>
  <c r="W210" i="5" s="1"/>
  <c r="AN210" i="5" a="1"/>
  <c r="AN210" i="5" s="1"/>
  <c r="AN100" i="5" a="1"/>
  <c r="AN100" i="5" s="1"/>
  <c r="W100" i="5" a="1"/>
  <c r="W100" i="5" s="1"/>
  <c r="W135" i="5" a="1"/>
  <c r="W135" i="5" s="1"/>
  <c r="AN135" i="5" a="1"/>
  <c r="AN135" i="5" s="1"/>
  <c r="E191" i="12"/>
  <c r="F191" i="6"/>
  <c r="AC191" i="5" a="1"/>
  <c r="AC191" i="5" s="1"/>
  <c r="AN196" i="5" a="1"/>
  <c r="AN196" i="5" s="1"/>
  <c r="W196" i="5" a="1"/>
  <c r="W196" i="5" s="1"/>
  <c r="E136" i="12"/>
  <c r="F136" i="6"/>
  <c r="AC136" i="5" a="1"/>
  <c r="AC136" i="5" s="1"/>
  <c r="F67" i="6"/>
  <c r="E67" i="12"/>
  <c r="AC67" i="5" a="1"/>
  <c r="AC67" i="5" s="1"/>
  <c r="F48" i="6"/>
  <c r="E48" i="12"/>
  <c r="AC48" i="5" a="1"/>
  <c r="AC48" i="5" s="1"/>
  <c r="E53" i="12"/>
  <c r="F53" i="6"/>
  <c r="AC53" i="5" a="1"/>
  <c r="AC53" i="5" s="1"/>
  <c r="AN98" i="5" a="1"/>
  <c r="AN98" i="5" s="1"/>
  <c r="W98" i="5" a="1"/>
  <c r="W98" i="5" s="1"/>
  <c r="AN209" i="5" a="1"/>
  <c r="AN209" i="5" s="1"/>
  <c r="W209" i="5" a="1"/>
  <c r="W209" i="5" s="1"/>
  <c r="F70" i="6"/>
  <c r="E70" i="12"/>
  <c r="AC70" i="5" a="1"/>
  <c r="AC70" i="5" s="1"/>
  <c r="E186" i="12"/>
  <c r="F186" i="6"/>
  <c r="AC186" i="5" a="1"/>
  <c r="AC186" i="5" s="1"/>
  <c r="W58" i="5" a="1"/>
  <c r="W58" i="5" s="1"/>
  <c r="AN58" i="5" a="1"/>
  <c r="AN58" i="5" s="1"/>
  <c r="F88" i="6"/>
  <c r="E88" i="12"/>
  <c r="AC88" i="5" a="1"/>
  <c r="AC88" i="5" s="1"/>
  <c r="W182" i="5" a="1"/>
  <c r="W182" i="5" s="1"/>
  <c r="AN182" i="5" a="1"/>
  <c r="AN182" i="5" s="1"/>
  <c r="W139" i="5" a="1"/>
  <c r="W139" i="5" s="1"/>
  <c r="AN139" i="5" a="1"/>
  <c r="AN139" i="5" s="1"/>
  <c r="F229" i="6"/>
  <c r="E229" i="12"/>
  <c r="AC229" i="5" a="1"/>
  <c r="AC229" i="5" s="1"/>
  <c r="F184" i="6"/>
  <c r="E184" i="12"/>
  <c r="AC184" i="5" a="1"/>
  <c r="AC184" i="5" s="1"/>
  <c r="W162" i="5" a="1"/>
  <c r="W162" i="5" s="1"/>
  <c r="AN162" i="5" a="1"/>
  <c r="AN162" i="5" s="1"/>
  <c r="E190" i="12"/>
  <c r="F190" i="6"/>
  <c r="AC190" i="5" a="1"/>
  <c r="AC190" i="5" s="1"/>
  <c r="E224" i="12"/>
  <c r="F224" i="6"/>
  <c r="AC224" i="5" a="1"/>
  <c r="AC224" i="5" s="1"/>
  <c r="W222" i="5" a="1"/>
  <c r="W222" i="5" s="1"/>
  <c r="AN222" i="5" a="1"/>
  <c r="AN222" i="5" s="1"/>
  <c r="AN151" i="5" a="1"/>
  <c r="AN151" i="5" s="1"/>
  <c r="W151" i="5" a="1"/>
  <c r="W151" i="5" s="1"/>
  <c r="F206" i="6"/>
  <c r="E206" i="12"/>
  <c r="AC206" i="5" a="1"/>
  <c r="AC206" i="5" s="1"/>
  <c r="AN47" i="5" a="1"/>
  <c r="AN47" i="5" s="1"/>
  <c r="W47" i="5" a="1"/>
  <c r="W47" i="5" s="1"/>
  <c r="AN35" i="5" a="1"/>
  <c r="AN35" i="5" s="1"/>
  <c r="W35" i="5" a="1"/>
  <c r="W35" i="5" s="1"/>
  <c r="AN127" i="5" a="1"/>
  <c r="AN127" i="5" s="1"/>
  <c r="W127" i="5" a="1"/>
  <c r="W127" i="5" s="1"/>
  <c r="F80" i="6"/>
  <c r="E80" i="12"/>
  <c r="AC80" i="5" a="1"/>
  <c r="AC80" i="5" s="1"/>
  <c r="AN241" i="5" a="1"/>
  <c r="AN241" i="5" s="1"/>
  <c r="W241" i="5" a="1"/>
  <c r="W241" i="5" s="1"/>
  <c r="F194" i="6"/>
  <c r="E194" i="12"/>
  <c r="AC194" i="5" a="1"/>
  <c r="AC194" i="5" s="1"/>
  <c r="E47" i="12"/>
  <c r="F47" i="6"/>
  <c r="AC47" i="5" a="1"/>
  <c r="AC47" i="5" s="1"/>
  <c r="E24" i="12"/>
  <c r="F24" i="6"/>
  <c r="AC24" i="5" a="1"/>
  <c r="AC24" i="5" s="1"/>
  <c r="E37" i="12"/>
  <c r="F37" i="6"/>
  <c r="AC37" i="5" a="1"/>
  <c r="AC37" i="5" s="1"/>
  <c r="AN112" i="5" a="1"/>
  <c r="AN112" i="5" s="1"/>
  <c r="W112" i="5" a="1"/>
  <c r="W112" i="5" s="1"/>
  <c r="F222" i="6"/>
  <c r="E222" i="12"/>
  <c r="AC222" i="5" a="1"/>
  <c r="AC222" i="5" s="1"/>
  <c r="W71" i="5" a="1"/>
  <c r="W71" i="5" s="1"/>
  <c r="AN71" i="5" a="1"/>
  <c r="AN71" i="5" s="1"/>
  <c r="E127" i="12"/>
  <c r="F127" i="6"/>
  <c r="AC127" i="5" a="1"/>
  <c r="AC127" i="5" s="1"/>
  <c r="W65" i="5" a="1"/>
  <c r="W65" i="5" s="1"/>
  <c r="AN65" i="5" a="1"/>
  <c r="AN65" i="5" s="1"/>
  <c r="E241" i="12"/>
  <c r="F241" i="6"/>
  <c r="AC241" i="5" a="1"/>
  <c r="AC241" i="5" s="1"/>
  <c r="E240" i="12"/>
  <c r="F240" i="6"/>
  <c r="AC240" i="5" a="1"/>
  <c r="AC240" i="5" s="1"/>
  <c r="W183" i="5" a="1"/>
  <c r="W183" i="5" s="1"/>
  <c r="AN183" i="5" a="1"/>
  <c r="AN183" i="5" s="1"/>
  <c r="AN34" i="5" a="1"/>
  <c r="AN34" i="5" s="1"/>
  <c r="W34" i="5" a="1"/>
  <c r="W34" i="5" s="1"/>
  <c r="AN109" i="5" a="1"/>
  <c r="AN109" i="5" s="1"/>
  <c r="W109" i="5" a="1"/>
  <c r="W109" i="5" s="1"/>
  <c r="AN87" i="5" a="1"/>
  <c r="AN87" i="5" s="1"/>
  <c r="W87" i="5" a="1"/>
  <c r="W87" i="5" s="1"/>
  <c r="E28" i="12"/>
  <c r="F28" i="6"/>
  <c r="AC28" i="5" a="1"/>
  <c r="AC28" i="5" s="1"/>
  <c r="E185" i="12"/>
  <c r="F185" i="6"/>
  <c r="AC185" i="5" a="1"/>
  <c r="AC185" i="5" s="1"/>
  <c r="AN145" i="5" a="1"/>
  <c r="AN145" i="5" s="1"/>
  <c r="W145" i="5" a="1"/>
  <c r="W145" i="5" s="1"/>
  <c r="E242" i="12"/>
  <c r="F242" i="6"/>
  <c r="AC242" i="5" a="1"/>
  <c r="AC242" i="5" s="1"/>
  <c r="AN157" i="5" a="1"/>
  <c r="AN157" i="5" s="1"/>
  <c r="W157" i="5" a="1"/>
  <c r="W157" i="5" s="1"/>
  <c r="W57" i="5" a="1"/>
  <c r="W57" i="5" s="1"/>
  <c r="AN57" i="5" a="1"/>
  <c r="AN57" i="5" s="1"/>
  <c r="F87" i="6"/>
  <c r="E87" i="12"/>
  <c r="AC87" i="5" a="1"/>
  <c r="AC87" i="5" s="1"/>
  <c r="W104" i="5" a="1"/>
  <c r="W104" i="5" s="1"/>
  <c r="AN104" i="5" a="1"/>
  <c r="AN104" i="5" s="1"/>
  <c r="E213" i="12"/>
  <c r="F213" i="6"/>
  <c r="AC213" i="5" a="1"/>
  <c r="AC213" i="5" s="1"/>
  <c r="F46" i="6"/>
  <c r="E46" i="12"/>
  <c r="AC46" i="5" a="1"/>
  <c r="AC46" i="5" s="1"/>
  <c r="AN200" i="5" a="1"/>
  <c r="AN200" i="5" s="1"/>
  <c r="W200" i="5" a="1"/>
  <c r="W200" i="5" s="1"/>
  <c r="E215" i="12"/>
  <c r="F215" i="6"/>
  <c r="AC215" i="5" a="1"/>
  <c r="AC215" i="5" s="1"/>
  <c r="F150" i="6"/>
  <c r="E150" i="12"/>
  <c r="AC150" i="5" a="1"/>
  <c r="AC150" i="5" s="1"/>
  <c r="AN173" i="5" a="1"/>
  <c r="AN173" i="5" s="1"/>
  <c r="W173" i="5" a="1"/>
  <c r="W173" i="5" s="1"/>
  <c r="E41" i="12"/>
  <c r="F41" i="6"/>
  <c r="AC41" i="5" a="1"/>
  <c r="AC41" i="5" s="1"/>
  <c r="F171" i="6"/>
  <c r="E171" i="12"/>
  <c r="AC171" i="5" a="1"/>
  <c r="AC171" i="5" s="1"/>
  <c r="AN113" i="5" a="1"/>
  <c r="AN113" i="5" s="1"/>
  <c r="W113" i="5" a="1"/>
  <c r="W113" i="5" s="1"/>
  <c r="F54" i="6"/>
  <c r="E54" i="12"/>
  <c r="AC54" i="5" a="1"/>
  <c r="AC54" i="5" s="1"/>
  <c r="AN226" i="5" a="1"/>
  <c r="AN226" i="5" s="1"/>
  <c r="W226" i="5" a="1"/>
  <c r="W226" i="5" s="1"/>
  <c r="F32" i="6"/>
  <c r="E32" i="12"/>
  <c r="AC32" i="5" a="1"/>
  <c r="AC32" i="5" s="1"/>
  <c r="AN119" i="5" a="1"/>
  <c r="AN119" i="5" s="1"/>
  <c r="W119" i="5" a="1"/>
  <c r="W119" i="5" s="1"/>
  <c r="E118" i="12"/>
  <c r="F118" i="6"/>
  <c r="AC118" i="5" a="1"/>
  <c r="AC118" i="5" s="1"/>
  <c r="E138" i="12"/>
  <c r="F138" i="6"/>
  <c r="AC138" i="5" a="1"/>
  <c r="AC138" i="5" s="1"/>
  <c r="E113" i="12"/>
  <c r="F113" i="6"/>
  <c r="AC113" i="5" a="1"/>
  <c r="AC113" i="5" s="1"/>
  <c r="E78" i="12"/>
  <c r="F78" i="6"/>
  <c r="AC78" i="5" a="1"/>
  <c r="AC78" i="5" s="1"/>
  <c r="F226" i="6"/>
  <c r="E226" i="12"/>
  <c r="AC226" i="5" a="1"/>
  <c r="AC226" i="5" s="1"/>
  <c r="W169" i="5" a="1"/>
  <c r="W169" i="5" s="1"/>
  <c r="AN169" i="5" a="1"/>
  <c r="AN169" i="5" s="1"/>
  <c r="AN238" i="5" a="1"/>
  <c r="AN238" i="5" s="1"/>
  <c r="W238" i="5" a="1"/>
  <c r="W238" i="5" s="1"/>
  <c r="F197" i="6"/>
  <c r="E197" i="12"/>
  <c r="AC197" i="5" a="1"/>
  <c r="AC197" i="5" s="1"/>
  <c r="E119" i="12"/>
  <c r="F119" i="6"/>
  <c r="AC119" i="5" a="1"/>
  <c r="AC119" i="5" s="1"/>
  <c r="W122" i="5" a="1"/>
  <c r="W122" i="5" s="1"/>
  <c r="AN122" i="5" a="1"/>
  <c r="AN122" i="5" s="1"/>
  <c r="AN77" i="5" a="1"/>
  <c r="AN77" i="5" s="1"/>
  <c r="W77" i="5" a="1"/>
  <c r="W77" i="5" s="1"/>
  <c r="W140" i="5" a="1"/>
  <c r="W140" i="5" s="1"/>
  <c r="AN140" i="5" a="1"/>
  <c r="AN140" i="5" s="1"/>
  <c r="W237" i="5" a="1"/>
  <c r="W237" i="5" s="1"/>
  <c r="AN237" i="5" a="1"/>
  <c r="AN237" i="5" s="1"/>
  <c r="W221" i="5" a="1"/>
  <c r="W221" i="5" s="1"/>
  <c r="AN221" i="5" a="1"/>
  <c r="AN221" i="5" s="1"/>
  <c r="W191" i="5" a="1"/>
  <c r="W191" i="5" s="1"/>
  <c r="AN191" i="5" a="1"/>
  <c r="AN191" i="5" s="1"/>
  <c r="AN67" i="5" a="1"/>
  <c r="AN67" i="5" s="1"/>
  <c r="W67" i="5" a="1"/>
  <c r="W67" i="5" s="1"/>
  <c r="AN48" i="5" a="1"/>
  <c r="AN48" i="5" s="1"/>
  <c r="W48" i="5" a="1"/>
  <c r="W48" i="5" s="1"/>
  <c r="W93" i="5" a="1"/>
  <c r="W93" i="5" s="1"/>
  <c r="AN93" i="5" a="1"/>
  <c r="AN93" i="5" s="1"/>
  <c r="W20" i="5" a="1"/>
  <c r="W20" i="5" s="1"/>
  <c r="AN20" i="5" a="1"/>
  <c r="AN20" i="5" s="1"/>
  <c r="E98" i="12"/>
  <c r="F98" i="6"/>
  <c r="AC98" i="5" a="1"/>
  <c r="AC98" i="5" s="1"/>
  <c r="AN70" i="5" a="1"/>
  <c r="AN70" i="5" s="1"/>
  <c r="W70" i="5" a="1"/>
  <c r="W70" i="5" s="1"/>
  <c r="W186" i="5" a="1"/>
  <c r="W186" i="5" s="1"/>
  <c r="AN186" i="5" a="1"/>
  <c r="AN186" i="5" s="1"/>
  <c r="W40" i="5" a="1"/>
  <c r="W40" i="5" s="1"/>
  <c r="AN40" i="5" a="1"/>
  <c r="AN40" i="5" s="1"/>
  <c r="E33" i="12"/>
  <c r="F33" i="6"/>
  <c r="AC33" i="5" a="1"/>
  <c r="AC33" i="5" s="1"/>
  <c r="AN63" i="5" a="1"/>
  <c r="AN63" i="5" s="1"/>
  <c r="W63" i="5" a="1"/>
  <c r="W63" i="5" s="1"/>
  <c r="AN229" i="5" a="1"/>
  <c r="AN229" i="5" s="1"/>
  <c r="W229" i="5" a="1"/>
  <c r="W229" i="5" s="1"/>
  <c r="F137" i="6"/>
  <c r="E137" i="12"/>
  <c r="AC137" i="5" a="1"/>
  <c r="AC137" i="5" s="1"/>
  <c r="F81" i="6"/>
  <c r="E81" i="12"/>
  <c r="AC81" i="5" a="1"/>
  <c r="AC81" i="5" s="1"/>
  <c r="F159" i="6"/>
  <c r="E159" i="12"/>
  <c r="AC159" i="5" a="1"/>
  <c r="AC159" i="5" s="1"/>
  <c r="W179" i="5" a="1"/>
  <c r="W179" i="5" s="1"/>
  <c r="AN179" i="5" a="1"/>
  <c r="AN179" i="5" s="1"/>
  <c r="AN108" i="5" a="1"/>
  <c r="AN108" i="5" s="1"/>
  <c r="W108" i="5" a="1"/>
  <c r="W108" i="5" s="1"/>
  <c r="W236" i="5" a="1"/>
  <c r="W236" i="5" s="1"/>
  <c r="AN236" i="5" a="1"/>
  <c r="AN236" i="5" s="1"/>
  <c r="AN44" i="5" a="1"/>
  <c r="AN44" i="5" s="1"/>
  <c r="W44" i="5" a="1"/>
  <c r="W44" i="5" s="1"/>
  <c r="E121" i="12"/>
  <c r="F121" i="6"/>
  <c r="AC121" i="5" a="1"/>
  <c r="AC121" i="5" s="1"/>
  <c r="AN72" i="5" a="1"/>
  <c r="AN72" i="5" s="1"/>
  <c r="W72" i="5" a="1"/>
  <c r="W72" i="5" s="1"/>
  <c r="E108" i="12"/>
  <c r="F108" i="6"/>
  <c r="AC108" i="5" a="1"/>
  <c r="AC108" i="5" s="1"/>
  <c r="AN211" i="5" a="1"/>
  <c r="AN211" i="5" s="1"/>
  <c r="W211" i="5" a="1"/>
  <c r="W211" i="5" s="1"/>
  <c r="F44" i="6"/>
  <c r="E44" i="12"/>
  <c r="AC44" i="5" a="1"/>
  <c r="AC44" i="5" s="1"/>
  <c r="W206" i="5" a="1"/>
  <c r="W206" i="5" s="1"/>
  <c r="AN206" i="5" a="1"/>
  <c r="AN206" i="5" s="1"/>
  <c r="E198" i="12"/>
  <c r="F198" i="6"/>
  <c r="AC198" i="5" a="1"/>
  <c r="AC198" i="5" s="1"/>
  <c r="AN170" i="5" a="1"/>
  <c r="AN170" i="5" s="1"/>
  <c r="W170" i="5" a="1"/>
  <c r="W170" i="5" s="1"/>
  <c r="AN85" i="5" a="1"/>
  <c r="AN85" i="5" s="1"/>
  <c r="W85" i="5" a="1"/>
  <c r="W85" i="5" s="1"/>
  <c r="E168" i="12"/>
  <c r="F168" i="6"/>
  <c r="AC168" i="5" a="1"/>
  <c r="AC168" i="5" s="1"/>
  <c r="F72" i="6"/>
  <c r="E72" i="12"/>
  <c r="AC72" i="5" a="1"/>
  <c r="AC72" i="5" s="1"/>
  <c r="E231" i="12"/>
  <c r="F231" i="6"/>
  <c r="AC231" i="5" a="1"/>
  <c r="AC231" i="5" s="1"/>
  <c r="W176" i="5" a="1"/>
  <c r="W176" i="5" s="1"/>
  <c r="AN176" i="5" a="1"/>
  <c r="AN176" i="5" s="1"/>
  <c r="F202" i="6"/>
  <c r="E202" i="12"/>
  <c r="AC202" i="5" a="1"/>
  <c r="AC202" i="5" s="1"/>
  <c r="F64" i="6"/>
  <c r="E64" i="12"/>
  <c r="AC64" i="5" a="1"/>
  <c r="AC64" i="5" s="1"/>
  <c r="AN181" i="5" a="1"/>
  <c r="AN181" i="5" s="1"/>
  <c r="W181" i="5" a="1"/>
  <c r="W181" i="5" s="1"/>
  <c r="AN51" i="5" a="1"/>
  <c r="AN51" i="5" s="1"/>
  <c r="W51" i="5" a="1"/>
  <c r="W51" i="5" s="1"/>
  <c r="F92" i="6"/>
  <c r="E92" i="12"/>
  <c r="AC92" i="5" a="1"/>
  <c r="AC92" i="5" s="1"/>
  <c r="E55" i="12"/>
  <c r="F55" i="6"/>
  <c r="AC55" i="5" a="1"/>
  <c r="AC55" i="5" s="1"/>
  <c r="W240" i="5" a="1"/>
  <c r="W240" i="5" s="1"/>
  <c r="AN240" i="5" a="1"/>
  <c r="AN240" i="5" s="1"/>
  <c r="E51" i="12"/>
  <c r="F51" i="6"/>
  <c r="AC51" i="5" a="1"/>
  <c r="AC51" i="5" s="1"/>
  <c r="E199" i="12"/>
  <c r="F199" i="6"/>
  <c r="AC199" i="5" a="1"/>
  <c r="AC199" i="5" s="1"/>
  <c r="E173" i="12"/>
  <c r="F173" i="6"/>
  <c r="AC173" i="5" a="1"/>
  <c r="AC173" i="5" s="1"/>
  <c r="E172" i="12"/>
  <c r="F172" i="6"/>
  <c r="AC172" i="5" a="1"/>
  <c r="AC172" i="5" s="1"/>
  <c r="E149" i="12"/>
  <c r="F149" i="6"/>
  <c r="AC149" i="5" a="1"/>
  <c r="AC149" i="5" s="1"/>
  <c r="F178" i="6"/>
  <c r="E178" i="12"/>
  <c r="AC178" i="5" a="1"/>
  <c r="AC178" i="5" s="1"/>
  <c r="E27" i="12"/>
  <c r="F27" i="6"/>
  <c r="AC27" i="5" a="1"/>
  <c r="AC27" i="5" s="1"/>
  <c r="W130" i="5" a="1"/>
  <c r="W130" i="5" s="1"/>
  <c r="AN130" i="5" a="1"/>
  <c r="AN130" i="5" s="1"/>
  <c r="E200" i="12"/>
  <c r="F200" i="6"/>
  <c r="AC200" i="5" a="1"/>
  <c r="AC200" i="5" s="1"/>
  <c r="AN89" i="5" a="1"/>
  <c r="AN89" i="5" s="1"/>
  <c r="W89" i="5" a="1"/>
  <c r="W89" i="5" s="1"/>
  <c r="F122" i="6"/>
  <c r="E122" i="12"/>
  <c r="AC122" i="5" a="1"/>
  <c r="AC122" i="5" s="1"/>
  <c r="AN171" i="5" a="1"/>
  <c r="AN171" i="5" s="1"/>
  <c r="W171" i="5" a="1"/>
  <c r="W171" i="5" s="1"/>
  <c r="AN118" i="5" a="1"/>
  <c r="AN118" i="5" s="1"/>
  <c r="W118" i="5" a="1"/>
  <c r="W118" i="5" s="1"/>
  <c r="AN138" i="5" a="1"/>
  <c r="AN138" i="5" s="1"/>
  <c r="W138" i="5" a="1"/>
  <c r="W138" i="5" s="1"/>
  <c r="E52" i="12"/>
  <c r="F52" i="6"/>
  <c r="AC52" i="5" a="1"/>
  <c r="AC52" i="5" s="1"/>
  <c r="AN54" i="5" a="1"/>
  <c r="AN54" i="5" s="1"/>
  <c r="W54" i="5" a="1"/>
  <c r="W54" i="5" s="1"/>
  <c r="E169" i="12"/>
  <c r="F169" i="6"/>
  <c r="AC169" i="5" a="1"/>
  <c r="AC169" i="5" s="1"/>
  <c r="AN32" i="5" a="1"/>
  <c r="AN32" i="5" s="1"/>
  <c r="W32" i="5" a="1"/>
  <c r="W32" i="5" s="1"/>
  <c r="E238" i="12"/>
  <c r="F238" i="6"/>
  <c r="AC238" i="5" a="1"/>
  <c r="AC238" i="5" s="1"/>
  <c r="F77" i="6"/>
  <c r="E77" i="12"/>
  <c r="AC77" i="5" a="1"/>
  <c r="AC77" i="5" s="1"/>
  <c r="E21" i="12"/>
  <c r="F21" i="6"/>
  <c r="AC21" i="5" a="1"/>
  <c r="AC21" i="5" s="1"/>
  <c r="F43" i="6"/>
  <c r="E43" i="12"/>
  <c r="AC43" i="5" a="1"/>
  <c r="AC43" i="5" s="1"/>
  <c r="E237" i="12"/>
  <c r="F237" i="6"/>
  <c r="AC237" i="5" a="1"/>
  <c r="AC237" i="5" s="1"/>
  <c r="E105" i="12"/>
  <c r="F105" i="6"/>
  <c r="AC105" i="5" a="1"/>
  <c r="AC105" i="5" s="1"/>
  <c r="F221" i="6"/>
  <c r="E221" i="12"/>
  <c r="AC221" i="5" a="1"/>
  <c r="AC221" i="5" s="1"/>
  <c r="AN218" i="5" a="1"/>
  <c r="AN218" i="5" s="1"/>
  <c r="W218" i="5" a="1"/>
  <c r="W218" i="5" s="1"/>
  <c r="E210" i="12"/>
  <c r="F210" i="6"/>
  <c r="AC210" i="5" a="1"/>
  <c r="AC210" i="5" s="1"/>
  <c r="F100" i="6"/>
  <c r="E100" i="12"/>
  <c r="AC100" i="5" a="1"/>
  <c r="AC100" i="5" s="1"/>
  <c r="F135" i="6"/>
  <c r="E135" i="12"/>
  <c r="AC135" i="5" a="1"/>
  <c r="AC135" i="5" s="1"/>
  <c r="F196" i="6"/>
  <c r="E196" i="12"/>
  <c r="AC196" i="5" a="1"/>
  <c r="AC196" i="5" s="1"/>
  <c r="AN136" i="5" a="1"/>
  <c r="AN136" i="5" s="1"/>
  <c r="W136" i="5" a="1"/>
  <c r="W136" i="5" s="1"/>
  <c r="E93" i="12"/>
  <c r="F93" i="6"/>
  <c r="AC93" i="5" a="1"/>
  <c r="AC93" i="5" s="1"/>
  <c r="F20" i="6"/>
  <c r="E20" i="12"/>
  <c r="AC20" i="5" a="1"/>
  <c r="AC20" i="5" s="1"/>
  <c r="AN53" i="5" a="1"/>
  <c r="AN53" i="5" s="1"/>
  <c r="W53" i="5" a="1"/>
  <c r="W53" i="5" s="1"/>
  <c r="E209" i="12"/>
  <c r="F209" i="6"/>
  <c r="AC209" i="5" a="1"/>
  <c r="AC209" i="5" s="1"/>
  <c r="E58" i="12"/>
  <c r="F58" i="6"/>
  <c r="AC58" i="5" a="1"/>
  <c r="AC58" i="5" s="1"/>
  <c r="W88" i="5" a="1"/>
  <c r="W88" i="5" s="1"/>
  <c r="AN88" i="5" a="1"/>
  <c r="AN88" i="5" s="1"/>
  <c r="F182" i="6"/>
  <c r="E182" i="12"/>
  <c r="AC182" i="5" a="1"/>
  <c r="AC182" i="5" s="1"/>
  <c r="E40" i="12"/>
  <c r="F40" i="6"/>
  <c r="AC40" i="5" a="1"/>
  <c r="AC40" i="5" s="1"/>
  <c r="W33" i="5" a="1"/>
  <c r="W33" i="5" s="1"/>
  <c r="AN33" i="5" a="1"/>
  <c r="AN33" i="5" s="1"/>
  <c r="F63" i="6"/>
  <c r="E63" i="12"/>
  <c r="AC63" i="5" a="1"/>
  <c r="AC63" i="5" s="1"/>
  <c r="F139" i="6"/>
  <c r="E139" i="12"/>
  <c r="AC139" i="5" a="1"/>
  <c r="AC139" i="5" s="1"/>
  <c r="AN184" i="5" a="1"/>
  <c r="AN184" i="5" s="1"/>
  <c r="W184" i="5" a="1"/>
  <c r="W184" i="5" s="1"/>
  <c r="BE228" i="6" l="1"/>
  <c r="AW228" i="6"/>
  <c r="BK228" i="6"/>
  <c r="AR228" i="6"/>
  <c r="AS228" i="6"/>
  <c r="AU228" i="6"/>
  <c r="BB228" i="6"/>
  <c r="AY228" i="6"/>
  <c r="BJ228" i="6"/>
  <c r="BD228" i="6"/>
  <c r="AZ228" i="6"/>
  <c r="BG228" i="6"/>
  <c r="AX228" i="6"/>
  <c r="BH228" i="6"/>
  <c r="BI228" i="6"/>
  <c r="AT228" i="6"/>
  <c r="AV228" i="6"/>
  <c r="BC228" i="6"/>
  <c r="BA228" i="6"/>
  <c r="BF228" i="6"/>
  <c r="BA95" i="6"/>
  <c r="AD76" i="8" s="1" a="1"/>
  <c r="AD76" i="8" s="1"/>
  <c r="BI95" i="6"/>
  <c r="BD95" i="6"/>
  <c r="AY95" i="6"/>
  <c r="BJ95" i="6"/>
  <c r="AZ95" i="6"/>
  <c r="AC76" i="8" s="1" a="1"/>
  <c r="AC76" i="8" s="1"/>
  <c r="BE95" i="6"/>
  <c r="AU95" i="6"/>
  <c r="BH95" i="6"/>
  <c r="BB95" i="6"/>
  <c r="BF95" i="6"/>
  <c r="AX95" i="6"/>
  <c r="AA76" i="8" s="1" a="1"/>
  <c r="AA76" i="8" s="1"/>
  <c r="BK95" i="6"/>
  <c r="AR95" i="6"/>
  <c r="AW95" i="6"/>
  <c r="AV95" i="6"/>
  <c r="AS95" i="6"/>
  <c r="BG95" i="6"/>
  <c r="AT95" i="6"/>
  <c r="BC95" i="6"/>
  <c r="BG171" i="6"/>
  <c r="AX171" i="6"/>
  <c r="AT171" i="6"/>
  <c r="AV171" i="6"/>
  <c r="BC171" i="6"/>
  <c r="AZ171" i="6"/>
  <c r="BA171" i="6"/>
  <c r="BH171" i="6"/>
  <c r="AY171" i="6"/>
  <c r="BI171" i="6"/>
  <c r="AW171" i="6"/>
  <c r="BE171" i="6"/>
  <c r="BB171" i="6"/>
  <c r="BK171" i="6"/>
  <c r="BF171" i="6"/>
  <c r="AR171" i="6"/>
  <c r="AU171" i="6"/>
  <c r="AS171" i="6"/>
  <c r="BJ171" i="6"/>
  <c r="BD171" i="6"/>
  <c r="BJ243" i="6"/>
  <c r="AU243" i="6"/>
  <c r="AY243" i="6"/>
  <c r="AZ243" i="6"/>
  <c r="BK243" i="6"/>
  <c r="AX243" i="6"/>
  <c r="BD243" i="6"/>
  <c r="BE243" i="6"/>
  <c r="BH243" i="6"/>
  <c r="AW243" i="6"/>
  <c r="AV243" i="6"/>
  <c r="BF243" i="6"/>
  <c r="BI243" i="6"/>
  <c r="BB243" i="6"/>
  <c r="BG243" i="6"/>
  <c r="AT243" i="6"/>
  <c r="AS243" i="6"/>
  <c r="BA243" i="6"/>
  <c r="AR243" i="6"/>
  <c r="BC243" i="6"/>
  <c r="AV42" i="6"/>
  <c r="AU42" i="6"/>
  <c r="AX42" i="6"/>
  <c r="BF42" i="6"/>
  <c r="BE42" i="6"/>
  <c r="BG42" i="6"/>
  <c r="AY42" i="6"/>
  <c r="AT42" i="6"/>
  <c r="BH42" i="6"/>
  <c r="AS42" i="6"/>
  <c r="BC42" i="6"/>
  <c r="AW42" i="6"/>
  <c r="BA42" i="6"/>
  <c r="BJ42" i="6"/>
  <c r="BK42" i="6"/>
  <c r="AR42" i="6"/>
  <c r="BB42" i="6"/>
  <c r="BD42" i="6"/>
  <c r="AZ42" i="6"/>
  <c r="BI42" i="6"/>
  <c r="AZ81" i="6"/>
  <c r="BI81" i="6"/>
  <c r="AU81" i="6"/>
  <c r="BK81" i="6"/>
  <c r="BC81" i="6"/>
  <c r="AW81" i="6"/>
  <c r="AT81" i="6"/>
  <c r="AV81" i="6"/>
  <c r="AY81" i="6"/>
  <c r="BA81" i="6"/>
  <c r="AS81" i="6"/>
  <c r="BH81" i="6"/>
  <c r="BJ81" i="6"/>
  <c r="BF81" i="6"/>
  <c r="BG81" i="6"/>
  <c r="BE81" i="6"/>
  <c r="AX81" i="6"/>
  <c r="BB81" i="6"/>
  <c r="BD81" i="6"/>
  <c r="AR81" i="6"/>
  <c r="AR165" i="6"/>
  <c r="BJ165" i="6"/>
  <c r="AY165" i="6"/>
  <c r="BI165" i="6"/>
  <c r="AW165" i="6"/>
  <c r="AU165" i="6"/>
  <c r="BK165" i="6"/>
  <c r="BF165" i="6"/>
  <c r="BD165" i="6"/>
  <c r="BA165" i="6"/>
  <c r="AX165" i="6"/>
  <c r="BC165" i="6"/>
  <c r="BE165" i="6"/>
  <c r="AZ165" i="6"/>
  <c r="AV165" i="6"/>
  <c r="BH165" i="6"/>
  <c r="BB165" i="6"/>
  <c r="BG165" i="6"/>
  <c r="AS165" i="6"/>
  <c r="AT165" i="6"/>
  <c r="BE21" i="6"/>
  <c r="BD21" i="6"/>
  <c r="BJ21" i="6"/>
  <c r="BI21" i="6"/>
  <c r="BB21" i="6"/>
  <c r="AR21" i="6"/>
  <c r="AY21" i="6"/>
  <c r="BF21" i="6"/>
  <c r="AT21" i="6"/>
  <c r="AV21" i="6"/>
  <c r="AZ21" i="6"/>
  <c r="AX21" i="6"/>
  <c r="AU21" i="6"/>
  <c r="BA21" i="6"/>
  <c r="AS21" i="6"/>
  <c r="BC21" i="6"/>
  <c r="BK21" i="6"/>
  <c r="BH21" i="6"/>
  <c r="BG21" i="6"/>
  <c r="AW21" i="6"/>
  <c r="BH236" i="6"/>
  <c r="BD236" i="6"/>
  <c r="BB236" i="6"/>
  <c r="AZ236" i="6"/>
  <c r="BJ236" i="6"/>
  <c r="AW236" i="6"/>
  <c r="BF236" i="6"/>
  <c r="AY236" i="6"/>
  <c r="BG236" i="6"/>
  <c r="BI236" i="6"/>
  <c r="BC236" i="6"/>
  <c r="BK236" i="6"/>
  <c r="AR236" i="6"/>
  <c r="X236" i="5" s="1" a="1"/>
  <c r="X236" i="5" s="1"/>
  <c r="AV236" i="6"/>
  <c r="AU236" i="6"/>
  <c r="AT236" i="6"/>
  <c r="AX236" i="6"/>
  <c r="BA236" i="6"/>
  <c r="BE236" i="6"/>
  <c r="AS236" i="6"/>
  <c r="AS67" i="6"/>
  <c r="BH67" i="6"/>
  <c r="AV67" i="6"/>
  <c r="BA67" i="6"/>
  <c r="BE67" i="6"/>
  <c r="AX67" i="6"/>
  <c r="BF67" i="6"/>
  <c r="AT67" i="6"/>
  <c r="BJ67" i="6"/>
  <c r="BI67" i="6"/>
  <c r="BC67" i="6"/>
  <c r="BD67" i="6"/>
  <c r="AW67" i="6"/>
  <c r="AZ67" i="6"/>
  <c r="AU67" i="6"/>
  <c r="AR67" i="6"/>
  <c r="AY67" i="6"/>
  <c r="BG67" i="6"/>
  <c r="BB67" i="6"/>
  <c r="BK67" i="6"/>
  <c r="BG170" i="6"/>
  <c r="BD170" i="6"/>
  <c r="BF170" i="6"/>
  <c r="AV170" i="6"/>
  <c r="BK170" i="6"/>
  <c r="AR170" i="6"/>
  <c r="AW170" i="6"/>
  <c r="BA170" i="6"/>
  <c r="AX170" i="6"/>
  <c r="AU170" i="6"/>
  <c r="BJ170" i="6"/>
  <c r="AS170" i="6"/>
  <c r="BB170" i="6"/>
  <c r="AT170" i="6"/>
  <c r="BE170" i="6"/>
  <c r="AY170" i="6"/>
  <c r="AZ170" i="6"/>
  <c r="BI170" i="6"/>
  <c r="BH170" i="6"/>
  <c r="BC170" i="6"/>
  <c r="AV70" i="6"/>
  <c r="AR70" i="6"/>
  <c r="AZ70" i="6"/>
  <c r="AS70" i="6"/>
  <c r="BD70" i="6"/>
  <c r="AT70" i="6"/>
  <c r="BF70" i="6"/>
  <c r="AY70" i="6"/>
  <c r="BB70" i="6"/>
  <c r="BJ70" i="6"/>
  <c r="AX70" i="6"/>
  <c r="BI70" i="6"/>
  <c r="BE70" i="6"/>
  <c r="BK70" i="6"/>
  <c r="BA70" i="6"/>
  <c r="AU70" i="6"/>
  <c r="BG70" i="6"/>
  <c r="BH70" i="6"/>
  <c r="BC70" i="6"/>
  <c r="AW70" i="6"/>
  <c r="BD113" i="6"/>
  <c r="BJ113" i="6"/>
  <c r="BG113" i="6"/>
  <c r="AX113" i="6"/>
  <c r="BE113" i="6"/>
  <c r="BK113" i="6"/>
  <c r="AU113" i="6"/>
  <c r="BF113" i="6"/>
  <c r="BB113" i="6"/>
  <c r="AW113" i="6"/>
  <c r="BA113" i="6"/>
  <c r="AY113" i="6"/>
  <c r="AT113" i="6"/>
  <c r="AR113" i="6"/>
  <c r="BI113" i="6"/>
  <c r="AV113" i="6"/>
  <c r="AS113" i="6"/>
  <c r="BH113" i="6"/>
  <c r="BC113" i="6"/>
  <c r="AZ113" i="6"/>
  <c r="BK145" i="6"/>
  <c r="BG145" i="6"/>
  <c r="AV145" i="6"/>
  <c r="BH145" i="6"/>
  <c r="AY145" i="6"/>
  <c r="BA145" i="6"/>
  <c r="AU145" i="6"/>
  <c r="BF145" i="6"/>
  <c r="AX145" i="6"/>
  <c r="BC145" i="6"/>
  <c r="AT145" i="6"/>
  <c r="BJ145" i="6"/>
  <c r="AR145" i="6"/>
  <c r="AS145" i="6"/>
  <c r="AW145" i="6"/>
  <c r="BB145" i="6"/>
  <c r="AZ145" i="6"/>
  <c r="BE145" i="6"/>
  <c r="BI145" i="6"/>
  <c r="BD145" i="6"/>
  <c r="BH34" i="6"/>
  <c r="BI34" i="6"/>
  <c r="BG34" i="6"/>
  <c r="AV34" i="6"/>
  <c r="BD34" i="6"/>
  <c r="BC34" i="6"/>
  <c r="BA34" i="6"/>
  <c r="AW34" i="6"/>
  <c r="AR34" i="6"/>
  <c r="BB34" i="6"/>
  <c r="AU34" i="6"/>
  <c r="BJ34" i="6"/>
  <c r="AX34" i="6"/>
  <c r="BK34" i="6"/>
  <c r="AS34" i="6"/>
  <c r="AY34" i="6"/>
  <c r="BE34" i="6"/>
  <c r="BF34" i="6"/>
  <c r="AT34" i="6"/>
  <c r="AZ34" i="6"/>
  <c r="BC161" i="6"/>
  <c r="AZ161" i="6"/>
  <c r="BG161" i="6"/>
  <c r="AT161" i="6"/>
  <c r="BD161" i="6"/>
  <c r="AU161" i="6"/>
  <c r="BI161" i="6"/>
  <c r="BH161" i="6"/>
  <c r="AS161" i="6"/>
  <c r="BK161" i="6"/>
  <c r="AV161" i="6"/>
  <c r="AR161" i="6"/>
  <c r="BA161" i="6"/>
  <c r="AY161" i="6"/>
  <c r="AX161" i="6"/>
  <c r="BJ161" i="6"/>
  <c r="AW161" i="6"/>
  <c r="BF161" i="6"/>
  <c r="BE161" i="6"/>
  <c r="BB161" i="6"/>
  <c r="AS129" i="6"/>
  <c r="AY129" i="6"/>
  <c r="AR129" i="6"/>
  <c r="AW129" i="6"/>
  <c r="BE129" i="6"/>
  <c r="AX129" i="6"/>
  <c r="AT129" i="6"/>
  <c r="BH129" i="6"/>
  <c r="BB129" i="6"/>
  <c r="BG129" i="6"/>
  <c r="AJ103" i="8" s="1" a="1"/>
  <c r="AJ103" i="8" s="1"/>
  <c r="BF129" i="6"/>
  <c r="BA129" i="6"/>
  <c r="AD103" i="8" s="1" a="1"/>
  <c r="AD103" i="8" s="1"/>
  <c r="AZ129" i="6"/>
  <c r="AU129" i="6"/>
  <c r="BC129" i="6"/>
  <c r="BK129" i="6"/>
  <c r="AN103" i="8" s="1" a="1"/>
  <c r="AN103" i="8" s="1"/>
  <c r="BD129" i="6"/>
  <c r="BI129" i="6"/>
  <c r="BJ129" i="6"/>
  <c r="AV129" i="6"/>
  <c r="AX82" i="6"/>
  <c r="BE82" i="6"/>
  <c r="BA82" i="6"/>
  <c r="BJ82" i="6"/>
  <c r="BF82" i="6"/>
  <c r="BC82" i="6"/>
  <c r="BI82" i="6"/>
  <c r="BB82" i="6"/>
  <c r="AZ82" i="6"/>
  <c r="BH82" i="6"/>
  <c r="AS82" i="6"/>
  <c r="BK82" i="6"/>
  <c r="BG82" i="6"/>
  <c r="AV82" i="6"/>
  <c r="AU82" i="6"/>
  <c r="AY82" i="6"/>
  <c r="BD82" i="6"/>
  <c r="AW82" i="6"/>
  <c r="AR82" i="6"/>
  <c r="AT82" i="6"/>
  <c r="BI89" i="6"/>
  <c r="BD89" i="6"/>
  <c r="AV89" i="6"/>
  <c r="AS89" i="6"/>
  <c r="BH89" i="6"/>
  <c r="AU89" i="6"/>
  <c r="BK89" i="6"/>
  <c r="BB89" i="6"/>
  <c r="AT89" i="6"/>
  <c r="AY89" i="6"/>
  <c r="BG89" i="6"/>
  <c r="BF89" i="6"/>
  <c r="BJ89" i="6"/>
  <c r="BA89" i="6"/>
  <c r="BE89" i="6"/>
  <c r="AR89" i="6"/>
  <c r="AX89" i="6"/>
  <c r="BC89" i="6"/>
  <c r="AW89" i="6"/>
  <c r="AZ89" i="6"/>
  <c r="BG51" i="6"/>
  <c r="BC51" i="6"/>
  <c r="BI51" i="6"/>
  <c r="AR51" i="6"/>
  <c r="BK51" i="6"/>
  <c r="AY51" i="6"/>
  <c r="BJ51" i="6"/>
  <c r="AV51" i="6"/>
  <c r="BD51" i="6"/>
  <c r="AW51" i="6"/>
  <c r="BE51" i="6"/>
  <c r="AT51" i="6"/>
  <c r="AZ51" i="6"/>
  <c r="AX51" i="6"/>
  <c r="BB51" i="6"/>
  <c r="AU51" i="6"/>
  <c r="BF51" i="6"/>
  <c r="AS51" i="6"/>
  <c r="BA51" i="6"/>
  <c r="BH51" i="6"/>
  <c r="BJ229" i="6"/>
  <c r="BA229" i="6"/>
  <c r="BB229" i="6"/>
  <c r="BC229" i="6"/>
  <c r="AV229" i="6"/>
  <c r="AX229" i="6"/>
  <c r="BI229" i="6"/>
  <c r="BG229" i="6"/>
  <c r="AR229" i="6"/>
  <c r="BF229" i="6"/>
  <c r="AW229" i="6"/>
  <c r="AS229" i="6"/>
  <c r="BH229" i="6"/>
  <c r="AT229" i="6"/>
  <c r="AU229" i="6"/>
  <c r="BE229" i="6"/>
  <c r="BD229" i="6"/>
  <c r="BK229" i="6"/>
  <c r="AZ229" i="6"/>
  <c r="AY229" i="6"/>
  <c r="AU104" i="6"/>
  <c r="BA104" i="6"/>
  <c r="BK104" i="6"/>
  <c r="BD104" i="6"/>
  <c r="BF104" i="6"/>
  <c r="AR104" i="6"/>
  <c r="AZ104" i="6"/>
  <c r="BH104" i="6"/>
  <c r="AW104" i="6"/>
  <c r="BC104" i="6"/>
  <c r="BJ104" i="6"/>
  <c r="AT104" i="6"/>
  <c r="AV104" i="6"/>
  <c r="AY104" i="6"/>
  <c r="BE104" i="6"/>
  <c r="BG104" i="6"/>
  <c r="BB104" i="6"/>
  <c r="BI104" i="6"/>
  <c r="AS104" i="6"/>
  <c r="AX104" i="6"/>
  <c r="AU196" i="6"/>
  <c r="BE196" i="6"/>
  <c r="AT196" i="6"/>
  <c r="BA196" i="6"/>
  <c r="AZ196" i="6"/>
  <c r="AW196" i="6"/>
  <c r="BD196" i="6"/>
  <c r="AX196" i="6"/>
  <c r="BI196" i="6"/>
  <c r="AS196" i="6"/>
  <c r="BG196" i="6"/>
  <c r="BJ196" i="6"/>
  <c r="BF196" i="6"/>
  <c r="AY196" i="6"/>
  <c r="AV196" i="6"/>
  <c r="AR196" i="6"/>
  <c r="BH196" i="6"/>
  <c r="BK196" i="6"/>
  <c r="BB196" i="6"/>
  <c r="BC196" i="6"/>
  <c r="BA197" i="6"/>
  <c r="AZ197" i="6"/>
  <c r="AR197" i="6"/>
  <c r="BI197" i="6"/>
  <c r="BB197" i="6"/>
  <c r="BG197" i="6"/>
  <c r="AS197" i="6"/>
  <c r="BC197" i="6"/>
  <c r="BJ197" i="6"/>
  <c r="AU197" i="6"/>
  <c r="AY197" i="6"/>
  <c r="AX197" i="6"/>
  <c r="BE197" i="6"/>
  <c r="BK197" i="6"/>
  <c r="BH197" i="6"/>
  <c r="AW197" i="6"/>
  <c r="BD197" i="6"/>
  <c r="BF197" i="6"/>
  <c r="AV197" i="6"/>
  <c r="AT197" i="6"/>
  <c r="BF126" i="6"/>
  <c r="BH126" i="6"/>
  <c r="AY126" i="6"/>
  <c r="AU126" i="6"/>
  <c r="X100" i="8" s="1" a="1"/>
  <c r="X100" i="8" s="1"/>
  <c r="AZ126" i="6"/>
  <c r="BC126" i="6"/>
  <c r="AX126" i="6"/>
  <c r="AW126" i="6"/>
  <c r="AS126" i="6"/>
  <c r="BD126" i="6"/>
  <c r="BK126" i="6"/>
  <c r="AN100" i="8" s="1" a="1"/>
  <c r="AN100" i="8" s="1"/>
  <c r="AV126" i="6"/>
  <c r="Y100" i="8" s="1" a="1"/>
  <c r="Y100" i="8" s="1"/>
  <c r="BB126" i="6"/>
  <c r="BI126" i="6"/>
  <c r="BG126" i="6"/>
  <c r="BE126" i="6"/>
  <c r="AH100" i="8" s="1" a="1"/>
  <c r="AH100" i="8" s="1"/>
  <c r="BJ126" i="6"/>
  <c r="AT126" i="6"/>
  <c r="AR126" i="6"/>
  <c r="BA126" i="6"/>
  <c r="AZ189" i="6"/>
  <c r="AS189" i="6"/>
  <c r="AW189" i="6"/>
  <c r="AX189" i="6"/>
  <c r="BJ189" i="6"/>
  <c r="BA189" i="6"/>
  <c r="AY189" i="6"/>
  <c r="AR189" i="6"/>
  <c r="AU189" i="6"/>
  <c r="BH189" i="6"/>
  <c r="BI189" i="6"/>
  <c r="BF189" i="6"/>
  <c r="BD189" i="6"/>
  <c r="AV189" i="6"/>
  <c r="BE189" i="6"/>
  <c r="BG189" i="6"/>
  <c r="BB189" i="6"/>
  <c r="AT189" i="6"/>
  <c r="BC189" i="6"/>
  <c r="BK189" i="6"/>
  <c r="AT131" i="6"/>
  <c r="BC131" i="6"/>
  <c r="BB131" i="6"/>
  <c r="AU131" i="6"/>
  <c r="AS131" i="6"/>
  <c r="AV131" i="6"/>
  <c r="AY131" i="6"/>
  <c r="AR131" i="6"/>
  <c r="AW131" i="6"/>
  <c r="BI131" i="6"/>
  <c r="BH131" i="6"/>
  <c r="BD131" i="6"/>
  <c r="AZ131" i="6"/>
  <c r="BG131" i="6"/>
  <c r="BK131" i="6"/>
  <c r="BF131" i="6"/>
  <c r="BE131" i="6"/>
  <c r="BA131" i="6"/>
  <c r="BJ131" i="6"/>
  <c r="AX131" i="6"/>
  <c r="BB111" i="6"/>
  <c r="AT111" i="6"/>
  <c r="AR111" i="6"/>
  <c r="BF111" i="6"/>
  <c r="AI91" i="8" s="1" a="1"/>
  <c r="AI91" i="8" s="1"/>
  <c r="BC111" i="6"/>
  <c r="AU111" i="6"/>
  <c r="BG111" i="6"/>
  <c r="BI111" i="6"/>
  <c r="AZ111" i="6"/>
  <c r="AS111" i="6"/>
  <c r="V91" i="8" s="1" a="1"/>
  <c r="V91" i="8" s="1"/>
  <c r="AX111" i="6"/>
  <c r="AA91" i="8" s="1" a="1"/>
  <c r="AA91" i="8" s="1"/>
  <c r="AW111" i="6"/>
  <c r="BH111" i="6"/>
  <c r="BJ111" i="6"/>
  <c r="BD111" i="6"/>
  <c r="BA111" i="6"/>
  <c r="AD91" i="8" s="1" a="1"/>
  <c r="AD91" i="8" s="1"/>
  <c r="AY111" i="6"/>
  <c r="BE111" i="6"/>
  <c r="BK111" i="6"/>
  <c r="AV111" i="6"/>
  <c r="BJ223" i="6"/>
  <c r="BF223" i="6"/>
  <c r="AV223" i="6"/>
  <c r="AS223" i="6"/>
  <c r="AZ223" i="6"/>
  <c r="AR223" i="6"/>
  <c r="AW223" i="6"/>
  <c r="BB223" i="6"/>
  <c r="BD223" i="6"/>
  <c r="BC223" i="6"/>
  <c r="BE223" i="6"/>
  <c r="AY223" i="6"/>
  <c r="BG223" i="6"/>
  <c r="BI223" i="6"/>
  <c r="AX223" i="6"/>
  <c r="BK223" i="6"/>
  <c r="BA223" i="6"/>
  <c r="AU223" i="6"/>
  <c r="BH223" i="6"/>
  <c r="AT223" i="6"/>
  <c r="AY27" i="6"/>
  <c r="BA27" i="6"/>
  <c r="BE27" i="6"/>
  <c r="AU27" i="6"/>
  <c r="X34" i="8" s="1" a="1"/>
  <c r="X34" i="8" s="1"/>
  <c r="BF27" i="6"/>
  <c r="BD27" i="6"/>
  <c r="AW27" i="6"/>
  <c r="AX27" i="6"/>
  <c r="BC27" i="6"/>
  <c r="BB27" i="6"/>
  <c r="AV27" i="6"/>
  <c r="AZ27" i="6"/>
  <c r="BG27" i="6"/>
  <c r="AS27" i="6"/>
  <c r="BI27" i="6"/>
  <c r="BK27" i="6"/>
  <c r="AR27" i="6"/>
  <c r="BJ27" i="6"/>
  <c r="AT27" i="6"/>
  <c r="BH27" i="6"/>
  <c r="BE195" i="6"/>
  <c r="AW195" i="6"/>
  <c r="BD195" i="6"/>
  <c r="BC195" i="6"/>
  <c r="AS195" i="6"/>
  <c r="BI195" i="6"/>
  <c r="BK195" i="6"/>
  <c r="BJ195" i="6"/>
  <c r="AZ195" i="6"/>
  <c r="AV195" i="6"/>
  <c r="AU195" i="6"/>
  <c r="BF195" i="6"/>
  <c r="BH195" i="6"/>
  <c r="AR195" i="6"/>
  <c r="AY195" i="6"/>
  <c r="AT195" i="6"/>
  <c r="AX195" i="6"/>
  <c r="BB195" i="6"/>
  <c r="BG195" i="6"/>
  <c r="BA195" i="6"/>
  <c r="AU144" i="6"/>
  <c r="BE144" i="6"/>
  <c r="BC144" i="6"/>
  <c r="AV144" i="6"/>
  <c r="BG144" i="6"/>
  <c r="BH144" i="6"/>
  <c r="BJ144" i="6"/>
  <c r="BB144" i="6"/>
  <c r="BA144" i="6"/>
  <c r="AR144" i="6"/>
  <c r="AX144" i="6"/>
  <c r="AS144" i="6"/>
  <c r="AY144" i="6"/>
  <c r="AZ144" i="6"/>
  <c r="BD144" i="6"/>
  <c r="BF144" i="6"/>
  <c r="BK144" i="6"/>
  <c r="AW144" i="6"/>
  <c r="BI144" i="6"/>
  <c r="AT144" i="6"/>
  <c r="BH187" i="6"/>
  <c r="BA187" i="6"/>
  <c r="BJ187" i="6"/>
  <c r="AX187" i="6"/>
  <c r="AY187" i="6"/>
  <c r="AR187" i="6"/>
  <c r="AV187" i="6"/>
  <c r="BI187" i="6"/>
  <c r="AT187" i="6"/>
  <c r="BE187" i="6"/>
  <c r="AU187" i="6"/>
  <c r="BB187" i="6"/>
  <c r="BC187" i="6"/>
  <c r="BF187" i="6"/>
  <c r="BG187" i="6"/>
  <c r="AS187" i="6"/>
  <c r="BK187" i="6"/>
  <c r="AW187" i="6"/>
  <c r="BD187" i="6"/>
  <c r="AZ187" i="6"/>
  <c r="AT152" i="6"/>
  <c r="AZ152" i="6"/>
  <c r="BF152" i="6"/>
  <c r="BI152" i="6"/>
  <c r="BG152" i="6"/>
  <c r="AW152" i="6"/>
  <c r="BJ152" i="6"/>
  <c r="AX152" i="6"/>
  <c r="AS152" i="6"/>
  <c r="BE152" i="6"/>
  <c r="BK152" i="6"/>
  <c r="BA152" i="6"/>
  <c r="AR152" i="6"/>
  <c r="AY152" i="6"/>
  <c r="AV152" i="6"/>
  <c r="BD152" i="6"/>
  <c r="BB152" i="6"/>
  <c r="BH152" i="6"/>
  <c r="AU152" i="6"/>
  <c r="BC152" i="6"/>
  <c r="AV218" i="6"/>
  <c r="AT218" i="6"/>
  <c r="AR218" i="6"/>
  <c r="AZ218" i="6"/>
  <c r="AU218" i="6"/>
  <c r="BB218" i="6"/>
  <c r="AY218" i="6"/>
  <c r="AS218" i="6"/>
  <c r="BC218" i="6"/>
  <c r="BJ218" i="6"/>
  <c r="AM142" i="8" s="1" a="1"/>
  <c r="AM142" i="8" s="1"/>
  <c r="AX218" i="6"/>
  <c r="BD218" i="6"/>
  <c r="BH218" i="6"/>
  <c r="BI218" i="6"/>
  <c r="BG218" i="6"/>
  <c r="BE218" i="6"/>
  <c r="BF218" i="6"/>
  <c r="BA218" i="6"/>
  <c r="BK218" i="6"/>
  <c r="AW218" i="6"/>
  <c r="AR140" i="6"/>
  <c r="BH140" i="6"/>
  <c r="BE140" i="6"/>
  <c r="BJ140" i="6"/>
  <c r="BB140" i="6"/>
  <c r="BF140" i="6"/>
  <c r="BA140" i="6"/>
  <c r="AX140" i="6"/>
  <c r="BD140" i="6"/>
  <c r="BG140" i="6"/>
  <c r="AT140" i="6"/>
  <c r="BK140" i="6"/>
  <c r="AY140" i="6"/>
  <c r="AS140" i="6"/>
  <c r="BC140" i="6"/>
  <c r="AZ140" i="6"/>
  <c r="AV140" i="6"/>
  <c r="BI140" i="6"/>
  <c r="AU140" i="6"/>
  <c r="AW140" i="6"/>
  <c r="AZ87" i="6"/>
  <c r="BB87" i="6"/>
  <c r="AW87" i="6"/>
  <c r="BD87" i="6"/>
  <c r="BC87" i="6"/>
  <c r="BJ87" i="6"/>
  <c r="BA87" i="6"/>
  <c r="BG87" i="6"/>
  <c r="BF87" i="6"/>
  <c r="AU87" i="6"/>
  <c r="BI87" i="6"/>
  <c r="AV87" i="6"/>
  <c r="AX87" i="6"/>
  <c r="AR87" i="6"/>
  <c r="X87" i="5" s="1" a="1"/>
  <c r="X87" i="5" s="1"/>
  <c r="BH87" i="6"/>
  <c r="AT87" i="6"/>
  <c r="BE87" i="6"/>
  <c r="AY87" i="6"/>
  <c r="BK87" i="6"/>
  <c r="AS87" i="6"/>
  <c r="BH48" i="6"/>
  <c r="BE48" i="6"/>
  <c r="AX48" i="6"/>
  <c r="AV48" i="6"/>
  <c r="BG48" i="6"/>
  <c r="AT48" i="6"/>
  <c r="BF48" i="6"/>
  <c r="BB48" i="6"/>
  <c r="BI48" i="6"/>
  <c r="BA48" i="6"/>
  <c r="AZ48" i="6"/>
  <c r="AS48" i="6"/>
  <c r="AW48" i="6"/>
  <c r="BC48" i="6"/>
  <c r="BK48" i="6"/>
  <c r="BJ48" i="6"/>
  <c r="AU48" i="6"/>
  <c r="AR48" i="6"/>
  <c r="BD48" i="6"/>
  <c r="AY48" i="6"/>
  <c r="AU209" i="6"/>
  <c r="AS209" i="6"/>
  <c r="AT209" i="6"/>
  <c r="BA209" i="6"/>
  <c r="AX209" i="6"/>
  <c r="BG209" i="6"/>
  <c r="BJ209" i="6"/>
  <c r="AZ209" i="6"/>
  <c r="AV209" i="6"/>
  <c r="BH209" i="6"/>
  <c r="AW209" i="6"/>
  <c r="BI209" i="6"/>
  <c r="BF209" i="6"/>
  <c r="BK209" i="6"/>
  <c r="AY209" i="6"/>
  <c r="BD209" i="6"/>
  <c r="BB209" i="6"/>
  <c r="AR209" i="6"/>
  <c r="X209" i="5" s="1" a="1"/>
  <c r="X209" i="5" s="1"/>
  <c r="BE209" i="6"/>
  <c r="BC209" i="6"/>
  <c r="BI214" i="6"/>
  <c r="BH214" i="6"/>
  <c r="AV214" i="6"/>
  <c r="BJ214" i="6"/>
  <c r="AX214" i="6"/>
  <c r="AZ214" i="6"/>
  <c r="BA214" i="6"/>
  <c r="AT214" i="6"/>
  <c r="AY214" i="6"/>
  <c r="BE214" i="6"/>
  <c r="BB214" i="6"/>
  <c r="BC214" i="6"/>
  <c r="BF214" i="6"/>
  <c r="AW214" i="6"/>
  <c r="BG214" i="6"/>
  <c r="AU214" i="6"/>
  <c r="AS214" i="6"/>
  <c r="BD214" i="6"/>
  <c r="BK214" i="6"/>
  <c r="AR214" i="6"/>
  <c r="AX168" i="6"/>
  <c r="BJ168" i="6"/>
  <c r="AS168" i="6"/>
  <c r="BD168" i="6"/>
  <c r="AZ168" i="6"/>
  <c r="BG168" i="6"/>
  <c r="AT168" i="6"/>
  <c r="BH168" i="6"/>
  <c r="BE168" i="6"/>
  <c r="BI168" i="6"/>
  <c r="AR168" i="6"/>
  <c r="AW168" i="6"/>
  <c r="AU168" i="6"/>
  <c r="BK168" i="6"/>
  <c r="AY168" i="6"/>
  <c r="BA168" i="6"/>
  <c r="BF168" i="6"/>
  <c r="AV168" i="6"/>
  <c r="BB168" i="6"/>
  <c r="BC168" i="6"/>
  <c r="AW230" i="6"/>
  <c r="BH230" i="6"/>
  <c r="BJ230" i="6"/>
  <c r="AY230" i="6"/>
  <c r="BF230" i="6"/>
  <c r="AX230" i="6"/>
  <c r="AT230" i="6"/>
  <c r="BK230" i="6"/>
  <c r="BC230" i="6"/>
  <c r="BG230" i="6"/>
  <c r="BA230" i="6"/>
  <c r="BB230" i="6"/>
  <c r="BI230" i="6"/>
  <c r="AU230" i="6"/>
  <c r="AV230" i="6"/>
  <c r="AR230" i="6"/>
  <c r="BD230" i="6"/>
  <c r="AZ230" i="6"/>
  <c r="BE230" i="6"/>
  <c r="AS230" i="6"/>
  <c r="AR193" i="6"/>
  <c r="BH193" i="6"/>
  <c r="AY193" i="6"/>
  <c r="AU193" i="6"/>
  <c r="BD193" i="6"/>
  <c r="AZ193" i="6"/>
  <c r="AS193" i="6"/>
  <c r="BE193" i="6"/>
  <c r="AV193" i="6"/>
  <c r="BJ193" i="6"/>
  <c r="AW193" i="6"/>
  <c r="BK193" i="6"/>
  <c r="BA193" i="6"/>
  <c r="BC193" i="6"/>
  <c r="BG193" i="6"/>
  <c r="BF193" i="6"/>
  <c r="BI193" i="6"/>
  <c r="BB193" i="6"/>
  <c r="AX193" i="6"/>
  <c r="AT193" i="6"/>
  <c r="BI163" i="6"/>
  <c r="AZ163" i="6"/>
  <c r="AW163" i="6"/>
  <c r="BC163" i="6"/>
  <c r="BB163" i="6"/>
  <c r="BJ163" i="6"/>
  <c r="AX163" i="6"/>
  <c r="BH163" i="6"/>
  <c r="AS163" i="6"/>
  <c r="AV163" i="6"/>
  <c r="AU163" i="6"/>
  <c r="AR163" i="6"/>
  <c r="BD163" i="6"/>
  <c r="BE163" i="6"/>
  <c r="BA163" i="6"/>
  <c r="BG163" i="6"/>
  <c r="BF163" i="6"/>
  <c r="AY163" i="6"/>
  <c r="AT163" i="6"/>
  <c r="BK163" i="6"/>
  <c r="AV56" i="6"/>
  <c r="BC56" i="6"/>
  <c r="AY56" i="6"/>
  <c r="BJ56" i="6"/>
  <c r="AZ56" i="6"/>
  <c r="BA56" i="6"/>
  <c r="BE56" i="6"/>
  <c r="BD56" i="6"/>
  <c r="BK56" i="6"/>
  <c r="BB56" i="6"/>
  <c r="AS56" i="6"/>
  <c r="BF56" i="6"/>
  <c r="AW56" i="6"/>
  <c r="AU56" i="6"/>
  <c r="AT56" i="6"/>
  <c r="BH56" i="6"/>
  <c r="AR56" i="6"/>
  <c r="X56" i="5" s="1" a="1"/>
  <c r="X56" i="5" s="1"/>
  <c r="BI56" i="6"/>
  <c r="BG56" i="6"/>
  <c r="AX56" i="6"/>
  <c r="BE227" i="6"/>
  <c r="BF227" i="6"/>
  <c r="BH227" i="6"/>
  <c r="BB227" i="6"/>
  <c r="BA227" i="6"/>
  <c r="AR227" i="6"/>
  <c r="AT227" i="6"/>
  <c r="AY227" i="6"/>
  <c r="BG227" i="6"/>
  <c r="BK227" i="6"/>
  <c r="AU227" i="6"/>
  <c r="BJ227" i="6"/>
  <c r="AV227" i="6"/>
  <c r="BC227" i="6"/>
  <c r="AS227" i="6"/>
  <c r="AW227" i="6"/>
  <c r="AX227" i="6"/>
  <c r="BD227" i="6"/>
  <c r="BI227" i="6"/>
  <c r="AZ227" i="6"/>
  <c r="AZ106" i="6"/>
  <c r="AX106" i="6"/>
  <c r="BE106" i="6"/>
  <c r="BI106" i="6"/>
  <c r="BC106" i="6"/>
  <c r="BD106" i="6"/>
  <c r="AT106" i="6"/>
  <c r="BG106" i="6"/>
  <c r="BH106" i="6"/>
  <c r="BA106" i="6"/>
  <c r="BJ106" i="6"/>
  <c r="BF106" i="6"/>
  <c r="AR106" i="6"/>
  <c r="BK106" i="6"/>
  <c r="AW106" i="6"/>
  <c r="AY106" i="6"/>
  <c r="AS106" i="6"/>
  <c r="BB106" i="6"/>
  <c r="AU106" i="6"/>
  <c r="AV106" i="6"/>
  <c r="AZ212" i="6"/>
  <c r="BI212" i="6"/>
  <c r="AU212" i="6"/>
  <c r="BH212" i="6"/>
  <c r="AR212" i="6"/>
  <c r="AV212" i="6"/>
  <c r="AT212" i="6"/>
  <c r="BA212" i="6"/>
  <c r="BG212" i="6"/>
  <c r="AX212" i="6"/>
  <c r="BK212" i="6"/>
  <c r="AY212" i="6"/>
  <c r="BD212" i="6"/>
  <c r="AS212" i="6"/>
  <c r="BE212" i="6"/>
  <c r="BF212" i="6"/>
  <c r="BB212" i="6"/>
  <c r="AW212" i="6"/>
  <c r="BJ212" i="6"/>
  <c r="BC212" i="6"/>
  <c r="BE64" i="6"/>
  <c r="BI64" i="6"/>
  <c r="BG64" i="6"/>
  <c r="BK64" i="6"/>
  <c r="AU64" i="6"/>
  <c r="X52" i="8" s="1" a="1"/>
  <c r="X52" i="8" s="1"/>
  <c r="AW64" i="6"/>
  <c r="BA64" i="6"/>
  <c r="AD52" i="8" s="1" a="1"/>
  <c r="AD52" i="8" s="1"/>
  <c r="BJ64" i="6"/>
  <c r="BH64" i="6"/>
  <c r="AS64" i="6"/>
  <c r="V52" i="8" s="1" a="1"/>
  <c r="V52" i="8" s="1"/>
  <c r="BB64" i="6"/>
  <c r="AY64" i="6"/>
  <c r="AR64" i="6"/>
  <c r="AT64" i="6"/>
  <c r="BD64" i="6"/>
  <c r="AV64" i="6"/>
  <c r="Y52" i="8" s="1" a="1"/>
  <c r="Y52" i="8" s="1"/>
  <c r="BF64" i="6"/>
  <c r="AX64" i="6"/>
  <c r="AA52" i="8" s="1" a="1"/>
  <c r="AA52" i="8" s="1"/>
  <c r="BC64" i="6"/>
  <c r="AZ64" i="6"/>
  <c r="BA65" i="6"/>
  <c r="AX65" i="6"/>
  <c r="AS65" i="6"/>
  <c r="AV65" i="6"/>
  <c r="AT65" i="6"/>
  <c r="AU65" i="6"/>
  <c r="BE65" i="6"/>
  <c r="BH65" i="6"/>
  <c r="BD65" i="6"/>
  <c r="BI65" i="6"/>
  <c r="AW65" i="6"/>
  <c r="AY65" i="6"/>
  <c r="BC65" i="6"/>
  <c r="AR65" i="6"/>
  <c r="AZ65" i="6"/>
  <c r="BB65" i="6"/>
  <c r="BK65" i="6"/>
  <c r="BJ65" i="6"/>
  <c r="BG65" i="6"/>
  <c r="BF65" i="6"/>
  <c r="BB162" i="6"/>
  <c r="AT162" i="6"/>
  <c r="BH162" i="6"/>
  <c r="BJ162" i="6"/>
  <c r="AS162" i="6"/>
  <c r="BE162" i="6"/>
  <c r="BA162" i="6"/>
  <c r="BF162" i="6"/>
  <c r="BI162" i="6"/>
  <c r="BC162" i="6"/>
  <c r="BG162" i="6"/>
  <c r="BK162" i="6"/>
  <c r="AW162" i="6"/>
  <c r="AZ162" i="6"/>
  <c r="AR162" i="6"/>
  <c r="AX162" i="6"/>
  <c r="BD162" i="6"/>
  <c r="AU162" i="6"/>
  <c r="AY162" i="6"/>
  <c r="AV162" i="6"/>
  <c r="AW210" i="6"/>
  <c r="AX210" i="6"/>
  <c r="AY210" i="6"/>
  <c r="BK210" i="6"/>
  <c r="BD210" i="6"/>
  <c r="AS210" i="6"/>
  <c r="BJ210" i="6"/>
  <c r="AZ210" i="6"/>
  <c r="BC210" i="6"/>
  <c r="BI210" i="6"/>
  <c r="BE210" i="6"/>
  <c r="BF210" i="6"/>
  <c r="BG210" i="6"/>
  <c r="AT210" i="6"/>
  <c r="AR210" i="6"/>
  <c r="BB210" i="6"/>
  <c r="BH210" i="6"/>
  <c r="AU210" i="6"/>
  <c r="BA210" i="6"/>
  <c r="AV210" i="6"/>
  <c r="AV201" i="6"/>
  <c r="BH201" i="6"/>
  <c r="AY201" i="6"/>
  <c r="BE201" i="6"/>
  <c r="AR201" i="6"/>
  <c r="BC201" i="6"/>
  <c r="BB201" i="6"/>
  <c r="AZ201" i="6"/>
  <c r="BJ201" i="6"/>
  <c r="BK201" i="6"/>
  <c r="AU201" i="6"/>
  <c r="BD201" i="6"/>
  <c r="BA201" i="6"/>
  <c r="BG201" i="6"/>
  <c r="BI201" i="6"/>
  <c r="AW201" i="6"/>
  <c r="AT201" i="6"/>
  <c r="AS201" i="6"/>
  <c r="AX201" i="6"/>
  <c r="BF201" i="6"/>
  <c r="AR153" i="6"/>
  <c r="AY153" i="6"/>
  <c r="BB153" i="6"/>
  <c r="BH153" i="6"/>
  <c r="BA153" i="6"/>
  <c r="AZ153" i="6"/>
  <c r="BG153" i="6"/>
  <c r="BI153" i="6"/>
  <c r="BK153" i="6"/>
  <c r="BF153" i="6"/>
  <c r="AX153" i="6"/>
  <c r="BD153" i="6"/>
  <c r="AU153" i="6"/>
  <c r="BC153" i="6"/>
  <c r="AV153" i="6"/>
  <c r="AW153" i="6"/>
  <c r="BJ153" i="6"/>
  <c r="AT153" i="6"/>
  <c r="BE153" i="6"/>
  <c r="AS153" i="6"/>
  <c r="AY154" i="6"/>
  <c r="AS154" i="6"/>
  <c r="BA154" i="6"/>
  <c r="BF154" i="6"/>
  <c r="AW154" i="6"/>
  <c r="AX154" i="6"/>
  <c r="BG154" i="6"/>
  <c r="BD154" i="6"/>
  <c r="BK154" i="6"/>
  <c r="AT154" i="6"/>
  <c r="AV154" i="6"/>
  <c r="BH154" i="6"/>
  <c r="BC154" i="6"/>
  <c r="BJ154" i="6"/>
  <c r="BI154" i="6"/>
  <c r="BB154" i="6"/>
  <c r="BE154" i="6"/>
  <c r="AR154" i="6"/>
  <c r="AU154" i="6"/>
  <c r="AZ154" i="6"/>
  <c r="BD151" i="6"/>
  <c r="AX151" i="6"/>
  <c r="BC151" i="6"/>
  <c r="AW151" i="6"/>
  <c r="AV151" i="6"/>
  <c r="BB151" i="6"/>
  <c r="BF151" i="6"/>
  <c r="BG151" i="6"/>
  <c r="AR151" i="6"/>
  <c r="AZ151" i="6"/>
  <c r="AU151" i="6"/>
  <c r="AT151" i="6"/>
  <c r="BA151" i="6"/>
  <c r="BH151" i="6"/>
  <c r="AS151" i="6"/>
  <c r="AY151" i="6"/>
  <c r="BJ151" i="6"/>
  <c r="BK151" i="6"/>
  <c r="BI151" i="6"/>
  <c r="BE151" i="6"/>
  <c r="BG239" i="6"/>
  <c r="AU239" i="6"/>
  <c r="BD239" i="6"/>
  <c r="AX239" i="6"/>
  <c r="BA239" i="6"/>
  <c r="BH239" i="6"/>
  <c r="BF239" i="6"/>
  <c r="AV239" i="6"/>
  <c r="AR239" i="6"/>
  <c r="BB239" i="6"/>
  <c r="BE239" i="6"/>
  <c r="BK239" i="6"/>
  <c r="BC239" i="6"/>
  <c r="AZ239" i="6"/>
  <c r="AY239" i="6"/>
  <c r="AW239" i="6"/>
  <c r="BJ239" i="6"/>
  <c r="AS239" i="6"/>
  <c r="AT239" i="6"/>
  <c r="BI239" i="6"/>
  <c r="BI88" i="6"/>
  <c r="BC88" i="6"/>
  <c r="BF88" i="6"/>
  <c r="BE88" i="6"/>
  <c r="BK88" i="6"/>
  <c r="AR88" i="6"/>
  <c r="AU88" i="6"/>
  <c r="AX88" i="6"/>
  <c r="BD88" i="6"/>
  <c r="AT88" i="6"/>
  <c r="BH88" i="6"/>
  <c r="AW88" i="6"/>
  <c r="AS88" i="6"/>
  <c r="BJ88" i="6"/>
  <c r="BB88" i="6"/>
  <c r="AV88" i="6"/>
  <c r="AY88" i="6"/>
  <c r="BA88" i="6"/>
  <c r="AZ88" i="6"/>
  <c r="BG88" i="6"/>
  <c r="AY191" i="6"/>
  <c r="BD191" i="6"/>
  <c r="BB191" i="6"/>
  <c r="AZ191" i="6"/>
  <c r="BH191" i="6"/>
  <c r="BF191" i="6"/>
  <c r="AW191" i="6"/>
  <c r="BI191" i="6"/>
  <c r="BA191" i="6"/>
  <c r="AU191" i="6"/>
  <c r="AR191" i="6"/>
  <c r="BK191" i="6"/>
  <c r="BG191" i="6"/>
  <c r="BJ191" i="6"/>
  <c r="BC191" i="6"/>
  <c r="AS191" i="6"/>
  <c r="BE191" i="6"/>
  <c r="AV191" i="6"/>
  <c r="AX191" i="6"/>
  <c r="AT191" i="6"/>
  <c r="AW119" i="6"/>
  <c r="AY119" i="6"/>
  <c r="BG119" i="6"/>
  <c r="BE119" i="6"/>
  <c r="BA119" i="6"/>
  <c r="AT119" i="6"/>
  <c r="AZ119" i="6"/>
  <c r="BB119" i="6"/>
  <c r="AR119" i="6"/>
  <c r="AX119" i="6"/>
  <c r="BK119" i="6"/>
  <c r="BC119" i="6"/>
  <c r="AS119" i="6"/>
  <c r="BH119" i="6"/>
  <c r="AV119" i="6"/>
  <c r="AU119" i="6"/>
  <c r="BJ119" i="6"/>
  <c r="BD119" i="6"/>
  <c r="BF119" i="6"/>
  <c r="BI119" i="6"/>
  <c r="BC58" i="6"/>
  <c r="AV58" i="6"/>
  <c r="AT58" i="6"/>
  <c r="BK58" i="6"/>
  <c r="BJ58" i="6"/>
  <c r="AW58" i="6"/>
  <c r="AR58" i="6"/>
  <c r="AS58" i="6"/>
  <c r="BD58" i="6"/>
  <c r="BE58" i="6"/>
  <c r="AU58" i="6"/>
  <c r="AX58" i="6"/>
  <c r="BA58" i="6"/>
  <c r="BB58" i="6"/>
  <c r="BI58" i="6"/>
  <c r="AY58" i="6"/>
  <c r="BH58" i="6"/>
  <c r="BF58" i="6"/>
  <c r="BG58" i="6"/>
  <c r="AZ58" i="6"/>
  <c r="BH164" i="6"/>
  <c r="AV164" i="6"/>
  <c r="BK164" i="6"/>
  <c r="BD164" i="6"/>
  <c r="AU164" i="6"/>
  <c r="AZ164" i="6"/>
  <c r="BB164" i="6"/>
  <c r="AY164" i="6"/>
  <c r="BA164" i="6"/>
  <c r="BC164" i="6"/>
  <c r="AS164" i="6"/>
  <c r="AR164" i="6"/>
  <c r="X164" i="5" s="1" a="1"/>
  <c r="X164" i="5" s="1"/>
  <c r="AT164" i="6"/>
  <c r="AW164" i="6"/>
  <c r="BG164" i="6"/>
  <c r="AX164" i="6"/>
  <c r="BJ164" i="6"/>
  <c r="BF164" i="6"/>
  <c r="BI164" i="6"/>
  <c r="BE164" i="6"/>
  <c r="AR178" i="6"/>
  <c r="BH178" i="6"/>
  <c r="BB178" i="6"/>
  <c r="BE178" i="6"/>
  <c r="BC178" i="6"/>
  <c r="BK178" i="6"/>
  <c r="BG178" i="6"/>
  <c r="AV178" i="6"/>
  <c r="BI178" i="6"/>
  <c r="AX178" i="6"/>
  <c r="AT178" i="6"/>
  <c r="AY178" i="6"/>
  <c r="BF178" i="6"/>
  <c r="AU178" i="6"/>
  <c r="AW178" i="6"/>
  <c r="BA178" i="6"/>
  <c r="AZ178" i="6"/>
  <c r="BD178" i="6"/>
  <c r="AS178" i="6"/>
  <c r="BJ178" i="6"/>
  <c r="BJ148" i="6"/>
  <c r="AS148" i="6"/>
  <c r="BE148" i="6"/>
  <c r="BK148" i="6"/>
  <c r="AW148" i="6"/>
  <c r="BC148" i="6"/>
  <c r="BD148" i="6"/>
  <c r="AV148" i="6"/>
  <c r="BH148" i="6"/>
  <c r="BF148" i="6"/>
  <c r="BB148" i="6"/>
  <c r="AT148" i="6"/>
  <c r="BG148" i="6"/>
  <c r="AU148" i="6"/>
  <c r="BI148" i="6"/>
  <c r="AY148" i="6"/>
  <c r="BA148" i="6"/>
  <c r="AZ148" i="6"/>
  <c r="AX148" i="6"/>
  <c r="AR148" i="6"/>
  <c r="BB143" i="6"/>
  <c r="AS143" i="6"/>
  <c r="AY143" i="6"/>
  <c r="BI143" i="6"/>
  <c r="BF143" i="6"/>
  <c r="AT143" i="6"/>
  <c r="AV143" i="6"/>
  <c r="AW143" i="6"/>
  <c r="AX143" i="6"/>
  <c r="AZ143" i="6"/>
  <c r="BG143" i="6"/>
  <c r="BA143" i="6"/>
  <c r="AU143" i="6"/>
  <c r="AR143" i="6"/>
  <c r="BE143" i="6"/>
  <c r="BJ143" i="6"/>
  <c r="BK143" i="6"/>
  <c r="BH143" i="6"/>
  <c r="BC143" i="6"/>
  <c r="BD143" i="6"/>
  <c r="BF190" i="6"/>
  <c r="BI190" i="6"/>
  <c r="AU190" i="6"/>
  <c r="BK190" i="6"/>
  <c r="AT190" i="6"/>
  <c r="AY190" i="6"/>
  <c r="BH190" i="6"/>
  <c r="AX190" i="6"/>
  <c r="AR190" i="6"/>
  <c r="BB190" i="6"/>
  <c r="BG190" i="6"/>
  <c r="BE190" i="6"/>
  <c r="AS190" i="6"/>
  <c r="BD190" i="6"/>
  <c r="AW190" i="6"/>
  <c r="BA190" i="6"/>
  <c r="BJ190" i="6"/>
  <c r="AZ190" i="6"/>
  <c r="BC190" i="6"/>
  <c r="AV190" i="6"/>
  <c r="BF158" i="6"/>
  <c r="AT158" i="6"/>
  <c r="AS158" i="6"/>
  <c r="AU158" i="6"/>
  <c r="AR158" i="6"/>
  <c r="BH158" i="6"/>
  <c r="BE158" i="6"/>
  <c r="BK158" i="6"/>
  <c r="AY158" i="6"/>
  <c r="BJ158" i="6"/>
  <c r="AV158" i="6"/>
  <c r="BC158" i="6"/>
  <c r="BI158" i="6"/>
  <c r="BA158" i="6"/>
  <c r="BB158" i="6"/>
  <c r="AW158" i="6"/>
  <c r="AZ158" i="6"/>
  <c r="BD158" i="6"/>
  <c r="BG158" i="6"/>
  <c r="AX158" i="6"/>
  <c r="AW31" i="6"/>
  <c r="AZ31" i="6"/>
  <c r="AY31" i="6"/>
  <c r="AU31" i="6"/>
  <c r="BC31" i="6"/>
  <c r="AT31" i="6"/>
  <c r="AX31" i="6"/>
  <c r="BE31" i="6"/>
  <c r="BH31" i="6"/>
  <c r="BA31" i="6"/>
  <c r="BK31" i="6"/>
  <c r="BD31" i="6"/>
  <c r="BG31" i="6"/>
  <c r="BJ31" i="6"/>
  <c r="AS31" i="6"/>
  <c r="AV31" i="6"/>
  <c r="AR31" i="6"/>
  <c r="BB31" i="6"/>
  <c r="BF31" i="6"/>
  <c r="BI31" i="6"/>
  <c r="BH208" i="6"/>
  <c r="BB208" i="6"/>
  <c r="AU208" i="6"/>
  <c r="AT208" i="6"/>
  <c r="BE208" i="6"/>
  <c r="AX208" i="6"/>
  <c r="BF208" i="6"/>
  <c r="BK208" i="6"/>
  <c r="BA208" i="6"/>
  <c r="AW208" i="6"/>
  <c r="BJ208" i="6"/>
  <c r="AV208" i="6"/>
  <c r="AS208" i="6"/>
  <c r="BC208" i="6"/>
  <c r="BD208" i="6"/>
  <c r="BG208" i="6"/>
  <c r="AR208" i="6"/>
  <c r="AY208" i="6"/>
  <c r="BI208" i="6"/>
  <c r="AZ208" i="6"/>
  <c r="BH174" i="6"/>
  <c r="BF174" i="6"/>
  <c r="BB174" i="6"/>
  <c r="BD174" i="6"/>
  <c r="AS174" i="6"/>
  <c r="V124" i="8" s="1" a="1"/>
  <c r="V124" i="8" s="1"/>
  <c r="AY174" i="6"/>
  <c r="AW174" i="6"/>
  <c r="AR174" i="6"/>
  <c r="AV174" i="6"/>
  <c r="AT174" i="6"/>
  <c r="BJ174" i="6"/>
  <c r="AX174" i="6"/>
  <c r="AZ174" i="6"/>
  <c r="BK174" i="6"/>
  <c r="BC174" i="6"/>
  <c r="BG174" i="6"/>
  <c r="AJ124" i="8" s="1" a="1"/>
  <c r="AJ124" i="8" s="1"/>
  <c r="AU174" i="6"/>
  <c r="BA174" i="6"/>
  <c r="BE174" i="6"/>
  <c r="BI174" i="6"/>
  <c r="BF79" i="6"/>
  <c r="AY79" i="6"/>
  <c r="BC79" i="6"/>
  <c r="AX79" i="6"/>
  <c r="BH79" i="6"/>
  <c r="AZ79" i="6"/>
  <c r="AR79" i="6"/>
  <c r="BK79" i="6"/>
  <c r="AT79" i="6"/>
  <c r="BA79" i="6"/>
  <c r="BJ79" i="6"/>
  <c r="AW79" i="6"/>
  <c r="BD79" i="6"/>
  <c r="AU79" i="6"/>
  <c r="BG79" i="6"/>
  <c r="BI79" i="6"/>
  <c r="BB79" i="6"/>
  <c r="BE79" i="6"/>
  <c r="AV79" i="6"/>
  <c r="AS79" i="6"/>
  <c r="AV219" i="6"/>
  <c r="BG219" i="6"/>
  <c r="AW219" i="6"/>
  <c r="BH219" i="6"/>
  <c r="AY219" i="6"/>
  <c r="BC219" i="6"/>
  <c r="AS219" i="6"/>
  <c r="BK219" i="6"/>
  <c r="BE219" i="6"/>
  <c r="AX219" i="6"/>
  <c r="AT219" i="6"/>
  <c r="AZ219" i="6"/>
  <c r="BD219" i="6"/>
  <c r="BF219" i="6"/>
  <c r="BI219" i="6"/>
  <c r="BB219" i="6"/>
  <c r="BA219" i="6"/>
  <c r="AU219" i="6"/>
  <c r="BJ219" i="6"/>
  <c r="AR219" i="6"/>
  <c r="AX103" i="6"/>
  <c r="AT103" i="6"/>
  <c r="BJ103" i="6"/>
  <c r="BE103" i="6"/>
  <c r="AH85" i="8" s="1" a="1"/>
  <c r="AH85" i="8" s="1"/>
  <c r="AU103" i="6"/>
  <c r="AV103" i="6"/>
  <c r="BD103" i="6"/>
  <c r="AG85" i="8" s="1" a="1"/>
  <c r="AG85" i="8" s="1"/>
  <c r="BI103" i="6"/>
  <c r="BB103" i="6"/>
  <c r="BC103" i="6"/>
  <c r="AY103" i="6"/>
  <c r="AB85" i="8" s="1" a="1"/>
  <c r="AB85" i="8" s="1"/>
  <c r="AZ103" i="6"/>
  <c r="AC85" i="8" s="1" a="1"/>
  <c r="AC85" i="8" s="1"/>
  <c r="BK103" i="6"/>
  <c r="AS103" i="6"/>
  <c r="AW103" i="6"/>
  <c r="BH103" i="6"/>
  <c r="AK85" i="8" s="1" a="1"/>
  <c r="AK85" i="8" s="1"/>
  <c r="BF103" i="6"/>
  <c r="AR103" i="6"/>
  <c r="BA103" i="6"/>
  <c r="BG103" i="6"/>
  <c r="BC181" i="6"/>
  <c r="AS181" i="6"/>
  <c r="AX181" i="6"/>
  <c r="AU181" i="6"/>
  <c r="BK181" i="6"/>
  <c r="BH181" i="6"/>
  <c r="BF181" i="6"/>
  <c r="AY181" i="6"/>
  <c r="BG181" i="6"/>
  <c r="BB181" i="6"/>
  <c r="AT181" i="6"/>
  <c r="BJ181" i="6"/>
  <c r="BI181" i="6"/>
  <c r="AZ181" i="6"/>
  <c r="AV181" i="6"/>
  <c r="AW181" i="6"/>
  <c r="BE181" i="6"/>
  <c r="BA181" i="6"/>
  <c r="BD181" i="6"/>
  <c r="AR181" i="6"/>
  <c r="BK72" i="6"/>
  <c r="BG72" i="6"/>
  <c r="BI72" i="6"/>
  <c r="BE72" i="6"/>
  <c r="AS72" i="6"/>
  <c r="AW72" i="6"/>
  <c r="AU72" i="6"/>
  <c r="BH72" i="6"/>
  <c r="BC72" i="6"/>
  <c r="AX72" i="6"/>
  <c r="AV72" i="6"/>
  <c r="BJ72" i="6"/>
  <c r="BD72" i="6"/>
  <c r="BA72" i="6"/>
  <c r="BF72" i="6"/>
  <c r="AZ72" i="6"/>
  <c r="AY72" i="6"/>
  <c r="AR72" i="6"/>
  <c r="BB72" i="6"/>
  <c r="AT72" i="6"/>
  <c r="AY179" i="6"/>
  <c r="AX179" i="6"/>
  <c r="BC179" i="6"/>
  <c r="BG179" i="6"/>
  <c r="AZ179" i="6"/>
  <c r="AR179" i="6"/>
  <c r="BD179" i="6"/>
  <c r="BA179" i="6"/>
  <c r="BK179" i="6"/>
  <c r="AW179" i="6"/>
  <c r="BJ179" i="6"/>
  <c r="BB179" i="6"/>
  <c r="AS179" i="6"/>
  <c r="AT179" i="6"/>
  <c r="BF179" i="6"/>
  <c r="BH179" i="6"/>
  <c r="BI179" i="6"/>
  <c r="AV179" i="6"/>
  <c r="AU179" i="6"/>
  <c r="BE179" i="6"/>
  <c r="AV63" i="6"/>
  <c r="AY63" i="6"/>
  <c r="BI63" i="6"/>
  <c r="BF63" i="6"/>
  <c r="AX63" i="6"/>
  <c r="BE63" i="6"/>
  <c r="AT63" i="6"/>
  <c r="W52" i="8" s="1" a="1"/>
  <c r="W52" i="8" s="1"/>
  <c r="BB63" i="6"/>
  <c r="BC63" i="6"/>
  <c r="AF52" i="8" s="1" a="1"/>
  <c r="AF52" i="8" s="1"/>
  <c r="BK63" i="6"/>
  <c r="BJ63" i="6"/>
  <c r="AW63" i="6"/>
  <c r="BD63" i="6"/>
  <c r="BA63" i="6"/>
  <c r="BH63" i="6"/>
  <c r="AK52" i="8" s="1" a="1"/>
  <c r="AK52" i="8" s="1"/>
  <c r="AR63" i="6"/>
  <c r="AZ63" i="6"/>
  <c r="AC52" i="8" s="1" a="1"/>
  <c r="AC52" i="8" s="1"/>
  <c r="BG63" i="6"/>
  <c r="AS63" i="6"/>
  <c r="AU63" i="6"/>
  <c r="AX183" i="6"/>
  <c r="BJ183" i="6"/>
  <c r="AY183" i="6"/>
  <c r="AZ183" i="6"/>
  <c r="BC183" i="6"/>
  <c r="AR183" i="6"/>
  <c r="BF183" i="6"/>
  <c r="AS183" i="6"/>
  <c r="BG183" i="6"/>
  <c r="BD183" i="6"/>
  <c r="BI183" i="6"/>
  <c r="AW183" i="6"/>
  <c r="AT183" i="6"/>
  <c r="BH183" i="6"/>
  <c r="AU183" i="6"/>
  <c r="BB183" i="6"/>
  <c r="AV183" i="6"/>
  <c r="BK183" i="6"/>
  <c r="BA183" i="6"/>
  <c r="BE183" i="6"/>
  <c r="BE127" i="6"/>
  <c r="AV127" i="6"/>
  <c r="AW127" i="6"/>
  <c r="BJ127" i="6"/>
  <c r="BF127" i="6"/>
  <c r="BA127" i="6"/>
  <c r="BI127" i="6"/>
  <c r="BK127" i="6"/>
  <c r="BC127" i="6"/>
  <c r="AS127" i="6"/>
  <c r="BB127" i="6"/>
  <c r="AR127" i="6"/>
  <c r="AZ127" i="6"/>
  <c r="AU127" i="6"/>
  <c r="AT127" i="6"/>
  <c r="BH127" i="6"/>
  <c r="AX127" i="6"/>
  <c r="AY127" i="6"/>
  <c r="BG127" i="6"/>
  <c r="BD127" i="6"/>
  <c r="AU222" i="6"/>
  <c r="BD222" i="6"/>
  <c r="AX222" i="6"/>
  <c r="BA222" i="6"/>
  <c r="BH222" i="6"/>
  <c r="BB222" i="6"/>
  <c r="AZ222" i="6"/>
  <c r="BC222" i="6"/>
  <c r="BK222" i="6"/>
  <c r="BF222" i="6"/>
  <c r="AS222" i="6"/>
  <c r="BJ222" i="6"/>
  <c r="AY222" i="6"/>
  <c r="BE222" i="6"/>
  <c r="AW222" i="6"/>
  <c r="BI222" i="6"/>
  <c r="AR222" i="6"/>
  <c r="BG222" i="6"/>
  <c r="AT222" i="6"/>
  <c r="AV222" i="6"/>
  <c r="AT105" i="6"/>
  <c r="BK105" i="6"/>
  <c r="BB105" i="6"/>
  <c r="BA105" i="6"/>
  <c r="BD105" i="6"/>
  <c r="AS105" i="6"/>
  <c r="AX105" i="6"/>
  <c r="BI105" i="6"/>
  <c r="BJ105" i="6"/>
  <c r="AY105" i="6"/>
  <c r="AU105" i="6"/>
  <c r="BF105" i="6"/>
  <c r="AZ105" i="6"/>
  <c r="BG105" i="6"/>
  <c r="BH105" i="6"/>
  <c r="BC105" i="6"/>
  <c r="AV105" i="6"/>
  <c r="BE105" i="6"/>
  <c r="AW105" i="6"/>
  <c r="AR105" i="6"/>
  <c r="AY78" i="6"/>
  <c r="AS78" i="6"/>
  <c r="AX78" i="6"/>
  <c r="BB78" i="6"/>
  <c r="BI78" i="6"/>
  <c r="BE78" i="6"/>
  <c r="AW78" i="6"/>
  <c r="AT78" i="6"/>
  <c r="BK78" i="6"/>
  <c r="BD78" i="6"/>
  <c r="AZ78" i="6"/>
  <c r="BC78" i="6"/>
  <c r="AR78" i="6"/>
  <c r="BA78" i="6"/>
  <c r="BG78" i="6"/>
  <c r="AV78" i="6"/>
  <c r="BF78" i="6"/>
  <c r="BJ78" i="6"/>
  <c r="BH78" i="6"/>
  <c r="AU78" i="6"/>
  <c r="BC159" i="6"/>
  <c r="BF159" i="6"/>
  <c r="BJ159" i="6"/>
  <c r="AV159" i="6"/>
  <c r="BB159" i="6"/>
  <c r="BK159" i="6"/>
  <c r="AZ159" i="6"/>
  <c r="BG159" i="6"/>
  <c r="BD159" i="6"/>
  <c r="BI159" i="6"/>
  <c r="AU159" i="6"/>
  <c r="AW159" i="6"/>
  <c r="AR159" i="6"/>
  <c r="AY159" i="6"/>
  <c r="BA159" i="6"/>
  <c r="BH159" i="6"/>
  <c r="AS159" i="6"/>
  <c r="AX159" i="6"/>
  <c r="AT159" i="6"/>
  <c r="BE159" i="6"/>
  <c r="BA124" i="6"/>
  <c r="BJ124" i="6"/>
  <c r="BD124" i="6"/>
  <c r="BG124" i="6"/>
  <c r="AS124" i="6"/>
  <c r="AZ124" i="6"/>
  <c r="BE124" i="6"/>
  <c r="AW124" i="6"/>
  <c r="AX124" i="6"/>
  <c r="BB124" i="6"/>
  <c r="AY124" i="6"/>
  <c r="AR124" i="6"/>
  <c r="AU124" i="6"/>
  <c r="AT124" i="6"/>
  <c r="BI124" i="6"/>
  <c r="BK124" i="6"/>
  <c r="AV124" i="6"/>
  <c r="BF124" i="6"/>
  <c r="BC124" i="6"/>
  <c r="BH124" i="6"/>
  <c r="BK120" i="6"/>
  <c r="AY120" i="6"/>
  <c r="BJ120" i="6"/>
  <c r="AS120" i="6"/>
  <c r="BE120" i="6"/>
  <c r="BA120" i="6"/>
  <c r="AX120" i="6"/>
  <c r="BC120" i="6"/>
  <c r="BI120" i="6"/>
  <c r="BD120" i="6"/>
  <c r="BB120" i="6"/>
  <c r="AW120" i="6"/>
  <c r="AT120" i="6"/>
  <c r="BF120" i="6"/>
  <c r="AR120" i="6"/>
  <c r="BH120" i="6"/>
  <c r="BG120" i="6"/>
  <c r="AU120" i="6"/>
  <c r="AV120" i="6"/>
  <c r="AZ120" i="6"/>
  <c r="AX68" i="6"/>
  <c r="BG68" i="6"/>
  <c r="BD68" i="6"/>
  <c r="BC68" i="6"/>
  <c r="BK68" i="6"/>
  <c r="BI68" i="6"/>
  <c r="BH68" i="6"/>
  <c r="BF68" i="6"/>
  <c r="AV68" i="6"/>
  <c r="AR68" i="6"/>
  <c r="X68" i="5" s="1" a="1"/>
  <c r="X68" i="5" s="1"/>
  <c r="BE68" i="6"/>
  <c r="AZ68" i="6"/>
  <c r="AT68" i="6"/>
  <c r="AU68" i="6"/>
  <c r="BJ68" i="6"/>
  <c r="BA68" i="6"/>
  <c r="AY68" i="6"/>
  <c r="AS68" i="6"/>
  <c r="AW68" i="6"/>
  <c r="BB68" i="6"/>
  <c r="BK226" i="6"/>
  <c r="AS226" i="6"/>
  <c r="BB226" i="6"/>
  <c r="AE145" i="8" s="1" a="1"/>
  <c r="AE145" i="8" s="1"/>
  <c r="BA226" i="6"/>
  <c r="AX226" i="6"/>
  <c r="BD226" i="6"/>
  <c r="AT226" i="6"/>
  <c r="AV226" i="6"/>
  <c r="BC226" i="6"/>
  <c r="AU226" i="6"/>
  <c r="X145" i="8" s="1" a="1"/>
  <c r="X145" i="8" s="1"/>
  <c r="AW226" i="6"/>
  <c r="Z145" i="8" s="1" a="1"/>
  <c r="Z145" i="8" s="1"/>
  <c r="AR226" i="6"/>
  <c r="BF226" i="6"/>
  <c r="BH226" i="6"/>
  <c r="BJ226" i="6"/>
  <c r="BE226" i="6"/>
  <c r="AY226" i="6"/>
  <c r="AZ226" i="6"/>
  <c r="BG226" i="6"/>
  <c r="BI226" i="6"/>
  <c r="BA157" i="6"/>
  <c r="AU157" i="6"/>
  <c r="X118" i="8" s="1" a="1"/>
  <c r="X118" i="8" s="1"/>
  <c r="AS157" i="6"/>
  <c r="V118" i="8" s="1" a="1"/>
  <c r="V118" i="8" s="1"/>
  <c r="AX157" i="6"/>
  <c r="AY157" i="6"/>
  <c r="BF157" i="6"/>
  <c r="BI157" i="6"/>
  <c r="AL118" i="8" s="1" a="1"/>
  <c r="AL118" i="8" s="1"/>
  <c r="BJ157" i="6"/>
  <c r="BK157" i="6"/>
  <c r="AW157" i="6"/>
  <c r="AV157" i="6"/>
  <c r="BH157" i="6"/>
  <c r="AZ157" i="6"/>
  <c r="AT157" i="6"/>
  <c r="W118" i="8" s="1" a="1"/>
  <c r="W118" i="8" s="1"/>
  <c r="BB157" i="6"/>
  <c r="BG157" i="6"/>
  <c r="BD157" i="6"/>
  <c r="BC157" i="6"/>
  <c r="BE157" i="6"/>
  <c r="AH118" i="8" s="1" a="1"/>
  <c r="AH118" i="8" s="1"/>
  <c r="AR157" i="6"/>
  <c r="BE139" i="6"/>
  <c r="AS139" i="6"/>
  <c r="AR139" i="6"/>
  <c r="BA139" i="6"/>
  <c r="AU139" i="6"/>
  <c r="BD139" i="6"/>
  <c r="BF139" i="6"/>
  <c r="AW139" i="6"/>
  <c r="AX139" i="6"/>
  <c r="AZ139" i="6"/>
  <c r="BJ139" i="6"/>
  <c r="BB139" i="6"/>
  <c r="AT139" i="6"/>
  <c r="AV139" i="6"/>
  <c r="BG139" i="6"/>
  <c r="BH139" i="6"/>
  <c r="AY139" i="6"/>
  <c r="BC139" i="6"/>
  <c r="AF112" i="8" s="1" a="1"/>
  <c r="AF112" i="8" s="1"/>
  <c r="BK139" i="6"/>
  <c r="BI139" i="6"/>
  <c r="BJ135" i="6"/>
  <c r="BI135" i="6"/>
  <c r="AV135" i="6"/>
  <c r="BA135" i="6"/>
  <c r="AX135" i="6"/>
  <c r="BB135" i="6"/>
  <c r="AR135" i="6"/>
  <c r="AW135" i="6"/>
  <c r="BE135" i="6"/>
  <c r="BH135" i="6"/>
  <c r="BD135" i="6"/>
  <c r="AZ135" i="6"/>
  <c r="AU135" i="6"/>
  <c r="BG135" i="6"/>
  <c r="AY135" i="6"/>
  <c r="BK135" i="6"/>
  <c r="AS135" i="6"/>
  <c r="BC135" i="6"/>
  <c r="BF135" i="6"/>
  <c r="AT135" i="6"/>
  <c r="AU44" i="6"/>
  <c r="BF44" i="6"/>
  <c r="BE44" i="6"/>
  <c r="AX44" i="6"/>
  <c r="BK44" i="6"/>
  <c r="AW44" i="6"/>
  <c r="AV44" i="6"/>
  <c r="BH44" i="6"/>
  <c r="AY44" i="6"/>
  <c r="BB44" i="6"/>
  <c r="BA44" i="6"/>
  <c r="AS44" i="6"/>
  <c r="BJ44" i="6"/>
  <c r="BC44" i="6"/>
  <c r="BD44" i="6"/>
  <c r="BG44" i="6"/>
  <c r="AR44" i="6"/>
  <c r="AT44" i="6"/>
  <c r="BI44" i="6"/>
  <c r="AZ44" i="6"/>
  <c r="BK93" i="6"/>
  <c r="AV93" i="6"/>
  <c r="AY93" i="6"/>
  <c r="BJ93" i="6"/>
  <c r="BG93" i="6"/>
  <c r="BE93" i="6"/>
  <c r="AU93" i="6"/>
  <c r="BA93" i="6"/>
  <c r="BI93" i="6"/>
  <c r="BF93" i="6"/>
  <c r="AW93" i="6"/>
  <c r="AS93" i="6"/>
  <c r="AZ93" i="6"/>
  <c r="BH93" i="6"/>
  <c r="BD93" i="6"/>
  <c r="BC93" i="6"/>
  <c r="AX93" i="6"/>
  <c r="AT93" i="6"/>
  <c r="BB93" i="6"/>
  <c r="AR93" i="6"/>
  <c r="AU173" i="6"/>
  <c r="BC173" i="6"/>
  <c r="AY173" i="6"/>
  <c r="BI173" i="6"/>
  <c r="AX173" i="6"/>
  <c r="AT173" i="6"/>
  <c r="BK173" i="6"/>
  <c r="BD173" i="6"/>
  <c r="BB173" i="6"/>
  <c r="BH173" i="6"/>
  <c r="BJ173" i="6"/>
  <c r="AV173" i="6"/>
  <c r="AS173" i="6"/>
  <c r="AW173" i="6"/>
  <c r="AZ173" i="6"/>
  <c r="BG173" i="6"/>
  <c r="AR173" i="6"/>
  <c r="BA173" i="6"/>
  <c r="BE173" i="6"/>
  <c r="BF173" i="6"/>
  <c r="AR100" i="6"/>
  <c r="BG100" i="6"/>
  <c r="AJ79" i="8" s="1" a="1"/>
  <c r="AJ79" i="8" s="1"/>
  <c r="AX100" i="6"/>
  <c r="AA79" i="8" s="1" a="1"/>
  <c r="AA79" i="8" s="1"/>
  <c r="AV100" i="6"/>
  <c r="Y79" i="8" s="1" a="1"/>
  <c r="Y79" i="8" s="1"/>
  <c r="BH100" i="6"/>
  <c r="AK79" i="8" s="1" a="1"/>
  <c r="AK79" i="8" s="1"/>
  <c r="BJ100" i="6"/>
  <c r="AM79" i="8" s="1" a="1"/>
  <c r="AM79" i="8" s="1"/>
  <c r="BF100" i="6"/>
  <c r="AI79" i="8" s="1" a="1"/>
  <c r="AI79" i="8" s="1"/>
  <c r="BD100" i="6"/>
  <c r="AG79" i="8" s="1" a="1"/>
  <c r="AG79" i="8" s="1"/>
  <c r="AU100" i="6"/>
  <c r="X79" i="8" s="1" a="1"/>
  <c r="X79" i="8" s="1"/>
  <c r="AY100" i="6"/>
  <c r="AB79" i="8" s="1" a="1"/>
  <c r="AB79" i="8" s="1"/>
  <c r="AT100" i="6"/>
  <c r="W79" i="8" s="1" a="1"/>
  <c r="W79" i="8" s="1"/>
  <c r="BA100" i="6"/>
  <c r="AD79" i="8" s="1" a="1"/>
  <c r="AD79" i="8" s="1"/>
  <c r="AS100" i="6"/>
  <c r="V79" i="8" s="1" a="1"/>
  <c r="V79" i="8" s="1"/>
  <c r="BK100" i="6"/>
  <c r="AN79" i="8" s="1" a="1"/>
  <c r="AN79" i="8" s="1"/>
  <c r="BC100" i="6"/>
  <c r="AF79" i="8" s="1" a="1"/>
  <c r="AF79" i="8" s="1"/>
  <c r="BB100" i="6"/>
  <c r="AE79" i="8" s="1" a="1"/>
  <c r="AE79" i="8" s="1"/>
  <c r="AW100" i="6"/>
  <c r="Z79" i="8" s="1" a="1"/>
  <c r="Z79" i="8" s="1"/>
  <c r="AZ100" i="6"/>
  <c r="AC79" i="8" s="1" a="1"/>
  <c r="AC79" i="8" s="1"/>
  <c r="BI100" i="6"/>
  <c r="AL79" i="8" s="1" a="1"/>
  <c r="AL79" i="8" s="1"/>
  <c r="BE100" i="6"/>
  <c r="AH79" i="8" s="1" a="1"/>
  <c r="AH79" i="8" s="1"/>
  <c r="BB55" i="6"/>
  <c r="BJ55" i="6"/>
  <c r="BK55" i="6"/>
  <c r="AR55" i="6"/>
  <c r="AU55" i="6"/>
  <c r="BC55" i="6"/>
  <c r="BA55" i="6"/>
  <c r="BH55" i="6"/>
  <c r="AY55" i="6"/>
  <c r="BE55" i="6"/>
  <c r="AX55" i="6"/>
  <c r="AW55" i="6"/>
  <c r="BD55" i="6"/>
  <c r="AS55" i="6"/>
  <c r="AV55" i="6"/>
  <c r="AZ55" i="6"/>
  <c r="BI55" i="6"/>
  <c r="AT55" i="6"/>
  <c r="BF55" i="6"/>
  <c r="BG55" i="6"/>
  <c r="BF18" i="6"/>
  <c r="AV18" i="6"/>
  <c r="AR18" i="6"/>
  <c r="BI18" i="6"/>
  <c r="BE18" i="6"/>
  <c r="BA18" i="6"/>
  <c r="BC18" i="6"/>
  <c r="BD18" i="6"/>
  <c r="AX18" i="6"/>
  <c r="BB18" i="6"/>
  <c r="AY18" i="6"/>
  <c r="AZ18" i="6"/>
  <c r="BH18" i="6"/>
  <c r="AS18" i="6"/>
  <c r="BK18" i="6"/>
  <c r="BJ18" i="6"/>
  <c r="AT18" i="6"/>
  <c r="AW18" i="6"/>
  <c r="BG18" i="6"/>
  <c r="AU18" i="6"/>
  <c r="AS184" i="6"/>
  <c r="AV184" i="6"/>
  <c r="BG184" i="6"/>
  <c r="AW184" i="6"/>
  <c r="BB184" i="6"/>
  <c r="BD184" i="6"/>
  <c r="BC184" i="6"/>
  <c r="AU184" i="6"/>
  <c r="AY184" i="6"/>
  <c r="AR184" i="6"/>
  <c r="BF184" i="6"/>
  <c r="BI184" i="6"/>
  <c r="AT184" i="6"/>
  <c r="BK184" i="6"/>
  <c r="AZ184" i="6"/>
  <c r="BE184" i="6"/>
  <c r="BH184" i="6"/>
  <c r="BJ184" i="6"/>
  <c r="AX184" i="6"/>
  <c r="BA184" i="6"/>
  <c r="AW28" i="6"/>
  <c r="AZ28" i="6"/>
  <c r="BI28" i="6"/>
  <c r="BH28" i="6"/>
  <c r="BB28" i="6"/>
  <c r="BC28" i="6"/>
  <c r="BF28" i="6"/>
  <c r="AV28" i="6"/>
  <c r="AR28" i="6"/>
  <c r="BG28" i="6"/>
  <c r="AS28" i="6"/>
  <c r="BK28" i="6"/>
  <c r="BE28" i="6"/>
  <c r="AY28" i="6"/>
  <c r="AU28" i="6"/>
  <c r="AX28" i="6"/>
  <c r="BA28" i="6"/>
  <c r="AT28" i="6"/>
  <c r="BJ28" i="6"/>
  <c r="BD28" i="6"/>
  <c r="BB54" i="6"/>
  <c r="BK54" i="6"/>
  <c r="BG54" i="6"/>
  <c r="BC54" i="6"/>
  <c r="AX54" i="6"/>
  <c r="AT54" i="6"/>
  <c r="BI54" i="6"/>
  <c r="BJ54" i="6"/>
  <c r="BF54" i="6"/>
  <c r="BD54" i="6"/>
  <c r="AV54" i="6"/>
  <c r="BA54" i="6"/>
  <c r="AR54" i="6"/>
  <c r="BH54" i="6"/>
  <c r="AS54" i="6"/>
  <c r="AY54" i="6"/>
  <c r="AW54" i="6"/>
  <c r="AU54" i="6"/>
  <c r="AZ54" i="6"/>
  <c r="BE54" i="6"/>
  <c r="BF98" i="6"/>
  <c r="BE98" i="6"/>
  <c r="BA98" i="6"/>
  <c r="AU98" i="6"/>
  <c r="BG98" i="6"/>
  <c r="BI98" i="6"/>
  <c r="AX98" i="6"/>
  <c r="BH98" i="6"/>
  <c r="AY98" i="6"/>
  <c r="AS98" i="6"/>
  <c r="BB98" i="6"/>
  <c r="AV98" i="6"/>
  <c r="AW98" i="6"/>
  <c r="AZ98" i="6"/>
  <c r="BJ98" i="6"/>
  <c r="BC98" i="6"/>
  <c r="BD98" i="6"/>
  <c r="BK98" i="6"/>
  <c r="AR98" i="6"/>
  <c r="AT98" i="6"/>
  <c r="AZ207" i="6"/>
  <c r="AU207" i="6"/>
  <c r="BG207" i="6"/>
  <c r="AW207" i="6"/>
  <c r="BF207" i="6"/>
  <c r="BJ207" i="6"/>
  <c r="BB207" i="6"/>
  <c r="AS207" i="6"/>
  <c r="BE207" i="6"/>
  <c r="BI207" i="6"/>
  <c r="BA207" i="6"/>
  <c r="BD207" i="6"/>
  <c r="AT207" i="6"/>
  <c r="BK207" i="6"/>
  <c r="BC207" i="6"/>
  <c r="AX207" i="6"/>
  <c r="AR207" i="6"/>
  <c r="AY207" i="6"/>
  <c r="AV207" i="6"/>
  <c r="BH207" i="6"/>
  <c r="BI108" i="6"/>
  <c r="BD108" i="6"/>
  <c r="BH108" i="6"/>
  <c r="BB108" i="6"/>
  <c r="AE88" i="8" s="1" a="1"/>
  <c r="AE88" i="8" s="1"/>
  <c r="AW108" i="6"/>
  <c r="Z88" i="8" s="1" a="1"/>
  <c r="Z88" i="8" s="1"/>
  <c r="BF108" i="6"/>
  <c r="AI88" i="8" s="1" a="1"/>
  <c r="AI88" i="8" s="1"/>
  <c r="BJ108" i="6"/>
  <c r="AM88" i="8" s="1" a="1"/>
  <c r="AM88" i="8" s="1"/>
  <c r="AZ108" i="6"/>
  <c r="AT108" i="6"/>
  <c r="BK108" i="6"/>
  <c r="AU108" i="6"/>
  <c r="AX108" i="6"/>
  <c r="AR108" i="6"/>
  <c r="BC108" i="6"/>
  <c r="BE108" i="6"/>
  <c r="AY108" i="6"/>
  <c r="AB88" i="8" s="1" a="1"/>
  <c r="AB88" i="8" s="1"/>
  <c r="BA108" i="6"/>
  <c r="AS108" i="6"/>
  <c r="V88" i="8" s="1" a="1"/>
  <c r="V88" i="8" s="1"/>
  <c r="BG108" i="6"/>
  <c r="AV108" i="6"/>
  <c r="AX122" i="6"/>
  <c r="AU122" i="6"/>
  <c r="BF122" i="6"/>
  <c r="BJ122" i="6"/>
  <c r="AV122" i="6"/>
  <c r="AY122" i="6"/>
  <c r="BH122" i="6"/>
  <c r="AR122" i="6"/>
  <c r="BC122" i="6"/>
  <c r="AS122" i="6"/>
  <c r="BD122" i="6"/>
  <c r="BI122" i="6"/>
  <c r="BA122" i="6"/>
  <c r="BG122" i="6"/>
  <c r="BK122" i="6"/>
  <c r="AZ122" i="6"/>
  <c r="AT122" i="6"/>
  <c r="AW122" i="6"/>
  <c r="BE122" i="6"/>
  <c r="BB122" i="6"/>
  <c r="BK200" i="6"/>
  <c r="BH200" i="6"/>
  <c r="AV200" i="6"/>
  <c r="BI200" i="6"/>
  <c r="AS200" i="6"/>
  <c r="AX200" i="6"/>
  <c r="BE200" i="6"/>
  <c r="AT200" i="6"/>
  <c r="AR200" i="6"/>
  <c r="BB200" i="6"/>
  <c r="BA200" i="6"/>
  <c r="BJ200" i="6"/>
  <c r="BG200" i="6"/>
  <c r="AU200" i="6"/>
  <c r="AZ200" i="6"/>
  <c r="BD200" i="6"/>
  <c r="BF200" i="6"/>
  <c r="BC200" i="6"/>
  <c r="AY200" i="6"/>
  <c r="AW200" i="6"/>
  <c r="BH71" i="6"/>
  <c r="AY71" i="6"/>
  <c r="BD71" i="6"/>
  <c r="AS71" i="6"/>
  <c r="AV71" i="6"/>
  <c r="BB71" i="6"/>
  <c r="AW71" i="6"/>
  <c r="AU71" i="6"/>
  <c r="AR71" i="6"/>
  <c r="BF71" i="6"/>
  <c r="BK71" i="6"/>
  <c r="BG71" i="6"/>
  <c r="AZ71" i="6"/>
  <c r="AT71" i="6"/>
  <c r="BI71" i="6"/>
  <c r="BC71" i="6"/>
  <c r="AX71" i="6"/>
  <c r="BJ71" i="6"/>
  <c r="BE71" i="6"/>
  <c r="BA71" i="6"/>
  <c r="BD52" i="6"/>
  <c r="AS52" i="6"/>
  <c r="BA52" i="6"/>
  <c r="AV52" i="6"/>
  <c r="BG52" i="6"/>
  <c r="AY52" i="6"/>
  <c r="AT52" i="6"/>
  <c r="BJ52" i="6"/>
  <c r="AU52" i="6"/>
  <c r="BB52" i="6"/>
  <c r="AX52" i="6"/>
  <c r="AR52" i="6"/>
  <c r="BF52" i="6"/>
  <c r="BK52" i="6"/>
  <c r="AW52" i="6"/>
  <c r="BI52" i="6"/>
  <c r="AZ52" i="6"/>
  <c r="BE52" i="6"/>
  <c r="BH52" i="6"/>
  <c r="BC52" i="6"/>
  <c r="BD137" i="6"/>
  <c r="AR137" i="6"/>
  <c r="BG137" i="6"/>
  <c r="BE137" i="6"/>
  <c r="AY137" i="6"/>
  <c r="BC137" i="6"/>
  <c r="AZ137" i="6"/>
  <c r="AV137" i="6"/>
  <c r="AS137" i="6"/>
  <c r="BJ137" i="6"/>
  <c r="AU137" i="6"/>
  <c r="AW137" i="6"/>
  <c r="BF137" i="6"/>
  <c r="BA137" i="6"/>
  <c r="BI137" i="6"/>
  <c r="BB137" i="6"/>
  <c r="AT137" i="6"/>
  <c r="AX137" i="6"/>
  <c r="BK137" i="6"/>
  <c r="BH137" i="6"/>
  <c r="BA150" i="6"/>
  <c r="BF150" i="6"/>
  <c r="AR150" i="6"/>
  <c r="BJ150" i="6"/>
  <c r="AU150" i="6"/>
  <c r="BC150" i="6"/>
  <c r="AS150" i="6"/>
  <c r="BB150" i="6"/>
  <c r="AW150" i="6"/>
  <c r="BG150" i="6"/>
  <c r="AX150" i="6"/>
  <c r="BE150" i="6"/>
  <c r="BH150" i="6"/>
  <c r="BI150" i="6"/>
  <c r="AV150" i="6"/>
  <c r="AT150" i="6"/>
  <c r="BK150" i="6"/>
  <c r="AZ150" i="6"/>
  <c r="BD150" i="6"/>
  <c r="AY150" i="6"/>
  <c r="AY41" i="6"/>
  <c r="AS41" i="6"/>
  <c r="BH41" i="6"/>
  <c r="BF41" i="6"/>
  <c r="BG41" i="6"/>
  <c r="BD41" i="6"/>
  <c r="BC41" i="6"/>
  <c r="BB41" i="6"/>
  <c r="BJ41" i="6"/>
  <c r="AZ41" i="6"/>
  <c r="BA41" i="6"/>
  <c r="AT41" i="6"/>
  <c r="AV41" i="6"/>
  <c r="BK41" i="6"/>
  <c r="AR41" i="6"/>
  <c r="AW41" i="6"/>
  <c r="AX41" i="6"/>
  <c r="AU41" i="6"/>
  <c r="BI41" i="6"/>
  <c r="BE41" i="6"/>
  <c r="BK232" i="6"/>
  <c r="BB232" i="6"/>
  <c r="BA232" i="6"/>
  <c r="BC232" i="6"/>
  <c r="AV232" i="6"/>
  <c r="BE232" i="6"/>
  <c r="AR232" i="6"/>
  <c r="BF232" i="6"/>
  <c r="AT232" i="6"/>
  <c r="AX232" i="6"/>
  <c r="AS232" i="6"/>
  <c r="AZ232" i="6"/>
  <c r="BG232" i="6"/>
  <c r="AY232" i="6"/>
  <c r="BD232" i="6"/>
  <c r="AU232" i="6"/>
  <c r="AW232" i="6"/>
  <c r="BJ232" i="6"/>
  <c r="BI232" i="6"/>
  <c r="BH232" i="6"/>
  <c r="BI242" i="6"/>
  <c r="BA242" i="6"/>
  <c r="BC242" i="6"/>
  <c r="AX242" i="6"/>
  <c r="AZ242" i="6"/>
  <c r="BH242" i="6"/>
  <c r="AY242" i="6"/>
  <c r="AT242" i="6"/>
  <c r="AU242" i="6"/>
  <c r="BB242" i="6"/>
  <c r="BD242" i="6"/>
  <c r="AW242" i="6"/>
  <c r="BJ242" i="6"/>
  <c r="BG242" i="6"/>
  <c r="AS242" i="6"/>
  <c r="BF242" i="6"/>
  <c r="BE242" i="6"/>
  <c r="AR242" i="6"/>
  <c r="AV242" i="6"/>
  <c r="BK242" i="6"/>
  <c r="BE146" i="6"/>
  <c r="BK146" i="6"/>
  <c r="AS146" i="6"/>
  <c r="AT146" i="6"/>
  <c r="AY146" i="6"/>
  <c r="BI146" i="6"/>
  <c r="AW146" i="6"/>
  <c r="AU146" i="6"/>
  <c r="BC146" i="6"/>
  <c r="AZ146" i="6"/>
  <c r="AR146" i="6"/>
  <c r="AV146" i="6"/>
  <c r="BH146" i="6"/>
  <c r="BA146" i="6"/>
  <c r="BF146" i="6"/>
  <c r="BJ146" i="6"/>
  <c r="BB146" i="6"/>
  <c r="AX146" i="6"/>
  <c r="BD146" i="6"/>
  <c r="BG146" i="6"/>
  <c r="AU141" i="6"/>
  <c r="AT141" i="6"/>
  <c r="BE141" i="6"/>
  <c r="AY141" i="6"/>
  <c r="BK141" i="6"/>
  <c r="BF141" i="6"/>
  <c r="BH141" i="6"/>
  <c r="BG141" i="6"/>
  <c r="AZ141" i="6"/>
  <c r="AR141" i="6"/>
  <c r="BC141" i="6"/>
  <c r="AV141" i="6"/>
  <c r="BD141" i="6"/>
  <c r="BB141" i="6"/>
  <c r="BJ141" i="6"/>
  <c r="AW141" i="6"/>
  <c r="BA141" i="6"/>
  <c r="AS141" i="6"/>
  <c r="BI141" i="6"/>
  <c r="AX141" i="6"/>
  <c r="BG30" i="6"/>
  <c r="AT30" i="6"/>
  <c r="AU30" i="6"/>
  <c r="AV30" i="6"/>
  <c r="BI30" i="6"/>
  <c r="BF30" i="6"/>
  <c r="AR30" i="6"/>
  <c r="AY30" i="6"/>
  <c r="BE30" i="6"/>
  <c r="BB30" i="6"/>
  <c r="BC30" i="6"/>
  <c r="AZ30" i="6"/>
  <c r="BD30" i="6"/>
  <c r="BK30" i="6"/>
  <c r="BH30" i="6"/>
  <c r="AX30" i="6"/>
  <c r="AS30" i="6"/>
  <c r="AW30" i="6"/>
  <c r="BJ30" i="6"/>
  <c r="BA30" i="6"/>
  <c r="AS185" i="6"/>
  <c r="BB185" i="6"/>
  <c r="BA185" i="6"/>
  <c r="AU185" i="6"/>
  <c r="AZ185" i="6"/>
  <c r="AW185" i="6"/>
  <c r="AX185" i="6"/>
  <c r="AT185" i="6"/>
  <c r="BF185" i="6"/>
  <c r="AR185" i="6"/>
  <c r="BD185" i="6"/>
  <c r="AY185" i="6"/>
  <c r="BI185" i="6"/>
  <c r="BK185" i="6"/>
  <c r="BH185" i="6"/>
  <c r="AV185" i="6"/>
  <c r="BJ185" i="6"/>
  <c r="BE185" i="6"/>
  <c r="BG185" i="6"/>
  <c r="BC185" i="6"/>
  <c r="AY224" i="6"/>
  <c r="AS224" i="6"/>
  <c r="BH224" i="6"/>
  <c r="BA224" i="6"/>
  <c r="BD224" i="6"/>
  <c r="BG224" i="6"/>
  <c r="AR224" i="6"/>
  <c r="BK224" i="6"/>
  <c r="AW224" i="6"/>
  <c r="AZ224" i="6"/>
  <c r="BI224" i="6"/>
  <c r="BB224" i="6"/>
  <c r="BE224" i="6"/>
  <c r="AV224" i="6"/>
  <c r="AU224" i="6"/>
  <c r="BC224" i="6"/>
  <c r="BF224" i="6"/>
  <c r="AT224" i="6"/>
  <c r="AX224" i="6"/>
  <c r="BJ224" i="6"/>
  <c r="AX130" i="6"/>
  <c r="BH130" i="6"/>
  <c r="AT130" i="6"/>
  <c r="BC130" i="6"/>
  <c r="BB130" i="6"/>
  <c r="AS130" i="6"/>
  <c r="BJ130" i="6"/>
  <c r="AZ130" i="6"/>
  <c r="AW130" i="6"/>
  <c r="BE130" i="6"/>
  <c r="BA130" i="6"/>
  <c r="BI130" i="6"/>
  <c r="BK130" i="6"/>
  <c r="AU130" i="6"/>
  <c r="BG130" i="6"/>
  <c r="AR130" i="6"/>
  <c r="AY130" i="6"/>
  <c r="BD130" i="6"/>
  <c r="BF130" i="6"/>
  <c r="AV130" i="6"/>
  <c r="AV47" i="6"/>
  <c r="BB47" i="6"/>
  <c r="BC47" i="6"/>
  <c r="BE47" i="6"/>
  <c r="AT47" i="6"/>
  <c r="BF47" i="6"/>
  <c r="BJ47" i="6"/>
  <c r="BA47" i="6"/>
  <c r="AY47" i="6"/>
  <c r="AX47" i="6"/>
  <c r="BG47" i="6"/>
  <c r="AU47" i="6"/>
  <c r="BK47" i="6"/>
  <c r="BH47" i="6"/>
  <c r="AW47" i="6"/>
  <c r="BD47" i="6"/>
  <c r="AS47" i="6"/>
  <c r="BI47" i="6"/>
  <c r="AR47" i="6"/>
  <c r="AZ47" i="6"/>
  <c r="AZ112" i="6"/>
  <c r="AR112" i="6"/>
  <c r="BK112" i="6"/>
  <c r="BF112" i="6"/>
  <c r="AV112" i="6"/>
  <c r="AS112" i="6"/>
  <c r="BA112" i="6"/>
  <c r="AU112" i="6"/>
  <c r="AX112" i="6"/>
  <c r="AY112" i="6"/>
  <c r="BG112" i="6"/>
  <c r="BH112" i="6"/>
  <c r="AW112" i="6"/>
  <c r="BE112" i="6"/>
  <c r="AT112" i="6"/>
  <c r="BJ112" i="6"/>
  <c r="BB112" i="6"/>
  <c r="BI112" i="6"/>
  <c r="BD112" i="6"/>
  <c r="BC112" i="6"/>
  <c r="BD220" i="6"/>
  <c r="BH220" i="6"/>
  <c r="BE220" i="6"/>
  <c r="BI220" i="6"/>
  <c r="AV220" i="6"/>
  <c r="BA220" i="6"/>
  <c r="AY220" i="6"/>
  <c r="BC220" i="6"/>
  <c r="AT220" i="6"/>
  <c r="BJ220" i="6"/>
  <c r="BB220" i="6"/>
  <c r="AS220" i="6"/>
  <c r="AX220" i="6"/>
  <c r="AR220" i="6"/>
  <c r="AW220" i="6"/>
  <c r="AZ220" i="6"/>
  <c r="AU220" i="6"/>
  <c r="BK220" i="6"/>
  <c r="BG220" i="6"/>
  <c r="BF220" i="6"/>
  <c r="AY116" i="6"/>
  <c r="AU116" i="6"/>
  <c r="AT116" i="6"/>
  <c r="BD116" i="6"/>
  <c r="BJ116" i="6"/>
  <c r="BG116" i="6"/>
  <c r="BI116" i="6"/>
  <c r="AX116" i="6"/>
  <c r="AA97" i="8" s="1" a="1"/>
  <c r="AA97" i="8" s="1"/>
  <c r="BH116" i="6"/>
  <c r="BB116" i="6"/>
  <c r="BA116" i="6"/>
  <c r="BF116" i="6"/>
  <c r="AV116" i="6"/>
  <c r="AR116" i="6"/>
  <c r="BC116" i="6"/>
  <c r="AW116" i="6"/>
  <c r="BK116" i="6"/>
  <c r="BE116" i="6"/>
  <c r="AS116" i="6"/>
  <c r="AZ116" i="6"/>
  <c r="AC97" i="8" s="1" a="1"/>
  <c r="AC97" i="8" s="1"/>
  <c r="BH40" i="6"/>
  <c r="BF40" i="6"/>
  <c r="BE40" i="6"/>
  <c r="AZ40" i="6"/>
  <c r="AR40" i="6"/>
  <c r="AX40" i="6"/>
  <c r="BG40" i="6"/>
  <c r="AU40" i="6"/>
  <c r="BA40" i="6"/>
  <c r="AW40" i="6"/>
  <c r="BK40" i="6"/>
  <c r="AT40" i="6"/>
  <c r="BD40" i="6"/>
  <c r="BB40" i="6"/>
  <c r="BJ40" i="6"/>
  <c r="BC40" i="6"/>
  <c r="AS40" i="6"/>
  <c r="AY40" i="6"/>
  <c r="AV40" i="6"/>
  <c r="BI40" i="6"/>
  <c r="AZ77" i="6"/>
  <c r="AR77" i="6"/>
  <c r="AX77" i="6"/>
  <c r="AA64" i="8" s="1" a="1"/>
  <c r="AA64" i="8" s="1"/>
  <c r="AS77" i="6"/>
  <c r="BK77" i="6"/>
  <c r="AY77" i="6"/>
  <c r="BC77" i="6"/>
  <c r="AF64" i="8" s="1" a="1"/>
  <c r="AF64" i="8" s="1"/>
  <c r="BH77" i="6"/>
  <c r="AV77" i="6"/>
  <c r="BA77" i="6"/>
  <c r="AW77" i="6"/>
  <c r="AU77" i="6"/>
  <c r="BD77" i="6"/>
  <c r="AG64" i="8" s="1" a="1"/>
  <c r="AG64" i="8" s="1"/>
  <c r="AT77" i="6"/>
  <c r="W64" i="8" s="1" a="1"/>
  <c r="W64" i="8" s="1"/>
  <c r="BB77" i="6"/>
  <c r="BI77" i="6"/>
  <c r="AL64" i="8" s="1" a="1"/>
  <c r="AL64" i="8" s="1"/>
  <c r="BG77" i="6"/>
  <c r="BE77" i="6"/>
  <c r="BJ77" i="6"/>
  <c r="AM64" i="8" s="1" a="1"/>
  <c r="AM64" i="8" s="1"/>
  <c r="BF77" i="6"/>
  <c r="BB155" i="6"/>
  <c r="AX155" i="6"/>
  <c r="BJ155" i="6"/>
  <c r="BH155" i="6"/>
  <c r="BA155" i="6"/>
  <c r="AV155" i="6"/>
  <c r="BD155" i="6"/>
  <c r="BI155" i="6"/>
  <c r="BK155" i="6"/>
  <c r="AZ155" i="6"/>
  <c r="AW155" i="6"/>
  <c r="AU155" i="6"/>
  <c r="BC155" i="6"/>
  <c r="AY155" i="6"/>
  <c r="BE155" i="6"/>
  <c r="BF155" i="6"/>
  <c r="AS155" i="6"/>
  <c r="AT155" i="6"/>
  <c r="AR155" i="6"/>
  <c r="BG155" i="6"/>
  <c r="AX211" i="6"/>
  <c r="BI211" i="6"/>
  <c r="AS211" i="6"/>
  <c r="BA211" i="6"/>
  <c r="BH211" i="6"/>
  <c r="BJ211" i="6"/>
  <c r="BF211" i="6"/>
  <c r="BK211" i="6"/>
  <c r="AU211" i="6"/>
  <c r="AR211" i="6"/>
  <c r="AZ211" i="6"/>
  <c r="BD211" i="6"/>
  <c r="BB211" i="6"/>
  <c r="AV211" i="6"/>
  <c r="BE211" i="6"/>
  <c r="BC211" i="6"/>
  <c r="AW211" i="6"/>
  <c r="AY211" i="6"/>
  <c r="BG211" i="6"/>
  <c r="AT211" i="6"/>
  <c r="AW169" i="6"/>
  <c r="AS169" i="6"/>
  <c r="BF169" i="6"/>
  <c r="BH169" i="6"/>
  <c r="BJ169" i="6"/>
  <c r="AY169" i="6"/>
  <c r="BG169" i="6"/>
  <c r="BE169" i="6"/>
  <c r="AX169" i="6"/>
  <c r="BK169" i="6"/>
  <c r="AT169" i="6"/>
  <c r="BD169" i="6"/>
  <c r="BA169" i="6"/>
  <c r="AZ169" i="6"/>
  <c r="AR169" i="6"/>
  <c r="BC169" i="6"/>
  <c r="AV169" i="6"/>
  <c r="AU169" i="6"/>
  <c r="BB169" i="6"/>
  <c r="BI169" i="6"/>
  <c r="BF109" i="6"/>
  <c r="AX109" i="6"/>
  <c r="AR109" i="6"/>
  <c r="BK109" i="6"/>
  <c r="BG109" i="6"/>
  <c r="AW109" i="6"/>
  <c r="BE109" i="6"/>
  <c r="BI109" i="6"/>
  <c r="AU109" i="6"/>
  <c r="BC109" i="6"/>
  <c r="BD109" i="6"/>
  <c r="AY109" i="6"/>
  <c r="BB109" i="6"/>
  <c r="BJ109" i="6"/>
  <c r="AS109" i="6"/>
  <c r="AT109" i="6"/>
  <c r="AZ109" i="6"/>
  <c r="BH109" i="6"/>
  <c r="AV109" i="6"/>
  <c r="BA109" i="6"/>
  <c r="BB241" i="6"/>
  <c r="AX241" i="6"/>
  <c r="AU241" i="6"/>
  <c r="BA241" i="6"/>
  <c r="BG241" i="6"/>
  <c r="BI241" i="6"/>
  <c r="AS241" i="6"/>
  <c r="AV241" i="6"/>
  <c r="BK241" i="6"/>
  <c r="BE241" i="6"/>
  <c r="BF241" i="6"/>
  <c r="BC241" i="6"/>
  <c r="BD241" i="6"/>
  <c r="AT241" i="6"/>
  <c r="AZ241" i="6"/>
  <c r="AR241" i="6"/>
  <c r="AY241" i="6"/>
  <c r="AW241" i="6"/>
  <c r="BJ241" i="6"/>
  <c r="BH241" i="6"/>
  <c r="AS80" i="6"/>
  <c r="BH80" i="6"/>
  <c r="AV80" i="6"/>
  <c r="BF80" i="6"/>
  <c r="BI80" i="6"/>
  <c r="AU80" i="6"/>
  <c r="AW80" i="6"/>
  <c r="BJ80" i="6"/>
  <c r="BB80" i="6"/>
  <c r="AT80" i="6"/>
  <c r="AY80" i="6"/>
  <c r="AR80" i="6"/>
  <c r="AZ80" i="6"/>
  <c r="BG80" i="6"/>
  <c r="BD80" i="6"/>
  <c r="BK80" i="6"/>
  <c r="BC80" i="6"/>
  <c r="BA80" i="6"/>
  <c r="AX80" i="6"/>
  <c r="BE80" i="6"/>
  <c r="BG69" i="6"/>
  <c r="BK69" i="6"/>
  <c r="AS69" i="6"/>
  <c r="BI69" i="6"/>
  <c r="AT69" i="6"/>
  <c r="BA69" i="6"/>
  <c r="AW69" i="6"/>
  <c r="AY69" i="6"/>
  <c r="AU69" i="6"/>
  <c r="BC69" i="6"/>
  <c r="BD69" i="6"/>
  <c r="BF69" i="6"/>
  <c r="BB69" i="6"/>
  <c r="BE69" i="6"/>
  <c r="AZ69" i="6"/>
  <c r="AV69" i="6"/>
  <c r="AX69" i="6"/>
  <c r="BH69" i="6"/>
  <c r="BJ69" i="6"/>
  <c r="AR69" i="6"/>
  <c r="AW231" i="6"/>
  <c r="BI231" i="6"/>
  <c r="BH231" i="6"/>
  <c r="BD231" i="6"/>
  <c r="AZ231" i="6"/>
  <c r="BJ231" i="6"/>
  <c r="AR231" i="6"/>
  <c r="BE231" i="6"/>
  <c r="AY231" i="6"/>
  <c r="BB231" i="6"/>
  <c r="AX231" i="6"/>
  <c r="BF231" i="6"/>
  <c r="BC231" i="6"/>
  <c r="AS231" i="6"/>
  <c r="AU231" i="6"/>
  <c r="BG231" i="6"/>
  <c r="BK231" i="6"/>
  <c r="AT231" i="6"/>
  <c r="AV231" i="6"/>
  <c r="BA231" i="6"/>
  <c r="BH39" i="6"/>
  <c r="AY39" i="6"/>
  <c r="BI39" i="6"/>
  <c r="BD39" i="6"/>
  <c r="BJ39" i="6"/>
  <c r="AU39" i="6"/>
  <c r="AS39" i="6"/>
  <c r="BE39" i="6"/>
  <c r="AX39" i="6"/>
  <c r="BF39" i="6"/>
  <c r="BB39" i="6"/>
  <c r="BG39" i="6"/>
  <c r="AR39" i="6"/>
  <c r="X39" i="5" s="1" a="1"/>
  <c r="X39" i="5" s="1"/>
  <c r="AZ39" i="6"/>
  <c r="BA39" i="6"/>
  <c r="BK39" i="6"/>
  <c r="AV39" i="6"/>
  <c r="AW39" i="6"/>
  <c r="AT39" i="6"/>
  <c r="BC39" i="6"/>
  <c r="BF24" i="6"/>
  <c r="AI28" i="8" s="1" a="1"/>
  <c r="AI28" i="8" s="1"/>
  <c r="BB24" i="6"/>
  <c r="AE28" i="8" s="1" a="1"/>
  <c r="AE28" i="8" s="1"/>
  <c r="BA24" i="6"/>
  <c r="AD28" i="8" s="1" a="1"/>
  <c r="AD28" i="8" s="1"/>
  <c r="AW24" i="6"/>
  <c r="Z28" i="8" s="1" a="1"/>
  <c r="Z28" i="8" s="1"/>
  <c r="BC24" i="6"/>
  <c r="AF28" i="8" s="1" a="1"/>
  <c r="AF28" i="8" s="1"/>
  <c r="BJ24" i="6"/>
  <c r="AM28" i="8" s="1" a="1"/>
  <c r="AM28" i="8" s="1"/>
  <c r="AZ24" i="6"/>
  <c r="AC28" i="8" s="1" a="1"/>
  <c r="AC28" i="8" s="1"/>
  <c r="AV24" i="6"/>
  <c r="Y28" i="8" s="1" a="1"/>
  <c r="Y28" i="8" s="1"/>
  <c r="AR24" i="6"/>
  <c r="BI24" i="6"/>
  <c r="AL28" i="8" s="1" a="1"/>
  <c r="AL28" i="8" s="1"/>
  <c r="AU24" i="6"/>
  <c r="X28" i="8" s="1" a="1"/>
  <c r="X28" i="8" s="1"/>
  <c r="AX24" i="6"/>
  <c r="AA28" i="8" s="1" a="1"/>
  <c r="AA28" i="8" s="1"/>
  <c r="BE24" i="6"/>
  <c r="AH28" i="8" s="1" a="1"/>
  <c r="AH28" i="8" s="1"/>
  <c r="BH24" i="6"/>
  <c r="AK28" i="8" s="1" a="1"/>
  <c r="AK28" i="8" s="1"/>
  <c r="AS24" i="6"/>
  <c r="V28" i="8" s="1" a="1"/>
  <c r="V28" i="8" s="1"/>
  <c r="BK24" i="6"/>
  <c r="AN28" i="8" s="1" a="1"/>
  <c r="AN28" i="8" s="1"/>
  <c r="BG24" i="6"/>
  <c r="AJ28" i="8" s="1" a="1"/>
  <c r="AJ28" i="8" s="1"/>
  <c r="AY24" i="6"/>
  <c r="AB28" i="8" s="1" a="1"/>
  <c r="AB28" i="8" s="1"/>
  <c r="BD24" i="6"/>
  <c r="AG28" i="8" s="1" a="1"/>
  <c r="AG28" i="8" s="1"/>
  <c r="AT24" i="6"/>
  <c r="W28" i="8" s="1" a="1"/>
  <c r="W28" i="8" s="1"/>
  <c r="AR46" i="6"/>
  <c r="AU46" i="6"/>
  <c r="AZ46" i="6"/>
  <c r="AC40" i="8" s="1" a="1"/>
  <c r="AC40" i="8" s="1"/>
  <c r="AT46" i="6"/>
  <c r="W40" i="8" s="1" a="1"/>
  <c r="W40" i="8" s="1"/>
  <c r="AS46" i="6"/>
  <c r="V40" i="8" s="1" a="1"/>
  <c r="V40" i="8" s="1"/>
  <c r="AW46" i="6"/>
  <c r="AX46" i="6"/>
  <c r="AY46" i="6"/>
  <c r="AV46" i="6"/>
  <c r="Y40" i="8" s="1" a="1"/>
  <c r="Y40" i="8" s="1"/>
  <c r="BK46" i="6"/>
  <c r="BG46" i="6"/>
  <c r="BD46" i="6"/>
  <c r="BE46" i="6"/>
  <c r="BC46" i="6"/>
  <c r="BI46" i="6"/>
  <c r="AL40" i="8" s="1" a="1"/>
  <c r="AL40" i="8" s="1"/>
  <c r="BJ46" i="6"/>
  <c r="AM40" i="8" s="1" a="1"/>
  <c r="AM40" i="8" s="1"/>
  <c r="BB46" i="6"/>
  <c r="AE40" i="8" s="1" a="1"/>
  <c r="AE40" i="8" s="1"/>
  <c r="BA46" i="6"/>
  <c r="AD40" i="8" s="1" a="1"/>
  <c r="AD40" i="8" s="1"/>
  <c r="BF46" i="6"/>
  <c r="BH46" i="6"/>
  <c r="AV221" i="6"/>
  <c r="BI221" i="6"/>
  <c r="BC221" i="6"/>
  <c r="AU221" i="6"/>
  <c r="BF221" i="6"/>
  <c r="AS221" i="6"/>
  <c r="BB221" i="6"/>
  <c r="AZ221" i="6"/>
  <c r="AT221" i="6"/>
  <c r="BG221" i="6"/>
  <c r="AX221" i="6"/>
  <c r="BA221" i="6"/>
  <c r="BK221" i="6"/>
  <c r="BE221" i="6"/>
  <c r="AR221" i="6"/>
  <c r="AY221" i="6"/>
  <c r="BJ221" i="6"/>
  <c r="AW221" i="6"/>
  <c r="BD221" i="6"/>
  <c r="BH221" i="6"/>
  <c r="AW136" i="6"/>
  <c r="BD136" i="6"/>
  <c r="AR136" i="6"/>
  <c r="AY136" i="6"/>
  <c r="BF136" i="6"/>
  <c r="BG136" i="6"/>
  <c r="BC136" i="6"/>
  <c r="AS136" i="6"/>
  <c r="BH136" i="6"/>
  <c r="AX136" i="6"/>
  <c r="BB136" i="6"/>
  <c r="BJ136" i="6"/>
  <c r="AV136" i="6"/>
  <c r="BE136" i="6"/>
  <c r="BA136" i="6"/>
  <c r="AT136" i="6"/>
  <c r="AZ136" i="6"/>
  <c r="BK136" i="6"/>
  <c r="BI136" i="6"/>
  <c r="AU136" i="6"/>
  <c r="AW35" i="6"/>
  <c r="AR35" i="6"/>
  <c r="AV35" i="6"/>
  <c r="BA35" i="6"/>
  <c r="BD35" i="6"/>
  <c r="BF35" i="6"/>
  <c r="AY35" i="6"/>
  <c r="BE35" i="6"/>
  <c r="BK35" i="6"/>
  <c r="AU35" i="6"/>
  <c r="AT35" i="6"/>
  <c r="AX35" i="6"/>
  <c r="AZ35" i="6"/>
  <c r="BJ35" i="6"/>
  <c r="BC35" i="6"/>
  <c r="AS35" i="6"/>
  <c r="BB35" i="6"/>
  <c r="BG35" i="6"/>
  <c r="BH35" i="6"/>
  <c r="BI35" i="6"/>
  <c r="AX213" i="6"/>
  <c r="BI213" i="6"/>
  <c r="AS213" i="6"/>
  <c r="BC213" i="6"/>
  <c r="BJ213" i="6"/>
  <c r="BB213" i="6"/>
  <c r="BE213" i="6"/>
  <c r="AT213" i="6"/>
  <c r="AW213" i="6"/>
  <c r="AU213" i="6"/>
  <c r="BG213" i="6"/>
  <c r="AR213" i="6"/>
  <c r="AV213" i="6"/>
  <c r="AY213" i="6"/>
  <c r="BD213" i="6"/>
  <c r="AZ213" i="6"/>
  <c r="BA213" i="6"/>
  <c r="BF213" i="6"/>
  <c r="BH213" i="6"/>
  <c r="BK213" i="6"/>
  <c r="AY160" i="6"/>
  <c r="AV160" i="6"/>
  <c r="BG160" i="6"/>
  <c r="BA160" i="6"/>
  <c r="AR160" i="6"/>
  <c r="BC160" i="6"/>
  <c r="BD160" i="6"/>
  <c r="BK160" i="6"/>
  <c r="BH160" i="6"/>
  <c r="AW160" i="6"/>
  <c r="BF160" i="6"/>
  <c r="AU160" i="6"/>
  <c r="AX160" i="6"/>
  <c r="AZ160" i="6"/>
  <c r="BJ160" i="6"/>
  <c r="BE160" i="6"/>
  <c r="BI160" i="6"/>
  <c r="AS160" i="6"/>
  <c r="BB160" i="6"/>
  <c r="AT160" i="6"/>
  <c r="AU97" i="6"/>
  <c r="AX97" i="6"/>
  <c r="BH97" i="6"/>
  <c r="AZ97" i="6"/>
  <c r="BI97" i="6"/>
  <c r="BC97" i="6"/>
  <c r="BE97" i="6"/>
  <c r="BG97" i="6"/>
  <c r="BF97" i="6"/>
  <c r="AR97" i="6"/>
  <c r="AT97" i="6"/>
  <c r="AY97" i="6"/>
  <c r="AV97" i="6"/>
  <c r="BA97" i="6"/>
  <c r="BD97" i="6"/>
  <c r="BJ97" i="6"/>
  <c r="BB97" i="6"/>
  <c r="AW97" i="6"/>
  <c r="BK97" i="6"/>
  <c r="AS97" i="6"/>
  <c r="AW172" i="6"/>
  <c r="BE172" i="6"/>
  <c r="BA172" i="6"/>
  <c r="AX172" i="6"/>
  <c r="AR172" i="6"/>
  <c r="BI172" i="6"/>
  <c r="BF172" i="6"/>
  <c r="AZ172" i="6"/>
  <c r="AY172" i="6"/>
  <c r="AU172" i="6"/>
  <c r="BB172" i="6"/>
  <c r="BD172" i="6"/>
  <c r="BH172" i="6"/>
  <c r="BK172" i="6"/>
  <c r="BJ172" i="6"/>
  <c r="AV172" i="6"/>
  <c r="AT172" i="6"/>
  <c r="BG172" i="6"/>
  <c r="BC172" i="6"/>
  <c r="AS172" i="6"/>
  <c r="BJ147" i="6"/>
  <c r="AX147" i="6"/>
  <c r="BC147" i="6"/>
  <c r="BK147" i="6"/>
  <c r="AS147" i="6"/>
  <c r="AY147" i="6"/>
  <c r="BG147" i="6"/>
  <c r="BF147" i="6"/>
  <c r="BA147" i="6"/>
  <c r="BI147" i="6"/>
  <c r="AR147" i="6"/>
  <c r="BB147" i="6"/>
  <c r="AW147" i="6"/>
  <c r="AV147" i="6"/>
  <c r="AU147" i="6"/>
  <c r="AZ147" i="6"/>
  <c r="BD147" i="6"/>
  <c r="AT147" i="6"/>
  <c r="BE147" i="6"/>
  <c r="BH147" i="6"/>
  <c r="BD59" i="6"/>
  <c r="BA59" i="6"/>
  <c r="AR59" i="6"/>
  <c r="BC59" i="6"/>
  <c r="AS59" i="6"/>
  <c r="BE59" i="6"/>
  <c r="BG59" i="6"/>
  <c r="BI59" i="6"/>
  <c r="AW59" i="6"/>
  <c r="AV59" i="6"/>
  <c r="BB59" i="6"/>
  <c r="AU59" i="6"/>
  <c r="AT59" i="6"/>
  <c r="BJ59" i="6"/>
  <c r="AY59" i="6"/>
  <c r="AZ59" i="6"/>
  <c r="BF59" i="6"/>
  <c r="AX59" i="6"/>
  <c r="BK59" i="6"/>
  <c r="BH59" i="6"/>
  <c r="BB29" i="6"/>
  <c r="AY29" i="6"/>
  <c r="AX29" i="6"/>
  <c r="BD29" i="6"/>
  <c r="BJ29" i="6"/>
  <c r="BH29" i="6"/>
  <c r="BF29" i="6"/>
  <c r="AV29" i="6"/>
  <c r="BE29" i="6"/>
  <c r="BG29" i="6"/>
  <c r="BK29" i="6"/>
  <c r="BC29" i="6"/>
  <c r="BI29" i="6"/>
  <c r="BA29" i="6"/>
  <c r="AT29" i="6"/>
  <c r="AU29" i="6"/>
  <c r="AZ29" i="6"/>
  <c r="AR29" i="6"/>
  <c r="AS29" i="6"/>
  <c r="AW29" i="6"/>
  <c r="BJ96" i="6"/>
  <c r="BF96" i="6"/>
  <c r="AZ96" i="6"/>
  <c r="AT96" i="6"/>
  <c r="BC96" i="6"/>
  <c r="BE96" i="6"/>
  <c r="AS96" i="6"/>
  <c r="AX96" i="6"/>
  <c r="BK96" i="6"/>
  <c r="BB96" i="6"/>
  <c r="BD96" i="6"/>
  <c r="BI96" i="6"/>
  <c r="AV96" i="6"/>
  <c r="AW96" i="6"/>
  <c r="AR96" i="6"/>
  <c r="AY96" i="6"/>
  <c r="BH96" i="6"/>
  <c r="BA96" i="6"/>
  <c r="AU96" i="6"/>
  <c r="BG96" i="6"/>
  <c r="AT117" i="6"/>
  <c r="BC117" i="6"/>
  <c r="AY117" i="6"/>
  <c r="BE117" i="6"/>
  <c r="BG117" i="6"/>
  <c r="AX117" i="6"/>
  <c r="BD117" i="6"/>
  <c r="BJ117" i="6"/>
  <c r="AU117" i="6"/>
  <c r="BA117" i="6"/>
  <c r="AZ117" i="6"/>
  <c r="AW117" i="6"/>
  <c r="BH117" i="6"/>
  <c r="BB117" i="6"/>
  <c r="AR117" i="6"/>
  <c r="BI117" i="6"/>
  <c r="BK117" i="6"/>
  <c r="AS117" i="6"/>
  <c r="AV117" i="6"/>
  <c r="BF117" i="6"/>
  <c r="AZ205" i="6"/>
  <c r="AV205" i="6"/>
  <c r="BD205" i="6"/>
  <c r="BJ205" i="6"/>
  <c r="BI205" i="6"/>
  <c r="AL139" i="8" s="1" a="1"/>
  <c r="AL139" i="8" s="1"/>
  <c r="BE205" i="6"/>
  <c r="AH139" i="8" s="1" a="1"/>
  <c r="AH139" i="8" s="1"/>
  <c r="AT205" i="6"/>
  <c r="AW205" i="6"/>
  <c r="BG205" i="6"/>
  <c r="AU205" i="6"/>
  <c r="X139" i="8" s="1" a="1"/>
  <c r="X139" i="8" s="1"/>
  <c r="AY205" i="6"/>
  <c r="BA205" i="6"/>
  <c r="BC205" i="6"/>
  <c r="AS205" i="6"/>
  <c r="BK205" i="6"/>
  <c r="AX205" i="6"/>
  <c r="AR205" i="6"/>
  <c r="BB205" i="6"/>
  <c r="BH205" i="6"/>
  <c r="AK139" i="8" s="1" a="1"/>
  <c r="AK139" i="8" s="1"/>
  <c r="BF205" i="6"/>
  <c r="BD121" i="6"/>
  <c r="BE121" i="6"/>
  <c r="BA121" i="6"/>
  <c r="BH121" i="6"/>
  <c r="AS121" i="6"/>
  <c r="BG121" i="6"/>
  <c r="BJ121" i="6"/>
  <c r="AZ121" i="6"/>
  <c r="AV121" i="6"/>
  <c r="AY121" i="6"/>
  <c r="AR121" i="6"/>
  <c r="X121" i="5" s="1" a="1"/>
  <c r="X121" i="5" s="1"/>
  <c r="BK121" i="6"/>
  <c r="AX121" i="6"/>
  <c r="AW121" i="6"/>
  <c r="BF121" i="6"/>
  <c r="AT121" i="6"/>
  <c r="BB121" i="6"/>
  <c r="AU121" i="6"/>
  <c r="BI121" i="6"/>
  <c r="BC121" i="6"/>
  <c r="BF37" i="6"/>
  <c r="AX37" i="6"/>
  <c r="BH37" i="6"/>
  <c r="BI37" i="6"/>
  <c r="AU37" i="6"/>
  <c r="BK37" i="6"/>
  <c r="BC37" i="6"/>
  <c r="AV37" i="6"/>
  <c r="BG37" i="6"/>
  <c r="AW37" i="6"/>
  <c r="BE37" i="6"/>
  <c r="AY37" i="6"/>
  <c r="BB37" i="6"/>
  <c r="AR37" i="6"/>
  <c r="BD37" i="6"/>
  <c r="AZ37" i="6"/>
  <c r="AS37" i="6"/>
  <c r="AT37" i="6"/>
  <c r="BJ37" i="6"/>
  <c r="BA37" i="6"/>
  <c r="AZ238" i="6"/>
  <c r="AX238" i="6"/>
  <c r="BD238" i="6"/>
  <c r="BF238" i="6"/>
  <c r="BG238" i="6"/>
  <c r="BI238" i="6"/>
  <c r="AT238" i="6"/>
  <c r="BA238" i="6"/>
  <c r="BH238" i="6"/>
  <c r="AR238" i="6"/>
  <c r="AW238" i="6"/>
  <c r="AV238" i="6"/>
  <c r="BB238" i="6"/>
  <c r="BC238" i="6"/>
  <c r="AS238" i="6"/>
  <c r="AY238" i="6"/>
  <c r="BE238" i="6"/>
  <c r="BJ238" i="6"/>
  <c r="BK238" i="6"/>
  <c r="AU238" i="6"/>
  <c r="AR235" i="6"/>
  <c r="AS235" i="6"/>
  <c r="BH235" i="6"/>
  <c r="BC235" i="6"/>
  <c r="AZ235" i="6"/>
  <c r="AC151" i="8" s="1" a="1"/>
  <c r="AC151" i="8" s="1"/>
  <c r="AT235" i="6"/>
  <c r="W151" i="8" s="1" a="1"/>
  <c r="W151" i="8" s="1"/>
  <c r="BI235" i="6"/>
  <c r="BB235" i="6"/>
  <c r="BK235" i="6"/>
  <c r="BF235" i="6"/>
  <c r="AU235" i="6"/>
  <c r="AV235" i="6"/>
  <c r="BG235" i="6"/>
  <c r="AX235" i="6"/>
  <c r="BD235" i="6"/>
  <c r="BE235" i="6"/>
  <c r="AW235" i="6"/>
  <c r="Z151" i="8" s="1" a="1"/>
  <c r="Z151" i="8" s="1"/>
  <c r="BA235" i="6"/>
  <c r="BJ235" i="6"/>
  <c r="AY235" i="6"/>
  <c r="BC215" i="6"/>
  <c r="AW215" i="6"/>
  <c r="AT215" i="6"/>
  <c r="AU215" i="6"/>
  <c r="AR215" i="6"/>
  <c r="AY215" i="6"/>
  <c r="BB215" i="6"/>
  <c r="BK215" i="6"/>
  <c r="BF215" i="6"/>
  <c r="BA215" i="6"/>
  <c r="BG215" i="6"/>
  <c r="AS215" i="6"/>
  <c r="AZ215" i="6"/>
  <c r="BH215" i="6"/>
  <c r="AX215" i="6"/>
  <c r="BI215" i="6"/>
  <c r="AV215" i="6"/>
  <c r="BD215" i="6"/>
  <c r="BJ215" i="6"/>
  <c r="BE215" i="6"/>
  <c r="BG216" i="6"/>
  <c r="BJ216" i="6"/>
  <c r="BI216" i="6"/>
  <c r="AW216" i="6"/>
  <c r="BE216" i="6"/>
  <c r="AV216" i="6"/>
  <c r="AR216" i="6"/>
  <c r="AS216" i="6"/>
  <c r="AT216" i="6"/>
  <c r="BB216" i="6"/>
  <c r="BF216" i="6"/>
  <c r="BA216" i="6"/>
  <c r="BK216" i="6"/>
  <c r="AU216" i="6"/>
  <c r="BH216" i="6"/>
  <c r="BC216" i="6"/>
  <c r="AX216" i="6"/>
  <c r="BD216" i="6"/>
  <c r="AZ216" i="6"/>
  <c r="AY216" i="6"/>
  <c r="AT192" i="6"/>
  <c r="BD192" i="6"/>
  <c r="BF192" i="6"/>
  <c r="AZ192" i="6"/>
  <c r="AY192" i="6"/>
  <c r="AS192" i="6"/>
  <c r="AW192" i="6"/>
  <c r="BH192" i="6"/>
  <c r="BB192" i="6"/>
  <c r="BE192" i="6"/>
  <c r="BK192" i="6"/>
  <c r="BC192" i="6"/>
  <c r="BA192" i="6"/>
  <c r="BJ192" i="6"/>
  <c r="AX192" i="6"/>
  <c r="AV192" i="6"/>
  <c r="BG192" i="6"/>
  <c r="AU192" i="6"/>
  <c r="AR192" i="6"/>
  <c r="BI192" i="6"/>
  <c r="BC74" i="6"/>
  <c r="AF58" i="8" s="1" a="1"/>
  <c r="AF58" i="8" s="1"/>
  <c r="AT74" i="6"/>
  <c r="W58" i="8" s="1" a="1"/>
  <c r="W58" i="8" s="1"/>
  <c r="AV74" i="6"/>
  <c r="Y58" i="8" s="1" a="1"/>
  <c r="Y58" i="8" s="1"/>
  <c r="BE74" i="6"/>
  <c r="AH58" i="8" s="1" a="1"/>
  <c r="AH58" i="8" s="1"/>
  <c r="AX74" i="6"/>
  <c r="AA58" i="8" s="1" a="1"/>
  <c r="AA58" i="8" s="1"/>
  <c r="AY74" i="6"/>
  <c r="AB58" i="8" s="1" a="1"/>
  <c r="AB58" i="8" s="1"/>
  <c r="AZ74" i="6"/>
  <c r="AC58" i="8" s="1" a="1"/>
  <c r="AC58" i="8" s="1"/>
  <c r="BI74" i="6"/>
  <c r="AL58" i="8" s="1" a="1"/>
  <c r="AL58" i="8" s="1"/>
  <c r="BD74" i="6"/>
  <c r="AG58" i="8" s="1" a="1"/>
  <c r="AG58" i="8" s="1"/>
  <c r="BB74" i="6"/>
  <c r="AE58" i="8" s="1" a="1"/>
  <c r="AE58" i="8" s="1"/>
  <c r="BF74" i="6"/>
  <c r="AI58" i="8" s="1" a="1"/>
  <c r="AI58" i="8" s="1"/>
  <c r="BA74" i="6"/>
  <c r="AD58" i="8" s="1" a="1"/>
  <c r="AD58" i="8" s="1"/>
  <c r="BH74" i="6"/>
  <c r="AK58" i="8" s="1" a="1"/>
  <c r="AK58" i="8" s="1"/>
  <c r="AW74" i="6"/>
  <c r="Z58" i="8" s="1" a="1"/>
  <c r="Z58" i="8" s="1"/>
  <c r="BK74" i="6"/>
  <c r="AN58" i="8" s="1" a="1"/>
  <c r="AN58" i="8" s="1"/>
  <c r="AS74" i="6"/>
  <c r="V58" i="8" s="1" a="1"/>
  <c r="V58" i="8" s="1"/>
  <c r="BG74" i="6"/>
  <c r="AJ58" i="8" s="1" a="1"/>
  <c r="AJ58" i="8" s="1"/>
  <c r="AU74" i="6"/>
  <c r="X58" i="8" s="1" a="1"/>
  <c r="X58" i="8" s="1"/>
  <c r="AR74" i="6"/>
  <c r="BJ74" i="6"/>
  <c r="AM58" i="8" s="1" a="1"/>
  <c r="AM58" i="8" s="1"/>
  <c r="BC53" i="6"/>
  <c r="BE53" i="6"/>
  <c r="BF53" i="6"/>
  <c r="BD53" i="6"/>
  <c r="BA53" i="6"/>
  <c r="AU53" i="6"/>
  <c r="BG53" i="6"/>
  <c r="AY53" i="6"/>
  <c r="AS53" i="6"/>
  <c r="BH53" i="6"/>
  <c r="AX53" i="6"/>
  <c r="AZ53" i="6"/>
  <c r="BB53" i="6"/>
  <c r="BK53" i="6"/>
  <c r="AW53" i="6"/>
  <c r="BJ53" i="6"/>
  <c r="BI53" i="6"/>
  <c r="AV53" i="6"/>
  <c r="AR53" i="6"/>
  <c r="AT53" i="6"/>
  <c r="BB182" i="6"/>
  <c r="AE130" i="8" s="1" a="1"/>
  <c r="AE130" i="8" s="1"/>
  <c r="BA182" i="6"/>
  <c r="AS182" i="6"/>
  <c r="AV182" i="6"/>
  <c r="BJ182" i="6"/>
  <c r="AM130" i="8" s="1" a="1"/>
  <c r="AM130" i="8" s="1"/>
  <c r="AU182" i="6"/>
  <c r="BH182" i="6"/>
  <c r="BD182" i="6"/>
  <c r="BC182" i="6"/>
  <c r="AR182" i="6"/>
  <c r="AT182" i="6"/>
  <c r="AZ182" i="6"/>
  <c r="AY182" i="6"/>
  <c r="BF182" i="6"/>
  <c r="AI130" i="8" s="1" a="1"/>
  <c r="AI130" i="8" s="1"/>
  <c r="BK182" i="6"/>
  <c r="BE182" i="6"/>
  <c r="AW182" i="6"/>
  <c r="Z130" i="8" s="1" a="1"/>
  <c r="Z130" i="8" s="1"/>
  <c r="AX182" i="6"/>
  <c r="BG182" i="6"/>
  <c r="BI182" i="6"/>
  <c r="AV202" i="6"/>
  <c r="BJ202" i="6"/>
  <c r="BA202" i="6"/>
  <c r="BB202" i="6"/>
  <c r="AY202" i="6"/>
  <c r="AZ202" i="6"/>
  <c r="AX202" i="6"/>
  <c r="BI202" i="6"/>
  <c r="BG202" i="6"/>
  <c r="BF202" i="6"/>
  <c r="AS202" i="6"/>
  <c r="AT202" i="6"/>
  <c r="BH202" i="6"/>
  <c r="AR202" i="6"/>
  <c r="AU202" i="6"/>
  <c r="BE202" i="6"/>
  <c r="AW202" i="6"/>
  <c r="BC202" i="6"/>
  <c r="BD202" i="6"/>
  <c r="BK202" i="6"/>
  <c r="BB85" i="6"/>
  <c r="AZ85" i="6"/>
  <c r="BJ85" i="6"/>
  <c r="AW85" i="6"/>
  <c r="BG85" i="6"/>
  <c r="AV85" i="6"/>
  <c r="Y70" i="8" s="1" a="1"/>
  <c r="Y70" i="8" s="1"/>
  <c r="BK85" i="6"/>
  <c r="AN70" i="8" s="1" a="1"/>
  <c r="AN70" i="8" s="1"/>
  <c r="AU85" i="6"/>
  <c r="BE85" i="6"/>
  <c r="BD85" i="6"/>
  <c r="AT85" i="6"/>
  <c r="W70" i="8" s="1" a="1"/>
  <c r="W70" i="8" s="1"/>
  <c r="AR85" i="6"/>
  <c r="BC85" i="6"/>
  <c r="AY85" i="6"/>
  <c r="AX85" i="6"/>
  <c r="BA85" i="6"/>
  <c r="BI85" i="6"/>
  <c r="AL70" i="8" s="1" a="1"/>
  <c r="AL70" i="8" s="1"/>
  <c r="BF85" i="6"/>
  <c r="BH85" i="6"/>
  <c r="AK70" i="8" s="1" a="1"/>
  <c r="AK70" i="8" s="1"/>
  <c r="AS85" i="6"/>
  <c r="BD186" i="6"/>
  <c r="BI186" i="6"/>
  <c r="AR186" i="6"/>
  <c r="BA186" i="6"/>
  <c r="BB186" i="6"/>
  <c r="AZ186" i="6"/>
  <c r="BF186" i="6"/>
  <c r="BC186" i="6"/>
  <c r="BE186" i="6"/>
  <c r="AT186" i="6"/>
  <c r="AV186" i="6"/>
  <c r="AY186" i="6"/>
  <c r="BH186" i="6"/>
  <c r="BJ186" i="6"/>
  <c r="AS186" i="6"/>
  <c r="AU186" i="6"/>
  <c r="BK186" i="6"/>
  <c r="AW186" i="6"/>
  <c r="BG186" i="6"/>
  <c r="AX186" i="6"/>
  <c r="BC199" i="6"/>
  <c r="BG199" i="6"/>
  <c r="AX199" i="6"/>
  <c r="BD199" i="6"/>
  <c r="AV199" i="6"/>
  <c r="AR199" i="6"/>
  <c r="AU199" i="6"/>
  <c r="AW199" i="6"/>
  <c r="BF199" i="6"/>
  <c r="BE199" i="6"/>
  <c r="BH199" i="6"/>
  <c r="BK199" i="6"/>
  <c r="AY199" i="6"/>
  <c r="AT199" i="6"/>
  <c r="BJ199" i="6"/>
  <c r="BI199" i="6"/>
  <c r="BA199" i="6"/>
  <c r="AZ199" i="6"/>
  <c r="AS199" i="6"/>
  <c r="BB199" i="6"/>
  <c r="AV194" i="6"/>
  <c r="BD194" i="6"/>
  <c r="BF194" i="6"/>
  <c r="BJ194" i="6"/>
  <c r="AZ194" i="6"/>
  <c r="BG194" i="6"/>
  <c r="AX194" i="6"/>
  <c r="AW194" i="6"/>
  <c r="BC194" i="6"/>
  <c r="BA194" i="6"/>
  <c r="BE194" i="6"/>
  <c r="BK194" i="6"/>
  <c r="AS194" i="6"/>
  <c r="AY194" i="6"/>
  <c r="BI194" i="6"/>
  <c r="BH194" i="6"/>
  <c r="AR194" i="6"/>
  <c r="AU194" i="6"/>
  <c r="AT194" i="6"/>
  <c r="BB194" i="6"/>
  <c r="AW123" i="6"/>
  <c r="BC123" i="6"/>
  <c r="AY123" i="6"/>
  <c r="BB123" i="6"/>
  <c r="AS123" i="6"/>
  <c r="BE123" i="6"/>
  <c r="AT123" i="6"/>
  <c r="AU123" i="6"/>
  <c r="AR123" i="6"/>
  <c r="AX123" i="6"/>
  <c r="BH123" i="6"/>
  <c r="BI123" i="6"/>
  <c r="AZ123" i="6"/>
  <c r="BD123" i="6"/>
  <c r="BF123" i="6"/>
  <c r="BJ123" i="6"/>
  <c r="BG123" i="6"/>
  <c r="BK123" i="6"/>
  <c r="BA123" i="6"/>
  <c r="AV123" i="6"/>
  <c r="BC176" i="6"/>
  <c r="AF127" i="8" s="1" a="1"/>
  <c r="AF127" i="8" s="1"/>
  <c r="AT176" i="6"/>
  <c r="W127" i="8" s="1" a="1"/>
  <c r="W127" i="8" s="1"/>
  <c r="BB176" i="6"/>
  <c r="AV176" i="6"/>
  <c r="BA176" i="6"/>
  <c r="AU176" i="6"/>
  <c r="AZ176" i="6"/>
  <c r="BJ176" i="6"/>
  <c r="BE176" i="6"/>
  <c r="AH127" i="8" s="1" a="1"/>
  <c r="AH127" i="8" s="1"/>
  <c r="AY176" i="6"/>
  <c r="BI176" i="6"/>
  <c r="AL127" i="8" s="1" a="1"/>
  <c r="AL127" i="8" s="1"/>
  <c r="AX176" i="6"/>
  <c r="AA127" i="8" s="1" a="1"/>
  <c r="AA127" i="8" s="1"/>
  <c r="AS176" i="6"/>
  <c r="BG176" i="6"/>
  <c r="AJ127" i="8" s="1" a="1"/>
  <c r="AJ127" i="8" s="1"/>
  <c r="BK176" i="6"/>
  <c r="BH176" i="6"/>
  <c r="BF176" i="6"/>
  <c r="BD176" i="6"/>
  <c r="AR176" i="6"/>
  <c r="AW176" i="6"/>
  <c r="AW138" i="6"/>
  <c r="AV138" i="6"/>
  <c r="BA138" i="6"/>
  <c r="BH138" i="6"/>
  <c r="AS138" i="6"/>
  <c r="BD138" i="6"/>
  <c r="BG138" i="6"/>
  <c r="BF138" i="6"/>
  <c r="AX138" i="6"/>
  <c r="AU138" i="6"/>
  <c r="AY138" i="6"/>
  <c r="BB138" i="6"/>
  <c r="BE138" i="6"/>
  <c r="AT138" i="6"/>
  <c r="BI138" i="6"/>
  <c r="AZ138" i="6"/>
  <c r="AR138" i="6"/>
  <c r="BK138" i="6"/>
  <c r="BJ138" i="6"/>
  <c r="BC138" i="6"/>
  <c r="BF33" i="6"/>
  <c r="BA33" i="6"/>
  <c r="AX33" i="6"/>
  <c r="BB33" i="6"/>
  <c r="AW33" i="6"/>
  <c r="BH33" i="6"/>
  <c r="BG33" i="6"/>
  <c r="BK33" i="6"/>
  <c r="AS33" i="6"/>
  <c r="BD33" i="6"/>
  <c r="AV33" i="6"/>
  <c r="BI33" i="6"/>
  <c r="AY33" i="6"/>
  <c r="AU33" i="6"/>
  <c r="BC33" i="6"/>
  <c r="AZ33" i="6"/>
  <c r="BE33" i="6"/>
  <c r="AR33" i="6"/>
  <c r="BJ33" i="6"/>
  <c r="AT33" i="6"/>
  <c r="BD32" i="6"/>
  <c r="BA32" i="6"/>
  <c r="AS32" i="6"/>
  <c r="BC32" i="6"/>
  <c r="AV32" i="6"/>
  <c r="AY32" i="6"/>
  <c r="AZ32" i="6"/>
  <c r="BK32" i="6"/>
  <c r="AU32" i="6"/>
  <c r="AW32" i="6"/>
  <c r="AX32" i="6"/>
  <c r="BJ32" i="6"/>
  <c r="AR32" i="6"/>
  <c r="BG32" i="6"/>
  <c r="AT32" i="6"/>
  <c r="BE32" i="6"/>
  <c r="BH32" i="6"/>
  <c r="BB32" i="6"/>
  <c r="BI32" i="6"/>
  <c r="BF32" i="6"/>
  <c r="AS118" i="6"/>
  <c r="BG118" i="6"/>
  <c r="BI118" i="6"/>
  <c r="AZ118" i="6"/>
  <c r="BB118" i="6"/>
  <c r="BJ118" i="6"/>
  <c r="AR118" i="6"/>
  <c r="BE118" i="6"/>
  <c r="AV118" i="6"/>
  <c r="AX118" i="6"/>
  <c r="BK118" i="6"/>
  <c r="AT118" i="6"/>
  <c r="AW118" i="6"/>
  <c r="AY118" i="6"/>
  <c r="BC118" i="6"/>
  <c r="AU118" i="6"/>
  <c r="BH118" i="6"/>
  <c r="BD118" i="6"/>
  <c r="BA118" i="6"/>
  <c r="BF118" i="6"/>
  <c r="AT240" i="6"/>
  <c r="BE240" i="6"/>
  <c r="AS240" i="6"/>
  <c r="AV240" i="6"/>
  <c r="AY240" i="6"/>
  <c r="BI240" i="6"/>
  <c r="BA240" i="6"/>
  <c r="AU240" i="6"/>
  <c r="AR240" i="6"/>
  <c r="BK240" i="6"/>
  <c r="AZ240" i="6"/>
  <c r="BD240" i="6"/>
  <c r="AW240" i="6"/>
  <c r="BG240" i="6"/>
  <c r="BF240" i="6"/>
  <c r="BH240" i="6"/>
  <c r="AX240" i="6"/>
  <c r="BB240" i="6"/>
  <c r="BJ240" i="6"/>
  <c r="BC240" i="6"/>
  <c r="BH206" i="6"/>
  <c r="BA206" i="6"/>
  <c r="BE206" i="6"/>
  <c r="BI206" i="6"/>
  <c r="BB206" i="6"/>
  <c r="BF206" i="6"/>
  <c r="BG206" i="6"/>
  <c r="AZ206" i="6"/>
  <c r="BK206" i="6"/>
  <c r="AX206" i="6"/>
  <c r="BD206" i="6"/>
  <c r="AY206" i="6"/>
  <c r="BJ206" i="6"/>
  <c r="AU206" i="6"/>
  <c r="BC206" i="6"/>
  <c r="AR206" i="6"/>
  <c r="AT206" i="6"/>
  <c r="AW206" i="6"/>
  <c r="AV206" i="6"/>
  <c r="AS206" i="6"/>
  <c r="BA20" i="6"/>
  <c r="AD22" i="8" s="1" a="1"/>
  <c r="AD22" i="8" s="1"/>
  <c r="AS20" i="6"/>
  <c r="V22" i="8" s="1" a="1"/>
  <c r="V22" i="8" s="1"/>
  <c r="BC20" i="6"/>
  <c r="AF22" i="8" s="1" a="1"/>
  <c r="AF22" i="8" s="1"/>
  <c r="AU20" i="6"/>
  <c r="X22" i="8" s="1" a="1"/>
  <c r="X22" i="8" s="1"/>
  <c r="BJ20" i="6"/>
  <c r="AM22" i="8" s="1" a="1"/>
  <c r="AM22" i="8" s="1"/>
  <c r="BI20" i="6"/>
  <c r="AL22" i="8" s="1" a="1"/>
  <c r="AL22" i="8" s="1"/>
  <c r="BB20" i="6"/>
  <c r="BD20" i="6"/>
  <c r="AG22" i="8" s="1" a="1"/>
  <c r="AG22" i="8" s="1"/>
  <c r="AY20" i="6"/>
  <c r="AB22" i="8" s="1" a="1"/>
  <c r="AB22" i="8" s="1"/>
  <c r="BG20" i="6"/>
  <c r="AJ22" i="8" s="1" a="1"/>
  <c r="AJ22" i="8" s="1"/>
  <c r="BF20" i="6"/>
  <c r="AI22" i="8" s="1" a="1"/>
  <c r="AI22" i="8" s="1"/>
  <c r="AX20" i="6"/>
  <c r="AA22" i="8" s="1" a="1"/>
  <c r="AA22" i="8" s="1"/>
  <c r="AV20" i="6"/>
  <c r="Y22" i="8" s="1" a="1"/>
  <c r="Y22" i="8" s="1"/>
  <c r="BH20" i="6"/>
  <c r="AW20" i="6"/>
  <c r="Z22" i="8" s="1" a="1"/>
  <c r="Z22" i="8" s="1"/>
  <c r="BK20" i="6"/>
  <c r="BE20" i="6"/>
  <c r="AH22" i="8" s="1" a="1"/>
  <c r="AH22" i="8" s="1"/>
  <c r="AT20" i="6"/>
  <c r="W22" i="8" s="1" a="1"/>
  <c r="W22" i="8" s="1"/>
  <c r="AZ20" i="6"/>
  <c r="AR20" i="6"/>
  <c r="BC237" i="6"/>
  <c r="BE237" i="6"/>
  <c r="AR237" i="6"/>
  <c r="BJ237" i="6"/>
  <c r="BD237" i="6"/>
  <c r="AX237" i="6"/>
  <c r="BK237" i="6"/>
  <c r="AV237" i="6"/>
  <c r="AZ237" i="6"/>
  <c r="BG237" i="6"/>
  <c r="AY237" i="6"/>
  <c r="AW237" i="6"/>
  <c r="AT237" i="6"/>
  <c r="AS237" i="6"/>
  <c r="BF237" i="6"/>
  <c r="BH237" i="6"/>
  <c r="BA237" i="6"/>
  <c r="AU237" i="6"/>
  <c r="BB237" i="6"/>
  <c r="BI237" i="6"/>
  <c r="BA57" i="6"/>
  <c r="AV57" i="6"/>
  <c r="BG57" i="6"/>
  <c r="AT57" i="6"/>
  <c r="BJ57" i="6"/>
  <c r="BD57" i="6"/>
  <c r="BI57" i="6"/>
  <c r="BF57" i="6"/>
  <c r="AR57" i="6"/>
  <c r="BE57" i="6"/>
  <c r="AS57" i="6"/>
  <c r="AX57" i="6"/>
  <c r="AY57" i="6"/>
  <c r="BH57" i="6"/>
  <c r="AU57" i="6"/>
  <c r="AW57" i="6"/>
  <c r="AZ57" i="6"/>
  <c r="BC57" i="6"/>
  <c r="BK57" i="6"/>
  <c r="BB57" i="6"/>
  <c r="BD43" i="6"/>
  <c r="BI43" i="6"/>
  <c r="BF43" i="6"/>
  <c r="BC43" i="6"/>
  <c r="AV43" i="6"/>
  <c r="BB43" i="6"/>
  <c r="AW43" i="6"/>
  <c r="BK43" i="6"/>
  <c r="AX43" i="6"/>
  <c r="AR43" i="6"/>
  <c r="BE43" i="6"/>
  <c r="AH37" i="8" s="1" a="1"/>
  <c r="AH37" i="8" s="1"/>
  <c r="AS43" i="6"/>
  <c r="V37" i="8" s="1" a="1"/>
  <c r="V37" i="8" s="1"/>
  <c r="BG43" i="6"/>
  <c r="AJ37" i="8" s="1" a="1"/>
  <c r="AJ37" i="8" s="1"/>
  <c r="BJ43" i="6"/>
  <c r="AZ43" i="6"/>
  <c r="AU43" i="6"/>
  <c r="BA43" i="6"/>
  <c r="AT43" i="6"/>
  <c r="BH43" i="6"/>
  <c r="AY43" i="6"/>
  <c r="AB37" i="8" s="1" a="1"/>
  <c r="AB37" i="8" s="1"/>
  <c r="AS177" i="6"/>
  <c r="AV177" i="6"/>
  <c r="BA177" i="6"/>
  <c r="BC177" i="6"/>
  <c r="AT177" i="6"/>
  <c r="AU177" i="6"/>
  <c r="BJ177" i="6"/>
  <c r="AZ177" i="6"/>
  <c r="BK177" i="6"/>
  <c r="BH177" i="6"/>
  <c r="AR177" i="6"/>
  <c r="BB177" i="6"/>
  <c r="AY177" i="6"/>
  <c r="BD177" i="6"/>
  <c r="BF177" i="6"/>
  <c r="AX177" i="6"/>
  <c r="BE177" i="6"/>
  <c r="BI177" i="6"/>
  <c r="BG177" i="6"/>
  <c r="AW177" i="6"/>
  <c r="BA198" i="6"/>
  <c r="BF198" i="6"/>
  <c r="BB198" i="6"/>
  <c r="BH198" i="6"/>
  <c r="AW198" i="6"/>
  <c r="AY198" i="6"/>
  <c r="AS198" i="6"/>
  <c r="AR198" i="6"/>
  <c r="BE198" i="6"/>
  <c r="AX198" i="6"/>
  <c r="BC198" i="6"/>
  <c r="BD198" i="6"/>
  <c r="BG198" i="6"/>
  <c r="AU198" i="6"/>
  <c r="AV198" i="6"/>
  <c r="BJ198" i="6"/>
  <c r="BI198" i="6"/>
  <c r="BK198" i="6"/>
  <c r="AZ198" i="6"/>
  <c r="AT198" i="6"/>
  <c r="AX149" i="6"/>
  <c r="BK149" i="6"/>
  <c r="BH149" i="6"/>
  <c r="BB149" i="6"/>
  <c r="AY149" i="6"/>
  <c r="AV149" i="6"/>
  <c r="AT149" i="6"/>
  <c r="AW149" i="6"/>
  <c r="BD149" i="6"/>
  <c r="BF149" i="6"/>
  <c r="AS149" i="6"/>
  <c r="AR149" i="6"/>
  <c r="BE149" i="6"/>
  <c r="BJ149" i="6"/>
  <c r="BC149" i="6"/>
  <c r="BI149" i="6"/>
  <c r="AZ149" i="6"/>
  <c r="AU149" i="6"/>
  <c r="BA149" i="6"/>
  <c r="BG149" i="6"/>
  <c r="AU92" i="6"/>
  <c r="X73" i="8" s="1" a="1"/>
  <c r="X73" i="8" s="1"/>
  <c r="AY92" i="6"/>
  <c r="AR92" i="6"/>
  <c r="AW92" i="6"/>
  <c r="Z73" i="8" s="1" a="1"/>
  <c r="Z73" i="8" s="1"/>
  <c r="AS92" i="6"/>
  <c r="V73" i="8" s="1" a="1"/>
  <c r="V73" i="8" s="1"/>
  <c r="AV92" i="6"/>
  <c r="Y73" i="8" s="1" a="1"/>
  <c r="Y73" i="8" s="1"/>
  <c r="AT92" i="6"/>
  <c r="W73" i="8" s="1" a="1"/>
  <c r="W73" i="8" s="1"/>
  <c r="BE92" i="6"/>
  <c r="AH73" i="8" s="1" a="1"/>
  <c r="AH73" i="8" s="1"/>
  <c r="BH92" i="6"/>
  <c r="AK73" i="8" s="1" a="1"/>
  <c r="AK73" i="8" s="1"/>
  <c r="BF92" i="6"/>
  <c r="AI73" i="8" s="1" a="1"/>
  <c r="AI73" i="8" s="1"/>
  <c r="BK92" i="6"/>
  <c r="AN73" i="8" s="1" a="1"/>
  <c r="AN73" i="8" s="1"/>
  <c r="BJ92" i="6"/>
  <c r="AM73" i="8" s="1" a="1"/>
  <c r="AM73" i="8" s="1"/>
  <c r="BC92" i="6"/>
  <c r="BD92" i="6"/>
  <c r="BG92" i="6"/>
  <c r="BB92" i="6"/>
  <c r="AE73" i="8" s="1" a="1"/>
  <c r="AE73" i="8" s="1"/>
  <c r="AX92" i="6"/>
  <c r="BI92" i="6"/>
  <c r="AL73" i="8" s="1" a="1"/>
  <c r="AL73" i="8" s="1"/>
  <c r="AZ92" i="6"/>
  <c r="AC73" i="8" s="1" a="1"/>
  <c r="AC73" i="8" s="1"/>
  <c r="BA92" i="6"/>
  <c r="AD73" i="8" s="1" a="1"/>
  <c r="AD73" i="8" s="1"/>
  <c r="BK86" i="6"/>
  <c r="BI86" i="6"/>
  <c r="AW86" i="6"/>
  <c r="BH86" i="6"/>
  <c r="BD86" i="6"/>
  <c r="AS86" i="6"/>
  <c r="BE86" i="6"/>
  <c r="AY86" i="6"/>
  <c r="AZ86" i="6"/>
  <c r="BJ86" i="6"/>
  <c r="AX86" i="6"/>
  <c r="BC86" i="6"/>
  <c r="AV86" i="6"/>
  <c r="AU86" i="6"/>
  <c r="BA86" i="6"/>
  <c r="BB86" i="6"/>
  <c r="BG86" i="6"/>
  <c r="AT86" i="6"/>
  <c r="AR86" i="6"/>
  <c r="BF86" i="6"/>
  <c r="AU90" i="6"/>
  <c r="AX90" i="6"/>
  <c r="BG90" i="6"/>
  <c r="AT90" i="6"/>
  <c r="BH90" i="6"/>
  <c r="AY90" i="6"/>
  <c r="AV90" i="6"/>
  <c r="BE90" i="6"/>
  <c r="BJ90" i="6"/>
  <c r="AZ90" i="6"/>
  <c r="AR90" i="6"/>
  <c r="BB90" i="6"/>
  <c r="BC90" i="6"/>
  <c r="BA90" i="6"/>
  <c r="BD90" i="6"/>
  <c r="BK90" i="6"/>
  <c r="BI90" i="6"/>
  <c r="AS90" i="6"/>
  <c r="AW90" i="6"/>
  <c r="BF90" i="6"/>
  <c r="AZ60" i="6"/>
  <c r="BB60" i="6"/>
  <c r="BJ60" i="6"/>
  <c r="BK60" i="6"/>
  <c r="AU60" i="6"/>
  <c r="AX60" i="6"/>
  <c r="AT60" i="6"/>
  <c r="AR60" i="6"/>
  <c r="BC60" i="6"/>
  <c r="AW60" i="6"/>
  <c r="AY60" i="6"/>
  <c r="BE60" i="6"/>
  <c r="BI60" i="6"/>
  <c r="AV60" i="6"/>
  <c r="BH60" i="6"/>
  <c r="BD60" i="6"/>
  <c r="BG60" i="6"/>
  <c r="BA60" i="6"/>
  <c r="BF60" i="6"/>
  <c r="AS60" i="6"/>
  <c r="AU38" i="6"/>
  <c r="AZ38" i="6"/>
  <c r="AS38" i="6"/>
  <c r="BB38" i="6"/>
  <c r="BG38" i="6"/>
  <c r="AT38" i="6"/>
  <c r="BD38" i="6"/>
  <c r="BK38" i="6"/>
  <c r="AV38" i="6"/>
  <c r="AY38" i="6"/>
  <c r="BJ38" i="6"/>
  <c r="BF38" i="6"/>
  <c r="BE38" i="6"/>
  <c r="BC38" i="6"/>
  <c r="AW38" i="6"/>
  <c r="BI38" i="6"/>
  <c r="BH38" i="6"/>
  <c r="AR38" i="6"/>
  <c r="AX38" i="6"/>
  <c r="BA38" i="6"/>
  <c r="L121" i="5" l="1"/>
  <c r="I121" i="12"/>
  <c r="AM121" i="5"/>
  <c r="Z121" i="5"/>
  <c r="X237" i="5" a="1"/>
  <c r="X237" i="5" s="1"/>
  <c r="AB127" i="8" a="1"/>
  <c r="AB127" i="8" s="1"/>
  <c r="AE64" i="8" a="1"/>
  <c r="AE64" i="8" s="1"/>
  <c r="AF151" i="8" a="1"/>
  <c r="AF151" i="8" s="1"/>
  <c r="U139" i="8" a="1"/>
  <c r="U139" i="8" s="1"/>
  <c r="E139" i="8" a="1"/>
  <c r="E139" i="8" s="1"/>
  <c r="X205" i="5" a="1"/>
  <c r="X205" i="5" s="1"/>
  <c r="X109" i="5" a="1"/>
  <c r="X109" i="5" s="1"/>
  <c r="V97" i="8" a="1"/>
  <c r="V97" i="8" s="1"/>
  <c r="AJ19" i="8" a="1"/>
  <c r="AJ19" i="8" s="1"/>
  <c r="BG15" i="6"/>
  <c r="AB112" i="8" a="1"/>
  <c r="AB112" i="8" s="1"/>
  <c r="X179" i="5" a="1"/>
  <c r="X179" i="5" s="1"/>
  <c r="X219" i="5" a="1"/>
  <c r="X219" i="5" s="1"/>
  <c r="AG124" i="8" a="1"/>
  <c r="AG124" i="8" s="1"/>
  <c r="X158" i="5" a="1"/>
  <c r="X158" i="5" s="1"/>
  <c r="V115" i="8" a="1"/>
  <c r="V115" i="8" s="1"/>
  <c r="AF115" i="8" a="1"/>
  <c r="AF115" i="8" s="1"/>
  <c r="X210" i="5" a="1"/>
  <c r="X210" i="5" s="1"/>
  <c r="AI52" i="8" a="1"/>
  <c r="AI52" i="8" s="1"/>
  <c r="X163" i="5" a="1"/>
  <c r="X163" i="5" s="1"/>
  <c r="X230" i="5" a="1"/>
  <c r="X230" i="5" s="1"/>
  <c r="X214" i="5" a="1"/>
  <c r="X214" i="5" s="1"/>
  <c r="AF142" i="8" a="1"/>
  <c r="AF142" i="8" s="1"/>
  <c r="AH133" i="8" a="1"/>
  <c r="AH133" i="8" s="1"/>
  <c r="Z133" i="8" a="1"/>
  <c r="Z133" i="8" s="1"/>
  <c r="X196" i="5" a="1"/>
  <c r="X196" i="5" s="1"/>
  <c r="AG46" i="8" a="1"/>
  <c r="AG46" i="8" s="1"/>
  <c r="AI103" i="8" a="1"/>
  <c r="AI103" i="8" s="1"/>
  <c r="AI34" i="8" a="1"/>
  <c r="AI34" i="8" s="1"/>
  <c r="AF34" i="8" a="1"/>
  <c r="AF34" i="8" s="1"/>
  <c r="AG55" i="8" a="1"/>
  <c r="AG55" i="8" s="1"/>
  <c r="X21" i="5" a="1"/>
  <c r="X21" i="5" s="1"/>
  <c r="X171" i="5" a="1"/>
  <c r="X171" i="5" s="1"/>
  <c r="AN76" i="8" a="1"/>
  <c r="AN76" i="8" s="1"/>
  <c r="AN151" i="8" a="1"/>
  <c r="AN151" i="8" s="1"/>
  <c r="AA37" i="8" a="1"/>
  <c r="AA37" i="8" s="1"/>
  <c r="AB130" i="8" a="1"/>
  <c r="AB130" i="8" s="1"/>
  <c r="X184" i="5" a="1"/>
  <c r="X184" i="5" s="1"/>
  <c r="AN37" i="8" a="1"/>
  <c r="AN37" i="8" s="1"/>
  <c r="AI70" i="8" a="1"/>
  <c r="AI70" i="8" s="1"/>
  <c r="AD88" i="8" a="1"/>
  <c r="AD88" i="8" s="1"/>
  <c r="AF19" i="8" a="1"/>
  <c r="AF19" i="8" s="1"/>
  <c r="BC15" i="6"/>
  <c r="X112" i="8" a="1"/>
  <c r="X112" i="8" s="1"/>
  <c r="AK37" i="8" a="1"/>
  <c r="AK37" i="8" s="1"/>
  <c r="Z127" i="8" a="1"/>
  <c r="Z127" i="8" s="1"/>
  <c r="AJ70" i="8" a="1"/>
  <c r="AJ70" i="8" s="1"/>
  <c r="AG151" i="8" a="1"/>
  <c r="AG151" i="8" s="1"/>
  <c r="AA139" i="8" a="1"/>
  <c r="AA139" i="8" s="1"/>
  <c r="AC64" i="8" a="1"/>
  <c r="AC64" i="8" s="1"/>
  <c r="AD19" i="8" a="1"/>
  <c r="AD19" i="8" s="1"/>
  <c r="BA15" i="6"/>
  <c r="AF145" i="8" a="1"/>
  <c r="AF145" i="8" s="1"/>
  <c r="AE124" i="8" a="1"/>
  <c r="AE124" i="8" s="1"/>
  <c r="X178" i="5" a="1"/>
  <c r="X178" i="5" s="1"/>
  <c r="V142" i="8" a="1"/>
  <c r="V142" i="8" s="1"/>
  <c r="X144" i="5" a="1"/>
  <c r="X144" i="5" s="1"/>
  <c r="V133" i="8" a="1"/>
  <c r="V133" i="8" s="1"/>
  <c r="AK46" i="8" a="1"/>
  <c r="AK46" i="8" s="1"/>
  <c r="Z19" i="8" a="1"/>
  <c r="Z19" i="8" s="1"/>
  <c r="AW15" i="6"/>
  <c r="AD112" i="8" a="1"/>
  <c r="AD112" i="8" s="1"/>
  <c r="AC118" i="8" a="1"/>
  <c r="AC118" i="8" s="1"/>
  <c r="AF85" i="8" a="1"/>
  <c r="AF85" i="8" s="1"/>
  <c r="AF124" i="8" a="1"/>
  <c r="AF124" i="8" s="1"/>
  <c r="X58" i="5" a="1"/>
  <c r="X58" i="5" s="1"/>
  <c r="AA115" i="8" a="1"/>
  <c r="AA115" i="8" s="1"/>
  <c r="X201" i="5" a="1"/>
  <c r="X201" i="5" s="1"/>
  <c r="AN52" i="8" a="1"/>
  <c r="AN52" i="8" s="1"/>
  <c r="X168" i="5" a="1"/>
  <c r="X168" i="5" s="1"/>
  <c r="E124" i="8" a="1"/>
  <c r="E124" i="8" s="1"/>
  <c r="U124" i="8" a="1"/>
  <c r="U124" i="8" s="1"/>
  <c r="Z142" i="8" a="1"/>
  <c r="Z142" i="8" s="1"/>
  <c r="Y133" i="8" a="1"/>
  <c r="Y133" i="8" s="1"/>
  <c r="AG100" i="8" a="1"/>
  <c r="AG100" i="8" s="1"/>
  <c r="Y46" i="8" a="1"/>
  <c r="Y46" i="8" s="1"/>
  <c r="X89" i="5" a="1"/>
  <c r="X89" i="5" s="1"/>
  <c r="AH34" i="8" a="1"/>
  <c r="AH34" i="8" s="1"/>
  <c r="AG34" i="8" a="1"/>
  <c r="AG34" i="8" s="1"/>
  <c r="X145" i="5" a="1"/>
  <c r="X145" i="5" s="1"/>
  <c r="AF55" i="8" a="1"/>
  <c r="AF55" i="8" s="1"/>
  <c r="X243" i="5" a="1"/>
  <c r="X243" i="5" s="1"/>
  <c r="AA73" i="8" a="1"/>
  <c r="AA73" i="8" s="1"/>
  <c r="W37" i="8" a="1"/>
  <c r="W37" i="8" s="1"/>
  <c r="AE37" i="8" a="1"/>
  <c r="AE37" i="8" s="1"/>
  <c r="X20" i="5" a="1"/>
  <c r="X20" i="5" s="1"/>
  <c r="U22" i="8" a="1"/>
  <c r="U22" i="8" s="1"/>
  <c r="E22" i="8" a="1"/>
  <c r="E22" i="8" s="1"/>
  <c r="X206" i="5" a="1"/>
  <c r="X206" i="5" s="1"/>
  <c r="E127" i="8" a="1"/>
  <c r="E127" i="8" s="1"/>
  <c r="X176" i="5" a="1"/>
  <c r="X176" i="5" s="1"/>
  <c r="U127" i="8" a="1"/>
  <c r="U127" i="8" s="1"/>
  <c r="AC127" i="8" a="1"/>
  <c r="AC127" i="8" s="1"/>
  <c r="AD70" i="8" a="1"/>
  <c r="AD70" i="8" s="1"/>
  <c r="Z70" i="8" a="1"/>
  <c r="Z70" i="8" s="1"/>
  <c r="X202" i="5" a="1"/>
  <c r="X202" i="5" s="1"/>
  <c r="X182" i="5" a="1"/>
  <c r="X182" i="5" s="1"/>
  <c r="X53" i="5" a="1"/>
  <c r="X53" i="5" s="1"/>
  <c r="X216" i="5" a="1"/>
  <c r="X216" i="5" s="1"/>
  <c r="AA151" i="8" a="1"/>
  <c r="AA151" i="8" s="1"/>
  <c r="V151" i="8" a="1"/>
  <c r="V151" i="8" s="1"/>
  <c r="AN139" i="8" a="1"/>
  <c r="AN139" i="8" s="1"/>
  <c r="AG139" i="8" a="1"/>
  <c r="AG139" i="8" s="1"/>
  <c r="X29" i="5" a="1"/>
  <c r="X29" i="5" s="1"/>
  <c r="X59" i="5" a="1"/>
  <c r="X59" i="5" s="1"/>
  <c r="X147" i="5" a="1"/>
  <c r="X147" i="5" s="1"/>
  <c r="AF40" i="8" a="1"/>
  <c r="AF40" i="8" s="1"/>
  <c r="X40" i="8" a="1"/>
  <c r="X40" i="8" s="1"/>
  <c r="X64" i="8" a="1"/>
  <c r="X64" i="8" s="1"/>
  <c r="AN97" i="8" a="1"/>
  <c r="AN97" i="8" s="1"/>
  <c r="AM97" i="8" a="1"/>
  <c r="AM97" i="8" s="1"/>
  <c r="X185" i="5" a="1"/>
  <c r="X185" i="5" s="1"/>
  <c r="X242" i="5" a="1"/>
  <c r="X242" i="5" s="1"/>
  <c r="X200" i="5" a="1"/>
  <c r="X200" i="5" s="1"/>
  <c r="AH88" i="8" a="1"/>
  <c r="AH88" i="8" s="1"/>
  <c r="AK88" i="8" a="1"/>
  <c r="AK88" i="8" s="1"/>
  <c r="W19" i="8" a="1"/>
  <c r="W19" i="8" s="1"/>
  <c r="AT15" i="6"/>
  <c r="AH19" i="8" a="1"/>
  <c r="AH19" i="8" s="1"/>
  <c r="BE15" i="6"/>
  <c r="X173" i="5" a="1"/>
  <c r="X173" i="5" s="1"/>
  <c r="X135" i="5" a="1"/>
  <c r="X135" i="5" s="1"/>
  <c r="E112" i="8" a="1"/>
  <c r="E112" i="8" s="1"/>
  <c r="U112" i="8" a="1"/>
  <c r="U112" i="8" s="1"/>
  <c r="AJ112" i="8" a="1"/>
  <c r="AJ112" i="8" s="1"/>
  <c r="X139" i="5" a="1"/>
  <c r="X139" i="5" s="1"/>
  <c r="AK118" i="8" a="1"/>
  <c r="AK118" i="8" s="1"/>
  <c r="AL145" i="8" a="1"/>
  <c r="AL145" i="8" s="1"/>
  <c r="Y145" i="8" a="1"/>
  <c r="Y145" i="8" s="1"/>
  <c r="X120" i="5" a="1"/>
  <c r="X120" i="5" s="1"/>
  <c r="X78" i="5" a="1"/>
  <c r="X78" i="5" s="1"/>
  <c r="X181" i="5" a="1"/>
  <c r="X181" i="5" s="1"/>
  <c r="U130" i="8" a="1"/>
  <c r="U130" i="8" s="1"/>
  <c r="E130" i="8" a="1"/>
  <c r="E130" i="8" s="1"/>
  <c r="AE85" i="8" a="1"/>
  <c r="AE85" i="8" s="1"/>
  <c r="AN124" i="8" a="1"/>
  <c r="AN124" i="8" s="1"/>
  <c r="AI124" i="8" a="1"/>
  <c r="AI124" i="8" s="1"/>
  <c r="AD115" i="8" a="1"/>
  <c r="AD115" i="8" s="1"/>
  <c r="AG115" i="8" a="1"/>
  <c r="AG115" i="8" s="1"/>
  <c r="AJ52" i="8" a="1"/>
  <c r="AJ52" i="8" s="1"/>
  <c r="X227" i="5" a="1"/>
  <c r="X227" i="5" s="1"/>
  <c r="AN142" i="8" a="1"/>
  <c r="AN142" i="8" s="1"/>
  <c r="AB142" i="8" a="1"/>
  <c r="AB142" i="8" s="1"/>
  <c r="AC91" i="8" a="1"/>
  <c r="AC91" i="8" s="1"/>
  <c r="AG133" i="8" a="1"/>
  <c r="AG133" i="8" s="1"/>
  <c r="AC133" i="8" a="1"/>
  <c r="AC133" i="8" s="1"/>
  <c r="V100" i="8" a="1"/>
  <c r="V100" i="8" s="1"/>
  <c r="AD46" i="8" a="1"/>
  <c r="AD46" i="8" s="1"/>
  <c r="AM46" i="8" a="1"/>
  <c r="AM46" i="8" s="1"/>
  <c r="AE103" i="8" a="1"/>
  <c r="AE103" i="8" s="1"/>
  <c r="AB34" i="8" a="1"/>
  <c r="AB34" i="8" s="1"/>
  <c r="Y34" i="8" a="1"/>
  <c r="Y34" i="8" s="1"/>
  <c r="AL55" i="8" a="1"/>
  <c r="AL55" i="8" s="1"/>
  <c r="AI76" i="8" a="1"/>
  <c r="AI76" i="8" s="1"/>
  <c r="AJ97" i="8" a="1"/>
  <c r="AJ97" i="8" s="1"/>
  <c r="X30" i="5" a="1"/>
  <c r="X30" i="5" s="1"/>
  <c r="AK112" i="8" a="1"/>
  <c r="AK112" i="8" s="1"/>
  <c r="AD118" i="8" a="1"/>
  <c r="AD118" i="8" s="1"/>
  <c r="AK115" i="8" a="1"/>
  <c r="AK115" i="8" s="1"/>
  <c r="X60" i="5" a="1"/>
  <c r="X60" i="5" s="1"/>
  <c r="X149" i="5" a="1"/>
  <c r="X149" i="5" s="1"/>
  <c r="AD37" i="8" a="1"/>
  <c r="AD37" i="8" s="1"/>
  <c r="Y37" i="8" a="1"/>
  <c r="Y37" i="8" s="1"/>
  <c r="AC22" i="8" a="1"/>
  <c r="AC22" i="8" s="1"/>
  <c r="AE22" i="8" a="1"/>
  <c r="AE22" i="8" s="1"/>
  <c r="X118" i="5" a="1"/>
  <c r="X118" i="5" s="1"/>
  <c r="AG127" i="8" a="1"/>
  <c r="AG127" i="8" s="1"/>
  <c r="X127" i="8" a="1"/>
  <c r="X127" i="8" s="1"/>
  <c r="AA70" i="8" a="1"/>
  <c r="AA70" i="8" s="1"/>
  <c r="AM70" i="8" a="1"/>
  <c r="AM70" i="8" s="1"/>
  <c r="AF130" i="8" a="1"/>
  <c r="AF130" i="8" s="1"/>
  <c r="X215" i="5" a="1"/>
  <c r="X215" i="5" s="1"/>
  <c r="AJ151" i="8" a="1"/>
  <c r="AJ151" i="8" s="1"/>
  <c r="E151" i="8" a="1"/>
  <c r="E151" i="8" s="1"/>
  <c r="U151" i="8" a="1"/>
  <c r="U151" i="8" s="1"/>
  <c r="X235" i="5" a="1"/>
  <c r="X235" i="5" s="1"/>
  <c r="X238" i="5" a="1"/>
  <c r="X238" i="5" s="1"/>
  <c r="V139" i="8" a="1"/>
  <c r="V139" i="8" s="1"/>
  <c r="Y139" i="8" a="1"/>
  <c r="Y139" i="8" s="1"/>
  <c r="X221" i="5" a="1"/>
  <c r="X221" i="5" s="1"/>
  <c r="AH40" i="8" a="1"/>
  <c r="AH40" i="8" s="1"/>
  <c r="U40" i="8" a="1"/>
  <c r="U40" i="8" s="1"/>
  <c r="E40" i="8" a="1"/>
  <c r="E40" i="8" s="1"/>
  <c r="X46" i="5" a="1"/>
  <c r="X46" i="5" s="1"/>
  <c r="E28" i="8" a="1"/>
  <c r="E28" i="8" s="1"/>
  <c r="X24" i="5" a="1"/>
  <c r="X24" i="5" s="1"/>
  <c r="U28" i="8" a="1"/>
  <c r="U28" i="8" s="1"/>
  <c r="X241" i="5" a="1"/>
  <c r="X241" i="5" s="1"/>
  <c r="Z64" i="8" a="1"/>
  <c r="Z64" i="8" s="1"/>
  <c r="Z97" i="8" a="1"/>
  <c r="Z97" i="8" s="1"/>
  <c r="AG97" i="8" a="1"/>
  <c r="AG97" i="8" s="1"/>
  <c r="X47" i="5" a="1"/>
  <c r="X47" i="5" s="1"/>
  <c r="X130" i="5" a="1"/>
  <c r="X130" i="5" s="1"/>
  <c r="X52" i="5" a="1"/>
  <c r="X52" i="5" s="1"/>
  <c r="AF88" i="8" a="1"/>
  <c r="AF88" i="8" s="1"/>
  <c r="AG88" i="8" a="1"/>
  <c r="AG88" i="8" s="1"/>
  <c r="AM19" i="8" a="1"/>
  <c r="AM19" i="8" s="1"/>
  <c r="BJ15" i="6"/>
  <c r="AL19" i="8" a="1"/>
  <c r="AL19" i="8" s="1"/>
  <c r="BI15" i="6"/>
  <c r="Y112" i="8" a="1"/>
  <c r="Y112" i="8" s="1"/>
  <c r="V112" i="8" a="1"/>
  <c r="V112" i="8" s="1"/>
  <c r="Y118" i="8" a="1"/>
  <c r="Y118" i="8" s="1"/>
  <c r="AJ145" i="8" a="1"/>
  <c r="AJ145" i="8" s="1"/>
  <c r="W145" i="8" a="1"/>
  <c r="W145" i="8" s="1"/>
  <c r="X105" i="5" a="1"/>
  <c r="X105" i="5" s="1"/>
  <c r="AJ85" i="8" a="1"/>
  <c r="AJ85" i="8" s="1"/>
  <c r="AL85" i="8" a="1"/>
  <c r="AL85" i="8" s="1"/>
  <c r="AC124" i="8" a="1"/>
  <c r="AC124" i="8" s="1"/>
  <c r="AK124" i="8" a="1"/>
  <c r="AK124" i="8" s="1"/>
  <c r="X31" i="5" a="1"/>
  <c r="X31" i="5" s="1"/>
  <c r="W115" i="8" a="1"/>
  <c r="W115" i="8" s="1"/>
  <c r="AL52" i="8" a="1"/>
  <c r="AL52" i="8" s="1"/>
  <c r="AD142" i="8" a="1"/>
  <c r="AD142" i="8" s="1"/>
  <c r="AE142" i="8" a="1"/>
  <c r="AE142" i="8" s="1"/>
  <c r="Y91" i="8" a="1"/>
  <c r="Y91" i="8" s="1"/>
  <c r="AL91" i="8" a="1"/>
  <c r="AL91" i="8" s="1"/>
  <c r="AI133" i="8" a="1"/>
  <c r="AI133" i="8" s="1"/>
  <c r="AD100" i="8" a="1"/>
  <c r="AD100" i="8" s="1"/>
  <c r="Z100" i="8" a="1"/>
  <c r="Z100" i="8" s="1"/>
  <c r="X229" i="5" a="1"/>
  <c r="X229" i="5" s="1"/>
  <c r="V46" i="8" a="1"/>
  <c r="V46" i="8" s="1"/>
  <c r="AB46" i="8" a="1"/>
  <c r="AB46" i="8" s="1"/>
  <c r="Y103" i="8" a="1"/>
  <c r="Y103" i="8" s="1"/>
  <c r="AK103" i="8" a="1"/>
  <c r="AK103" i="8" s="1"/>
  <c r="V34" i="8" a="1"/>
  <c r="V34" i="8" s="1"/>
  <c r="AJ34" i="8" a="1"/>
  <c r="AJ34" i="8" s="1"/>
  <c r="AM55" i="8" a="1"/>
  <c r="AM55" i="8" s="1"/>
  <c r="X165" i="5" a="1"/>
  <c r="X165" i="5" s="1"/>
  <c r="AE76" i="8" a="1"/>
  <c r="AE76" i="8" s="1"/>
  <c r="AF37" i="8" a="1"/>
  <c r="AF37" i="8" s="1"/>
  <c r="AI127" i="8" a="1"/>
  <c r="AI127" i="8" s="1"/>
  <c r="AD127" i="8" a="1"/>
  <c r="AD127" i="8" s="1"/>
  <c r="X199" i="5" a="1"/>
  <c r="X199" i="5" s="1"/>
  <c r="X186" i="5" a="1"/>
  <c r="X186" i="5" s="1"/>
  <c r="AB70" i="8" a="1"/>
  <c r="AB70" i="8" s="1"/>
  <c r="AC70" i="8" a="1"/>
  <c r="AC70" i="8" s="1"/>
  <c r="AL130" i="8" a="1"/>
  <c r="AL130" i="8" s="1"/>
  <c r="AG130" i="8" a="1"/>
  <c r="AG130" i="8" s="1"/>
  <c r="Y151" i="8" a="1"/>
  <c r="Y151" i="8" s="1"/>
  <c r="AF139" i="8" a="1"/>
  <c r="AF139" i="8" s="1"/>
  <c r="AC139" i="8" a="1"/>
  <c r="AC139" i="8" s="1"/>
  <c r="X35" i="5" a="1"/>
  <c r="X35" i="5" s="1"/>
  <c r="AG40" i="8" a="1"/>
  <c r="AG40" i="8" s="1"/>
  <c r="X69" i="5" a="1"/>
  <c r="X69" i="5" s="1"/>
  <c r="AD64" i="8" a="1"/>
  <c r="AD64" i="8" s="1"/>
  <c r="AF97" i="8" a="1"/>
  <c r="AF97" i="8" s="1"/>
  <c r="W97" i="8" a="1"/>
  <c r="W97" i="8" s="1"/>
  <c r="X137" i="5" a="1"/>
  <c r="X137" i="5" s="1"/>
  <c r="X108" i="5" a="1"/>
  <c r="X108" i="5" s="1"/>
  <c r="E88" i="8" a="1"/>
  <c r="E88" i="8" s="1"/>
  <c r="U88" i="8" a="1"/>
  <c r="U88" i="8" s="1"/>
  <c r="AL88" i="8" a="1"/>
  <c r="AL88" i="8" s="1"/>
  <c r="X98" i="5" a="1"/>
  <c r="X98" i="5" s="1"/>
  <c r="AN19" i="8" a="1"/>
  <c r="AN19" i="8" s="1"/>
  <c r="BK15" i="6"/>
  <c r="X18" i="5" a="1"/>
  <c r="X18" i="5" s="1"/>
  <c r="U19" i="8" a="1"/>
  <c r="U19" i="8" s="1"/>
  <c r="E19" i="8" a="1"/>
  <c r="E19" i="8" s="1"/>
  <c r="AR15" i="6"/>
  <c r="W112" i="8" a="1"/>
  <c r="W112" i="8" s="1"/>
  <c r="AH112" i="8" a="1"/>
  <c r="AH112" i="8" s="1"/>
  <c r="Z118" i="8" a="1"/>
  <c r="Z118" i="8" s="1"/>
  <c r="AC145" i="8" a="1"/>
  <c r="AC145" i="8" s="1"/>
  <c r="AG145" i="8" a="1"/>
  <c r="AG145" i="8" s="1"/>
  <c r="X159" i="5" a="1"/>
  <c r="X159" i="5" s="1"/>
  <c r="AH52" i="8" a="1"/>
  <c r="AH52" i="8" s="1"/>
  <c r="AD85" i="8" a="1"/>
  <c r="AD85" i="8" s="1"/>
  <c r="AA124" i="8" a="1"/>
  <c r="AA124" i="8" s="1"/>
  <c r="X190" i="5" a="1"/>
  <c r="X190" i="5" s="1"/>
  <c r="X115" i="8" a="1"/>
  <c r="X115" i="8" s="1"/>
  <c r="X64" i="5" a="1"/>
  <c r="X64" i="5" s="1"/>
  <c r="AI142" i="8" a="1"/>
  <c r="AI142" i="8" s="1"/>
  <c r="X142" i="8" a="1"/>
  <c r="X142" i="8" s="1"/>
  <c r="AN91" i="8" a="1"/>
  <c r="AN91" i="8" s="1"/>
  <c r="AJ91" i="8" a="1"/>
  <c r="AJ91" i="8" s="1"/>
  <c r="AL133" i="8" a="1"/>
  <c r="AL133" i="8" s="1"/>
  <c r="X126" i="5" a="1"/>
  <c r="X126" i="5" s="1"/>
  <c r="U100" i="8" a="1"/>
  <c r="U100" i="8" s="1"/>
  <c r="E100" i="8" a="1"/>
  <c r="E100" i="8" s="1"/>
  <c r="AA100" i="8" a="1"/>
  <c r="AA100" i="8" s="1"/>
  <c r="AI46" i="8" a="1"/>
  <c r="AI46" i="8" s="1"/>
  <c r="AN46" i="8" a="1"/>
  <c r="AN46" i="8" s="1"/>
  <c r="AM103" i="8" a="1"/>
  <c r="AM103" i="8" s="1"/>
  <c r="W103" i="8" a="1"/>
  <c r="W103" i="8" s="1"/>
  <c r="AN34" i="8" a="1"/>
  <c r="AN34" i="8" s="1"/>
  <c r="AL34" i="8" a="1"/>
  <c r="AL34" i="8" s="1"/>
  <c r="X70" i="5" a="1"/>
  <c r="X70" i="5" s="1"/>
  <c r="AN55" i="8" a="1"/>
  <c r="AN55" i="8" s="1"/>
  <c r="W55" i="8" a="1"/>
  <c r="W55" i="8" s="1"/>
  <c r="AK76" i="8" a="1"/>
  <c r="AK76" i="8" s="1"/>
  <c r="X37" i="8" a="1"/>
  <c r="X37" i="8" s="1"/>
  <c r="AB73" i="8" a="1"/>
  <c r="AB73" i="8" s="1"/>
  <c r="X198" i="5" a="1"/>
  <c r="X198" i="5" s="1"/>
  <c r="AI37" i="8" a="1"/>
  <c r="AI37" i="8" s="1"/>
  <c r="X240" i="5" a="1"/>
  <c r="X240" i="5" s="1"/>
  <c r="AK127" i="8" a="1"/>
  <c r="AK127" i="8" s="1"/>
  <c r="AF70" i="8" a="1"/>
  <c r="AF70" i="8" s="1"/>
  <c r="AK130" i="8" a="1"/>
  <c r="AK130" i="8" s="1"/>
  <c r="X151" i="8" a="1"/>
  <c r="X151" i="8" s="1"/>
  <c r="AD139" i="8" a="1"/>
  <c r="AD139" i="8" s="1"/>
  <c r="X172" i="5" a="1"/>
  <c r="X172" i="5" s="1"/>
  <c r="AJ40" i="8" a="1"/>
  <c r="AJ40" i="8" s="1"/>
  <c r="Y64" i="8" a="1"/>
  <c r="Y64" i="8" s="1"/>
  <c r="X40" i="5" a="1"/>
  <c r="X40" i="5" s="1"/>
  <c r="X116" i="5" a="1"/>
  <c r="X116" i="5" s="1"/>
  <c r="E97" i="8" a="1"/>
  <c r="E97" i="8" s="1"/>
  <c r="U97" i="8" a="1"/>
  <c r="U97" i="8" s="1"/>
  <c r="X97" i="8" a="1"/>
  <c r="X97" i="8" s="1"/>
  <c r="X71" i="5" a="1"/>
  <c r="X71" i="5" s="1"/>
  <c r="AA88" i="8" a="1"/>
  <c r="AA88" i="8" s="1"/>
  <c r="V19" i="8" a="1"/>
  <c r="V19" i="8" s="1"/>
  <c r="AS15" i="6"/>
  <c r="Y19" i="8" a="1"/>
  <c r="Y19" i="8" s="1"/>
  <c r="AV15" i="6"/>
  <c r="AE112" i="8" a="1"/>
  <c r="AE112" i="8" s="1"/>
  <c r="AN118" i="8" a="1"/>
  <c r="AN118" i="8" s="1"/>
  <c r="AB145" i="8" a="1"/>
  <c r="AB145" i="8" s="1"/>
  <c r="AA145" i="8" a="1"/>
  <c r="AA145" i="8" s="1"/>
  <c r="X124" i="5" a="1"/>
  <c r="X124" i="5" s="1"/>
  <c r="X222" i="5" a="1"/>
  <c r="X222" i="5" s="1"/>
  <c r="X103" i="5" a="1"/>
  <c r="X103" i="5" s="1"/>
  <c r="E85" i="8" a="1"/>
  <c r="E85" i="8" s="1"/>
  <c r="U85" i="8" a="1"/>
  <c r="U85" i="8" s="1"/>
  <c r="Y85" i="8" a="1"/>
  <c r="Y85" i="8" s="1"/>
  <c r="AM124" i="8" a="1"/>
  <c r="AM124" i="8" s="1"/>
  <c r="X191" i="5" a="1"/>
  <c r="X191" i="5" s="1"/>
  <c r="AC115" i="8" a="1"/>
  <c r="AC115" i="8" s="1"/>
  <c r="X65" i="5" a="1"/>
  <c r="X65" i="5" s="1"/>
  <c r="AB52" i="8" a="1"/>
  <c r="AB52" i="8" s="1"/>
  <c r="AH142" i="8" a="1"/>
  <c r="AH142" i="8" s="1"/>
  <c r="AC142" i="8" a="1"/>
  <c r="AC142" i="8" s="1"/>
  <c r="X152" i="5" a="1"/>
  <c r="X152" i="5" s="1"/>
  <c r="X195" i="5" a="1"/>
  <c r="X195" i="5" s="1"/>
  <c r="AE34" i="8" a="1"/>
  <c r="AE34" i="8" s="1"/>
  <c r="AH91" i="8" a="1"/>
  <c r="AH91" i="8" s="1"/>
  <c r="X91" i="8" a="1"/>
  <c r="X91" i="8" s="1"/>
  <c r="AK133" i="8" a="1"/>
  <c r="AK133" i="8" s="1"/>
  <c r="W100" i="8" a="1"/>
  <c r="W100" i="8" s="1"/>
  <c r="AF100" i="8" a="1"/>
  <c r="AF100" i="8" s="1"/>
  <c r="X197" i="5" a="1"/>
  <c r="X197" i="5" s="1"/>
  <c r="X46" i="8" a="1"/>
  <c r="X46" i="8" s="1"/>
  <c r="X51" i="5" a="1"/>
  <c r="X51" i="5" s="1"/>
  <c r="U46" i="8" a="1"/>
  <c r="U46" i="8" s="1"/>
  <c r="E46" i="8" a="1"/>
  <c r="E46" i="8" s="1"/>
  <c r="AL103" i="8" a="1"/>
  <c r="AL103" i="8" s="1"/>
  <c r="AA103" i="8" a="1"/>
  <c r="AA103" i="8" s="1"/>
  <c r="AA34" i="8" a="1"/>
  <c r="AA34" i="8" s="1"/>
  <c r="AK34" i="8" a="1"/>
  <c r="AK34" i="8" s="1"/>
  <c r="AE55" i="8" a="1"/>
  <c r="AE55" i="8" s="1"/>
  <c r="AI55" i="8" a="1"/>
  <c r="AI55" i="8" s="1"/>
  <c r="X81" i="5" a="1"/>
  <c r="X81" i="5" s="1"/>
  <c r="AF76" i="8" a="1"/>
  <c r="AF76" i="8" s="1"/>
  <c r="X76" i="8" a="1"/>
  <c r="X76" i="8" s="1"/>
  <c r="X228" i="5" a="1"/>
  <c r="X228" i="5" s="1"/>
  <c r="AG37" i="8" a="1"/>
  <c r="AG37" i="8" s="1"/>
  <c r="AE139" i="8" a="1"/>
  <c r="AE139" i="8" s="1"/>
  <c r="X41" i="5" a="1"/>
  <c r="X41" i="5" s="1"/>
  <c r="AC130" i="8" a="1"/>
  <c r="AC130" i="8" s="1"/>
  <c r="AH151" i="8" a="1"/>
  <c r="AH151" i="8" s="1"/>
  <c r="X117" i="5" a="1"/>
  <c r="X117" i="5" s="1"/>
  <c r="X77" i="5" a="1"/>
  <c r="X77" i="5" s="1"/>
  <c r="U64" i="8" a="1"/>
  <c r="U64" i="8" s="1"/>
  <c r="E64" i="8" a="1"/>
  <c r="E64" i="8" s="1"/>
  <c r="AL97" i="8" a="1"/>
  <c r="AL97" i="8" s="1"/>
  <c r="Z37" i="8" a="1"/>
  <c r="Z37" i="8" s="1"/>
  <c r="AM127" i="8" a="1"/>
  <c r="AM127" i="8" s="1"/>
  <c r="W130" i="8" a="1"/>
  <c r="W130" i="8" s="1"/>
  <c r="AK151" i="8" a="1"/>
  <c r="AK151" i="8" s="1"/>
  <c r="AM139" i="8" a="1"/>
  <c r="AM139" i="8" s="1"/>
  <c r="AH97" i="8" a="1"/>
  <c r="AH97" i="8" s="1"/>
  <c r="X220" i="5" a="1"/>
  <c r="X220" i="5" s="1"/>
  <c r="X146" i="5" a="1"/>
  <c r="X146" i="5" s="1"/>
  <c r="X122" i="5" a="1"/>
  <c r="X122" i="5" s="1"/>
  <c r="AJ73" i="8" a="1"/>
  <c r="AJ73" i="8" s="1"/>
  <c r="U73" i="8" a="1"/>
  <c r="U73" i="8" s="1"/>
  <c r="E73" i="8" a="1"/>
  <c r="E73" i="8" s="1"/>
  <c r="X92" i="5" a="1"/>
  <c r="X92" i="5" s="1"/>
  <c r="AG73" i="8" a="1"/>
  <c r="AG73" i="8" s="1"/>
  <c r="AC37" i="8" a="1"/>
  <c r="AC37" i="8" s="1"/>
  <c r="X32" i="5" a="1"/>
  <c r="X32" i="5" s="1"/>
  <c r="Y127" i="8" a="1"/>
  <c r="Y127" i="8" s="1"/>
  <c r="AE70" i="8" a="1"/>
  <c r="AE70" i="8" s="1"/>
  <c r="AJ130" i="8" a="1"/>
  <c r="AJ130" i="8" s="1"/>
  <c r="AF73" i="8" a="1"/>
  <c r="AF73" i="8" s="1"/>
  <c r="AM37" i="8" a="1"/>
  <c r="AM37" i="8" s="1"/>
  <c r="AL37" i="8" a="1"/>
  <c r="AL37" i="8" s="1"/>
  <c r="AN22" i="8" a="1"/>
  <c r="AN22" i="8" s="1"/>
  <c r="AN127" i="8" a="1"/>
  <c r="AN127" i="8" s="1"/>
  <c r="AE127" i="8" a="1"/>
  <c r="AE127" i="8" s="1"/>
  <c r="E70" i="8" a="1"/>
  <c r="E70" i="8" s="1"/>
  <c r="X85" i="5" a="1"/>
  <c r="X85" i="5" s="1"/>
  <c r="U70" i="8" a="1"/>
  <c r="U70" i="8" s="1"/>
  <c r="AA130" i="8" a="1"/>
  <c r="AA130" i="8" s="1"/>
  <c r="X130" i="8" a="1"/>
  <c r="X130" i="8" s="1"/>
  <c r="X192" i="5" a="1"/>
  <c r="X192" i="5" s="1"/>
  <c r="AI151" i="8" a="1"/>
  <c r="AI151" i="8" s="1"/>
  <c r="AB139" i="8" a="1"/>
  <c r="AB139" i="8" s="1"/>
  <c r="AN40" i="8" a="1"/>
  <c r="AN40" i="8" s="1"/>
  <c r="AI64" i="8" a="1"/>
  <c r="AI64" i="8" s="1"/>
  <c r="AK64" i="8" a="1"/>
  <c r="AK64" i="8" s="1"/>
  <c r="Y97" i="8" a="1"/>
  <c r="Y97" i="8" s="1"/>
  <c r="AB97" i="8" a="1"/>
  <c r="AB97" i="8" s="1"/>
  <c r="X141" i="5" a="1"/>
  <c r="X141" i="5" s="1"/>
  <c r="X88" i="8" a="1"/>
  <c r="X88" i="8" s="1"/>
  <c r="AK19" i="8" a="1"/>
  <c r="AK19" i="8" s="1"/>
  <c r="BH15" i="6"/>
  <c r="AI19" i="8" a="1"/>
  <c r="AI19" i="8" s="1"/>
  <c r="BF15" i="6"/>
  <c r="X44" i="5" a="1"/>
  <c r="X44" i="5" s="1"/>
  <c r="AM112" i="8" a="1"/>
  <c r="AM112" i="8" s="1"/>
  <c r="U118" i="8" a="1"/>
  <c r="U118" i="8" s="1"/>
  <c r="E118" i="8" a="1"/>
  <c r="E118" i="8" s="1"/>
  <c r="X157" i="5" a="1"/>
  <c r="X157" i="5" s="1"/>
  <c r="AM118" i="8" a="1"/>
  <c r="AM118" i="8" s="1"/>
  <c r="AH145" i="8" a="1"/>
  <c r="AH145" i="8" s="1"/>
  <c r="AD145" i="8" a="1"/>
  <c r="AD145" i="8" s="1"/>
  <c r="X127" i="5" a="1"/>
  <c r="X127" i="5" s="1"/>
  <c r="X63" i="5" a="1"/>
  <c r="X63" i="5" s="1"/>
  <c r="E52" i="8" a="1"/>
  <c r="E52" i="8" s="1"/>
  <c r="U52" i="8" a="1"/>
  <c r="U52" i="8" s="1"/>
  <c r="AI85" i="8" a="1"/>
  <c r="AI85" i="8" s="1"/>
  <c r="X85" i="8" a="1"/>
  <c r="X85" i="8" s="1"/>
  <c r="W124" i="8" a="1"/>
  <c r="W124" i="8" s="1"/>
  <c r="X151" i="5" a="1"/>
  <c r="X151" i="5" s="1"/>
  <c r="AE52" i="8" a="1"/>
  <c r="AE52" i="8" s="1"/>
  <c r="AJ142" i="8" a="1"/>
  <c r="AJ142" i="8" s="1"/>
  <c r="X218" i="5" a="1"/>
  <c r="X218" i="5" s="1"/>
  <c r="E142" i="8" a="1"/>
  <c r="E142" i="8" s="1"/>
  <c r="U142" i="8" a="1"/>
  <c r="U142" i="8" s="1"/>
  <c r="AB91" i="8" a="1"/>
  <c r="AB91" i="8" s="1"/>
  <c r="AF91" i="8" a="1"/>
  <c r="AF91" i="8" s="1"/>
  <c r="X133" i="8" a="1"/>
  <c r="X133" i="8" s="1"/>
  <c r="AM100" i="8" a="1"/>
  <c r="AM100" i="8" s="1"/>
  <c r="AC100" i="8" a="1"/>
  <c r="AC100" i="8" s="1"/>
  <c r="AE46" i="8" a="1"/>
  <c r="AE46" i="8" s="1"/>
  <c r="AL46" i="8" a="1"/>
  <c r="AL46" i="8" s="1"/>
  <c r="AG103" i="8" a="1"/>
  <c r="AG103" i="8" s="1"/>
  <c r="AH103" i="8" a="1"/>
  <c r="AH103" i="8" s="1"/>
  <c r="AM34" i="8" a="1"/>
  <c r="AM34" i="8" s="1"/>
  <c r="AJ55" i="8" a="1"/>
  <c r="AJ55" i="8" s="1"/>
  <c r="AA55" i="8" a="1"/>
  <c r="AA55" i="8" s="1"/>
  <c r="W76" i="8" a="1"/>
  <c r="W76" i="8" s="1"/>
  <c r="AH76" i="8" a="1"/>
  <c r="AH76" i="8" s="1"/>
  <c r="X136" i="5" a="1"/>
  <c r="X136" i="5" s="1"/>
  <c r="I39" i="12"/>
  <c r="AM39" i="5"/>
  <c r="L39" i="5"/>
  <c r="Z39" i="5"/>
  <c r="AI97" i="8" a="1"/>
  <c r="AI97" i="8" s="1"/>
  <c r="X150" i="5" a="1"/>
  <c r="X150" i="5" s="1"/>
  <c r="AN88" i="8" a="1"/>
  <c r="AN88" i="8" s="1"/>
  <c r="X54" i="5" a="1"/>
  <c r="X54" i="5" s="1"/>
  <c r="AC19" i="8" a="1"/>
  <c r="AC19" i="8" s="1"/>
  <c r="AZ15" i="6"/>
  <c r="X93" i="5" a="1"/>
  <c r="X93" i="5" s="1"/>
  <c r="AC112" i="8" a="1"/>
  <c r="AC112" i="8" s="1"/>
  <c r="AM145" i="8" a="1"/>
  <c r="AM145" i="8" s="1"/>
  <c r="Y124" i="8" a="1"/>
  <c r="Y124" i="8" s="1"/>
  <c r="X208" i="5" a="1"/>
  <c r="X208" i="5" s="1"/>
  <c r="AH115" i="8" a="1"/>
  <c r="AH115" i="8" s="1"/>
  <c r="AJ115" i="8" a="1"/>
  <c r="AJ115" i="8" s="1"/>
  <c r="X193" i="5" a="1"/>
  <c r="X193" i="5" s="1"/>
  <c r="AL142" i="8" a="1"/>
  <c r="AL142" i="8" s="1"/>
  <c r="W142" i="8" a="1"/>
  <c r="W142" i="8" s="1"/>
  <c r="X223" i="5" a="1"/>
  <c r="X223" i="5" s="1"/>
  <c r="AN133" i="8" a="1"/>
  <c r="AN133" i="8" s="1"/>
  <c r="X189" i="5" a="1"/>
  <c r="X189" i="5" s="1"/>
  <c r="U133" i="8" a="1"/>
  <c r="U133" i="8" s="1"/>
  <c r="E133" i="8" a="1"/>
  <c r="E133" i="8" s="1"/>
  <c r="AA46" i="8" a="1"/>
  <c r="AA46" i="8" s="1"/>
  <c r="AF46" i="8" a="1"/>
  <c r="AF46" i="8" s="1"/>
  <c r="Z103" i="8" a="1"/>
  <c r="Z103" i="8" s="1"/>
  <c r="AB55" i="8" a="1"/>
  <c r="AB55" i="8" s="1"/>
  <c r="AH55" i="8" a="1"/>
  <c r="AH55" i="8" s="1"/>
  <c r="L236" i="5"/>
  <c r="I236" i="12"/>
  <c r="Z236" i="5"/>
  <c r="AM236" i="5"/>
  <c r="X42" i="5" a="1"/>
  <c r="X42" i="5" s="1"/>
  <c r="AJ76" i="8" a="1"/>
  <c r="AJ76" i="8" s="1"/>
  <c r="X57" i="5" a="1"/>
  <c r="X57" i="5" s="1"/>
  <c r="AK22" i="8" a="1"/>
  <c r="AK22" i="8" s="1"/>
  <c r="X138" i="5" a="1"/>
  <c r="X138" i="5" s="1"/>
  <c r="V127" i="8" a="1"/>
  <c r="V127" i="8" s="1"/>
  <c r="AG70" i="8" a="1"/>
  <c r="AG70" i="8" s="1"/>
  <c r="AH130" i="8" a="1"/>
  <c r="AH130" i="8" s="1"/>
  <c r="Y130" i="8" a="1"/>
  <c r="Y130" i="8" s="1"/>
  <c r="AB151" i="8" a="1"/>
  <c r="AB151" i="8" s="1"/>
  <c r="AE151" i="8" a="1"/>
  <c r="AE151" i="8" s="1"/>
  <c r="X37" i="5" a="1"/>
  <c r="X37" i="5" s="1"/>
  <c r="E37" i="8" a="1"/>
  <c r="E37" i="8" s="1"/>
  <c r="U37" i="8" a="1"/>
  <c r="U37" i="8" s="1"/>
  <c r="AJ139" i="8" a="1"/>
  <c r="AJ139" i="8" s="1"/>
  <c r="X97" i="5" a="1"/>
  <c r="X97" i="5" s="1"/>
  <c r="AK40" i="8" a="1"/>
  <c r="AK40" i="8" s="1"/>
  <c r="AB40" i="8" a="1"/>
  <c r="AB40" i="8" s="1"/>
  <c r="X80" i="5" a="1"/>
  <c r="X80" i="5" s="1"/>
  <c r="X169" i="5" a="1"/>
  <c r="X169" i="5" s="1"/>
  <c r="AH64" i="8" a="1"/>
  <c r="AH64" i="8" s="1"/>
  <c r="AB64" i="8" a="1"/>
  <c r="AB64" i="8" s="1"/>
  <c r="AD97" i="8" a="1"/>
  <c r="AD97" i="8" s="1"/>
  <c r="W88" i="8" a="1"/>
  <c r="W88" i="8" s="1"/>
  <c r="AB19" i="8" a="1"/>
  <c r="AB19" i="8" s="1"/>
  <c r="AY15" i="6"/>
  <c r="AA112" i="8" a="1"/>
  <c r="AA112" i="8" s="1"/>
  <c r="AF118" i="8" a="1"/>
  <c r="AF118" i="8" s="1"/>
  <c r="AI118" i="8" a="1"/>
  <c r="AI118" i="8" s="1"/>
  <c r="AK145" i="8" a="1"/>
  <c r="AK145" i="8" s="1"/>
  <c r="V145" i="8" a="1"/>
  <c r="V145" i="8" s="1"/>
  <c r="X183" i="5" a="1"/>
  <c r="X183" i="5" s="1"/>
  <c r="X72" i="5" a="1"/>
  <c r="X72" i="5" s="1"/>
  <c r="Z85" i="8" a="1"/>
  <c r="Z85" i="8" s="1"/>
  <c r="AM85" i="8" a="1"/>
  <c r="AM85" i="8" s="1"/>
  <c r="AL124" i="8" a="1"/>
  <c r="AL124" i="8" s="1"/>
  <c r="X174" i="5" a="1"/>
  <c r="X174" i="5" s="1"/>
  <c r="X143" i="5" a="1"/>
  <c r="X143" i="5" s="1"/>
  <c r="E115" i="8" a="1"/>
  <c r="E115" i="8" s="1"/>
  <c r="U115" i="8" a="1"/>
  <c r="U115" i="8" s="1"/>
  <c r="X239" i="5" a="1"/>
  <c r="X239" i="5" s="1"/>
  <c r="AL115" i="8" a="1"/>
  <c r="AL115" i="8" s="1"/>
  <c r="AI115" i="8" a="1"/>
  <c r="AI115" i="8" s="1"/>
  <c r="X154" i="5" a="1"/>
  <c r="X154" i="5" s="1"/>
  <c r="X162" i="5" a="1"/>
  <c r="X162" i="5" s="1"/>
  <c r="X212" i="5" a="1"/>
  <c r="X212" i="5" s="1"/>
  <c r="X106" i="5" a="1"/>
  <c r="X106" i="5" s="1"/>
  <c r="X48" i="5" a="1"/>
  <c r="X48" i="5" s="1"/>
  <c r="X140" i="5" a="1"/>
  <c r="X140" i="5" s="1"/>
  <c r="AK142" i="8" a="1"/>
  <c r="AK142" i="8" s="1"/>
  <c r="Y142" i="8" a="1"/>
  <c r="Y142" i="8" s="1"/>
  <c r="AG91" i="8" a="1"/>
  <c r="AG91" i="8" s="1"/>
  <c r="E91" i="8" a="1"/>
  <c r="E91" i="8" s="1"/>
  <c r="U91" i="8" a="1"/>
  <c r="U91" i="8" s="1"/>
  <c r="X111" i="5" a="1"/>
  <c r="X111" i="5" s="1"/>
  <c r="AF133" i="8" a="1"/>
  <c r="AF133" i="8" s="1"/>
  <c r="AB133" i="8" a="1"/>
  <c r="AB133" i="8" s="1"/>
  <c r="AJ100" i="8" a="1"/>
  <c r="AJ100" i="8" s="1"/>
  <c r="AB100" i="8" a="1"/>
  <c r="AB100" i="8" s="1"/>
  <c r="X104" i="5" a="1"/>
  <c r="X104" i="5" s="1"/>
  <c r="AC46" i="8" a="1"/>
  <c r="AC46" i="8" s="1"/>
  <c r="AJ46" i="8" a="1"/>
  <c r="AJ46" i="8" s="1"/>
  <c r="X82" i="5" a="1"/>
  <c r="X82" i="5" s="1"/>
  <c r="AF103" i="8" a="1"/>
  <c r="AF103" i="8" s="1"/>
  <c r="U103" i="8" a="1"/>
  <c r="U103" i="8" s="1"/>
  <c r="X129" i="5" a="1"/>
  <c r="X129" i="5" s="1"/>
  <c r="E103" i="8" a="1"/>
  <c r="E103" i="8" s="1"/>
  <c r="X161" i="5" a="1"/>
  <c r="X161" i="5" s="1"/>
  <c r="X113" i="5" a="1"/>
  <c r="X113" i="5" s="1"/>
  <c r="X170" i="5" a="1"/>
  <c r="X170" i="5" s="1"/>
  <c r="E55" i="8" a="1"/>
  <c r="E55" i="8" s="1"/>
  <c r="X67" i="5" a="1"/>
  <c r="X67" i="5" s="1"/>
  <c r="U55" i="8" a="1"/>
  <c r="U55" i="8" s="1"/>
  <c r="AD55" i="8" a="1"/>
  <c r="AD55" i="8" s="1"/>
  <c r="V76" i="8" a="1"/>
  <c r="V76" i="8" s="1"/>
  <c r="AM76" i="8" a="1"/>
  <c r="AM76" i="8" s="1"/>
  <c r="X123" i="5" a="1"/>
  <c r="X123" i="5" s="1"/>
  <c r="X194" i="5" a="1"/>
  <c r="X194" i="5" s="1"/>
  <c r="AH70" i="8" a="1"/>
  <c r="AH70" i="8" s="1"/>
  <c r="AN130" i="8" a="1"/>
  <c r="AN130" i="8" s="1"/>
  <c r="V130" i="8" a="1"/>
  <c r="V130" i="8" s="1"/>
  <c r="AM151" i="8" a="1"/>
  <c r="AM151" i="8" s="1"/>
  <c r="AL151" i="8" a="1"/>
  <c r="AL151" i="8" s="1"/>
  <c r="AI139" i="8" a="1"/>
  <c r="AI139" i="8" s="1"/>
  <c r="Z139" i="8" a="1"/>
  <c r="Z139" i="8" s="1"/>
  <c r="X96" i="5" a="1"/>
  <c r="X96" i="5" s="1"/>
  <c r="X160" i="5" a="1"/>
  <c r="X160" i="5" s="1"/>
  <c r="AI40" i="8" a="1"/>
  <c r="AI40" i="8" s="1"/>
  <c r="AA40" i="8" a="1"/>
  <c r="AA40" i="8" s="1"/>
  <c r="X231" i="5" a="1"/>
  <c r="X231" i="5" s="1"/>
  <c r="X211" i="5" a="1"/>
  <c r="X211" i="5" s="1"/>
  <c r="X155" i="5" a="1"/>
  <c r="X155" i="5" s="1"/>
  <c r="AJ64" i="8" a="1"/>
  <c r="AJ64" i="8" s="1"/>
  <c r="AN64" i="8" a="1"/>
  <c r="AN64" i="8" s="1"/>
  <c r="AE97" i="8" a="1"/>
  <c r="AE97" i="8" s="1"/>
  <c r="X224" i="5" a="1"/>
  <c r="X224" i="5" s="1"/>
  <c r="Y88" i="8" a="1"/>
  <c r="Y88" i="8" s="1"/>
  <c r="AC88" i="8" a="1"/>
  <c r="AC88" i="8" s="1"/>
  <c r="X207" i="5" a="1"/>
  <c r="X207" i="5" s="1"/>
  <c r="X28" i="5" a="1"/>
  <c r="X28" i="5" s="1"/>
  <c r="AE19" i="8" a="1"/>
  <c r="AE19" i="8" s="1"/>
  <c r="BB15" i="6"/>
  <c r="AL112" i="8" a="1"/>
  <c r="AL112" i="8" s="1"/>
  <c r="Z112" i="8" a="1"/>
  <c r="Z112" i="8" s="1"/>
  <c r="AG118" i="8" a="1"/>
  <c r="AG118" i="8" s="1"/>
  <c r="AB118" i="8" a="1"/>
  <c r="AB118" i="8" s="1"/>
  <c r="AI145" i="8" a="1"/>
  <c r="AI145" i="8" s="1"/>
  <c r="AN145" i="8" a="1"/>
  <c r="AN145" i="8" s="1"/>
  <c r="AG52" i="8" a="1"/>
  <c r="AG52" i="8" s="1"/>
  <c r="V85" i="8" a="1"/>
  <c r="V85" i="8" s="1"/>
  <c r="W85" i="8" a="1"/>
  <c r="W85" i="8" s="1"/>
  <c r="X79" i="5" a="1"/>
  <c r="X79" i="5" s="1"/>
  <c r="AH124" i="8" a="1"/>
  <c r="AH124" i="8" s="1"/>
  <c r="Z124" i="8" a="1"/>
  <c r="Z124" i="8" s="1"/>
  <c r="AN115" i="8" a="1"/>
  <c r="AN115" i="8" s="1"/>
  <c r="AE115" i="8" a="1"/>
  <c r="AE115" i="8" s="1"/>
  <c r="X153" i="5" a="1"/>
  <c r="X153" i="5" s="1"/>
  <c r="AM52" i="8" a="1"/>
  <c r="AM52" i="8" s="1"/>
  <c r="AG142" i="8" a="1"/>
  <c r="AG142" i="8" s="1"/>
  <c r="X187" i="5" a="1"/>
  <c r="X187" i="5" s="1"/>
  <c r="AM91" i="8" a="1"/>
  <c r="AM91" i="8" s="1"/>
  <c r="W91" i="8" a="1"/>
  <c r="W91" i="8" s="1"/>
  <c r="W133" i="8" a="1"/>
  <c r="W133" i="8" s="1"/>
  <c r="AD133" i="8" a="1"/>
  <c r="AD133" i="8" s="1"/>
  <c r="AL100" i="8" a="1"/>
  <c r="AL100" i="8" s="1"/>
  <c r="AK100" i="8" a="1"/>
  <c r="AK100" i="8" s="1"/>
  <c r="W46" i="8" a="1"/>
  <c r="W46" i="8" s="1"/>
  <c r="X103" i="8" a="1"/>
  <c r="X103" i="8" s="1"/>
  <c r="AB103" i="8" a="1"/>
  <c r="AB103" i="8" s="1"/>
  <c r="X34" i="5" a="1"/>
  <c r="X34" i="5" s="1"/>
  <c r="X55" i="8" a="1"/>
  <c r="X55" i="8" s="1"/>
  <c r="Y55" i="8" a="1"/>
  <c r="Y55" i="8" s="1"/>
  <c r="Y76" i="8" a="1"/>
  <c r="Y76" i="8" s="1"/>
  <c r="AB76" i="8" a="1"/>
  <c r="AB76" i="8" s="1"/>
  <c r="X90" i="5" a="1"/>
  <c r="X90" i="5" s="1"/>
  <c r="X86" i="5" a="1"/>
  <c r="X86" i="5" s="1"/>
  <c r="X43" i="5" a="1"/>
  <c r="X43" i="5" s="1"/>
  <c r="X33" i="5" a="1"/>
  <c r="X33" i="5" s="1"/>
  <c r="V70" i="8" a="1"/>
  <c r="V70" i="8" s="1"/>
  <c r="X70" i="8" a="1"/>
  <c r="X70" i="8" s="1"/>
  <c r="AD130" i="8" a="1"/>
  <c r="AD130" i="8" s="1"/>
  <c r="X74" i="5" a="1"/>
  <c r="X74" i="5" s="1"/>
  <c r="E58" i="8" a="1"/>
  <c r="E58" i="8" s="1"/>
  <c r="U58" i="8" a="1"/>
  <c r="U58" i="8" s="1"/>
  <c r="AD151" i="8" a="1"/>
  <c r="AD151" i="8" s="1"/>
  <c r="W139" i="8" a="1"/>
  <c r="W139" i="8" s="1"/>
  <c r="X213" i="5" a="1"/>
  <c r="X213" i="5" s="1"/>
  <c r="Z40" i="8" a="1"/>
  <c r="Z40" i="8" s="1"/>
  <c r="V64" i="8" a="1"/>
  <c r="V64" i="8" s="1"/>
  <c r="AK97" i="8" a="1"/>
  <c r="AK97" i="8" s="1"/>
  <c r="X112" i="5" a="1"/>
  <c r="X112" i="5" s="1"/>
  <c r="X232" i="5" a="1"/>
  <c r="X232" i="5" s="1"/>
  <c r="AJ88" i="8" a="1"/>
  <c r="AJ88" i="8" s="1"/>
  <c r="AA19" i="8" a="1"/>
  <c r="AA19" i="8" s="1"/>
  <c r="AX15" i="6"/>
  <c r="U79" i="8" a="1"/>
  <c r="U79" i="8" s="1"/>
  <c r="E79" i="8" a="1"/>
  <c r="E79" i="8" s="1"/>
  <c r="X100" i="5" a="1"/>
  <c r="X100" i="5" s="1"/>
  <c r="AN112" i="8" a="1"/>
  <c r="AN112" i="8" s="1"/>
  <c r="AI112" i="8" a="1"/>
  <c r="AI112" i="8" s="1"/>
  <c r="AJ118" i="8" a="1"/>
  <c r="AJ118" i="8" s="1"/>
  <c r="AA118" i="8" a="1"/>
  <c r="AA118" i="8" s="1"/>
  <c r="E145" i="8" a="1"/>
  <c r="E145" i="8" s="1"/>
  <c r="U145" i="8" a="1"/>
  <c r="U145" i="8" s="1"/>
  <c r="X226" i="5" a="1"/>
  <c r="X226" i="5" s="1"/>
  <c r="Z52" i="8" a="1"/>
  <c r="Z52" i="8" s="1"/>
  <c r="AN85" i="8" a="1"/>
  <c r="AN85" i="8" s="1"/>
  <c r="AA85" i="8" a="1"/>
  <c r="AA85" i="8" s="1"/>
  <c r="AD124" i="8" a="1"/>
  <c r="AD124" i="8" s="1"/>
  <c r="AB124" i="8" a="1"/>
  <c r="AB124" i="8" s="1"/>
  <c r="X148" i="5" a="1"/>
  <c r="X148" i="5" s="1"/>
  <c r="X119" i="5" a="1"/>
  <c r="X119" i="5" s="1"/>
  <c r="AM115" i="8" a="1"/>
  <c r="AM115" i="8" s="1"/>
  <c r="Y115" i="8" a="1"/>
  <c r="Y115" i="8" s="1"/>
  <c r="AA142" i="8" a="1"/>
  <c r="AA142" i="8" s="1"/>
  <c r="E34" i="8" a="1"/>
  <c r="E34" i="8" s="1"/>
  <c r="U34" i="8" a="1"/>
  <c r="U34" i="8" s="1"/>
  <c r="X27" i="5" a="1"/>
  <c r="X27" i="5" s="1"/>
  <c r="AK91" i="8" a="1"/>
  <c r="AK91" i="8" s="1"/>
  <c r="AE91" i="8" a="1"/>
  <c r="AE91" i="8" s="1"/>
  <c r="AE133" i="8" a="1"/>
  <c r="AE133" i="8" s="1"/>
  <c r="AM133" i="8" a="1"/>
  <c r="AM133" i="8" s="1"/>
  <c r="AE100" i="8" a="1"/>
  <c r="AE100" i="8" s="1"/>
  <c r="AI100" i="8" a="1"/>
  <c r="AI100" i="8" s="1"/>
  <c r="AH46" i="8" a="1"/>
  <c r="AH46" i="8" s="1"/>
  <c r="AC103" i="8" a="1"/>
  <c r="AC103" i="8" s="1"/>
  <c r="V103" i="8" a="1"/>
  <c r="V103" i="8" s="1"/>
  <c r="AC34" i="8" a="1"/>
  <c r="AC34" i="8" s="1"/>
  <c r="Z34" i="8" a="1"/>
  <c r="Z34" i="8" s="1"/>
  <c r="AC55" i="8" a="1"/>
  <c r="AC55" i="8" s="1"/>
  <c r="AK55" i="8" a="1"/>
  <c r="AK55" i="8" s="1"/>
  <c r="Z76" i="8" a="1"/>
  <c r="Z76" i="8" s="1"/>
  <c r="AG76" i="8" a="1"/>
  <c r="AG76" i="8" s="1"/>
  <c r="X38" i="5" a="1"/>
  <c r="X38" i="5" s="1"/>
  <c r="X177" i="5" a="1"/>
  <c r="X177" i="5" s="1"/>
  <c r="X19" i="8" a="1"/>
  <c r="X19" i="8" s="1"/>
  <c r="AU15" i="6"/>
  <c r="AG19" i="8" a="1"/>
  <c r="AG19" i="8" s="1"/>
  <c r="BD15" i="6"/>
  <c r="X55" i="5" a="1"/>
  <c r="X55" i="5" s="1"/>
  <c r="AG112" i="8" a="1"/>
  <c r="AG112" i="8" s="1"/>
  <c r="AE118" i="8" a="1"/>
  <c r="AE118" i="8" s="1"/>
  <c r="AM68" i="5"/>
  <c r="I68" i="12"/>
  <c r="L68" i="5"/>
  <c r="Z68" i="5"/>
  <c r="X124" i="8" a="1"/>
  <c r="X124" i="8" s="1"/>
  <c r="Z164" i="5"/>
  <c r="L164" i="5"/>
  <c r="AM164" i="5"/>
  <c r="I164" i="12"/>
  <c r="X88" i="5" a="1"/>
  <c r="X88" i="5" s="1"/>
  <c r="AB115" i="8" a="1"/>
  <c r="AB115" i="8" s="1"/>
  <c r="Z115" i="8" a="1"/>
  <c r="Z115" i="8" s="1"/>
  <c r="I56" i="12"/>
  <c r="AM56" i="5"/>
  <c r="Z56" i="5"/>
  <c r="L56" i="5"/>
  <c r="AM209" i="5"/>
  <c r="I209" i="12"/>
  <c r="L209" i="5"/>
  <c r="Z209" i="5"/>
  <c r="Z87" i="5"/>
  <c r="L87" i="5"/>
  <c r="I87" i="12"/>
  <c r="AM87" i="5"/>
  <c r="Z91" i="8" a="1"/>
  <c r="Z91" i="8" s="1"/>
  <c r="X131" i="5" a="1"/>
  <c r="X131" i="5" s="1"/>
  <c r="AJ133" i="8" a="1"/>
  <c r="AJ133" i="8" s="1"/>
  <c r="AA133" i="8" a="1"/>
  <c r="AA133" i="8" s="1"/>
  <c r="Z46" i="8" a="1"/>
  <c r="Z46" i="8" s="1"/>
  <c r="W34" i="8" a="1"/>
  <c r="W34" i="8" s="1"/>
  <c r="AD34" i="8" a="1"/>
  <c r="AD34" i="8" s="1"/>
  <c r="Z55" i="8" a="1"/>
  <c r="Z55" i="8" s="1"/>
  <c r="V55" i="8" a="1"/>
  <c r="V55" i="8" s="1"/>
  <c r="E76" i="8" a="1"/>
  <c r="E76" i="8" s="1"/>
  <c r="U76" i="8" a="1"/>
  <c r="U76" i="8" s="1"/>
  <c r="X95" i="5" a="1"/>
  <c r="X95" i="5" s="1"/>
  <c r="AL76" i="8" a="1"/>
  <c r="AL76" i="8" s="1"/>
  <c r="X83" i="5" l="1" a="1"/>
  <c r="X83" i="5" s="1"/>
  <c r="I85" i="5"/>
  <c r="I86" i="5" s="1"/>
  <c r="I87" i="5" s="1"/>
  <c r="I88" i="5" s="1"/>
  <c r="I89" i="5" s="1"/>
  <c r="I90" i="5" s="1"/>
  <c r="AM85" i="5"/>
  <c r="X84" i="5" a="1"/>
  <c r="X84" i="5" s="1"/>
  <c r="L85" i="5"/>
  <c r="Z85" i="5"/>
  <c r="I85" i="12"/>
  <c r="Z144" i="5"/>
  <c r="L144" i="5"/>
  <c r="I144" i="12"/>
  <c r="AM144" i="5"/>
  <c r="AA34" i="7" a="1"/>
  <c r="AA34" i="7" s="1"/>
  <c r="AA56" i="7" a="1"/>
  <c r="AA56" i="7" s="1"/>
  <c r="AA45" i="7" a="1"/>
  <c r="AA45" i="7" s="1"/>
  <c r="AA21" i="7" a="1"/>
  <c r="AA21" i="7" s="1"/>
  <c r="AA46" i="7" a="1"/>
  <c r="AA46" i="7" s="1"/>
  <c r="AA26" i="7" a="1"/>
  <c r="AA26" i="7" s="1"/>
  <c r="AA28" i="7" a="1"/>
  <c r="AA28" i="7" s="1"/>
  <c r="AA29" i="7" a="1"/>
  <c r="AA29" i="7" s="1"/>
  <c r="AA18" i="7" a="1"/>
  <c r="AA18" i="7" s="1"/>
  <c r="AA39" i="7" a="1"/>
  <c r="AA39" i="7" s="1"/>
  <c r="AA35" i="7" a="1"/>
  <c r="AA35" i="7" s="1"/>
  <c r="AA52" i="7" a="1"/>
  <c r="AA52" i="7" s="1"/>
  <c r="AA47" i="7" a="1"/>
  <c r="AA47" i="7" s="1"/>
  <c r="AA33" i="7" a="1"/>
  <c r="AA33" i="7" s="1"/>
  <c r="AA50" i="7" a="1"/>
  <c r="AA50" i="7" s="1"/>
  <c r="AA32" i="7" a="1"/>
  <c r="AA32" i="7" s="1"/>
  <c r="AA49" i="7" a="1"/>
  <c r="AA49" i="7" s="1"/>
  <c r="AA48" i="7" a="1"/>
  <c r="AA48" i="7" s="1"/>
  <c r="AA25" i="7" a="1"/>
  <c r="AA25" i="7" s="1"/>
  <c r="AA1" i="7" a="1"/>
  <c r="AA1" i="7" s="1"/>
  <c r="AA41" i="7" a="1"/>
  <c r="AA41" i="7" s="1"/>
  <c r="AA42" i="7" a="1"/>
  <c r="AA42" i="7" s="1"/>
  <c r="AA27" i="7" a="1"/>
  <c r="AA27" i="7" s="1"/>
  <c r="AA54" i="7" a="1"/>
  <c r="AA54" i="7" s="1"/>
  <c r="AA22" i="7" a="1"/>
  <c r="AA22" i="7" s="1"/>
  <c r="AA38" i="7" a="1"/>
  <c r="AA38" i="7" s="1"/>
  <c r="AA51" i="7" a="1"/>
  <c r="AA51" i="7" s="1"/>
  <c r="AA36" i="7" a="1"/>
  <c r="AA36" i="7" s="1"/>
  <c r="AA16" i="7" a="1"/>
  <c r="AA16" i="7" s="1"/>
  <c r="AA53" i="7" a="1"/>
  <c r="AA53" i="7" s="1"/>
  <c r="AA40" i="7" a="1"/>
  <c r="AA40" i="7" s="1"/>
  <c r="AA23" i="7" a="1"/>
  <c r="AA23" i="7" s="1"/>
  <c r="AA20" i="7" a="1"/>
  <c r="AA20" i="7" s="1"/>
  <c r="AJ15" i="6"/>
  <c r="AJ11" i="6" s="1"/>
  <c r="AA30" i="7" a="1"/>
  <c r="AA30" i="7" s="1"/>
  <c r="AA17" i="7" a="1"/>
  <c r="AA17" i="7" s="1"/>
  <c r="AA55" i="7" a="1"/>
  <c r="AA55" i="7" s="1"/>
  <c r="AA43" i="7" a="1"/>
  <c r="AA43" i="7" s="1"/>
  <c r="AA37" i="7" a="1"/>
  <c r="AA37" i="7" s="1"/>
  <c r="AA44" i="7" a="1"/>
  <c r="AA44" i="7" s="1"/>
  <c r="AA31" i="7" a="1"/>
  <c r="AA31" i="7" s="1"/>
  <c r="AA24" i="7" a="1"/>
  <c r="AA24" i="7" s="1"/>
  <c r="AA19" i="7" a="1"/>
  <c r="AA19" i="7" s="1"/>
  <c r="L53" i="5"/>
  <c r="I53" i="12"/>
  <c r="Z53" i="5"/>
  <c r="AM53" i="5"/>
  <c r="Z89" i="5"/>
  <c r="L89" i="5"/>
  <c r="AM89" i="5"/>
  <c r="I89" i="12"/>
  <c r="AM38" i="5"/>
  <c r="L38" i="5"/>
  <c r="I38" i="12"/>
  <c r="Z38" i="5"/>
  <c r="L123" i="5"/>
  <c r="Z123" i="5"/>
  <c r="I123" i="12"/>
  <c r="AM123" i="5"/>
  <c r="I47" i="12"/>
  <c r="Z47" i="5"/>
  <c r="AM47" i="5"/>
  <c r="L47" i="5"/>
  <c r="I227" i="12"/>
  <c r="AM227" i="5"/>
  <c r="L227" i="5"/>
  <c r="Z227" i="5"/>
  <c r="AM86" i="5"/>
  <c r="L86" i="5"/>
  <c r="I86" i="12"/>
  <c r="Z86" i="5"/>
  <c r="I111" i="12"/>
  <c r="I111" i="5"/>
  <c r="I112" i="5" s="1"/>
  <c r="I113" i="5" s="1"/>
  <c r="Z111" i="5"/>
  <c r="X110" i="5" a="1"/>
  <c r="X110" i="5" s="1"/>
  <c r="L111" i="5"/>
  <c r="AM111" i="5"/>
  <c r="Z127" i="5"/>
  <c r="I127" i="12"/>
  <c r="AM127" i="5"/>
  <c r="L127" i="5"/>
  <c r="C127" i="6" s="1"/>
  <c r="I92" i="12"/>
  <c r="I92" i="5"/>
  <c r="I93" i="5" s="1"/>
  <c r="Z92" i="5"/>
  <c r="X91" i="5" a="1"/>
  <c r="X91" i="5" s="1"/>
  <c r="AM92" i="5"/>
  <c r="L92" i="5"/>
  <c r="L77" i="5"/>
  <c r="X75" i="5" a="1"/>
  <c r="X75" i="5" s="1"/>
  <c r="Z77" i="5"/>
  <c r="X76" i="5" a="1"/>
  <c r="X76" i="5" s="1"/>
  <c r="AM77" i="5"/>
  <c r="I77" i="5"/>
  <c r="I78" i="5" s="1"/>
  <c r="I79" i="5" s="1"/>
  <c r="I80" i="5" s="1"/>
  <c r="I81" i="5" s="1"/>
  <c r="I82" i="5" s="1"/>
  <c r="I77" i="12"/>
  <c r="AM191" i="5"/>
  <c r="I191" i="12"/>
  <c r="Z191" i="5"/>
  <c r="L191" i="5"/>
  <c r="I116" i="12"/>
  <c r="I116" i="5"/>
  <c r="I117" i="5" s="1"/>
  <c r="I118" i="5" s="1"/>
  <c r="I119" i="5" s="1"/>
  <c r="I120" i="5" s="1"/>
  <c r="I121" i="5" s="1"/>
  <c r="I122" i="5" s="1"/>
  <c r="I123" i="5" s="1"/>
  <c r="I124" i="5" s="1"/>
  <c r="Z116" i="5"/>
  <c r="L116" i="5"/>
  <c r="X115" i="5" a="1"/>
  <c r="X115" i="5" s="1"/>
  <c r="AM116" i="5"/>
  <c r="X114" i="5" a="1"/>
  <c r="X114" i="5" s="1"/>
  <c r="I35" i="12"/>
  <c r="Z35" i="5"/>
  <c r="AM35" i="5"/>
  <c r="L35" i="5"/>
  <c r="C35" i="6" s="1"/>
  <c r="AM31" i="5"/>
  <c r="Z31" i="5"/>
  <c r="L31" i="5"/>
  <c r="I31" i="12"/>
  <c r="I59" i="12"/>
  <c r="L59" i="5"/>
  <c r="AM59" i="5"/>
  <c r="Z59" i="5"/>
  <c r="L158" i="5"/>
  <c r="Z158" i="5"/>
  <c r="I158" i="12"/>
  <c r="AM158" i="5"/>
  <c r="X204" i="5" a="1"/>
  <c r="X204" i="5" s="1"/>
  <c r="Z205" i="5"/>
  <c r="I205" i="5"/>
  <c r="I206" i="5" s="1"/>
  <c r="I207" i="5" s="1"/>
  <c r="I208" i="5" s="1"/>
  <c r="I209" i="5" s="1"/>
  <c r="I210" i="5" s="1"/>
  <c r="I211" i="5" s="1"/>
  <c r="I212" i="5" s="1"/>
  <c r="I213" i="5" s="1"/>
  <c r="I214" i="5" s="1"/>
  <c r="I215" i="5" s="1"/>
  <c r="I216" i="5" s="1"/>
  <c r="L205" i="5"/>
  <c r="I205" i="12"/>
  <c r="X203" i="5" a="1"/>
  <c r="X203" i="5" s="1"/>
  <c r="AM205" i="5"/>
  <c r="C236" i="6"/>
  <c r="O236" i="5"/>
  <c r="I222" i="12"/>
  <c r="AM222" i="5"/>
  <c r="L222" i="5"/>
  <c r="Z222" i="5"/>
  <c r="I149" i="12"/>
  <c r="Z149" i="5"/>
  <c r="L149" i="5"/>
  <c r="AM149" i="5"/>
  <c r="I181" i="5"/>
  <c r="L181" i="5"/>
  <c r="AM181" i="5"/>
  <c r="Z181" i="5"/>
  <c r="I181" i="12"/>
  <c r="X180" i="5" a="1"/>
  <c r="X180" i="5" s="1"/>
  <c r="L51" i="5"/>
  <c r="Z51" i="5"/>
  <c r="AM51" i="5"/>
  <c r="I51" i="5"/>
  <c r="I51" i="12"/>
  <c r="X49" i="5" a="1"/>
  <c r="X49" i="5" s="1"/>
  <c r="X50" i="5" a="1"/>
  <c r="X50" i="5" s="1"/>
  <c r="Z69" i="5"/>
  <c r="I69" i="12"/>
  <c r="L69" i="5"/>
  <c r="AM69" i="5"/>
  <c r="I52" i="5"/>
  <c r="I53" i="5" s="1"/>
  <c r="I54" i="5" s="1"/>
  <c r="I55" i="5" s="1"/>
  <c r="I56" i="5" s="1"/>
  <c r="I57" i="5" s="1"/>
  <c r="I58" i="5" s="1"/>
  <c r="I59" i="5" s="1"/>
  <c r="I60" i="5" s="1"/>
  <c r="O60" i="5" s="1"/>
  <c r="L52" i="5"/>
  <c r="AM52" i="5"/>
  <c r="Z52" i="5"/>
  <c r="I52" i="12"/>
  <c r="AM78" i="5"/>
  <c r="L78" i="5"/>
  <c r="I78" i="12"/>
  <c r="Z78" i="5"/>
  <c r="L58" i="5"/>
  <c r="AM58" i="5"/>
  <c r="I58" i="12"/>
  <c r="Z58" i="5"/>
  <c r="C56" i="6"/>
  <c r="O56" i="5"/>
  <c r="Z65" i="5"/>
  <c r="I65" i="12"/>
  <c r="L65" i="5"/>
  <c r="C65" i="6" s="1"/>
  <c r="AM65" i="5"/>
  <c r="AM186" i="5"/>
  <c r="Z186" i="5"/>
  <c r="I186" i="12"/>
  <c r="L186" i="5"/>
  <c r="I221" i="12"/>
  <c r="L221" i="5"/>
  <c r="AM221" i="5"/>
  <c r="Z221" i="5"/>
  <c r="Z57" i="5"/>
  <c r="I57" i="12"/>
  <c r="AM57" i="5"/>
  <c r="L57" i="5"/>
  <c r="L147" i="5"/>
  <c r="AM147" i="5"/>
  <c r="Z147" i="5"/>
  <c r="I147" i="12"/>
  <c r="L148" i="5"/>
  <c r="AM148" i="5"/>
  <c r="Z148" i="5"/>
  <c r="I148" i="12"/>
  <c r="I129" i="5"/>
  <c r="I130" i="5" s="1"/>
  <c r="I131" i="5" s="1"/>
  <c r="AM129" i="5"/>
  <c r="L129" i="5"/>
  <c r="Z129" i="5"/>
  <c r="X128" i="5" a="1"/>
  <c r="X128" i="5" s="1"/>
  <c r="I129" i="12"/>
  <c r="L169" i="5"/>
  <c r="I169" i="12"/>
  <c r="Z169" i="5"/>
  <c r="AM169" i="5"/>
  <c r="Z193" i="5"/>
  <c r="L193" i="5"/>
  <c r="I193" i="12"/>
  <c r="AM193" i="5"/>
  <c r="AG15" i="6"/>
  <c r="AG11" i="6" s="1"/>
  <c r="X49" i="7" a="1"/>
  <c r="X49" i="7" s="1"/>
  <c r="X37" i="7" a="1"/>
  <c r="X37" i="7" s="1"/>
  <c r="X18" i="7" a="1"/>
  <c r="X18" i="7" s="1"/>
  <c r="X47" i="7" a="1"/>
  <c r="X47" i="7" s="1"/>
  <c r="X55" i="7" a="1"/>
  <c r="X55" i="7" s="1"/>
  <c r="X56" i="7" a="1"/>
  <c r="X56" i="7" s="1"/>
  <c r="X39" i="7" a="1"/>
  <c r="X39" i="7" s="1"/>
  <c r="X26" i="7" a="1"/>
  <c r="X26" i="7" s="1"/>
  <c r="X43" i="7" a="1"/>
  <c r="X43" i="7" s="1"/>
  <c r="X17" i="7" a="1"/>
  <c r="X17" i="7" s="1"/>
  <c r="X53" i="7" a="1"/>
  <c r="X53" i="7" s="1"/>
  <c r="X38" i="7" a="1"/>
  <c r="X38" i="7" s="1"/>
  <c r="X31" i="7" a="1"/>
  <c r="X31" i="7" s="1"/>
  <c r="X22" i="7" a="1"/>
  <c r="X22" i="7" s="1"/>
  <c r="X35" i="7" a="1"/>
  <c r="X35" i="7" s="1"/>
  <c r="X24" i="7" a="1"/>
  <c r="X24" i="7" s="1"/>
  <c r="X29" i="7" a="1"/>
  <c r="X29" i="7" s="1"/>
  <c r="X32" i="7" a="1"/>
  <c r="X32" i="7" s="1"/>
  <c r="X21" i="7" a="1"/>
  <c r="X21" i="7" s="1"/>
  <c r="X54" i="7" a="1"/>
  <c r="X54" i="7" s="1"/>
  <c r="X25" i="7" a="1"/>
  <c r="X25" i="7" s="1"/>
  <c r="X20" i="7" a="1"/>
  <c r="X20" i="7" s="1"/>
  <c r="X23" i="7" a="1"/>
  <c r="X23" i="7" s="1"/>
  <c r="X46" i="7" a="1"/>
  <c r="X46" i="7" s="1"/>
  <c r="X30" i="7" a="1"/>
  <c r="X30" i="7" s="1"/>
  <c r="X42" i="7" a="1"/>
  <c r="X42" i="7" s="1"/>
  <c r="X41" i="7" a="1"/>
  <c r="X41" i="7" s="1"/>
  <c r="X40" i="7" a="1"/>
  <c r="X40" i="7" s="1"/>
  <c r="X28" i="7" a="1"/>
  <c r="X28" i="7" s="1"/>
  <c r="X36" i="7" a="1"/>
  <c r="X36" i="7" s="1"/>
  <c r="X50" i="7" a="1"/>
  <c r="X50" i="7" s="1"/>
  <c r="X52" i="7" a="1"/>
  <c r="X52" i="7" s="1"/>
  <c r="X19" i="7" a="1"/>
  <c r="X19" i="7" s="1"/>
  <c r="X16" i="7" a="1"/>
  <c r="X16" i="7" s="1"/>
  <c r="X44" i="7" a="1"/>
  <c r="X44" i="7" s="1"/>
  <c r="X51" i="7" a="1"/>
  <c r="X51" i="7" s="1"/>
  <c r="X48" i="7" a="1"/>
  <c r="X48" i="7" s="1"/>
  <c r="X27" i="7" a="1"/>
  <c r="X27" i="7" s="1"/>
  <c r="X33" i="7" a="1"/>
  <c r="X33" i="7" s="1"/>
  <c r="X1" i="7" a="1"/>
  <c r="X1" i="7" s="1"/>
  <c r="X45" i="7" a="1"/>
  <c r="X45" i="7" s="1"/>
  <c r="X34" i="7" a="1"/>
  <c r="X34" i="7" s="1"/>
  <c r="L40" i="5"/>
  <c r="AM40" i="5"/>
  <c r="I40" i="12"/>
  <c r="Z40" i="5"/>
  <c r="Z240" i="5"/>
  <c r="I240" i="12"/>
  <c r="L240" i="5"/>
  <c r="AM240" i="5"/>
  <c r="L238" i="5"/>
  <c r="I238" i="12"/>
  <c r="AM238" i="5"/>
  <c r="Z238" i="5"/>
  <c r="I139" i="12"/>
  <c r="AM139" i="5"/>
  <c r="Z139" i="5"/>
  <c r="L139" i="5"/>
  <c r="I29" i="12"/>
  <c r="L29" i="5"/>
  <c r="AM29" i="5"/>
  <c r="Z29" i="5"/>
  <c r="Q42" i="7" a="1"/>
  <c r="Q42" i="7" s="1"/>
  <c r="Q33" i="7" a="1"/>
  <c r="Q33" i="7" s="1"/>
  <c r="Q32" i="7" a="1"/>
  <c r="Q32" i="7" s="1"/>
  <c r="Q35" i="7" a="1"/>
  <c r="Q35" i="7" s="1"/>
  <c r="Q44" i="7" a="1"/>
  <c r="Q44" i="7" s="1"/>
  <c r="Q51" i="7" a="1"/>
  <c r="Q51" i="7" s="1"/>
  <c r="Q45" i="7" a="1"/>
  <c r="Q45" i="7" s="1"/>
  <c r="Q41" i="7" a="1"/>
  <c r="Q41" i="7" s="1"/>
  <c r="Q18" i="7" a="1"/>
  <c r="Q18" i="7" s="1"/>
  <c r="Q50" i="7" a="1"/>
  <c r="Q50" i="7" s="1"/>
  <c r="Q28" i="7" a="1"/>
  <c r="Q28" i="7" s="1"/>
  <c r="Q26" i="7" a="1"/>
  <c r="Q26" i="7" s="1"/>
  <c r="Q52" i="7" a="1"/>
  <c r="Q52" i="7" s="1"/>
  <c r="Q16" i="7" a="1"/>
  <c r="Q16" i="7" s="1"/>
  <c r="Q17" i="7" a="1"/>
  <c r="Q17" i="7" s="1"/>
  <c r="Q49" i="7" a="1"/>
  <c r="Q49" i="7" s="1"/>
  <c r="Q30" i="7" a="1"/>
  <c r="Q30" i="7" s="1"/>
  <c r="Q55" i="7" a="1"/>
  <c r="Q55" i="7" s="1"/>
  <c r="Q21" i="7" a="1"/>
  <c r="Q21" i="7" s="1"/>
  <c r="Q29" i="7" a="1"/>
  <c r="Q29" i="7" s="1"/>
  <c r="Q40" i="7" a="1"/>
  <c r="Q40" i="7" s="1"/>
  <c r="Q43" i="7" a="1"/>
  <c r="Q43" i="7" s="1"/>
  <c r="Q19" i="7" a="1"/>
  <c r="Q19" i="7" s="1"/>
  <c r="Q24" i="7" a="1"/>
  <c r="Q24" i="7" s="1"/>
  <c r="Q20" i="7" a="1"/>
  <c r="Q20" i="7" s="1"/>
  <c r="Q36" i="7" a="1"/>
  <c r="Q36" i="7" s="1"/>
  <c r="Q22" i="7" a="1"/>
  <c r="Q22" i="7" s="1"/>
  <c r="Q27" i="7" a="1"/>
  <c r="Q27" i="7" s="1"/>
  <c r="Q48" i="7" a="1"/>
  <c r="Q48" i="7" s="1"/>
  <c r="Q31" i="7" a="1"/>
  <c r="Q31" i="7" s="1"/>
  <c r="Z15" i="6"/>
  <c r="Z11" i="6" s="1"/>
  <c r="Q47" i="7" a="1"/>
  <c r="Q47" i="7" s="1"/>
  <c r="Q56" i="7" a="1"/>
  <c r="Q56" i="7" s="1"/>
  <c r="Q39" i="7" a="1"/>
  <c r="Q39" i="7" s="1"/>
  <c r="Q1" i="7" a="1"/>
  <c r="Q1" i="7" s="1"/>
  <c r="Q46" i="7" a="1"/>
  <c r="Q46" i="7" s="1"/>
  <c r="Q34" i="7" a="1"/>
  <c r="Q34" i="7" s="1"/>
  <c r="Q38" i="7" a="1"/>
  <c r="Q38" i="7" s="1"/>
  <c r="Q54" i="7" a="1"/>
  <c r="Q54" i="7" s="1"/>
  <c r="Q53" i="7" a="1"/>
  <c r="Q53" i="7" s="1"/>
  <c r="Q23" i="7" a="1"/>
  <c r="Q23" i="7" s="1"/>
  <c r="Q25" i="7" a="1"/>
  <c r="Q25" i="7" s="1"/>
  <c r="Q37" i="7" a="1"/>
  <c r="Q37" i="7" s="1"/>
  <c r="L184" i="5"/>
  <c r="I184" i="12"/>
  <c r="AM184" i="5"/>
  <c r="Z184" i="5"/>
  <c r="I237" i="12"/>
  <c r="Z237" i="5"/>
  <c r="AM237" i="5"/>
  <c r="L237" i="5"/>
  <c r="Z33" i="5"/>
  <c r="AM33" i="5"/>
  <c r="L33" i="5"/>
  <c r="I33" i="12"/>
  <c r="I207" i="12"/>
  <c r="AM207" i="5"/>
  <c r="Z207" i="5"/>
  <c r="L207" i="5"/>
  <c r="I44" i="12"/>
  <c r="Z44" i="5"/>
  <c r="L44" i="5"/>
  <c r="C44" i="6" s="1"/>
  <c r="AM44" i="5"/>
  <c r="AM228" i="5"/>
  <c r="I228" i="12"/>
  <c r="L228" i="5"/>
  <c r="Z228" i="5"/>
  <c r="AM126" i="5"/>
  <c r="I126" i="5"/>
  <c r="I127" i="5" s="1"/>
  <c r="X125" i="5" a="1"/>
  <c r="X125" i="5" s="1"/>
  <c r="Z126" i="5"/>
  <c r="I126" i="12"/>
  <c r="L126" i="5"/>
  <c r="AM131" i="5"/>
  <c r="I131" i="12"/>
  <c r="L131" i="5"/>
  <c r="Z131" i="5"/>
  <c r="I194" i="12"/>
  <c r="AM194" i="5"/>
  <c r="L194" i="5"/>
  <c r="Z194" i="5"/>
  <c r="Z41" i="5"/>
  <c r="L41" i="5"/>
  <c r="AM41" i="5"/>
  <c r="I41" i="12"/>
  <c r="L130" i="5"/>
  <c r="AM130" i="5"/>
  <c r="Z130" i="5"/>
  <c r="I130" i="12"/>
  <c r="I120" i="12"/>
  <c r="AM120" i="5"/>
  <c r="L120" i="5"/>
  <c r="Z120" i="5"/>
  <c r="Z210" i="5"/>
  <c r="AM210" i="5"/>
  <c r="L210" i="5"/>
  <c r="I210" i="12"/>
  <c r="Z43" i="5"/>
  <c r="L43" i="5"/>
  <c r="I43" i="12"/>
  <c r="AM43" i="5"/>
  <c r="I196" i="12"/>
  <c r="AM196" i="5"/>
  <c r="Z196" i="5"/>
  <c r="L196" i="5"/>
  <c r="AM96" i="5"/>
  <c r="Z96" i="5"/>
  <c r="I96" i="12"/>
  <c r="L96" i="5"/>
  <c r="I63" i="12"/>
  <c r="X62" i="5" a="1"/>
  <c r="X62" i="5" s="1"/>
  <c r="L63" i="5"/>
  <c r="I63" i="5"/>
  <c r="I64" i="5" s="1"/>
  <c r="I65" i="5" s="1"/>
  <c r="O65" i="5" s="1"/>
  <c r="AM63" i="5"/>
  <c r="Z63" i="5"/>
  <c r="X61" i="5" a="1"/>
  <c r="X61" i="5" s="1"/>
  <c r="C68" i="6"/>
  <c r="O68" i="5"/>
  <c r="K23" i="7" a="1"/>
  <c r="K23" i="7" s="1"/>
  <c r="K32" i="7" a="1"/>
  <c r="K32" i="7" s="1"/>
  <c r="K51" i="7" a="1"/>
  <c r="K51" i="7" s="1"/>
  <c r="K16" i="7" a="1"/>
  <c r="K16" i="7" s="1"/>
  <c r="K24" i="7" a="1"/>
  <c r="K24" i="7" s="1"/>
  <c r="K29" i="7" a="1"/>
  <c r="K29" i="7" s="1"/>
  <c r="K53" i="7" a="1"/>
  <c r="K53" i="7" s="1"/>
  <c r="K19" i="7" a="1"/>
  <c r="K19" i="7" s="1"/>
  <c r="K43" i="7" a="1"/>
  <c r="K43" i="7" s="1"/>
  <c r="K44" i="7" a="1"/>
  <c r="K44" i="7" s="1"/>
  <c r="K37" i="7" a="1"/>
  <c r="K37" i="7" s="1"/>
  <c r="K55" i="7" a="1"/>
  <c r="K55" i="7" s="1"/>
  <c r="K30" i="7" a="1"/>
  <c r="K30" i="7" s="1"/>
  <c r="K49" i="7" a="1"/>
  <c r="K49" i="7" s="1"/>
  <c r="K40" i="7" a="1"/>
  <c r="K40" i="7" s="1"/>
  <c r="K36" i="7" a="1"/>
  <c r="K36" i="7" s="1"/>
  <c r="K26" i="7" a="1"/>
  <c r="K26" i="7" s="1"/>
  <c r="K47" i="7" a="1"/>
  <c r="K47" i="7" s="1"/>
  <c r="K22" i="7" a="1"/>
  <c r="K22" i="7" s="1"/>
  <c r="K28" i="7" a="1"/>
  <c r="K28" i="7" s="1"/>
  <c r="K34" i="7" a="1"/>
  <c r="K34" i="7" s="1"/>
  <c r="K35" i="7" a="1"/>
  <c r="K35" i="7" s="1"/>
  <c r="K46" i="7" a="1"/>
  <c r="K46" i="7" s="1"/>
  <c r="K45" i="7" a="1"/>
  <c r="K45" i="7" s="1"/>
  <c r="K50" i="7" a="1"/>
  <c r="K50" i="7" s="1"/>
  <c r="K52" i="7" a="1"/>
  <c r="K52" i="7" s="1"/>
  <c r="K54" i="7" a="1"/>
  <c r="K54" i="7" s="1"/>
  <c r="K33" i="7" a="1"/>
  <c r="K33" i="7" s="1"/>
  <c r="K20" i="7" a="1"/>
  <c r="K20" i="7" s="1"/>
  <c r="K18" i="7" a="1"/>
  <c r="K18" i="7" s="1"/>
  <c r="K39" i="7" a="1"/>
  <c r="K39" i="7" s="1"/>
  <c r="K27" i="7" a="1"/>
  <c r="K27" i="7" s="1"/>
  <c r="K25" i="7" a="1"/>
  <c r="K25" i="7" s="1"/>
  <c r="K31" i="7" a="1"/>
  <c r="K31" i="7" s="1"/>
  <c r="K41" i="7" a="1"/>
  <c r="K41" i="7" s="1"/>
  <c r="K48" i="7" a="1"/>
  <c r="K48" i="7" s="1"/>
  <c r="T15" i="6"/>
  <c r="T11" i="6" s="1"/>
  <c r="K21" i="7" a="1"/>
  <c r="K21" i="7" s="1"/>
  <c r="K56" i="7" a="1"/>
  <c r="K56" i="7" s="1"/>
  <c r="K17" i="7" a="1"/>
  <c r="K17" i="7" s="1"/>
  <c r="K42" i="7" a="1"/>
  <c r="K42" i="7" s="1"/>
  <c r="K1" i="7" a="1"/>
  <c r="K1" i="7" s="1"/>
  <c r="K38" i="7" a="1"/>
  <c r="K38" i="7" s="1"/>
  <c r="X73" i="5" a="1"/>
  <c r="X73" i="5" s="1"/>
  <c r="I74" i="12"/>
  <c r="Z74" i="5"/>
  <c r="I74" i="5"/>
  <c r="L74" i="5"/>
  <c r="AM74" i="5"/>
  <c r="Z239" i="5"/>
  <c r="I239" i="12"/>
  <c r="L239" i="5"/>
  <c r="AM239" i="5"/>
  <c r="L80" i="5"/>
  <c r="AM80" i="5"/>
  <c r="I80" i="12"/>
  <c r="Z80" i="5"/>
  <c r="AB39" i="5" a="1"/>
  <c r="AB39" i="5" s="1"/>
  <c r="AA39" i="5" a="1"/>
  <c r="AA39" i="5" s="1"/>
  <c r="L218" i="5"/>
  <c r="I218" i="5"/>
  <c r="I219" i="5" s="1"/>
  <c r="I220" i="5" s="1"/>
  <c r="I221" i="5" s="1"/>
  <c r="I222" i="5" s="1"/>
  <c r="I223" i="5" s="1"/>
  <c r="I224" i="5" s="1"/>
  <c r="AM218" i="5"/>
  <c r="X217" i="5" a="1"/>
  <c r="X217" i="5" s="1"/>
  <c r="I218" i="12"/>
  <c r="Z218" i="5"/>
  <c r="AM192" i="5"/>
  <c r="I192" i="12"/>
  <c r="Z192" i="5"/>
  <c r="L192" i="5"/>
  <c r="Z117" i="5"/>
  <c r="AM117" i="5"/>
  <c r="L117" i="5"/>
  <c r="I117" i="12"/>
  <c r="I64" i="12"/>
  <c r="Z64" i="5"/>
  <c r="L64" i="5"/>
  <c r="AM64" i="5"/>
  <c r="AM229" i="5"/>
  <c r="L229" i="5"/>
  <c r="Z229" i="5"/>
  <c r="I229" i="12"/>
  <c r="Y53" i="7" a="1"/>
  <c r="Y53" i="7" s="1"/>
  <c r="Y21" i="7" a="1"/>
  <c r="Y21" i="7" s="1"/>
  <c r="Y23" i="7" a="1"/>
  <c r="Y23" i="7" s="1"/>
  <c r="Y25" i="7" a="1"/>
  <c r="Y25" i="7" s="1"/>
  <c r="Y36" i="7" a="1"/>
  <c r="Y36" i="7" s="1"/>
  <c r="Y31" i="7" a="1"/>
  <c r="Y31" i="7" s="1"/>
  <c r="Y45" i="7" a="1"/>
  <c r="Y45" i="7" s="1"/>
  <c r="Y43" i="7" a="1"/>
  <c r="Y43" i="7" s="1"/>
  <c r="Y28" i="7" a="1"/>
  <c r="Y28" i="7" s="1"/>
  <c r="Y22" i="7" a="1"/>
  <c r="Y22" i="7" s="1"/>
  <c r="Y24" i="7" a="1"/>
  <c r="Y24" i="7" s="1"/>
  <c r="Y1" i="7" a="1"/>
  <c r="Y1" i="7" s="1"/>
  <c r="Y40" i="7" a="1"/>
  <c r="Y40" i="7" s="1"/>
  <c r="Y17" i="7" a="1"/>
  <c r="Y17" i="7" s="1"/>
  <c r="Y30" i="7" a="1"/>
  <c r="Y30" i="7" s="1"/>
  <c r="Y55" i="7" a="1"/>
  <c r="Y55" i="7" s="1"/>
  <c r="Y38" i="7" a="1"/>
  <c r="Y38" i="7" s="1"/>
  <c r="Y54" i="7" a="1"/>
  <c r="Y54" i="7" s="1"/>
  <c r="Y26" i="7" a="1"/>
  <c r="Y26" i="7" s="1"/>
  <c r="Y32" i="7" a="1"/>
  <c r="Y32" i="7" s="1"/>
  <c r="Y50" i="7" a="1"/>
  <c r="Y50" i="7" s="1"/>
  <c r="Y16" i="7" a="1"/>
  <c r="Y16" i="7" s="1"/>
  <c r="Y34" i="7" a="1"/>
  <c r="Y34" i="7" s="1"/>
  <c r="Y18" i="7" a="1"/>
  <c r="Y18" i="7" s="1"/>
  <c r="Y35" i="7" a="1"/>
  <c r="Y35" i="7" s="1"/>
  <c r="Y47" i="7" a="1"/>
  <c r="Y47" i="7" s="1"/>
  <c r="Y48" i="7" a="1"/>
  <c r="Y48" i="7" s="1"/>
  <c r="Y20" i="7" a="1"/>
  <c r="Y20" i="7" s="1"/>
  <c r="Y33" i="7" a="1"/>
  <c r="Y33" i="7" s="1"/>
  <c r="Y46" i="7" a="1"/>
  <c r="Y46" i="7" s="1"/>
  <c r="Y51" i="7" a="1"/>
  <c r="Y51" i="7" s="1"/>
  <c r="Y49" i="7" a="1"/>
  <c r="Y49" i="7" s="1"/>
  <c r="Y56" i="7" a="1"/>
  <c r="Y56" i="7" s="1"/>
  <c r="Y52" i="7" a="1"/>
  <c r="Y52" i="7" s="1"/>
  <c r="Y39" i="7" a="1"/>
  <c r="Y39" i="7" s="1"/>
  <c r="AH15" i="6"/>
  <c r="AH11" i="6" s="1"/>
  <c r="Y19" i="7" a="1"/>
  <c r="Y19" i="7" s="1"/>
  <c r="Y27" i="7" a="1"/>
  <c r="Y27" i="7" s="1"/>
  <c r="Y41" i="7" a="1"/>
  <c r="Y41" i="7" s="1"/>
  <c r="Y42" i="7" a="1"/>
  <c r="Y42" i="7" s="1"/>
  <c r="Y29" i="7" a="1"/>
  <c r="Y29" i="7" s="1"/>
  <c r="Y37" i="7" a="1"/>
  <c r="Y37" i="7" s="1"/>
  <c r="Y44" i="7" a="1"/>
  <c r="Y44" i="7" s="1"/>
  <c r="L241" i="5"/>
  <c r="AM241" i="5"/>
  <c r="I241" i="12"/>
  <c r="Z241" i="5"/>
  <c r="I235" i="12"/>
  <c r="X234" i="5" a="1"/>
  <c r="X234" i="5" s="1"/>
  <c r="X233" i="5" a="1"/>
  <c r="X233" i="5" s="1"/>
  <c r="AM235" i="5"/>
  <c r="Z235" i="5"/>
  <c r="L235" i="5"/>
  <c r="I235" i="5"/>
  <c r="I236" i="5" s="1"/>
  <c r="I237" i="5" s="1"/>
  <c r="I238" i="5" s="1"/>
  <c r="I239" i="5" s="1"/>
  <c r="I240" i="5" s="1"/>
  <c r="I241" i="5" s="1"/>
  <c r="I242" i="5" s="1"/>
  <c r="I243" i="5" s="1"/>
  <c r="O243" i="5" s="1"/>
  <c r="Z118" i="5"/>
  <c r="AM118" i="5"/>
  <c r="L118" i="5"/>
  <c r="I118" i="12"/>
  <c r="L200" i="5"/>
  <c r="AM200" i="5"/>
  <c r="Z200" i="5"/>
  <c r="I200" i="12"/>
  <c r="V15" i="6"/>
  <c r="V11" i="6" s="1"/>
  <c r="M49" i="7" a="1"/>
  <c r="M49" i="7" s="1"/>
  <c r="M23" i="7" a="1"/>
  <c r="M23" i="7" s="1"/>
  <c r="M35" i="7" a="1"/>
  <c r="M35" i="7" s="1"/>
  <c r="M50" i="7" a="1"/>
  <c r="M50" i="7" s="1"/>
  <c r="M39" i="7" a="1"/>
  <c r="M39" i="7" s="1"/>
  <c r="M36" i="7" a="1"/>
  <c r="M36" i="7" s="1"/>
  <c r="M18" i="7" a="1"/>
  <c r="M18" i="7" s="1"/>
  <c r="M28" i="7" a="1"/>
  <c r="M28" i="7" s="1"/>
  <c r="M40" i="7" a="1"/>
  <c r="M40" i="7" s="1"/>
  <c r="M1" i="7" a="1"/>
  <c r="M1" i="7" s="1"/>
  <c r="M17" i="7" a="1"/>
  <c r="M17" i="7" s="1"/>
  <c r="M38" i="7" a="1"/>
  <c r="M38" i="7" s="1"/>
  <c r="M54" i="7" a="1"/>
  <c r="M54" i="7" s="1"/>
  <c r="M46" i="7" a="1"/>
  <c r="M46" i="7" s="1"/>
  <c r="M20" i="7" a="1"/>
  <c r="M20" i="7" s="1"/>
  <c r="M32" i="7" a="1"/>
  <c r="M32" i="7" s="1"/>
  <c r="M30" i="7" a="1"/>
  <c r="M30" i="7" s="1"/>
  <c r="M56" i="7" a="1"/>
  <c r="M56" i="7" s="1"/>
  <c r="M24" i="7" a="1"/>
  <c r="M24" i="7" s="1"/>
  <c r="M48" i="7" a="1"/>
  <c r="M48" i="7" s="1"/>
  <c r="M33" i="7" a="1"/>
  <c r="M33" i="7" s="1"/>
  <c r="M55" i="7" a="1"/>
  <c r="M55" i="7" s="1"/>
  <c r="M16" i="7" a="1"/>
  <c r="M16" i="7" s="1"/>
  <c r="M44" i="7" a="1"/>
  <c r="M44" i="7" s="1"/>
  <c r="M29" i="7" a="1"/>
  <c r="M29" i="7" s="1"/>
  <c r="M51" i="7" a="1"/>
  <c r="M51" i="7" s="1"/>
  <c r="M53" i="7" a="1"/>
  <c r="M53" i="7" s="1"/>
  <c r="M34" i="7" a="1"/>
  <c r="M34" i="7" s="1"/>
  <c r="M22" i="7" a="1"/>
  <c r="M22" i="7" s="1"/>
  <c r="M27" i="7" a="1"/>
  <c r="M27" i="7" s="1"/>
  <c r="M25" i="7" a="1"/>
  <c r="M25" i="7" s="1"/>
  <c r="M43" i="7" a="1"/>
  <c r="M43" i="7" s="1"/>
  <c r="M41" i="7" a="1"/>
  <c r="M41" i="7" s="1"/>
  <c r="M37" i="7" a="1"/>
  <c r="M37" i="7" s="1"/>
  <c r="M47" i="7" a="1"/>
  <c r="M47" i="7" s="1"/>
  <c r="M52" i="7" a="1"/>
  <c r="M52" i="7" s="1"/>
  <c r="M42" i="7" a="1"/>
  <c r="M42" i="7" s="1"/>
  <c r="M45" i="7" a="1"/>
  <c r="M45" i="7" s="1"/>
  <c r="M19" i="7" a="1"/>
  <c r="M19" i="7" s="1"/>
  <c r="M26" i="7" a="1"/>
  <c r="M26" i="7" s="1"/>
  <c r="M21" i="7" a="1"/>
  <c r="M21" i="7" s="1"/>
  <c r="M31" i="7" a="1"/>
  <c r="M31" i="7" s="1"/>
  <c r="AB121" i="5" a="1"/>
  <c r="AB121" i="5" s="1"/>
  <c r="AA121" i="5" a="1"/>
  <c r="AA121" i="5" s="1"/>
  <c r="AM104" i="5"/>
  <c r="I104" i="12"/>
  <c r="Z104" i="5"/>
  <c r="L104" i="5"/>
  <c r="W20" i="7" a="1"/>
  <c r="W20" i="7" s="1"/>
  <c r="W56" i="7" a="1"/>
  <c r="W56" i="7" s="1"/>
  <c r="W18" i="7" a="1"/>
  <c r="W18" i="7" s="1"/>
  <c r="W42" i="7" a="1"/>
  <c r="W42" i="7" s="1"/>
  <c r="W37" i="7" a="1"/>
  <c r="W37" i="7" s="1"/>
  <c r="W39" i="7" a="1"/>
  <c r="W39" i="7" s="1"/>
  <c r="W51" i="7" a="1"/>
  <c r="W51" i="7" s="1"/>
  <c r="W50" i="7" a="1"/>
  <c r="W50" i="7" s="1"/>
  <c r="W17" i="7" a="1"/>
  <c r="W17" i="7" s="1"/>
  <c r="W16" i="7" a="1"/>
  <c r="W16" i="7" s="1"/>
  <c r="W55" i="7" a="1"/>
  <c r="W55" i="7" s="1"/>
  <c r="W30" i="7" a="1"/>
  <c r="W30" i="7" s="1"/>
  <c r="W45" i="7" a="1"/>
  <c r="W45" i="7" s="1"/>
  <c r="W41" i="7" a="1"/>
  <c r="W41" i="7" s="1"/>
  <c r="W44" i="7" a="1"/>
  <c r="W44" i="7" s="1"/>
  <c r="W36" i="7" a="1"/>
  <c r="W36" i="7" s="1"/>
  <c r="W46" i="7" a="1"/>
  <c r="W46" i="7" s="1"/>
  <c r="W31" i="7" a="1"/>
  <c r="W31" i="7" s="1"/>
  <c r="W19" i="7" a="1"/>
  <c r="W19" i="7" s="1"/>
  <c r="W43" i="7" a="1"/>
  <c r="W43" i="7" s="1"/>
  <c r="W26" i="7" a="1"/>
  <c r="W26" i="7" s="1"/>
  <c r="W48" i="7" a="1"/>
  <c r="W48" i="7" s="1"/>
  <c r="W35" i="7" a="1"/>
  <c r="W35" i="7" s="1"/>
  <c r="W28" i="7" a="1"/>
  <c r="W28" i="7" s="1"/>
  <c r="W24" i="7" a="1"/>
  <c r="W24" i="7" s="1"/>
  <c r="W52" i="7" a="1"/>
  <c r="W52" i="7" s="1"/>
  <c r="AF15" i="6"/>
  <c r="AF11" i="6" s="1"/>
  <c r="W27" i="7" a="1"/>
  <c r="W27" i="7" s="1"/>
  <c r="W53" i="7" a="1"/>
  <c r="W53" i="7" s="1"/>
  <c r="W25" i="7" a="1"/>
  <c r="W25" i="7" s="1"/>
  <c r="W32" i="7" a="1"/>
  <c r="W32" i="7" s="1"/>
  <c r="W54" i="7" a="1"/>
  <c r="W54" i="7" s="1"/>
  <c r="W23" i="7" a="1"/>
  <c r="W23" i="7" s="1"/>
  <c r="W1" i="7" a="1"/>
  <c r="W1" i="7" s="1"/>
  <c r="W49" i="7" a="1"/>
  <c r="W49" i="7" s="1"/>
  <c r="W33" i="7" a="1"/>
  <c r="W33" i="7" s="1"/>
  <c r="W40" i="7" a="1"/>
  <c r="W40" i="7" s="1"/>
  <c r="W47" i="7" a="1"/>
  <c r="W47" i="7" s="1"/>
  <c r="W38" i="7" a="1"/>
  <c r="W38" i="7" s="1"/>
  <c r="W21" i="7" a="1"/>
  <c r="W21" i="7" s="1"/>
  <c r="W34" i="7" a="1"/>
  <c r="W34" i="7" s="1"/>
  <c r="W29" i="7" a="1"/>
  <c r="W29" i="7" s="1"/>
  <c r="W22" i="7" a="1"/>
  <c r="W22" i="7" s="1"/>
  <c r="I54" i="12"/>
  <c r="Z54" i="5"/>
  <c r="L54" i="5"/>
  <c r="AM54" i="5"/>
  <c r="X94" i="5" a="1"/>
  <c r="X94" i="5" s="1"/>
  <c r="I95" i="5"/>
  <c r="I96" i="5" s="1"/>
  <c r="I97" i="5" s="1"/>
  <c r="I98" i="5" s="1"/>
  <c r="L95" i="5"/>
  <c r="Z95" i="5"/>
  <c r="AM95" i="5"/>
  <c r="I95" i="12"/>
  <c r="Z177" i="5"/>
  <c r="AM177" i="5"/>
  <c r="L177" i="5"/>
  <c r="I177" i="12"/>
  <c r="Z170" i="5"/>
  <c r="AM170" i="5"/>
  <c r="L170" i="5"/>
  <c r="I170" i="12"/>
  <c r="L212" i="5"/>
  <c r="I212" i="12"/>
  <c r="AM212" i="5"/>
  <c r="Z212" i="5"/>
  <c r="I160" i="12"/>
  <c r="AM160" i="5"/>
  <c r="L160" i="5"/>
  <c r="Z160" i="5"/>
  <c r="I150" i="12"/>
  <c r="Z150" i="5"/>
  <c r="AM150" i="5"/>
  <c r="L150" i="5"/>
  <c r="L197" i="5"/>
  <c r="I197" i="12"/>
  <c r="AM197" i="5"/>
  <c r="Z197" i="5"/>
  <c r="AM70" i="5"/>
  <c r="Z70" i="5"/>
  <c r="I70" i="12"/>
  <c r="L70" i="5"/>
  <c r="Z183" i="5"/>
  <c r="L183" i="5"/>
  <c r="I183" i="12"/>
  <c r="AM183" i="5"/>
  <c r="I37" i="12"/>
  <c r="AM37" i="5"/>
  <c r="I37" i="5"/>
  <c r="I38" i="5" s="1"/>
  <c r="I39" i="5" s="1"/>
  <c r="I40" i="5" s="1"/>
  <c r="I41" i="5" s="1"/>
  <c r="I42" i="5" s="1"/>
  <c r="I43" i="5" s="1"/>
  <c r="I44" i="5" s="1"/>
  <c r="O44" i="5" s="1"/>
  <c r="Z37" i="5"/>
  <c r="L37" i="5"/>
  <c r="X36" i="5" a="1"/>
  <c r="X36" i="5" s="1"/>
  <c r="AM81" i="5"/>
  <c r="Z81" i="5"/>
  <c r="I81" i="12"/>
  <c r="L81" i="5"/>
  <c r="AM98" i="5"/>
  <c r="Z98" i="5"/>
  <c r="I98" i="12"/>
  <c r="L98" i="5"/>
  <c r="T21" i="7" a="1"/>
  <c r="T21" i="7" s="1"/>
  <c r="T40" i="7" a="1"/>
  <c r="T40" i="7" s="1"/>
  <c r="T42" i="7" a="1"/>
  <c r="T42" i="7" s="1"/>
  <c r="T49" i="7" a="1"/>
  <c r="T49" i="7" s="1"/>
  <c r="T46" i="7" a="1"/>
  <c r="T46" i="7" s="1"/>
  <c r="T45" i="7" a="1"/>
  <c r="T45" i="7" s="1"/>
  <c r="T22" i="7" a="1"/>
  <c r="T22" i="7" s="1"/>
  <c r="T32" i="7" a="1"/>
  <c r="T32" i="7" s="1"/>
  <c r="T37" i="7" a="1"/>
  <c r="T37" i="7" s="1"/>
  <c r="T50" i="7" a="1"/>
  <c r="T50" i="7" s="1"/>
  <c r="T29" i="7" a="1"/>
  <c r="T29" i="7" s="1"/>
  <c r="T38" i="7" a="1"/>
  <c r="T38" i="7" s="1"/>
  <c r="AC15" i="6"/>
  <c r="AC11" i="6" s="1"/>
  <c r="T20" i="7" a="1"/>
  <c r="T20" i="7" s="1"/>
  <c r="T33" i="7" a="1"/>
  <c r="T33" i="7" s="1"/>
  <c r="T24" i="7" a="1"/>
  <c r="T24" i="7" s="1"/>
  <c r="T26" i="7" a="1"/>
  <c r="T26" i="7" s="1"/>
  <c r="T52" i="7" a="1"/>
  <c r="T52" i="7" s="1"/>
  <c r="T34" i="7" a="1"/>
  <c r="T34" i="7" s="1"/>
  <c r="T23" i="7" a="1"/>
  <c r="T23" i="7" s="1"/>
  <c r="T30" i="7" a="1"/>
  <c r="T30" i="7" s="1"/>
  <c r="T48" i="7" a="1"/>
  <c r="T48" i="7" s="1"/>
  <c r="T1" i="7" a="1"/>
  <c r="T1" i="7" s="1"/>
  <c r="T17" i="7" a="1"/>
  <c r="T17" i="7" s="1"/>
  <c r="T56" i="7" a="1"/>
  <c r="T56" i="7" s="1"/>
  <c r="T47" i="7" a="1"/>
  <c r="T47" i="7" s="1"/>
  <c r="T53" i="7" a="1"/>
  <c r="T53" i="7" s="1"/>
  <c r="T35" i="7" a="1"/>
  <c r="T35" i="7" s="1"/>
  <c r="T18" i="7" a="1"/>
  <c r="T18" i="7" s="1"/>
  <c r="T39" i="7" a="1"/>
  <c r="T39" i="7" s="1"/>
  <c r="T44" i="7" a="1"/>
  <c r="T44" i="7" s="1"/>
  <c r="T51" i="7" a="1"/>
  <c r="T51" i="7" s="1"/>
  <c r="T25" i="7" a="1"/>
  <c r="T25" i="7" s="1"/>
  <c r="T27" i="7" a="1"/>
  <c r="T27" i="7" s="1"/>
  <c r="T28" i="7" a="1"/>
  <c r="T28" i="7" s="1"/>
  <c r="T36" i="7" a="1"/>
  <c r="T36" i="7" s="1"/>
  <c r="T55" i="7" a="1"/>
  <c r="T55" i="7" s="1"/>
  <c r="T43" i="7" a="1"/>
  <c r="T43" i="7" s="1"/>
  <c r="T19" i="7" a="1"/>
  <c r="T19" i="7" s="1"/>
  <c r="T16" i="7" a="1"/>
  <c r="T16" i="7" s="1"/>
  <c r="T54" i="7" a="1"/>
  <c r="T54" i="7" s="1"/>
  <c r="T31" i="7" a="1"/>
  <c r="T31" i="7" s="1"/>
  <c r="T41" i="7" a="1"/>
  <c r="T41" i="7" s="1"/>
  <c r="AO68" i="12" a="1"/>
  <c r="AO68" i="12" s="1"/>
  <c r="M68" i="12" a="1"/>
  <c r="M68" i="12" s="1"/>
  <c r="O68" i="12" a="1"/>
  <c r="O68" i="12" s="1"/>
  <c r="N68" i="12" s="1"/>
  <c r="C68" i="12"/>
  <c r="L42" i="5"/>
  <c r="Z42" i="5"/>
  <c r="AM42" i="5"/>
  <c r="I42" i="12"/>
  <c r="I93" i="12"/>
  <c r="L93" i="5"/>
  <c r="Z93" i="5"/>
  <c r="AM93" i="5"/>
  <c r="O39" i="5"/>
  <c r="C39" i="6"/>
  <c r="L27" i="7" a="1"/>
  <c r="L27" i="7" s="1"/>
  <c r="L34" i="7" a="1"/>
  <c r="L34" i="7" s="1"/>
  <c r="L1" i="7" a="1"/>
  <c r="L1" i="7" s="1"/>
  <c r="L46" i="7" a="1"/>
  <c r="L46" i="7" s="1"/>
  <c r="L16" i="7" a="1"/>
  <c r="L16" i="7" s="1"/>
  <c r="L33" i="7" a="1"/>
  <c r="L33" i="7" s="1"/>
  <c r="L24" i="7" a="1"/>
  <c r="L24" i="7" s="1"/>
  <c r="L36" i="7" a="1"/>
  <c r="L36" i="7" s="1"/>
  <c r="L29" i="7" a="1"/>
  <c r="L29" i="7" s="1"/>
  <c r="L48" i="7" a="1"/>
  <c r="L48" i="7" s="1"/>
  <c r="U15" i="6"/>
  <c r="U11" i="6" s="1"/>
  <c r="L32" i="7" a="1"/>
  <c r="L32" i="7" s="1"/>
  <c r="L26" i="7" a="1"/>
  <c r="L26" i="7" s="1"/>
  <c r="L43" i="7" a="1"/>
  <c r="L43" i="7" s="1"/>
  <c r="L41" i="7" a="1"/>
  <c r="L41" i="7" s="1"/>
  <c r="L23" i="7" a="1"/>
  <c r="L23" i="7" s="1"/>
  <c r="L56" i="7" a="1"/>
  <c r="L56" i="7" s="1"/>
  <c r="L28" i="7" a="1"/>
  <c r="L28" i="7" s="1"/>
  <c r="L35" i="7" a="1"/>
  <c r="L35" i="7" s="1"/>
  <c r="L18" i="7" a="1"/>
  <c r="L18" i="7" s="1"/>
  <c r="L50" i="7" a="1"/>
  <c r="L50" i="7" s="1"/>
  <c r="L30" i="7" a="1"/>
  <c r="L30" i="7" s="1"/>
  <c r="L51" i="7" a="1"/>
  <c r="L51" i="7" s="1"/>
  <c r="L38" i="7" a="1"/>
  <c r="L38" i="7" s="1"/>
  <c r="L22" i="7" a="1"/>
  <c r="L22" i="7" s="1"/>
  <c r="L54" i="7" a="1"/>
  <c r="L54" i="7" s="1"/>
  <c r="L40" i="7" a="1"/>
  <c r="L40" i="7" s="1"/>
  <c r="L52" i="7" a="1"/>
  <c r="L52" i="7" s="1"/>
  <c r="L44" i="7" a="1"/>
  <c r="L44" i="7" s="1"/>
  <c r="L42" i="7" a="1"/>
  <c r="L42" i="7" s="1"/>
  <c r="L53" i="7" a="1"/>
  <c r="L53" i="7" s="1"/>
  <c r="L47" i="7" a="1"/>
  <c r="L47" i="7" s="1"/>
  <c r="L31" i="7" a="1"/>
  <c r="L31" i="7" s="1"/>
  <c r="L17" i="7" a="1"/>
  <c r="L17" i="7" s="1"/>
  <c r="L19" i="7" a="1"/>
  <c r="L19" i="7" s="1"/>
  <c r="L45" i="7" a="1"/>
  <c r="L45" i="7" s="1"/>
  <c r="L21" i="7" a="1"/>
  <c r="L21" i="7" s="1"/>
  <c r="L55" i="7" a="1"/>
  <c r="L55" i="7" s="1"/>
  <c r="L39" i="7" a="1"/>
  <c r="L39" i="7" s="1"/>
  <c r="L49" i="7" a="1"/>
  <c r="L49" i="7" s="1"/>
  <c r="L37" i="7" a="1"/>
  <c r="L37" i="7" s="1"/>
  <c r="L20" i="7" a="1"/>
  <c r="L20" i="7" s="1"/>
  <c r="L25" i="7" a="1"/>
  <c r="L25" i="7" s="1"/>
  <c r="L108" i="5"/>
  <c r="Z108" i="5"/>
  <c r="AM108" i="5"/>
  <c r="I108" i="5"/>
  <c r="I109" i="5" s="1"/>
  <c r="X107" i="5" a="1"/>
  <c r="X107" i="5" s="1"/>
  <c r="I108" i="12"/>
  <c r="AM242" i="5"/>
  <c r="Z242" i="5"/>
  <c r="L242" i="5"/>
  <c r="I242" i="12"/>
  <c r="I243" i="12"/>
  <c r="AM243" i="5"/>
  <c r="Z243" i="5"/>
  <c r="L243" i="5"/>
  <c r="C243" i="6" s="1"/>
  <c r="AM171" i="5"/>
  <c r="I171" i="12"/>
  <c r="Z171" i="5"/>
  <c r="L171" i="5"/>
  <c r="Z219" i="5"/>
  <c r="L219" i="5"/>
  <c r="AM219" i="5"/>
  <c r="I219" i="12"/>
  <c r="O209" i="12" a="1"/>
  <c r="O209" i="12" s="1"/>
  <c r="N209" i="12" s="1"/>
  <c r="M209" i="12" a="1"/>
  <c r="M209" i="12" s="1"/>
  <c r="AO209" i="12" a="1"/>
  <c r="AO209" i="12" s="1"/>
  <c r="C209" i="12"/>
  <c r="O1" i="7" a="1"/>
  <c r="O1" i="7" s="1"/>
  <c r="O33" i="7" a="1"/>
  <c r="O33" i="7" s="1"/>
  <c r="O52" i="7" a="1"/>
  <c r="O52" i="7" s="1"/>
  <c r="O26" i="7" a="1"/>
  <c r="O26" i="7" s="1"/>
  <c r="O47" i="7" a="1"/>
  <c r="O47" i="7" s="1"/>
  <c r="O35" i="7" a="1"/>
  <c r="O35" i="7" s="1"/>
  <c r="O45" i="7" a="1"/>
  <c r="O45" i="7" s="1"/>
  <c r="O21" i="7" a="1"/>
  <c r="O21" i="7" s="1"/>
  <c r="O40" i="7" a="1"/>
  <c r="O40" i="7" s="1"/>
  <c r="O32" i="7" a="1"/>
  <c r="O32" i="7" s="1"/>
  <c r="O54" i="7" a="1"/>
  <c r="O54" i="7" s="1"/>
  <c r="O56" i="7" a="1"/>
  <c r="O56" i="7" s="1"/>
  <c r="O48" i="7" a="1"/>
  <c r="O48" i="7" s="1"/>
  <c r="O31" i="7" a="1"/>
  <c r="O31" i="7" s="1"/>
  <c r="O25" i="7" a="1"/>
  <c r="O25" i="7" s="1"/>
  <c r="O55" i="7" a="1"/>
  <c r="O55" i="7" s="1"/>
  <c r="O42" i="7" a="1"/>
  <c r="O42" i="7" s="1"/>
  <c r="O43" i="7" a="1"/>
  <c r="O43" i="7" s="1"/>
  <c r="O17" i="7" a="1"/>
  <c r="O17" i="7" s="1"/>
  <c r="O24" i="7" a="1"/>
  <c r="O24" i="7" s="1"/>
  <c r="O23" i="7" a="1"/>
  <c r="O23" i="7" s="1"/>
  <c r="O20" i="7" a="1"/>
  <c r="O20" i="7" s="1"/>
  <c r="O19" i="7" a="1"/>
  <c r="O19" i="7" s="1"/>
  <c r="O38" i="7" a="1"/>
  <c r="O38" i="7" s="1"/>
  <c r="O16" i="7" a="1"/>
  <c r="O16" i="7" s="1"/>
  <c r="O53" i="7" a="1"/>
  <c r="O53" i="7" s="1"/>
  <c r="O27" i="7" a="1"/>
  <c r="O27" i="7" s="1"/>
  <c r="O29" i="7" a="1"/>
  <c r="O29" i="7" s="1"/>
  <c r="O39" i="7" a="1"/>
  <c r="O39" i="7" s="1"/>
  <c r="O30" i="7" a="1"/>
  <c r="O30" i="7" s="1"/>
  <c r="X15" i="6"/>
  <c r="X11" i="6" s="1"/>
  <c r="O49" i="7" a="1"/>
  <c r="O49" i="7" s="1"/>
  <c r="O51" i="7" a="1"/>
  <c r="O51" i="7" s="1"/>
  <c r="O28" i="7" a="1"/>
  <c r="O28" i="7" s="1"/>
  <c r="O22" i="7" a="1"/>
  <c r="O22" i="7" s="1"/>
  <c r="O36" i="7" a="1"/>
  <c r="O36" i="7" s="1"/>
  <c r="O34" i="7" a="1"/>
  <c r="O34" i="7" s="1"/>
  <c r="O44" i="7" a="1"/>
  <c r="O44" i="7" s="1"/>
  <c r="O41" i="7" a="1"/>
  <c r="O41" i="7" s="1"/>
  <c r="O46" i="7" a="1"/>
  <c r="O46" i="7" s="1"/>
  <c r="O37" i="7" a="1"/>
  <c r="O37" i="7" s="1"/>
  <c r="O50" i="7" a="1"/>
  <c r="O50" i="7" s="1"/>
  <c r="O18" i="7" a="1"/>
  <c r="O18" i="7" s="1"/>
  <c r="I138" i="12"/>
  <c r="L138" i="5"/>
  <c r="AM138" i="5"/>
  <c r="Z138" i="5"/>
  <c r="L136" i="5"/>
  <c r="I136" i="12"/>
  <c r="AM136" i="5"/>
  <c r="Z136" i="5"/>
  <c r="L32" i="5"/>
  <c r="Z32" i="5"/>
  <c r="I32" i="12"/>
  <c r="AM32" i="5"/>
  <c r="I32" i="5"/>
  <c r="I33" i="5" s="1"/>
  <c r="L18" i="5"/>
  <c r="X17" i="5" a="1"/>
  <c r="X17" i="5" s="1"/>
  <c r="X16" i="5" a="1"/>
  <c r="X16" i="5" s="1"/>
  <c r="Z18" i="5"/>
  <c r="I18" i="12"/>
  <c r="AM18" i="5"/>
  <c r="I18" i="5"/>
  <c r="X15" i="5"/>
  <c r="AB164" i="5" a="1"/>
  <c r="AB164" i="5" s="1"/>
  <c r="AA164" i="5" a="1"/>
  <c r="AA164" i="5" s="1"/>
  <c r="AM232" i="5"/>
  <c r="L232" i="5"/>
  <c r="Z232" i="5"/>
  <c r="I232" i="12"/>
  <c r="Z113" i="5"/>
  <c r="I113" i="12"/>
  <c r="L113" i="5"/>
  <c r="AM113" i="5"/>
  <c r="Z72" i="5"/>
  <c r="I72" i="12"/>
  <c r="L72" i="5"/>
  <c r="AM72" i="5"/>
  <c r="L223" i="5"/>
  <c r="I223" i="12"/>
  <c r="Z223" i="5"/>
  <c r="AM223" i="5"/>
  <c r="I60" i="12"/>
  <c r="Z60" i="5"/>
  <c r="L60" i="5"/>
  <c r="C60" i="6" s="1"/>
  <c r="AM60" i="5"/>
  <c r="J56" i="7" a="1"/>
  <c r="J56" i="7" s="1"/>
  <c r="J40" i="7" a="1"/>
  <c r="J40" i="7" s="1"/>
  <c r="J27" i="7" a="1"/>
  <c r="J27" i="7" s="1"/>
  <c r="J42" i="7" a="1"/>
  <c r="J42" i="7" s="1"/>
  <c r="J24" i="7" a="1"/>
  <c r="J24" i="7" s="1"/>
  <c r="J22" i="7" a="1"/>
  <c r="J22" i="7" s="1"/>
  <c r="J19" i="7" a="1"/>
  <c r="J19" i="7" s="1"/>
  <c r="J49" i="7" a="1"/>
  <c r="J49" i="7" s="1"/>
  <c r="J34" i="7" a="1"/>
  <c r="J34" i="7" s="1"/>
  <c r="J29" i="7" a="1"/>
  <c r="J29" i="7" s="1"/>
  <c r="J47" i="7" a="1"/>
  <c r="J47" i="7" s="1"/>
  <c r="J45" i="7" a="1"/>
  <c r="J45" i="7" s="1"/>
  <c r="J18" i="7" a="1"/>
  <c r="J18" i="7" s="1"/>
  <c r="J30" i="7" a="1"/>
  <c r="J30" i="7" s="1"/>
  <c r="J35" i="7" a="1"/>
  <c r="J35" i="7" s="1"/>
  <c r="J28" i="7" a="1"/>
  <c r="J28" i="7" s="1"/>
  <c r="J55" i="7" a="1"/>
  <c r="J55" i="7" s="1"/>
  <c r="J1" i="7" a="1"/>
  <c r="J1" i="7" s="1"/>
  <c r="J39" i="7" a="1"/>
  <c r="J39" i="7" s="1"/>
  <c r="J17" i="7" a="1"/>
  <c r="J17" i="7" s="1"/>
  <c r="J21" i="7" a="1"/>
  <c r="J21" i="7" s="1"/>
  <c r="J33" i="7" a="1"/>
  <c r="J33" i="7" s="1"/>
  <c r="J31" i="7" a="1"/>
  <c r="J31" i="7" s="1"/>
  <c r="J52" i="7" a="1"/>
  <c r="J52" i="7" s="1"/>
  <c r="J20" i="7" a="1"/>
  <c r="J20" i="7" s="1"/>
  <c r="J43" i="7" a="1"/>
  <c r="J43" i="7" s="1"/>
  <c r="J44" i="7" a="1"/>
  <c r="J44" i="7" s="1"/>
  <c r="J53" i="7" a="1"/>
  <c r="J53" i="7" s="1"/>
  <c r="J50" i="7" a="1"/>
  <c r="J50" i="7" s="1"/>
  <c r="J26" i="7" a="1"/>
  <c r="J26" i="7" s="1"/>
  <c r="J54" i="7" a="1"/>
  <c r="J54" i="7" s="1"/>
  <c r="J16" i="7" a="1"/>
  <c r="J16" i="7" s="1"/>
  <c r="J51" i="7" a="1"/>
  <c r="J51" i="7" s="1"/>
  <c r="J36" i="7" a="1"/>
  <c r="J36" i="7" s="1"/>
  <c r="J38" i="7" a="1"/>
  <c r="J38" i="7" s="1"/>
  <c r="J41" i="7" a="1"/>
  <c r="J41" i="7" s="1"/>
  <c r="J23" i="7" a="1"/>
  <c r="J23" i="7" s="1"/>
  <c r="J25" i="7" a="1"/>
  <c r="J25" i="7" s="1"/>
  <c r="J37" i="7" a="1"/>
  <c r="J37" i="7" s="1"/>
  <c r="S15" i="6"/>
  <c r="S11" i="6" s="1"/>
  <c r="J48" i="7" a="1"/>
  <c r="J48" i="7" s="1"/>
  <c r="J46" i="7" a="1"/>
  <c r="J46" i="7" s="1"/>
  <c r="J32" i="7" a="1"/>
  <c r="J32" i="7" s="1"/>
  <c r="Z182" i="5"/>
  <c r="I182" i="12"/>
  <c r="I182" i="5"/>
  <c r="I183" i="5" s="1"/>
  <c r="I184" i="5" s="1"/>
  <c r="I185" i="5" s="1"/>
  <c r="I186" i="5" s="1"/>
  <c r="I187" i="5" s="1"/>
  <c r="O187" i="5" s="1"/>
  <c r="L182" i="5"/>
  <c r="AM182" i="5"/>
  <c r="L178" i="5"/>
  <c r="I178" i="12"/>
  <c r="AM178" i="5"/>
  <c r="Z178" i="5"/>
  <c r="Z202" i="5"/>
  <c r="I202" i="12"/>
  <c r="AM202" i="5"/>
  <c r="L202" i="5"/>
  <c r="AM153" i="5"/>
  <c r="Z153" i="5"/>
  <c r="I153" i="12"/>
  <c r="L153" i="5"/>
  <c r="C87" i="6"/>
  <c r="O87" i="5"/>
  <c r="L155" i="5"/>
  <c r="C155" i="6" s="1"/>
  <c r="I155" i="12"/>
  <c r="AM155" i="5"/>
  <c r="Z155" i="5"/>
  <c r="AB87" i="5" a="1"/>
  <c r="AB87" i="5" s="1"/>
  <c r="AA87" i="5" a="1"/>
  <c r="AA87" i="5" s="1"/>
  <c r="I27" i="12"/>
  <c r="AM27" i="5"/>
  <c r="Z27" i="5"/>
  <c r="I27" i="5"/>
  <c r="I28" i="5" s="1"/>
  <c r="I29" i="5" s="1"/>
  <c r="I30" i="5" s="1"/>
  <c r="I31" i="5" s="1"/>
  <c r="L27" i="5"/>
  <c r="X25" i="5" a="1"/>
  <c r="X25" i="5" s="1"/>
  <c r="Z211" i="5"/>
  <c r="AM211" i="5"/>
  <c r="I211" i="12"/>
  <c r="L211" i="5"/>
  <c r="I82" i="12"/>
  <c r="AM82" i="5"/>
  <c r="L82" i="5"/>
  <c r="C82" i="6" s="1"/>
  <c r="Z82" i="5"/>
  <c r="I157" i="12"/>
  <c r="AM157" i="5"/>
  <c r="X156" i="5" a="1"/>
  <c r="X156" i="5" s="1"/>
  <c r="L157" i="5"/>
  <c r="I157" i="5"/>
  <c r="I158" i="5" s="1"/>
  <c r="I159" i="5" s="1"/>
  <c r="I160" i="5" s="1"/>
  <c r="I161" i="5" s="1"/>
  <c r="I162" i="5" s="1"/>
  <c r="I163" i="5" s="1"/>
  <c r="I164" i="5" s="1"/>
  <c r="I165" i="5" s="1"/>
  <c r="Z157" i="5"/>
  <c r="Z141" i="5"/>
  <c r="AM141" i="5"/>
  <c r="L141" i="5"/>
  <c r="I141" i="12"/>
  <c r="Z122" i="5"/>
  <c r="I122" i="12"/>
  <c r="L122" i="5"/>
  <c r="AM122" i="5"/>
  <c r="Z198" i="5"/>
  <c r="L198" i="5"/>
  <c r="I198" i="12"/>
  <c r="AM198" i="5"/>
  <c r="L190" i="5"/>
  <c r="I190" i="12"/>
  <c r="AM190" i="5"/>
  <c r="Z190" i="5"/>
  <c r="Z137" i="5"/>
  <c r="I137" i="12"/>
  <c r="L137" i="5"/>
  <c r="AM137" i="5"/>
  <c r="Z32" i="7" a="1"/>
  <c r="Z32" i="7" s="1"/>
  <c r="Z50" i="7" a="1"/>
  <c r="Z50" i="7" s="1"/>
  <c r="Z22" i="7" a="1"/>
  <c r="Z22" i="7" s="1"/>
  <c r="Z49" i="7" a="1"/>
  <c r="Z49" i="7" s="1"/>
  <c r="Z24" i="7" a="1"/>
  <c r="Z24" i="7" s="1"/>
  <c r="Z25" i="7" a="1"/>
  <c r="Z25" i="7" s="1"/>
  <c r="Z36" i="7" a="1"/>
  <c r="Z36" i="7" s="1"/>
  <c r="Z54" i="7" a="1"/>
  <c r="Z54" i="7" s="1"/>
  <c r="Z38" i="7" a="1"/>
  <c r="Z38" i="7" s="1"/>
  <c r="Z39" i="7" a="1"/>
  <c r="Z39" i="7" s="1"/>
  <c r="Z17" i="7" a="1"/>
  <c r="Z17" i="7" s="1"/>
  <c r="Z33" i="7" a="1"/>
  <c r="Z33" i="7" s="1"/>
  <c r="Z48" i="7" a="1"/>
  <c r="Z48" i="7" s="1"/>
  <c r="Z31" i="7" a="1"/>
  <c r="Z31" i="7" s="1"/>
  <c r="Z56" i="7" a="1"/>
  <c r="Z56" i="7" s="1"/>
  <c r="Z42" i="7" a="1"/>
  <c r="Z42" i="7" s="1"/>
  <c r="Z34" i="7" a="1"/>
  <c r="Z34" i="7" s="1"/>
  <c r="Z20" i="7" a="1"/>
  <c r="Z20" i="7" s="1"/>
  <c r="Z37" i="7" a="1"/>
  <c r="Z37" i="7" s="1"/>
  <c r="Z40" i="7" a="1"/>
  <c r="Z40" i="7" s="1"/>
  <c r="Z55" i="7" a="1"/>
  <c r="Z55" i="7" s="1"/>
  <c r="Z46" i="7" a="1"/>
  <c r="Z46" i="7" s="1"/>
  <c r="Z35" i="7" a="1"/>
  <c r="Z35" i="7" s="1"/>
  <c r="Z28" i="7" a="1"/>
  <c r="Z28" i="7" s="1"/>
  <c r="Z18" i="7" a="1"/>
  <c r="Z18" i="7" s="1"/>
  <c r="Z53" i="7" a="1"/>
  <c r="Z53" i="7" s="1"/>
  <c r="Z52" i="7" a="1"/>
  <c r="Z52" i="7" s="1"/>
  <c r="Z51" i="7" a="1"/>
  <c r="Z51" i="7" s="1"/>
  <c r="AI15" i="6"/>
  <c r="AI11" i="6" s="1"/>
  <c r="Z21" i="7" a="1"/>
  <c r="Z21" i="7" s="1"/>
  <c r="Z30" i="7" a="1"/>
  <c r="Z30" i="7" s="1"/>
  <c r="Z43" i="7" a="1"/>
  <c r="Z43" i="7" s="1"/>
  <c r="Z19" i="7" a="1"/>
  <c r="Z19" i="7" s="1"/>
  <c r="Z1" i="7" a="1"/>
  <c r="Z1" i="7" s="1"/>
  <c r="Z23" i="7" a="1"/>
  <c r="Z23" i="7" s="1"/>
  <c r="Z44" i="7" a="1"/>
  <c r="Z44" i="7" s="1"/>
  <c r="Z41" i="7" a="1"/>
  <c r="Z41" i="7" s="1"/>
  <c r="Z26" i="7" a="1"/>
  <c r="Z26" i="7" s="1"/>
  <c r="Z29" i="7" a="1"/>
  <c r="Z29" i="7" s="1"/>
  <c r="Z27" i="7" a="1"/>
  <c r="Z27" i="7" s="1"/>
  <c r="Z47" i="7" a="1"/>
  <c r="Z47" i="7" s="1"/>
  <c r="Z16" i="7" a="1"/>
  <c r="Z16" i="7" s="1"/>
  <c r="Z45" i="7" a="1"/>
  <c r="Z45" i="7" s="1"/>
  <c r="Z24" i="5"/>
  <c r="L24" i="5"/>
  <c r="AM24" i="5"/>
  <c r="X22" i="5" a="1"/>
  <c r="X22" i="5" s="1"/>
  <c r="I24" i="5"/>
  <c r="X23" i="5" a="1"/>
  <c r="X23" i="5" s="1"/>
  <c r="I24" i="12"/>
  <c r="Z185" i="5"/>
  <c r="AM185" i="5"/>
  <c r="I185" i="12"/>
  <c r="L185" i="5"/>
  <c r="I176" i="12"/>
  <c r="L176" i="5"/>
  <c r="Z176" i="5"/>
  <c r="X175" i="5" a="1"/>
  <c r="X175" i="5" s="1"/>
  <c r="I176" i="5"/>
  <c r="I177" i="5" s="1"/>
  <c r="I178" i="5" s="1"/>
  <c r="I179" i="5" s="1"/>
  <c r="AM176" i="5"/>
  <c r="I168" i="12"/>
  <c r="AM168" i="5"/>
  <c r="Z168" i="5"/>
  <c r="L168" i="5"/>
  <c r="I168" i="5"/>
  <c r="I169" i="5" s="1"/>
  <c r="I170" i="5" s="1"/>
  <c r="I171" i="5" s="1"/>
  <c r="I172" i="5" s="1"/>
  <c r="I173" i="5" s="1"/>
  <c r="X167" i="5" a="1"/>
  <c r="X167" i="5" s="1"/>
  <c r="X166" i="5" a="1"/>
  <c r="X166" i="5" s="1"/>
  <c r="S37" i="7" a="1"/>
  <c r="S37" i="7" s="1"/>
  <c r="S42" i="7" a="1"/>
  <c r="S42" i="7" s="1"/>
  <c r="AB15" i="6"/>
  <c r="AB11" i="6" s="1"/>
  <c r="S49" i="7" a="1"/>
  <c r="S49" i="7" s="1"/>
  <c r="S29" i="7" a="1"/>
  <c r="S29" i="7" s="1"/>
  <c r="S27" i="7" a="1"/>
  <c r="S27" i="7" s="1"/>
  <c r="S51" i="7" a="1"/>
  <c r="S51" i="7" s="1"/>
  <c r="S28" i="7" a="1"/>
  <c r="S28" i="7" s="1"/>
  <c r="S55" i="7" a="1"/>
  <c r="S55" i="7" s="1"/>
  <c r="S50" i="7" a="1"/>
  <c r="S50" i="7" s="1"/>
  <c r="S39" i="7" a="1"/>
  <c r="S39" i="7" s="1"/>
  <c r="S21" i="7" a="1"/>
  <c r="S21" i="7" s="1"/>
  <c r="S34" i="7" a="1"/>
  <c r="S34" i="7" s="1"/>
  <c r="S44" i="7" a="1"/>
  <c r="S44" i="7" s="1"/>
  <c r="S36" i="7" a="1"/>
  <c r="S36" i="7" s="1"/>
  <c r="S31" i="7" a="1"/>
  <c r="S31" i="7" s="1"/>
  <c r="S53" i="7" a="1"/>
  <c r="S53" i="7" s="1"/>
  <c r="S32" i="7" a="1"/>
  <c r="S32" i="7" s="1"/>
  <c r="S25" i="7" a="1"/>
  <c r="S25" i="7" s="1"/>
  <c r="S1" i="7" a="1"/>
  <c r="S1" i="7" s="1"/>
  <c r="S16" i="7" a="1"/>
  <c r="S16" i="7" s="1"/>
  <c r="S24" i="7" a="1"/>
  <c r="S24" i="7" s="1"/>
  <c r="S45" i="7" a="1"/>
  <c r="S45" i="7" s="1"/>
  <c r="S20" i="7" a="1"/>
  <c r="S20" i="7" s="1"/>
  <c r="S33" i="7" a="1"/>
  <c r="S33" i="7" s="1"/>
  <c r="S19" i="7" a="1"/>
  <c r="S19" i="7" s="1"/>
  <c r="S17" i="7" a="1"/>
  <c r="S17" i="7" s="1"/>
  <c r="S41" i="7" a="1"/>
  <c r="S41" i="7" s="1"/>
  <c r="S54" i="7" a="1"/>
  <c r="S54" i="7" s="1"/>
  <c r="S35" i="7" a="1"/>
  <c r="S35" i="7" s="1"/>
  <c r="S43" i="7" a="1"/>
  <c r="S43" i="7" s="1"/>
  <c r="S48" i="7" a="1"/>
  <c r="S48" i="7" s="1"/>
  <c r="S46" i="7" a="1"/>
  <c r="S46" i="7" s="1"/>
  <c r="S26" i="7" a="1"/>
  <c r="S26" i="7" s="1"/>
  <c r="S40" i="7" a="1"/>
  <c r="S40" i="7" s="1"/>
  <c r="S30" i="7" a="1"/>
  <c r="S30" i="7" s="1"/>
  <c r="S47" i="7" a="1"/>
  <c r="S47" i="7" s="1"/>
  <c r="S18" i="7" a="1"/>
  <c r="S18" i="7" s="1"/>
  <c r="S38" i="7" a="1"/>
  <c r="S38" i="7" s="1"/>
  <c r="S22" i="7" a="1"/>
  <c r="S22" i="7" s="1"/>
  <c r="S23" i="7" a="1"/>
  <c r="S23" i="7" s="1"/>
  <c r="S52" i="7" a="1"/>
  <c r="S52" i="7" s="1"/>
  <c r="S56" i="7" a="1"/>
  <c r="S56" i="7" s="1"/>
  <c r="AM21" i="5"/>
  <c r="I21" i="12"/>
  <c r="L21" i="5"/>
  <c r="Z21" i="5"/>
  <c r="Z214" i="5"/>
  <c r="I214" i="12"/>
  <c r="L214" i="5"/>
  <c r="AM214" i="5"/>
  <c r="AM179" i="5"/>
  <c r="L179" i="5"/>
  <c r="Z179" i="5"/>
  <c r="I179" i="12"/>
  <c r="M121" i="12" a="1"/>
  <c r="M121" i="12" s="1"/>
  <c r="O121" i="12" a="1"/>
  <c r="O121" i="12" s="1"/>
  <c r="N121" i="12" s="1"/>
  <c r="AO121" i="12" a="1"/>
  <c r="AO121" i="12" s="1"/>
  <c r="Y121" i="12" s="1"/>
  <c r="C121" i="12"/>
  <c r="AM67" i="5"/>
  <c r="L67" i="5"/>
  <c r="I67" i="5"/>
  <c r="I68" i="5" s="1"/>
  <c r="I69" i="5" s="1"/>
  <c r="I70" i="5" s="1"/>
  <c r="I71" i="5" s="1"/>
  <c r="I72" i="5" s="1"/>
  <c r="I67" i="12"/>
  <c r="Z67" i="5"/>
  <c r="X66" i="5" a="1"/>
  <c r="X66" i="5" s="1"/>
  <c r="I97" i="12"/>
  <c r="L97" i="5"/>
  <c r="AM97" i="5"/>
  <c r="Z97" i="5"/>
  <c r="O164" i="5"/>
  <c r="C164" i="6"/>
  <c r="AM71" i="5"/>
  <c r="L71" i="5"/>
  <c r="I71" i="12"/>
  <c r="Z71" i="5"/>
  <c r="I112" i="12"/>
  <c r="Z112" i="5"/>
  <c r="L112" i="5"/>
  <c r="AM112" i="5"/>
  <c r="I162" i="12"/>
  <c r="AM162" i="5"/>
  <c r="L162" i="5"/>
  <c r="Z162" i="5"/>
  <c r="Z20" i="5"/>
  <c r="X19" i="5" a="1"/>
  <c r="X19" i="5" s="1"/>
  <c r="AM20" i="5"/>
  <c r="I20" i="5"/>
  <c r="I21" i="5" s="1"/>
  <c r="I20" i="12"/>
  <c r="L20" i="5"/>
  <c r="AB56" i="5" a="1"/>
  <c r="AB56" i="5" s="1"/>
  <c r="AA56" i="5" a="1"/>
  <c r="AA56" i="5" s="1"/>
  <c r="AM55" i="5"/>
  <c r="I55" i="12"/>
  <c r="Z55" i="5"/>
  <c r="L55" i="5"/>
  <c r="I119" i="12"/>
  <c r="Z119" i="5"/>
  <c r="L119" i="5"/>
  <c r="AM119" i="5"/>
  <c r="Z224" i="5"/>
  <c r="I224" i="12"/>
  <c r="L224" i="5"/>
  <c r="AM224" i="5"/>
  <c r="L154" i="5"/>
  <c r="Z154" i="5"/>
  <c r="I154" i="12"/>
  <c r="AM154" i="5"/>
  <c r="V40" i="7" a="1"/>
  <c r="V40" i="7" s="1"/>
  <c r="V31" i="7" a="1"/>
  <c r="V31" i="7" s="1"/>
  <c r="V37" i="7" a="1"/>
  <c r="V37" i="7" s="1"/>
  <c r="V1" i="7" a="1"/>
  <c r="V1" i="7" s="1"/>
  <c r="V35" i="7" a="1"/>
  <c r="V35" i="7" s="1"/>
  <c r="V52" i="7" a="1"/>
  <c r="V52" i="7" s="1"/>
  <c r="V53" i="7" a="1"/>
  <c r="V53" i="7" s="1"/>
  <c r="V54" i="7" a="1"/>
  <c r="V54" i="7" s="1"/>
  <c r="V22" i="7" a="1"/>
  <c r="V22" i="7" s="1"/>
  <c r="AE15" i="6"/>
  <c r="AE11" i="6" s="1"/>
  <c r="V47" i="7" a="1"/>
  <c r="V47" i="7" s="1"/>
  <c r="V32" i="7" a="1"/>
  <c r="V32" i="7" s="1"/>
  <c r="V34" i="7" a="1"/>
  <c r="V34" i="7" s="1"/>
  <c r="V16" i="7" a="1"/>
  <c r="V16" i="7" s="1"/>
  <c r="V18" i="7" a="1"/>
  <c r="V18" i="7" s="1"/>
  <c r="V55" i="7" a="1"/>
  <c r="V55" i="7" s="1"/>
  <c r="V43" i="7" a="1"/>
  <c r="V43" i="7" s="1"/>
  <c r="V19" i="7" a="1"/>
  <c r="V19" i="7" s="1"/>
  <c r="V50" i="7" a="1"/>
  <c r="V50" i="7" s="1"/>
  <c r="V36" i="7" a="1"/>
  <c r="V36" i="7" s="1"/>
  <c r="V24" i="7" a="1"/>
  <c r="V24" i="7" s="1"/>
  <c r="V20" i="7" a="1"/>
  <c r="V20" i="7" s="1"/>
  <c r="V23" i="7" a="1"/>
  <c r="V23" i="7" s="1"/>
  <c r="V21" i="7" a="1"/>
  <c r="V21" i="7" s="1"/>
  <c r="V45" i="7" a="1"/>
  <c r="V45" i="7" s="1"/>
  <c r="V46" i="7" a="1"/>
  <c r="V46" i="7" s="1"/>
  <c r="V44" i="7" a="1"/>
  <c r="V44" i="7" s="1"/>
  <c r="V17" i="7" a="1"/>
  <c r="V17" i="7" s="1"/>
  <c r="V26" i="7" a="1"/>
  <c r="V26" i="7" s="1"/>
  <c r="V56" i="7" a="1"/>
  <c r="V56" i="7" s="1"/>
  <c r="V38" i="7" a="1"/>
  <c r="V38" i="7" s="1"/>
  <c r="V30" i="7" a="1"/>
  <c r="V30" i="7" s="1"/>
  <c r="V39" i="7" a="1"/>
  <c r="V39" i="7" s="1"/>
  <c r="V41" i="7" a="1"/>
  <c r="V41" i="7" s="1"/>
  <c r="V51" i="7" a="1"/>
  <c r="V51" i="7" s="1"/>
  <c r="V42" i="7" a="1"/>
  <c r="V42" i="7" s="1"/>
  <c r="V29" i="7" a="1"/>
  <c r="V29" i="7" s="1"/>
  <c r="V25" i="7" a="1"/>
  <c r="V25" i="7" s="1"/>
  <c r="V48" i="7" a="1"/>
  <c r="V48" i="7" s="1"/>
  <c r="V28" i="7" a="1"/>
  <c r="V28" i="7" s="1"/>
  <c r="V27" i="7" a="1"/>
  <c r="V27" i="7" s="1"/>
  <c r="V33" i="7" a="1"/>
  <c r="V33" i="7" s="1"/>
  <c r="V49" i="7" a="1"/>
  <c r="V49" i="7" s="1"/>
  <c r="I199" i="12"/>
  <c r="L199" i="5"/>
  <c r="Z199" i="5"/>
  <c r="AM199" i="5"/>
  <c r="O56" i="12" a="1"/>
  <c r="O56" i="12" s="1"/>
  <c r="AO56" i="12" a="1"/>
  <c r="AO56" i="12" s="1"/>
  <c r="Y56" i="12" s="1"/>
  <c r="C56" i="12"/>
  <c r="M56" i="12" a="1"/>
  <c r="M56" i="12" s="1"/>
  <c r="AB68" i="5" a="1"/>
  <c r="AB68" i="5" s="1"/>
  <c r="AA68" i="5" a="1"/>
  <c r="AA68" i="5" s="1"/>
  <c r="AO87" i="12" a="1"/>
  <c r="AO87" i="12" s="1"/>
  <c r="M87" i="12" a="1"/>
  <c r="M87" i="12" s="1"/>
  <c r="C87" i="12"/>
  <c r="O87" i="12" a="1"/>
  <c r="O87" i="12" s="1"/>
  <c r="N87" i="12" s="1"/>
  <c r="AB209" i="5" a="1"/>
  <c r="AB209" i="5" s="1"/>
  <c r="AA209" i="5" a="1"/>
  <c r="AA209" i="5" s="1"/>
  <c r="I88" i="12"/>
  <c r="L88" i="5"/>
  <c r="Z88" i="5"/>
  <c r="AM88" i="5"/>
  <c r="N40" i="7" a="1"/>
  <c r="N40" i="7" s="1"/>
  <c r="N33" i="7" a="1"/>
  <c r="N33" i="7" s="1"/>
  <c r="N56" i="7" a="1"/>
  <c r="N56" i="7" s="1"/>
  <c r="N37" i="7" a="1"/>
  <c r="N37" i="7" s="1"/>
  <c r="N1" i="7" a="1"/>
  <c r="N1" i="7" s="1"/>
  <c r="N27" i="7" a="1"/>
  <c r="N27" i="7" s="1"/>
  <c r="N38" i="7" a="1"/>
  <c r="N38" i="7" s="1"/>
  <c r="N31" i="7" a="1"/>
  <c r="N31" i="7" s="1"/>
  <c r="N43" i="7" a="1"/>
  <c r="N43" i="7" s="1"/>
  <c r="N36" i="7" a="1"/>
  <c r="N36" i="7" s="1"/>
  <c r="N17" i="7" a="1"/>
  <c r="N17" i="7" s="1"/>
  <c r="N50" i="7" a="1"/>
  <c r="N50" i="7" s="1"/>
  <c r="N18" i="7" a="1"/>
  <c r="N18" i="7" s="1"/>
  <c r="N41" i="7" a="1"/>
  <c r="N41" i="7" s="1"/>
  <c r="N29" i="7" a="1"/>
  <c r="N29" i="7" s="1"/>
  <c r="N48" i="7" a="1"/>
  <c r="N48" i="7" s="1"/>
  <c r="N28" i="7" a="1"/>
  <c r="N28" i="7" s="1"/>
  <c r="N39" i="7" a="1"/>
  <c r="N39" i="7" s="1"/>
  <c r="N30" i="7" a="1"/>
  <c r="N30" i="7" s="1"/>
  <c r="N20" i="7" a="1"/>
  <c r="N20" i="7" s="1"/>
  <c r="N25" i="7" a="1"/>
  <c r="N25" i="7" s="1"/>
  <c r="N52" i="7" a="1"/>
  <c r="N52" i="7" s="1"/>
  <c r="N49" i="7" a="1"/>
  <c r="N49" i="7" s="1"/>
  <c r="N46" i="7" a="1"/>
  <c r="N46" i="7" s="1"/>
  <c r="W15" i="6"/>
  <c r="W11" i="6" s="1"/>
  <c r="N26" i="7" a="1"/>
  <c r="N26" i="7" s="1"/>
  <c r="N19" i="7" a="1"/>
  <c r="N19" i="7" s="1"/>
  <c r="N51" i="7" a="1"/>
  <c r="N51" i="7" s="1"/>
  <c r="N23" i="7" a="1"/>
  <c r="N23" i="7" s="1"/>
  <c r="N53" i="7" a="1"/>
  <c r="N53" i="7" s="1"/>
  <c r="N32" i="7" a="1"/>
  <c r="N32" i="7" s="1"/>
  <c r="N34" i="7" a="1"/>
  <c r="N34" i="7" s="1"/>
  <c r="N35" i="7" a="1"/>
  <c r="N35" i="7" s="1"/>
  <c r="N16" i="7" a="1"/>
  <c r="N16" i="7" s="1"/>
  <c r="N24" i="7" a="1"/>
  <c r="N24" i="7" s="1"/>
  <c r="N44" i="7" a="1"/>
  <c r="N44" i="7" s="1"/>
  <c r="N45" i="7" a="1"/>
  <c r="N45" i="7" s="1"/>
  <c r="N47" i="7" a="1"/>
  <c r="N47" i="7" s="1"/>
  <c r="N42" i="7" a="1"/>
  <c r="N42" i="7" s="1"/>
  <c r="N21" i="7" a="1"/>
  <c r="N21" i="7" s="1"/>
  <c r="N55" i="7" a="1"/>
  <c r="N55" i="7" s="1"/>
  <c r="N54" i="7" a="1"/>
  <c r="N54" i="7" s="1"/>
  <c r="N22" i="7" a="1"/>
  <c r="N22" i="7" s="1"/>
  <c r="I79" i="12"/>
  <c r="L79" i="5"/>
  <c r="Z79" i="5"/>
  <c r="AM79" i="5"/>
  <c r="R40" i="7" a="1"/>
  <c r="R40" i="7" s="1"/>
  <c r="R33" i="7" a="1"/>
  <c r="R33" i="7" s="1"/>
  <c r="R38" i="7" a="1"/>
  <c r="R38" i="7" s="1"/>
  <c r="R47" i="7" a="1"/>
  <c r="R47" i="7" s="1"/>
  <c r="R41" i="7" a="1"/>
  <c r="R41" i="7" s="1"/>
  <c r="R53" i="7" a="1"/>
  <c r="R53" i="7" s="1"/>
  <c r="R49" i="7" a="1"/>
  <c r="R49" i="7" s="1"/>
  <c r="R52" i="7" a="1"/>
  <c r="R52" i="7" s="1"/>
  <c r="R28" i="7" a="1"/>
  <c r="R28" i="7" s="1"/>
  <c r="R43" i="7" a="1"/>
  <c r="R43" i="7" s="1"/>
  <c r="R21" i="7" a="1"/>
  <c r="R21" i="7" s="1"/>
  <c r="R45" i="7" a="1"/>
  <c r="R45" i="7" s="1"/>
  <c r="R18" i="7" a="1"/>
  <c r="R18" i="7" s="1"/>
  <c r="R37" i="7" a="1"/>
  <c r="R37" i="7" s="1"/>
  <c r="R36" i="7" a="1"/>
  <c r="R36" i="7" s="1"/>
  <c r="R42" i="7" a="1"/>
  <c r="R42" i="7" s="1"/>
  <c r="R16" i="7" a="1"/>
  <c r="R16" i="7" s="1"/>
  <c r="R44" i="7" a="1"/>
  <c r="R44" i="7" s="1"/>
  <c r="R24" i="7" a="1"/>
  <c r="R24" i="7" s="1"/>
  <c r="R25" i="7" a="1"/>
  <c r="R25" i="7" s="1"/>
  <c r="R29" i="7" a="1"/>
  <c r="R29" i="7" s="1"/>
  <c r="R34" i="7" a="1"/>
  <c r="R34" i="7" s="1"/>
  <c r="R19" i="7" a="1"/>
  <c r="R19" i="7" s="1"/>
  <c r="R46" i="7" a="1"/>
  <c r="R46" i="7" s="1"/>
  <c r="R48" i="7" a="1"/>
  <c r="R48" i="7" s="1"/>
  <c r="R26" i="7" a="1"/>
  <c r="R26" i="7" s="1"/>
  <c r="R50" i="7" a="1"/>
  <c r="R50" i="7" s="1"/>
  <c r="R56" i="7" a="1"/>
  <c r="R56" i="7" s="1"/>
  <c r="R51" i="7" a="1"/>
  <c r="R51" i="7" s="1"/>
  <c r="R31" i="7" a="1"/>
  <c r="R31" i="7" s="1"/>
  <c r="R17" i="7" a="1"/>
  <c r="R17" i="7" s="1"/>
  <c r="R23" i="7" a="1"/>
  <c r="R23" i="7" s="1"/>
  <c r="R35" i="7" a="1"/>
  <c r="R35" i="7" s="1"/>
  <c r="R20" i="7" a="1"/>
  <c r="R20" i="7" s="1"/>
  <c r="R22" i="7" a="1"/>
  <c r="R22" i="7" s="1"/>
  <c r="R1" i="7" a="1"/>
  <c r="R1" i="7" s="1"/>
  <c r="AA15" i="6"/>
  <c r="AA11" i="6" s="1"/>
  <c r="R32" i="7" a="1"/>
  <c r="R32" i="7" s="1"/>
  <c r="R55" i="7" a="1"/>
  <c r="R55" i="7" s="1"/>
  <c r="R54" i="7" a="1"/>
  <c r="R54" i="7" s="1"/>
  <c r="R39" i="7" a="1"/>
  <c r="R39" i="7" s="1"/>
  <c r="R27" i="7" a="1"/>
  <c r="R27" i="7" s="1"/>
  <c r="R30" i="7" a="1"/>
  <c r="R30" i="7" s="1"/>
  <c r="Z231" i="5"/>
  <c r="AM231" i="5"/>
  <c r="I231" i="12"/>
  <c r="L231" i="5"/>
  <c r="I143" i="12"/>
  <c r="I143" i="5"/>
  <c r="I144" i="5" s="1"/>
  <c r="I145" i="5" s="1"/>
  <c r="I146" i="5" s="1"/>
  <c r="I147" i="5" s="1"/>
  <c r="I148" i="5" s="1"/>
  <c r="I149" i="5" s="1"/>
  <c r="I150" i="5" s="1"/>
  <c r="I151" i="5" s="1"/>
  <c r="I152" i="5" s="1"/>
  <c r="I153" i="5" s="1"/>
  <c r="I154" i="5" s="1"/>
  <c r="I155" i="5" s="1"/>
  <c r="O155" i="5" s="1"/>
  <c r="Z143" i="5"/>
  <c r="AM143" i="5"/>
  <c r="L143" i="5"/>
  <c r="X142" i="5" a="1"/>
  <c r="X142" i="5" s="1"/>
  <c r="AB236" i="5" a="1"/>
  <c r="AB236" i="5" s="1"/>
  <c r="AA236" i="5" a="1"/>
  <c r="AA236" i="5" s="1"/>
  <c r="AM208" i="5"/>
  <c r="L208" i="5"/>
  <c r="Z208" i="5"/>
  <c r="I208" i="12"/>
  <c r="C39" i="12"/>
  <c r="AO39" i="12" a="1"/>
  <c r="AO39" i="12" s="1"/>
  <c r="O39" i="12" a="1"/>
  <c r="O39" i="12" s="1"/>
  <c r="N39" i="12" s="1"/>
  <c r="M39" i="12" a="1"/>
  <c r="M39" i="12" s="1"/>
  <c r="AM151" i="5"/>
  <c r="I151" i="12"/>
  <c r="L151" i="5"/>
  <c r="Z151" i="5"/>
  <c r="AM146" i="5"/>
  <c r="Z146" i="5"/>
  <c r="I146" i="12"/>
  <c r="L146" i="5"/>
  <c r="AM195" i="5"/>
  <c r="L195" i="5"/>
  <c r="Z195" i="5"/>
  <c r="I195" i="12"/>
  <c r="I103" i="5"/>
  <c r="I104" i="5" s="1"/>
  <c r="I105" i="5" s="1"/>
  <c r="I106" i="5" s="1"/>
  <c r="I103" i="12"/>
  <c r="X101" i="5" a="1"/>
  <c r="X101" i="5" s="1"/>
  <c r="L103" i="5"/>
  <c r="AM103" i="5"/>
  <c r="Z103" i="5"/>
  <c r="X102" i="5" a="1"/>
  <c r="X102" i="5" s="1"/>
  <c r="I20" i="7" a="1"/>
  <c r="I20" i="7" s="1"/>
  <c r="I35" i="7" a="1"/>
  <c r="I35" i="7" s="1"/>
  <c r="I49" i="7" a="1"/>
  <c r="I49" i="7" s="1"/>
  <c r="I27" i="7" a="1"/>
  <c r="I27" i="7" s="1"/>
  <c r="I31" i="7" a="1"/>
  <c r="I31" i="7" s="1"/>
  <c r="I46" i="7" a="1"/>
  <c r="I46" i="7" s="1"/>
  <c r="I51" i="7" a="1"/>
  <c r="I51" i="7" s="1"/>
  <c r="I52" i="7" a="1"/>
  <c r="I52" i="7" s="1"/>
  <c r="I26" i="7" a="1"/>
  <c r="I26" i="7" s="1"/>
  <c r="I56" i="7" a="1"/>
  <c r="I56" i="7" s="1"/>
  <c r="I45" i="7" a="1"/>
  <c r="I45" i="7" s="1"/>
  <c r="I24" i="7" a="1"/>
  <c r="I24" i="7" s="1"/>
  <c r="I29" i="7" a="1"/>
  <c r="I29" i="7" s="1"/>
  <c r="I53" i="7" a="1"/>
  <c r="I53" i="7" s="1"/>
  <c r="I23" i="7" a="1"/>
  <c r="I23" i="7" s="1"/>
  <c r="I44" i="7" a="1"/>
  <c r="I44" i="7" s="1"/>
  <c r="I47" i="7" a="1"/>
  <c r="I47" i="7" s="1"/>
  <c r="I41" i="7" a="1"/>
  <c r="I41" i="7" s="1"/>
  <c r="I40" i="7" a="1"/>
  <c r="I40" i="7" s="1"/>
  <c r="I21" i="7" a="1"/>
  <c r="I21" i="7" s="1"/>
  <c r="I30" i="7" a="1"/>
  <c r="I30" i="7" s="1"/>
  <c r="I39" i="7" a="1"/>
  <c r="I39" i="7" s="1"/>
  <c r="I42" i="7" a="1"/>
  <c r="I42" i="7" s="1"/>
  <c r="R15" i="6"/>
  <c r="R11" i="6" s="1"/>
  <c r="I32" i="7" a="1"/>
  <c r="I32" i="7" s="1"/>
  <c r="I54" i="7" a="1"/>
  <c r="I54" i="7" s="1"/>
  <c r="I33" i="7" a="1"/>
  <c r="I33" i="7" s="1"/>
  <c r="I16" i="7" a="1"/>
  <c r="I16" i="7" s="1"/>
  <c r="I22" i="7" a="1"/>
  <c r="I22" i="7" s="1"/>
  <c r="I50" i="7" a="1"/>
  <c r="I50" i="7" s="1"/>
  <c r="I19" i="7" a="1"/>
  <c r="I19" i="7" s="1"/>
  <c r="I34" i="7" a="1"/>
  <c r="I34" i="7" s="1"/>
  <c r="I17" i="7" a="1"/>
  <c r="I17" i="7" s="1"/>
  <c r="I36" i="7" a="1"/>
  <c r="I36" i="7" s="1"/>
  <c r="I38" i="7" a="1"/>
  <c r="I38" i="7" s="1"/>
  <c r="I43" i="7" a="1"/>
  <c r="I43" i="7" s="1"/>
  <c r="I28" i="7" a="1"/>
  <c r="I28" i="7" s="1"/>
  <c r="I37" i="7" a="1"/>
  <c r="I37" i="7" s="1"/>
  <c r="I1" i="7" a="1"/>
  <c r="I1" i="7" s="1"/>
  <c r="I18" i="7" a="1"/>
  <c r="I18" i="7" s="1"/>
  <c r="I55" i="7" a="1"/>
  <c r="I55" i="7" s="1"/>
  <c r="I48" i="7" a="1"/>
  <c r="I48" i="7" s="1"/>
  <c r="I25" i="7" a="1"/>
  <c r="I25" i="7" s="1"/>
  <c r="H24" i="7" a="1"/>
  <c r="H24" i="7" s="1"/>
  <c r="H21" i="7" a="1"/>
  <c r="H21" i="7" s="1"/>
  <c r="F18" i="7"/>
  <c r="F47" i="7"/>
  <c r="E16" i="7" a="1"/>
  <c r="E16" i="7" s="1"/>
  <c r="H41" i="7" a="1"/>
  <c r="H41" i="7" s="1"/>
  <c r="E35" i="7" a="1"/>
  <c r="E35" i="7" s="1"/>
  <c r="F50" i="7"/>
  <c r="F38" i="7"/>
  <c r="H55" i="7" a="1"/>
  <c r="H55" i="7" s="1"/>
  <c r="H49" i="7" a="1"/>
  <c r="H49" i="7" s="1"/>
  <c r="F35" i="7"/>
  <c r="F34" i="7"/>
  <c r="E50" i="7" a="1"/>
  <c r="E50" i="7" s="1"/>
  <c r="H42" i="7" a="1"/>
  <c r="H42" i="7" s="1"/>
  <c r="H19" i="7" a="1"/>
  <c r="H19" i="7" s="1"/>
  <c r="E33" i="7" a="1"/>
  <c r="E33" i="7" s="1"/>
  <c r="F39" i="7"/>
  <c r="H31" i="7" a="1"/>
  <c r="H31" i="7" s="1"/>
  <c r="F1" i="7"/>
  <c r="H1" i="7" a="1"/>
  <c r="H1" i="7" s="1"/>
  <c r="H47" i="7" a="1"/>
  <c r="H47" i="7" s="1"/>
  <c r="F25" i="7"/>
  <c r="H45" i="7" a="1"/>
  <c r="H45" i="7" s="1"/>
  <c r="H38" i="7" a="1"/>
  <c r="H38" i="7" s="1"/>
  <c r="F55" i="7"/>
  <c r="H50" i="7" a="1"/>
  <c r="H50" i="7" s="1"/>
  <c r="E31" i="7" a="1"/>
  <c r="E31" i="7" s="1"/>
  <c r="E48" i="7" a="1"/>
  <c r="E48" i="7" s="1"/>
  <c r="E46" i="7" a="1"/>
  <c r="E46" i="7" s="1"/>
  <c r="E32" i="7" a="1"/>
  <c r="E32" i="7" s="1"/>
  <c r="E17" i="7" a="1"/>
  <c r="E17" i="7" s="1"/>
  <c r="F51" i="7"/>
  <c r="H20" i="7" a="1"/>
  <c r="H20" i="7" s="1"/>
  <c r="F53" i="7"/>
  <c r="H54" i="7" a="1"/>
  <c r="H54" i="7" s="1"/>
  <c r="E27" i="7" a="1"/>
  <c r="E27" i="7" s="1"/>
  <c r="H53" i="7" a="1"/>
  <c r="H53" i="7" s="1"/>
  <c r="F46" i="7"/>
  <c r="F28" i="7"/>
  <c r="E20" i="7" a="1"/>
  <c r="E20" i="7" s="1"/>
  <c r="H26" i="7" a="1"/>
  <c r="H26" i="7" s="1"/>
  <c r="H33" i="7" a="1"/>
  <c r="H33" i="7" s="1"/>
  <c r="F52" i="7"/>
  <c r="E29" i="7" a="1"/>
  <c r="E29" i="7" s="1"/>
  <c r="F41" i="7"/>
  <c r="E43" i="7" a="1"/>
  <c r="E43" i="7" s="1"/>
  <c r="H27" i="7" a="1"/>
  <c r="H27" i="7" s="1"/>
  <c r="F36" i="7"/>
  <c r="F43" i="7"/>
  <c r="E37" i="7" a="1"/>
  <c r="E37" i="7" s="1"/>
  <c r="E34" i="7" a="1"/>
  <c r="E34" i="7" s="1"/>
  <c r="F23" i="7"/>
  <c r="H18" i="7" a="1"/>
  <c r="H18" i="7" s="1"/>
  <c r="H30" i="7" a="1"/>
  <c r="H30" i="7" s="1"/>
  <c r="F42" i="7"/>
  <c r="E30" i="7" a="1"/>
  <c r="E30" i="7" s="1"/>
  <c r="H34" i="7" a="1"/>
  <c r="H34" i="7" s="1"/>
  <c r="Q15" i="6"/>
  <c r="Q11" i="6" s="1"/>
  <c r="H28" i="7" a="1"/>
  <c r="H28" i="7" s="1"/>
  <c r="F26" i="7"/>
  <c r="F17" i="7"/>
  <c r="H22" i="7" a="1"/>
  <c r="H22" i="7" s="1"/>
  <c r="E23" i="7" a="1"/>
  <c r="E23" i="7" s="1"/>
  <c r="F27" i="7"/>
  <c r="F30" i="7"/>
  <c r="F44" i="7"/>
  <c r="F20" i="7"/>
  <c r="H56" i="7" a="1"/>
  <c r="H56" i="7" s="1"/>
  <c r="F21" i="7"/>
  <c r="F19" i="7"/>
  <c r="H51" i="7" a="1"/>
  <c r="H51" i="7" s="1"/>
  <c r="H29" i="7" a="1"/>
  <c r="H29" i="7" s="1"/>
  <c r="F45" i="7"/>
  <c r="F22" i="7"/>
  <c r="E28" i="7" a="1"/>
  <c r="E28" i="7" s="1"/>
  <c r="H36" i="7" a="1"/>
  <c r="H36" i="7" s="1"/>
  <c r="F48" i="7"/>
  <c r="E49" i="7" a="1"/>
  <c r="E49" i="7" s="1"/>
  <c r="E45" i="7" a="1"/>
  <c r="E45" i="7" s="1"/>
  <c r="F56" i="7"/>
  <c r="F49" i="7"/>
  <c r="E51" i="7" a="1"/>
  <c r="E51" i="7" s="1"/>
  <c r="H52" i="7" a="1"/>
  <c r="H52" i="7" s="1"/>
  <c r="E18" i="7" a="1"/>
  <c r="E18" i="7" s="1"/>
  <c r="H40" i="7" a="1"/>
  <c r="H40" i="7" s="1"/>
  <c r="H39" i="7" a="1"/>
  <c r="H39" i="7" s="1"/>
  <c r="H37" i="7" a="1"/>
  <c r="H37" i="7" s="1"/>
  <c r="F24" i="7"/>
  <c r="F37" i="7"/>
  <c r="E39" i="7" a="1"/>
  <c r="E39" i="7" s="1"/>
  <c r="F54" i="7"/>
  <c r="H32" i="7" a="1"/>
  <c r="H32" i="7" s="1"/>
  <c r="E47" i="7" a="1"/>
  <c r="E47" i="7" s="1"/>
  <c r="E38" i="7" a="1"/>
  <c r="E38" i="7" s="1"/>
  <c r="E1" i="7" a="1"/>
  <c r="E1" i="7" s="1"/>
  <c r="E36" i="7" a="1"/>
  <c r="E36" i="7" s="1"/>
  <c r="E24" i="7" a="1"/>
  <c r="E24" i="7" s="1"/>
  <c r="E42" i="7" a="1"/>
  <c r="E42" i="7" s="1"/>
  <c r="E19" i="7" a="1"/>
  <c r="E19" i="7" s="1"/>
  <c r="F31" i="7"/>
  <c r="F33" i="7"/>
  <c r="A33" i="9" s="1"/>
  <c r="E22" i="7" a="1"/>
  <c r="E22" i="7" s="1"/>
  <c r="H46" i="7" a="1"/>
  <c r="H46" i="7" s="1"/>
  <c r="E44" i="7" a="1"/>
  <c r="E44" i="7" s="1"/>
  <c r="E21" i="7" a="1"/>
  <c r="E21" i="7" s="1"/>
  <c r="E56" i="7" a="1"/>
  <c r="E56" i="7" s="1"/>
  <c r="E26" i="7" a="1"/>
  <c r="E26" i="7" s="1"/>
  <c r="E25" i="7" a="1"/>
  <c r="E25" i="7" s="1"/>
  <c r="E55" i="7" a="1"/>
  <c r="E55" i="7" s="1"/>
  <c r="H16" i="7" a="1"/>
  <c r="H16" i="7" s="1"/>
  <c r="E53" i="7" a="1"/>
  <c r="E53" i="7" s="1"/>
  <c r="F29" i="7"/>
  <c r="F16" i="7"/>
  <c r="H17" i="7" a="1"/>
  <c r="H17" i="7" s="1"/>
  <c r="E52" i="7" a="1"/>
  <c r="E52" i="7" s="1"/>
  <c r="H23" i="7" a="1"/>
  <c r="H23" i="7" s="1"/>
  <c r="H25" i="7" a="1"/>
  <c r="H25" i="7" s="1"/>
  <c r="H44" i="7" a="1"/>
  <c r="H44" i="7" s="1"/>
  <c r="H43" i="7" a="1"/>
  <c r="H43" i="7" s="1"/>
  <c r="H48" i="7" a="1"/>
  <c r="H48" i="7" s="1"/>
  <c r="F32" i="7"/>
  <c r="E54" i="7" a="1"/>
  <c r="E54" i="7" s="1"/>
  <c r="F40" i="7"/>
  <c r="E41" i="7" a="1"/>
  <c r="E41" i="7" s="1"/>
  <c r="E40" i="7" a="1"/>
  <c r="E40" i="7" s="1"/>
  <c r="H35" i="7" a="1"/>
  <c r="H35" i="7" s="1"/>
  <c r="I30" i="12"/>
  <c r="Z30" i="5"/>
  <c r="L30" i="5"/>
  <c r="AM30" i="5"/>
  <c r="I135" i="5"/>
  <c r="I136" i="5" s="1"/>
  <c r="I137" i="5" s="1"/>
  <c r="I138" i="5" s="1"/>
  <c r="I139" i="5" s="1"/>
  <c r="I140" i="5" s="1"/>
  <c r="L135" i="5"/>
  <c r="AM135" i="5"/>
  <c r="Z135" i="5"/>
  <c r="I135" i="12"/>
  <c r="X132" i="5" a="1"/>
  <c r="X132" i="5" s="1"/>
  <c r="X133" i="5" a="1"/>
  <c r="X133" i="5" s="1"/>
  <c r="X134" i="5" a="1"/>
  <c r="X134" i="5" s="1"/>
  <c r="L145" i="5"/>
  <c r="AM145" i="5"/>
  <c r="I145" i="12"/>
  <c r="Z145" i="5"/>
  <c r="I230" i="12"/>
  <c r="L230" i="5"/>
  <c r="Z230" i="5"/>
  <c r="AM230" i="5"/>
  <c r="C121" i="6"/>
  <c r="O121" i="5"/>
  <c r="I28" i="12"/>
  <c r="AM28" i="5"/>
  <c r="L28" i="5"/>
  <c r="Z28" i="5"/>
  <c r="Z48" i="5"/>
  <c r="I48" i="12"/>
  <c r="L48" i="5"/>
  <c r="AM48" i="5"/>
  <c r="Z106" i="5"/>
  <c r="AM106" i="5"/>
  <c r="L106" i="5"/>
  <c r="I106" i="12"/>
  <c r="I124" i="12"/>
  <c r="Z124" i="5"/>
  <c r="L124" i="5"/>
  <c r="AM124" i="5"/>
  <c r="U23" i="7" a="1"/>
  <c r="U23" i="7" s="1"/>
  <c r="U51" i="7" a="1"/>
  <c r="U51" i="7" s="1"/>
  <c r="U47" i="7" a="1"/>
  <c r="U47" i="7" s="1"/>
  <c r="U20" i="7" a="1"/>
  <c r="U20" i="7" s="1"/>
  <c r="U34" i="7" a="1"/>
  <c r="U34" i="7" s="1"/>
  <c r="U45" i="7" a="1"/>
  <c r="U45" i="7" s="1"/>
  <c r="U44" i="7" a="1"/>
  <c r="U44" i="7" s="1"/>
  <c r="U36" i="7" a="1"/>
  <c r="U36" i="7" s="1"/>
  <c r="U37" i="7" a="1"/>
  <c r="U37" i="7" s="1"/>
  <c r="U22" i="7" a="1"/>
  <c r="U22" i="7" s="1"/>
  <c r="U54" i="7" a="1"/>
  <c r="U54" i="7" s="1"/>
  <c r="U33" i="7" a="1"/>
  <c r="U33" i="7" s="1"/>
  <c r="U21" i="7" a="1"/>
  <c r="U21" i="7" s="1"/>
  <c r="U16" i="7" a="1"/>
  <c r="U16" i="7" s="1"/>
  <c r="U25" i="7" a="1"/>
  <c r="U25" i="7" s="1"/>
  <c r="U53" i="7" a="1"/>
  <c r="U53" i="7" s="1"/>
  <c r="U18" i="7" a="1"/>
  <c r="U18" i="7" s="1"/>
  <c r="U31" i="7" a="1"/>
  <c r="U31" i="7" s="1"/>
  <c r="AD15" i="6"/>
  <c r="AD11" i="6" s="1"/>
  <c r="U50" i="7" a="1"/>
  <c r="U50" i="7" s="1"/>
  <c r="U52" i="7" a="1"/>
  <c r="U52" i="7" s="1"/>
  <c r="U30" i="7" a="1"/>
  <c r="U30" i="7" s="1"/>
  <c r="U24" i="7" a="1"/>
  <c r="U24" i="7" s="1"/>
  <c r="U29" i="7" a="1"/>
  <c r="U29" i="7" s="1"/>
  <c r="U28" i="7" a="1"/>
  <c r="U28" i="7" s="1"/>
  <c r="U35" i="7" a="1"/>
  <c r="U35" i="7" s="1"/>
  <c r="U26" i="7" a="1"/>
  <c r="U26" i="7" s="1"/>
  <c r="U42" i="7" a="1"/>
  <c r="U42" i="7" s="1"/>
  <c r="U27" i="7" a="1"/>
  <c r="U27" i="7" s="1"/>
  <c r="U46" i="7" a="1"/>
  <c r="U46" i="7" s="1"/>
  <c r="U55" i="7" a="1"/>
  <c r="U55" i="7" s="1"/>
  <c r="U43" i="7" a="1"/>
  <c r="U43" i="7" s="1"/>
  <c r="U39" i="7" a="1"/>
  <c r="U39" i="7" s="1"/>
  <c r="U1" i="7" a="1"/>
  <c r="U1" i="7" s="1"/>
  <c r="U40" i="7" a="1"/>
  <c r="U40" i="7" s="1"/>
  <c r="U19" i="7" a="1"/>
  <c r="U19" i="7" s="1"/>
  <c r="U38" i="7" a="1"/>
  <c r="U38" i="7" s="1"/>
  <c r="U32" i="7" a="1"/>
  <c r="U32" i="7" s="1"/>
  <c r="U41" i="7" a="1"/>
  <c r="U41" i="7" s="1"/>
  <c r="U56" i="7" a="1"/>
  <c r="U56" i="7" s="1"/>
  <c r="U48" i="7" a="1"/>
  <c r="U48" i="7" s="1"/>
  <c r="U17" i="7" a="1"/>
  <c r="U17" i="7" s="1"/>
  <c r="U49" i="7" a="1"/>
  <c r="U49" i="7" s="1"/>
  <c r="L187" i="5"/>
  <c r="C187" i="6" s="1"/>
  <c r="Z187" i="5"/>
  <c r="AM187" i="5"/>
  <c r="I187" i="12"/>
  <c r="Z159" i="5"/>
  <c r="AM159" i="5"/>
  <c r="L159" i="5"/>
  <c r="I159" i="12"/>
  <c r="L109" i="5"/>
  <c r="I109" i="12"/>
  <c r="AM109" i="5"/>
  <c r="Z109" i="5"/>
  <c r="X26" i="5" a="1"/>
  <c r="X26" i="5" s="1"/>
  <c r="I34" i="12"/>
  <c r="Z34" i="5"/>
  <c r="I34" i="5"/>
  <c r="I35" i="5" s="1"/>
  <c r="O35" i="5" s="1"/>
  <c r="AM34" i="5"/>
  <c r="L34" i="5"/>
  <c r="AM161" i="5"/>
  <c r="I161" i="12"/>
  <c r="Z161" i="5"/>
  <c r="L161" i="5"/>
  <c r="Z100" i="5"/>
  <c r="X99" i="5" a="1"/>
  <c r="X99" i="5" s="1"/>
  <c r="I100" i="12"/>
  <c r="AM100" i="5"/>
  <c r="I100" i="5"/>
  <c r="L100" i="5"/>
  <c r="Z90" i="5"/>
  <c r="AM90" i="5"/>
  <c r="I90" i="12"/>
  <c r="L90" i="5"/>
  <c r="C90" i="6" s="1"/>
  <c r="C209" i="6"/>
  <c r="O209" i="5"/>
  <c r="O164" i="12" a="1"/>
  <c r="O164" i="12" s="1"/>
  <c r="N164" i="12" s="1"/>
  <c r="C164" i="12"/>
  <c r="M164" i="12" a="1"/>
  <c r="M164" i="12" s="1"/>
  <c r="AO164" i="12" a="1"/>
  <c r="AO164" i="12" s="1"/>
  <c r="X225" i="5" a="1"/>
  <c r="X225" i="5" s="1"/>
  <c r="AM226" i="5"/>
  <c r="I226" i="5"/>
  <c r="I227" i="5" s="1"/>
  <c r="I228" i="5" s="1"/>
  <c r="I229" i="5" s="1"/>
  <c r="I230" i="5" s="1"/>
  <c r="I231" i="5" s="1"/>
  <c r="I232" i="5" s="1"/>
  <c r="I226" i="12"/>
  <c r="L226" i="5"/>
  <c r="Z226" i="5"/>
  <c r="Z213" i="5"/>
  <c r="L213" i="5"/>
  <c r="I213" i="12"/>
  <c r="AM213" i="5"/>
  <c r="I140" i="12"/>
  <c r="AM140" i="5"/>
  <c r="Z140" i="5"/>
  <c r="L140" i="5"/>
  <c r="C140" i="6" s="1"/>
  <c r="I174" i="5"/>
  <c r="Z174" i="5"/>
  <c r="AM174" i="5"/>
  <c r="L174" i="5"/>
  <c r="I174" i="12"/>
  <c r="C236" i="12"/>
  <c r="AO236" i="12" a="1"/>
  <c r="AO236" i="12" s="1"/>
  <c r="Y236" i="12" s="1"/>
  <c r="M236" i="12" a="1"/>
  <c r="M236" i="12" s="1"/>
  <c r="O236" i="12" a="1"/>
  <c r="O236" i="12" s="1"/>
  <c r="Z189" i="5"/>
  <c r="L189" i="5"/>
  <c r="I189" i="12"/>
  <c r="AM189" i="5"/>
  <c r="I189" i="5"/>
  <c r="I190" i="5" s="1"/>
  <c r="I191" i="5" s="1"/>
  <c r="I192" i="5" s="1"/>
  <c r="I193" i="5" s="1"/>
  <c r="I194" i="5" s="1"/>
  <c r="I195" i="5" s="1"/>
  <c r="I196" i="5" s="1"/>
  <c r="I197" i="5" s="1"/>
  <c r="I198" i="5" s="1"/>
  <c r="I199" i="5" s="1"/>
  <c r="I200" i="5" s="1"/>
  <c r="I201" i="5" s="1"/>
  <c r="I202" i="5" s="1"/>
  <c r="X188" i="5" a="1"/>
  <c r="X188" i="5" s="1"/>
  <c r="P23" i="7" a="1"/>
  <c r="P23" i="7" s="1"/>
  <c r="P31" i="7" a="1"/>
  <c r="P31" i="7" s="1"/>
  <c r="P1" i="7" a="1"/>
  <c r="P1" i="7" s="1"/>
  <c r="P48" i="7" a="1"/>
  <c r="P48" i="7" s="1"/>
  <c r="P36" i="7" a="1"/>
  <c r="P36" i="7" s="1"/>
  <c r="Y15" i="6"/>
  <c r="Y11" i="6" s="1"/>
  <c r="P47" i="7" a="1"/>
  <c r="P47" i="7" s="1"/>
  <c r="P19" i="7" a="1"/>
  <c r="P19" i="7" s="1"/>
  <c r="P49" i="7" a="1"/>
  <c r="P49" i="7" s="1"/>
  <c r="P35" i="7" a="1"/>
  <c r="P35" i="7" s="1"/>
  <c r="P27" i="7" a="1"/>
  <c r="P27" i="7" s="1"/>
  <c r="P28" i="7" a="1"/>
  <c r="P28" i="7" s="1"/>
  <c r="P52" i="7" a="1"/>
  <c r="P52" i="7" s="1"/>
  <c r="P34" i="7" a="1"/>
  <c r="P34" i="7" s="1"/>
  <c r="P20" i="7" a="1"/>
  <c r="P20" i="7" s="1"/>
  <c r="P44" i="7" a="1"/>
  <c r="P44" i="7" s="1"/>
  <c r="P54" i="7" a="1"/>
  <c r="P54" i="7" s="1"/>
  <c r="P50" i="7" a="1"/>
  <c r="P50" i="7" s="1"/>
  <c r="P32" i="7" a="1"/>
  <c r="P32" i="7" s="1"/>
  <c r="P38" i="7" a="1"/>
  <c r="P38" i="7" s="1"/>
  <c r="P33" i="7" a="1"/>
  <c r="P33" i="7" s="1"/>
  <c r="P45" i="7" a="1"/>
  <c r="P45" i="7" s="1"/>
  <c r="P26" i="7" a="1"/>
  <c r="P26" i="7" s="1"/>
  <c r="P42" i="7" a="1"/>
  <c r="P42" i="7" s="1"/>
  <c r="P56" i="7" a="1"/>
  <c r="P56" i="7" s="1"/>
  <c r="P55" i="7" a="1"/>
  <c r="P55" i="7" s="1"/>
  <c r="P18" i="7" a="1"/>
  <c r="P18" i="7" s="1"/>
  <c r="P39" i="7" a="1"/>
  <c r="P39" i="7" s="1"/>
  <c r="P17" i="7" a="1"/>
  <c r="P17" i="7" s="1"/>
  <c r="P46" i="7" a="1"/>
  <c r="P46" i="7" s="1"/>
  <c r="P22" i="7" a="1"/>
  <c r="P22" i="7" s="1"/>
  <c r="P21" i="7" a="1"/>
  <c r="P21" i="7" s="1"/>
  <c r="P24" i="7" a="1"/>
  <c r="P24" i="7" s="1"/>
  <c r="P43" i="7" a="1"/>
  <c r="P43" i="7" s="1"/>
  <c r="P16" i="7" a="1"/>
  <c r="P16" i="7" s="1"/>
  <c r="P14" i="7" s="1"/>
  <c r="P29" i="7" a="1"/>
  <c r="P29" i="7" s="1"/>
  <c r="P40" i="7" a="1"/>
  <c r="P40" i="7" s="1"/>
  <c r="P53" i="7" a="1"/>
  <c r="P53" i="7" s="1"/>
  <c r="P30" i="7" a="1"/>
  <c r="P30" i="7" s="1"/>
  <c r="P25" i="7" a="1"/>
  <c r="P25" i="7" s="1"/>
  <c r="P51" i="7" a="1"/>
  <c r="P51" i="7" s="1"/>
  <c r="P37" i="7" a="1"/>
  <c r="P37" i="7" s="1"/>
  <c r="P41" i="7" a="1"/>
  <c r="P41" i="7" s="1"/>
  <c r="AM220" i="5"/>
  <c r="L220" i="5"/>
  <c r="Z220" i="5"/>
  <c r="I220" i="12"/>
  <c r="I152" i="12"/>
  <c r="Z152" i="5"/>
  <c r="AM152" i="5"/>
  <c r="L152" i="5"/>
  <c r="Z172" i="5"/>
  <c r="I172" i="12"/>
  <c r="AM172" i="5"/>
  <c r="L172" i="5"/>
  <c r="L165" i="5"/>
  <c r="AM165" i="5"/>
  <c r="Z165" i="5"/>
  <c r="I165" i="12"/>
  <c r="Z105" i="5"/>
  <c r="I105" i="12"/>
  <c r="L105" i="5"/>
  <c r="AM105" i="5"/>
  <c r="Z46" i="5"/>
  <c r="AM46" i="5"/>
  <c r="I46" i="5"/>
  <c r="I47" i="5" s="1"/>
  <c r="I48" i="5" s="1"/>
  <c r="X45" i="5" a="1"/>
  <c r="X45" i="5" s="1"/>
  <c r="I46" i="12"/>
  <c r="L46" i="5"/>
  <c r="Z215" i="5"/>
  <c r="I215" i="12"/>
  <c r="AM215" i="5"/>
  <c r="L215" i="5"/>
  <c r="Z173" i="5"/>
  <c r="I173" i="12"/>
  <c r="AM173" i="5"/>
  <c r="L173" i="5"/>
  <c r="Z216" i="5"/>
  <c r="L216" i="5"/>
  <c r="I216" i="12"/>
  <c r="AM216" i="5"/>
  <c r="L206" i="5"/>
  <c r="AM206" i="5"/>
  <c r="Z206" i="5"/>
  <c r="I206" i="12"/>
  <c r="L201" i="5"/>
  <c r="Z201" i="5"/>
  <c r="AM201" i="5"/>
  <c r="I201" i="12"/>
  <c r="I163" i="12"/>
  <c r="Z163" i="5"/>
  <c r="L163" i="5"/>
  <c r="AM163" i="5"/>
  <c r="D155" i="12" l="1"/>
  <c r="E155" i="6"/>
  <c r="E60" i="6"/>
  <c r="D60" i="12"/>
  <c r="D44" i="12"/>
  <c r="E44" i="6"/>
  <c r="O140" i="5"/>
  <c r="I141" i="5"/>
  <c r="D187" i="12"/>
  <c r="E187" i="6"/>
  <c r="A41" i="9"/>
  <c r="G41" i="7"/>
  <c r="O103" i="5"/>
  <c r="C103" i="6"/>
  <c r="AB146" i="5" a="1"/>
  <c r="AB146" i="5" s="1"/>
  <c r="AA146" i="5" a="1"/>
  <c r="AA146" i="5" s="1"/>
  <c r="M79" i="12" a="1"/>
  <c r="M79" i="12" s="1"/>
  <c r="AO79" i="12" a="1"/>
  <c r="AO79" i="12" s="1"/>
  <c r="C79" i="12"/>
  <c r="O79" i="12" a="1"/>
  <c r="O79" i="12" s="1"/>
  <c r="N79" i="12" s="1"/>
  <c r="N14" i="7"/>
  <c r="AB199" i="5" a="1"/>
  <c r="AB199" i="5" s="1"/>
  <c r="AA199" i="5" a="1"/>
  <c r="AA199" i="5" s="1"/>
  <c r="C119" i="12"/>
  <c r="M119" i="12" a="1"/>
  <c r="M119" i="12" s="1"/>
  <c r="AO119" i="12" a="1"/>
  <c r="AO119" i="12" s="1"/>
  <c r="O119" i="12" a="1"/>
  <c r="O119" i="12" s="1"/>
  <c r="C112" i="6"/>
  <c r="O112" i="5"/>
  <c r="AB71" i="5" a="1"/>
  <c r="AB71" i="5" s="1"/>
  <c r="AA71" i="5" a="1"/>
  <c r="AA71" i="5" s="1"/>
  <c r="C214" i="6"/>
  <c r="O214" i="5"/>
  <c r="AO137" i="12" a="1"/>
  <c r="AO137" i="12" s="1"/>
  <c r="M137" i="12" a="1"/>
  <c r="M137" i="12" s="1"/>
  <c r="O137" i="12" a="1"/>
  <c r="O137" i="12" s="1"/>
  <c r="N137" i="12" s="1"/>
  <c r="C137" i="12"/>
  <c r="AB178" i="5" a="1"/>
  <c r="AB178" i="5" s="1"/>
  <c r="AA178" i="5" a="1"/>
  <c r="AA178" i="5" s="1"/>
  <c r="AB113" i="5" a="1"/>
  <c r="AB113" i="5" s="1"/>
  <c r="AA113" i="5" a="1"/>
  <c r="AA113" i="5" s="1"/>
  <c r="O18" i="5"/>
  <c r="C18" i="6"/>
  <c r="AB243" i="5" a="1"/>
  <c r="AB243" i="5" s="1"/>
  <c r="AA243" i="5" a="1"/>
  <c r="AA243" i="5" s="1"/>
  <c r="C108" i="6"/>
  <c r="O108" i="5"/>
  <c r="C93" i="6"/>
  <c r="O93" i="5"/>
  <c r="AB98" i="5" a="1"/>
  <c r="AB98" i="5" s="1"/>
  <c r="AA98" i="5" a="1"/>
  <c r="AA98" i="5" s="1"/>
  <c r="AB70" i="5" a="1"/>
  <c r="AB70" i="5" s="1"/>
  <c r="AA70" i="5" a="1"/>
  <c r="AA70" i="5" s="1"/>
  <c r="AB160" i="5" a="1"/>
  <c r="AB160" i="5" s="1"/>
  <c r="AA160" i="5" a="1"/>
  <c r="AA160" i="5" s="1"/>
  <c r="AO212" i="12" a="1"/>
  <c r="AO212" i="12" s="1"/>
  <c r="C212" i="12"/>
  <c r="M212" i="12" a="1"/>
  <c r="M212" i="12" s="1"/>
  <c r="O212" i="12" a="1"/>
  <c r="O212" i="12" s="1"/>
  <c r="N212" i="12" s="1"/>
  <c r="O54" i="12" a="1"/>
  <c r="O54" i="12" s="1"/>
  <c r="N54" i="12" s="1"/>
  <c r="AO54" i="12" a="1"/>
  <c r="AO54" i="12" s="1"/>
  <c r="C54" i="12"/>
  <c r="M54" i="12" a="1"/>
  <c r="M54" i="12" s="1"/>
  <c r="W14" i="7"/>
  <c r="O200" i="12" a="1"/>
  <c r="O200" i="12" s="1"/>
  <c r="C200" i="12"/>
  <c r="AO200" i="12" a="1"/>
  <c r="AO200" i="12" s="1"/>
  <c r="Y200" i="12" s="1"/>
  <c r="M200" i="12" a="1"/>
  <c r="M200" i="12" s="1"/>
  <c r="E243" i="6"/>
  <c r="D243" i="12"/>
  <c r="O117" i="5"/>
  <c r="C117" i="6"/>
  <c r="AB218" i="5" a="1"/>
  <c r="AB218" i="5" s="1"/>
  <c r="AA218" i="5" a="1"/>
  <c r="AA218" i="5" s="1"/>
  <c r="M80" i="12" a="1"/>
  <c r="M80" i="12" s="1"/>
  <c r="C80" i="12"/>
  <c r="AO80" i="12" a="1"/>
  <c r="AO80" i="12" s="1"/>
  <c r="Y80" i="12" s="1"/>
  <c r="O80" i="12" a="1"/>
  <c r="O80" i="12" s="1"/>
  <c r="N80" i="12" s="1"/>
  <c r="AO63" i="12" a="1"/>
  <c r="AO63" i="12" s="1"/>
  <c r="M63" i="12" a="1"/>
  <c r="M63" i="12" s="1"/>
  <c r="O63" i="12" a="1"/>
  <c r="O63" i="12" s="1"/>
  <c r="C63" i="12"/>
  <c r="AB131" i="5" a="1"/>
  <c r="AB131" i="5" s="1"/>
  <c r="AA131" i="5" a="1"/>
  <c r="AA131" i="5" s="1"/>
  <c r="AB228" i="5" a="1"/>
  <c r="AB228" i="5" s="1"/>
  <c r="AA228" i="5" a="1"/>
  <c r="AA228" i="5" s="1"/>
  <c r="C184" i="6"/>
  <c r="O184" i="5"/>
  <c r="X14" i="7"/>
  <c r="AB58" i="5" a="1"/>
  <c r="AB58" i="5" s="1"/>
  <c r="AA58" i="5" a="1"/>
  <c r="AA58" i="5" s="1"/>
  <c r="O51" i="5"/>
  <c r="C51" i="6"/>
  <c r="C149" i="6"/>
  <c r="O149" i="5"/>
  <c r="AB158" i="5" a="1"/>
  <c r="AB158" i="5" s="1"/>
  <c r="AA158" i="5" a="1"/>
  <c r="AA158" i="5" s="1"/>
  <c r="O59" i="12" a="1"/>
  <c r="O59" i="12" s="1"/>
  <c r="AO59" i="12" a="1"/>
  <c r="AO59" i="12" s="1"/>
  <c r="M59" i="12" a="1"/>
  <c r="M59" i="12" s="1"/>
  <c r="C59" i="12"/>
  <c r="L114" i="5"/>
  <c r="S92" i="8"/>
  <c r="O21" i="11" a="1"/>
  <c r="O21" i="11" s="1"/>
  <c r="I114" i="12"/>
  <c r="Z114" i="5"/>
  <c r="AM114" i="5"/>
  <c r="O92" i="5"/>
  <c r="C92" i="6"/>
  <c r="AB127" i="5" a="1"/>
  <c r="AB127" i="5" s="1"/>
  <c r="AA127" i="5" a="1"/>
  <c r="AA127" i="5" s="1"/>
  <c r="AB111" i="5" a="1"/>
  <c r="AB111" i="5" s="1"/>
  <c r="AA111" i="5" a="1"/>
  <c r="AA111" i="5" s="1"/>
  <c r="AB47" i="5" a="1"/>
  <c r="AB47" i="5" s="1"/>
  <c r="AA47" i="5" a="1"/>
  <c r="AA47" i="5" s="1"/>
  <c r="M38" i="12" a="1"/>
  <c r="M38" i="12" s="1"/>
  <c r="O38" i="12" a="1"/>
  <c r="O38" i="12" s="1"/>
  <c r="N38" i="12" s="1"/>
  <c r="C38" i="12"/>
  <c r="AO38" i="12" a="1"/>
  <c r="AO38" i="12" s="1"/>
  <c r="Y38" i="12" s="1"/>
  <c r="O201" i="5"/>
  <c r="C201" i="6"/>
  <c r="AB165" i="5" a="1"/>
  <c r="AB165" i="5" s="1"/>
  <c r="AA165" i="5" a="1"/>
  <c r="AA165" i="5" s="1"/>
  <c r="C174" i="6"/>
  <c r="O174" i="5"/>
  <c r="M34" i="12" a="1"/>
  <c r="M34" i="12" s="1"/>
  <c r="C34" i="12"/>
  <c r="AO34" i="12" a="1"/>
  <c r="AO34" i="12" s="1"/>
  <c r="O34" i="12" a="1"/>
  <c r="O34" i="12" s="1"/>
  <c r="N34" i="12" s="1"/>
  <c r="A38" i="9"/>
  <c r="AM101" i="5"/>
  <c r="I101" i="12"/>
  <c r="L101" i="5"/>
  <c r="Z101" i="5"/>
  <c r="S80" i="8"/>
  <c r="I142" i="12"/>
  <c r="AM142" i="5"/>
  <c r="S113" i="8"/>
  <c r="Z142" i="5"/>
  <c r="L142" i="5"/>
  <c r="AB231" i="5" a="1"/>
  <c r="AB231" i="5" s="1"/>
  <c r="AA231" i="5" a="1"/>
  <c r="AA231" i="5" s="1"/>
  <c r="C199" i="6"/>
  <c r="O199" i="5"/>
  <c r="L19" i="5"/>
  <c r="Z19" i="5"/>
  <c r="S20" i="8"/>
  <c r="AM19" i="5"/>
  <c r="I19" i="12"/>
  <c r="AB112" i="5" a="1"/>
  <c r="AB112" i="5" s="1"/>
  <c r="AA112" i="5" a="1"/>
  <c r="AA112" i="5" s="1"/>
  <c r="C71" i="12"/>
  <c r="O71" i="12" a="1"/>
  <c r="O71" i="12" s="1"/>
  <c r="M71" i="12" a="1"/>
  <c r="M71" i="12" s="1"/>
  <c r="AO71" i="12" a="1"/>
  <c r="AO71" i="12" s="1"/>
  <c r="Y71" i="12" s="1"/>
  <c r="AO214" i="12" a="1"/>
  <c r="AO214" i="12" s="1"/>
  <c r="Y214" i="12" s="1"/>
  <c r="O214" i="12" a="1"/>
  <c r="O214" i="12" s="1"/>
  <c r="C214" i="12"/>
  <c r="M214" i="12" a="1"/>
  <c r="M214" i="12" s="1"/>
  <c r="Z14" i="7"/>
  <c r="AB137" i="5" a="1"/>
  <c r="AB137" i="5" s="1"/>
  <c r="AA137" i="5" a="1"/>
  <c r="AA137" i="5" s="1"/>
  <c r="AB211" i="5" a="1"/>
  <c r="AB211" i="5" s="1"/>
  <c r="AA211" i="5" a="1"/>
  <c r="AA211" i="5" s="1"/>
  <c r="C202" i="6"/>
  <c r="O202" i="5"/>
  <c r="C138" i="6"/>
  <c r="O138" i="5"/>
  <c r="C219" i="6"/>
  <c r="O219" i="5"/>
  <c r="C93" i="12"/>
  <c r="O93" i="12" a="1"/>
  <c r="O93" i="12" s="1"/>
  <c r="N93" i="12" s="1"/>
  <c r="M93" i="12" a="1"/>
  <c r="M93" i="12" s="1"/>
  <c r="AO93" i="12" a="1"/>
  <c r="AO93" i="12" s="1"/>
  <c r="Y93" i="12" s="1"/>
  <c r="O37" i="12" a="1"/>
  <c r="O37" i="12" s="1"/>
  <c r="AO37" i="12" a="1"/>
  <c r="AO37" i="12" s="1"/>
  <c r="C37" i="12"/>
  <c r="M37" i="12" a="1"/>
  <c r="M37" i="12" s="1"/>
  <c r="C160" i="6"/>
  <c r="O160" i="5"/>
  <c r="C212" i="6"/>
  <c r="O212" i="5"/>
  <c r="AB95" i="5" a="1"/>
  <c r="AB95" i="5" s="1"/>
  <c r="AA95" i="5" a="1"/>
  <c r="AA95" i="5" s="1"/>
  <c r="AB200" i="5" a="1"/>
  <c r="AB200" i="5" s="1"/>
  <c r="AA200" i="5" a="1"/>
  <c r="AA200" i="5" s="1"/>
  <c r="O235" i="5"/>
  <c r="C235" i="6"/>
  <c r="AO218" i="12" a="1"/>
  <c r="AO218" i="12" s="1"/>
  <c r="M218" i="12" a="1"/>
  <c r="M218" i="12" s="1"/>
  <c r="C218" i="12"/>
  <c r="O218" i="12" a="1"/>
  <c r="O218" i="12" s="1"/>
  <c r="AB210" i="5" a="1"/>
  <c r="AB210" i="5" s="1"/>
  <c r="AA210" i="5" a="1"/>
  <c r="AA210" i="5" s="1"/>
  <c r="O41" i="12" a="1"/>
  <c r="O41" i="12" s="1"/>
  <c r="N41" i="12" s="1"/>
  <c r="C41" i="12"/>
  <c r="M41" i="12" a="1"/>
  <c r="M41" i="12" s="1"/>
  <c r="AO41" i="12" a="1"/>
  <c r="AO41" i="12" s="1"/>
  <c r="Y41" i="12" s="1"/>
  <c r="C131" i="6"/>
  <c r="O131" i="5"/>
  <c r="C228" i="6"/>
  <c r="O228" i="5"/>
  <c r="O207" i="12" a="1"/>
  <c r="O207" i="12" s="1"/>
  <c r="N207" i="12" s="1"/>
  <c r="C207" i="12"/>
  <c r="AO207" i="12" a="1"/>
  <c r="AO207" i="12" s="1"/>
  <c r="M207" i="12" a="1"/>
  <c r="M207" i="12" s="1"/>
  <c r="O237" i="5"/>
  <c r="C237" i="6"/>
  <c r="O29" i="5"/>
  <c r="C29" i="6"/>
  <c r="AB238" i="5" a="1"/>
  <c r="AB238" i="5" s="1"/>
  <c r="AA238" i="5" a="1"/>
  <c r="AA238" i="5" s="1"/>
  <c r="C148" i="12"/>
  <c r="AO148" i="12" a="1"/>
  <c r="AO148" i="12" s="1"/>
  <c r="Y148" i="12" s="1"/>
  <c r="M148" i="12" a="1"/>
  <c r="M148" i="12" s="1"/>
  <c r="O148" i="12" a="1"/>
  <c r="O148" i="12" s="1"/>
  <c r="C186" i="6"/>
  <c r="O186" i="5"/>
  <c r="E56" i="6"/>
  <c r="D56" i="12"/>
  <c r="O58" i="12" a="1"/>
  <c r="O58" i="12" s="1"/>
  <c r="C58" i="12"/>
  <c r="AO58" i="12" a="1"/>
  <c r="AO58" i="12" s="1"/>
  <c r="Y58" i="12" s="1"/>
  <c r="M58" i="12" a="1"/>
  <c r="M58" i="12" s="1"/>
  <c r="AB149" i="5" a="1"/>
  <c r="AB149" i="5" s="1"/>
  <c r="AA149" i="5" a="1"/>
  <c r="AA149" i="5" s="1"/>
  <c r="C158" i="6"/>
  <c r="O158" i="5"/>
  <c r="M47" i="12" a="1"/>
  <c r="M47" i="12" s="1"/>
  <c r="AO47" i="12" a="1"/>
  <c r="AO47" i="12" s="1"/>
  <c r="C47" i="12"/>
  <c r="O47" i="12" a="1"/>
  <c r="O47" i="12" s="1"/>
  <c r="N47" i="12" s="1"/>
  <c r="C38" i="6"/>
  <c r="O38" i="5"/>
  <c r="O85" i="12" a="1"/>
  <c r="O85" i="12" s="1"/>
  <c r="AO85" i="12" a="1"/>
  <c r="AO85" i="12" s="1"/>
  <c r="M85" i="12" a="1"/>
  <c r="M85" i="12" s="1"/>
  <c r="C85" i="12"/>
  <c r="A51" i="9"/>
  <c r="AB174" i="5" a="1"/>
  <c r="AB174" i="5" s="1"/>
  <c r="AA174" i="5" a="1"/>
  <c r="AA174" i="5" s="1"/>
  <c r="O100" i="5"/>
  <c r="C100" i="6"/>
  <c r="AB124" i="5" a="1"/>
  <c r="AB124" i="5" s="1"/>
  <c r="AA124" i="5" a="1"/>
  <c r="AA124" i="5" s="1"/>
  <c r="C145" i="6"/>
  <c r="O145" i="5"/>
  <c r="AB88" i="5" a="1"/>
  <c r="AB88" i="5" s="1"/>
  <c r="AA88" i="5" a="1"/>
  <c r="AA88" i="5" s="1"/>
  <c r="C199" i="12"/>
  <c r="O199" i="12" a="1"/>
  <c r="O199" i="12" s="1"/>
  <c r="N199" i="12" s="1"/>
  <c r="M199" i="12" a="1"/>
  <c r="M199" i="12" s="1"/>
  <c r="AO199" i="12" a="1"/>
  <c r="AO199" i="12" s="1"/>
  <c r="M154" i="12" a="1"/>
  <c r="M154" i="12" s="1"/>
  <c r="C154" i="12"/>
  <c r="O154" i="12" a="1"/>
  <c r="O154" i="12" s="1"/>
  <c r="AO154" i="12" a="1"/>
  <c r="AO154" i="12" s="1"/>
  <c r="Y154" i="12" s="1"/>
  <c r="C55" i="6"/>
  <c r="O55" i="5"/>
  <c r="AB20" i="5" a="1"/>
  <c r="AB20" i="5" s="1"/>
  <c r="AB19" i="5" s="1" a="1"/>
  <c r="AB19" i="5" s="1"/>
  <c r="D20" i="8" s="1"/>
  <c r="AA20" i="5" a="1"/>
  <c r="AA20" i="5" s="1"/>
  <c r="AA19" i="5" s="1" a="1"/>
  <c r="AA19" i="5" s="1"/>
  <c r="C20" i="8" s="1"/>
  <c r="AO112" i="12" a="1"/>
  <c r="AO112" i="12" s="1"/>
  <c r="Y112" i="12" s="1"/>
  <c r="C112" i="12"/>
  <c r="M112" i="12" a="1"/>
  <c r="M112" i="12" s="1"/>
  <c r="O112" i="12" a="1"/>
  <c r="O112" i="12" s="1"/>
  <c r="C71" i="6"/>
  <c r="O71" i="5"/>
  <c r="AB214" i="5" a="1"/>
  <c r="AB214" i="5" s="1"/>
  <c r="AA214" i="5" a="1"/>
  <c r="AA214" i="5" s="1"/>
  <c r="I175" i="12"/>
  <c r="S125" i="8"/>
  <c r="AM175" i="5"/>
  <c r="L175" i="5"/>
  <c r="Z175" i="5"/>
  <c r="AB190" i="5" a="1"/>
  <c r="AB190" i="5" s="1"/>
  <c r="AA190" i="5" a="1"/>
  <c r="AA190" i="5" s="1"/>
  <c r="AB141" i="5" a="1"/>
  <c r="AB141" i="5" s="1"/>
  <c r="AA141" i="5" a="1"/>
  <c r="AA141" i="5" s="1"/>
  <c r="D87" i="12"/>
  <c r="E87" i="6"/>
  <c r="M178" i="12" a="1"/>
  <c r="M178" i="12" s="1"/>
  <c r="O178" i="12" a="1"/>
  <c r="O178" i="12" s="1"/>
  <c r="N178" i="12" s="1"/>
  <c r="AO178" i="12" a="1"/>
  <c r="AO178" i="12" s="1"/>
  <c r="Y178" i="12" s="1"/>
  <c r="C178" i="12"/>
  <c r="AB223" i="5" a="1"/>
  <c r="AB223" i="5" s="1"/>
  <c r="AA223" i="5" a="1"/>
  <c r="AA223" i="5" s="1"/>
  <c r="C138" i="12"/>
  <c r="M138" i="12" a="1"/>
  <c r="M138" i="12" s="1"/>
  <c r="O138" i="12" a="1"/>
  <c r="O138" i="12" s="1"/>
  <c r="AO138" i="12" a="1"/>
  <c r="AO138" i="12" s="1"/>
  <c r="Y138" i="12" s="1"/>
  <c r="AB219" i="5" a="1"/>
  <c r="AB219" i="5" s="1"/>
  <c r="AA219" i="5" a="1"/>
  <c r="AA219" i="5" s="1"/>
  <c r="M243" i="12" a="1"/>
  <c r="M243" i="12" s="1"/>
  <c r="C243" i="12"/>
  <c r="AO243" i="12" a="1"/>
  <c r="AO243" i="12" s="1"/>
  <c r="O243" i="12" a="1"/>
  <c r="O243" i="12" s="1"/>
  <c r="N243" i="12" s="1"/>
  <c r="AB197" i="5" a="1"/>
  <c r="AB197" i="5" s="1"/>
  <c r="AA197" i="5" a="1"/>
  <c r="AA197" i="5" s="1"/>
  <c r="C170" i="12"/>
  <c r="M170" i="12" a="1"/>
  <c r="M170" i="12" s="1"/>
  <c r="AO170" i="12" a="1"/>
  <c r="AO170" i="12" s="1"/>
  <c r="O170" i="12" a="1"/>
  <c r="O170" i="12" s="1"/>
  <c r="N170" i="12" s="1"/>
  <c r="O95" i="5"/>
  <c r="C95" i="6"/>
  <c r="O104" i="5"/>
  <c r="C104" i="6"/>
  <c r="AB235" i="5" a="1"/>
  <c r="AB235" i="5" s="1"/>
  <c r="AA235" i="5" a="1"/>
  <c r="AA235" i="5" s="1"/>
  <c r="AB117" i="5" a="1"/>
  <c r="AB117" i="5" s="1"/>
  <c r="AA117" i="5" a="1"/>
  <c r="AA117" i="5" s="1"/>
  <c r="AM217" i="5"/>
  <c r="I217" i="12"/>
  <c r="S140" i="8"/>
  <c r="Z217" i="5"/>
  <c r="L217" i="5"/>
  <c r="O80" i="5"/>
  <c r="C80" i="6"/>
  <c r="C96" i="6"/>
  <c r="O96" i="5"/>
  <c r="C131" i="12"/>
  <c r="O131" i="12" a="1"/>
  <c r="O131" i="12" s="1"/>
  <c r="M131" i="12" a="1"/>
  <c r="M131" i="12" s="1"/>
  <c r="AO131" i="12" a="1"/>
  <c r="AO131" i="12" s="1"/>
  <c r="M228" i="12" a="1"/>
  <c r="M228" i="12" s="1"/>
  <c r="O228" i="12" a="1"/>
  <c r="O228" i="12" s="1"/>
  <c r="AO228" i="12" a="1"/>
  <c r="AO228" i="12" s="1"/>
  <c r="Y228" i="12" s="1"/>
  <c r="C228" i="12"/>
  <c r="AO33" i="12" a="1"/>
  <c r="AO33" i="12" s="1"/>
  <c r="M33" i="12" a="1"/>
  <c r="M33" i="12" s="1"/>
  <c r="O33" i="12" a="1"/>
  <c r="O33" i="12" s="1"/>
  <c r="N33" i="12" s="1"/>
  <c r="C33" i="12"/>
  <c r="C29" i="12"/>
  <c r="O29" i="12" a="1"/>
  <c r="O29" i="12" s="1"/>
  <c r="M29" i="12" a="1"/>
  <c r="M29" i="12" s="1"/>
  <c r="AO29" i="12" a="1"/>
  <c r="AO29" i="12" s="1"/>
  <c r="AB148" i="5" a="1"/>
  <c r="AB148" i="5" s="1"/>
  <c r="AA148" i="5" a="1"/>
  <c r="AA148" i="5" s="1"/>
  <c r="C57" i="6"/>
  <c r="O57" i="5"/>
  <c r="O186" i="12" a="1"/>
  <c r="O186" i="12" s="1"/>
  <c r="M186" i="12" a="1"/>
  <c r="M186" i="12" s="1"/>
  <c r="AO186" i="12" a="1"/>
  <c r="AO186" i="12" s="1"/>
  <c r="Y186" i="12" s="1"/>
  <c r="C186" i="12"/>
  <c r="C69" i="6"/>
  <c r="O69" i="5"/>
  <c r="AO149" i="12" a="1"/>
  <c r="AO149" i="12" s="1"/>
  <c r="Y149" i="12" s="1"/>
  <c r="C149" i="12"/>
  <c r="O149" i="12" a="1"/>
  <c r="O149" i="12" s="1"/>
  <c r="N149" i="12" s="1"/>
  <c r="M149" i="12" a="1"/>
  <c r="M149" i="12" s="1"/>
  <c r="L115" i="5"/>
  <c r="S95" i="8"/>
  <c r="Z115" i="5"/>
  <c r="AM115" i="5"/>
  <c r="I115" i="12"/>
  <c r="Z91" i="5"/>
  <c r="S71" i="8"/>
  <c r="AM91" i="5"/>
  <c r="L91" i="5"/>
  <c r="I91" i="12"/>
  <c r="M111" i="12" a="1"/>
  <c r="M111" i="12" s="1"/>
  <c r="O111" i="12" a="1"/>
  <c r="O111" i="12" s="1"/>
  <c r="AO111" i="12" a="1"/>
  <c r="AO111" i="12" s="1"/>
  <c r="C111" i="12"/>
  <c r="AB85" i="5" a="1"/>
  <c r="AB85" i="5" s="1"/>
  <c r="AA85" i="5" a="1"/>
  <c r="AA85" i="5" s="1"/>
  <c r="A21" i="9"/>
  <c r="I45" i="12"/>
  <c r="L45" i="5"/>
  <c r="Z45" i="5"/>
  <c r="S38" i="8"/>
  <c r="AM45" i="5"/>
  <c r="C152" i="6"/>
  <c r="O152" i="5"/>
  <c r="A54" i="9"/>
  <c r="O88" i="5"/>
  <c r="C88" i="6"/>
  <c r="AB154" i="5" a="1"/>
  <c r="AB154" i="5" s="1"/>
  <c r="AA154" i="5" a="1"/>
  <c r="AA154" i="5" s="1"/>
  <c r="AB55" i="5" a="1"/>
  <c r="AB55" i="5" s="1"/>
  <c r="AA55" i="5" a="1"/>
  <c r="AA55" i="5" s="1"/>
  <c r="AB97" i="5" a="1"/>
  <c r="AB97" i="5" s="1"/>
  <c r="AA97" i="5" a="1"/>
  <c r="AA97" i="5" s="1"/>
  <c r="AB21" i="5" a="1"/>
  <c r="AB21" i="5" s="1"/>
  <c r="AA21" i="5" a="1"/>
  <c r="AA21" i="5" s="1"/>
  <c r="AB176" i="5" a="1"/>
  <c r="AB176" i="5" s="1"/>
  <c r="AA176" i="5" a="1"/>
  <c r="AA176" i="5" s="1"/>
  <c r="AB157" i="5" a="1"/>
  <c r="AB157" i="5" s="1"/>
  <c r="AA157" i="5" a="1"/>
  <c r="AA157" i="5" s="1"/>
  <c r="M202" i="12" a="1"/>
  <c r="M202" i="12" s="1"/>
  <c r="AO202" i="12" a="1"/>
  <c r="AO202" i="12" s="1"/>
  <c r="O202" i="12" a="1"/>
  <c r="O202" i="12" s="1"/>
  <c r="N202" i="12" s="1"/>
  <c r="C202" i="12"/>
  <c r="O178" i="5"/>
  <c r="C178" i="6"/>
  <c r="O223" i="12" a="1"/>
  <c r="O223" i="12" s="1"/>
  <c r="AO223" i="12" a="1"/>
  <c r="AO223" i="12" s="1"/>
  <c r="Y223" i="12" s="1"/>
  <c r="M223" i="12" a="1"/>
  <c r="M223" i="12" s="1"/>
  <c r="C223" i="12"/>
  <c r="AO42" i="12" a="1"/>
  <c r="AO42" i="12" s="1"/>
  <c r="C42" i="12"/>
  <c r="O42" i="12" a="1"/>
  <c r="O42" i="12" s="1"/>
  <c r="M42" i="12" a="1"/>
  <c r="M42" i="12" s="1"/>
  <c r="C81" i="6"/>
  <c r="O81" i="5"/>
  <c r="M183" i="12" a="1"/>
  <c r="M183" i="12" s="1"/>
  <c r="AO183" i="12" a="1"/>
  <c r="AO183" i="12" s="1"/>
  <c r="Y183" i="12" s="1"/>
  <c r="O183" i="12" a="1"/>
  <c r="O183" i="12" s="1"/>
  <c r="C183" i="12"/>
  <c r="C160" i="12"/>
  <c r="O160" i="12" a="1"/>
  <c r="O160" i="12" s="1"/>
  <c r="AO160" i="12" a="1"/>
  <c r="AO160" i="12" s="1"/>
  <c r="Y160" i="12" s="1"/>
  <c r="M160" i="12" a="1"/>
  <c r="M160" i="12" s="1"/>
  <c r="C170" i="6"/>
  <c r="O170" i="5"/>
  <c r="AB104" i="5" a="1"/>
  <c r="AB104" i="5" s="1"/>
  <c r="AA104" i="5" a="1"/>
  <c r="AA104" i="5" s="1"/>
  <c r="O200" i="5"/>
  <c r="C200" i="6"/>
  <c r="O64" i="5"/>
  <c r="C64" i="6"/>
  <c r="M96" i="12" a="1"/>
  <c r="M96" i="12" s="1"/>
  <c r="C96" i="12"/>
  <c r="AO96" i="12" a="1"/>
  <c r="AO96" i="12" s="1"/>
  <c r="O96" i="12" a="1"/>
  <c r="O96" i="12" s="1"/>
  <c r="N96" i="12" s="1"/>
  <c r="AB120" i="5" a="1"/>
  <c r="AB120" i="5" s="1"/>
  <c r="AA120" i="5" a="1"/>
  <c r="AA120" i="5" s="1"/>
  <c r="C41" i="6"/>
  <c r="O41" i="5"/>
  <c r="C33" i="6"/>
  <c r="O33" i="5"/>
  <c r="AB237" i="5" a="1"/>
  <c r="AB237" i="5" s="1"/>
  <c r="AA237" i="5" a="1"/>
  <c r="AA237" i="5" s="1"/>
  <c r="C238" i="12"/>
  <c r="AO238" i="12" a="1"/>
  <c r="AO238" i="12" s="1"/>
  <c r="M238" i="12" a="1"/>
  <c r="M238" i="12" s="1"/>
  <c r="O238" i="12" a="1"/>
  <c r="O238" i="12" s="1"/>
  <c r="N238" i="12" s="1"/>
  <c r="C240" i="6"/>
  <c r="O240" i="5"/>
  <c r="M193" i="12" a="1"/>
  <c r="M193" i="12" s="1"/>
  <c r="C193" i="12"/>
  <c r="O193" i="12" a="1"/>
  <c r="O193" i="12" s="1"/>
  <c r="AO193" i="12" a="1"/>
  <c r="AO193" i="12" s="1"/>
  <c r="Y193" i="12" s="1"/>
  <c r="AO129" i="12" a="1"/>
  <c r="AO129" i="12" s="1"/>
  <c r="M129" i="12" a="1"/>
  <c r="M129" i="12" s="1"/>
  <c r="C129" i="12"/>
  <c r="O129" i="12" a="1"/>
  <c r="O129" i="12" s="1"/>
  <c r="AB186" i="5" a="1"/>
  <c r="AB186" i="5" s="1"/>
  <c r="AA186" i="5" a="1"/>
  <c r="AA186" i="5" s="1"/>
  <c r="C58" i="6"/>
  <c r="O58" i="5"/>
  <c r="M69" i="12" a="1"/>
  <c r="M69" i="12" s="1"/>
  <c r="O69" i="12" a="1"/>
  <c r="O69" i="12" s="1"/>
  <c r="N69" i="12" s="1"/>
  <c r="AO69" i="12" a="1"/>
  <c r="AO69" i="12" s="1"/>
  <c r="C69" i="12"/>
  <c r="C116" i="6"/>
  <c r="O116" i="5"/>
  <c r="AB92" i="5" a="1"/>
  <c r="AB92" i="5" s="1"/>
  <c r="AA92" i="5" a="1"/>
  <c r="AA92" i="5" s="1"/>
  <c r="AA14" i="7"/>
  <c r="C85" i="6"/>
  <c r="O85" i="5"/>
  <c r="A56" i="9"/>
  <c r="A50" i="9"/>
  <c r="A48" i="9"/>
  <c r="O195" i="12" a="1"/>
  <c r="O195" i="12" s="1"/>
  <c r="N195" i="12" s="1"/>
  <c r="AO195" i="12" a="1"/>
  <c r="AO195" i="12" s="1"/>
  <c r="M195" i="12" a="1"/>
  <c r="M195" i="12" s="1"/>
  <c r="C195" i="12"/>
  <c r="M208" i="12" a="1"/>
  <c r="M208" i="12" s="1"/>
  <c r="C208" i="12"/>
  <c r="AO208" i="12" a="1"/>
  <c r="AO208" i="12" s="1"/>
  <c r="O208" i="12" a="1"/>
  <c r="O208" i="12" s="1"/>
  <c r="N208" i="12" s="1"/>
  <c r="AB143" i="5" a="1"/>
  <c r="AB143" i="5" s="1"/>
  <c r="AA143" i="5" a="1"/>
  <c r="AA143" i="5" s="1"/>
  <c r="R14" i="7"/>
  <c r="M88" i="12" a="1"/>
  <c r="M88" i="12" s="1"/>
  <c r="O88" i="12" a="1"/>
  <c r="O88" i="12" s="1"/>
  <c r="N88" i="12" s="1"/>
  <c r="AO88" i="12" a="1"/>
  <c r="AO88" i="12" s="1"/>
  <c r="C88" i="12"/>
  <c r="C154" i="6"/>
  <c r="O154" i="5"/>
  <c r="M55" i="12" a="1"/>
  <c r="M55" i="12" s="1"/>
  <c r="C55" i="12"/>
  <c r="AO55" i="12" a="1"/>
  <c r="AO55" i="12" s="1"/>
  <c r="O55" i="12" a="1"/>
  <c r="O55" i="12" s="1"/>
  <c r="N55" i="12" s="1"/>
  <c r="X121" i="12" a="1"/>
  <c r="X121" i="12" s="1"/>
  <c r="W121" i="12" a="1"/>
  <c r="W121" i="12" s="1"/>
  <c r="O21" i="5"/>
  <c r="C21" i="6"/>
  <c r="I166" i="12"/>
  <c r="S119" i="8"/>
  <c r="AM166" i="5"/>
  <c r="Z166" i="5"/>
  <c r="L166" i="5"/>
  <c r="O176" i="5"/>
  <c r="C176" i="6"/>
  <c r="AO190" i="12" a="1"/>
  <c r="AO190" i="12" s="1"/>
  <c r="Y190" i="12" s="1"/>
  <c r="M190" i="12" a="1"/>
  <c r="M190" i="12" s="1"/>
  <c r="C190" i="12"/>
  <c r="O190" i="12" a="1"/>
  <c r="O190" i="12" s="1"/>
  <c r="AB202" i="5" a="1"/>
  <c r="AB202" i="5" s="1"/>
  <c r="AA202" i="5" a="1"/>
  <c r="AA202" i="5" s="1"/>
  <c r="O223" i="5"/>
  <c r="C223" i="6"/>
  <c r="M32" i="12" a="1"/>
  <c r="M32" i="12" s="1"/>
  <c r="AO32" i="12" a="1"/>
  <c r="AO32" i="12" s="1"/>
  <c r="C32" i="12"/>
  <c r="O32" i="12" a="1"/>
  <c r="O32" i="12" s="1"/>
  <c r="N32" i="12" s="1"/>
  <c r="O14" i="7"/>
  <c r="O171" i="5"/>
  <c r="C171" i="6"/>
  <c r="T14" i="7"/>
  <c r="M81" i="12" a="1"/>
  <c r="M81" i="12" s="1"/>
  <c r="C81" i="12"/>
  <c r="O81" i="12" a="1"/>
  <c r="O81" i="12" s="1"/>
  <c r="AO81" i="12" a="1"/>
  <c r="AO81" i="12" s="1"/>
  <c r="Y81" i="12" s="1"/>
  <c r="C183" i="6"/>
  <c r="O183" i="5"/>
  <c r="AO197" i="12" a="1"/>
  <c r="AO197" i="12" s="1"/>
  <c r="O197" i="12" a="1"/>
  <c r="O197" i="12" s="1"/>
  <c r="N197" i="12" s="1"/>
  <c r="C197" i="12"/>
  <c r="M197" i="12" a="1"/>
  <c r="M197" i="12" s="1"/>
  <c r="I94" i="12"/>
  <c r="AM94" i="5"/>
  <c r="S74" i="8"/>
  <c r="L94" i="5"/>
  <c r="Z94" i="5"/>
  <c r="AO104" i="12" a="1"/>
  <c r="AO104" i="12" s="1"/>
  <c r="O104" i="12" a="1"/>
  <c r="O104" i="12" s="1"/>
  <c r="C104" i="12"/>
  <c r="M104" i="12" a="1"/>
  <c r="M104" i="12" s="1"/>
  <c r="O23" i="11" a="1"/>
  <c r="O23" i="11" s="1"/>
  <c r="AM233" i="5"/>
  <c r="I233" i="12"/>
  <c r="S146" i="8"/>
  <c r="L233" i="5"/>
  <c r="Z233" i="5"/>
  <c r="AB64" i="5" a="1"/>
  <c r="AB64" i="5" s="1"/>
  <c r="AA64" i="5" a="1"/>
  <c r="AA64" i="5" s="1"/>
  <c r="O74" i="5"/>
  <c r="C74" i="6"/>
  <c r="K14" i="7"/>
  <c r="AB96" i="5" a="1"/>
  <c r="AB96" i="5" s="1"/>
  <c r="AA96" i="5" a="1"/>
  <c r="AA96" i="5" s="1"/>
  <c r="C120" i="6"/>
  <c r="O120" i="5"/>
  <c r="AB41" i="5" a="1"/>
  <c r="AB41" i="5" s="1"/>
  <c r="AA41" i="5" a="1"/>
  <c r="AA41" i="5" s="1"/>
  <c r="C237" i="12"/>
  <c r="M237" i="12" a="1"/>
  <c r="M237" i="12" s="1"/>
  <c r="O237" i="12" a="1"/>
  <c r="O237" i="12" s="1"/>
  <c r="N237" i="12" s="1"/>
  <c r="AO237" i="12" a="1"/>
  <c r="AO237" i="12" s="1"/>
  <c r="Y237" i="12" s="1"/>
  <c r="C139" i="6"/>
  <c r="O139" i="5"/>
  <c r="C238" i="6"/>
  <c r="O238" i="5"/>
  <c r="AO240" i="12" a="1"/>
  <c r="AO240" i="12" s="1"/>
  <c r="Y240" i="12" s="1"/>
  <c r="M240" i="12" a="1"/>
  <c r="M240" i="12" s="1"/>
  <c r="C240" i="12"/>
  <c r="O240" i="12" a="1"/>
  <c r="O240" i="12" s="1"/>
  <c r="O193" i="5"/>
  <c r="C193" i="6"/>
  <c r="S101" i="8"/>
  <c r="L128" i="5"/>
  <c r="AM128" i="5"/>
  <c r="I128" i="12"/>
  <c r="Z128" i="5"/>
  <c r="O148" i="5"/>
  <c r="C148" i="6"/>
  <c r="M57" i="12" a="1"/>
  <c r="M57" i="12" s="1"/>
  <c r="O57" i="12" a="1"/>
  <c r="O57" i="12" s="1"/>
  <c r="N57" i="12" s="1"/>
  <c r="C57" i="12"/>
  <c r="AO57" i="12" a="1"/>
  <c r="AO57" i="12" s="1"/>
  <c r="Y57" i="12" s="1"/>
  <c r="AB78" i="5" a="1"/>
  <c r="AB78" i="5" s="1"/>
  <c r="AA78" i="5" a="1"/>
  <c r="AA78" i="5" s="1"/>
  <c r="AB69" i="5" a="1"/>
  <c r="AB69" i="5" s="1"/>
  <c r="AA69" i="5" a="1"/>
  <c r="AA69" i="5" s="1"/>
  <c r="Z203" i="5"/>
  <c r="S134" i="8"/>
  <c r="I203" i="12"/>
  <c r="L203" i="5"/>
  <c r="AM203" i="5"/>
  <c r="AB116" i="5" a="1"/>
  <c r="AB116" i="5" s="1"/>
  <c r="AA116" i="5" a="1"/>
  <c r="AA116" i="5" s="1"/>
  <c r="O77" i="12" a="1"/>
  <c r="O77" i="12" s="1"/>
  <c r="M77" i="12" a="1"/>
  <c r="M77" i="12" s="1"/>
  <c r="AO77" i="12" a="1"/>
  <c r="AO77" i="12" s="1"/>
  <c r="C77" i="12"/>
  <c r="AO89" i="12" a="1"/>
  <c r="AO89" i="12" s="1"/>
  <c r="M89" i="12" a="1"/>
  <c r="M89" i="12" s="1"/>
  <c r="C89" i="12"/>
  <c r="O89" i="12" a="1"/>
  <c r="O89" i="12" s="1"/>
  <c r="N89" i="12" s="1"/>
  <c r="I84" i="12"/>
  <c r="AM84" i="5"/>
  <c r="L84" i="5"/>
  <c r="S68" i="8"/>
  <c r="Z84" i="5"/>
  <c r="A1" i="9"/>
  <c r="G1" i="7"/>
  <c r="M124" i="12" a="1"/>
  <c r="M124" i="12" s="1"/>
  <c r="C124" i="12"/>
  <c r="O124" i="12" a="1"/>
  <c r="O124" i="12" s="1"/>
  <c r="N124" i="12" s="1"/>
  <c r="AO124" i="12" a="1"/>
  <c r="AO124" i="12" s="1"/>
  <c r="Y124" i="12" s="1"/>
  <c r="AE175" i="8"/>
  <c r="AB175" i="8"/>
  <c r="Z175" i="8"/>
  <c r="U175" i="8"/>
  <c r="AG175" i="8"/>
  <c r="AD175" i="8"/>
  <c r="AA175" i="8"/>
  <c r="AP175" i="8"/>
  <c r="AC175" i="8"/>
  <c r="AR175" i="8"/>
  <c r="Y175" i="8"/>
  <c r="AM175" i="8"/>
  <c r="AQ175" i="8"/>
  <c r="W175" i="8"/>
  <c r="AI175" i="8"/>
  <c r="AL175" i="8"/>
  <c r="AF175" i="8"/>
  <c r="V175" i="8"/>
  <c r="AN175" i="8"/>
  <c r="AH175" i="8"/>
  <c r="AO175" i="8"/>
  <c r="AJ175" i="8"/>
  <c r="X175" i="8"/>
  <c r="AK175" i="8"/>
  <c r="C163" i="12"/>
  <c r="M163" i="12" a="1"/>
  <c r="M163" i="12" s="1"/>
  <c r="O163" i="12" a="1"/>
  <c r="O163" i="12" s="1"/>
  <c r="AO163" i="12" a="1"/>
  <c r="AO163" i="12" s="1"/>
  <c r="Y163" i="12" s="1"/>
  <c r="AB46" i="5" a="1"/>
  <c r="AB46" i="5" s="1"/>
  <c r="AA46" i="5" a="1"/>
  <c r="AA46" i="5" s="1"/>
  <c r="O152" i="12" a="1"/>
  <c r="O152" i="12" s="1"/>
  <c r="C152" i="12"/>
  <c r="AO152" i="12" a="1"/>
  <c r="AO152" i="12" s="1"/>
  <c r="Y152" i="12" s="1"/>
  <c r="M152" i="12" a="1"/>
  <c r="M152" i="12" s="1"/>
  <c r="O189" i="5"/>
  <c r="C189" i="6"/>
  <c r="O213" i="12" a="1"/>
  <c r="O213" i="12" s="1"/>
  <c r="M213" i="12" a="1"/>
  <c r="M213" i="12" s="1"/>
  <c r="C213" i="12"/>
  <c r="AO213" i="12" a="1"/>
  <c r="AO213" i="12" s="1"/>
  <c r="Y164" i="12"/>
  <c r="O161" i="5"/>
  <c r="C161" i="6"/>
  <c r="M159" i="12" a="1"/>
  <c r="M159" i="12" s="1"/>
  <c r="C159" i="12"/>
  <c r="AO159" i="12" a="1"/>
  <c r="AO159" i="12" s="1"/>
  <c r="O159" i="12" a="1"/>
  <c r="O159" i="12" s="1"/>
  <c r="N159" i="12" s="1"/>
  <c r="AB230" i="5" a="1"/>
  <c r="AB230" i="5" s="1"/>
  <c r="AA230" i="5" a="1"/>
  <c r="AA230" i="5" s="1"/>
  <c r="A37" i="9"/>
  <c r="A39" i="9"/>
  <c r="AB140" i="5" a="1"/>
  <c r="AB140" i="5" s="1"/>
  <c r="AA140" i="5" a="1"/>
  <c r="AA140" i="5" s="1"/>
  <c r="A29" i="9"/>
  <c r="A24" i="9"/>
  <c r="A27" i="9"/>
  <c r="A23" i="9"/>
  <c r="E14" i="7"/>
  <c r="I14" i="7"/>
  <c r="AB195" i="5" a="1"/>
  <c r="AB195" i="5" s="1"/>
  <c r="AA195" i="5" a="1"/>
  <c r="AA195" i="5" s="1"/>
  <c r="AB208" i="5" a="1"/>
  <c r="AB208" i="5" s="1"/>
  <c r="AA208" i="5" a="1"/>
  <c r="AA208" i="5" s="1"/>
  <c r="W56" i="12" a="1"/>
  <c r="W56" i="12" s="1"/>
  <c r="X56" i="12" a="1"/>
  <c r="X56" i="12" s="1"/>
  <c r="C97" i="6"/>
  <c r="O97" i="5"/>
  <c r="AO21" i="12" a="1"/>
  <c r="AO21" i="12" s="1"/>
  <c r="Y21" i="12" s="1"/>
  <c r="M21" i="12" a="1"/>
  <c r="M21" i="12" s="1"/>
  <c r="C21" i="12"/>
  <c r="O21" i="12" a="1"/>
  <c r="O21" i="12" s="1"/>
  <c r="N21" i="12" s="1"/>
  <c r="S14" i="7"/>
  <c r="S122" i="8"/>
  <c r="Z167" i="5"/>
  <c r="I167" i="12"/>
  <c r="AM167" i="5"/>
  <c r="L167" i="5"/>
  <c r="C176" i="12"/>
  <c r="O176" i="12" a="1"/>
  <c r="O176" i="12" s="1"/>
  <c r="M176" i="12" a="1"/>
  <c r="M176" i="12" s="1"/>
  <c r="AO176" i="12" a="1"/>
  <c r="AO176" i="12" s="1"/>
  <c r="O24" i="12" a="1"/>
  <c r="O24" i="12" s="1"/>
  <c r="AO24" i="12" a="1"/>
  <c r="AO24" i="12" s="1"/>
  <c r="M24" i="12" a="1"/>
  <c r="M24" i="12" s="1"/>
  <c r="C24" i="12"/>
  <c r="O190" i="5"/>
  <c r="C190" i="6"/>
  <c r="C122" i="6"/>
  <c r="O122" i="5"/>
  <c r="O157" i="5"/>
  <c r="C157" i="6"/>
  <c r="AB82" i="5" a="1"/>
  <c r="AB82" i="5" s="1"/>
  <c r="AA82" i="5" a="1"/>
  <c r="AA82" i="5" s="1"/>
  <c r="AE64" i="10"/>
  <c r="AE67" i="10" s="1"/>
  <c r="AV62" i="10"/>
  <c r="M64" i="10"/>
  <c r="M67" i="10" s="1"/>
  <c r="AJ62" i="10"/>
  <c r="AH62" i="10"/>
  <c r="AN62" i="10"/>
  <c r="AC64" i="10"/>
  <c r="AC67" i="10" s="1"/>
  <c r="Q64" i="10"/>
  <c r="Q67" i="10" s="1"/>
  <c r="AM15" i="5"/>
  <c r="AC62" i="10"/>
  <c r="O62" i="10"/>
  <c r="U64" i="10"/>
  <c r="U67" i="10" s="1"/>
  <c r="AL64" i="10"/>
  <c r="AL67" i="10" s="1"/>
  <c r="AR64" i="10"/>
  <c r="AR67" i="10" s="1"/>
  <c r="Y64" i="10"/>
  <c r="Y67" i="10" s="1"/>
  <c r="I64" i="10"/>
  <c r="AP64" i="10"/>
  <c r="AP67" i="10" s="1"/>
  <c r="BD62" i="10"/>
  <c r="K62" i="10"/>
  <c r="Y62" i="10"/>
  <c r="BB62" i="10"/>
  <c r="W64" i="10"/>
  <c r="W67" i="10" s="1"/>
  <c r="M62" i="10"/>
  <c r="AX62" i="10"/>
  <c r="O64" i="10"/>
  <c r="O67" i="10" s="1"/>
  <c r="AV64" i="10"/>
  <c r="AV67" i="10" s="1"/>
  <c r="AZ62" i="10"/>
  <c r="AL62" i="10"/>
  <c r="I62" i="10"/>
  <c r="Q62" i="10"/>
  <c r="AP62" i="10"/>
  <c r="AN64" i="10"/>
  <c r="AN67" i="10" s="1"/>
  <c r="K64" i="10"/>
  <c r="K67" i="10" s="1"/>
  <c r="U62" i="10"/>
  <c r="AT64" i="10"/>
  <c r="AT67" i="10" s="1"/>
  <c r="W62" i="10"/>
  <c r="AH64" i="10"/>
  <c r="AT62" i="10"/>
  <c r="S62" i="10"/>
  <c r="AR62" i="10"/>
  <c r="AX64" i="10"/>
  <c r="AX67" i="10" s="1"/>
  <c r="AA64" i="10"/>
  <c r="AA67" i="10" s="1"/>
  <c r="BD64" i="10"/>
  <c r="BD67" i="10" s="1"/>
  <c r="AE62" i="10"/>
  <c r="S64" i="10"/>
  <c r="S67" i="10" s="1"/>
  <c r="AA62" i="10"/>
  <c r="AZ64" i="10"/>
  <c r="AZ67" i="10" s="1"/>
  <c r="AJ64" i="10"/>
  <c r="AJ67" i="10" s="1"/>
  <c r="Z15" i="5"/>
  <c r="BB64" i="10"/>
  <c r="BB67" i="10" s="1"/>
  <c r="AB32" i="5" a="1"/>
  <c r="AB32" i="5" s="1"/>
  <c r="AA32" i="5" a="1"/>
  <c r="AA32" i="5" s="1"/>
  <c r="AB171" i="5" a="1"/>
  <c r="AB171" i="5" s="1"/>
  <c r="AA171" i="5" a="1"/>
  <c r="AA171" i="5" s="1"/>
  <c r="O242" i="12" a="1"/>
  <c r="O242" i="12" s="1"/>
  <c r="C242" i="12"/>
  <c r="AO242" i="12" a="1"/>
  <c r="AO242" i="12" s="1"/>
  <c r="Y242" i="12" s="1"/>
  <c r="M242" i="12" a="1"/>
  <c r="M242" i="12" s="1"/>
  <c r="AB42" i="5" a="1"/>
  <c r="AB42" i="5" s="1"/>
  <c r="AA42" i="5" a="1"/>
  <c r="AA42" i="5" s="1"/>
  <c r="AB81" i="5" a="1"/>
  <c r="AB81" i="5" s="1"/>
  <c r="AA81" i="5" a="1"/>
  <c r="AA81" i="5" s="1"/>
  <c r="AB183" i="5" a="1"/>
  <c r="AB183" i="5" s="1"/>
  <c r="AA183" i="5" a="1"/>
  <c r="AA183" i="5" s="1"/>
  <c r="O197" i="5"/>
  <c r="C197" i="6"/>
  <c r="AB170" i="5" a="1"/>
  <c r="AB170" i="5" s="1"/>
  <c r="AA170" i="5" a="1"/>
  <c r="AA170" i="5" s="1"/>
  <c r="L234" i="5"/>
  <c r="S149" i="8"/>
  <c r="AM234" i="5"/>
  <c r="I234" i="12"/>
  <c r="Z234" i="5"/>
  <c r="O64" i="12" a="1"/>
  <c r="O64" i="12" s="1"/>
  <c r="N64" i="12" s="1"/>
  <c r="AO64" i="12" a="1"/>
  <c r="AO64" i="12" s="1"/>
  <c r="Y64" i="12" s="1"/>
  <c r="C64" i="12"/>
  <c r="M64" i="12" a="1"/>
  <c r="M64" i="12" s="1"/>
  <c r="C218" i="6"/>
  <c r="O218" i="5"/>
  <c r="O239" i="5"/>
  <c r="C239" i="6"/>
  <c r="M43" i="12" a="1"/>
  <c r="M43" i="12" s="1"/>
  <c r="AO43" i="12" a="1"/>
  <c r="AO43" i="12" s="1"/>
  <c r="Y43" i="12" s="1"/>
  <c r="C43" i="12"/>
  <c r="O43" i="12" a="1"/>
  <c r="O43" i="12" s="1"/>
  <c r="AB33" i="5" a="1"/>
  <c r="AB33" i="5" s="1"/>
  <c r="AA33" i="5" a="1"/>
  <c r="AA33" i="5" s="1"/>
  <c r="AB240" i="5" a="1"/>
  <c r="AB240" i="5" s="1"/>
  <c r="AA240" i="5" a="1"/>
  <c r="AA240" i="5" s="1"/>
  <c r="AB193" i="5" a="1"/>
  <c r="AB193" i="5" s="1"/>
  <c r="AA193" i="5" a="1"/>
  <c r="AA193" i="5" s="1"/>
  <c r="AB129" i="5" a="1"/>
  <c r="AB129" i="5" s="1"/>
  <c r="AA129" i="5" a="1"/>
  <c r="AA129" i="5" s="1"/>
  <c r="AB57" i="5" a="1"/>
  <c r="AB57" i="5" s="1"/>
  <c r="AA57" i="5" a="1"/>
  <c r="AA57" i="5" s="1"/>
  <c r="AO78" i="12" a="1"/>
  <c r="AO78" i="12" s="1"/>
  <c r="C78" i="12"/>
  <c r="O78" i="12" a="1"/>
  <c r="O78" i="12" s="1"/>
  <c r="M78" i="12" a="1"/>
  <c r="M78" i="12" s="1"/>
  <c r="I180" i="12"/>
  <c r="L180" i="5"/>
  <c r="S128" i="8"/>
  <c r="Z180" i="5"/>
  <c r="AM180" i="5"/>
  <c r="AB222" i="5" a="1"/>
  <c r="AB222" i="5" s="1"/>
  <c r="AA222" i="5" a="1"/>
  <c r="AA222" i="5" s="1"/>
  <c r="O205" i="12" a="1"/>
  <c r="O205" i="12" s="1"/>
  <c r="M205" i="12" a="1"/>
  <c r="M205" i="12" s="1"/>
  <c r="C205" i="12"/>
  <c r="AO205" i="12" a="1"/>
  <c r="AO205" i="12" s="1"/>
  <c r="AB35" i="5" a="1"/>
  <c r="AB35" i="5" s="1"/>
  <c r="AA35" i="5" a="1"/>
  <c r="AA35" i="5" s="1"/>
  <c r="O82" i="5"/>
  <c r="M92" i="12" a="1"/>
  <c r="M92" i="12" s="1"/>
  <c r="M91" i="12" s="1" a="1"/>
  <c r="M91" i="12" s="1"/>
  <c r="C92" i="12"/>
  <c r="AO92" i="12" a="1"/>
  <c r="AO92" i="12" s="1"/>
  <c r="O92" i="12" a="1"/>
  <c r="O92" i="12" s="1"/>
  <c r="AB86" i="5" a="1"/>
  <c r="AB86" i="5" s="1"/>
  <c r="AA86" i="5" a="1"/>
  <c r="AA86" i="5" s="1"/>
  <c r="A49" i="9"/>
  <c r="I225" i="12"/>
  <c r="AM225" i="5"/>
  <c r="Z225" i="5"/>
  <c r="S143" i="8"/>
  <c r="L225" i="5"/>
  <c r="AB90" i="5" a="1"/>
  <c r="AB90" i="5" s="1"/>
  <c r="AA90" i="5" a="1"/>
  <c r="AA90" i="5" s="1"/>
  <c r="AB187" i="5" a="1"/>
  <c r="AB187" i="5" s="1"/>
  <c r="AA187" i="5" a="1"/>
  <c r="AA187" i="5" s="1"/>
  <c r="C163" i="6"/>
  <c r="O163" i="5"/>
  <c r="O206" i="12" a="1"/>
  <c r="O206" i="12" s="1"/>
  <c r="M206" i="12" a="1"/>
  <c r="M206" i="12" s="1"/>
  <c r="AO206" i="12" a="1"/>
  <c r="AO206" i="12" s="1"/>
  <c r="Y206" i="12" s="1"/>
  <c r="C206" i="12"/>
  <c r="AB173" i="5" a="1"/>
  <c r="AB173" i="5" s="1"/>
  <c r="AA173" i="5" a="1"/>
  <c r="AA173" i="5" s="1"/>
  <c r="C165" i="6"/>
  <c r="O165" i="5"/>
  <c r="A16" i="9"/>
  <c r="F14" i="7"/>
  <c r="G33" i="7" s="1"/>
  <c r="G16" i="7"/>
  <c r="A30" i="9"/>
  <c r="O206" i="5"/>
  <c r="C206" i="6"/>
  <c r="AB189" i="5" a="1"/>
  <c r="AB189" i="5" s="1"/>
  <c r="AA189" i="5" a="1"/>
  <c r="AA189" i="5" s="1"/>
  <c r="C213" i="6"/>
  <c r="O213" i="5"/>
  <c r="AO100" i="12" a="1"/>
  <c r="AO100" i="12" s="1"/>
  <c r="M100" i="12" a="1"/>
  <c r="M100" i="12" s="1"/>
  <c r="M99" i="12" s="1" a="1"/>
  <c r="M99" i="12" s="1"/>
  <c r="C100" i="12"/>
  <c r="O100" i="12" a="1"/>
  <c r="O100" i="12" s="1"/>
  <c r="AB161" i="5" a="1"/>
  <c r="AB161" i="5" s="1"/>
  <c r="AA161" i="5" a="1"/>
  <c r="AA161" i="5" s="1"/>
  <c r="C109" i="12"/>
  <c r="M109" i="12" a="1"/>
  <c r="M109" i="12" s="1"/>
  <c r="O109" i="12" a="1"/>
  <c r="O109" i="12" s="1"/>
  <c r="AO109" i="12" a="1"/>
  <c r="AO109" i="12" s="1"/>
  <c r="Y109" i="12" s="1"/>
  <c r="O159" i="5"/>
  <c r="C159" i="6"/>
  <c r="C106" i="12"/>
  <c r="AO106" i="12" a="1"/>
  <c r="AO106" i="12" s="1"/>
  <c r="O106" i="12" a="1"/>
  <c r="O106" i="12" s="1"/>
  <c r="M106" i="12" a="1"/>
  <c r="M106" i="12" s="1"/>
  <c r="C48" i="6"/>
  <c r="O48" i="5"/>
  <c r="C230" i="6"/>
  <c r="O230" i="5"/>
  <c r="C30" i="6"/>
  <c r="O30" i="5"/>
  <c r="A31" i="9"/>
  <c r="O220" i="12" a="1"/>
  <c r="O220" i="12" s="1"/>
  <c r="M220" i="12" a="1"/>
  <c r="M220" i="12" s="1"/>
  <c r="AO220" i="12" a="1"/>
  <c r="AO220" i="12" s="1"/>
  <c r="Y220" i="12" s="1"/>
  <c r="C220" i="12"/>
  <c r="N236" i="12"/>
  <c r="AB213" i="5" a="1"/>
  <c r="AB213" i="5" s="1"/>
  <c r="AA213" i="5" a="1"/>
  <c r="AA213" i="5" s="1"/>
  <c r="S77" i="8"/>
  <c r="I99" i="12"/>
  <c r="AM99" i="5"/>
  <c r="Z99" i="5"/>
  <c r="L99" i="5"/>
  <c r="M161" i="12" a="1"/>
  <c r="M161" i="12" s="1"/>
  <c r="AO161" i="12" a="1"/>
  <c r="AO161" i="12" s="1"/>
  <c r="O161" i="12" a="1"/>
  <c r="O161" i="12" s="1"/>
  <c r="N161" i="12" s="1"/>
  <c r="C161" i="12"/>
  <c r="O109" i="5"/>
  <c r="C109" i="6"/>
  <c r="C106" i="6"/>
  <c r="O106" i="5"/>
  <c r="M48" i="12" a="1"/>
  <c r="M48" i="12" s="1"/>
  <c r="C48" i="12"/>
  <c r="AO48" i="12" a="1"/>
  <c r="AO48" i="12" s="1"/>
  <c r="O48" i="12" a="1"/>
  <c r="O48" i="12" s="1"/>
  <c r="N48" i="12" s="1"/>
  <c r="O230" i="12" a="1"/>
  <c r="O230" i="12" s="1"/>
  <c r="AO230" i="12" a="1"/>
  <c r="AO230" i="12" s="1"/>
  <c r="Y230" i="12" s="1"/>
  <c r="C230" i="12"/>
  <c r="M230" i="12" a="1"/>
  <c r="M230" i="12" s="1"/>
  <c r="L134" i="5"/>
  <c r="Z134" i="5"/>
  <c r="I134" i="12"/>
  <c r="AM134" i="5"/>
  <c r="S110" i="8"/>
  <c r="AB30" i="5" a="1"/>
  <c r="AB30" i="5" s="1"/>
  <c r="AA30" i="5" a="1"/>
  <c r="AA30" i="5" s="1"/>
  <c r="A40" i="9"/>
  <c r="A28" i="9"/>
  <c r="G28" i="7"/>
  <c r="A47" i="9"/>
  <c r="C195" i="6"/>
  <c r="O195" i="5"/>
  <c r="C208" i="6"/>
  <c r="O208" i="5"/>
  <c r="O143" i="12" a="1"/>
  <c r="O143" i="12" s="1"/>
  <c r="C143" i="12"/>
  <c r="M143" i="12" a="1"/>
  <c r="M143" i="12" s="1"/>
  <c r="AO143" i="12" a="1"/>
  <c r="AO143" i="12" s="1"/>
  <c r="N56" i="12"/>
  <c r="O224" i="5"/>
  <c r="C224" i="6"/>
  <c r="AB162" i="5" a="1"/>
  <c r="AB162" i="5" s="1"/>
  <c r="AA162" i="5" a="1"/>
  <c r="AA162" i="5" s="1"/>
  <c r="O97" i="12" a="1"/>
  <c r="O97" i="12" s="1"/>
  <c r="N97" i="12" s="1"/>
  <c r="C97" i="12"/>
  <c r="AO97" i="12" a="1"/>
  <c r="AO97" i="12" s="1"/>
  <c r="M97" i="12" a="1"/>
  <c r="M97" i="12" s="1"/>
  <c r="S26" i="8"/>
  <c r="L23" i="5"/>
  <c r="AM23" i="5"/>
  <c r="Z23" i="5"/>
  <c r="I23" i="12"/>
  <c r="M122" i="12" a="1"/>
  <c r="M122" i="12" s="1"/>
  <c r="O122" i="12" a="1"/>
  <c r="O122" i="12" s="1"/>
  <c r="AO122" i="12" a="1"/>
  <c r="AO122" i="12" s="1"/>
  <c r="C122" i="12"/>
  <c r="S116" i="8"/>
  <c r="L156" i="5"/>
  <c r="Z156" i="5"/>
  <c r="I156" i="12"/>
  <c r="AM156" i="5"/>
  <c r="AM25" i="5"/>
  <c r="L25" i="5"/>
  <c r="O16" i="11" a="1"/>
  <c r="O16" i="11" s="1"/>
  <c r="I25" i="12"/>
  <c r="S29" i="8"/>
  <c r="Z25" i="5"/>
  <c r="AB155" i="5" a="1"/>
  <c r="AB155" i="5" s="1"/>
  <c r="AA155" i="5" a="1"/>
  <c r="AA155" i="5" s="1"/>
  <c r="O182" i="5"/>
  <c r="C182" i="6"/>
  <c r="O72" i="5"/>
  <c r="C72" i="6"/>
  <c r="O32" i="5"/>
  <c r="C32" i="6"/>
  <c r="AO171" i="12" a="1"/>
  <c r="AO171" i="12" s="1"/>
  <c r="Y171" i="12" s="1"/>
  <c r="M171" i="12" a="1"/>
  <c r="M171" i="12" s="1"/>
  <c r="C171" i="12"/>
  <c r="O171" i="12" a="1"/>
  <c r="O171" i="12" s="1"/>
  <c r="C242" i="6"/>
  <c r="O242" i="5"/>
  <c r="L14" i="7"/>
  <c r="O42" i="5"/>
  <c r="C42" i="6"/>
  <c r="C235" i="12"/>
  <c r="O235" i="12" a="1"/>
  <c r="O235" i="12" s="1"/>
  <c r="M235" i="12" a="1"/>
  <c r="M235" i="12" s="1"/>
  <c r="AO235" i="12" a="1"/>
  <c r="AO235" i="12" s="1"/>
  <c r="O192" i="5"/>
  <c r="C192" i="6"/>
  <c r="C239" i="12"/>
  <c r="M239" i="12" a="1"/>
  <c r="M239" i="12" s="1"/>
  <c r="AO239" i="12" a="1"/>
  <c r="AO239" i="12" s="1"/>
  <c r="Y239" i="12" s="1"/>
  <c r="O239" i="12" a="1"/>
  <c r="O239" i="12" s="1"/>
  <c r="AB74" i="5" a="1"/>
  <c r="AB74" i="5" s="1"/>
  <c r="AB73" i="5" s="1" a="1"/>
  <c r="AB73" i="5" s="1"/>
  <c r="AA74" i="5" a="1"/>
  <c r="AA74" i="5" s="1"/>
  <c r="AA73" i="5" s="1" a="1"/>
  <c r="AA73" i="5" s="1"/>
  <c r="C56" i="8" s="1"/>
  <c r="S47" i="8"/>
  <c r="I61" i="12"/>
  <c r="AM61" i="5"/>
  <c r="O18" i="11" a="1"/>
  <c r="O18" i="11" s="1"/>
  <c r="Z61" i="5"/>
  <c r="L61" i="5"/>
  <c r="AO120" i="12" a="1"/>
  <c r="AO120" i="12" s="1"/>
  <c r="O120" i="12" a="1"/>
  <c r="O120" i="12" s="1"/>
  <c r="N120" i="12" s="1"/>
  <c r="M120" i="12" a="1"/>
  <c r="M120" i="12" s="1"/>
  <c r="C120" i="12"/>
  <c r="C126" i="6"/>
  <c r="O126" i="5"/>
  <c r="AB44" i="5" a="1"/>
  <c r="AB44" i="5" s="1"/>
  <c r="AA44" i="5" a="1"/>
  <c r="AA44" i="5" s="1"/>
  <c r="Q14" i="7"/>
  <c r="AB139" i="5" a="1"/>
  <c r="AB139" i="5" s="1"/>
  <c r="AA139" i="5" a="1"/>
  <c r="AA139" i="5" s="1"/>
  <c r="AB40" i="5" a="1"/>
  <c r="AB40" i="5" s="1"/>
  <c r="AA40" i="5" a="1"/>
  <c r="AA40" i="5" s="1"/>
  <c r="C129" i="6"/>
  <c r="O129" i="5"/>
  <c r="C147" i="12"/>
  <c r="M147" i="12" a="1"/>
  <c r="M147" i="12" s="1"/>
  <c r="O147" i="12" a="1"/>
  <c r="O147" i="12" s="1"/>
  <c r="N147" i="12" s="1"/>
  <c r="AO147" i="12" a="1"/>
  <c r="AO147" i="12" s="1"/>
  <c r="Y147" i="12" s="1"/>
  <c r="O78" i="5"/>
  <c r="C78" i="6"/>
  <c r="Z50" i="5"/>
  <c r="AM50" i="5"/>
  <c r="S44" i="8"/>
  <c r="I50" i="12"/>
  <c r="L50" i="5"/>
  <c r="AO181" i="12" a="1"/>
  <c r="AO181" i="12" s="1"/>
  <c r="C181" i="12"/>
  <c r="M181" i="12" a="1"/>
  <c r="M181" i="12" s="1"/>
  <c r="O181" i="12" a="1"/>
  <c r="O181" i="12" s="1"/>
  <c r="O222" i="5"/>
  <c r="C222" i="6"/>
  <c r="O205" i="5"/>
  <c r="C205" i="6"/>
  <c r="M35" i="12" a="1"/>
  <c r="M35" i="12" s="1"/>
  <c r="C35" i="12"/>
  <c r="AO35" i="12" a="1"/>
  <c r="AO35" i="12" s="1"/>
  <c r="O35" i="12" a="1"/>
  <c r="O35" i="12" s="1"/>
  <c r="AO116" i="12" a="1"/>
  <c r="AO116" i="12" s="1"/>
  <c r="O116" i="12" a="1"/>
  <c r="O116" i="12" s="1"/>
  <c r="C116" i="12"/>
  <c r="M116" i="12" a="1"/>
  <c r="M116" i="12" s="1"/>
  <c r="M86" i="12" a="1"/>
  <c r="M86" i="12" s="1"/>
  <c r="AO86" i="12" a="1"/>
  <c r="AO86" i="12" s="1"/>
  <c r="O86" i="12" a="1"/>
  <c r="O86" i="12" s="1"/>
  <c r="N86" i="12" s="1"/>
  <c r="C86" i="12"/>
  <c r="AB227" i="5" a="1"/>
  <c r="AB227" i="5" s="1"/>
  <c r="AA227" i="5" a="1"/>
  <c r="AA227" i="5" s="1"/>
  <c r="O89" i="5"/>
  <c r="C89" i="6"/>
  <c r="O90" i="5"/>
  <c r="A42" i="9"/>
  <c r="A44" i="9"/>
  <c r="M216" i="12" a="1"/>
  <c r="M216" i="12" s="1"/>
  <c r="C216" i="12"/>
  <c r="O216" i="12" a="1"/>
  <c r="O216" i="12" s="1"/>
  <c r="N216" i="12" s="1"/>
  <c r="AO216" i="12" a="1"/>
  <c r="AO216" i="12" s="1"/>
  <c r="Y216" i="12" s="1"/>
  <c r="C215" i="6"/>
  <c r="O215" i="5"/>
  <c r="C105" i="6"/>
  <c r="O105" i="5"/>
  <c r="AB220" i="5" a="1"/>
  <c r="AB220" i="5" s="1"/>
  <c r="AA220" i="5" a="1"/>
  <c r="AA220" i="5" s="1"/>
  <c r="M140" i="12" a="1"/>
  <c r="M140" i="12" s="1"/>
  <c r="AO140" i="12" a="1"/>
  <c r="AO140" i="12" s="1"/>
  <c r="C140" i="12"/>
  <c r="O140" i="12" a="1"/>
  <c r="O140" i="12" s="1"/>
  <c r="N140" i="12" s="1"/>
  <c r="AB100" i="5" a="1"/>
  <c r="AB100" i="5" s="1"/>
  <c r="AB99" i="5" s="1" a="1"/>
  <c r="AB99" i="5" s="1"/>
  <c r="AA100" i="5" a="1"/>
  <c r="AA100" i="5" s="1"/>
  <c r="AA99" i="5" s="1" a="1"/>
  <c r="AA99" i="5" s="1"/>
  <c r="C77" i="8" s="1"/>
  <c r="AB159" i="5" a="1"/>
  <c r="AB159" i="5" s="1"/>
  <c r="AA159" i="5" a="1"/>
  <c r="AA159" i="5" s="1"/>
  <c r="AB48" i="5" a="1"/>
  <c r="AB48" i="5" s="1"/>
  <c r="AA48" i="5" a="1"/>
  <c r="AA48" i="5" s="1"/>
  <c r="AM133" i="5"/>
  <c r="I133" i="12"/>
  <c r="Z133" i="5"/>
  <c r="S107" i="8"/>
  <c r="L133" i="5"/>
  <c r="AO30" i="12" a="1"/>
  <c r="AO30" i="12" s="1"/>
  <c r="O30" i="12" a="1"/>
  <c r="O30" i="12" s="1"/>
  <c r="N30" i="12" s="1"/>
  <c r="C30" i="12"/>
  <c r="M30" i="12" a="1"/>
  <c r="M30" i="12" s="1"/>
  <c r="H14" i="7"/>
  <c r="A22" i="9"/>
  <c r="A46" i="9"/>
  <c r="A18" i="9"/>
  <c r="AB151" i="5" a="1"/>
  <c r="AB151" i="5" s="1"/>
  <c r="AA151" i="5" a="1"/>
  <c r="AA151" i="5" s="1"/>
  <c r="M224" i="12" a="1"/>
  <c r="M224" i="12" s="1"/>
  <c r="AO224" i="12" a="1"/>
  <c r="AO224" i="12" s="1"/>
  <c r="Y224" i="12" s="1"/>
  <c r="O224" i="12" a="1"/>
  <c r="O224" i="12" s="1"/>
  <c r="C224" i="12"/>
  <c r="O162" i="5"/>
  <c r="C162" i="6"/>
  <c r="L66" i="5"/>
  <c r="S53" i="8"/>
  <c r="AM66" i="5"/>
  <c r="Z66" i="5"/>
  <c r="I66" i="12"/>
  <c r="O179" i="12" a="1"/>
  <c r="O179" i="12" s="1"/>
  <c r="AO179" i="12" a="1"/>
  <c r="AO179" i="12" s="1"/>
  <c r="Y179" i="12" s="1"/>
  <c r="M179" i="12" a="1"/>
  <c r="M179" i="12" s="1"/>
  <c r="C179" i="12"/>
  <c r="C168" i="6"/>
  <c r="O168" i="5"/>
  <c r="AB122" i="5" a="1"/>
  <c r="AB122" i="5" s="1"/>
  <c r="AA122" i="5" a="1"/>
  <c r="AA122" i="5" s="1"/>
  <c r="C27" i="6"/>
  <c r="O27" i="5"/>
  <c r="C153" i="6"/>
  <c r="O153" i="5"/>
  <c r="AO72" i="12" a="1"/>
  <c r="AO72" i="12" s="1"/>
  <c r="M72" i="12" a="1"/>
  <c r="M72" i="12" s="1"/>
  <c r="O72" i="12" a="1"/>
  <c r="O72" i="12" s="1"/>
  <c r="N72" i="12" s="1"/>
  <c r="C72" i="12"/>
  <c r="AB136" i="5" a="1"/>
  <c r="AB136" i="5" s="1"/>
  <c r="AA136" i="5" a="1"/>
  <c r="AA136" i="5" s="1"/>
  <c r="Y209" i="12"/>
  <c r="AB242" i="5" a="1"/>
  <c r="AB242" i="5" s="1"/>
  <c r="AA242" i="5" a="1"/>
  <c r="AA242" i="5" s="1"/>
  <c r="C108" i="12"/>
  <c r="O108" i="12" a="1"/>
  <c r="O108" i="12" s="1"/>
  <c r="M108" i="12" a="1"/>
  <c r="M108" i="12" s="1"/>
  <c r="M107" i="12" s="1" a="1"/>
  <c r="M107" i="12" s="1"/>
  <c r="AO108" i="12" a="1"/>
  <c r="AO108" i="12" s="1"/>
  <c r="O150" i="5"/>
  <c r="C150" i="6"/>
  <c r="AO177" i="12" a="1"/>
  <c r="AO177" i="12" s="1"/>
  <c r="Y177" i="12" s="1"/>
  <c r="O177" i="12" a="1"/>
  <c r="O177" i="12" s="1"/>
  <c r="N177" i="12" s="1"/>
  <c r="C177" i="12"/>
  <c r="M177" i="12" a="1"/>
  <c r="M177" i="12" s="1"/>
  <c r="AB241" i="5" a="1"/>
  <c r="AB241" i="5" s="1"/>
  <c r="AA241" i="5" a="1"/>
  <c r="AA241" i="5" s="1"/>
  <c r="O229" i="12" a="1"/>
  <c r="O229" i="12" s="1"/>
  <c r="AO229" i="12" a="1"/>
  <c r="AO229" i="12" s="1"/>
  <c r="Y229" i="12" s="1"/>
  <c r="C229" i="12"/>
  <c r="M229" i="12" a="1"/>
  <c r="M229" i="12" s="1"/>
  <c r="AB192" i="5" a="1"/>
  <c r="AB192" i="5" s="1"/>
  <c r="AA192" i="5" a="1"/>
  <c r="AA192" i="5" s="1"/>
  <c r="AB239" i="5" a="1"/>
  <c r="AB239" i="5" s="1"/>
  <c r="AA239" i="5" a="1"/>
  <c r="AA239" i="5" s="1"/>
  <c r="M74" i="12" a="1"/>
  <c r="M74" i="12" s="1"/>
  <c r="M73" i="12" s="1" a="1"/>
  <c r="M73" i="12" s="1"/>
  <c r="O74" i="12" a="1"/>
  <c r="O74" i="12" s="1"/>
  <c r="C74" i="12"/>
  <c r="AO74" i="12" a="1"/>
  <c r="AO74" i="12" s="1"/>
  <c r="AB63" i="5" a="1"/>
  <c r="AB63" i="5" s="1"/>
  <c r="AA63" i="5" a="1"/>
  <c r="AA63" i="5" s="1"/>
  <c r="O196" i="5"/>
  <c r="C196" i="6"/>
  <c r="C43" i="6"/>
  <c r="O43" i="5"/>
  <c r="M130" i="12" a="1"/>
  <c r="M130" i="12" s="1"/>
  <c r="O130" i="12" a="1"/>
  <c r="O130" i="12" s="1"/>
  <c r="C130" i="12"/>
  <c r="AO130" i="12" a="1"/>
  <c r="AO130" i="12" s="1"/>
  <c r="Y130" i="12" s="1"/>
  <c r="AB194" i="5" a="1"/>
  <c r="AB194" i="5" s="1"/>
  <c r="AA194" i="5" a="1"/>
  <c r="AA194" i="5" s="1"/>
  <c r="AO126" i="12" a="1"/>
  <c r="AO126" i="12" s="1"/>
  <c r="O126" i="12" a="1"/>
  <c r="O126" i="12" s="1"/>
  <c r="C126" i="12"/>
  <c r="M126" i="12" a="1"/>
  <c r="M126" i="12" s="1"/>
  <c r="M125" i="12" s="1" a="1"/>
  <c r="M125" i="12" s="1"/>
  <c r="O44" i="12" a="1"/>
  <c r="O44" i="12" s="1"/>
  <c r="N44" i="12" s="1"/>
  <c r="C44" i="12"/>
  <c r="AO44" i="12" a="1"/>
  <c r="AO44" i="12" s="1"/>
  <c r="M44" i="12" a="1"/>
  <c r="M44" i="12" s="1"/>
  <c r="M40" i="12" a="1"/>
  <c r="M40" i="12" s="1"/>
  <c r="AO40" i="12" a="1"/>
  <c r="AO40" i="12" s="1"/>
  <c r="Y40" i="12" s="1"/>
  <c r="C40" i="12"/>
  <c r="O40" i="12" a="1"/>
  <c r="O40" i="12" s="1"/>
  <c r="AB147" i="5" a="1"/>
  <c r="AB147" i="5" s="1"/>
  <c r="AA147" i="5" a="1"/>
  <c r="AA147" i="5" s="1"/>
  <c r="Z49" i="5"/>
  <c r="L49" i="5"/>
  <c r="I49" i="12"/>
  <c r="S41" i="8"/>
  <c r="O17" i="11" a="1"/>
  <c r="O17" i="11" s="1"/>
  <c r="AM49" i="5"/>
  <c r="AB181" i="5" a="1"/>
  <c r="AB181" i="5" s="1"/>
  <c r="AA181" i="5" a="1"/>
  <c r="AA181" i="5" s="1"/>
  <c r="L76" i="5"/>
  <c r="AM76" i="5"/>
  <c r="I76" i="12"/>
  <c r="S62" i="8"/>
  <c r="Z76" i="5"/>
  <c r="O86" i="5"/>
  <c r="C86" i="6"/>
  <c r="O227" i="5"/>
  <c r="C227" i="6"/>
  <c r="O123" i="12" a="1"/>
  <c r="O123" i="12" s="1"/>
  <c r="M123" i="12" a="1"/>
  <c r="M123" i="12" s="1"/>
  <c r="AO123" i="12" a="1"/>
  <c r="AO123" i="12" s="1"/>
  <c r="Y123" i="12" s="1"/>
  <c r="C123" i="12"/>
  <c r="AB89" i="5" a="1"/>
  <c r="AB89" i="5" s="1"/>
  <c r="AA89" i="5" a="1"/>
  <c r="AA89" i="5" s="1"/>
  <c r="M144" i="12" a="1"/>
  <c r="M144" i="12" s="1"/>
  <c r="O144" i="12" a="1"/>
  <c r="O144" i="12" s="1"/>
  <c r="N144" i="12" s="1"/>
  <c r="C144" i="12"/>
  <c r="AO144" i="12" a="1"/>
  <c r="AO144" i="12" s="1"/>
  <c r="Y144" i="12" s="1"/>
  <c r="O20" i="11" a="1"/>
  <c r="O20" i="11" s="1"/>
  <c r="S65" i="8"/>
  <c r="I83" i="12"/>
  <c r="Z83" i="5"/>
  <c r="AM83" i="5"/>
  <c r="L83" i="5"/>
  <c r="A32" i="9"/>
  <c r="A45" i="9"/>
  <c r="A17" i="9"/>
  <c r="AH66" i="10"/>
  <c r="AH67" i="10" s="1"/>
  <c r="I66" i="10"/>
  <c r="I67" i="10" s="1"/>
  <c r="A43" i="9"/>
  <c r="A55" i="9"/>
  <c r="C151" i="6"/>
  <c r="O151" i="5"/>
  <c r="AB224" i="5" a="1"/>
  <c r="AB224" i="5" s="1"/>
  <c r="AA224" i="5" a="1"/>
  <c r="AA224" i="5" s="1"/>
  <c r="D164" i="12"/>
  <c r="E164" i="6"/>
  <c r="AB67" i="5" a="1"/>
  <c r="AB67" i="5" s="1"/>
  <c r="AB66" i="5" s="1" a="1"/>
  <c r="AB66" i="5" s="1"/>
  <c r="D53" i="8" s="1"/>
  <c r="AA67" i="5" a="1"/>
  <c r="AA67" i="5" s="1"/>
  <c r="AB179" i="5" a="1"/>
  <c r="AB179" i="5" s="1"/>
  <c r="AA179" i="5" a="1"/>
  <c r="AA179" i="5" s="1"/>
  <c r="AB168" i="5" a="1"/>
  <c r="AB168" i="5" s="1"/>
  <c r="AA168" i="5" a="1"/>
  <c r="AA168" i="5" s="1"/>
  <c r="C185" i="6"/>
  <c r="O185" i="5"/>
  <c r="Z22" i="5"/>
  <c r="I22" i="12"/>
  <c r="O15" i="11" a="1"/>
  <c r="O15" i="11" s="1"/>
  <c r="S23" i="8"/>
  <c r="AM22" i="5"/>
  <c r="L22" i="5"/>
  <c r="M198" i="12" a="1"/>
  <c r="M198" i="12" s="1"/>
  <c r="C198" i="12"/>
  <c r="AO198" i="12" a="1"/>
  <c r="AO198" i="12" s="1"/>
  <c r="Y198" i="12" s="1"/>
  <c r="O198" i="12" a="1"/>
  <c r="O198" i="12" s="1"/>
  <c r="N198" i="12" s="1"/>
  <c r="M157" i="12" a="1"/>
  <c r="M157" i="12" s="1"/>
  <c r="O157" i="12" a="1"/>
  <c r="O157" i="12" s="1"/>
  <c r="C157" i="12"/>
  <c r="AO157" i="12" a="1"/>
  <c r="AO157" i="12" s="1"/>
  <c r="O82" i="12" a="1"/>
  <c r="O82" i="12" s="1"/>
  <c r="N82" i="12" s="1"/>
  <c r="C82" i="12"/>
  <c r="AO82" i="12" a="1"/>
  <c r="AO82" i="12" s="1"/>
  <c r="Y82" i="12" s="1"/>
  <c r="M82" i="12" a="1"/>
  <c r="M82" i="12" s="1"/>
  <c r="O155" i="12" a="1"/>
  <c r="O155" i="12" s="1"/>
  <c r="AO155" i="12" a="1"/>
  <c r="AO155" i="12" s="1"/>
  <c r="Y155" i="12" s="1"/>
  <c r="M155" i="12" a="1"/>
  <c r="M155" i="12" s="1"/>
  <c r="C155" i="12"/>
  <c r="M153" i="12" a="1"/>
  <c r="M153" i="12" s="1"/>
  <c r="C153" i="12"/>
  <c r="AO153" i="12" a="1"/>
  <c r="AO153" i="12" s="1"/>
  <c r="O153" i="12" a="1"/>
  <c r="O153" i="12" s="1"/>
  <c r="N153" i="12" s="1"/>
  <c r="AO182" i="12" a="1"/>
  <c r="AO182" i="12" s="1"/>
  <c r="M182" i="12" a="1"/>
  <c r="M182" i="12" s="1"/>
  <c r="M180" i="12" s="1" a="1"/>
  <c r="M180" i="12" s="1"/>
  <c r="O182" i="12" a="1"/>
  <c r="O182" i="12" s="1"/>
  <c r="N182" i="12" s="1"/>
  <c r="C182" i="12"/>
  <c r="AB60" i="5" a="1"/>
  <c r="AB60" i="5" s="1"/>
  <c r="AA60" i="5" a="1"/>
  <c r="AA60" i="5" s="1"/>
  <c r="AB72" i="5" a="1"/>
  <c r="AB72" i="5" s="1"/>
  <c r="AA72" i="5" a="1"/>
  <c r="AA72" i="5" s="1"/>
  <c r="M18" i="12" a="1"/>
  <c r="M18" i="12" s="1"/>
  <c r="O18" i="12" a="1"/>
  <c r="O18" i="12" s="1"/>
  <c r="C18" i="12"/>
  <c r="AO18" i="12" a="1"/>
  <c r="AO18" i="12" s="1"/>
  <c r="AM107" i="5"/>
  <c r="S86" i="8"/>
  <c r="Z107" i="5"/>
  <c r="I107" i="12"/>
  <c r="L107" i="5"/>
  <c r="Y68" i="12"/>
  <c r="S35" i="8"/>
  <c r="I36" i="12"/>
  <c r="Z36" i="5"/>
  <c r="AM36" i="5"/>
  <c r="L36" i="5"/>
  <c r="C177" i="6"/>
  <c r="O177" i="5"/>
  <c r="M14" i="7"/>
  <c r="O118" i="12" a="1"/>
  <c r="O118" i="12" s="1"/>
  <c r="N118" i="12" s="1"/>
  <c r="M118" i="12" a="1"/>
  <c r="M118" i="12" s="1"/>
  <c r="C118" i="12"/>
  <c r="AO118" i="12" a="1"/>
  <c r="AO118" i="12" s="1"/>
  <c r="M241" i="12" a="1"/>
  <c r="M241" i="12" s="1"/>
  <c r="AO241" i="12" a="1"/>
  <c r="AO241" i="12" s="1"/>
  <c r="C241" i="12"/>
  <c r="O241" i="12" a="1"/>
  <c r="O241" i="12" s="1"/>
  <c r="N241" i="12" s="1"/>
  <c r="Y14" i="7"/>
  <c r="AB229" i="5" a="1"/>
  <c r="AB229" i="5" s="1"/>
  <c r="AA229" i="5" a="1"/>
  <c r="AA229" i="5" s="1"/>
  <c r="O192" i="12" a="1"/>
  <c r="O192" i="12" s="1"/>
  <c r="N192" i="12" s="1"/>
  <c r="AO192" i="12" a="1"/>
  <c r="AO192" i="12" s="1"/>
  <c r="Y192" i="12" s="1"/>
  <c r="C192" i="12"/>
  <c r="M192" i="12" a="1"/>
  <c r="M192" i="12" s="1"/>
  <c r="I73" i="12"/>
  <c r="AM73" i="5"/>
  <c r="Z73" i="5"/>
  <c r="S56" i="8"/>
  <c r="L73" i="5"/>
  <c r="D68" i="12"/>
  <c r="E68" i="6"/>
  <c r="AB196" i="5" a="1"/>
  <c r="AB196" i="5" s="1"/>
  <c r="AA196" i="5" a="1"/>
  <c r="AA196" i="5" s="1"/>
  <c r="AB43" i="5" a="1"/>
  <c r="AB43" i="5" s="1"/>
  <c r="AA43" i="5" a="1"/>
  <c r="AA43" i="5" s="1"/>
  <c r="AB130" i="5" a="1"/>
  <c r="AB130" i="5" s="1"/>
  <c r="AA130" i="5" a="1"/>
  <c r="AA130" i="5" s="1"/>
  <c r="O194" i="5"/>
  <c r="C194" i="6"/>
  <c r="AB126" i="5" a="1"/>
  <c r="AB126" i="5" s="1"/>
  <c r="AB125" i="5" s="1" a="1"/>
  <c r="AB125" i="5" s="1"/>
  <c r="AA126" i="5" a="1"/>
  <c r="AA126" i="5" s="1"/>
  <c r="AA125" i="5" s="1" a="1"/>
  <c r="AA125" i="5" s="1"/>
  <c r="O139" i="12" a="1"/>
  <c r="O139" i="12" s="1"/>
  <c r="C139" i="12"/>
  <c r="AO139" i="12" a="1"/>
  <c r="AO139" i="12" s="1"/>
  <c r="Y139" i="12" s="1"/>
  <c r="M139" i="12" a="1"/>
  <c r="M139" i="12" s="1"/>
  <c r="AB221" i="5" a="1"/>
  <c r="AB221" i="5" s="1"/>
  <c r="AA221" i="5" a="1"/>
  <c r="AA221" i="5" s="1"/>
  <c r="AO65" i="12" a="1"/>
  <c r="AO65" i="12" s="1"/>
  <c r="M65" i="12" a="1"/>
  <c r="M65" i="12" s="1"/>
  <c r="C65" i="12"/>
  <c r="O65" i="12" a="1"/>
  <c r="O65" i="12" s="1"/>
  <c r="O52" i="12" a="1"/>
  <c r="O52" i="12" s="1"/>
  <c r="C52" i="12"/>
  <c r="M52" i="12" a="1"/>
  <c r="M52" i="12" s="1"/>
  <c r="AO52" i="12" a="1"/>
  <c r="AO52" i="12" s="1"/>
  <c r="Y52" i="12" s="1"/>
  <c r="O51" i="12" a="1"/>
  <c r="O51" i="12" s="1"/>
  <c r="C51" i="12"/>
  <c r="M51" i="12" a="1"/>
  <c r="M51" i="12" s="1"/>
  <c r="AO51" i="12" a="1"/>
  <c r="AO51" i="12" s="1"/>
  <c r="M222" i="12" a="1"/>
  <c r="M222" i="12" s="1"/>
  <c r="AO222" i="12" a="1"/>
  <c r="AO222" i="12" s="1"/>
  <c r="Y222" i="12" s="1"/>
  <c r="O222" i="12" a="1"/>
  <c r="O222" i="12" s="1"/>
  <c r="N222" i="12" s="1"/>
  <c r="C222" i="12"/>
  <c r="AB205" i="5" a="1"/>
  <c r="AB205" i="5" s="1"/>
  <c r="AA205" i="5" a="1"/>
  <c r="AA205" i="5" s="1"/>
  <c r="C191" i="6"/>
  <c r="O191" i="5"/>
  <c r="AB77" i="5" a="1"/>
  <c r="AB77" i="5" s="1"/>
  <c r="AA77" i="5" a="1"/>
  <c r="AA77" i="5" s="1"/>
  <c r="AB123" i="5" a="1"/>
  <c r="AB123" i="5" s="1"/>
  <c r="AA123" i="5" a="1"/>
  <c r="AA123" i="5" s="1"/>
  <c r="O144" i="5"/>
  <c r="C144" i="6"/>
  <c r="A20" i="9"/>
  <c r="U14" i="7"/>
  <c r="C28" i="6"/>
  <c r="O28" i="5"/>
  <c r="O135" i="12" a="1"/>
  <c r="O135" i="12" s="1"/>
  <c r="M135" i="12" a="1"/>
  <c r="M135" i="12" s="1"/>
  <c r="C135" i="12"/>
  <c r="AO135" i="12" a="1"/>
  <c r="AO135" i="12" s="1"/>
  <c r="A26" i="9"/>
  <c r="A36" i="9"/>
  <c r="A34" i="9"/>
  <c r="L102" i="5"/>
  <c r="S83" i="8"/>
  <c r="Z102" i="5"/>
  <c r="AM102" i="5"/>
  <c r="I102" i="12"/>
  <c r="O151" i="12" a="1"/>
  <c r="O151" i="12" s="1"/>
  <c r="N151" i="12" s="1"/>
  <c r="M151" i="12" a="1"/>
  <c r="M151" i="12" s="1"/>
  <c r="AO151" i="12" a="1"/>
  <c r="AO151" i="12" s="1"/>
  <c r="C151" i="12"/>
  <c r="V14" i="7"/>
  <c r="O20" i="5"/>
  <c r="C20" i="6"/>
  <c r="M162" i="12" a="1"/>
  <c r="M162" i="12" s="1"/>
  <c r="O162" i="12" a="1"/>
  <c r="O162" i="12" s="1"/>
  <c r="N162" i="12" s="1"/>
  <c r="C162" i="12"/>
  <c r="AO162" i="12" a="1"/>
  <c r="AO162" i="12" s="1"/>
  <c r="Y162" i="12" s="1"/>
  <c r="AO67" i="12" a="1"/>
  <c r="AO67" i="12" s="1"/>
  <c r="C67" i="12"/>
  <c r="M67" i="12" a="1"/>
  <c r="M67" i="12" s="1"/>
  <c r="O67" i="12" a="1"/>
  <c r="O67" i="12" s="1"/>
  <c r="C179" i="6"/>
  <c r="O179" i="5"/>
  <c r="O185" i="12" a="1"/>
  <c r="O185" i="12" s="1"/>
  <c r="AO185" i="12" a="1"/>
  <c r="AO185" i="12" s="1"/>
  <c r="Y185" i="12" s="1"/>
  <c r="C185" i="12"/>
  <c r="M185" i="12" a="1"/>
  <c r="M185" i="12" s="1"/>
  <c r="O198" i="5"/>
  <c r="C198" i="6"/>
  <c r="AB27" i="5" a="1"/>
  <c r="AB27" i="5" s="1"/>
  <c r="AA27" i="5" a="1"/>
  <c r="AA27" i="5" s="1"/>
  <c r="AB153" i="5" a="1"/>
  <c r="AB153" i="5" s="1"/>
  <c r="AA153" i="5" a="1"/>
  <c r="AA153" i="5" s="1"/>
  <c r="AB182" i="5" a="1"/>
  <c r="AB182" i="5" s="1"/>
  <c r="AA182" i="5" a="1"/>
  <c r="AA182" i="5" s="1"/>
  <c r="J14" i="7"/>
  <c r="M60" i="12" a="1"/>
  <c r="M60" i="12" s="1"/>
  <c r="C60" i="12"/>
  <c r="AO60" i="12" a="1"/>
  <c r="AO60" i="12" s="1"/>
  <c r="O60" i="12" a="1"/>
  <c r="O60" i="12" s="1"/>
  <c r="N60" i="12" s="1"/>
  <c r="O232" i="12" a="1"/>
  <c r="O232" i="12" s="1"/>
  <c r="M232" i="12" a="1"/>
  <c r="M232" i="12" s="1"/>
  <c r="AO232" i="12" a="1"/>
  <c r="AO232" i="12" s="1"/>
  <c r="Y232" i="12" s="1"/>
  <c r="C232" i="12"/>
  <c r="AB18" i="5" a="1"/>
  <c r="AB18" i="5" s="1"/>
  <c r="AA18" i="5" a="1"/>
  <c r="AA18" i="5" s="1"/>
  <c r="AO136" i="12" a="1"/>
  <c r="AO136" i="12" s="1"/>
  <c r="Y136" i="12" s="1"/>
  <c r="M136" i="12" a="1"/>
  <c r="M136" i="12" s="1"/>
  <c r="O136" i="12" a="1"/>
  <c r="O136" i="12" s="1"/>
  <c r="N136" i="12" s="1"/>
  <c r="C136" i="12"/>
  <c r="D39" i="12"/>
  <c r="E39" i="6"/>
  <c r="C37" i="6"/>
  <c r="O37" i="5"/>
  <c r="AB150" i="5" a="1"/>
  <c r="AB150" i="5" s="1"/>
  <c r="AA150" i="5" a="1"/>
  <c r="AA150" i="5" s="1"/>
  <c r="O118" i="5"/>
  <c r="C118" i="6"/>
  <c r="C229" i="6"/>
  <c r="O229" i="5"/>
  <c r="E65" i="6"/>
  <c r="D65" i="12"/>
  <c r="S98" i="8"/>
  <c r="AM125" i="5"/>
  <c r="I125" i="12"/>
  <c r="Z125" i="5"/>
  <c r="L125" i="5"/>
  <c r="AB184" i="5" a="1"/>
  <c r="AB184" i="5" s="1"/>
  <c r="AA184" i="5" a="1"/>
  <c r="AA184" i="5" s="1"/>
  <c r="C40" i="6"/>
  <c r="O40" i="5"/>
  <c r="AB169" i="5" a="1"/>
  <c r="AB169" i="5" s="1"/>
  <c r="AA169" i="5" a="1"/>
  <c r="AA169" i="5" s="1"/>
  <c r="C147" i="6"/>
  <c r="O147" i="5"/>
  <c r="AB65" i="5" a="1"/>
  <c r="AB65" i="5" s="1"/>
  <c r="AA65" i="5" a="1"/>
  <c r="AA65" i="5" s="1"/>
  <c r="AB52" i="5" a="1"/>
  <c r="AB52" i="5" s="1"/>
  <c r="AA52" i="5" a="1"/>
  <c r="AA52" i="5" s="1"/>
  <c r="O181" i="5"/>
  <c r="C181" i="6"/>
  <c r="Z204" i="5"/>
  <c r="L204" i="5"/>
  <c r="S137" i="8"/>
  <c r="AM204" i="5"/>
  <c r="I204" i="12"/>
  <c r="AB59" i="5" a="1"/>
  <c r="AB59" i="5" s="1"/>
  <c r="AA59" i="5" a="1"/>
  <c r="AA59" i="5" s="1"/>
  <c r="C31" i="12"/>
  <c r="M31" i="12" a="1"/>
  <c r="M31" i="12" s="1"/>
  <c r="AO31" i="12" a="1"/>
  <c r="AO31" i="12" s="1"/>
  <c r="Y31" i="12" s="1"/>
  <c r="O31" i="12" a="1"/>
  <c r="O31" i="12" s="1"/>
  <c r="AB191" i="5" a="1"/>
  <c r="AB191" i="5" s="1"/>
  <c r="AA191" i="5" a="1"/>
  <c r="AA191" i="5" s="1"/>
  <c r="Z75" i="5"/>
  <c r="S59" i="8"/>
  <c r="O19" i="11" a="1"/>
  <c r="O19" i="11" s="1"/>
  <c r="L75" i="5"/>
  <c r="AM75" i="5"/>
  <c r="I75" i="12"/>
  <c r="AO227" i="12" a="1"/>
  <c r="AO227" i="12" s="1"/>
  <c r="O227" i="12" a="1"/>
  <c r="O227" i="12" s="1"/>
  <c r="N227" i="12" s="1"/>
  <c r="C227" i="12"/>
  <c r="M227" i="12" a="1"/>
  <c r="M227" i="12" s="1"/>
  <c r="O123" i="5"/>
  <c r="C123" i="6"/>
  <c r="AB53" i="5" a="1"/>
  <c r="AB53" i="5" s="1"/>
  <c r="AA53" i="5" a="1"/>
  <c r="AA53" i="5" s="1"/>
  <c r="AB144" i="5" a="1"/>
  <c r="AB144" i="5" s="1"/>
  <c r="AA144" i="5" a="1"/>
  <c r="AA144" i="5" s="1"/>
  <c r="AO46" i="12" a="1"/>
  <c r="AO46" i="12" s="1"/>
  <c r="O46" i="12" a="1"/>
  <c r="O46" i="12" s="1"/>
  <c r="M46" i="12" a="1"/>
  <c r="M46" i="12" s="1"/>
  <c r="M45" i="12" s="1" a="1"/>
  <c r="M45" i="12" s="1"/>
  <c r="C46" i="12"/>
  <c r="L188" i="5"/>
  <c r="AM188" i="5"/>
  <c r="I188" i="12"/>
  <c r="S131" i="8"/>
  <c r="Z188" i="5"/>
  <c r="O145" i="12" a="1"/>
  <c r="O145" i="12" s="1"/>
  <c r="C145" i="12"/>
  <c r="AO145" i="12" a="1"/>
  <c r="AO145" i="12" s="1"/>
  <c r="Y145" i="12" s="1"/>
  <c r="M145" i="12" a="1"/>
  <c r="M145" i="12" s="1"/>
  <c r="O135" i="5"/>
  <c r="C135" i="6"/>
  <c r="M173" i="12" a="1"/>
  <c r="M173" i="12" s="1"/>
  <c r="O173" i="12" a="1"/>
  <c r="O173" i="12" s="1"/>
  <c r="N173" i="12" s="1"/>
  <c r="AO173" i="12" a="1"/>
  <c r="AO173" i="12" s="1"/>
  <c r="C173" i="12"/>
  <c r="I26" i="12"/>
  <c r="AM26" i="5"/>
  <c r="S32" i="8"/>
  <c r="L26" i="5"/>
  <c r="Z26" i="5"/>
  <c r="O124" i="5"/>
  <c r="C124" i="6"/>
  <c r="D121" i="12"/>
  <c r="E121" i="6"/>
  <c r="A52" i="9"/>
  <c r="O103" i="12" a="1"/>
  <c r="O103" i="12" s="1"/>
  <c r="M103" i="12" a="1"/>
  <c r="M103" i="12" s="1"/>
  <c r="C103" i="12"/>
  <c r="AO103" i="12" a="1"/>
  <c r="AO103" i="12" s="1"/>
  <c r="Y39" i="12"/>
  <c r="O143" i="5"/>
  <c r="C143" i="6"/>
  <c r="AB163" i="5" a="1"/>
  <c r="AB163" i="5" s="1"/>
  <c r="AA163" i="5" a="1"/>
  <c r="AA163" i="5" s="1"/>
  <c r="AO189" i="12" a="1"/>
  <c r="AO189" i="12" s="1"/>
  <c r="M189" i="12" a="1"/>
  <c r="M189" i="12" s="1"/>
  <c r="M188" i="12" s="1" a="1"/>
  <c r="M188" i="12" s="1"/>
  <c r="C189" i="12"/>
  <c r="O189" i="12" a="1"/>
  <c r="O189" i="12" s="1"/>
  <c r="AB109" i="5" a="1"/>
  <c r="AB109" i="5" s="1"/>
  <c r="AA109" i="5" a="1"/>
  <c r="AA109" i="5" s="1"/>
  <c r="C216" i="6"/>
  <c r="O216" i="5"/>
  <c r="O105" i="12" a="1"/>
  <c r="O105" i="12" s="1"/>
  <c r="AO105" i="12" a="1"/>
  <c r="AO105" i="12" s="1"/>
  <c r="Y105" i="12" s="1"/>
  <c r="C105" i="12"/>
  <c r="M105" i="12" a="1"/>
  <c r="M105" i="12" s="1"/>
  <c r="O172" i="5"/>
  <c r="C172" i="6"/>
  <c r="O220" i="5"/>
  <c r="C220" i="6"/>
  <c r="W236" i="12" a="1"/>
  <c r="W236" i="12" s="1"/>
  <c r="X236" i="12" a="1"/>
  <c r="X236" i="12" s="1"/>
  <c r="E209" i="6"/>
  <c r="D209" i="12"/>
  <c r="AB106" i="5" a="1"/>
  <c r="AB106" i="5" s="1"/>
  <c r="AA106" i="5" a="1"/>
  <c r="AA106" i="5" s="1"/>
  <c r="AB28" i="5" a="1"/>
  <c r="AB28" i="5" s="1"/>
  <c r="AA28" i="5" a="1"/>
  <c r="AA28" i="5" s="1"/>
  <c r="A35" i="9"/>
  <c r="G35" i="7"/>
  <c r="AB103" i="5" a="1"/>
  <c r="AB103" i="5" s="1"/>
  <c r="AA103" i="5" a="1"/>
  <c r="AA103" i="5" s="1"/>
  <c r="C146" i="6"/>
  <c r="O146" i="5"/>
  <c r="C231" i="6"/>
  <c r="O231" i="5"/>
  <c r="AB79" i="5" a="1"/>
  <c r="AB79" i="5" s="1"/>
  <c r="AA79" i="5" a="1"/>
  <c r="AA79" i="5" s="1"/>
  <c r="C119" i="6"/>
  <c r="O119" i="5"/>
  <c r="M20" i="12" a="1"/>
  <c r="M20" i="12" s="1"/>
  <c r="M19" i="12" s="1" a="1"/>
  <c r="M19" i="12" s="1"/>
  <c r="O20" i="12" a="1"/>
  <c r="O20" i="12" s="1"/>
  <c r="C20" i="12"/>
  <c r="AO20" i="12" a="1"/>
  <c r="AO20" i="12" s="1"/>
  <c r="M168" i="12" a="1"/>
  <c r="M168" i="12" s="1"/>
  <c r="C168" i="12"/>
  <c r="O168" i="12" a="1"/>
  <c r="O168" i="12" s="1"/>
  <c r="AO168" i="12" a="1"/>
  <c r="AO168" i="12" s="1"/>
  <c r="C24" i="6"/>
  <c r="O24" i="5"/>
  <c r="AB198" i="5" a="1"/>
  <c r="AB198" i="5" s="1"/>
  <c r="AA198" i="5" a="1"/>
  <c r="AA198" i="5" s="1"/>
  <c r="AO141" i="12" a="1"/>
  <c r="AO141" i="12" s="1"/>
  <c r="Y141" i="12" s="1"/>
  <c r="C141" i="12"/>
  <c r="O141" i="12" a="1"/>
  <c r="O141" i="12" s="1"/>
  <c r="N141" i="12" s="1"/>
  <c r="M141" i="12" a="1"/>
  <c r="M141" i="12" s="1"/>
  <c r="C211" i="6"/>
  <c r="O211" i="5"/>
  <c r="O113" i="5"/>
  <c r="C113" i="6"/>
  <c r="AB232" i="5" a="1"/>
  <c r="AB232" i="5" s="1"/>
  <c r="AA232" i="5" a="1"/>
  <c r="AA232" i="5" s="1"/>
  <c r="I16" i="12"/>
  <c r="O14" i="11" a="1"/>
  <c r="O14" i="11" s="1"/>
  <c r="Z16" i="5"/>
  <c r="S14" i="8"/>
  <c r="AM16" i="5"/>
  <c r="L16" i="5"/>
  <c r="O136" i="5"/>
  <c r="C136" i="6"/>
  <c r="O98" i="5"/>
  <c r="C98" i="6"/>
  <c r="AB37" i="5" a="1"/>
  <c r="AB37" i="5" s="1"/>
  <c r="AA37" i="5" a="1"/>
  <c r="AA37" i="5" s="1"/>
  <c r="C70" i="6"/>
  <c r="O70" i="5"/>
  <c r="O150" i="12" a="1"/>
  <c r="O150" i="12" s="1"/>
  <c r="M150" i="12" a="1"/>
  <c r="M150" i="12" s="1"/>
  <c r="AO150" i="12" a="1"/>
  <c r="AO150" i="12" s="1"/>
  <c r="C150" i="12"/>
  <c r="AB212" i="5" a="1"/>
  <c r="AB212" i="5" s="1"/>
  <c r="AA212" i="5" a="1"/>
  <c r="AA212" i="5" s="1"/>
  <c r="AB177" i="5" a="1"/>
  <c r="AB177" i="5" s="1"/>
  <c r="AA177" i="5" a="1"/>
  <c r="AA177" i="5" s="1"/>
  <c r="C54" i="6"/>
  <c r="O54" i="5"/>
  <c r="C241" i="6"/>
  <c r="O241" i="5"/>
  <c r="C63" i="6"/>
  <c r="O63" i="5"/>
  <c r="AO196" i="12" a="1"/>
  <c r="AO196" i="12" s="1"/>
  <c r="C196" i="12"/>
  <c r="M196" i="12" a="1"/>
  <c r="M196" i="12" s="1"/>
  <c r="O196" i="12" a="1"/>
  <c r="O196" i="12" s="1"/>
  <c r="O210" i="12" a="1"/>
  <c r="O210" i="12" s="1"/>
  <c r="M210" i="12" a="1"/>
  <c r="M210" i="12" s="1"/>
  <c r="C210" i="12"/>
  <c r="AO210" i="12" a="1"/>
  <c r="AO210" i="12" s="1"/>
  <c r="Y210" i="12" s="1"/>
  <c r="C130" i="6"/>
  <c r="O130" i="5"/>
  <c r="O194" i="12" a="1"/>
  <c r="O194" i="12" s="1"/>
  <c r="N194" i="12" s="1"/>
  <c r="C194" i="12"/>
  <c r="AO194" i="12" a="1"/>
  <c r="AO194" i="12" s="1"/>
  <c r="M194" i="12" a="1"/>
  <c r="M194" i="12" s="1"/>
  <c r="O127" i="5"/>
  <c r="C207" i="6"/>
  <c r="O207" i="5"/>
  <c r="O169" i="12" a="1"/>
  <c r="O169" i="12" s="1"/>
  <c r="AO169" i="12" a="1"/>
  <c r="AO169" i="12" s="1"/>
  <c r="Y169" i="12" s="1"/>
  <c r="C169" i="12"/>
  <c r="M169" i="12" a="1"/>
  <c r="M169" i="12" s="1"/>
  <c r="C221" i="6"/>
  <c r="O221" i="5"/>
  <c r="E236" i="6"/>
  <c r="D236" i="12"/>
  <c r="C31" i="6"/>
  <c r="O31" i="5"/>
  <c r="C77" i="6"/>
  <c r="O77" i="5"/>
  <c r="C111" i="6"/>
  <c r="O111" i="5"/>
  <c r="O47" i="5"/>
  <c r="C47" i="6"/>
  <c r="AO53" i="12" a="1"/>
  <c r="AO53" i="12" s="1"/>
  <c r="Y53" i="12" s="1"/>
  <c r="C53" i="12"/>
  <c r="M53" i="12" a="1"/>
  <c r="M53" i="12" s="1"/>
  <c r="O53" i="12" a="1"/>
  <c r="O53" i="12" s="1"/>
  <c r="AB206" i="5" a="1"/>
  <c r="AB206" i="5" s="1"/>
  <c r="AA206" i="5" a="1"/>
  <c r="AA206" i="5" s="1"/>
  <c r="AB152" i="5" a="1"/>
  <c r="AB152" i="5" s="1"/>
  <c r="AA152" i="5" a="1"/>
  <c r="AA152" i="5" s="1"/>
  <c r="AB226" i="5" a="1"/>
  <c r="AB226" i="5" s="1"/>
  <c r="AA226" i="5" a="1"/>
  <c r="AA226" i="5" s="1"/>
  <c r="C34" i="6"/>
  <c r="O34" i="5"/>
  <c r="Z132" i="5"/>
  <c r="L132" i="5"/>
  <c r="S104" i="8"/>
  <c r="I132" i="12"/>
  <c r="AM132" i="5"/>
  <c r="O22" i="11" a="1"/>
  <c r="O22" i="11" s="1"/>
  <c r="M201" i="12" a="1"/>
  <c r="M201" i="12" s="1"/>
  <c r="AO201" i="12" a="1"/>
  <c r="AO201" i="12" s="1"/>
  <c r="C201" i="12"/>
  <c r="O201" i="12" a="1"/>
  <c r="O201" i="12" s="1"/>
  <c r="N201" i="12" s="1"/>
  <c r="AB216" i="5" a="1"/>
  <c r="AB216" i="5" s="1"/>
  <c r="AA216" i="5" a="1"/>
  <c r="AA216" i="5" s="1"/>
  <c r="C215" i="12"/>
  <c r="O215" i="12" a="1"/>
  <c r="O215" i="12" s="1"/>
  <c r="N215" i="12" s="1"/>
  <c r="AO215" i="12" a="1"/>
  <c r="AO215" i="12" s="1"/>
  <c r="Y215" i="12" s="1"/>
  <c r="M215" i="12" a="1"/>
  <c r="M215" i="12" s="1"/>
  <c r="AB105" i="5" a="1"/>
  <c r="AB105" i="5" s="1"/>
  <c r="AA105" i="5" a="1"/>
  <c r="AA105" i="5" s="1"/>
  <c r="O226" i="5"/>
  <c r="C226" i="6"/>
  <c r="AB215" i="5" a="1"/>
  <c r="AB215" i="5" s="1"/>
  <c r="AA215" i="5" a="1"/>
  <c r="AA215" i="5" s="1"/>
  <c r="AO172" i="12" a="1"/>
  <c r="AO172" i="12" s="1"/>
  <c r="C172" i="12"/>
  <c r="M172" i="12" a="1"/>
  <c r="M172" i="12" s="1"/>
  <c r="O172" i="12" a="1"/>
  <c r="O172" i="12" s="1"/>
  <c r="N172" i="12" s="1"/>
  <c r="AO226" i="12" a="1"/>
  <c r="AO226" i="12" s="1"/>
  <c r="C226" i="12"/>
  <c r="M226" i="12" a="1"/>
  <c r="M226" i="12" s="1"/>
  <c r="O226" i="12" a="1"/>
  <c r="O226" i="12" s="1"/>
  <c r="D35" i="12"/>
  <c r="E35" i="6"/>
  <c r="AB135" i="5" a="1"/>
  <c r="AB135" i="5" s="1"/>
  <c r="AA135" i="5" a="1"/>
  <c r="AA135" i="5" s="1"/>
  <c r="AB201" i="5" a="1"/>
  <c r="AB201" i="5" s="1"/>
  <c r="AA201" i="5" a="1"/>
  <c r="AA201" i="5" s="1"/>
  <c r="O173" i="5"/>
  <c r="C173" i="6"/>
  <c r="C46" i="6"/>
  <c r="O46" i="5"/>
  <c r="C165" i="12"/>
  <c r="O165" i="12" a="1"/>
  <c r="O165" i="12" s="1"/>
  <c r="N165" i="12" s="1"/>
  <c r="AO165" i="12" a="1"/>
  <c r="AO165" i="12" s="1"/>
  <c r="M165" i="12" a="1"/>
  <c r="M165" i="12" s="1"/>
  <c r="AB172" i="5" a="1"/>
  <c r="AB172" i="5" s="1"/>
  <c r="AA172" i="5" a="1"/>
  <c r="AA172" i="5" s="1"/>
  <c r="C174" i="12"/>
  <c r="AO174" i="12" a="1"/>
  <c r="AO174" i="12" s="1"/>
  <c r="M174" i="12" a="1"/>
  <c r="M174" i="12" s="1"/>
  <c r="O174" i="12" a="1"/>
  <c r="O174" i="12" s="1"/>
  <c r="N174" i="12" s="1"/>
  <c r="M90" i="12" a="1"/>
  <c r="M90" i="12" s="1"/>
  <c r="C90" i="12"/>
  <c r="O90" i="12" a="1"/>
  <c r="O90" i="12" s="1"/>
  <c r="AO90" i="12" a="1"/>
  <c r="AO90" i="12" s="1"/>
  <c r="Y90" i="12" s="1"/>
  <c r="AB34" i="5" a="1"/>
  <c r="AB34" i="5" s="1"/>
  <c r="AA34" i="5" a="1"/>
  <c r="AA34" i="5" s="1"/>
  <c r="AO187" i="12" a="1"/>
  <c r="AO187" i="12" s="1"/>
  <c r="O187" i="12" a="1"/>
  <c r="O187" i="12" s="1"/>
  <c r="C187" i="12"/>
  <c r="M187" i="12" a="1"/>
  <c r="M187" i="12" s="1"/>
  <c r="O28" i="12" a="1"/>
  <c r="O28" i="12" s="1"/>
  <c r="C28" i="12"/>
  <c r="M28" i="12" a="1"/>
  <c r="M28" i="12" s="1"/>
  <c r="AO28" i="12" a="1"/>
  <c r="AO28" i="12" s="1"/>
  <c r="AB145" i="5" a="1"/>
  <c r="AB145" i="5" s="1"/>
  <c r="AA145" i="5" a="1"/>
  <c r="AA145" i="5" s="1"/>
  <c r="A19" i="9"/>
  <c r="J55" i="6" a="1"/>
  <c r="J55" i="6" s="1"/>
  <c r="J95" i="6" a="1"/>
  <c r="J95" i="6" s="1"/>
  <c r="J165" i="6" a="1"/>
  <c r="J165" i="6" s="1"/>
  <c r="J69" i="6" a="1"/>
  <c r="J69" i="6" s="1"/>
  <c r="J67" i="6" a="1"/>
  <c r="J67" i="6" s="1"/>
  <c r="J35" i="6" a="1"/>
  <c r="J35" i="6" s="1"/>
  <c r="J195" i="6" a="1"/>
  <c r="J195" i="6" s="1"/>
  <c r="J232" i="6" a="1"/>
  <c r="J232" i="6" s="1"/>
  <c r="J238" i="6" a="1"/>
  <c r="J238" i="6" s="1"/>
  <c r="J191" i="6" a="1"/>
  <c r="J191" i="6" s="1"/>
  <c r="J89" i="6" a="1"/>
  <c r="J89" i="6" s="1"/>
  <c r="J202" i="6" a="1"/>
  <c r="J202" i="6" s="1"/>
  <c r="J157" i="6" a="1"/>
  <c r="J157" i="6" s="1"/>
  <c r="J226" i="6" a="1"/>
  <c r="J226" i="6" s="1"/>
  <c r="J32" i="6" a="1"/>
  <c r="J32" i="6" s="1"/>
  <c r="J129" i="6" a="1"/>
  <c r="J129" i="6" s="1"/>
  <c r="J216" i="6" a="1"/>
  <c r="J216" i="6" s="1"/>
  <c r="J194" i="6" a="1"/>
  <c r="J194" i="6" s="1"/>
  <c r="J31" i="6" a="1"/>
  <c r="J31" i="6" s="1"/>
  <c r="J137" i="6" a="1"/>
  <c r="J137" i="6" s="1"/>
  <c r="J171" i="6" a="1"/>
  <c r="J171" i="6" s="1"/>
  <c r="J200" i="6" a="1"/>
  <c r="J200" i="6" s="1"/>
  <c r="J81" i="6" a="1"/>
  <c r="J81" i="6" s="1"/>
  <c r="J56" i="6" a="1"/>
  <c r="J56" i="6" s="1"/>
  <c r="J143" i="6" a="1"/>
  <c r="J143" i="6" s="1"/>
  <c r="J241" i="6" a="1"/>
  <c r="J241" i="6" s="1"/>
  <c r="J221" i="6" a="1"/>
  <c r="J221" i="6" s="1"/>
  <c r="J86" i="6" a="1"/>
  <c r="J86" i="6" s="1"/>
  <c r="J33" i="6" a="1"/>
  <c r="J33" i="6" s="1"/>
  <c r="J79" i="6" a="1"/>
  <c r="J79" i="6" s="1"/>
  <c r="J236" i="6" a="1"/>
  <c r="J236" i="6" s="1"/>
  <c r="J177" i="6" a="1"/>
  <c r="J177" i="6" s="1"/>
  <c r="J153" i="6" a="1"/>
  <c r="J153" i="6" s="1"/>
  <c r="J174" i="6" a="1"/>
  <c r="J174" i="6" s="1"/>
  <c r="J34" i="6" a="1"/>
  <c r="J34" i="6" s="1"/>
  <c r="J184" i="6" a="1"/>
  <c r="J184" i="6" s="1"/>
  <c r="J40" i="6" a="1"/>
  <c r="J40" i="6" s="1"/>
  <c r="J173" i="6" a="1"/>
  <c r="J173" i="6" s="1"/>
  <c r="J88" i="6" a="1"/>
  <c r="J88" i="6" s="1"/>
  <c r="J87" i="6" a="1"/>
  <c r="J87" i="6" s="1"/>
  <c r="J68" i="6" a="1"/>
  <c r="J68" i="6" s="1"/>
  <c r="J131" i="6" a="1"/>
  <c r="J131" i="6" s="1"/>
  <c r="J163" i="6" a="1"/>
  <c r="J163" i="6" s="1"/>
  <c r="J178" i="6" a="1"/>
  <c r="J178" i="6" s="1"/>
  <c r="J113" i="6" a="1"/>
  <c r="J113" i="6" s="1"/>
  <c r="J82" i="6" a="1"/>
  <c r="J82" i="6" s="1"/>
  <c r="J205" i="6" a="1"/>
  <c r="J205" i="6" s="1"/>
  <c r="J105" i="6" a="1"/>
  <c r="J105" i="6" s="1"/>
  <c r="J20" i="6" a="1"/>
  <c r="J20" i="6" s="1"/>
  <c r="J103" i="6" a="1"/>
  <c r="J103" i="6" s="1"/>
  <c r="J158" i="6" a="1"/>
  <c r="J158" i="6" s="1"/>
  <c r="J139" i="6" a="1"/>
  <c r="J139" i="6" s="1"/>
  <c r="J71" i="6" a="1"/>
  <c r="J71" i="6" s="1"/>
  <c r="J93" i="6" a="1"/>
  <c r="J93" i="6" s="1"/>
  <c r="J185" i="6" a="1"/>
  <c r="J185" i="6" s="1"/>
  <c r="J148" i="6" a="1"/>
  <c r="J148" i="6" s="1"/>
  <c r="J146" i="6" a="1"/>
  <c r="J146" i="6" s="1"/>
  <c r="J155" i="6" a="1"/>
  <c r="J155" i="6" s="1"/>
  <c r="J182" i="6" a="1"/>
  <c r="J182" i="6" s="1"/>
  <c r="J164" i="6" a="1"/>
  <c r="J164" i="6" s="1"/>
  <c r="J192" i="6" a="1"/>
  <c r="J192" i="6" s="1"/>
  <c r="J243" i="6" a="1"/>
  <c r="J243" i="6" s="1"/>
  <c r="J41" i="6" a="1"/>
  <c r="J41" i="6" s="1"/>
  <c r="J29" i="6" a="1"/>
  <c r="J29" i="6" s="1"/>
  <c r="J145" i="6" a="1"/>
  <c r="J145" i="6" s="1"/>
  <c r="J161" i="6" a="1"/>
  <c r="J161" i="6" s="1"/>
  <c r="J70" i="6" a="1"/>
  <c r="J70" i="6" s="1"/>
  <c r="J122" i="6" a="1"/>
  <c r="J122" i="6" s="1"/>
  <c r="J118" i="6" a="1"/>
  <c r="J118" i="6" s="1"/>
  <c r="J235" i="6" a="1"/>
  <c r="J235" i="6" s="1"/>
  <c r="J149" i="6" a="1"/>
  <c r="J149" i="6" s="1"/>
  <c r="J78" i="6" a="1"/>
  <c r="J78" i="6" s="1"/>
  <c r="J120" i="6" a="1"/>
  <c r="J120" i="6" s="1"/>
  <c r="J154" i="6" a="1"/>
  <c r="J154" i="6" s="1"/>
  <c r="J65" i="6" a="1"/>
  <c r="J65" i="6" s="1"/>
  <c r="J150" i="6" a="1"/>
  <c r="J150" i="6" s="1"/>
  <c r="J196" i="6" a="1"/>
  <c r="J196" i="6" s="1"/>
  <c r="J92" i="6" a="1"/>
  <c r="J92" i="6" s="1"/>
  <c r="J199" i="6" a="1"/>
  <c r="J199" i="6" s="1"/>
  <c r="J37" i="6" a="1"/>
  <c r="J37" i="6" s="1"/>
  <c r="J228" i="6" a="1"/>
  <c r="J228" i="6" s="1"/>
  <c r="J179" i="6" a="1"/>
  <c r="J179" i="6" s="1"/>
  <c r="J147" i="6" a="1"/>
  <c r="J147" i="6" s="1"/>
  <c r="J218" i="6" a="1"/>
  <c r="J218" i="6" s="1"/>
  <c r="J100" i="6" a="1"/>
  <c r="J100" i="6" s="1"/>
  <c r="J51" i="6" a="1"/>
  <c r="J51" i="6" s="1"/>
  <c r="J212" i="6" a="1"/>
  <c r="J212" i="6" s="1"/>
  <c r="J109" i="6" a="1"/>
  <c r="J109" i="6" s="1"/>
  <c r="J208" i="6" a="1"/>
  <c r="J208" i="6" s="1"/>
  <c r="J141" i="6" a="1"/>
  <c r="J141" i="6" s="1"/>
  <c r="J136" i="6" a="1"/>
  <c r="J136" i="6" s="1"/>
  <c r="J176" i="6" a="1"/>
  <c r="J176" i="6" s="1"/>
  <c r="J159" i="6" a="1"/>
  <c r="J159" i="6" s="1"/>
  <c r="J222" i="6" a="1"/>
  <c r="J222" i="6" s="1"/>
  <c r="J189" i="6" a="1"/>
  <c r="J189" i="6" s="1"/>
  <c r="J38" i="6" a="1"/>
  <c r="J38" i="6" s="1"/>
  <c r="J135" i="6" a="1"/>
  <c r="J135" i="6" s="1"/>
  <c r="J43" i="6" a="1"/>
  <c r="J43" i="6" s="1"/>
  <c r="J74" i="6" a="1"/>
  <c r="J74" i="6" s="1"/>
  <c r="J46" i="6" a="1"/>
  <c r="J46" i="6" s="1"/>
  <c r="J237" i="6" a="1"/>
  <c r="J237" i="6" s="1"/>
  <c r="J219" i="6" a="1"/>
  <c r="J219" i="6" s="1"/>
  <c r="J151" i="6" a="1"/>
  <c r="J151" i="6" s="1"/>
  <c r="J121" i="6" a="1"/>
  <c r="J121" i="6" s="1"/>
  <c r="J210" i="6" a="1"/>
  <c r="J210" i="6" s="1"/>
  <c r="J209" i="6" a="1"/>
  <c r="J209" i="6" s="1"/>
  <c r="J52" i="6" a="1"/>
  <c r="J52" i="6" s="1"/>
  <c r="J24" i="6" a="1"/>
  <c r="J24" i="6" s="1"/>
  <c r="J206" i="6" a="1"/>
  <c r="J206" i="6" s="1"/>
  <c r="J108" i="6" a="1"/>
  <c r="J108" i="6" s="1"/>
  <c r="J117" i="6" a="1"/>
  <c r="J117" i="6" s="1"/>
  <c r="J63" i="6" a="1"/>
  <c r="J63" i="6" s="1"/>
  <c r="J198" i="6" a="1"/>
  <c r="J198" i="6" s="1"/>
  <c r="J170" i="6" a="1"/>
  <c r="J170" i="6" s="1"/>
  <c r="J96" i="6" a="1"/>
  <c r="J96" i="6" s="1"/>
  <c r="J42" i="6" a="1"/>
  <c r="J42" i="6" s="1"/>
  <c r="J239" i="6" a="1"/>
  <c r="J239" i="6" s="1"/>
  <c r="J190" i="6" a="1"/>
  <c r="J190" i="6" s="1"/>
  <c r="J124" i="6" a="1"/>
  <c r="J124" i="6" s="1"/>
  <c r="J47" i="6" a="1"/>
  <c r="J47" i="6" s="1"/>
  <c r="J183" i="6" a="1"/>
  <c r="J183" i="6" s="1"/>
  <c r="J230" i="6" a="1"/>
  <c r="J230" i="6" s="1"/>
  <c r="J39" i="6" a="1"/>
  <c r="J39" i="6" s="1"/>
  <c r="J181" i="6" a="1"/>
  <c r="J181" i="6" s="1"/>
  <c r="J169" i="6" a="1"/>
  <c r="J169" i="6" s="1"/>
  <c r="J97" i="6" a="1"/>
  <c r="J97" i="6" s="1"/>
  <c r="J53" i="6" a="1"/>
  <c r="J53" i="6" s="1"/>
  <c r="J18" i="6" a="1"/>
  <c r="J18" i="6" s="1"/>
  <c r="J220" i="6" a="1"/>
  <c r="J220" i="6" s="1"/>
  <c r="J127" i="6" a="1"/>
  <c r="J127" i="6" s="1"/>
  <c r="J98" i="6" a="1"/>
  <c r="J98" i="6" s="1"/>
  <c r="J144" i="6" a="1"/>
  <c r="J144" i="6" s="1"/>
  <c r="J224" i="6" a="1"/>
  <c r="J224" i="6" s="1"/>
  <c r="J104" i="6" a="1"/>
  <c r="J104" i="6" s="1"/>
  <c r="J140" i="6" a="1"/>
  <c r="J140" i="6" s="1"/>
  <c r="J197" i="6" a="1"/>
  <c r="J197" i="6" s="1"/>
  <c r="J85" i="6" a="1"/>
  <c r="J85" i="6" s="1"/>
  <c r="J90" i="6" a="1"/>
  <c r="J90" i="6" s="1"/>
  <c r="J211" i="6" a="1"/>
  <c r="J211" i="6" s="1"/>
  <c r="J119" i="6" a="1"/>
  <c r="J119" i="6" s="1"/>
  <c r="J207" i="6" a="1"/>
  <c r="J207" i="6" s="1"/>
  <c r="J160" i="6" a="1"/>
  <c r="J160" i="6" s="1"/>
  <c r="J80" i="6" a="1"/>
  <c r="J80" i="6" s="1"/>
  <c r="J48" i="6" a="1"/>
  <c r="J48" i="6" s="1"/>
  <c r="J60" i="6" a="1"/>
  <c r="J60" i="6" s="1"/>
  <c r="J187" i="6" a="1"/>
  <c r="J187" i="6" s="1"/>
  <c r="J30" i="6" a="1"/>
  <c r="J30" i="6" s="1"/>
  <c r="J126" i="6" a="1"/>
  <c r="J126" i="6" s="1"/>
  <c r="J54" i="6" a="1"/>
  <c r="J54" i="6" s="1"/>
  <c r="J77" i="6" a="1"/>
  <c r="J77" i="6" s="1"/>
  <c r="J215" i="6" a="1"/>
  <c r="J215" i="6" s="1"/>
  <c r="J59" i="6" a="1"/>
  <c r="J59" i="6" s="1"/>
  <c r="J21" i="6" a="1"/>
  <c r="J21" i="6" s="1"/>
  <c r="J123" i="6" a="1"/>
  <c r="J123" i="6" s="1"/>
  <c r="J223" i="6" a="1"/>
  <c r="J223" i="6" s="1"/>
  <c r="J57" i="6" a="1"/>
  <c r="J57" i="6" s="1"/>
  <c r="J240" i="6" a="1"/>
  <c r="J240" i="6" s="1"/>
  <c r="J106" i="6" a="1"/>
  <c r="J106" i="6" s="1"/>
  <c r="J111" i="6" a="1"/>
  <c r="J111" i="6" s="1"/>
  <c r="J58" i="6" a="1"/>
  <c r="J58" i="6" s="1"/>
  <c r="J229" i="6" a="1"/>
  <c r="J229" i="6" s="1"/>
  <c r="J162" i="6" a="1"/>
  <c r="J162" i="6" s="1"/>
  <c r="J172" i="6" a="1"/>
  <c r="J172" i="6" s="1"/>
  <c r="J130" i="6" a="1"/>
  <c r="J130" i="6" s="1"/>
  <c r="J168" i="6" a="1"/>
  <c r="J168" i="6" s="1"/>
  <c r="J152" i="6" a="1"/>
  <c r="J152" i="6" s="1"/>
  <c r="J138" i="6" a="1"/>
  <c r="J138" i="6" s="1"/>
  <c r="J242" i="6" a="1"/>
  <c r="J242" i="6" s="1"/>
  <c r="J27" i="6" a="1"/>
  <c r="J27" i="6" s="1"/>
  <c r="J214" i="6" a="1"/>
  <c r="J214" i="6" s="1"/>
  <c r="J227" i="6" a="1"/>
  <c r="J227" i="6" s="1"/>
  <c r="J231" i="6" a="1"/>
  <c r="J231" i="6" s="1"/>
  <c r="J44" i="6" a="1"/>
  <c r="J44" i="6" s="1"/>
  <c r="J186" i="6" a="1"/>
  <c r="J186" i="6" s="1"/>
  <c r="J213" i="6" a="1"/>
  <c r="J213" i="6" s="1"/>
  <c r="J72" i="6" a="1"/>
  <c r="J72" i="6" s="1"/>
  <c r="J64" i="6" a="1"/>
  <c r="J64" i="6" s="1"/>
  <c r="J193" i="6" a="1"/>
  <c r="J193" i="6" s="1"/>
  <c r="J116" i="6" a="1"/>
  <c r="J116" i="6" s="1"/>
  <c r="J112" i="6" a="1"/>
  <c r="J112" i="6" s="1"/>
  <c r="J28" i="6" a="1"/>
  <c r="J28" i="6" s="1"/>
  <c r="J201" i="6" a="1"/>
  <c r="J201" i="6" s="1"/>
  <c r="A53" i="9"/>
  <c r="A25" i="9"/>
  <c r="G25" i="7"/>
  <c r="M146" i="12" a="1"/>
  <c r="M146" i="12" s="1"/>
  <c r="O146" i="12" a="1"/>
  <c r="O146" i="12" s="1"/>
  <c r="AO146" i="12" a="1"/>
  <c r="AO146" i="12" s="1"/>
  <c r="C146" i="12"/>
  <c r="O231" i="12" a="1"/>
  <c r="O231" i="12" s="1"/>
  <c r="AO231" i="12" a="1"/>
  <c r="AO231" i="12" s="1"/>
  <c r="C231" i="12"/>
  <c r="M231" i="12" a="1"/>
  <c r="M231" i="12" s="1"/>
  <c r="C79" i="6"/>
  <c r="O79" i="5"/>
  <c r="Y87" i="12"/>
  <c r="AB119" i="5" a="1"/>
  <c r="AB119" i="5" s="1"/>
  <c r="AA119" i="5" a="1"/>
  <c r="AA119" i="5" s="1"/>
  <c r="O67" i="5"/>
  <c r="C67" i="6"/>
  <c r="AB185" i="5" a="1"/>
  <c r="AB185" i="5" s="1"/>
  <c r="AA185" i="5" a="1"/>
  <c r="AA185" i="5" s="1"/>
  <c r="AB24" i="5" a="1"/>
  <c r="AB24" i="5" s="1"/>
  <c r="AA24" i="5" a="1"/>
  <c r="AA24" i="5" s="1"/>
  <c r="C137" i="6"/>
  <c r="O137" i="5"/>
  <c r="C141" i="6"/>
  <c r="O141" i="5"/>
  <c r="M211" i="12" a="1"/>
  <c r="M211" i="12" s="1"/>
  <c r="AO211" i="12" a="1"/>
  <c r="AO211" i="12" s="1"/>
  <c r="Y211" i="12" s="1"/>
  <c r="C211" i="12"/>
  <c r="O211" i="12" a="1"/>
  <c r="O211" i="12" s="1"/>
  <c r="C27" i="12"/>
  <c r="AO27" i="12" a="1"/>
  <c r="AO27" i="12" s="1"/>
  <c r="M27" i="12" a="1"/>
  <c r="M27" i="12" s="1"/>
  <c r="O27" i="12" a="1"/>
  <c r="O27" i="12" s="1"/>
  <c r="C113" i="12"/>
  <c r="AO113" i="12" a="1"/>
  <c r="AO113" i="12" s="1"/>
  <c r="O113" i="12" a="1"/>
  <c r="O113" i="12" s="1"/>
  <c r="M113" i="12" a="1"/>
  <c r="M113" i="12" s="1"/>
  <c r="C232" i="6"/>
  <c r="O232" i="5"/>
  <c r="Z17" i="5"/>
  <c r="I17" i="12"/>
  <c r="S17" i="8"/>
  <c r="L17" i="5"/>
  <c r="AM17" i="5"/>
  <c r="AB138" i="5" a="1"/>
  <c r="AB138" i="5" s="1"/>
  <c r="AA138" i="5" a="1"/>
  <c r="AA138" i="5" s="1"/>
  <c r="AO219" i="12" a="1"/>
  <c r="AO219" i="12" s="1"/>
  <c r="M219" i="12" a="1"/>
  <c r="M219" i="12" s="1"/>
  <c r="O219" i="12" a="1"/>
  <c r="O219" i="12" s="1"/>
  <c r="N219" i="12" s="1"/>
  <c r="C219" i="12"/>
  <c r="AB108" i="5" a="1"/>
  <c r="AB108" i="5" s="1"/>
  <c r="AB107" i="5" s="1" a="1"/>
  <c r="AB107" i="5" s="1"/>
  <c r="D80" i="8" s="1"/>
  <c r="AA108" i="5" a="1"/>
  <c r="AA108" i="5" s="1"/>
  <c r="AA107" i="5" s="1" a="1"/>
  <c r="AA107" i="5" s="1"/>
  <c r="AB93" i="5" a="1"/>
  <c r="AB93" i="5" s="1"/>
  <c r="AA93" i="5" a="1"/>
  <c r="AA93" i="5" s="1"/>
  <c r="O98" i="12" a="1"/>
  <c r="O98" i="12" s="1"/>
  <c r="N98" i="12" s="1"/>
  <c r="C98" i="12"/>
  <c r="M98" i="12" a="1"/>
  <c r="M98" i="12" s="1"/>
  <c r="AO98" i="12" a="1"/>
  <c r="AO98" i="12" s="1"/>
  <c r="Y98" i="12" s="1"/>
  <c r="M70" i="12" a="1"/>
  <c r="M70" i="12" s="1"/>
  <c r="O70" i="12" a="1"/>
  <c r="O70" i="12" s="1"/>
  <c r="N70" i="12" s="1"/>
  <c r="AO70" i="12" a="1"/>
  <c r="AO70" i="12" s="1"/>
  <c r="Y70" i="12" s="1"/>
  <c r="C70" i="12"/>
  <c r="M95" i="12" a="1"/>
  <c r="M95" i="12" s="1"/>
  <c r="M94" i="12" s="1" a="1"/>
  <c r="M94" i="12" s="1"/>
  <c r="O95" i="12" a="1"/>
  <c r="O95" i="12" s="1"/>
  <c r="AO95" i="12" a="1"/>
  <c r="AO95" i="12" s="1"/>
  <c r="C95" i="12"/>
  <c r="AB54" i="5" a="1"/>
  <c r="AB54" i="5" s="1"/>
  <c r="AA54" i="5" a="1"/>
  <c r="AA54" i="5" s="1"/>
  <c r="AB118" i="5" a="1"/>
  <c r="AB118" i="5" s="1"/>
  <c r="AA118" i="5" a="1"/>
  <c r="AA118" i="5" s="1"/>
  <c r="O117" i="12" a="1"/>
  <c r="O117" i="12" s="1"/>
  <c r="AO117" i="12" a="1"/>
  <c r="AO117" i="12" s="1"/>
  <c r="Y117" i="12" s="1"/>
  <c r="M117" i="12" a="1"/>
  <c r="M117" i="12" s="1"/>
  <c r="C117" i="12"/>
  <c r="AB80" i="5" a="1"/>
  <c r="AB80" i="5" s="1"/>
  <c r="AA80" i="5" a="1"/>
  <c r="AA80" i="5" s="1"/>
  <c r="AM62" i="5"/>
  <c r="L62" i="5"/>
  <c r="I62" i="12"/>
  <c r="S50" i="8"/>
  <c r="Z62" i="5"/>
  <c r="C210" i="6"/>
  <c r="O210" i="5"/>
  <c r="AB207" i="5" a="1"/>
  <c r="AB207" i="5" s="1"/>
  <c r="AA207" i="5" a="1"/>
  <c r="AA207" i="5" s="1"/>
  <c r="C184" i="12"/>
  <c r="O184" i="12" a="1"/>
  <c r="O184" i="12" s="1"/>
  <c r="N184" i="12" s="1"/>
  <c r="M184" i="12" a="1"/>
  <c r="M184" i="12" s="1"/>
  <c r="AO184" i="12" a="1"/>
  <c r="AO184" i="12" s="1"/>
  <c r="AB29" i="5" a="1"/>
  <c r="AB29" i="5" s="1"/>
  <c r="AA29" i="5" a="1"/>
  <c r="AA29" i="5" s="1"/>
  <c r="C169" i="6"/>
  <c r="O169" i="5"/>
  <c r="O221" i="12" a="1"/>
  <c r="O221" i="12" s="1"/>
  <c r="M221" i="12" a="1"/>
  <c r="M221" i="12" s="1"/>
  <c r="C221" i="12"/>
  <c r="AO221" i="12" a="1"/>
  <c r="AO221" i="12" s="1"/>
  <c r="Y221" i="12" s="1"/>
  <c r="C52" i="6"/>
  <c r="O52" i="5"/>
  <c r="AB51" i="5" a="1"/>
  <c r="AB51" i="5" s="1"/>
  <c r="AA51" i="5" a="1"/>
  <c r="AA51" i="5" s="1"/>
  <c r="O158" i="12" a="1"/>
  <c r="O158" i="12" s="1"/>
  <c r="N158" i="12" s="1"/>
  <c r="AO158" i="12" a="1"/>
  <c r="AO158" i="12" s="1"/>
  <c r="Y158" i="12" s="1"/>
  <c r="C158" i="12"/>
  <c r="M158" i="12" a="1"/>
  <c r="M158" i="12" s="1"/>
  <c r="C59" i="6"/>
  <c r="O59" i="5"/>
  <c r="AB31" i="5" a="1"/>
  <c r="AB31" i="5" s="1"/>
  <c r="AA31" i="5" a="1"/>
  <c r="AA31" i="5" s="1"/>
  <c r="O191" i="12" a="1"/>
  <c r="O191" i="12" s="1"/>
  <c r="N191" i="12" s="1"/>
  <c r="C191" i="12"/>
  <c r="AO191" i="12" a="1"/>
  <c r="AO191" i="12" s="1"/>
  <c r="M191" i="12" a="1"/>
  <c r="M191" i="12" s="1"/>
  <c r="C127" i="12"/>
  <c r="AO127" i="12" a="1"/>
  <c r="AO127" i="12" s="1"/>
  <c r="Y127" i="12" s="1"/>
  <c r="M127" i="12" a="1"/>
  <c r="M127" i="12" s="1"/>
  <c r="O127" i="12" a="1"/>
  <c r="O127" i="12" s="1"/>
  <c r="Z110" i="5"/>
  <c r="L110" i="5"/>
  <c r="S89" i="8"/>
  <c r="AM110" i="5"/>
  <c r="I110" i="12"/>
  <c r="AB38" i="5" a="1"/>
  <c r="AB38" i="5" s="1"/>
  <c r="AA38" i="5" a="1"/>
  <c r="AA38" i="5" s="1"/>
  <c r="C53" i="6"/>
  <c r="O53" i="5"/>
  <c r="AO225" i="12" l="1" a="1"/>
  <c r="AO225" i="12" s="1"/>
  <c r="Y226" i="12"/>
  <c r="C188" i="6"/>
  <c r="AC188" i="5" a="1"/>
  <c r="AC188" i="5" s="1"/>
  <c r="O188" i="5"/>
  <c r="L20" i="13"/>
  <c r="P20" i="11"/>
  <c r="C20" i="11"/>
  <c r="W21" i="12" a="1"/>
  <c r="W21" i="12" s="1"/>
  <c r="X21" i="12" a="1"/>
  <c r="X21" i="12" s="1"/>
  <c r="AC203" i="5" a="1"/>
  <c r="AC203" i="5" s="1"/>
  <c r="C203" i="6"/>
  <c r="O203" i="5"/>
  <c r="AC132" i="5" a="1"/>
  <c r="AC132" i="5" s="1"/>
  <c r="O132" i="5"/>
  <c r="C132" i="6"/>
  <c r="X141" i="12" a="1"/>
  <c r="X141" i="12" s="1"/>
  <c r="W141" i="12" a="1"/>
  <c r="W141" i="12" s="1"/>
  <c r="G86" i="8"/>
  <c r="AP86" i="8" a="1"/>
  <c r="AP86" i="8" s="1"/>
  <c r="H87" i="8" a="1"/>
  <c r="H87" i="8" s="1"/>
  <c r="AR86" i="8" a="1"/>
  <c r="AR86" i="8" s="1"/>
  <c r="AO86" i="8" a="1"/>
  <c r="AO86" i="8" s="1"/>
  <c r="AQ86" i="8" a="1"/>
  <c r="AQ86" i="8" s="1"/>
  <c r="H86" i="8" a="1"/>
  <c r="H86" i="8" s="1"/>
  <c r="J87" i="8" s="1"/>
  <c r="D86" i="8"/>
  <c r="Z86" i="8" a="1"/>
  <c r="Z86" i="8" s="1"/>
  <c r="V86" i="8" a="1"/>
  <c r="V86" i="8" s="1"/>
  <c r="AB86" i="8" a="1"/>
  <c r="AB86" i="8" s="1"/>
  <c r="AE86" i="8" a="1"/>
  <c r="AE86" i="8" s="1"/>
  <c r="AI86" i="8" a="1"/>
  <c r="AI86" i="8" s="1"/>
  <c r="AM86" i="8" a="1"/>
  <c r="AM86" i="8" s="1"/>
  <c r="U86" i="8" a="1"/>
  <c r="U86" i="8" s="1"/>
  <c r="Y86" i="8" a="1"/>
  <c r="Y86" i="8" s="1"/>
  <c r="AN86" i="8" a="1"/>
  <c r="AN86" i="8" s="1"/>
  <c r="AF86" i="8" a="1"/>
  <c r="AF86" i="8" s="1"/>
  <c r="AL86" i="8" a="1"/>
  <c r="AL86" i="8" s="1"/>
  <c r="AD86" i="8" a="1"/>
  <c r="AD86" i="8" s="1"/>
  <c r="W86" i="8" a="1"/>
  <c r="W86" i="8" s="1"/>
  <c r="AC86" i="8" a="1"/>
  <c r="AC86" i="8" s="1"/>
  <c r="AG86" i="8" a="1"/>
  <c r="AG86" i="8" s="1"/>
  <c r="X86" i="8" a="1"/>
  <c r="X86" i="8" s="1"/>
  <c r="AH86" i="8" a="1"/>
  <c r="AH86" i="8" s="1"/>
  <c r="AJ86" i="8" a="1"/>
  <c r="AJ86" i="8" s="1"/>
  <c r="AK86" i="8" a="1"/>
  <c r="AK86" i="8" s="1"/>
  <c r="E86" i="8" a="1"/>
  <c r="E86" i="8" s="1"/>
  <c r="AA86" i="8" a="1"/>
  <c r="AA86" i="8" s="1"/>
  <c r="W211" i="12" a="1"/>
  <c r="W211" i="12" s="1"/>
  <c r="X211" i="12" a="1"/>
  <c r="X211" i="12" s="1"/>
  <c r="H67" i="10"/>
  <c r="X224" i="12" a="1"/>
  <c r="X224" i="12" s="1"/>
  <c r="W224" i="12" a="1"/>
  <c r="W224" i="12" s="1"/>
  <c r="E81" i="6"/>
  <c r="D81" i="12"/>
  <c r="C110" i="12"/>
  <c r="J110" i="12" a="1"/>
  <c r="J110" i="12" s="1"/>
  <c r="L110" i="12" a="1"/>
  <c r="L110" i="12" s="1"/>
  <c r="K110" i="12" s="1"/>
  <c r="AG67" i="10"/>
  <c r="C49" i="12"/>
  <c r="J49" i="12" a="1"/>
  <c r="J49" i="12" s="1"/>
  <c r="L49" i="12" a="1"/>
  <c r="L49" i="12" s="1"/>
  <c r="K49" i="12" s="1"/>
  <c r="E150" i="6"/>
  <c r="D150" i="12"/>
  <c r="W179" i="12" a="1"/>
  <c r="W179" i="12" s="1"/>
  <c r="X179" i="12" a="1"/>
  <c r="X179" i="12" s="1"/>
  <c r="L16" i="13"/>
  <c r="C16" i="11"/>
  <c r="P16" i="11"/>
  <c r="X220" i="12" a="1"/>
  <c r="X220" i="12" s="1"/>
  <c r="W220" i="12" a="1"/>
  <c r="W220" i="12" s="1"/>
  <c r="AC148" i="8" a="1"/>
  <c r="AC148" i="8" s="1"/>
  <c r="AC146" i="8" s="1" a="1"/>
  <c r="AC146" i="8" s="1"/>
  <c r="AH148" i="8" a="1"/>
  <c r="AH148" i="8" s="1"/>
  <c r="AH146" i="8" s="1" a="1"/>
  <c r="AH146" i="8" s="1"/>
  <c r="AM148" i="8" a="1"/>
  <c r="AM148" i="8" s="1"/>
  <c r="AM146" i="8" s="1" a="1"/>
  <c r="AM146" i="8" s="1"/>
  <c r="Z148" i="8" a="1"/>
  <c r="Z148" i="8" s="1"/>
  <c r="Z146" i="8" s="1" a="1"/>
  <c r="Z146" i="8" s="1"/>
  <c r="AQ149" i="8" a="1"/>
  <c r="AQ149" i="8" s="1"/>
  <c r="Y148" i="8" a="1"/>
  <c r="Y148" i="8" s="1"/>
  <c r="Y146" i="8" s="1" a="1"/>
  <c r="Y146" i="8" s="1"/>
  <c r="AJ148" i="8" a="1"/>
  <c r="AJ148" i="8" s="1"/>
  <c r="AJ146" i="8" s="1" a="1"/>
  <c r="AJ146" i="8" s="1"/>
  <c r="H149" i="8" a="1"/>
  <c r="H149" i="8" s="1"/>
  <c r="J150" i="8" s="1"/>
  <c r="AR148" i="8" a="1"/>
  <c r="AR148" i="8" s="1"/>
  <c r="AR146" i="8" s="1" a="1"/>
  <c r="AR146" i="8" s="1"/>
  <c r="AI148" i="8" a="1"/>
  <c r="AI148" i="8" s="1"/>
  <c r="AI146" i="8" s="1" a="1"/>
  <c r="AI146" i="8" s="1"/>
  <c r="E148" i="8" a="1"/>
  <c r="E148" i="8" s="1"/>
  <c r="E146" i="8" s="1" a="1"/>
  <c r="E146" i="8" s="1"/>
  <c r="U148" i="8" a="1"/>
  <c r="U148" i="8" s="1"/>
  <c r="U146" i="8" s="1" a="1"/>
  <c r="U146" i="8" s="1"/>
  <c r="AG148" i="8" a="1"/>
  <c r="AG148" i="8" s="1"/>
  <c r="AG146" i="8" s="1" a="1"/>
  <c r="AG146" i="8" s="1"/>
  <c r="AO149" i="8" a="1"/>
  <c r="AO149" i="8" s="1"/>
  <c r="AE148" i="8" a="1"/>
  <c r="AE148" i="8" s="1"/>
  <c r="AE146" i="8" s="1" a="1"/>
  <c r="AE146" i="8" s="1"/>
  <c r="AL148" i="8" a="1"/>
  <c r="AL148" i="8" s="1"/>
  <c r="AL146" i="8" s="1" a="1"/>
  <c r="AL146" i="8" s="1"/>
  <c r="V148" i="8" a="1"/>
  <c r="V148" i="8" s="1"/>
  <c r="V146" i="8" s="1" a="1"/>
  <c r="V146" i="8" s="1"/>
  <c r="AR149" i="8" a="1"/>
  <c r="AR149" i="8" s="1"/>
  <c r="AD148" i="8" a="1"/>
  <c r="AD148" i="8" s="1"/>
  <c r="AD146" i="8" s="1" a="1"/>
  <c r="AD146" i="8" s="1"/>
  <c r="W148" i="8" a="1"/>
  <c r="W148" i="8" s="1"/>
  <c r="W146" i="8" s="1" a="1"/>
  <c r="W146" i="8" s="1"/>
  <c r="G149" i="8"/>
  <c r="H150" i="8" a="1"/>
  <c r="H150" i="8" s="1"/>
  <c r="AP149" i="8" a="1"/>
  <c r="AP149" i="8" s="1"/>
  <c r="AA148" i="8" a="1"/>
  <c r="AA148" i="8" s="1"/>
  <c r="AA146" i="8" s="1" a="1"/>
  <c r="AA146" i="8" s="1"/>
  <c r="AQ148" i="8" a="1"/>
  <c r="AQ148" i="8" s="1"/>
  <c r="AQ146" i="8" s="1" a="1"/>
  <c r="AQ146" i="8" s="1"/>
  <c r="AB148" i="8" a="1"/>
  <c r="AB148" i="8" s="1"/>
  <c r="AB146" i="8" s="1" a="1"/>
  <c r="AB146" i="8" s="1"/>
  <c r="AN148" i="8" a="1"/>
  <c r="AN148" i="8" s="1"/>
  <c r="AN146" i="8" s="1" a="1"/>
  <c r="AN146" i="8" s="1"/>
  <c r="AP148" i="8" a="1"/>
  <c r="AP148" i="8" s="1"/>
  <c r="AP146" i="8" s="1" a="1"/>
  <c r="AP146" i="8" s="1"/>
  <c r="AK148" i="8" a="1"/>
  <c r="AK148" i="8" s="1"/>
  <c r="AK146" i="8" s="1" a="1"/>
  <c r="AK146" i="8" s="1"/>
  <c r="AO148" i="8" a="1"/>
  <c r="AO148" i="8" s="1"/>
  <c r="AO146" i="8" s="1" a="1"/>
  <c r="AO146" i="8" s="1"/>
  <c r="X148" i="8" a="1"/>
  <c r="X148" i="8" s="1"/>
  <c r="X146" i="8" s="1" a="1"/>
  <c r="X146" i="8" s="1"/>
  <c r="AF148" i="8" a="1"/>
  <c r="AF148" i="8" s="1"/>
  <c r="AF146" i="8" s="1" a="1"/>
  <c r="AF146" i="8" s="1"/>
  <c r="AC149" i="8" a="1"/>
  <c r="AC149" i="8" s="1"/>
  <c r="Z149" i="8" a="1"/>
  <c r="Z149" i="8" s="1"/>
  <c r="W149" i="8" a="1"/>
  <c r="W149" i="8" s="1"/>
  <c r="AG149" i="8" a="1"/>
  <c r="AG149" i="8" s="1"/>
  <c r="AL149" i="8" a="1"/>
  <c r="AL149" i="8" s="1"/>
  <c r="AF149" i="8" a="1"/>
  <c r="AF149" i="8" s="1"/>
  <c r="AD149" i="8" a="1"/>
  <c r="AD149" i="8" s="1"/>
  <c r="AJ149" i="8" a="1"/>
  <c r="AJ149" i="8" s="1"/>
  <c r="AB149" i="8" a="1"/>
  <c r="AB149" i="8" s="1"/>
  <c r="X149" i="8" a="1"/>
  <c r="X149" i="8" s="1"/>
  <c r="Y149" i="8" a="1"/>
  <c r="Y149" i="8" s="1"/>
  <c r="V149" i="8" a="1"/>
  <c r="V149" i="8" s="1"/>
  <c r="AN149" i="8" a="1"/>
  <c r="AN149" i="8" s="1"/>
  <c r="AE149" i="8" a="1"/>
  <c r="AE149" i="8" s="1"/>
  <c r="AA149" i="8" a="1"/>
  <c r="AA149" i="8" s="1"/>
  <c r="E149" i="8" a="1"/>
  <c r="E149" i="8" s="1"/>
  <c r="AI149" i="8" a="1"/>
  <c r="AI149" i="8" s="1"/>
  <c r="AK149" i="8" a="1"/>
  <c r="AK149" i="8" s="1"/>
  <c r="AH149" i="8" a="1"/>
  <c r="AH149" i="8" s="1"/>
  <c r="U149" i="8" a="1"/>
  <c r="U149" i="8" s="1"/>
  <c r="AM149" i="8" a="1"/>
  <c r="AM149" i="8" s="1"/>
  <c r="D97" i="12"/>
  <c r="E97" i="6"/>
  <c r="G27" i="7"/>
  <c r="E148" i="6"/>
  <c r="D148" i="12"/>
  <c r="N131" i="12"/>
  <c r="D117" i="12"/>
  <c r="E117" i="6"/>
  <c r="N28" i="12"/>
  <c r="N51" i="12"/>
  <c r="O49" i="12" a="1"/>
  <c r="O49" i="12" s="1"/>
  <c r="O50" i="12" a="1"/>
  <c r="O50" i="12" s="1"/>
  <c r="Y182" i="12"/>
  <c r="T72" i="9"/>
  <c r="AS72" i="9"/>
  <c r="AM176" i="8"/>
  <c r="E176" i="6"/>
  <c r="D176" i="12"/>
  <c r="E240" i="6"/>
  <c r="D240" i="12"/>
  <c r="E170" i="6"/>
  <c r="D170" i="12"/>
  <c r="AA233" i="5" a="1"/>
  <c r="AA233" i="5" s="1"/>
  <c r="AA234" i="5" a="1"/>
  <c r="AA234" i="5" s="1"/>
  <c r="C149" i="8" s="1"/>
  <c r="E78" i="6"/>
  <c r="D78" i="12"/>
  <c r="C61" i="12"/>
  <c r="J61" i="12" a="1"/>
  <c r="J61" i="12" s="1"/>
  <c r="L61" i="12" a="1"/>
  <c r="L61" i="12" s="1"/>
  <c r="N220" i="12"/>
  <c r="Y100" i="12"/>
  <c r="AO99" i="12" a="1"/>
  <c r="AO99" i="12" s="1"/>
  <c r="E239" i="6"/>
  <c r="D239" i="12"/>
  <c r="D122" i="12"/>
  <c r="E122" i="6"/>
  <c r="G24" i="7"/>
  <c r="E139" i="6"/>
  <c r="D139" i="12"/>
  <c r="Y32" i="12"/>
  <c r="D85" i="12"/>
  <c r="E85" i="6"/>
  <c r="N42" i="12"/>
  <c r="AB233" i="5" a="1"/>
  <c r="AB233" i="5" s="1"/>
  <c r="AB234" i="5" a="1"/>
  <c r="AB234" i="5" s="1"/>
  <c r="D149" i="8" s="1"/>
  <c r="E55" i="6"/>
  <c r="D55" i="12"/>
  <c r="D131" i="12"/>
  <c r="E131" i="6"/>
  <c r="E47" i="6"/>
  <c r="D47" i="12"/>
  <c r="D54" i="12"/>
  <c r="E54" i="6"/>
  <c r="X105" i="12" a="1"/>
  <c r="X105" i="12" s="1"/>
  <c r="W105" i="12" a="1"/>
  <c r="W105" i="12" s="1"/>
  <c r="D147" i="12"/>
  <c r="E147" i="6"/>
  <c r="Y153" i="12"/>
  <c r="AI61" i="8" a="1"/>
  <c r="AI61" i="8" s="1"/>
  <c r="AI59" i="8" s="1" a="1"/>
  <c r="AI59" i="8" s="1"/>
  <c r="AP62" i="8" a="1"/>
  <c r="AP62" i="8" s="1"/>
  <c r="U61" i="8" a="1"/>
  <c r="U61" i="8" s="1"/>
  <c r="U59" i="8" s="1" a="1"/>
  <c r="U59" i="8" s="1"/>
  <c r="AE61" i="8" a="1"/>
  <c r="AE61" i="8" s="1"/>
  <c r="AE59" i="8" s="1" a="1"/>
  <c r="AE59" i="8" s="1"/>
  <c r="AB61" i="8" a="1"/>
  <c r="AB61" i="8" s="1"/>
  <c r="AB59" i="8" s="1" a="1"/>
  <c r="AB59" i="8" s="1"/>
  <c r="H63" i="8" a="1"/>
  <c r="H63" i="8" s="1"/>
  <c r="AO62" i="8" a="1"/>
  <c r="AO62" i="8" s="1"/>
  <c r="D62" i="8"/>
  <c r="AN61" i="8" a="1"/>
  <c r="AN61" i="8" s="1"/>
  <c r="AN59" i="8" s="1" a="1"/>
  <c r="AN59" i="8" s="1"/>
  <c r="AF61" i="8" a="1"/>
  <c r="AF61" i="8" s="1"/>
  <c r="AF59" i="8" s="1" a="1"/>
  <c r="AF59" i="8" s="1"/>
  <c r="AM61" i="8" a="1"/>
  <c r="AM61" i="8" s="1"/>
  <c r="AM59" i="8" s="1" a="1"/>
  <c r="AM59" i="8" s="1"/>
  <c r="AJ61" i="8" a="1"/>
  <c r="AJ61" i="8" s="1"/>
  <c r="AJ59" i="8" s="1" a="1"/>
  <c r="AJ59" i="8" s="1"/>
  <c r="X61" i="8" a="1"/>
  <c r="X61" i="8" s="1"/>
  <c r="X59" i="8" s="1" a="1"/>
  <c r="X59" i="8" s="1"/>
  <c r="AK61" i="8" a="1"/>
  <c r="AK61" i="8" s="1"/>
  <c r="AK59" i="8" s="1" a="1"/>
  <c r="AK59" i="8" s="1"/>
  <c r="AQ62" i="8" a="1"/>
  <c r="AQ62" i="8" s="1"/>
  <c r="E61" i="8" a="1"/>
  <c r="E61" i="8" s="1"/>
  <c r="E59" i="8" s="1" a="1"/>
  <c r="E59" i="8" s="1"/>
  <c r="AP61" i="8" a="1"/>
  <c r="AP61" i="8" s="1"/>
  <c r="AP59" i="8" s="1" a="1"/>
  <c r="AP59" i="8" s="1"/>
  <c r="Y61" i="8" a="1"/>
  <c r="Y61" i="8" s="1"/>
  <c r="Y59" i="8" s="1" a="1"/>
  <c r="Y59" i="8" s="1"/>
  <c r="Z61" i="8" a="1"/>
  <c r="Z61" i="8" s="1"/>
  <c r="Z59" i="8" s="1" a="1"/>
  <c r="Z59" i="8" s="1"/>
  <c r="AA61" i="8" a="1"/>
  <c r="AA61" i="8" s="1"/>
  <c r="AA59" i="8" s="1" a="1"/>
  <c r="AA59" i="8" s="1"/>
  <c r="H62" i="8" a="1"/>
  <c r="H62" i="8" s="1"/>
  <c r="J63" i="8" s="1"/>
  <c r="AR62" i="8" a="1"/>
  <c r="AR62" i="8" s="1"/>
  <c r="V61" i="8" a="1"/>
  <c r="V61" i="8" s="1"/>
  <c r="V59" i="8" s="1" a="1"/>
  <c r="V59" i="8" s="1"/>
  <c r="AR61" i="8" a="1"/>
  <c r="AR61" i="8" s="1"/>
  <c r="AR59" i="8" s="1" a="1"/>
  <c r="AR59" i="8" s="1"/>
  <c r="AH61" i="8" a="1"/>
  <c r="AH61" i="8" s="1"/>
  <c r="AH59" i="8" s="1" a="1"/>
  <c r="AH59" i="8" s="1"/>
  <c r="G62" i="8"/>
  <c r="AL61" i="8" a="1"/>
  <c r="AL61" i="8" s="1"/>
  <c r="AL59" i="8" s="1" a="1"/>
  <c r="AL59" i="8" s="1"/>
  <c r="AO61" i="8" a="1"/>
  <c r="AO61" i="8" s="1"/>
  <c r="AO59" i="8" s="1" a="1"/>
  <c r="AO59" i="8" s="1"/>
  <c r="AQ61" i="8" a="1"/>
  <c r="AQ61" i="8" s="1"/>
  <c r="AQ59" i="8" s="1" a="1"/>
  <c r="AQ59" i="8" s="1"/>
  <c r="AD61" i="8" a="1"/>
  <c r="AD61" i="8" s="1"/>
  <c r="AD59" i="8" s="1" a="1"/>
  <c r="AD59" i="8" s="1"/>
  <c r="AC61" i="8" a="1"/>
  <c r="AC61" i="8" s="1"/>
  <c r="AC59" i="8" s="1" a="1"/>
  <c r="AC59" i="8" s="1"/>
  <c r="W61" i="8" a="1"/>
  <c r="W61" i="8" s="1"/>
  <c r="W59" i="8" s="1" a="1"/>
  <c r="W59" i="8" s="1"/>
  <c r="AG61" i="8" a="1"/>
  <c r="AG61" i="8" s="1"/>
  <c r="AG59" i="8" s="1" a="1"/>
  <c r="AG59" i="8" s="1"/>
  <c r="AL62" i="8" a="1"/>
  <c r="AL62" i="8" s="1"/>
  <c r="AA62" i="8" a="1"/>
  <c r="AA62" i="8" s="1"/>
  <c r="AM62" i="8" a="1"/>
  <c r="AM62" i="8" s="1"/>
  <c r="W62" i="8" a="1"/>
  <c r="W62" i="8" s="1"/>
  <c r="AG62" i="8" a="1"/>
  <c r="AG62" i="8" s="1"/>
  <c r="AF62" i="8" a="1"/>
  <c r="AF62" i="8" s="1"/>
  <c r="AJ62" i="8" a="1"/>
  <c r="AJ62" i="8" s="1"/>
  <c r="AN62" i="8" a="1"/>
  <c r="AN62" i="8" s="1"/>
  <c r="AK62" i="8" a="1"/>
  <c r="AK62" i="8" s="1"/>
  <c r="U62" i="8" a="1"/>
  <c r="U62" i="8" s="1"/>
  <c r="V62" i="8" a="1"/>
  <c r="V62" i="8" s="1"/>
  <c r="Y62" i="8" a="1"/>
  <c r="Y62" i="8" s="1"/>
  <c r="AH62" i="8" a="1"/>
  <c r="AH62" i="8" s="1"/>
  <c r="E62" i="8" a="1"/>
  <c r="E62" i="8" s="1"/>
  <c r="X62" i="8" a="1"/>
  <c r="X62" i="8" s="1"/>
  <c r="Z62" i="8" a="1"/>
  <c r="Z62" i="8" s="1"/>
  <c r="AD62" i="8" a="1"/>
  <c r="AD62" i="8" s="1"/>
  <c r="AI62" i="8" a="1"/>
  <c r="AI62" i="8" s="1"/>
  <c r="AB62" i="8" a="1"/>
  <c r="AB62" i="8" s="1"/>
  <c r="AE62" i="8" a="1"/>
  <c r="AE62" i="8" s="1"/>
  <c r="AC62" i="8" a="1"/>
  <c r="AC62" i="8" s="1"/>
  <c r="G44" i="7"/>
  <c r="D218" i="12"/>
  <c r="E218" i="6"/>
  <c r="AM72" i="9"/>
  <c r="N72" i="9"/>
  <c r="AJ176" i="8"/>
  <c r="AA156" i="5" a="1"/>
  <c r="AA156" i="5" s="1"/>
  <c r="C116" i="8" s="1"/>
  <c r="Y212" i="12"/>
  <c r="AB36" i="5" a="1"/>
  <c r="AB36" i="5" s="1"/>
  <c r="D35" i="8" s="1"/>
  <c r="AC75" i="5" a="1"/>
  <c r="AC75" i="5" s="1"/>
  <c r="C75" i="6"/>
  <c r="O75" i="5"/>
  <c r="C98" i="8"/>
  <c r="D185" i="12"/>
  <c r="E185" i="6"/>
  <c r="D151" i="12"/>
  <c r="E151" i="6"/>
  <c r="AB62" i="5" a="1"/>
  <c r="AB62" i="5" s="1"/>
  <c r="D50" i="8" s="1"/>
  <c r="AB61" i="5" a="1"/>
  <c r="AB61" i="5" s="1"/>
  <c r="N229" i="12"/>
  <c r="E27" i="6"/>
  <c r="D27" i="12"/>
  <c r="M114" i="12" a="1"/>
  <c r="M114" i="12" s="1"/>
  <c r="M115" i="12" a="1"/>
  <c r="M115" i="12" s="1"/>
  <c r="N181" i="12"/>
  <c r="O180" i="12" a="1"/>
  <c r="O180" i="12" s="1"/>
  <c r="N180" i="12" s="1"/>
  <c r="D126" i="12"/>
  <c r="E126" i="6"/>
  <c r="E72" i="6"/>
  <c r="D72" i="12"/>
  <c r="J156" i="12" a="1"/>
  <c r="J156" i="12" s="1"/>
  <c r="C156" i="12"/>
  <c r="L156" i="12" a="1"/>
  <c r="L156" i="12" s="1"/>
  <c r="K156" i="12" s="1"/>
  <c r="E159" i="6"/>
  <c r="D159" i="12"/>
  <c r="G29" i="7"/>
  <c r="W152" i="12" a="1"/>
  <c r="W152" i="12" s="1"/>
  <c r="X152" i="12" a="1"/>
  <c r="X152" i="12" s="1"/>
  <c r="AW72" i="9"/>
  <c r="X72" i="9"/>
  <c r="AO176" i="8"/>
  <c r="W237" i="12" a="1"/>
  <c r="W237" i="12" s="1"/>
  <c r="X237" i="12" a="1"/>
  <c r="X237" i="12" s="1"/>
  <c r="D74" i="12"/>
  <c r="E74" i="6"/>
  <c r="X81" i="12" a="1"/>
  <c r="X81" i="12" s="1"/>
  <c r="W81" i="12" a="1"/>
  <c r="W81" i="12" s="1"/>
  <c r="Y96" i="12"/>
  <c r="X160" i="12" a="1"/>
  <c r="X160" i="12" s="1"/>
  <c r="W160" i="12" a="1"/>
  <c r="W160" i="12" s="1"/>
  <c r="Y42" i="12"/>
  <c r="D88" i="12"/>
  <c r="E88" i="6"/>
  <c r="E104" i="6"/>
  <c r="D104" i="12"/>
  <c r="W154" i="12" a="1"/>
  <c r="W154" i="12" s="1"/>
  <c r="X154" i="12" a="1"/>
  <c r="X154" i="12" s="1"/>
  <c r="W93" i="12" a="1"/>
  <c r="W93" i="12" s="1"/>
  <c r="X93" i="12" a="1"/>
  <c r="X93" i="12" s="1"/>
  <c r="H113" i="8" a="1"/>
  <c r="H113" i="8" s="1"/>
  <c r="J114" i="8" s="1"/>
  <c r="G113" i="8"/>
  <c r="AO113" i="8" a="1"/>
  <c r="AO113" i="8" s="1"/>
  <c r="AQ113" i="8" a="1"/>
  <c r="AQ113" i="8" s="1"/>
  <c r="AP113" i="8" a="1"/>
  <c r="AP113" i="8" s="1"/>
  <c r="D113" i="8"/>
  <c r="AR113" i="8" a="1"/>
  <c r="AR113" i="8" s="1"/>
  <c r="H114" i="8" a="1"/>
  <c r="H114" i="8" s="1"/>
  <c r="AH113" i="8" a="1"/>
  <c r="AH113" i="8" s="1"/>
  <c r="AA113" i="8" a="1"/>
  <c r="AA113" i="8" s="1"/>
  <c r="Y113" i="8" a="1"/>
  <c r="Y113" i="8" s="1"/>
  <c r="AD113" i="8" a="1"/>
  <c r="AD113" i="8" s="1"/>
  <c r="Z113" i="8" a="1"/>
  <c r="Z113" i="8" s="1"/>
  <c r="U113" i="8" a="1"/>
  <c r="U113" i="8" s="1"/>
  <c r="AI113" i="8" a="1"/>
  <c r="AI113" i="8" s="1"/>
  <c r="V113" i="8" a="1"/>
  <c r="V113" i="8" s="1"/>
  <c r="AF113" i="8" a="1"/>
  <c r="AF113" i="8" s="1"/>
  <c r="AK113" i="8" a="1"/>
  <c r="AK113" i="8" s="1"/>
  <c r="AE113" i="8" a="1"/>
  <c r="AE113" i="8" s="1"/>
  <c r="AG113" i="8" a="1"/>
  <c r="AG113" i="8" s="1"/>
  <c r="E113" i="8" a="1"/>
  <c r="E113" i="8" s="1"/>
  <c r="AM113" i="8" a="1"/>
  <c r="AM113" i="8" s="1"/>
  <c r="AJ113" i="8" a="1"/>
  <c r="AJ113" i="8" s="1"/>
  <c r="AL113" i="8" a="1"/>
  <c r="AL113" i="8" s="1"/>
  <c r="AN113" i="8" a="1"/>
  <c r="AN113" i="8" s="1"/>
  <c r="X113" i="8" a="1"/>
  <c r="X113" i="8" s="1"/>
  <c r="AB113" i="8" a="1"/>
  <c r="AB113" i="8" s="1"/>
  <c r="W113" i="8" a="1"/>
  <c r="W113" i="8" s="1"/>
  <c r="AC113" i="8" a="1"/>
  <c r="AC113" i="8" s="1"/>
  <c r="X200" i="12" a="1"/>
  <c r="X200" i="12" s="1"/>
  <c r="W200" i="12" a="1"/>
  <c r="W200" i="12" s="1"/>
  <c r="E140" i="6"/>
  <c r="D140" i="12"/>
  <c r="N127" i="12"/>
  <c r="E169" i="6"/>
  <c r="D169" i="12"/>
  <c r="N27" i="12"/>
  <c r="O26" i="12" a="1"/>
  <c r="O26" i="12" s="1"/>
  <c r="O25" i="12" a="1"/>
  <c r="O25" i="12" s="1"/>
  <c r="AA22" i="5" a="1"/>
  <c r="AA22" i="5" s="1"/>
  <c r="AA23" i="5" a="1"/>
  <c r="AA23" i="5" s="1"/>
  <c r="C26" i="8" s="1"/>
  <c r="Y187" i="12"/>
  <c r="AB132" i="5" a="1"/>
  <c r="AB132" i="5" s="1"/>
  <c r="AB134" i="5" a="1"/>
  <c r="AB134" i="5" s="1"/>
  <c r="D110" i="8" s="1"/>
  <c r="AB133" i="5" a="1"/>
  <c r="AB133" i="5" s="1"/>
  <c r="AB225" i="5" a="1"/>
  <c r="AB225" i="5" s="1"/>
  <c r="D143" i="8" s="1"/>
  <c r="N169" i="12"/>
  <c r="Y168" i="12"/>
  <c r="AO167" i="12" a="1"/>
  <c r="AO167" i="12" s="1"/>
  <c r="Y167" i="12" s="1"/>
  <c r="AO166" i="12" a="1"/>
  <c r="AO166" i="12" s="1"/>
  <c r="Y166" i="12" s="1"/>
  <c r="D231" i="12"/>
  <c r="E231" i="6"/>
  <c r="D216" i="12"/>
  <c r="E216" i="6"/>
  <c r="X39" i="12" a="1"/>
  <c r="X39" i="12" s="1"/>
  <c r="W39" i="12" a="1"/>
  <c r="W39" i="12" s="1"/>
  <c r="C26" i="6"/>
  <c r="O26" i="5"/>
  <c r="AC26" i="5" a="1"/>
  <c r="AC26" i="5" s="1"/>
  <c r="C19" i="11"/>
  <c r="L19" i="13"/>
  <c r="P19" i="11"/>
  <c r="W185" i="12" a="1"/>
  <c r="W185" i="12" s="1"/>
  <c r="X185" i="12" a="1"/>
  <c r="X185" i="12" s="1"/>
  <c r="G34" i="7"/>
  <c r="AB204" i="5" a="1"/>
  <c r="AB204" i="5" s="1"/>
  <c r="D137" i="8" s="1"/>
  <c r="AB203" i="5" a="1"/>
  <c r="AB203" i="5" s="1"/>
  <c r="N52" i="12"/>
  <c r="AR56" i="8" a="1"/>
  <c r="AR56" i="8" s="1"/>
  <c r="H56" i="8" a="1"/>
  <c r="H56" i="8" s="1"/>
  <c r="J57" i="8" s="1"/>
  <c r="G56" i="8"/>
  <c r="H57" i="8" a="1"/>
  <c r="H57" i="8" s="1"/>
  <c r="AO56" i="8" a="1"/>
  <c r="AO56" i="8" s="1"/>
  <c r="AQ56" i="8" a="1"/>
  <c r="AQ56" i="8" s="1"/>
  <c r="AP56" i="8" a="1"/>
  <c r="AP56" i="8" s="1"/>
  <c r="AD56" i="8" a="1"/>
  <c r="AD56" i="8" s="1"/>
  <c r="AH56" i="8" a="1"/>
  <c r="AH56" i="8" s="1"/>
  <c r="AK56" i="8" a="1"/>
  <c r="AK56" i="8" s="1"/>
  <c r="AM56" i="8" a="1"/>
  <c r="AM56" i="8" s="1"/>
  <c r="V56" i="8" a="1"/>
  <c r="V56" i="8" s="1"/>
  <c r="AC56" i="8" a="1"/>
  <c r="AC56" i="8" s="1"/>
  <c r="AA56" i="8" a="1"/>
  <c r="AA56" i="8" s="1"/>
  <c r="AF56" i="8" a="1"/>
  <c r="AF56" i="8" s="1"/>
  <c r="AJ56" i="8" a="1"/>
  <c r="AJ56" i="8" s="1"/>
  <c r="AL56" i="8" a="1"/>
  <c r="AL56" i="8" s="1"/>
  <c r="AI56" i="8" a="1"/>
  <c r="AI56" i="8" s="1"/>
  <c r="Z56" i="8" a="1"/>
  <c r="Z56" i="8" s="1"/>
  <c r="AG56" i="8" a="1"/>
  <c r="AG56" i="8" s="1"/>
  <c r="W56" i="8" a="1"/>
  <c r="W56" i="8" s="1"/>
  <c r="X56" i="8" a="1"/>
  <c r="X56" i="8" s="1"/>
  <c r="AN56" i="8" a="1"/>
  <c r="AN56" i="8" s="1"/>
  <c r="Y56" i="8" a="1"/>
  <c r="Y56" i="8" s="1"/>
  <c r="AE56" i="8" a="1"/>
  <c r="AE56" i="8" s="1"/>
  <c r="AB56" i="8" a="1"/>
  <c r="AB56" i="8" s="1"/>
  <c r="U56" i="8" a="1"/>
  <c r="U56" i="8" s="1"/>
  <c r="E56" i="8" a="1"/>
  <c r="E56" i="8" s="1"/>
  <c r="M16" i="12" a="1"/>
  <c r="M16" i="12" s="1"/>
  <c r="M17" i="12" a="1"/>
  <c r="M17" i="12" s="1"/>
  <c r="M156" i="12" a="1"/>
  <c r="M156" i="12" s="1"/>
  <c r="N40" i="12"/>
  <c r="AO73" i="12" a="1"/>
  <c r="AO73" i="12" s="1"/>
  <c r="Y74" i="12"/>
  <c r="AR53" i="8" a="1"/>
  <c r="AR53" i="8" s="1"/>
  <c r="AP53" i="8" a="1"/>
  <c r="AP53" i="8" s="1"/>
  <c r="H54" i="8" a="1"/>
  <c r="H54" i="8" s="1"/>
  <c r="H53" i="8" a="1"/>
  <c r="H53" i="8" s="1"/>
  <c r="J54" i="8" s="1"/>
  <c r="G53" i="8"/>
  <c r="AQ53" i="8" a="1"/>
  <c r="AQ53" i="8" s="1"/>
  <c r="AO53" i="8" a="1"/>
  <c r="AO53" i="8" s="1"/>
  <c r="Y53" i="8" a="1"/>
  <c r="Y53" i="8" s="1"/>
  <c r="AF53" i="8" a="1"/>
  <c r="AF53" i="8" s="1"/>
  <c r="AM53" i="8" a="1"/>
  <c r="AM53" i="8" s="1"/>
  <c r="V53" i="8" a="1"/>
  <c r="V53" i="8" s="1"/>
  <c r="X53" i="8" a="1"/>
  <c r="X53" i="8" s="1"/>
  <c r="U53" i="8" a="1"/>
  <c r="U53" i="8" s="1"/>
  <c r="AB53" i="8" a="1"/>
  <c r="AB53" i="8" s="1"/>
  <c r="AL53" i="8" a="1"/>
  <c r="AL53" i="8" s="1"/>
  <c r="AD53" i="8" a="1"/>
  <c r="AD53" i="8" s="1"/>
  <c r="Z53" i="8" a="1"/>
  <c r="Z53" i="8" s="1"/>
  <c r="AG53" i="8" a="1"/>
  <c r="AG53" i="8" s="1"/>
  <c r="AN53" i="8" a="1"/>
  <c r="AN53" i="8" s="1"/>
  <c r="E53" i="8" a="1"/>
  <c r="E53" i="8" s="1"/>
  <c r="AA53" i="8" a="1"/>
  <c r="AA53" i="8" s="1"/>
  <c r="AI53" i="8" a="1"/>
  <c r="AI53" i="8" s="1"/>
  <c r="AH53" i="8" a="1"/>
  <c r="AH53" i="8" s="1"/>
  <c r="AJ53" i="8" a="1"/>
  <c r="AJ53" i="8" s="1"/>
  <c r="W53" i="8" a="1"/>
  <c r="W53" i="8" s="1"/>
  <c r="AK53" i="8" a="1"/>
  <c r="AK53" i="8" s="1"/>
  <c r="AE53" i="8" a="1"/>
  <c r="AE53" i="8" s="1"/>
  <c r="AC53" i="8" a="1"/>
  <c r="AC53" i="8" s="1"/>
  <c r="G46" i="7"/>
  <c r="C133" i="12"/>
  <c r="J133" i="12" a="1"/>
  <c r="J133" i="12" s="1"/>
  <c r="L133" i="12" a="1"/>
  <c r="L133" i="12" s="1"/>
  <c r="G42" i="7"/>
  <c r="D42" i="12"/>
  <c r="E42" i="6"/>
  <c r="N143" i="12"/>
  <c r="O142" i="12" a="1"/>
  <c r="O142" i="12" s="1"/>
  <c r="D30" i="12"/>
  <c r="E30" i="6"/>
  <c r="X109" i="12" a="1"/>
  <c r="X109" i="12" s="1"/>
  <c r="W109" i="12" a="1"/>
  <c r="W109" i="12" s="1"/>
  <c r="AA188" i="5" a="1"/>
  <c r="AA188" i="5" s="1"/>
  <c r="C131" i="8" s="1"/>
  <c r="AO143" i="8" a="1"/>
  <c r="AO143" i="8" s="1"/>
  <c r="H143" i="8" a="1"/>
  <c r="H143" i="8" s="1"/>
  <c r="J144" i="8" s="1"/>
  <c r="AR143" i="8" a="1"/>
  <c r="AR143" i="8" s="1"/>
  <c r="H144" i="8" a="1"/>
  <c r="H144" i="8" s="1"/>
  <c r="AQ143" i="8" a="1"/>
  <c r="AQ143" i="8" s="1"/>
  <c r="G143" i="8"/>
  <c r="AP143" i="8" a="1"/>
  <c r="AP143" i="8" s="1"/>
  <c r="Z143" i="8" a="1"/>
  <c r="Z143" i="8" s="1"/>
  <c r="X143" i="8" a="1"/>
  <c r="X143" i="8" s="1"/>
  <c r="AE143" i="8" a="1"/>
  <c r="AE143" i="8" s="1"/>
  <c r="W143" i="8" a="1"/>
  <c r="W143" i="8" s="1"/>
  <c r="AD143" i="8" a="1"/>
  <c r="AD143" i="8" s="1"/>
  <c r="AH143" i="8" a="1"/>
  <c r="AH143" i="8" s="1"/>
  <c r="AB143" i="8" a="1"/>
  <c r="AB143" i="8" s="1"/>
  <c r="AN143" i="8" a="1"/>
  <c r="AN143" i="8" s="1"/>
  <c r="V143" i="8" a="1"/>
  <c r="V143" i="8" s="1"/>
  <c r="AJ143" i="8" a="1"/>
  <c r="AJ143" i="8" s="1"/>
  <c r="AA143" i="8" a="1"/>
  <c r="AA143" i="8" s="1"/>
  <c r="E143" i="8" a="1"/>
  <c r="E143" i="8" s="1"/>
  <c r="AL143" i="8" a="1"/>
  <c r="AL143" i="8" s="1"/>
  <c r="AG143" i="8" a="1"/>
  <c r="AG143" i="8" s="1"/>
  <c r="AF143" i="8" a="1"/>
  <c r="AF143" i="8" s="1"/>
  <c r="Y143" i="8" a="1"/>
  <c r="Y143" i="8" s="1"/>
  <c r="AC143" i="8" a="1"/>
  <c r="AC143" i="8" s="1"/>
  <c r="U143" i="8" a="1"/>
  <c r="U143" i="8" s="1"/>
  <c r="AM143" i="8" a="1"/>
  <c r="AM143" i="8" s="1"/>
  <c r="AI143" i="8" a="1"/>
  <c r="AI143" i="8" s="1"/>
  <c r="AK143" i="8" a="1"/>
  <c r="AK143" i="8" s="1"/>
  <c r="E82" i="6"/>
  <c r="D82" i="12"/>
  <c r="C180" i="6"/>
  <c r="O180" i="5"/>
  <c r="AC180" i="5" a="1"/>
  <c r="AC180" i="5" s="1"/>
  <c r="E197" i="6"/>
  <c r="D197" i="12"/>
  <c r="AX9" i="10"/>
  <c r="Y9" i="10"/>
  <c r="C11" i="10" s="1" a="1"/>
  <c r="C11" i="10" s="1"/>
  <c r="E190" i="6"/>
  <c r="D190" i="12"/>
  <c r="AI72" i="9"/>
  <c r="J72" i="9"/>
  <c r="AH176" i="8"/>
  <c r="AY72" i="9"/>
  <c r="Z72" i="9"/>
  <c r="AP176" i="8"/>
  <c r="AO75" i="12" a="1"/>
  <c r="AO75" i="12" s="1"/>
  <c r="Y75" i="12" s="1"/>
  <c r="AO76" i="12" a="1"/>
  <c r="AO76" i="12" s="1"/>
  <c r="Y76" i="12" s="1"/>
  <c r="Y77" i="12"/>
  <c r="AR101" i="8" a="1"/>
  <c r="AR101" i="8" s="1"/>
  <c r="G101" i="8"/>
  <c r="AQ101" i="8" a="1"/>
  <c r="AQ101" i="8" s="1"/>
  <c r="AO101" i="8" a="1"/>
  <c r="AO101" i="8" s="1"/>
  <c r="D101" i="8"/>
  <c r="H102" i="8" a="1"/>
  <c r="H102" i="8" s="1"/>
  <c r="AP101" i="8" a="1"/>
  <c r="AP101" i="8" s="1"/>
  <c r="H101" i="8" a="1"/>
  <c r="H101" i="8" s="1"/>
  <c r="J102" i="8" s="1"/>
  <c r="AD101" i="8" a="1"/>
  <c r="AD101" i="8" s="1"/>
  <c r="AN101" i="8" a="1"/>
  <c r="AN101" i="8" s="1"/>
  <c r="AJ101" i="8" a="1"/>
  <c r="AJ101" i="8" s="1"/>
  <c r="AF101" i="8" a="1"/>
  <c r="AF101" i="8" s="1"/>
  <c r="AE101" i="8" a="1"/>
  <c r="AE101" i="8" s="1"/>
  <c r="X101" i="8" a="1"/>
  <c r="X101" i="8" s="1"/>
  <c r="AG101" i="8" a="1"/>
  <c r="AG101" i="8" s="1"/>
  <c r="U101" i="8" a="1"/>
  <c r="U101" i="8" s="1"/>
  <c r="AL101" i="8" a="1"/>
  <c r="AL101" i="8" s="1"/>
  <c r="AH101" i="8" a="1"/>
  <c r="AH101" i="8" s="1"/>
  <c r="AC101" i="8" a="1"/>
  <c r="AC101" i="8" s="1"/>
  <c r="AM101" i="8" a="1"/>
  <c r="AM101" i="8" s="1"/>
  <c r="Y101" i="8" a="1"/>
  <c r="Y101" i="8" s="1"/>
  <c r="Z101" i="8" a="1"/>
  <c r="Z101" i="8" s="1"/>
  <c r="AI101" i="8" a="1"/>
  <c r="AI101" i="8" s="1"/>
  <c r="E101" i="8" a="1"/>
  <c r="E101" i="8" s="1"/>
  <c r="AK101" i="8" a="1"/>
  <c r="AK101" i="8" s="1"/>
  <c r="AA101" i="8" a="1"/>
  <c r="AA101" i="8" s="1"/>
  <c r="V101" i="8" a="1"/>
  <c r="V101" i="8" s="1"/>
  <c r="W101" i="8" a="1"/>
  <c r="W101" i="8" s="1"/>
  <c r="AB101" i="8" a="1"/>
  <c r="AB101" i="8" s="1"/>
  <c r="N81" i="12"/>
  <c r="D223" i="12"/>
  <c r="E223" i="6"/>
  <c r="H120" i="8" a="1"/>
  <c r="H120" i="8" s="1"/>
  <c r="H119" i="8" a="1"/>
  <c r="H119" i="8" s="1"/>
  <c r="J120" i="8" s="1"/>
  <c r="G119" i="8"/>
  <c r="AA91" i="5" a="1"/>
  <c r="AA91" i="5" s="1"/>
  <c r="C71" i="8" s="1"/>
  <c r="O128" i="12" a="1"/>
  <c r="O128" i="12" s="1"/>
  <c r="N129" i="12"/>
  <c r="Y238" i="12"/>
  <c r="N160" i="12"/>
  <c r="AA175" i="5" a="1"/>
  <c r="AA175" i="5" s="1"/>
  <c r="C125" i="8" s="1"/>
  <c r="G54" i="7"/>
  <c r="AB83" i="5" a="1"/>
  <c r="AB83" i="5" s="1"/>
  <c r="AB84" i="5" a="1"/>
  <c r="AB84" i="5" s="1"/>
  <c r="D68" i="8" s="1"/>
  <c r="N186" i="12"/>
  <c r="Y33" i="12"/>
  <c r="E80" i="6"/>
  <c r="D80" i="12"/>
  <c r="N154" i="12"/>
  <c r="N58" i="12"/>
  <c r="D29" i="12"/>
  <c r="E29" i="6"/>
  <c r="C19" i="12"/>
  <c r="J19" i="12" a="1"/>
  <c r="J19" i="12" s="1"/>
  <c r="L19" i="12" a="1"/>
  <c r="L19" i="12" s="1"/>
  <c r="K19" i="12" s="1"/>
  <c r="M26" i="12" a="1"/>
  <c r="M26" i="12" s="1"/>
  <c r="C114" i="6"/>
  <c r="O114" i="5"/>
  <c r="AC114" i="5" a="1"/>
  <c r="AC114" i="5" s="1"/>
  <c r="E18" i="6"/>
  <c r="D18" i="12"/>
  <c r="Y79" i="12"/>
  <c r="W215" i="12" a="1"/>
  <c r="W215" i="12" s="1"/>
  <c r="X215" i="12" a="1"/>
  <c r="X215" i="12" s="1"/>
  <c r="E63" i="6"/>
  <c r="D63" i="12"/>
  <c r="N20" i="12"/>
  <c r="O19" i="12" a="1"/>
  <c r="O19" i="12" s="1"/>
  <c r="N19" i="12" s="1"/>
  <c r="C125" i="6"/>
  <c r="AC125" i="5" a="1"/>
  <c r="AC125" i="5" s="1"/>
  <c r="O125" i="5"/>
  <c r="AK64" i="9"/>
  <c r="L64" i="9"/>
  <c r="W176" i="8"/>
  <c r="D41" i="12"/>
  <c r="E41" i="6"/>
  <c r="X112" i="12" a="1"/>
  <c r="X112" i="12" s="1"/>
  <c r="W112" i="12" a="1"/>
  <c r="W112" i="12" s="1"/>
  <c r="D172" i="12"/>
  <c r="E172" i="6"/>
  <c r="D37" i="12"/>
  <c r="E37" i="6"/>
  <c r="C102" i="12"/>
  <c r="J102" i="12" a="1"/>
  <c r="J102" i="12" s="1"/>
  <c r="L102" i="12" a="1"/>
  <c r="L102" i="12" s="1"/>
  <c r="X144" i="12" a="1"/>
  <c r="X144" i="12" s="1"/>
  <c r="W144" i="12" a="1"/>
  <c r="W144" i="12" s="1"/>
  <c r="L23" i="13"/>
  <c r="C23" i="11"/>
  <c r="P23" i="11"/>
  <c r="D69" i="12"/>
  <c r="E69" i="6"/>
  <c r="W148" i="12" a="1"/>
  <c r="W148" i="12" s="1"/>
  <c r="X148" i="12" a="1"/>
  <c r="X148" i="12" s="1"/>
  <c r="E228" i="6"/>
  <c r="D228" i="12"/>
  <c r="D202" i="12"/>
  <c r="E202" i="6"/>
  <c r="G38" i="7"/>
  <c r="X221" i="12" a="1"/>
  <c r="X221" i="12" s="1"/>
  <c r="W221" i="12" a="1"/>
  <c r="W221" i="12" s="1"/>
  <c r="W70" i="12" a="1"/>
  <c r="W70" i="12" s="1"/>
  <c r="X70" i="12" a="1"/>
  <c r="X70" i="12" s="1"/>
  <c r="E141" i="6"/>
  <c r="D141" i="12"/>
  <c r="D241" i="12"/>
  <c r="E241" i="6"/>
  <c r="C15" i="11"/>
  <c r="L15" i="13"/>
  <c r="P15" i="11"/>
  <c r="Y30" i="12"/>
  <c r="M233" i="12" a="1"/>
  <c r="M233" i="12" s="1"/>
  <c r="M234" i="12" a="1"/>
  <c r="M234" i="12" s="1"/>
  <c r="Y161" i="12"/>
  <c r="AA128" i="5" a="1"/>
  <c r="AA128" i="5" s="1"/>
  <c r="C101" i="8" s="1"/>
  <c r="D157" i="12"/>
  <c r="E157" i="6"/>
  <c r="Y197" i="12"/>
  <c r="E58" i="6"/>
  <c r="D58" i="12"/>
  <c r="J45" i="12" a="1"/>
  <c r="J45" i="12" s="1"/>
  <c r="C45" i="12"/>
  <c r="L45" i="12" a="1"/>
  <c r="L45" i="12" s="1"/>
  <c r="AO217" i="12" a="1"/>
  <c r="AO217" i="12" s="1"/>
  <c r="Y218" i="12"/>
  <c r="J75" i="12" a="1"/>
  <c r="J75" i="12" s="1"/>
  <c r="C75" i="12"/>
  <c r="L75" i="12" a="1"/>
  <c r="L75" i="12" s="1"/>
  <c r="K75" i="12" s="1"/>
  <c r="E196" i="6"/>
  <c r="D196" i="12"/>
  <c r="D153" i="12"/>
  <c r="E153" i="6"/>
  <c r="E32" i="6"/>
  <c r="D32" i="12"/>
  <c r="Y143" i="12"/>
  <c r="AO142" i="12" a="1"/>
  <c r="AO142" i="12" s="1"/>
  <c r="Y142" i="12" s="1"/>
  <c r="E165" i="6"/>
  <c r="D165" i="12"/>
  <c r="AO91" i="12" a="1"/>
  <c r="AO91" i="12" s="1"/>
  <c r="Y92" i="12"/>
  <c r="D189" i="12"/>
  <c r="E189" i="6"/>
  <c r="E183" i="6"/>
  <c r="D183" i="12"/>
  <c r="H125" i="8" a="1"/>
  <c r="H125" i="8" s="1"/>
  <c r="J126" i="8" s="1"/>
  <c r="AP125" i="8" a="1"/>
  <c r="AP125" i="8" s="1"/>
  <c r="AR125" i="8" a="1"/>
  <c r="AR125" i="8" s="1"/>
  <c r="G125" i="8"/>
  <c r="AO125" i="8" a="1"/>
  <c r="AO125" i="8" s="1"/>
  <c r="AQ125" i="8" a="1"/>
  <c r="AQ125" i="8" s="1"/>
  <c r="D125" i="8"/>
  <c r="H126" i="8" a="1"/>
  <c r="H126" i="8" s="1"/>
  <c r="AH125" i="8" a="1"/>
  <c r="AH125" i="8" s="1"/>
  <c r="AF125" i="8" a="1"/>
  <c r="AF125" i="8" s="1"/>
  <c r="AL125" i="8" a="1"/>
  <c r="AL125" i="8" s="1"/>
  <c r="W125" i="8" a="1"/>
  <c r="W125" i="8" s="1"/>
  <c r="AJ125" i="8" a="1"/>
  <c r="AJ125" i="8" s="1"/>
  <c r="AA125" i="8" a="1"/>
  <c r="AA125" i="8" s="1"/>
  <c r="AK125" i="8" a="1"/>
  <c r="AK125" i="8" s="1"/>
  <c r="AC125" i="8" a="1"/>
  <c r="AC125" i="8" s="1"/>
  <c r="V125" i="8" a="1"/>
  <c r="V125" i="8" s="1"/>
  <c r="AI125" i="8" a="1"/>
  <c r="AI125" i="8" s="1"/>
  <c r="Z125" i="8" a="1"/>
  <c r="Z125" i="8" s="1"/>
  <c r="AE125" i="8" a="1"/>
  <c r="AE125" i="8" s="1"/>
  <c r="X125" i="8" a="1"/>
  <c r="X125" i="8" s="1"/>
  <c r="E125" i="8" a="1"/>
  <c r="E125" i="8" s="1"/>
  <c r="AN125" i="8" a="1"/>
  <c r="AN125" i="8" s="1"/>
  <c r="AM125" i="8" a="1"/>
  <c r="AM125" i="8" s="1"/>
  <c r="U125" i="8" a="1"/>
  <c r="U125" i="8" s="1"/>
  <c r="AD125" i="8" a="1"/>
  <c r="AD125" i="8" s="1"/>
  <c r="AB125" i="8" a="1"/>
  <c r="AB125" i="8" s="1"/>
  <c r="Y125" i="8" a="1"/>
  <c r="Y125" i="8" s="1"/>
  <c r="AG125" i="8" a="1"/>
  <c r="AG125" i="8" s="1"/>
  <c r="Y37" i="12"/>
  <c r="AO36" i="12" a="1"/>
  <c r="AO36" i="12" s="1"/>
  <c r="Y36" i="12" s="1"/>
  <c r="Y172" i="12"/>
  <c r="E124" i="6"/>
  <c r="D124" i="12"/>
  <c r="AR83" i="8" a="1"/>
  <c r="AR83" i="8" s="1"/>
  <c r="H83" i="8" a="1"/>
  <c r="H83" i="8" s="1"/>
  <c r="J84" i="8" s="1"/>
  <c r="Y82" i="8" a="1"/>
  <c r="Y82" i="8" s="1"/>
  <c r="Y80" i="8" s="1" a="1"/>
  <c r="Y80" i="8" s="1"/>
  <c r="D83" i="8"/>
  <c r="AP83" i="8" a="1"/>
  <c r="AP83" i="8" s="1"/>
  <c r="Z82" i="8" a="1"/>
  <c r="Z82" i="8" s="1"/>
  <c r="Z80" i="8" s="1" a="1"/>
  <c r="Z80" i="8" s="1"/>
  <c r="AI82" i="8" a="1"/>
  <c r="AI82" i="8" s="1"/>
  <c r="AI80" i="8" s="1" a="1"/>
  <c r="AI80" i="8" s="1"/>
  <c r="AJ82" i="8" a="1"/>
  <c r="AJ82" i="8" s="1"/>
  <c r="AJ80" i="8" s="1" a="1"/>
  <c r="AJ80" i="8" s="1"/>
  <c r="V82" i="8" a="1"/>
  <c r="V82" i="8" s="1"/>
  <c r="V80" i="8" s="1" a="1"/>
  <c r="V80" i="8" s="1"/>
  <c r="U82" i="8" a="1"/>
  <c r="U82" i="8" s="1"/>
  <c r="U80" i="8" s="1" a="1"/>
  <c r="U80" i="8" s="1"/>
  <c r="AQ83" i="8" a="1"/>
  <c r="AQ83" i="8" s="1"/>
  <c r="AO83" i="8" a="1"/>
  <c r="AO83" i="8" s="1"/>
  <c r="AE82" i="8" a="1"/>
  <c r="AE82" i="8" s="1"/>
  <c r="AE80" i="8" s="1" a="1"/>
  <c r="AE80" i="8" s="1"/>
  <c r="AR82" i="8" a="1"/>
  <c r="AR82" i="8" s="1"/>
  <c r="AR80" i="8" s="1" a="1"/>
  <c r="AR80" i="8" s="1"/>
  <c r="AQ82" i="8" a="1"/>
  <c r="AQ82" i="8" s="1"/>
  <c r="AQ80" i="8" s="1" a="1"/>
  <c r="AQ80" i="8" s="1"/>
  <c r="H84" i="8" a="1"/>
  <c r="H84" i="8" s="1"/>
  <c r="AG82" i="8" a="1"/>
  <c r="AG82" i="8" s="1"/>
  <c r="AG80" i="8" s="1" a="1"/>
  <c r="AG80" i="8" s="1"/>
  <c r="AB82" i="8" a="1"/>
  <c r="AB82" i="8" s="1"/>
  <c r="AB80" i="8" s="1" a="1"/>
  <c r="AB80" i="8" s="1"/>
  <c r="AC82" i="8" a="1"/>
  <c r="AC82" i="8" s="1"/>
  <c r="AC80" i="8" s="1" a="1"/>
  <c r="AC80" i="8" s="1"/>
  <c r="AL82" i="8" a="1"/>
  <c r="AL82" i="8" s="1"/>
  <c r="AL80" i="8" s="1" a="1"/>
  <c r="AL80" i="8" s="1"/>
  <c r="X82" i="8" a="1"/>
  <c r="X82" i="8" s="1"/>
  <c r="X80" i="8" s="1" a="1"/>
  <c r="X80" i="8" s="1"/>
  <c r="AN82" i="8" a="1"/>
  <c r="AN82" i="8" s="1"/>
  <c r="AN80" i="8" s="1" a="1"/>
  <c r="AN80" i="8" s="1"/>
  <c r="AF82" i="8" a="1"/>
  <c r="AF82" i="8" s="1"/>
  <c r="AF80" i="8" s="1" a="1"/>
  <c r="AF80" i="8" s="1"/>
  <c r="AO82" i="8" a="1"/>
  <c r="AO82" i="8" s="1"/>
  <c r="AO80" i="8" s="1" a="1"/>
  <c r="AO80" i="8" s="1"/>
  <c r="AK82" i="8" a="1"/>
  <c r="AK82" i="8" s="1"/>
  <c r="AK80" i="8" s="1" a="1"/>
  <c r="AK80" i="8" s="1"/>
  <c r="AD82" i="8" a="1"/>
  <c r="AD82" i="8" s="1"/>
  <c r="AD80" i="8" s="1" a="1"/>
  <c r="AD80" i="8" s="1"/>
  <c r="G83" i="8"/>
  <c r="AH82" i="8" a="1"/>
  <c r="AH82" i="8" s="1"/>
  <c r="AH80" i="8" s="1" a="1"/>
  <c r="AH80" i="8" s="1"/>
  <c r="AA82" i="8" a="1"/>
  <c r="AA82" i="8" s="1"/>
  <c r="AA80" i="8" s="1" a="1"/>
  <c r="AA80" i="8" s="1"/>
  <c r="AM82" i="8" a="1"/>
  <c r="AM82" i="8" s="1"/>
  <c r="AM80" i="8" s="1" a="1"/>
  <c r="AM80" i="8" s="1"/>
  <c r="E82" i="8" a="1"/>
  <c r="E82" i="8" s="1"/>
  <c r="E80" i="8" s="1" a="1"/>
  <c r="E80" i="8" s="1"/>
  <c r="AP82" i="8" a="1"/>
  <c r="AP82" i="8" s="1"/>
  <c r="AP80" i="8" s="1" a="1"/>
  <c r="AP80" i="8" s="1"/>
  <c r="W82" i="8" a="1"/>
  <c r="W82" i="8" s="1"/>
  <c r="W80" i="8" s="1" a="1"/>
  <c r="W80" i="8" s="1"/>
  <c r="AG83" i="8" a="1"/>
  <c r="AG83" i="8" s="1"/>
  <c r="AC83" i="8" a="1"/>
  <c r="AC83" i="8" s="1"/>
  <c r="AH83" i="8" a="1"/>
  <c r="AH83" i="8" s="1"/>
  <c r="AB83" i="8" a="1"/>
  <c r="AB83" i="8" s="1"/>
  <c r="AK83" i="8" a="1"/>
  <c r="AK83" i="8" s="1"/>
  <c r="U83" i="8" a="1"/>
  <c r="U83" i="8" s="1"/>
  <c r="V83" i="8" a="1"/>
  <c r="V83" i="8" s="1"/>
  <c r="AD83" i="8" a="1"/>
  <c r="AD83" i="8" s="1"/>
  <c r="AM83" i="8" a="1"/>
  <c r="AM83" i="8" s="1"/>
  <c r="Y83" i="8" a="1"/>
  <c r="Y83" i="8" s="1"/>
  <c r="Z83" i="8" a="1"/>
  <c r="Z83" i="8" s="1"/>
  <c r="AJ83" i="8" a="1"/>
  <c r="AJ83" i="8" s="1"/>
  <c r="AF83" i="8" a="1"/>
  <c r="AF83" i="8" s="1"/>
  <c r="AN83" i="8" a="1"/>
  <c r="AN83" i="8" s="1"/>
  <c r="AI83" i="8" a="1"/>
  <c r="AI83" i="8" s="1"/>
  <c r="AL83" i="8" a="1"/>
  <c r="AL83" i="8" s="1"/>
  <c r="X83" i="8" a="1"/>
  <c r="X83" i="8" s="1"/>
  <c r="AE83" i="8" a="1"/>
  <c r="AE83" i="8" s="1"/>
  <c r="W83" i="8" a="1"/>
  <c r="W83" i="8" s="1"/>
  <c r="AA83" i="8" a="1"/>
  <c r="AA83" i="8" s="1"/>
  <c r="E83" i="8" a="1"/>
  <c r="E83" i="8" s="1"/>
  <c r="N139" i="12"/>
  <c r="AA62" i="5" a="1"/>
  <c r="AA62" i="5" s="1"/>
  <c r="C50" i="8" s="1"/>
  <c r="AA61" i="5" a="1"/>
  <c r="AA61" i="5" s="1"/>
  <c r="G18" i="7"/>
  <c r="F6" i="7" s="1"/>
  <c r="X147" i="12" a="1"/>
  <c r="X147" i="12" s="1"/>
  <c r="W147" i="12" a="1"/>
  <c r="W147" i="12" s="1"/>
  <c r="E213" i="6"/>
  <c r="D213" i="12"/>
  <c r="N242" i="12"/>
  <c r="D154" i="12"/>
  <c r="E154" i="6"/>
  <c r="C21" i="11"/>
  <c r="L21" i="13"/>
  <c r="P21" i="11"/>
  <c r="AA225" i="5" a="1"/>
  <c r="AA225" i="5" s="1"/>
  <c r="C143" i="8" s="1"/>
  <c r="X169" i="12" a="1"/>
  <c r="X169" i="12" s="1"/>
  <c r="W169" i="12" a="1"/>
  <c r="W169" i="12" s="1"/>
  <c r="N105" i="12"/>
  <c r="W145" i="12" a="1"/>
  <c r="W145" i="12" s="1"/>
  <c r="X145" i="12" a="1"/>
  <c r="X145" i="12" s="1"/>
  <c r="C204" i="12"/>
  <c r="J204" i="12" a="1"/>
  <c r="J204" i="12" s="1"/>
  <c r="L204" i="12" a="1"/>
  <c r="L204" i="12" s="1"/>
  <c r="K204" i="12" s="1"/>
  <c r="AC102" i="5" a="1"/>
  <c r="AC102" i="5" s="1"/>
  <c r="C102" i="6"/>
  <c r="O102" i="5"/>
  <c r="AA203" i="5" a="1"/>
  <c r="AA203" i="5" s="1"/>
  <c r="AA204" i="5" a="1"/>
  <c r="AA204" i="5" s="1"/>
  <c r="C137" i="8" s="1"/>
  <c r="C73" i="6"/>
  <c r="O73" i="5"/>
  <c r="AC73" i="5" a="1"/>
  <c r="AC73" i="5" s="1"/>
  <c r="O16" i="12" a="1"/>
  <c r="O16" i="12" s="1"/>
  <c r="N16" i="12" s="1"/>
  <c r="N18" i="12"/>
  <c r="O17" i="12" a="1"/>
  <c r="O17" i="12" s="1"/>
  <c r="N17" i="12" s="1"/>
  <c r="O156" i="12" a="1"/>
  <c r="O156" i="12" s="1"/>
  <c r="N156" i="12" s="1"/>
  <c r="N157" i="12"/>
  <c r="G32" i="7"/>
  <c r="C76" i="12"/>
  <c r="J76" i="12" a="1"/>
  <c r="J76" i="12" s="1"/>
  <c r="L76" i="12" a="1"/>
  <c r="L76" i="12" s="1"/>
  <c r="AO125" i="12" a="1"/>
  <c r="AO125" i="12" s="1"/>
  <c r="Y126" i="12"/>
  <c r="AH25" i="8" a="1"/>
  <c r="AH25" i="8" s="1"/>
  <c r="AH23" i="8" s="1" a="1"/>
  <c r="AH23" i="8" s="1"/>
  <c r="D26" i="8"/>
  <c r="AA25" i="8" a="1"/>
  <c r="AA25" i="8" s="1"/>
  <c r="AA23" i="8" s="1" a="1"/>
  <c r="AA23" i="8" s="1"/>
  <c r="AO25" i="8" a="1"/>
  <c r="AO25" i="8" s="1"/>
  <c r="AO23" i="8" s="1" a="1"/>
  <c r="AO23" i="8" s="1"/>
  <c r="AE25" i="8" a="1"/>
  <c r="AE25" i="8" s="1"/>
  <c r="AE23" i="8" s="1" a="1"/>
  <c r="AE23" i="8" s="1"/>
  <c r="Z25" i="8" a="1"/>
  <c r="Z25" i="8" s="1"/>
  <c r="Z23" i="8" s="1" a="1"/>
  <c r="Z23" i="8" s="1"/>
  <c r="AI25" i="8" a="1"/>
  <c r="AI25" i="8" s="1"/>
  <c r="AI23" i="8" s="1" a="1"/>
  <c r="AI23" i="8" s="1"/>
  <c r="H27" i="8" a="1"/>
  <c r="H27" i="8" s="1"/>
  <c r="AN25" i="8" a="1"/>
  <c r="AN25" i="8" s="1"/>
  <c r="AN23" i="8" s="1" a="1"/>
  <c r="AN23" i="8" s="1"/>
  <c r="H26" i="8" a="1"/>
  <c r="H26" i="8" s="1"/>
  <c r="J27" i="8" s="1"/>
  <c r="AJ25" i="8" a="1"/>
  <c r="AJ25" i="8" s="1"/>
  <c r="AJ23" i="8" s="1" a="1"/>
  <c r="AJ23" i="8" s="1"/>
  <c r="X25" i="8" a="1"/>
  <c r="X25" i="8" s="1"/>
  <c r="X23" i="8" s="1" a="1"/>
  <c r="X23" i="8" s="1"/>
  <c r="W25" i="8" a="1"/>
  <c r="W25" i="8" s="1"/>
  <c r="W23" i="8" s="1" a="1"/>
  <c r="W23" i="8" s="1"/>
  <c r="AP25" i="8" a="1"/>
  <c r="AP25" i="8" s="1"/>
  <c r="AP23" i="8" s="1" a="1"/>
  <c r="AP23" i="8" s="1"/>
  <c r="AK25" i="8" a="1"/>
  <c r="AK25" i="8" s="1"/>
  <c r="AK23" i="8" s="1" a="1"/>
  <c r="AK23" i="8" s="1"/>
  <c r="G26" i="8"/>
  <c r="U25" i="8" a="1"/>
  <c r="U25" i="8" s="1"/>
  <c r="U23" i="8" s="1" a="1"/>
  <c r="U23" i="8" s="1"/>
  <c r="AL25" i="8" a="1"/>
  <c r="AL25" i="8" s="1"/>
  <c r="AL23" i="8" s="1" a="1"/>
  <c r="AL23" i="8" s="1"/>
  <c r="AR25" i="8" a="1"/>
  <c r="AR25" i="8" s="1"/>
  <c r="AR23" i="8" s="1" a="1"/>
  <c r="AR23" i="8" s="1"/>
  <c r="AD25" i="8" a="1"/>
  <c r="AD25" i="8" s="1"/>
  <c r="AD23" i="8" s="1" a="1"/>
  <c r="AD23" i="8" s="1"/>
  <c r="Y25" i="8" a="1"/>
  <c r="Y25" i="8" s="1"/>
  <c r="Y23" i="8" s="1" a="1"/>
  <c r="Y23" i="8" s="1"/>
  <c r="AF25" i="8" a="1"/>
  <c r="AF25" i="8" s="1"/>
  <c r="AF23" i="8" s="1" a="1"/>
  <c r="AF23" i="8" s="1"/>
  <c r="E25" i="8" a="1"/>
  <c r="E25" i="8" s="1"/>
  <c r="E23" i="8" s="1" a="1"/>
  <c r="E23" i="8" s="1"/>
  <c r="AB25" i="8" a="1"/>
  <c r="AB25" i="8" s="1"/>
  <c r="AB23" i="8" s="1" a="1"/>
  <c r="AB23" i="8" s="1"/>
  <c r="AM25" i="8" a="1"/>
  <c r="AM25" i="8" s="1"/>
  <c r="AM23" i="8" s="1" a="1"/>
  <c r="AM23" i="8" s="1"/>
  <c r="AO26" i="8" a="1"/>
  <c r="AO26" i="8" s="1"/>
  <c r="AR26" i="8" a="1"/>
  <c r="AR26" i="8" s="1"/>
  <c r="AC25" i="8" a="1"/>
  <c r="AC25" i="8" s="1"/>
  <c r="AC23" i="8" s="1" a="1"/>
  <c r="AC23" i="8" s="1"/>
  <c r="AG25" i="8" a="1"/>
  <c r="AG25" i="8" s="1"/>
  <c r="AG23" i="8" s="1" a="1"/>
  <c r="AG23" i="8" s="1"/>
  <c r="AP26" i="8" a="1"/>
  <c r="AP26" i="8" s="1"/>
  <c r="V25" i="8" a="1"/>
  <c r="V25" i="8" s="1"/>
  <c r="V23" i="8" s="1" a="1"/>
  <c r="V23" i="8" s="1"/>
  <c r="AQ25" i="8" a="1"/>
  <c r="AQ25" i="8" s="1"/>
  <c r="AQ23" i="8" s="1" a="1"/>
  <c r="AQ23" i="8" s="1"/>
  <c r="AQ26" i="8" a="1"/>
  <c r="AQ26" i="8" s="1"/>
  <c r="AF26" i="8" a="1"/>
  <c r="AF26" i="8" s="1"/>
  <c r="AD26" i="8" a="1"/>
  <c r="AD26" i="8" s="1"/>
  <c r="X26" i="8" a="1"/>
  <c r="X26" i="8" s="1"/>
  <c r="AI26" i="8" a="1"/>
  <c r="AI26" i="8" s="1"/>
  <c r="W26" i="8" a="1"/>
  <c r="W26" i="8" s="1"/>
  <c r="AG26" i="8" a="1"/>
  <c r="AG26" i="8" s="1"/>
  <c r="AN26" i="8" a="1"/>
  <c r="AN26" i="8" s="1"/>
  <c r="AK26" i="8" a="1"/>
  <c r="AK26" i="8" s="1"/>
  <c r="AB26" i="8" a="1"/>
  <c r="AB26" i="8" s="1"/>
  <c r="AC26" i="8" a="1"/>
  <c r="AC26" i="8" s="1"/>
  <c r="Z26" i="8" a="1"/>
  <c r="Z26" i="8" s="1"/>
  <c r="AL26" i="8" a="1"/>
  <c r="AL26" i="8" s="1"/>
  <c r="V26" i="8" a="1"/>
  <c r="V26" i="8" s="1"/>
  <c r="AE26" i="8" a="1"/>
  <c r="AE26" i="8" s="1"/>
  <c r="AM26" i="8" a="1"/>
  <c r="AM26" i="8" s="1"/>
  <c r="AJ26" i="8" a="1"/>
  <c r="AJ26" i="8" s="1"/>
  <c r="AA26" i="8" a="1"/>
  <c r="AA26" i="8" s="1"/>
  <c r="AH26" i="8" a="1"/>
  <c r="AH26" i="8" s="1"/>
  <c r="Y26" i="8" a="1"/>
  <c r="Y26" i="8" s="1"/>
  <c r="E26" i="8" a="1"/>
  <c r="E26" i="8" s="1"/>
  <c r="U26" i="8" a="1"/>
  <c r="U26" i="8" s="1"/>
  <c r="Y48" i="12"/>
  <c r="O225" i="5"/>
  <c r="AC225" i="5" a="1"/>
  <c r="AC225" i="5" s="1"/>
  <c r="C225" i="6"/>
  <c r="H128" i="8" a="1"/>
  <c r="H128" i="8" s="1"/>
  <c r="J129" i="8" s="1"/>
  <c r="H129" i="8" a="1"/>
  <c r="H129" i="8" s="1"/>
  <c r="AQ128" i="8" a="1"/>
  <c r="AQ128" i="8" s="1"/>
  <c r="AP128" i="8" a="1"/>
  <c r="AP128" i="8" s="1"/>
  <c r="D128" i="8"/>
  <c r="G128" i="8"/>
  <c r="AO128" i="8" a="1"/>
  <c r="AO128" i="8" s="1"/>
  <c r="AR128" i="8" a="1"/>
  <c r="AR128" i="8" s="1"/>
  <c r="Z128" i="8" a="1"/>
  <c r="Z128" i="8" s="1"/>
  <c r="AI128" i="8" a="1"/>
  <c r="AI128" i="8" s="1"/>
  <c r="AM128" i="8" a="1"/>
  <c r="AM128" i="8" s="1"/>
  <c r="AE128" i="8" a="1"/>
  <c r="AE128" i="8" s="1"/>
  <c r="W128" i="8" a="1"/>
  <c r="W128" i="8" s="1"/>
  <c r="AL128" i="8" a="1"/>
  <c r="AL128" i="8" s="1"/>
  <c r="AK128" i="8" a="1"/>
  <c r="AK128" i="8" s="1"/>
  <c r="V128" i="8" a="1"/>
  <c r="V128" i="8" s="1"/>
  <c r="AG128" i="8" a="1"/>
  <c r="AG128" i="8" s="1"/>
  <c r="U128" i="8" a="1"/>
  <c r="U128" i="8" s="1"/>
  <c r="AJ128" i="8" a="1"/>
  <c r="AJ128" i="8" s="1"/>
  <c r="X128" i="8" a="1"/>
  <c r="X128" i="8" s="1"/>
  <c r="AC128" i="8" a="1"/>
  <c r="AC128" i="8" s="1"/>
  <c r="AF128" i="8" a="1"/>
  <c r="AF128" i="8" s="1"/>
  <c r="Y128" i="8" a="1"/>
  <c r="Y128" i="8" s="1"/>
  <c r="AB128" i="8" a="1"/>
  <c r="AB128" i="8" s="1"/>
  <c r="AN128" i="8" a="1"/>
  <c r="AN128" i="8" s="1"/>
  <c r="AA128" i="8" a="1"/>
  <c r="AA128" i="8" s="1"/>
  <c r="AD128" i="8" a="1"/>
  <c r="AD128" i="8" s="1"/>
  <c r="E128" i="8" a="1"/>
  <c r="E128" i="8" s="1"/>
  <c r="AH128" i="8" a="1"/>
  <c r="AH128" i="8" s="1"/>
  <c r="C167" i="12"/>
  <c r="J167" i="12" a="1"/>
  <c r="J167" i="12" s="1"/>
  <c r="L167" i="12" a="1"/>
  <c r="L167" i="12" s="1"/>
  <c r="K167" i="12" s="1"/>
  <c r="AW64" i="9"/>
  <c r="X64" i="9"/>
  <c r="AC176" i="8"/>
  <c r="C128" i="6"/>
  <c r="O128" i="5"/>
  <c r="AC128" i="5" a="1"/>
  <c r="AC128" i="5" s="1"/>
  <c r="Y104" i="12"/>
  <c r="AB156" i="5" a="1"/>
  <c r="AB156" i="5" s="1"/>
  <c r="D116" i="8" s="1"/>
  <c r="AA84" i="5" a="1"/>
  <c r="AA84" i="5" s="1"/>
  <c r="C68" i="8" s="1"/>
  <c r="AA83" i="5" a="1"/>
  <c r="AA83" i="5" s="1"/>
  <c r="E38" i="6"/>
  <c r="D38" i="12"/>
  <c r="W41" i="12" a="1"/>
  <c r="W41" i="12" s="1"/>
  <c r="X41" i="12" a="1"/>
  <c r="X41" i="12" s="1"/>
  <c r="H93" i="8" a="1"/>
  <c r="H93" i="8" s="1"/>
  <c r="H92" i="8" a="1"/>
  <c r="H92" i="8" s="1"/>
  <c r="J93" i="8" s="1"/>
  <c r="G92" i="8"/>
  <c r="Y63" i="12"/>
  <c r="AO62" i="12" a="1"/>
  <c r="AO62" i="12" s="1"/>
  <c r="AO61" i="12" a="1"/>
  <c r="AO61" i="12" s="1"/>
  <c r="AM49" i="8" a="1"/>
  <c r="AM49" i="8" s="1"/>
  <c r="AM47" i="8" s="1" a="1"/>
  <c r="AM47" i="8" s="1"/>
  <c r="AN49" i="8" a="1"/>
  <c r="AN49" i="8" s="1"/>
  <c r="AN47" i="8" s="1" a="1"/>
  <c r="AN47" i="8" s="1"/>
  <c r="AR49" i="8" a="1"/>
  <c r="AR49" i="8" s="1"/>
  <c r="AR47" i="8" s="1" a="1"/>
  <c r="AR47" i="8" s="1"/>
  <c r="AJ49" i="8" a="1"/>
  <c r="AJ49" i="8" s="1"/>
  <c r="AJ47" i="8" s="1" a="1"/>
  <c r="AJ47" i="8" s="1"/>
  <c r="G50" i="8"/>
  <c r="H51" i="8" a="1"/>
  <c r="H51" i="8" s="1"/>
  <c r="V49" i="8" a="1"/>
  <c r="V49" i="8" s="1"/>
  <c r="V47" i="8" s="1" a="1"/>
  <c r="V47" i="8" s="1"/>
  <c r="AA49" i="8" a="1"/>
  <c r="AA49" i="8" s="1"/>
  <c r="AA47" i="8" s="1" a="1"/>
  <c r="AA47" i="8" s="1"/>
  <c r="AP49" i="8" a="1"/>
  <c r="AP49" i="8" s="1"/>
  <c r="AP47" i="8" s="1" a="1"/>
  <c r="AP47" i="8" s="1"/>
  <c r="AC49" i="8" a="1"/>
  <c r="AC49" i="8" s="1"/>
  <c r="AC47" i="8" s="1" a="1"/>
  <c r="AC47" i="8" s="1"/>
  <c r="AL49" i="8" a="1"/>
  <c r="AL49" i="8" s="1"/>
  <c r="AL47" i="8" s="1" a="1"/>
  <c r="AL47" i="8" s="1"/>
  <c r="X49" i="8" a="1"/>
  <c r="X49" i="8" s="1"/>
  <c r="X47" i="8" s="1" a="1"/>
  <c r="X47" i="8" s="1"/>
  <c r="AD49" i="8" a="1"/>
  <c r="AD49" i="8" s="1"/>
  <c r="AD47" i="8" s="1" a="1"/>
  <c r="AD47" i="8" s="1"/>
  <c r="AH49" i="8" a="1"/>
  <c r="AH49" i="8" s="1"/>
  <c r="AH47" i="8" s="1" a="1"/>
  <c r="AH47" i="8" s="1"/>
  <c r="Z49" i="8" a="1"/>
  <c r="Z49" i="8" s="1"/>
  <c r="Z47" i="8" s="1" a="1"/>
  <c r="Z47" i="8" s="1"/>
  <c r="AQ50" i="8" a="1"/>
  <c r="AQ50" i="8" s="1"/>
  <c r="AR50" i="8" a="1"/>
  <c r="AR50" i="8" s="1"/>
  <c r="E49" i="8" a="1"/>
  <c r="E49" i="8" s="1"/>
  <c r="E47" i="8" s="1" a="1"/>
  <c r="E47" i="8" s="1"/>
  <c r="AO49" i="8" a="1"/>
  <c r="AO49" i="8" s="1"/>
  <c r="AO47" i="8" s="1" a="1"/>
  <c r="AO47" i="8" s="1"/>
  <c r="AQ49" i="8" a="1"/>
  <c r="AQ49" i="8" s="1"/>
  <c r="AQ47" i="8" s="1" a="1"/>
  <c r="AQ47" i="8" s="1"/>
  <c r="AE49" i="8" a="1"/>
  <c r="AE49" i="8" s="1"/>
  <c r="AE47" i="8" s="1" a="1"/>
  <c r="AE47" i="8" s="1"/>
  <c r="H50" i="8" a="1"/>
  <c r="H50" i="8" s="1"/>
  <c r="J51" i="8" s="1"/>
  <c r="AB49" i="8" a="1"/>
  <c r="AB49" i="8" s="1"/>
  <c r="AB47" i="8" s="1" a="1"/>
  <c r="AB47" i="8" s="1"/>
  <c r="AF49" i="8" a="1"/>
  <c r="AF49" i="8" s="1"/>
  <c r="AF47" i="8" s="1" a="1"/>
  <c r="AF47" i="8" s="1"/>
  <c r="AI49" i="8" a="1"/>
  <c r="AI49" i="8" s="1"/>
  <c r="AI47" i="8" s="1" a="1"/>
  <c r="AI47" i="8" s="1"/>
  <c r="U49" i="8" a="1"/>
  <c r="U49" i="8" s="1"/>
  <c r="U47" i="8" s="1" a="1"/>
  <c r="U47" i="8" s="1"/>
  <c r="AK49" i="8" a="1"/>
  <c r="AK49" i="8" s="1"/>
  <c r="AK47" i="8" s="1" a="1"/>
  <c r="AK47" i="8" s="1"/>
  <c r="AG49" i="8" a="1"/>
  <c r="AG49" i="8" s="1"/>
  <c r="AG47" i="8" s="1" a="1"/>
  <c r="AG47" i="8" s="1"/>
  <c r="AP50" i="8" a="1"/>
  <c r="AP50" i="8" s="1"/>
  <c r="AO50" i="8" a="1"/>
  <c r="AO50" i="8" s="1"/>
  <c r="Y49" i="8" a="1"/>
  <c r="Y49" i="8" s="1"/>
  <c r="Y47" i="8" s="1" a="1"/>
  <c r="Y47" i="8" s="1"/>
  <c r="W49" i="8" a="1"/>
  <c r="W49" i="8" s="1"/>
  <c r="W47" i="8" s="1" a="1"/>
  <c r="W47" i="8" s="1"/>
  <c r="AC50" i="8" a="1"/>
  <c r="AC50" i="8" s="1"/>
  <c r="AD50" i="8" a="1"/>
  <c r="AD50" i="8" s="1"/>
  <c r="W50" i="8" a="1"/>
  <c r="W50" i="8" s="1"/>
  <c r="AA50" i="8" a="1"/>
  <c r="AA50" i="8" s="1"/>
  <c r="AF50" i="8" a="1"/>
  <c r="AF50" i="8" s="1"/>
  <c r="Y50" i="8" a="1"/>
  <c r="Y50" i="8" s="1"/>
  <c r="V50" i="8" a="1"/>
  <c r="V50" i="8" s="1"/>
  <c r="AK50" i="8" a="1"/>
  <c r="AK50" i="8" s="1"/>
  <c r="X50" i="8" a="1"/>
  <c r="X50" i="8" s="1"/>
  <c r="AJ50" i="8" a="1"/>
  <c r="AJ50" i="8" s="1"/>
  <c r="AN50" i="8" a="1"/>
  <c r="AN50" i="8" s="1"/>
  <c r="AL50" i="8" a="1"/>
  <c r="AL50" i="8" s="1"/>
  <c r="AM50" i="8" a="1"/>
  <c r="AM50" i="8" s="1"/>
  <c r="Z50" i="8" a="1"/>
  <c r="Z50" i="8" s="1"/>
  <c r="AE50" i="8" a="1"/>
  <c r="AE50" i="8" s="1"/>
  <c r="AH50" i="8" a="1"/>
  <c r="AH50" i="8" s="1"/>
  <c r="U50" i="8" a="1"/>
  <c r="U50" i="8" s="1"/>
  <c r="AI50" i="8" a="1"/>
  <c r="AI50" i="8" s="1"/>
  <c r="AG50" i="8" a="1"/>
  <c r="AG50" i="8" s="1"/>
  <c r="AB50" i="8" a="1"/>
  <c r="AB50" i="8" s="1"/>
  <c r="E50" i="8" a="1"/>
  <c r="E50" i="8" s="1"/>
  <c r="M25" i="12" a="1"/>
  <c r="M25" i="12" s="1"/>
  <c r="AB22" i="5" a="1"/>
  <c r="AB22" i="5" s="1"/>
  <c r="AB23" i="5" a="1"/>
  <c r="AB23" i="5" s="1"/>
  <c r="Y231" i="12"/>
  <c r="G19" i="7"/>
  <c r="Y201" i="12"/>
  <c r="E77" i="6"/>
  <c r="D77" i="12"/>
  <c r="D207" i="12"/>
  <c r="E207" i="6"/>
  <c r="N210" i="12"/>
  <c r="D98" i="12"/>
  <c r="E98" i="6"/>
  <c r="E113" i="6"/>
  <c r="D113" i="12"/>
  <c r="N168" i="12"/>
  <c r="O166" i="12" a="1"/>
  <c r="O166" i="12" s="1"/>
  <c r="O167" i="12" a="1"/>
  <c r="O167" i="12" s="1"/>
  <c r="AO101" i="12" a="1"/>
  <c r="AO101" i="12" s="1"/>
  <c r="AO102" i="12" a="1"/>
  <c r="AO102" i="12" s="1"/>
  <c r="Y103" i="12"/>
  <c r="H32" i="8" a="1"/>
  <c r="H32" i="8" s="1"/>
  <c r="J33" i="8" s="1"/>
  <c r="AR32" i="8" a="1"/>
  <c r="AR32" i="8" s="1"/>
  <c r="AQ32" i="8" a="1"/>
  <c r="AQ32" i="8" s="1"/>
  <c r="AO32" i="8" a="1"/>
  <c r="AO32" i="8" s="1"/>
  <c r="H33" i="8" a="1"/>
  <c r="H33" i="8" s="1"/>
  <c r="G32" i="8"/>
  <c r="AP32" i="8" a="1"/>
  <c r="AP32" i="8" s="1"/>
  <c r="AQ31" i="8" a="1"/>
  <c r="AQ31" i="8" s="1"/>
  <c r="AQ29" i="8" s="1" a="1"/>
  <c r="AQ29" i="8" s="1"/>
  <c r="AE31" i="8" a="1"/>
  <c r="AE31" i="8" s="1"/>
  <c r="AE29" i="8" s="1" a="1"/>
  <c r="AE29" i="8" s="1"/>
  <c r="AK31" i="8" a="1"/>
  <c r="AK31" i="8" s="1"/>
  <c r="AK29" i="8" s="1" a="1"/>
  <c r="AK29" i="8" s="1"/>
  <c r="AO31" i="8" a="1"/>
  <c r="AO31" i="8" s="1"/>
  <c r="AO29" i="8" s="1" a="1"/>
  <c r="AO29" i="8" s="1"/>
  <c r="U31" i="8" a="1"/>
  <c r="U31" i="8" s="1"/>
  <c r="U29" i="8" s="1" a="1"/>
  <c r="U29" i="8" s="1"/>
  <c r="W31" i="8" a="1"/>
  <c r="W31" i="8" s="1"/>
  <c r="W29" i="8" s="1" a="1"/>
  <c r="W29" i="8" s="1"/>
  <c r="AM31" i="8" a="1"/>
  <c r="AM31" i="8" s="1"/>
  <c r="AM29" i="8" s="1" a="1"/>
  <c r="AM29" i="8" s="1"/>
  <c r="AD31" i="8" a="1"/>
  <c r="AD31" i="8" s="1"/>
  <c r="AD29" i="8" s="1" a="1"/>
  <c r="AD29" i="8" s="1"/>
  <c r="AL31" i="8" a="1"/>
  <c r="AL31" i="8" s="1"/>
  <c r="AL29" i="8" s="1" a="1"/>
  <c r="AL29" i="8" s="1"/>
  <c r="AJ31" i="8" a="1"/>
  <c r="AJ31" i="8" s="1"/>
  <c r="AJ29" i="8" s="1" a="1"/>
  <c r="AJ29" i="8" s="1"/>
  <c r="AI31" i="8" a="1"/>
  <c r="AI31" i="8" s="1"/>
  <c r="AI29" i="8" s="1" a="1"/>
  <c r="AI29" i="8" s="1"/>
  <c r="AP31" i="8" a="1"/>
  <c r="AP31" i="8" s="1"/>
  <c r="AP29" i="8" s="1" a="1"/>
  <c r="AP29" i="8" s="1"/>
  <c r="E31" i="8" a="1"/>
  <c r="E31" i="8" s="1"/>
  <c r="E29" i="8" s="1" a="1"/>
  <c r="E29" i="8" s="1"/>
  <c r="AA31" i="8" a="1"/>
  <c r="AA31" i="8" s="1"/>
  <c r="AA29" i="8" s="1" a="1"/>
  <c r="AA29" i="8" s="1"/>
  <c r="V31" i="8" a="1"/>
  <c r="V31" i="8" s="1"/>
  <c r="V29" i="8" s="1" a="1"/>
  <c r="V29" i="8" s="1"/>
  <c r="AG31" i="8" a="1"/>
  <c r="AG31" i="8" s="1"/>
  <c r="AG29" i="8" s="1" a="1"/>
  <c r="AG29" i="8" s="1"/>
  <c r="AC31" i="8" a="1"/>
  <c r="AC31" i="8" s="1"/>
  <c r="AC29" i="8" s="1" a="1"/>
  <c r="AC29" i="8" s="1"/>
  <c r="AF31" i="8" a="1"/>
  <c r="AF31" i="8" s="1"/>
  <c r="AF29" i="8" s="1" a="1"/>
  <c r="AF29" i="8" s="1"/>
  <c r="AH31" i="8" a="1"/>
  <c r="AH31" i="8" s="1"/>
  <c r="AH29" i="8" s="1" a="1"/>
  <c r="AH29" i="8" s="1"/>
  <c r="AN31" i="8" a="1"/>
  <c r="AN31" i="8" s="1"/>
  <c r="AN29" i="8" s="1" a="1"/>
  <c r="AN29" i="8" s="1"/>
  <c r="Z31" i="8" a="1"/>
  <c r="Z31" i="8" s="1"/>
  <c r="Z29" i="8" s="1" a="1"/>
  <c r="Z29" i="8" s="1"/>
  <c r="AR31" i="8" a="1"/>
  <c r="AR31" i="8" s="1"/>
  <c r="AR29" i="8" s="1" a="1"/>
  <c r="AR29" i="8" s="1"/>
  <c r="X31" i="8" a="1"/>
  <c r="X31" i="8" s="1"/>
  <c r="X29" i="8" s="1" a="1"/>
  <c r="X29" i="8" s="1"/>
  <c r="Y31" i="8" a="1"/>
  <c r="Y31" i="8" s="1"/>
  <c r="Y29" i="8" s="1" a="1"/>
  <c r="Y29" i="8" s="1"/>
  <c r="AB31" i="8" a="1"/>
  <c r="AB31" i="8" s="1"/>
  <c r="AB29" i="8" s="1" a="1"/>
  <c r="AB29" i="8" s="1"/>
  <c r="X32" i="8" a="1"/>
  <c r="X32" i="8" s="1"/>
  <c r="V32" i="8" a="1"/>
  <c r="V32" i="8" s="1"/>
  <c r="U32" i="8" a="1"/>
  <c r="U32" i="8" s="1"/>
  <c r="AH32" i="8" a="1"/>
  <c r="AH32" i="8" s="1"/>
  <c r="AN32" i="8" a="1"/>
  <c r="AN32" i="8" s="1"/>
  <c r="Y32" i="8" a="1"/>
  <c r="Y32" i="8" s="1"/>
  <c r="AK32" i="8" a="1"/>
  <c r="AK32" i="8" s="1"/>
  <c r="AC32" i="8" a="1"/>
  <c r="AC32" i="8" s="1"/>
  <c r="AI32" i="8" a="1"/>
  <c r="AI32" i="8" s="1"/>
  <c r="AM32" i="8" a="1"/>
  <c r="AM32" i="8" s="1"/>
  <c r="AF32" i="8" a="1"/>
  <c r="AF32" i="8" s="1"/>
  <c r="AL32" i="8" a="1"/>
  <c r="AL32" i="8" s="1"/>
  <c r="AG32" i="8" a="1"/>
  <c r="AG32" i="8" s="1"/>
  <c r="AB32" i="8" a="1"/>
  <c r="AB32" i="8" s="1"/>
  <c r="W32" i="8" a="1"/>
  <c r="W32" i="8" s="1"/>
  <c r="E32" i="8" a="1"/>
  <c r="E32" i="8" s="1"/>
  <c r="AJ32" i="8" a="1"/>
  <c r="AJ32" i="8" s="1"/>
  <c r="AA32" i="8" a="1"/>
  <c r="AA32" i="8" s="1"/>
  <c r="AE32" i="8" a="1"/>
  <c r="AE32" i="8" s="1"/>
  <c r="AD32" i="8" a="1"/>
  <c r="AD32" i="8" s="1"/>
  <c r="Z32" i="8" a="1"/>
  <c r="Z32" i="8" s="1"/>
  <c r="N145" i="12"/>
  <c r="H59" i="8" a="1"/>
  <c r="H59" i="8" s="1"/>
  <c r="J60" i="8" s="1"/>
  <c r="G59" i="8"/>
  <c r="H60" i="8" a="1"/>
  <c r="H60" i="8" s="1"/>
  <c r="AK136" i="8" a="1"/>
  <c r="AK136" i="8" s="1"/>
  <c r="AK134" i="8" s="1" a="1"/>
  <c r="AK134" i="8" s="1"/>
  <c r="AD136" i="8" a="1"/>
  <c r="AD136" i="8" s="1"/>
  <c r="AD134" i="8" s="1" a="1"/>
  <c r="AD134" i="8" s="1"/>
  <c r="AM136" i="8" a="1"/>
  <c r="AM136" i="8" s="1"/>
  <c r="AM134" i="8" s="1" a="1"/>
  <c r="AM134" i="8" s="1"/>
  <c r="H138" i="8" a="1"/>
  <c r="H138" i="8" s="1"/>
  <c r="AN136" i="8" a="1"/>
  <c r="AN136" i="8" s="1"/>
  <c r="AN134" i="8" s="1" a="1"/>
  <c r="AN134" i="8" s="1"/>
  <c r="AA136" i="8" a="1"/>
  <c r="AA136" i="8" s="1"/>
  <c r="AA134" i="8" s="1" a="1"/>
  <c r="AA134" i="8" s="1"/>
  <c r="W136" i="8" a="1"/>
  <c r="W136" i="8" s="1"/>
  <c r="W134" i="8" s="1" a="1"/>
  <c r="W134" i="8" s="1"/>
  <c r="AC136" i="8" a="1"/>
  <c r="AC136" i="8" s="1"/>
  <c r="AC134" i="8" s="1" a="1"/>
  <c r="AC134" i="8" s="1"/>
  <c r="AQ137" i="8" a="1"/>
  <c r="AQ137" i="8" s="1"/>
  <c r="AQ136" i="8" a="1"/>
  <c r="AQ136" i="8" s="1"/>
  <c r="AQ134" i="8" s="1" a="1"/>
  <c r="AQ134" i="8" s="1"/>
  <c r="G137" i="8"/>
  <c r="AI136" i="8" a="1"/>
  <c r="AI136" i="8" s="1"/>
  <c r="AI134" i="8" s="1" a="1"/>
  <c r="AI134" i="8" s="1"/>
  <c r="AL136" i="8" a="1"/>
  <c r="AL136" i="8" s="1"/>
  <c r="AL134" i="8" s="1" a="1"/>
  <c r="AL134" i="8" s="1"/>
  <c r="Z136" i="8" a="1"/>
  <c r="Z136" i="8" s="1"/>
  <c r="Z134" i="8" s="1" a="1"/>
  <c r="Z134" i="8" s="1"/>
  <c r="U136" i="8" a="1"/>
  <c r="U136" i="8" s="1"/>
  <c r="U134" i="8" s="1" a="1"/>
  <c r="U134" i="8" s="1"/>
  <c r="AE136" i="8" a="1"/>
  <c r="AE136" i="8" s="1"/>
  <c r="AE134" i="8" s="1" a="1"/>
  <c r="AE134" i="8" s="1"/>
  <c r="AR136" i="8" a="1"/>
  <c r="AR136" i="8" s="1"/>
  <c r="AR134" i="8" s="1" a="1"/>
  <c r="AR134" i="8" s="1"/>
  <c r="X136" i="8" a="1"/>
  <c r="X136" i="8" s="1"/>
  <c r="X134" i="8" s="1" a="1"/>
  <c r="X134" i="8" s="1"/>
  <c r="Y136" i="8" a="1"/>
  <c r="Y136" i="8" s="1"/>
  <c r="Y134" i="8" s="1" a="1"/>
  <c r="Y134" i="8" s="1"/>
  <c r="AO137" i="8" a="1"/>
  <c r="AO137" i="8" s="1"/>
  <c r="H137" i="8" a="1"/>
  <c r="H137" i="8" s="1"/>
  <c r="J138" i="8" s="1"/>
  <c r="AG136" i="8" a="1"/>
  <c r="AG136" i="8" s="1"/>
  <c r="AG134" i="8" s="1" a="1"/>
  <c r="AG134" i="8" s="1"/>
  <c r="AH136" i="8" a="1"/>
  <c r="AH136" i="8" s="1"/>
  <c r="AH134" i="8" s="1" a="1"/>
  <c r="AH134" i="8" s="1"/>
  <c r="V136" i="8" a="1"/>
  <c r="V136" i="8" s="1"/>
  <c r="V134" i="8" s="1" a="1"/>
  <c r="V134" i="8" s="1"/>
  <c r="AR137" i="8" a="1"/>
  <c r="AR137" i="8" s="1"/>
  <c r="AB136" i="8" a="1"/>
  <c r="AB136" i="8" s="1"/>
  <c r="AB134" i="8" s="1" a="1"/>
  <c r="AB134" i="8" s="1"/>
  <c r="AJ136" i="8" a="1"/>
  <c r="AJ136" i="8" s="1"/>
  <c r="AJ134" i="8" s="1" a="1"/>
  <c r="AJ134" i="8" s="1"/>
  <c r="AP136" i="8" a="1"/>
  <c r="AP136" i="8" s="1"/>
  <c r="AP134" i="8" s="1" a="1"/>
  <c r="AP134" i="8" s="1"/>
  <c r="AP137" i="8" a="1"/>
  <c r="AP137" i="8" s="1"/>
  <c r="E136" i="8" a="1"/>
  <c r="E136" i="8" s="1"/>
  <c r="E134" i="8" s="1" a="1"/>
  <c r="E134" i="8" s="1"/>
  <c r="AO136" i="8" a="1"/>
  <c r="AO136" i="8" s="1"/>
  <c r="AO134" i="8" s="1" a="1"/>
  <c r="AO134" i="8" s="1"/>
  <c r="AF136" i="8" a="1"/>
  <c r="AF136" i="8" s="1"/>
  <c r="AF134" i="8" s="1" a="1"/>
  <c r="AF134" i="8" s="1"/>
  <c r="AH137" i="8" a="1"/>
  <c r="AH137" i="8" s="1"/>
  <c r="AL137" i="8" a="1"/>
  <c r="AL137" i="8" s="1"/>
  <c r="X137" i="8" a="1"/>
  <c r="X137" i="8" s="1"/>
  <c r="AK137" i="8" a="1"/>
  <c r="AK137" i="8" s="1"/>
  <c r="AF137" i="8" a="1"/>
  <c r="AF137" i="8" s="1"/>
  <c r="AG137" i="8" a="1"/>
  <c r="AG137" i="8" s="1"/>
  <c r="U137" i="8" a="1"/>
  <c r="U137" i="8" s="1"/>
  <c r="AA137" i="8" a="1"/>
  <c r="AA137" i="8" s="1"/>
  <c r="W137" i="8" a="1"/>
  <c r="W137" i="8" s="1"/>
  <c r="AI137" i="8" a="1"/>
  <c r="AI137" i="8" s="1"/>
  <c r="AC137" i="8" a="1"/>
  <c r="AC137" i="8" s="1"/>
  <c r="AD137" i="8" a="1"/>
  <c r="AD137" i="8" s="1"/>
  <c r="AB137" i="8" a="1"/>
  <c r="AB137" i="8" s="1"/>
  <c r="V137" i="8" a="1"/>
  <c r="V137" i="8" s="1"/>
  <c r="AM137" i="8" a="1"/>
  <c r="AM137" i="8" s="1"/>
  <c r="E137" i="8" a="1"/>
  <c r="E137" i="8" s="1"/>
  <c r="Z137" i="8" a="1"/>
  <c r="Z137" i="8" s="1"/>
  <c r="AN137" i="8" a="1"/>
  <c r="AN137" i="8" s="1"/>
  <c r="AE137" i="8" a="1"/>
  <c r="AE137" i="8" s="1"/>
  <c r="Y137" i="8" a="1"/>
  <c r="Y137" i="8" s="1"/>
  <c r="AJ137" i="8" a="1"/>
  <c r="AJ137" i="8" s="1"/>
  <c r="E229" i="6"/>
  <c r="D229" i="12"/>
  <c r="N185" i="12"/>
  <c r="E20" i="6"/>
  <c r="D20" i="12"/>
  <c r="G20" i="7"/>
  <c r="N65" i="12"/>
  <c r="Y241" i="12"/>
  <c r="J36" i="12" a="1"/>
  <c r="J36" i="12" s="1"/>
  <c r="C36" i="12"/>
  <c r="L36" i="12" a="1"/>
  <c r="L36" i="12" s="1"/>
  <c r="K36" i="12" s="1"/>
  <c r="AA166" i="5" a="1"/>
  <c r="AA166" i="5" s="1"/>
  <c r="AA167" i="5" a="1"/>
  <c r="AA167" i="5" s="1"/>
  <c r="C122" i="8" s="1"/>
  <c r="C83" i="6"/>
  <c r="AC83" i="5" a="1"/>
  <c r="AC83" i="5" s="1"/>
  <c r="O83" i="5"/>
  <c r="AC76" i="5" a="1"/>
  <c r="AC76" i="5" s="1"/>
  <c r="O76" i="5"/>
  <c r="C76" i="6"/>
  <c r="C66" i="6"/>
  <c r="AC66" i="5" a="1"/>
  <c r="AC66" i="5" s="1"/>
  <c r="O66" i="5"/>
  <c r="O114" i="12" a="1"/>
  <c r="O114" i="12" s="1"/>
  <c r="N116" i="12"/>
  <c r="O115" i="12" a="1"/>
  <c r="O115" i="12" s="1"/>
  <c r="N239" i="12"/>
  <c r="D182" i="12"/>
  <c r="E182" i="6"/>
  <c r="AC156" i="5" a="1"/>
  <c r="AC156" i="5" s="1"/>
  <c r="C156" i="6"/>
  <c r="O156" i="5"/>
  <c r="Y97" i="12"/>
  <c r="D208" i="12"/>
  <c r="E208" i="6"/>
  <c r="AJ109" i="8" a="1"/>
  <c r="AJ109" i="8" s="1"/>
  <c r="AJ107" i="8" s="1" a="1"/>
  <c r="AJ107" i="8" s="1"/>
  <c r="E109" i="8" a="1"/>
  <c r="E109" i="8" s="1"/>
  <c r="E107" i="8" s="1" a="1"/>
  <c r="E107" i="8" s="1"/>
  <c r="AF109" i="8" a="1"/>
  <c r="AF109" i="8" s="1"/>
  <c r="AF107" i="8" s="1" a="1"/>
  <c r="AF107" i="8" s="1"/>
  <c r="AO110" i="8" a="1"/>
  <c r="AO110" i="8" s="1"/>
  <c r="AM109" i="8" a="1"/>
  <c r="AM109" i="8" s="1"/>
  <c r="AM107" i="8" s="1" a="1"/>
  <c r="AM107" i="8" s="1"/>
  <c r="AD109" i="8" a="1"/>
  <c r="AD109" i="8" s="1"/>
  <c r="AD107" i="8" s="1" a="1"/>
  <c r="AD107" i="8" s="1"/>
  <c r="X109" i="8" a="1"/>
  <c r="X109" i="8" s="1"/>
  <c r="X107" i="8" s="1" a="1"/>
  <c r="X107" i="8" s="1"/>
  <c r="AQ110" i="8" a="1"/>
  <c r="AQ110" i="8" s="1"/>
  <c r="U109" i="8" a="1"/>
  <c r="U109" i="8" s="1"/>
  <c r="U107" i="8" s="1" a="1"/>
  <c r="U107" i="8" s="1"/>
  <c r="AH109" i="8" a="1"/>
  <c r="AH109" i="8" s="1"/>
  <c r="AH107" i="8" s="1" a="1"/>
  <c r="AH107" i="8" s="1"/>
  <c r="AP109" i="8" a="1"/>
  <c r="AP109" i="8" s="1"/>
  <c r="AP107" i="8" s="1" a="1"/>
  <c r="AP107" i="8" s="1"/>
  <c r="AK109" i="8" a="1"/>
  <c r="AK109" i="8" s="1"/>
  <c r="AK107" i="8" s="1" a="1"/>
  <c r="AK107" i="8" s="1"/>
  <c r="AE109" i="8" a="1"/>
  <c r="AE109" i="8" s="1"/>
  <c r="AE107" i="8" s="1" a="1"/>
  <c r="AE107" i="8" s="1"/>
  <c r="AA109" i="8" a="1"/>
  <c r="AA109" i="8" s="1"/>
  <c r="AA107" i="8" s="1" a="1"/>
  <c r="AA107" i="8" s="1"/>
  <c r="AC109" i="8" a="1"/>
  <c r="AC109" i="8" s="1"/>
  <c r="AC107" i="8" s="1" a="1"/>
  <c r="AC107" i="8" s="1"/>
  <c r="AG109" i="8" a="1"/>
  <c r="AG109" i="8" s="1"/>
  <c r="AG107" i="8" s="1" a="1"/>
  <c r="AG107" i="8" s="1"/>
  <c r="AR110" i="8" a="1"/>
  <c r="AR110" i="8" s="1"/>
  <c r="AP110" i="8" a="1"/>
  <c r="AP110" i="8" s="1"/>
  <c r="H111" i="8" a="1"/>
  <c r="H111" i="8" s="1"/>
  <c r="G110" i="8"/>
  <c r="W109" i="8" a="1"/>
  <c r="W109" i="8" s="1"/>
  <c r="W107" i="8" s="1" a="1"/>
  <c r="W107" i="8" s="1"/>
  <c r="Z109" i="8" a="1"/>
  <c r="Z109" i="8" s="1"/>
  <c r="Z107" i="8" s="1" a="1"/>
  <c r="Z107" i="8" s="1"/>
  <c r="V109" i="8" a="1"/>
  <c r="V109" i="8" s="1"/>
  <c r="V107" i="8" s="1" a="1"/>
  <c r="V107" i="8" s="1"/>
  <c r="Y109" i="8" a="1"/>
  <c r="Y109" i="8" s="1"/>
  <c r="Y107" i="8" s="1" a="1"/>
  <c r="Y107" i="8" s="1"/>
  <c r="AR109" i="8" a="1"/>
  <c r="AR109" i="8" s="1"/>
  <c r="AR107" i="8" s="1" a="1"/>
  <c r="AR107" i="8" s="1"/>
  <c r="AO109" i="8" a="1"/>
  <c r="AO109" i="8" s="1"/>
  <c r="AO107" i="8" s="1" a="1"/>
  <c r="AO107" i="8" s="1"/>
  <c r="AB109" i="8" a="1"/>
  <c r="AB109" i="8" s="1"/>
  <c r="AB107" i="8" s="1" a="1"/>
  <c r="AB107" i="8" s="1"/>
  <c r="H110" i="8" a="1"/>
  <c r="H110" i="8" s="1"/>
  <c r="J111" i="8" s="1"/>
  <c r="AQ109" i="8" a="1"/>
  <c r="AQ109" i="8" s="1"/>
  <c r="AQ107" i="8" s="1" a="1"/>
  <c r="AQ107" i="8" s="1"/>
  <c r="AI109" i="8" a="1"/>
  <c r="AI109" i="8" s="1"/>
  <c r="AI107" i="8" s="1" a="1"/>
  <c r="AI107" i="8" s="1"/>
  <c r="AL109" i="8" a="1"/>
  <c r="AL109" i="8" s="1"/>
  <c r="AL107" i="8" s="1" a="1"/>
  <c r="AL107" i="8" s="1"/>
  <c r="AN109" i="8" a="1"/>
  <c r="AN109" i="8" s="1"/>
  <c r="AN107" i="8" s="1" a="1"/>
  <c r="AN107" i="8" s="1"/>
  <c r="AF110" i="8" a="1"/>
  <c r="AF110" i="8" s="1"/>
  <c r="Z110" i="8" a="1"/>
  <c r="Z110" i="8" s="1"/>
  <c r="AH110" i="8" a="1"/>
  <c r="AH110" i="8" s="1"/>
  <c r="AG110" i="8" a="1"/>
  <c r="AG110" i="8" s="1"/>
  <c r="V110" i="8" a="1"/>
  <c r="V110" i="8" s="1"/>
  <c r="AB110" i="8" a="1"/>
  <c r="AB110" i="8" s="1"/>
  <c r="AN110" i="8" a="1"/>
  <c r="AN110" i="8" s="1"/>
  <c r="AC110" i="8" a="1"/>
  <c r="AC110" i="8" s="1"/>
  <c r="Y110" i="8" a="1"/>
  <c r="Y110" i="8" s="1"/>
  <c r="U110" i="8" a="1"/>
  <c r="U110" i="8" s="1"/>
  <c r="AD110" i="8" a="1"/>
  <c r="AD110" i="8" s="1"/>
  <c r="X110" i="8" a="1"/>
  <c r="X110" i="8" s="1"/>
  <c r="AE110" i="8" a="1"/>
  <c r="AE110" i="8" s="1"/>
  <c r="AK110" i="8" a="1"/>
  <c r="AK110" i="8" s="1"/>
  <c r="AM110" i="8" a="1"/>
  <c r="AM110" i="8" s="1"/>
  <c r="AI110" i="8" a="1"/>
  <c r="AI110" i="8" s="1"/>
  <c r="AJ110" i="8" a="1"/>
  <c r="AJ110" i="8" s="1"/>
  <c r="AA110" i="8" a="1"/>
  <c r="AA110" i="8" s="1"/>
  <c r="W110" i="8" a="1"/>
  <c r="W110" i="8" s="1"/>
  <c r="AL110" i="8" a="1"/>
  <c r="AL110" i="8" s="1"/>
  <c r="E110" i="8" a="1"/>
  <c r="E110" i="8" s="1"/>
  <c r="C99" i="12"/>
  <c r="J99" i="12" a="1"/>
  <c r="J99" i="12" s="1"/>
  <c r="L99" i="12" a="1"/>
  <c r="L99" i="12" s="1"/>
  <c r="N109" i="12"/>
  <c r="AB188" i="5" a="1"/>
  <c r="AB188" i="5" s="1"/>
  <c r="D131" i="8" s="1"/>
  <c r="C180" i="12"/>
  <c r="J180" i="12" a="1"/>
  <c r="J180" i="12" s="1"/>
  <c r="L180" i="12" a="1"/>
  <c r="L180" i="12" s="1"/>
  <c r="K180" i="12" s="1"/>
  <c r="BD9" i="10"/>
  <c r="AE9" i="10"/>
  <c r="AQ122" i="8" a="1"/>
  <c r="AQ122" i="8" s="1"/>
  <c r="AP121" i="8" a="1"/>
  <c r="AP121" i="8" s="1"/>
  <c r="AP119" i="8" s="1" a="1"/>
  <c r="AP119" i="8" s="1"/>
  <c r="AL121" i="8" a="1"/>
  <c r="AL121" i="8" s="1"/>
  <c r="AL119" i="8" s="1" a="1"/>
  <c r="AL119" i="8" s="1"/>
  <c r="AD121" i="8" a="1"/>
  <c r="AD121" i="8" s="1"/>
  <c r="AD119" i="8" s="1" a="1"/>
  <c r="AD119" i="8" s="1"/>
  <c r="AF121" i="8" a="1"/>
  <c r="AF121" i="8" s="1"/>
  <c r="AF119" i="8" s="1" a="1"/>
  <c r="AF119" i="8" s="1"/>
  <c r="AB121" i="8" a="1"/>
  <c r="AB121" i="8" s="1"/>
  <c r="AB119" i="8" s="1" a="1"/>
  <c r="AB119" i="8" s="1"/>
  <c r="Z121" i="8" a="1"/>
  <c r="Z121" i="8" s="1"/>
  <c r="Z119" i="8" s="1" a="1"/>
  <c r="Z119" i="8" s="1"/>
  <c r="AE121" i="8" a="1"/>
  <c r="AE121" i="8" s="1"/>
  <c r="AE119" i="8" s="1" a="1"/>
  <c r="AE119" i="8" s="1"/>
  <c r="AQ121" i="8" a="1"/>
  <c r="AQ121" i="8" s="1"/>
  <c r="AQ119" i="8" s="1" a="1"/>
  <c r="AQ119" i="8" s="1"/>
  <c r="H123" i="8" a="1"/>
  <c r="H123" i="8" s="1"/>
  <c r="AO122" i="8" a="1"/>
  <c r="AO122" i="8" s="1"/>
  <c r="Y121" i="8" a="1"/>
  <c r="Y121" i="8" s="1"/>
  <c r="Y119" i="8" s="1" a="1"/>
  <c r="Y119" i="8" s="1"/>
  <c r="AR122" i="8" a="1"/>
  <c r="AR122" i="8" s="1"/>
  <c r="E121" i="8" a="1"/>
  <c r="E121" i="8" s="1"/>
  <c r="E119" i="8" s="1" a="1"/>
  <c r="E119" i="8" s="1"/>
  <c r="AA121" i="8" a="1"/>
  <c r="AA121" i="8" s="1"/>
  <c r="AA119" i="8" s="1" a="1"/>
  <c r="AA119" i="8" s="1"/>
  <c r="AO121" i="8" a="1"/>
  <c r="AO121" i="8" s="1"/>
  <c r="AO119" i="8" s="1" a="1"/>
  <c r="AO119" i="8" s="1"/>
  <c r="W121" i="8" a="1"/>
  <c r="W121" i="8" s="1"/>
  <c r="W119" i="8" s="1" a="1"/>
  <c r="W119" i="8" s="1"/>
  <c r="AR121" i="8" a="1"/>
  <c r="AR121" i="8" s="1"/>
  <c r="AR119" i="8" s="1" a="1"/>
  <c r="AR119" i="8" s="1"/>
  <c r="U121" i="8" a="1"/>
  <c r="U121" i="8" s="1"/>
  <c r="U119" i="8" s="1" a="1"/>
  <c r="U119" i="8" s="1"/>
  <c r="AJ121" i="8" a="1"/>
  <c r="AJ121" i="8" s="1"/>
  <c r="AJ119" i="8" s="1" a="1"/>
  <c r="AJ119" i="8" s="1"/>
  <c r="AC121" i="8" a="1"/>
  <c r="AC121" i="8" s="1"/>
  <c r="AC119" i="8" s="1" a="1"/>
  <c r="AC119" i="8" s="1"/>
  <c r="AN121" i="8" a="1"/>
  <c r="AN121" i="8" s="1"/>
  <c r="AN119" i="8" s="1" a="1"/>
  <c r="AN119" i="8" s="1"/>
  <c r="AG121" i="8" a="1"/>
  <c r="AG121" i="8" s="1"/>
  <c r="AG119" i="8" s="1" a="1"/>
  <c r="AG119" i="8" s="1"/>
  <c r="AI121" i="8" a="1"/>
  <c r="AI121" i="8" s="1"/>
  <c r="AI119" i="8" s="1" a="1"/>
  <c r="AI119" i="8" s="1"/>
  <c r="X121" i="8" a="1"/>
  <c r="X121" i="8" s="1"/>
  <c r="X119" i="8" s="1" a="1"/>
  <c r="X119" i="8" s="1"/>
  <c r="G122" i="8"/>
  <c r="AP122" i="8" a="1"/>
  <c r="AP122" i="8" s="1"/>
  <c r="H122" i="8" a="1"/>
  <c r="H122" i="8" s="1"/>
  <c r="J123" i="8" s="1"/>
  <c r="AH121" i="8" a="1"/>
  <c r="AH121" i="8" s="1"/>
  <c r="AH119" i="8" s="1" a="1"/>
  <c r="AH119" i="8" s="1"/>
  <c r="AM121" i="8" a="1"/>
  <c r="AM121" i="8" s="1"/>
  <c r="AM119" i="8" s="1" a="1"/>
  <c r="AM119" i="8" s="1"/>
  <c r="AK121" i="8" a="1"/>
  <c r="AK121" i="8" s="1"/>
  <c r="AK119" i="8" s="1" a="1"/>
  <c r="AK119" i="8" s="1"/>
  <c r="V121" i="8" a="1"/>
  <c r="V121" i="8" s="1"/>
  <c r="V119" i="8" s="1" a="1"/>
  <c r="V119" i="8" s="1"/>
  <c r="V122" i="8" a="1"/>
  <c r="V122" i="8" s="1"/>
  <c r="AJ122" i="8" a="1"/>
  <c r="AJ122" i="8" s="1"/>
  <c r="AB122" i="8" a="1"/>
  <c r="AB122" i="8" s="1"/>
  <c r="X122" i="8" a="1"/>
  <c r="X122" i="8" s="1"/>
  <c r="Y122" i="8" a="1"/>
  <c r="Y122" i="8" s="1"/>
  <c r="AE122" i="8" a="1"/>
  <c r="AE122" i="8" s="1"/>
  <c r="AM122" i="8" a="1"/>
  <c r="AM122" i="8" s="1"/>
  <c r="AD122" i="8" a="1"/>
  <c r="AD122" i="8" s="1"/>
  <c r="AN122" i="8" a="1"/>
  <c r="AN122" i="8" s="1"/>
  <c r="E122" i="8" a="1"/>
  <c r="E122" i="8" s="1"/>
  <c r="Z122" i="8" a="1"/>
  <c r="Z122" i="8" s="1"/>
  <c r="AA122" i="8" a="1"/>
  <c r="AA122" i="8" s="1"/>
  <c r="U122" i="8" a="1"/>
  <c r="U122" i="8" s="1"/>
  <c r="AK122" i="8" a="1"/>
  <c r="AK122" i="8" s="1"/>
  <c r="AG122" i="8" a="1"/>
  <c r="AG122" i="8" s="1"/>
  <c r="AC122" i="8" a="1"/>
  <c r="AC122" i="8" s="1"/>
  <c r="AF122" i="8" a="1"/>
  <c r="AF122" i="8" s="1"/>
  <c r="AI122" i="8" a="1"/>
  <c r="AI122" i="8" s="1"/>
  <c r="AH122" i="8" a="1"/>
  <c r="AH122" i="8" s="1"/>
  <c r="W122" i="8" a="1"/>
  <c r="W122" i="8" s="1"/>
  <c r="AL122" i="8" a="1"/>
  <c r="AL122" i="8" s="1"/>
  <c r="N152" i="12"/>
  <c r="AU72" i="9"/>
  <c r="V72" i="9"/>
  <c r="AN176" i="8"/>
  <c r="AS64" i="9"/>
  <c r="T64" i="9"/>
  <c r="AA176" i="8"/>
  <c r="M76" i="12" a="1"/>
  <c r="M76" i="12" s="1"/>
  <c r="M75" i="12" a="1"/>
  <c r="M75" i="12" s="1"/>
  <c r="O94" i="5"/>
  <c r="AC94" i="5" a="1"/>
  <c r="AC94" i="5" s="1"/>
  <c r="C94" i="6"/>
  <c r="C166" i="12"/>
  <c r="J166" i="12" a="1"/>
  <c r="J166" i="12" s="1"/>
  <c r="L166" i="12" a="1"/>
  <c r="L166" i="12" s="1"/>
  <c r="Y88" i="12"/>
  <c r="Y195" i="12"/>
  <c r="AB91" i="5" a="1"/>
  <c r="AB91" i="5" s="1"/>
  <c r="AB175" i="5" a="1"/>
  <c r="AB175" i="5" s="1"/>
  <c r="AH94" i="8" a="1"/>
  <c r="AH94" i="8" s="1"/>
  <c r="AH92" i="8" s="1" a="1"/>
  <c r="AH92" i="8" s="1"/>
  <c r="X94" i="8" a="1"/>
  <c r="X94" i="8" s="1"/>
  <c r="X92" i="8" s="1" a="1"/>
  <c r="X92" i="8" s="1"/>
  <c r="AK94" i="8" a="1"/>
  <c r="AK94" i="8" s="1"/>
  <c r="AK92" i="8" s="1" a="1"/>
  <c r="AK92" i="8" s="1"/>
  <c r="E94" i="8" a="1"/>
  <c r="E94" i="8" s="1"/>
  <c r="E92" i="8" s="1" a="1"/>
  <c r="E92" i="8" s="1"/>
  <c r="AB94" i="8" a="1"/>
  <c r="AB94" i="8" s="1"/>
  <c r="AB92" i="8" s="1" a="1"/>
  <c r="AB92" i="8" s="1"/>
  <c r="AO95" i="8" a="1"/>
  <c r="AO95" i="8" s="1"/>
  <c r="W94" i="8" a="1"/>
  <c r="W94" i="8" s="1"/>
  <c r="W92" i="8" s="1" a="1"/>
  <c r="W92" i="8" s="1"/>
  <c r="AR94" i="8" a="1"/>
  <c r="AR94" i="8" s="1"/>
  <c r="AR92" i="8" s="1" a="1"/>
  <c r="AR92" i="8" s="1"/>
  <c r="AF94" i="8" a="1"/>
  <c r="AF94" i="8" s="1"/>
  <c r="AF92" i="8" s="1" a="1"/>
  <c r="AF92" i="8" s="1"/>
  <c r="Z94" i="8" a="1"/>
  <c r="Z94" i="8" s="1"/>
  <c r="Z92" i="8" s="1" a="1"/>
  <c r="Z92" i="8" s="1"/>
  <c r="AC94" i="8" a="1"/>
  <c r="AC94" i="8" s="1"/>
  <c r="AC92" i="8" s="1" a="1"/>
  <c r="AC92" i="8" s="1"/>
  <c r="H95" i="8" a="1"/>
  <c r="H95" i="8" s="1"/>
  <c r="J96" i="8" s="1"/>
  <c r="G95" i="8"/>
  <c r="AJ94" i="8" a="1"/>
  <c r="AJ94" i="8" s="1"/>
  <c r="AJ92" i="8" s="1" a="1"/>
  <c r="AJ92" i="8" s="1"/>
  <c r="Y94" i="8" a="1"/>
  <c r="Y94" i="8" s="1"/>
  <c r="Y92" i="8" s="1" a="1"/>
  <c r="Y92" i="8" s="1"/>
  <c r="AI94" i="8" a="1"/>
  <c r="AI94" i="8" s="1"/>
  <c r="AI92" i="8" s="1" a="1"/>
  <c r="AI92" i="8" s="1"/>
  <c r="AQ94" i="8" a="1"/>
  <c r="AQ94" i="8" s="1"/>
  <c r="AQ92" i="8" s="1" a="1"/>
  <c r="AQ92" i="8" s="1"/>
  <c r="H96" i="8" a="1"/>
  <c r="H96" i="8" s="1"/>
  <c r="AR95" i="8" a="1"/>
  <c r="AR95" i="8" s="1"/>
  <c r="AA94" i="8" a="1"/>
  <c r="AA94" i="8" s="1"/>
  <c r="AA92" i="8" s="1" a="1"/>
  <c r="AA92" i="8" s="1"/>
  <c r="AG94" i="8" a="1"/>
  <c r="AG94" i="8" s="1"/>
  <c r="AG92" i="8" s="1" a="1"/>
  <c r="AG92" i="8" s="1"/>
  <c r="AD94" i="8" a="1"/>
  <c r="AD94" i="8" s="1"/>
  <c r="AD92" i="8" s="1" a="1"/>
  <c r="AD92" i="8" s="1"/>
  <c r="AM94" i="8" a="1"/>
  <c r="AM94" i="8" s="1"/>
  <c r="AM92" i="8" s="1" a="1"/>
  <c r="AM92" i="8" s="1"/>
  <c r="AE94" i="8" a="1"/>
  <c r="AE94" i="8" s="1"/>
  <c r="AE92" i="8" s="1" a="1"/>
  <c r="AE92" i="8" s="1"/>
  <c r="AQ95" i="8" a="1"/>
  <c r="AQ95" i="8" s="1"/>
  <c r="V94" i="8" a="1"/>
  <c r="V94" i="8" s="1"/>
  <c r="V92" i="8" s="1" a="1"/>
  <c r="V92" i="8" s="1"/>
  <c r="AN94" i="8" a="1"/>
  <c r="AN94" i="8" s="1"/>
  <c r="AN92" i="8" s="1" a="1"/>
  <c r="AN92" i="8" s="1"/>
  <c r="U94" i="8" a="1"/>
  <c r="U94" i="8" s="1"/>
  <c r="U92" i="8" s="1" a="1"/>
  <c r="U92" i="8" s="1"/>
  <c r="AO94" i="8" a="1"/>
  <c r="AO94" i="8" s="1"/>
  <c r="AO92" i="8" s="1" a="1"/>
  <c r="AO92" i="8" s="1"/>
  <c r="AP94" i="8" a="1"/>
  <c r="AP94" i="8" s="1"/>
  <c r="AP92" i="8" s="1" a="1"/>
  <c r="AP92" i="8" s="1"/>
  <c r="AP95" i="8" a="1"/>
  <c r="AP95" i="8" s="1"/>
  <c r="AL94" i="8" a="1"/>
  <c r="AL94" i="8" s="1"/>
  <c r="AL92" i="8" s="1" a="1"/>
  <c r="AL92" i="8" s="1"/>
  <c r="AA95" i="8" a="1"/>
  <c r="AA95" i="8" s="1"/>
  <c r="AC95" i="8" a="1"/>
  <c r="AC95" i="8" s="1"/>
  <c r="AN95" i="8" a="1"/>
  <c r="AN95" i="8" s="1"/>
  <c r="AH95" i="8" a="1"/>
  <c r="AH95" i="8" s="1"/>
  <c r="AI95" i="8" a="1"/>
  <c r="AI95" i="8" s="1"/>
  <c r="X95" i="8" a="1"/>
  <c r="X95" i="8" s="1"/>
  <c r="Z95" i="8" a="1"/>
  <c r="Z95" i="8" s="1"/>
  <c r="AL95" i="8" a="1"/>
  <c r="AL95" i="8" s="1"/>
  <c r="AK95" i="8" a="1"/>
  <c r="AK95" i="8" s="1"/>
  <c r="AM95" i="8" a="1"/>
  <c r="AM95" i="8" s="1"/>
  <c r="AJ95" i="8" a="1"/>
  <c r="AJ95" i="8" s="1"/>
  <c r="AF95" i="8" a="1"/>
  <c r="AF95" i="8" s="1"/>
  <c r="AB95" i="8" a="1"/>
  <c r="AB95" i="8" s="1"/>
  <c r="U95" i="8" a="1"/>
  <c r="U95" i="8" s="1"/>
  <c r="V95" i="8" a="1"/>
  <c r="V95" i="8" s="1"/>
  <c r="E95" i="8" a="1"/>
  <c r="E95" i="8" s="1"/>
  <c r="W95" i="8" a="1"/>
  <c r="W95" i="8" s="1"/>
  <c r="AD95" i="8" a="1"/>
  <c r="AD95" i="8" s="1"/>
  <c r="AG95" i="8" a="1"/>
  <c r="AG95" i="8" s="1"/>
  <c r="Y95" i="8" a="1"/>
  <c r="Y95" i="8" s="1"/>
  <c r="AE95" i="8" a="1"/>
  <c r="AE95" i="8" s="1"/>
  <c r="E57" i="6"/>
  <c r="D57" i="12"/>
  <c r="C217" i="6"/>
  <c r="AC217" i="5" a="1"/>
  <c r="AC217" i="5" s="1"/>
  <c r="O217" i="5"/>
  <c r="D95" i="12"/>
  <c r="E95" i="6"/>
  <c r="D71" i="12"/>
  <c r="E71" i="6"/>
  <c r="AA94" i="5" a="1"/>
  <c r="AA94" i="5" s="1"/>
  <c r="C74" i="8" s="1"/>
  <c r="J142" i="12" a="1"/>
  <c r="J142" i="12" s="1"/>
  <c r="C142" i="12"/>
  <c r="L142" i="12" a="1"/>
  <c r="L142" i="12" s="1"/>
  <c r="D174" i="12"/>
  <c r="E174" i="6"/>
  <c r="AA110" i="5" a="1"/>
  <c r="AA110" i="5" s="1"/>
  <c r="C89" i="8" s="1"/>
  <c r="W80" i="12" a="1"/>
  <c r="W80" i="12" s="1"/>
  <c r="X80" i="12" a="1"/>
  <c r="X80" i="12" s="1"/>
  <c r="N200" i="12"/>
  <c r="D112" i="12"/>
  <c r="E112" i="6"/>
  <c r="X31" i="12" a="1"/>
  <c r="X31" i="12" s="1"/>
  <c r="W31" i="12" a="1"/>
  <c r="W31" i="12" s="1"/>
  <c r="X232" i="12" a="1"/>
  <c r="X232" i="12" s="1"/>
  <c r="W232" i="12" a="1"/>
  <c r="W232" i="12" s="1"/>
  <c r="M49" i="12" a="1"/>
  <c r="M49" i="12" s="1"/>
  <c r="M50" i="12" a="1"/>
  <c r="M50" i="12" s="1"/>
  <c r="E227" i="6"/>
  <c r="D227" i="12"/>
  <c r="E43" i="6"/>
  <c r="D43" i="12"/>
  <c r="O204" i="12" a="1"/>
  <c r="O204" i="12" s="1"/>
  <c r="N204" i="12" s="1"/>
  <c r="N205" i="12"/>
  <c r="O203" i="12" a="1"/>
  <c r="O203" i="12" s="1"/>
  <c r="N203" i="12" s="1"/>
  <c r="X43" i="12" a="1"/>
  <c r="X43" i="12" s="1"/>
  <c r="W43" i="12" a="1"/>
  <c r="W43" i="12" s="1"/>
  <c r="X240" i="12" a="1"/>
  <c r="X240" i="12" s="1"/>
  <c r="W240" i="12" a="1"/>
  <c r="W240" i="12" s="1"/>
  <c r="W149" i="12" a="1"/>
  <c r="W149" i="12" s="1"/>
  <c r="X149" i="12" a="1"/>
  <c r="X149" i="12" s="1"/>
  <c r="D221" i="12"/>
  <c r="E221" i="6"/>
  <c r="AB25" i="5" a="1"/>
  <c r="AB25" i="5" s="1"/>
  <c r="AA76" i="5" a="1"/>
  <c r="AA76" i="5" s="1"/>
  <c r="C62" i="8" s="1"/>
  <c r="AA75" i="5" a="1"/>
  <c r="AA75" i="5" s="1"/>
  <c r="H23" i="8" a="1"/>
  <c r="H23" i="8" s="1"/>
  <c r="J24" i="8" s="1"/>
  <c r="G23" i="8"/>
  <c r="H24" i="8" a="1"/>
  <c r="H24" i="8" s="1"/>
  <c r="X171" i="12" a="1"/>
  <c r="X171" i="12" s="1"/>
  <c r="W171" i="12" a="1"/>
  <c r="W171" i="12" s="1"/>
  <c r="N213" i="12"/>
  <c r="E238" i="6"/>
  <c r="D238" i="12"/>
  <c r="G56" i="7"/>
  <c r="D173" i="12"/>
  <c r="E173" i="6"/>
  <c r="X53" i="12" a="1"/>
  <c r="X53" i="12" s="1"/>
  <c r="W53" i="12" a="1"/>
  <c r="W53" i="12" s="1"/>
  <c r="D70" i="12"/>
  <c r="E70" i="6"/>
  <c r="N232" i="12"/>
  <c r="X139" i="12" a="1"/>
  <c r="X139" i="12" s="1"/>
  <c r="W139" i="12" a="1"/>
  <c r="W139" i="12" s="1"/>
  <c r="E177" i="6"/>
  <c r="D177" i="12"/>
  <c r="D86" i="12"/>
  <c r="E86" i="6"/>
  <c r="Y108" i="12"/>
  <c r="AO107" i="12" a="1"/>
  <c r="AO107" i="12" s="1"/>
  <c r="Y107" i="12" s="1"/>
  <c r="N71" i="12"/>
  <c r="AO89" i="8" a="1"/>
  <c r="AO89" i="8" s="1"/>
  <c r="G89" i="8"/>
  <c r="AR89" i="8" a="1"/>
  <c r="AR89" i="8" s="1"/>
  <c r="AP89" i="8" a="1"/>
  <c r="AP89" i="8" s="1"/>
  <c r="H90" i="8" a="1"/>
  <c r="H90" i="8" s="1"/>
  <c r="H89" i="8" a="1"/>
  <c r="H89" i="8" s="1"/>
  <c r="J90" i="8" s="1"/>
  <c r="AQ89" i="8" a="1"/>
  <c r="AQ89" i="8" s="1"/>
  <c r="V89" i="8" a="1"/>
  <c r="V89" i="8" s="1"/>
  <c r="AI89" i="8" a="1"/>
  <c r="AI89" i="8" s="1"/>
  <c r="AA89" i="8" a="1"/>
  <c r="AA89" i="8" s="1"/>
  <c r="AD89" i="8" a="1"/>
  <c r="AD89" i="8" s="1"/>
  <c r="AE89" i="8" a="1"/>
  <c r="AE89" i="8" s="1"/>
  <c r="AF89" i="8" a="1"/>
  <c r="AF89" i="8" s="1"/>
  <c r="AL89" i="8" a="1"/>
  <c r="AL89" i="8" s="1"/>
  <c r="AG89" i="8" a="1"/>
  <c r="AG89" i="8" s="1"/>
  <c r="AC89" i="8" a="1"/>
  <c r="AC89" i="8" s="1"/>
  <c r="Y89" i="8" a="1"/>
  <c r="Y89" i="8" s="1"/>
  <c r="X89" i="8" a="1"/>
  <c r="X89" i="8" s="1"/>
  <c r="E89" i="8" a="1"/>
  <c r="E89" i="8" s="1"/>
  <c r="AM89" i="8" a="1"/>
  <c r="AM89" i="8" s="1"/>
  <c r="Z89" i="8" a="1"/>
  <c r="Z89" i="8" s="1"/>
  <c r="AN89" i="8" a="1"/>
  <c r="AN89" i="8" s="1"/>
  <c r="AK89" i="8" a="1"/>
  <c r="AK89" i="8" s="1"/>
  <c r="AB89" i="8" a="1"/>
  <c r="AB89" i="8" s="1"/>
  <c r="U89" i="8" a="1"/>
  <c r="U89" i="8" s="1"/>
  <c r="AJ89" i="8" a="1"/>
  <c r="AJ89" i="8" s="1"/>
  <c r="W89" i="8" a="1"/>
  <c r="W89" i="8" s="1"/>
  <c r="AH89" i="8" a="1"/>
  <c r="AH89" i="8" s="1"/>
  <c r="X117" i="12" a="1"/>
  <c r="X117" i="12" s="1"/>
  <c r="W117" i="12" a="1"/>
  <c r="W117" i="12" s="1"/>
  <c r="N113" i="12"/>
  <c r="G53" i="7"/>
  <c r="O45" i="12" a="1"/>
  <c r="O45" i="12" s="1"/>
  <c r="N45" i="12" s="1"/>
  <c r="N46" i="12"/>
  <c r="C22" i="12"/>
  <c r="J22" i="12" a="1"/>
  <c r="J22" i="12" s="1"/>
  <c r="L22" i="12" a="1"/>
  <c r="L22" i="12" s="1"/>
  <c r="AB142" i="5" a="1"/>
  <c r="AB142" i="5" s="1"/>
  <c r="N230" i="12"/>
  <c r="AM64" i="9"/>
  <c r="N64" i="9"/>
  <c r="X176" i="8"/>
  <c r="G21" i="7"/>
  <c r="E96" i="6"/>
  <c r="D96" i="12"/>
  <c r="AO83" i="12" a="1"/>
  <c r="AO83" i="12" s="1"/>
  <c r="Y85" i="12"/>
  <c r="AO84" i="12" a="1"/>
  <c r="AO84" i="12" s="1"/>
  <c r="D24" i="12"/>
  <c r="E24" i="6"/>
  <c r="AP98" i="8" a="1"/>
  <c r="AP98" i="8" s="1"/>
  <c r="AQ98" i="8" a="1"/>
  <c r="AQ98" i="8" s="1"/>
  <c r="H99" i="8" a="1"/>
  <c r="H99" i="8" s="1"/>
  <c r="G98" i="8"/>
  <c r="H98" i="8" a="1"/>
  <c r="H98" i="8" s="1"/>
  <c r="J99" i="8" s="1"/>
  <c r="AO98" i="8" a="1"/>
  <c r="AO98" i="8" s="1"/>
  <c r="AR98" i="8" a="1"/>
  <c r="AR98" i="8" s="1"/>
  <c r="D98" i="8"/>
  <c r="Y98" i="8" a="1"/>
  <c r="Y98" i="8" s="1"/>
  <c r="AN98" i="8" a="1"/>
  <c r="AN98" i="8" s="1"/>
  <c r="AH98" i="8" a="1"/>
  <c r="AH98" i="8" s="1"/>
  <c r="X98" i="8" a="1"/>
  <c r="X98" i="8" s="1"/>
  <c r="AA98" i="8" a="1"/>
  <c r="AA98" i="8" s="1"/>
  <c r="U98" i="8" a="1"/>
  <c r="U98" i="8" s="1"/>
  <c r="AC98" i="8" a="1"/>
  <c r="AC98" i="8" s="1"/>
  <c r="AM98" i="8" a="1"/>
  <c r="AM98" i="8" s="1"/>
  <c r="AJ98" i="8" a="1"/>
  <c r="AJ98" i="8" s="1"/>
  <c r="AD98" i="8" a="1"/>
  <c r="AD98" i="8" s="1"/>
  <c r="E98" i="8" a="1"/>
  <c r="E98" i="8" s="1"/>
  <c r="AG98" i="8" a="1"/>
  <c r="AG98" i="8" s="1"/>
  <c r="AF98" i="8" a="1"/>
  <c r="AF98" i="8" s="1"/>
  <c r="Z98" i="8" a="1"/>
  <c r="Z98" i="8" s="1"/>
  <c r="AB98" i="8" a="1"/>
  <c r="AB98" i="8" s="1"/>
  <c r="AL98" i="8" a="1"/>
  <c r="AL98" i="8" s="1"/>
  <c r="AI98" i="8" a="1"/>
  <c r="AI98" i="8" s="1"/>
  <c r="V98" i="8" a="1"/>
  <c r="V98" i="8" s="1"/>
  <c r="AE98" i="8" a="1"/>
  <c r="AE98" i="8" s="1"/>
  <c r="W98" i="8" a="1"/>
  <c r="W98" i="8" s="1"/>
  <c r="AK98" i="8" a="1"/>
  <c r="AK98" i="8" s="1"/>
  <c r="O125" i="12" a="1"/>
  <c r="O125" i="12" s="1"/>
  <c r="N125" i="12" s="1"/>
  <c r="N126" i="12"/>
  <c r="E222" i="6"/>
  <c r="D222" i="12"/>
  <c r="O23" i="5"/>
  <c r="C23" i="6"/>
  <c r="AC23" i="5" a="1"/>
  <c r="AC23" i="5" s="1"/>
  <c r="BC72" i="9"/>
  <c r="AD72" i="9"/>
  <c r="AR176" i="8"/>
  <c r="N104" i="12"/>
  <c r="X186" i="12" a="1"/>
  <c r="X186" i="12" s="1"/>
  <c r="W186" i="12" a="1"/>
  <c r="W186" i="12" s="1"/>
  <c r="X58" i="12" a="1"/>
  <c r="X58" i="12" s="1"/>
  <c r="W58" i="12" a="1"/>
  <c r="W58" i="12" s="1"/>
  <c r="D235" i="12"/>
  <c r="E235" i="6"/>
  <c r="D51" i="12"/>
  <c r="E51" i="6"/>
  <c r="N221" i="12"/>
  <c r="AB26" i="5" a="1"/>
  <c r="AB26" i="5" s="1"/>
  <c r="D32" i="8" s="1"/>
  <c r="Y165" i="12"/>
  <c r="E226" i="6"/>
  <c r="D226" i="12"/>
  <c r="N196" i="12"/>
  <c r="D211" i="12"/>
  <c r="E211" i="6"/>
  <c r="E146" i="6"/>
  <c r="D146" i="12"/>
  <c r="C204" i="6"/>
  <c r="AC204" i="5" a="1"/>
  <c r="AC204" i="5" s="1"/>
  <c r="O204" i="5"/>
  <c r="D40" i="12"/>
  <c r="E40" i="6"/>
  <c r="W136" i="12" a="1"/>
  <c r="W136" i="12" s="1"/>
  <c r="X136" i="12" a="1"/>
  <c r="X136" i="12" s="1"/>
  <c r="D179" i="12"/>
  <c r="E179" i="6"/>
  <c r="G36" i="7"/>
  <c r="E194" i="6"/>
  <c r="D194" i="12"/>
  <c r="AQ35" i="8" a="1"/>
  <c r="AQ35" i="8" s="1"/>
  <c r="H36" i="8" a="1"/>
  <c r="H36" i="8" s="1"/>
  <c r="G35" i="8"/>
  <c r="AR35" i="8" a="1"/>
  <c r="AR35" i="8" s="1"/>
  <c r="H35" i="8" a="1"/>
  <c r="H35" i="8" s="1"/>
  <c r="J36" i="8" s="1"/>
  <c r="AO35" i="8" a="1"/>
  <c r="AO35" i="8" s="1"/>
  <c r="AP35" i="8" a="1"/>
  <c r="AP35" i="8" s="1"/>
  <c r="AJ35" i="8" a="1"/>
  <c r="AJ35" i="8" s="1"/>
  <c r="AH35" i="8" a="1"/>
  <c r="AH35" i="8" s="1"/>
  <c r="AB35" i="8" a="1"/>
  <c r="AB35" i="8" s="1"/>
  <c r="V35" i="8" a="1"/>
  <c r="V35" i="8" s="1"/>
  <c r="AK35" i="8" a="1"/>
  <c r="AK35" i="8" s="1"/>
  <c r="Y35" i="8" a="1"/>
  <c r="Y35" i="8" s="1"/>
  <c r="AG35" i="8" a="1"/>
  <c r="AG35" i="8" s="1"/>
  <c r="AF35" i="8" a="1"/>
  <c r="AF35" i="8" s="1"/>
  <c r="AA35" i="8" a="1"/>
  <c r="AA35" i="8" s="1"/>
  <c r="AE35" i="8" a="1"/>
  <c r="AE35" i="8" s="1"/>
  <c r="U35" i="8" a="1"/>
  <c r="U35" i="8" s="1"/>
  <c r="X35" i="8" a="1"/>
  <c r="X35" i="8" s="1"/>
  <c r="W35" i="8" a="1"/>
  <c r="W35" i="8" s="1"/>
  <c r="AD35" i="8" a="1"/>
  <c r="AD35" i="8" s="1"/>
  <c r="AM35" i="8" a="1"/>
  <c r="AM35" i="8" s="1"/>
  <c r="AC35" i="8" a="1"/>
  <c r="AC35" i="8" s="1"/>
  <c r="E35" i="8" a="1"/>
  <c r="E35" i="8" s="1"/>
  <c r="AI35" i="8" a="1"/>
  <c r="AI35" i="8" s="1"/>
  <c r="Z35" i="8" a="1"/>
  <c r="Z35" i="8" s="1"/>
  <c r="AL35" i="8" a="1"/>
  <c r="AL35" i="8" s="1"/>
  <c r="AN35" i="8" a="1"/>
  <c r="AN35" i="8" s="1"/>
  <c r="X198" i="12" a="1"/>
  <c r="X198" i="12" s="1"/>
  <c r="W198" i="12" a="1"/>
  <c r="W198" i="12" s="1"/>
  <c r="AB167" i="5" a="1"/>
  <c r="AB167" i="5" s="1"/>
  <c r="D122" i="8" s="1"/>
  <c r="AB166" i="5" a="1"/>
  <c r="AB166" i="5" s="1"/>
  <c r="G55" i="7"/>
  <c r="W123" i="12" a="1"/>
  <c r="W123" i="12" s="1"/>
  <c r="X123" i="12" a="1"/>
  <c r="X123" i="12" s="1"/>
  <c r="AA180" i="5" a="1"/>
  <c r="AA180" i="5" s="1"/>
  <c r="C128" i="8" s="1"/>
  <c r="X40" i="12" a="1"/>
  <c r="X40" i="12" s="1"/>
  <c r="W40" i="12" a="1"/>
  <c r="W40" i="12" s="1"/>
  <c r="W130" i="12" a="1"/>
  <c r="W130" i="12" s="1"/>
  <c r="X130" i="12" a="1"/>
  <c r="X130" i="12" s="1"/>
  <c r="N74" i="12"/>
  <c r="O73" i="12" a="1"/>
  <c r="O73" i="12" s="1"/>
  <c r="N73" i="12" s="1"/>
  <c r="W209" i="12" a="1"/>
  <c r="W209" i="12" s="1"/>
  <c r="X209" i="12" a="1"/>
  <c r="X209" i="12" s="1"/>
  <c r="G22" i="7"/>
  <c r="E105" i="6"/>
  <c r="D105" i="12"/>
  <c r="D90" i="12"/>
  <c r="E90" i="6"/>
  <c r="Y116" i="12"/>
  <c r="AO114" i="12" a="1"/>
  <c r="AO114" i="12" s="1"/>
  <c r="Y114" i="12" s="1"/>
  <c r="AO115" i="12" a="1"/>
  <c r="AO115" i="12" s="1"/>
  <c r="Y181" i="12"/>
  <c r="AO180" i="12" a="1"/>
  <c r="AO180" i="12" s="1"/>
  <c r="Y180" i="12" s="1"/>
  <c r="D129" i="12"/>
  <c r="E129" i="6"/>
  <c r="X239" i="12" a="1"/>
  <c r="X239" i="12" s="1"/>
  <c r="W239" i="12" a="1"/>
  <c r="W239" i="12" s="1"/>
  <c r="D242" i="12"/>
  <c r="E242" i="6"/>
  <c r="AP116" i="8" a="1"/>
  <c r="AP116" i="8" s="1"/>
  <c r="AR116" i="8" a="1"/>
  <c r="AR116" i="8" s="1"/>
  <c r="AO116" i="8" a="1"/>
  <c r="AO116" i="8" s="1"/>
  <c r="H116" i="8" a="1"/>
  <c r="H116" i="8" s="1"/>
  <c r="J117" i="8" s="1"/>
  <c r="H117" i="8" a="1"/>
  <c r="H117" i="8" s="1"/>
  <c r="AQ116" i="8" a="1"/>
  <c r="AQ116" i="8" s="1"/>
  <c r="G116" i="8"/>
  <c r="W116" i="8" a="1"/>
  <c r="W116" i="8" s="1"/>
  <c r="V116" i="8" a="1"/>
  <c r="V116" i="8" s="1"/>
  <c r="X116" i="8" a="1"/>
  <c r="X116" i="8" s="1"/>
  <c r="AH116" i="8" a="1"/>
  <c r="AH116" i="8" s="1"/>
  <c r="AL116" i="8" a="1"/>
  <c r="AL116" i="8" s="1"/>
  <c r="AD116" i="8" a="1"/>
  <c r="AD116" i="8" s="1"/>
  <c r="AG116" i="8" a="1"/>
  <c r="AG116" i="8" s="1"/>
  <c r="AA116" i="8" a="1"/>
  <c r="AA116" i="8" s="1"/>
  <c r="Z116" i="8" a="1"/>
  <c r="Z116" i="8" s="1"/>
  <c r="AF116" i="8" a="1"/>
  <c r="AF116" i="8" s="1"/>
  <c r="AE116" i="8" a="1"/>
  <c r="AE116" i="8" s="1"/>
  <c r="AB116" i="8" a="1"/>
  <c r="AB116" i="8" s="1"/>
  <c r="AJ116" i="8" a="1"/>
  <c r="AJ116" i="8" s="1"/>
  <c r="AM116" i="8" a="1"/>
  <c r="AM116" i="8" s="1"/>
  <c r="Y116" i="8" a="1"/>
  <c r="Y116" i="8" s="1"/>
  <c r="E116" i="8" a="1"/>
  <c r="E116" i="8" s="1"/>
  <c r="AC116" i="8" a="1"/>
  <c r="AC116" i="8" s="1"/>
  <c r="AI116" i="8" a="1"/>
  <c r="AI116" i="8" s="1"/>
  <c r="U116" i="8" a="1"/>
  <c r="U116" i="8" s="1"/>
  <c r="AK116" i="8" a="1"/>
  <c r="AK116" i="8" s="1"/>
  <c r="AN116" i="8" a="1"/>
  <c r="AN116" i="8" s="1"/>
  <c r="D106" i="12"/>
  <c r="E106" i="6"/>
  <c r="H77" i="8" a="1"/>
  <c r="H77" i="8" s="1"/>
  <c r="J78" i="8" s="1"/>
  <c r="H78" i="8" a="1"/>
  <c r="H78" i="8" s="1"/>
  <c r="AQ77" i="8" a="1"/>
  <c r="AQ77" i="8" s="1"/>
  <c r="AO77" i="8" a="1"/>
  <c r="AO77" i="8" s="1"/>
  <c r="AR77" i="8" a="1"/>
  <c r="AR77" i="8" s="1"/>
  <c r="AP77" i="8" a="1"/>
  <c r="AP77" i="8" s="1"/>
  <c r="G77" i="8"/>
  <c r="AF77" i="8" a="1"/>
  <c r="AF77" i="8" s="1"/>
  <c r="AE77" i="8" a="1"/>
  <c r="AE77" i="8" s="1"/>
  <c r="AA77" i="8" a="1"/>
  <c r="AA77" i="8" s="1"/>
  <c r="AL77" i="8" a="1"/>
  <c r="AL77" i="8" s="1"/>
  <c r="Y77" i="8" a="1"/>
  <c r="Y77" i="8" s="1"/>
  <c r="AN77" i="8" a="1"/>
  <c r="AN77" i="8" s="1"/>
  <c r="V77" i="8" a="1"/>
  <c r="V77" i="8" s="1"/>
  <c r="AJ77" i="8" a="1"/>
  <c r="AJ77" i="8" s="1"/>
  <c r="Z77" i="8" a="1"/>
  <c r="Z77" i="8" s="1"/>
  <c r="AB77" i="8" a="1"/>
  <c r="AB77" i="8" s="1"/>
  <c r="AI77" i="8" a="1"/>
  <c r="AI77" i="8" s="1"/>
  <c r="AD77" i="8" a="1"/>
  <c r="AD77" i="8" s="1"/>
  <c r="AC77" i="8" a="1"/>
  <c r="AC77" i="8" s="1"/>
  <c r="AH77" i="8" a="1"/>
  <c r="AH77" i="8" s="1"/>
  <c r="AM77" i="8" a="1"/>
  <c r="AM77" i="8" s="1"/>
  <c r="X77" i="8" a="1"/>
  <c r="X77" i="8" s="1"/>
  <c r="AG77" i="8" a="1"/>
  <c r="AG77" i="8" s="1"/>
  <c r="AK77" i="8" a="1"/>
  <c r="AK77" i="8" s="1"/>
  <c r="W77" i="8" a="1"/>
  <c r="W77" i="8" s="1"/>
  <c r="U77" i="8" a="1"/>
  <c r="U77" i="8" s="1"/>
  <c r="E77" i="8" a="1"/>
  <c r="E77" i="8" s="1"/>
  <c r="E230" i="6"/>
  <c r="D230" i="12"/>
  <c r="W206" i="12" a="1"/>
  <c r="W206" i="12" s="1"/>
  <c r="X206" i="12" a="1"/>
  <c r="X206" i="12" s="1"/>
  <c r="X64" i="12" a="1"/>
  <c r="X64" i="12" s="1"/>
  <c r="W64" i="12" a="1"/>
  <c r="W64" i="12" s="1"/>
  <c r="M23" i="12" a="1"/>
  <c r="M23" i="12" s="1"/>
  <c r="M22" i="12" a="1"/>
  <c r="M22" i="12" s="1"/>
  <c r="E161" i="6"/>
  <c r="D161" i="12"/>
  <c r="AA45" i="5" a="1"/>
  <c r="AA45" i="5" s="1"/>
  <c r="C38" i="8" s="1"/>
  <c r="AI64" i="9"/>
  <c r="J64" i="9"/>
  <c r="V176" i="8"/>
  <c r="AY64" i="9"/>
  <c r="Z64" i="9"/>
  <c r="AD176" i="8"/>
  <c r="O75" i="12" a="1"/>
  <c r="O75" i="12" s="1"/>
  <c r="O76" i="12" a="1"/>
  <c r="O76" i="12" s="1"/>
  <c r="N77" i="12"/>
  <c r="X57" i="12" a="1"/>
  <c r="X57" i="12" s="1"/>
  <c r="W57" i="12" a="1"/>
  <c r="W57" i="12" s="1"/>
  <c r="D193" i="12"/>
  <c r="E193" i="6"/>
  <c r="AP74" i="8" a="1"/>
  <c r="AP74" i="8" s="1"/>
  <c r="G74" i="8"/>
  <c r="AQ74" i="8" a="1"/>
  <c r="AQ74" i="8" s="1"/>
  <c r="H75" i="8" a="1"/>
  <c r="H75" i="8" s="1"/>
  <c r="AR74" i="8" a="1"/>
  <c r="AR74" i="8" s="1"/>
  <c r="AO74" i="8" a="1"/>
  <c r="AO74" i="8" s="1"/>
  <c r="H74" i="8" a="1"/>
  <c r="H74" i="8" s="1"/>
  <c r="J75" i="8" s="1"/>
  <c r="AA74" i="8" a="1"/>
  <c r="AA74" i="8" s="1"/>
  <c r="AD74" i="8" a="1"/>
  <c r="AD74" i="8" s="1"/>
  <c r="AC74" i="8" a="1"/>
  <c r="AC74" i="8" s="1"/>
  <c r="AH74" i="8" a="1"/>
  <c r="AH74" i="8" s="1"/>
  <c r="AN74" i="8" a="1"/>
  <c r="AN74" i="8" s="1"/>
  <c r="W74" i="8" a="1"/>
  <c r="W74" i="8" s="1"/>
  <c r="AG74" i="8" a="1"/>
  <c r="AG74" i="8" s="1"/>
  <c r="AF74" i="8" a="1"/>
  <c r="AF74" i="8" s="1"/>
  <c r="AJ74" i="8" a="1"/>
  <c r="AJ74" i="8" s="1"/>
  <c r="AE74" i="8" a="1"/>
  <c r="AE74" i="8" s="1"/>
  <c r="V74" i="8" a="1"/>
  <c r="V74" i="8" s="1"/>
  <c r="E74" i="8" a="1"/>
  <c r="E74" i="8" s="1"/>
  <c r="X74" i="8" a="1"/>
  <c r="X74" i="8" s="1"/>
  <c r="AB74" i="8" a="1"/>
  <c r="AB74" i="8" s="1"/>
  <c r="AL74" i="8" a="1"/>
  <c r="AL74" i="8" s="1"/>
  <c r="AI74" i="8" a="1"/>
  <c r="AI74" i="8" s="1"/>
  <c r="Y74" i="8" a="1"/>
  <c r="Y74" i="8" s="1"/>
  <c r="AM74" i="8" a="1"/>
  <c r="AM74" i="8" s="1"/>
  <c r="U74" i="8" a="1"/>
  <c r="U74" i="8" s="1"/>
  <c r="AK74" i="8" a="1"/>
  <c r="AK74" i="8" s="1"/>
  <c r="Z74" i="8" a="1"/>
  <c r="Z74" i="8" s="1"/>
  <c r="D116" i="12"/>
  <c r="E116" i="6"/>
  <c r="M128" i="12" a="1"/>
  <c r="M128" i="12" s="1"/>
  <c r="X223" i="12" a="1"/>
  <c r="X223" i="12" s="1"/>
  <c r="W223" i="12" a="1"/>
  <c r="W223" i="12" s="1"/>
  <c r="E152" i="6"/>
  <c r="D152" i="12"/>
  <c r="AO110" i="12" a="1"/>
  <c r="AO110" i="12" s="1"/>
  <c r="Y110" i="12" s="1"/>
  <c r="Y111" i="12"/>
  <c r="AC115" i="5" a="1"/>
  <c r="AC115" i="5" s="1"/>
  <c r="C115" i="6"/>
  <c r="O115" i="5"/>
  <c r="W228" i="12" a="1"/>
  <c r="W228" i="12" s="1"/>
  <c r="X228" i="12" a="1"/>
  <c r="X228" i="12" s="1"/>
  <c r="X138" i="12" a="1"/>
  <c r="X138" i="12" s="1"/>
  <c r="W138" i="12" a="1"/>
  <c r="W138" i="12" s="1"/>
  <c r="D100" i="12"/>
  <c r="E100" i="6"/>
  <c r="E237" i="6"/>
  <c r="D237" i="12"/>
  <c r="AB94" i="5" a="1"/>
  <c r="AB94" i="5" s="1"/>
  <c r="D74" i="8" s="1"/>
  <c r="AQ20" i="8" a="1"/>
  <c r="AQ20" i="8" s="1"/>
  <c r="AR20" i="8" a="1"/>
  <c r="AR20" i="8" s="1"/>
  <c r="H21" i="8" a="1"/>
  <c r="H21" i="8" s="1"/>
  <c r="G20" i="8"/>
  <c r="AP20" i="8" a="1"/>
  <c r="AP20" i="8" s="1"/>
  <c r="H20" i="8" a="1"/>
  <c r="H20" i="8" s="1"/>
  <c r="J21" i="8" s="1"/>
  <c r="AO20" i="8" a="1"/>
  <c r="AO20" i="8" s="1"/>
  <c r="AJ20" i="8" a="1"/>
  <c r="AJ20" i="8" s="1"/>
  <c r="Z20" i="8" a="1"/>
  <c r="Z20" i="8" s="1"/>
  <c r="X20" i="8" a="1"/>
  <c r="X20" i="8" s="1"/>
  <c r="AA20" i="8" a="1"/>
  <c r="AA20" i="8" s="1"/>
  <c r="W20" i="8" a="1"/>
  <c r="W20" i="8" s="1"/>
  <c r="AI20" i="8" a="1"/>
  <c r="AI20" i="8" s="1"/>
  <c r="AB20" i="8" a="1"/>
  <c r="AB20" i="8" s="1"/>
  <c r="AL20" i="8" a="1"/>
  <c r="AL20" i="8" s="1"/>
  <c r="AM20" i="8" a="1"/>
  <c r="AM20" i="8" s="1"/>
  <c r="V20" i="8" a="1"/>
  <c r="V20" i="8" s="1"/>
  <c r="Y20" i="8" a="1"/>
  <c r="Y20" i="8" s="1"/>
  <c r="AH20" i="8" a="1"/>
  <c r="AH20" i="8" s="1"/>
  <c r="AG20" i="8" a="1"/>
  <c r="AG20" i="8" s="1"/>
  <c r="AF20" i="8" a="1"/>
  <c r="AF20" i="8" s="1"/>
  <c r="AD20" i="8" a="1"/>
  <c r="AD20" i="8" s="1"/>
  <c r="AK20" i="8" a="1"/>
  <c r="AK20" i="8" s="1"/>
  <c r="AN20" i="8" a="1"/>
  <c r="AN20" i="8" s="1"/>
  <c r="AC20" i="8" a="1"/>
  <c r="AC20" i="8" s="1"/>
  <c r="U20" i="8" a="1"/>
  <c r="U20" i="8" s="1"/>
  <c r="E20" i="8" a="1"/>
  <c r="E20" i="8" s="1"/>
  <c r="AE20" i="8" a="1"/>
  <c r="AE20" i="8" s="1"/>
  <c r="G80" i="8"/>
  <c r="H80" i="8" a="1"/>
  <c r="H80" i="8" s="1"/>
  <c r="J81" i="8" s="1"/>
  <c r="H81" i="8" a="1"/>
  <c r="H81" i="8" s="1"/>
  <c r="AB110" i="5" a="1"/>
  <c r="AB110" i="5" s="1"/>
  <c r="D89" i="8" s="1"/>
  <c r="D184" i="12"/>
  <c r="E184" i="6"/>
  <c r="E52" i="6"/>
  <c r="D52" i="12"/>
  <c r="W82" i="12" a="1"/>
  <c r="W82" i="12" s="1"/>
  <c r="X82" i="12" a="1"/>
  <c r="X82" i="12" s="1"/>
  <c r="X216" i="12" a="1"/>
  <c r="X216" i="12" s="1"/>
  <c r="W216" i="12" a="1"/>
  <c r="W216" i="12" s="1"/>
  <c r="AU64" i="9"/>
  <c r="V64" i="9"/>
  <c r="AB176" i="8"/>
  <c r="E92" i="6"/>
  <c r="D92" i="12"/>
  <c r="L18" i="13"/>
  <c r="C18" i="11"/>
  <c r="P18" i="11"/>
  <c r="J23" i="12" a="1"/>
  <c r="J23" i="12" s="1"/>
  <c r="C23" i="12"/>
  <c r="L23" i="12" a="1"/>
  <c r="L23" i="12" s="1"/>
  <c r="K23" i="12" s="1"/>
  <c r="BA72" i="9"/>
  <c r="AB72" i="9"/>
  <c r="AQ176" i="8"/>
  <c r="J203" i="12" a="1"/>
  <c r="J203" i="12" s="1"/>
  <c r="C203" i="12"/>
  <c r="L203" i="12" a="1"/>
  <c r="L203" i="12" s="1"/>
  <c r="K203" i="12" s="1"/>
  <c r="M36" i="12" a="1"/>
  <c r="M36" i="12" s="1"/>
  <c r="E149" i="6"/>
  <c r="D149" i="12"/>
  <c r="M133" i="12" a="1"/>
  <c r="M133" i="12" s="1"/>
  <c r="M132" i="12" a="1"/>
  <c r="M132" i="12" s="1"/>
  <c r="M134" i="12" a="1"/>
  <c r="M134" i="12" s="1"/>
  <c r="O49" i="5"/>
  <c r="C49" i="6"/>
  <c r="AC49" i="5" a="1"/>
  <c r="AC49" i="5" s="1"/>
  <c r="Y72" i="12"/>
  <c r="Y106" i="12"/>
  <c r="W242" i="12" a="1"/>
  <c r="W242" i="12" s="1"/>
  <c r="X242" i="12" a="1"/>
  <c r="X242" i="12" s="1"/>
  <c r="W124" i="12" a="1"/>
  <c r="W124" i="12" s="1"/>
  <c r="X124" i="12" a="1"/>
  <c r="X124" i="12" s="1"/>
  <c r="Y202" i="12"/>
  <c r="M83" i="12" a="1"/>
  <c r="M83" i="12" s="1"/>
  <c r="M84" i="12" a="1"/>
  <c r="M84" i="12" s="1"/>
  <c r="Y137" i="12"/>
  <c r="E135" i="6"/>
  <c r="D135" i="12"/>
  <c r="N135" i="12"/>
  <c r="O134" i="12" a="1"/>
  <c r="O134" i="12" s="1"/>
  <c r="O132" i="12" a="1"/>
  <c r="O132" i="12" s="1"/>
  <c r="N132" i="12" s="1"/>
  <c r="O133" i="12" a="1"/>
  <c r="O133" i="12" s="1"/>
  <c r="N133" i="12" s="1"/>
  <c r="AO16" i="12" a="1"/>
  <c r="AO16" i="12" s="1"/>
  <c r="Y16" i="12" s="1"/>
  <c r="Y18" i="12"/>
  <c r="AO17" i="12" a="1"/>
  <c r="AO17" i="12" s="1"/>
  <c r="Y17" i="12" s="1"/>
  <c r="G45" i="7"/>
  <c r="AC133" i="5" a="1"/>
  <c r="AC133" i="5" s="1"/>
  <c r="C133" i="6"/>
  <c r="O133" i="5"/>
  <c r="P64" i="9"/>
  <c r="AO64" i="9"/>
  <c r="Y176" i="8"/>
  <c r="Y243" i="12"/>
  <c r="E145" i="6"/>
  <c r="D145" i="12"/>
  <c r="C142" i="6"/>
  <c r="AC142" i="5" a="1"/>
  <c r="AC142" i="5" s="1"/>
  <c r="O142" i="5"/>
  <c r="C114" i="12"/>
  <c r="J114" i="12" a="1"/>
  <c r="J114" i="12" s="1"/>
  <c r="L114" i="12" a="1"/>
  <c r="L114" i="12" s="1"/>
  <c r="O62" i="12" a="1"/>
  <c r="O62" i="12" s="1"/>
  <c r="N63" i="12"/>
  <c r="O61" i="12" a="1"/>
  <c r="O61" i="12" s="1"/>
  <c r="N61" i="12" s="1"/>
  <c r="E214" i="6"/>
  <c r="D214" i="12"/>
  <c r="AC110" i="5" a="1"/>
  <c r="AC110" i="5" s="1"/>
  <c r="O110" i="5"/>
  <c r="C110" i="6"/>
  <c r="E210" i="6"/>
  <c r="D210" i="12"/>
  <c r="E137" i="6"/>
  <c r="D137" i="12"/>
  <c r="Y46" i="12"/>
  <c r="AO45" i="12" a="1"/>
  <c r="AO45" i="12" s="1"/>
  <c r="E28" i="6"/>
  <c r="D28" i="12"/>
  <c r="X229" i="12" a="1"/>
  <c r="X229" i="12" s="1"/>
  <c r="W229" i="12" a="1"/>
  <c r="W229" i="12" s="1"/>
  <c r="Y140" i="12"/>
  <c r="D143" i="12"/>
  <c r="E143" i="6"/>
  <c r="X127" i="12" a="1"/>
  <c r="X127" i="12" s="1"/>
  <c r="W127" i="12" a="1"/>
  <c r="W127" i="12" s="1"/>
  <c r="W158" i="12" a="1"/>
  <c r="W158" i="12" s="1"/>
  <c r="X158" i="12" a="1"/>
  <c r="X158" i="12" s="1"/>
  <c r="C62" i="12"/>
  <c r="J62" i="12" a="1"/>
  <c r="J62" i="12" s="1"/>
  <c r="L62" i="12" a="1"/>
  <c r="L62" i="12" s="1"/>
  <c r="K62" i="12" s="1"/>
  <c r="C17" i="6"/>
  <c r="AC17" i="5" a="1"/>
  <c r="AC17" i="5" s="1"/>
  <c r="O17" i="5"/>
  <c r="Y27" i="12"/>
  <c r="AO25" i="12" a="1"/>
  <c r="AO25" i="12" s="1"/>
  <c r="Y25" i="12" s="1"/>
  <c r="N231" i="12"/>
  <c r="AA16" i="8" a="1"/>
  <c r="AA16" i="8" s="1"/>
  <c r="AA14" i="8" s="1" a="1"/>
  <c r="AA14" i="8" s="1"/>
  <c r="AO16" i="8" a="1"/>
  <c r="AO16" i="8" s="1"/>
  <c r="AO14" i="8" s="1" a="1"/>
  <c r="AO14" i="8" s="1"/>
  <c r="AB16" i="8" a="1"/>
  <c r="AB16" i="8" s="1"/>
  <c r="AB14" i="8" s="1" a="1"/>
  <c r="AB14" i="8" s="1"/>
  <c r="AQ17" i="8" a="1"/>
  <c r="AQ17" i="8" s="1"/>
  <c r="AC16" i="8" a="1"/>
  <c r="AC16" i="8" s="1"/>
  <c r="AC14" i="8" s="1" a="1"/>
  <c r="AC14" i="8" s="1"/>
  <c r="AK16" i="8" a="1"/>
  <c r="AK16" i="8" s="1"/>
  <c r="AK14" i="8" s="1" a="1"/>
  <c r="AK14" i="8" s="1"/>
  <c r="AJ16" i="8" a="1"/>
  <c r="AJ16" i="8" s="1"/>
  <c r="AJ14" i="8" s="1" a="1"/>
  <c r="AJ14" i="8" s="1"/>
  <c r="H18" i="8" a="1"/>
  <c r="H18" i="8" s="1"/>
  <c r="AL16" i="8" a="1"/>
  <c r="AL16" i="8" s="1"/>
  <c r="AL14" i="8" s="1" a="1"/>
  <c r="AL14" i="8" s="1"/>
  <c r="H17" i="8" a="1"/>
  <c r="H17" i="8" s="1"/>
  <c r="J18" i="8" s="1"/>
  <c r="AO17" i="8" a="1"/>
  <c r="AO17" i="8" s="1"/>
  <c r="E16" i="8" a="1"/>
  <c r="E16" i="8" s="1"/>
  <c r="AI16" i="8" a="1"/>
  <c r="AI16" i="8" s="1"/>
  <c r="AI14" i="8" s="1" a="1"/>
  <c r="AI14" i="8" s="1"/>
  <c r="AG16" i="8" a="1"/>
  <c r="AG16" i="8" s="1"/>
  <c r="AG14" i="8" s="1" a="1"/>
  <c r="AG14" i="8" s="1"/>
  <c r="G17" i="8"/>
  <c r="Z16" i="8" a="1"/>
  <c r="Z16" i="8" s="1"/>
  <c r="Z14" i="8" s="1" a="1"/>
  <c r="Z14" i="8" s="1"/>
  <c r="AH16" i="8" a="1"/>
  <c r="AH16" i="8" s="1"/>
  <c r="AH14" i="8" s="1" a="1"/>
  <c r="AH14" i="8" s="1"/>
  <c r="AR16" i="8" a="1"/>
  <c r="AR16" i="8" s="1"/>
  <c r="AR14" i="8" s="1" a="1"/>
  <c r="AR14" i="8" s="1"/>
  <c r="AM16" i="8" a="1"/>
  <c r="AM16" i="8" s="1"/>
  <c r="AM14" i="8" s="1" a="1"/>
  <c r="AM14" i="8" s="1"/>
  <c r="W16" i="8" a="1"/>
  <c r="W16" i="8" s="1"/>
  <c r="W14" i="8" s="1" a="1"/>
  <c r="W14" i="8" s="1"/>
  <c r="AF16" i="8" a="1"/>
  <c r="AF16" i="8" s="1"/>
  <c r="AF14" i="8" s="1" a="1"/>
  <c r="AF14" i="8" s="1"/>
  <c r="AP17" i="8" a="1"/>
  <c r="AP17" i="8" s="1"/>
  <c r="X16" i="8" a="1"/>
  <c r="X16" i="8" s="1"/>
  <c r="X14" i="8" s="1" a="1"/>
  <c r="X14" i="8" s="1"/>
  <c r="AN16" i="8" a="1"/>
  <c r="AN16" i="8" s="1"/>
  <c r="AN14" i="8" s="1" a="1"/>
  <c r="AN14" i="8" s="1"/>
  <c r="U16" i="8" a="1"/>
  <c r="U16" i="8" s="1"/>
  <c r="AQ16" i="8" a="1"/>
  <c r="AQ16" i="8" s="1"/>
  <c r="AQ14" i="8" s="1" a="1"/>
  <c r="AQ14" i="8" s="1"/>
  <c r="AP16" i="8" a="1"/>
  <c r="AP16" i="8" s="1"/>
  <c r="AP14" i="8" s="1" a="1"/>
  <c r="AP14" i="8" s="1"/>
  <c r="AD16" i="8" a="1"/>
  <c r="AD16" i="8" s="1"/>
  <c r="AD14" i="8" s="1" a="1"/>
  <c r="AD14" i="8" s="1"/>
  <c r="AR17" i="8" a="1"/>
  <c r="AR17" i="8" s="1"/>
  <c r="AE16" i="8" a="1"/>
  <c r="AE16" i="8" s="1"/>
  <c r="AE14" i="8" s="1" a="1"/>
  <c r="AE14" i="8" s="1"/>
  <c r="Y16" i="8" a="1"/>
  <c r="Y16" i="8" s="1"/>
  <c r="Y14" i="8" s="1" a="1"/>
  <c r="Y14" i="8" s="1"/>
  <c r="V16" i="8" a="1"/>
  <c r="V16" i="8" s="1"/>
  <c r="V14" i="8" s="1" a="1"/>
  <c r="V14" i="8" s="1"/>
  <c r="AG17" i="8" a="1"/>
  <c r="AG17" i="8" s="1"/>
  <c r="Y17" i="8" a="1"/>
  <c r="Y17" i="8" s="1"/>
  <c r="AM17" i="8" a="1"/>
  <c r="AM17" i="8" s="1"/>
  <c r="AE17" i="8" a="1"/>
  <c r="AE17" i="8" s="1"/>
  <c r="AJ17" i="8" a="1"/>
  <c r="AJ17" i="8" s="1"/>
  <c r="AK17" i="8" a="1"/>
  <c r="AK17" i="8" s="1"/>
  <c r="AF17" i="8" a="1"/>
  <c r="AF17" i="8" s="1"/>
  <c r="Z17" i="8" a="1"/>
  <c r="Z17" i="8" s="1"/>
  <c r="AI17" i="8" a="1"/>
  <c r="AI17" i="8" s="1"/>
  <c r="U17" i="8" a="1"/>
  <c r="U17" i="8" s="1"/>
  <c r="AA17" i="8" a="1"/>
  <c r="AA17" i="8" s="1"/>
  <c r="E17" i="8" a="1"/>
  <c r="E17" i="8" s="1"/>
  <c r="AN17" i="8" a="1"/>
  <c r="AN17" i="8" s="1"/>
  <c r="X17" i="8" a="1"/>
  <c r="X17" i="8" s="1"/>
  <c r="AH17" i="8" a="1"/>
  <c r="AH17" i="8" s="1"/>
  <c r="AB17" i="8" a="1"/>
  <c r="AB17" i="8" s="1"/>
  <c r="AL17" i="8" a="1"/>
  <c r="AL17" i="8" s="1"/>
  <c r="W17" i="8" a="1"/>
  <c r="W17" i="8" s="1"/>
  <c r="AC17" i="8" a="1"/>
  <c r="AC17" i="8" s="1"/>
  <c r="V17" i="8" a="1"/>
  <c r="V17" i="8" s="1"/>
  <c r="AD17" i="8" a="1"/>
  <c r="AD17" i="8" s="1"/>
  <c r="X90" i="12" a="1"/>
  <c r="X90" i="12" s="1"/>
  <c r="W90" i="12" a="1"/>
  <c r="W90" i="12" s="1"/>
  <c r="N226" i="12"/>
  <c r="O225" i="12" a="1"/>
  <c r="O225" i="12" s="1"/>
  <c r="P22" i="11"/>
  <c r="C22" i="11"/>
  <c r="L22" i="13"/>
  <c r="E31" i="6"/>
  <c r="D31" i="12"/>
  <c r="D127" i="12"/>
  <c r="E127" i="6"/>
  <c r="E136" i="6"/>
  <c r="D136" i="12"/>
  <c r="M167" i="12" a="1"/>
  <c r="M167" i="12" s="1"/>
  <c r="M166" i="12" a="1"/>
  <c r="M166" i="12" s="1"/>
  <c r="T236" i="12"/>
  <c r="U236" i="12"/>
  <c r="V236" i="12" a="1"/>
  <c r="V236" i="12" s="1"/>
  <c r="M101" i="12" a="1"/>
  <c r="M101" i="12" s="1"/>
  <c r="M102" i="12" a="1"/>
  <c r="M102" i="12" s="1"/>
  <c r="C26" i="12"/>
  <c r="J26" i="12" a="1"/>
  <c r="J26" i="12" s="1"/>
  <c r="L26" i="12" a="1"/>
  <c r="L26" i="12" s="1"/>
  <c r="K26" i="12" s="1"/>
  <c r="AQ131" i="8" a="1"/>
  <c r="AQ131" i="8" s="1"/>
  <c r="AP131" i="8" a="1"/>
  <c r="AP131" i="8" s="1"/>
  <c r="G131" i="8"/>
  <c r="AR131" i="8" a="1"/>
  <c r="AR131" i="8" s="1"/>
  <c r="H132" i="8" a="1"/>
  <c r="H132" i="8" s="1"/>
  <c r="H131" i="8" a="1"/>
  <c r="H131" i="8" s="1"/>
  <c r="J132" i="8" s="1"/>
  <c r="AO131" i="8" a="1"/>
  <c r="AO131" i="8" s="1"/>
  <c r="AA131" i="8" a="1"/>
  <c r="AA131" i="8" s="1"/>
  <c r="AK131" i="8" a="1"/>
  <c r="AK131" i="8" s="1"/>
  <c r="AN131" i="8" a="1"/>
  <c r="AN131" i="8" s="1"/>
  <c r="X131" i="8" a="1"/>
  <c r="X131" i="8" s="1"/>
  <c r="AI131" i="8" a="1"/>
  <c r="AI131" i="8" s="1"/>
  <c r="V131" i="8" a="1"/>
  <c r="V131" i="8" s="1"/>
  <c r="AL131" i="8" a="1"/>
  <c r="AL131" i="8" s="1"/>
  <c r="U131" i="8" a="1"/>
  <c r="U131" i="8" s="1"/>
  <c r="AH131" i="8" a="1"/>
  <c r="AH131" i="8" s="1"/>
  <c r="AF131" i="8" a="1"/>
  <c r="AF131" i="8" s="1"/>
  <c r="W131" i="8" a="1"/>
  <c r="W131" i="8" s="1"/>
  <c r="Y131" i="8" a="1"/>
  <c r="Y131" i="8" s="1"/>
  <c r="AJ131" i="8" a="1"/>
  <c r="AJ131" i="8" s="1"/>
  <c r="AG131" i="8" a="1"/>
  <c r="AG131" i="8" s="1"/>
  <c r="AC131" i="8" a="1"/>
  <c r="AC131" i="8" s="1"/>
  <c r="Z131" i="8" a="1"/>
  <c r="Z131" i="8" s="1"/>
  <c r="AD131" i="8" a="1"/>
  <c r="AD131" i="8" s="1"/>
  <c r="AB131" i="8" a="1"/>
  <c r="AB131" i="8" s="1"/>
  <c r="AE131" i="8" a="1"/>
  <c r="AE131" i="8" s="1"/>
  <c r="AM131" i="8" a="1"/>
  <c r="AM131" i="8" s="1"/>
  <c r="E131" i="8" a="1"/>
  <c r="E131" i="8" s="1"/>
  <c r="AA17" i="5" a="1"/>
  <c r="AA17" i="5" s="1"/>
  <c r="C17" i="8" s="1"/>
  <c r="AA15" i="5"/>
  <c r="AA16" i="5" a="1"/>
  <c r="AA16" i="5" s="1"/>
  <c r="AB180" i="5" a="1"/>
  <c r="AB180" i="5" s="1"/>
  <c r="X222" i="12" a="1"/>
  <c r="X222" i="12" s="1"/>
  <c r="W222" i="12" a="1"/>
  <c r="W222" i="12" s="1"/>
  <c r="C73" i="12"/>
  <c r="J73" i="12" a="1"/>
  <c r="J73" i="12" s="1"/>
  <c r="L73" i="12" a="1"/>
  <c r="L73" i="12" s="1"/>
  <c r="K73" i="12" s="1"/>
  <c r="Y118" i="12"/>
  <c r="W68" i="12" a="1"/>
  <c r="W68" i="12" s="1"/>
  <c r="X68" i="12" a="1"/>
  <c r="X68" i="12" s="1"/>
  <c r="X155" i="12" a="1"/>
  <c r="X155" i="12" s="1"/>
  <c r="W155" i="12" a="1"/>
  <c r="W155" i="12" s="1"/>
  <c r="G43" i="7"/>
  <c r="D168" i="12"/>
  <c r="E168" i="6"/>
  <c r="D162" i="12"/>
  <c r="E162" i="6"/>
  <c r="N35" i="12"/>
  <c r="C50" i="6"/>
  <c r="AC50" i="5" a="1"/>
  <c r="AC50" i="5" s="1"/>
  <c r="O50" i="5"/>
  <c r="E195" i="6"/>
  <c r="D195" i="12"/>
  <c r="J134" i="12" a="1"/>
  <c r="J134" i="12" s="1"/>
  <c r="C134" i="12"/>
  <c r="D206" i="12"/>
  <c r="E206" i="6"/>
  <c r="C225" i="12"/>
  <c r="J225" i="12" a="1"/>
  <c r="J225" i="12" s="1"/>
  <c r="L225" i="12" a="1"/>
  <c r="L225" i="12" s="1"/>
  <c r="K225" i="12" s="1"/>
  <c r="Y205" i="12"/>
  <c r="AO203" i="12" a="1"/>
  <c r="AO203" i="12" s="1"/>
  <c r="Y203" i="12" s="1"/>
  <c r="AO204" i="12" a="1"/>
  <c r="AO204" i="12" s="1"/>
  <c r="N78" i="12"/>
  <c r="Y24" i="12"/>
  <c r="AO22" i="12" a="1"/>
  <c r="AO22" i="12" s="1"/>
  <c r="Y22" i="12" s="1"/>
  <c r="AO23" i="12" a="1"/>
  <c r="AO23" i="12" s="1"/>
  <c r="G39" i="7"/>
  <c r="X164" i="12" a="1"/>
  <c r="X164" i="12" s="1"/>
  <c r="W164" i="12" a="1"/>
  <c r="W164" i="12" s="1"/>
  <c r="AB45" i="5" a="1"/>
  <c r="AB45" i="5" s="1"/>
  <c r="BC64" i="9"/>
  <c r="AD64" i="9"/>
  <c r="AF176" i="8"/>
  <c r="AG72" i="9"/>
  <c r="H72" i="9"/>
  <c r="AG176" i="8"/>
  <c r="G68" i="8"/>
  <c r="AQ68" i="8" a="1"/>
  <c r="AQ68" i="8" s="1"/>
  <c r="H68" i="8" a="1"/>
  <c r="H68" i="8" s="1"/>
  <c r="J69" i="8" s="1"/>
  <c r="AR68" i="8" a="1"/>
  <c r="AR68" i="8" s="1"/>
  <c r="AP68" i="8" a="1"/>
  <c r="AP68" i="8" s="1"/>
  <c r="H69" i="8" a="1"/>
  <c r="H69" i="8" s="1"/>
  <c r="AO68" i="8" a="1"/>
  <c r="AO68" i="8" s="1"/>
  <c r="AB67" i="8" a="1"/>
  <c r="AB67" i="8" s="1"/>
  <c r="AB65" i="8" s="1" a="1"/>
  <c r="AB65" i="8" s="1"/>
  <c r="AK67" i="8" a="1"/>
  <c r="AK67" i="8" s="1"/>
  <c r="AK65" i="8" s="1" a="1"/>
  <c r="AK65" i="8" s="1"/>
  <c r="AQ67" i="8" a="1"/>
  <c r="AQ67" i="8" s="1"/>
  <c r="AQ65" i="8" s="1" a="1"/>
  <c r="AQ65" i="8" s="1"/>
  <c r="Z67" i="8" a="1"/>
  <c r="Z67" i="8" s="1"/>
  <c r="Z65" i="8" s="1" a="1"/>
  <c r="Z65" i="8" s="1"/>
  <c r="Y67" i="8" a="1"/>
  <c r="Y67" i="8" s="1"/>
  <c r="Y65" i="8" s="1" a="1"/>
  <c r="Y65" i="8" s="1"/>
  <c r="AH67" i="8" a="1"/>
  <c r="AH67" i="8" s="1"/>
  <c r="AH65" i="8" s="1" a="1"/>
  <c r="AH65" i="8" s="1"/>
  <c r="AP67" i="8" a="1"/>
  <c r="AP67" i="8" s="1"/>
  <c r="AP65" i="8" s="1" a="1"/>
  <c r="AP65" i="8" s="1"/>
  <c r="AN67" i="8" a="1"/>
  <c r="AN67" i="8" s="1"/>
  <c r="AN65" i="8" s="1" a="1"/>
  <c r="AN65" i="8" s="1"/>
  <c r="E67" i="8" a="1"/>
  <c r="E67" i="8" s="1"/>
  <c r="E65" i="8" s="1" a="1"/>
  <c r="E65" i="8" s="1"/>
  <c r="AR67" i="8" a="1"/>
  <c r="AR67" i="8" s="1"/>
  <c r="AR65" i="8" s="1" a="1"/>
  <c r="AR65" i="8" s="1"/>
  <c r="AC67" i="8" a="1"/>
  <c r="AC67" i="8" s="1"/>
  <c r="AC65" i="8" s="1" a="1"/>
  <c r="AC65" i="8" s="1"/>
  <c r="AM67" i="8" a="1"/>
  <c r="AM67" i="8" s="1"/>
  <c r="AM65" i="8" s="1" a="1"/>
  <c r="AM65" i="8" s="1"/>
  <c r="AD67" i="8" a="1"/>
  <c r="AD67" i="8" s="1"/>
  <c r="AD65" i="8" s="1" a="1"/>
  <c r="AD65" i="8" s="1"/>
  <c r="AE67" i="8" a="1"/>
  <c r="AE67" i="8" s="1"/>
  <c r="AE65" i="8" s="1" a="1"/>
  <c r="AE65" i="8" s="1"/>
  <c r="AJ67" i="8" a="1"/>
  <c r="AJ67" i="8" s="1"/>
  <c r="AJ65" i="8" s="1" a="1"/>
  <c r="AJ65" i="8" s="1"/>
  <c r="AI67" i="8" a="1"/>
  <c r="AI67" i="8" s="1"/>
  <c r="AI65" i="8" s="1" a="1"/>
  <c r="AI65" i="8" s="1"/>
  <c r="AG67" i="8" a="1"/>
  <c r="AG67" i="8" s="1"/>
  <c r="AG65" i="8" s="1" a="1"/>
  <c r="AG65" i="8" s="1"/>
  <c r="AA67" i="8" a="1"/>
  <c r="AA67" i="8" s="1"/>
  <c r="AA65" i="8" s="1" a="1"/>
  <c r="AA65" i="8" s="1"/>
  <c r="W68" i="8" a="1"/>
  <c r="W68" i="8" s="1"/>
  <c r="AN68" i="8" a="1"/>
  <c r="AN68" i="8" s="1"/>
  <c r="Y68" i="8" a="1"/>
  <c r="Y68" i="8" s="1"/>
  <c r="AK68" i="8" a="1"/>
  <c r="AK68" i="8" s="1"/>
  <c r="AL68" i="8" a="1"/>
  <c r="AL68" i="8" s="1"/>
  <c r="AG68" i="8" a="1"/>
  <c r="AG68" i="8" s="1"/>
  <c r="AC68" i="8" a="1"/>
  <c r="AC68" i="8" s="1"/>
  <c r="U68" i="8" a="1"/>
  <c r="U68" i="8" s="1"/>
  <c r="AE68" i="8" a="1"/>
  <c r="AE68" i="8" s="1"/>
  <c r="AD68" i="8" a="1"/>
  <c r="AD68" i="8" s="1"/>
  <c r="AA68" i="8" a="1"/>
  <c r="AA68" i="8" s="1"/>
  <c r="AH68" i="8" a="1"/>
  <c r="AH68" i="8" s="1"/>
  <c r="AI68" i="8" a="1"/>
  <c r="AI68" i="8" s="1"/>
  <c r="Z68" i="8" a="1"/>
  <c r="Z68" i="8" s="1"/>
  <c r="AF68" i="8" a="1"/>
  <c r="AF68" i="8" s="1"/>
  <c r="AB68" i="8" a="1"/>
  <c r="AB68" i="8" s="1"/>
  <c r="AJ68" i="8" a="1"/>
  <c r="AJ68" i="8" s="1"/>
  <c r="X68" i="8" a="1"/>
  <c r="X68" i="8" s="1"/>
  <c r="V68" i="8" a="1"/>
  <c r="V68" i="8" s="1"/>
  <c r="E68" i="8" a="1"/>
  <c r="E68" i="8" s="1"/>
  <c r="AM68" i="8" a="1"/>
  <c r="AM68" i="8" s="1"/>
  <c r="AA114" i="5" a="1"/>
  <c r="AA114" i="5" s="1"/>
  <c r="AA115" i="5" a="1"/>
  <c r="AA115" i="5" s="1"/>
  <c r="C95" i="8" s="1"/>
  <c r="N240" i="12"/>
  <c r="AC233" i="5" a="1"/>
  <c r="AC233" i="5" s="1"/>
  <c r="O233" i="5"/>
  <c r="C233" i="6"/>
  <c r="N190" i="12"/>
  <c r="D21" i="12"/>
  <c r="E21" i="6"/>
  <c r="G48" i="7"/>
  <c r="AO128" i="12" a="1"/>
  <c r="AO128" i="12" s="1"/>
  <c r="Y128" i="12" s="1"/>
  <c r="Y129" i="12"/>
  <c r="D64" i="12"/>
  <c r="E64" i="6"/>
  <c r="N183" i="12"/>
  <c r="N223" i="12"/>
  <c r="O110" i="12" a="1"/>
  <c r="O110" i="12" s="1"/>
  <c r="N111" i="12"/>
  <c r="N228" i="12"/>
  <c r="G140" i="8"/>
  <c r="AQ140" i="8" a="1"/>
  <c r="AQ140" i="8" s="1"/>
  <c r="AP140" i="8" a="1"/>
  <c r="AP140" i="8" s="1"/>
  <c r="AO140" i="8" a="1"/>
  <c r="AO140" i="8" s="1"/>
  <c r="H141" i="8" a="1"/>
  <c r="H141" i="8" s="1"/>
  <c r="H140" i="8" a="1"/>
  <c r="H140" i="8" s="1"/>
  <c r="J141" i="8" s="1"/>
  <c r="AR140" i="8" a="1"/>
  <c r="AR140" i="8" s="1"/>
  <c r="AM140" i="8" a="1"/>
  <c r="AM140" i="8" s="1"/>
  <c r="AE140" i="8" a="1"/>
  <c r="AE140" i="8" s="1"/>
  <c r="V140" i="8" a="1"/>
  <c r="V140" i="8" s="1"/>
  <c r="W140" i="8" a="1"/>
  <c r="W140" i="8" s="1"/>
  <c r="X140" i="8" a="1"/>
  <c r="X140" i="8" s="1"/>
  <c r="Z140" i="8" a="1"/>
  <c r="Z140" i="8" s="1"/>
  <c r="AK140" i="8" a="1"/>
  <c r="AK140" i="8" s="1"/>
  <c r="AJ140" i="8" a="1"/>
  <c r="AJ140" i="8" s="1"/>
  <c r="AB140" i="8" a="1"/>
  <c r="AB140" i="8" s="1"/>
  <c r="AD140" i="8" a="1"/>
  <c r="AD140" i="8" s="1"/>
  <c r="AG140" i="8" a="1"/>
  <c r="AG140" i="8" s="1"/>
  <c r="Y140" i="8" a="1"/>
  <c r="Y140" i="8" s="1"/>
  <c r="AL140" i="8" a="1"/>
  <c r="AL140" i="8" s="1"/>
  <c r="AF140" i="8" a="1"/>
  <c r="AF140" i="8" s="1"/>
  <c r="AH140" i="8" a="1"/>
  <c r="AH140" i="8" s="1"/>
  <c r="U140" i="8" a="1"/>
  <c r="U140" i="8" s="1"/>
  <c r="AN140" i="8" a="1"/>
  <c r="AN140" i="8" s="1"/>
  <c r="E140" i="8" a="1"/>
  <c r="E140" i="8" s="1"/>
  <c r="AI140" i="8" a="1"/>
  <c r="AI140" i="8" s="1"/>
  <c r="AA140" i="8" a="1"/>
  <c r="AA140" i="8" s="1"/>
  <c r="AC140" i="8" a="1"/>
  <c r="AC140" i="8" s="1"/>
  <c r="Y170" i="12"/>
  <c r="N138" i="12"/>
  <c r="N112" i="12"/>
  <c r="Y199" i="12"/>
  <c r="Y47" i="12"/>
  <c r="D186" i="12"/>
  <c r="E186" i="6"/>
  <c r="E212" i="6"/>
  <c r="D212" i="12"/>
  <c r="E219" i="6"/>
  <c r="D219" i="12"/>
  <c r="Y59" i="12"/>
  <c r="N119" i="12"/>
  <c r="E232" i="6"/>
  <c r="D232" i="12"/>
  <c r="Y135" i="12"/>
  <c r="AO133" i="12" a="1"/>
  <c r="AO133" i="12" s="1"/>
  <c r="AO134" i="12" a="1"/>
  <c r="AO134" i="12" s="1"/>
  <c r="AO132" i="12" a="1"/>
  <c r="AO132" i="12" s="1"/>
  <c r="H41" i="8" a="1"/>
  <c r="H41" i="8" s="1"/>
  <c r="J42" i="8" s="1"/>
  <c r="G41" i="8"/>
  <c r="H42" i="8" a="1"/>
  <c r="H42" i="8" s="1"/>
  <c r="J25" i="12" a="1"/>
  <c r="J25" i="12" s="1"/>
  <c r="C25" i="12"/>
  <c r="W190" i="12" a="1"/>
  <c r="W190" i="12" s="1"/>
  <c r="X190" i="12" a="1"/>
  <c r="X190" i="12" s="1"/>
  <c r="N150" i="12"/>
  <c r="AO188" i="12" a="1"/>
  <c r="AO188" i="12" s="1"/>
  <c r="Y188" i="12" s="1"/>
  <c r="Y189" i="12"/>
  <c r="AO66" i="12" a="1"/>
  <c r="AO66" i="12" s="1"/>
  <c r="Y67" i="12"/>
  <c r="Y235" i="12"/>
  <c r="AO234" i="12" a="1"/>
  <c r="AO234" i="12" s="1"/>
  <c r="Y234" i="12" s="1"/>
  <c r="AO233" i="12" a="1"/>
  <c r="AO233" i="12" s="1"/>
  <c r="BA64" i="9"/>
  <c r="AB64" i="9"/>
  <c r="AE176" i="8"/>
  <c r="N29" i="12"/>
  <c r="AC175" i="5" a="1"/>
  <c r="AC175" i="5" s="1"/>
  <c r="O175" i="5"/>
  <c r="C175" i="6"/>
  <c r="D108" i="12"/>
  <c r="E108" i="6"/>
  <c r="E130" i="6"/>
  <c r="D130" i="12"/>
  <c r="D119" i="12"/>
  <c r="E119" i="6"/>
  <c r="Y227" i="12"/>
  <c r="C125" i="12"/>
  <c r="J125" i="12" a="1"/>
  <c r="J125" i="12" s="1"/>
  <c r="L125" i="12" a="1"/>
  <c r="L125" i="12" s="1"/>
  <c r="K125" i="12" s="1"/>
  <c r="AB76" i="5" a="1"/>
  <c r="AB76" i="5" s="1"/>
  <c r="D56" i="8" s="1"/>
  <c r="AB75" i="5" a="1"/>
  <c r="AB75" i="5" s="1"/>
  <c r="N179" i="12"/>
  <c r="E205" i="6"/>
  <c r="D205" i="12"/>
  <c r="X230" i="12" a="1"/>
  <c r="X230" i="12" s="1"/>
  <c r="W230" i="12" a="1"/>
  <c r="W230" i="12" s="1"/>
  <c r="P72" i="9"/>
  <c r="AO72" i="9"/>
  <c r="AK176" i="8"/>
  <c r="Y208" i="12"/>
  <c r="Y174" i="12"/>
  <c r="E34" i="6"/>
  <c r="D34" i="12"/>
  <c r="J16" i="12" a="1"/>
  <c r="J16" i="12" s="1"/>
  <c r="C16" i="12"/>
  <c r="L16" i="12" a="1"/>
  <c r="L16" i="12" s="1"/>
  <c r="D198" i="12"/>
  <c r="E198" i="6"/>
  <c r="E191" i="6"/>
  <c r="D191" i="12"/>
  <c r="AO156" i="12" a="1"/>
  <c r="AO156" i="12" s="1"/>
  <c r="Y156" i="12" s="1"/>
  <c r="Y157" i="12"/>
  <c r="J66" i="12" a="1"/>
  <c r="J66" i="12" s="1"/>
  <c r="C66" i="12"/>
  <c r="Y86" i="12"/>
  <c r="O234" i="12" a="1"/>
  <c r="O234" i="12" s="1"/>
  <c r="N234" i="12" s="1"/>
  <c r="N235" i="12"/>
  <c r="O233" i="12" a="1"/>
  <c r="O233" i="12" s="1"/>
  <c r="N233" i="12" s="1"/>
  <c r="G40" i="7"/>
  <c r="AB128" i="5" a="1"/>
  <c r="AB128" i="5" s="1"/>
  <c r="AC167" i="5" a="1"/>
  <c r="AC167" i="5" s="1"/>
  <c r="O167" i="5"/>
  <c r="C167" i="6"/>
  <c r="J128" i="12" a="1"/>
  <c r="J128" i="12" s="1"/>
  <c r="C128" i="12"/>
  <c r="L128" i="12" a="1"/>
  <c r="L128" i="12" s="1"/>
  <c r="K128" i="12" s="1"/>
  <c r="O166" i="5"/>
  <c r="AC166" i="5" a="1"/>
  <c r="AC166" i="5" s="1"/>
  <c r="C166" i="6"/>
  <c r="W178" i="12" a="1"/>
  <c r="W178" i="12" s="1"/>
  <c r="X178" i="12" a="1"/>
  <c r="X178" i="12" s="1"/>
  <c r="D59" i="12"/>
  <c r="E59" i="6"/>
  <c r="N117" i="12"/>
  <c r="Y219" i="12"/>
  <c r="AA36" i="5" a="1"/>
  <c r="AA36" i="5" s="1"/>
  <c r="C35" i="8" s="1"/>
  <c r="Y60" i="12"/>
  <c r="C36" i="6"/>
  <c r="AC36" i="5" a="1"/>
  <c r="AC36" i="5" s="1"/>
  <c r="O36" i="5"/>
  <c r="G107" i="8"/>
  <c r="H108" i="8" a="1"/>
  <c r="H108" i="8" s="1"/>
  <c r="H107" i="8" a="1"/>
  <c r="H107" i="8" s="1"/>
  <c r="J108" i="8" s="1"/>
  <c r="V106" i="8" a="1"/>
  <c r="V106" i="8" s="1"/>
  <c r="V104" i="8" s="1" a="1"/>
  <c r="V104" i="8" s="1"/>
  <c r="AP106" i="8" a="1"/>
  <c r="AP106" i="8" s="1"/>
  <c r="AP104" i="8" s="1" a="1"/>
  <c r="AP104" i="8" s="1"/>
  <c r="AA106" i="8" a="1"/>
  <c r="AA106" i="8" s="1"/>
  <c r="AA104" i="8" s="1" a="1"/>
  <c r="AA104" i="8" s="1"/>
  <c r="Z106" i="8" a="1"/>
  <c r="Z106" i="8" s="1"/>
  <c r="Z104" i="8" s="1" a="1"/>
  <c r="Z104" i="8" s="1"/>
  <c r="AE106" i="8" a="1"/>
  <c r="AE106" i="8" s="1"/>
  <c r="AE104" i="8" s="1" a="1"/>
  <c r="AE104" i="8" s="1"/>
  <c r="AK106" i="8" a="1"/>
  <c r="AK106" i="8" s="1"/>
  <c r="AK104" i="8" s="1" a="1"/>
  <c r="AK104" i="8" s="1"/>
  <c r="AR106" i="8" a="1"/>
  <c r="AR106" i="8" s="1"/>
  <c r="AR104" i="8" s="1" a="1"/>
  <c r="AR104" i="8" s="1"/>
  <c r="AJ106" i="8" a="1"/>
  <c r="AJ106" i="8" s="1"/>
  <c r="AJ104" i="8" s="1" a="1"/>
  <c r="AJ104" i="8" s="1"/>
  <c r="AI106" i="8" a="1"/>
  <c r="AI106" i="8" s="1"/>
  <c r="AI104" i="8" s="1" a="1"/>
  <c r="AI104" i="8" s="1"/>
  <c r="H47" i="8" a="1"/>
  <c r="H47" i="8" s="1"/>
  <c r="J48" i="8" s="1"/>
  <c r="H48" i="8" a="1"/>
  <c r="H48" i="8" s="1"/>
  <c r="G47" i="8"/>
  <c r="O99" i="5"/>
  <c r="C99" i="6"/>
  <c r="AC99" i="5" a="1"/>
  <c r="AC99" i="5" s="1"/>
  <c r="V56" i="12" a="1"/>
  <c r="V56" i="12" s="1"/>
  <c r="U56" i="12"/>
  <c r="T56" i="12"/>
  <c r="Y159" i="12"/>
  <c r="Y89" i="12"/>
  <c r="C115" i="12"/>
  <c r="J115" i="12" a="1"/>
  <c r="J115" i="12" s="1"/>
  <c r="L115" i="12" a="1"/>
  <c r="L115" i="12" s="1"/>
  <c r="K115" i="12" s="1"/>
  <c r="C175" i="12"/>
  <c r="J175" i="12" a="1"/>
  <c r="J175" i="12" s="1"/>
  <c r="L175" i="12" a="1"/>
  <c r="L175" i="12" s="1"/>
  <c r="K175" i="12" s="1"/>
  <c r="O83" i="12" a="1"/>
  <c r="O83" i="12" s="1"/>
  <c r="N83" i="12" s="1"/>
  <c r="O84" i="12" a="1"/>
  <c r="O84" i="12" s="1"/>
  <c r="N84" i="12" s="1"/>
  <c r="N85" i="12"/>
  <c r="N37" i="12"/>
  <c r="O36" i="12" a="1"/>
  <c r="O36" i="12" s="1"/>
  <c r="AO26" i="12" a="1"/>
  <c r="AO26" i="12" s="1"/>
  <c r="Y26" i="12" s="1"/>
  <c r="Y34" i="12"/>
  <c r="M61" i="12" a="1"/>
  <c r="M61" i="12" s="1"/>
  <c r="M62" i="12" a="1"/>
  <c r="M62" i="12" s="1"/>
  <c r="X98" i="12" a="1"/>
  <c r="X98" i="12" s="1"/>
  <c r="W98" i="12" a="1"/>
  <c r="W98" i="12" s="1"/>
  <c r="N187" i="12"/>
  <c r="AA132" i="5" a="1"/>
  <c r="AA132" i="5" s="1"/>
  <c r="AA133" i="5" a="1"/>
  <c r="AA133" i="5" s="1"/>
  <c r="AA134" i="5" a="1"/>
  <c r="AA134" i="5" s="1"/>
  <c r="C110" i="8" s="1"/>
  <c r="D111" i="12"/>
  <c r="E111" i="6"/>
  <c r="E53" i="6"/>
  <c r="D53" i="12"/>
  <c r="O62" i="5"/>
  <c r="C62" i="6"/>
  <c r="AC62" i="5" a="1"/>
  <c r="AC62" i="5" s="1"/>
  <c r="AA49" i="5" a="1"/>
  <c r="AA49" i="5" s="1"/>
  <c r="AA50" i="5" a="1"/>
  <c r="AA50" i="5" s="1"/>
  <c r="C44" i="8" s="1"/>
  <c r="Y184" i="12"/>
  <c r="Y95" i="12"/>
  <c r="AO94" i="12" a="1"/>
  <c r="AO94" i="12" s="1"/>
  <c r="J17" i="12" a="1"/>
  <c r="J17" i="12" s="1"/>
  <c r="C17" i="12"/>
  <c r="L17" i="12" a="1"/>
  <c r="L17" i="12" s="1"/>
  <c r="K17" i="12" s="1"/>
  <c r="N211" i="12"/>
  <c r="Y146" i="12"/>
  <c r="N90" i="12"/>
  <c r="M225" i="12" a="1"/>
  <c r="M225" i="12" s="1"/>
  <c r="O16" i="5"/>
  <c r="AC16" i="5" a="1"/>
  <c r="AC16" i="5" s="1"/>
  <c r="C16" i="6"/>
  <c r="C14" i="6"/>
  <c r="Y20" i="12"/>
  <c r="AO19" i="12" a="1"/>
  <c r="AO19" i="12" s="1"/>
  <c r="Y19" i="12" s="1"/>
  <c r="AA102" i="5" a="1"/>
  <c r="AA102" i="5" s="1"/>
  <c r="C83" i="8" s="1"/>
  <c r="AA101" i="5" a="1"/>
  <c r="AA101" i="5" s="1"/>
  <c r="N189" i="12"/>
  <c r="O188" i="12" a="1"/>
  <c r="O188" i="12" s="1"/>
  <c r="N188" i="12" s="1"/>
  <c r="O102" i="12" a="1"/>
  <c r="O102" i="12" s="1"/>
  <c r="N102" i="12" s="1"/>
  <c r="O101" i="12" a="1"/>
  <c r="O101" i="12" s="1"/>
  <c r="N101" i="12" s="1"/>
  <c r="N103" i="12"/>
  <c r="L188" i="12" a="1"/>
  <c r="L188" i="12" s="1"/>
  <c r="K188" i="12" s="1"/>
  <c r="J188" i="12" a="1"/>
  <c r="J188" i="12" s="1"/>
  <c r="C188" i="12"/>
  <c r="D123" i="12"/>
  <c r="E123" i="6"/>
  <c r="D118" i="12"/>
  <c r="E118" i="6"/>
  <c r="AB17" i="5" a="1"/>
  <c r="AB17" i="5" s="1"/>
  <c r="D17" i="8" s="1"/>
  <c r="AB16" i="5" a="1"/>
  <c r="AB16" i="5" s="1"/>
  <c r="AB15" i="5"/>
  <c r="N67" i="12"/>
  <c r="O66" i="12" a="1"/>
  <c r="O66" i="12" s="1"/>
  <c r="Y151" i="12"/>
  <c r="D144" i="12"/>
  <c r="E144" i="6"/>
  <c r="Y65" i="12"/>
  <c r="O107" i="5"/>
  <c r="C107" i="6"/>
  <c r="AC107" i="5" a="1"/>
  <c r="AC107" i="5" s="1"/>
  <c r="N155" i="12"/>
  <c r="C83" i="12"/>
  <c r="J83" i="12" a="1"/>
  <c r="J83" i="12" s="1"/>
  <c r="L83" i="12" a="1"/>
  <c r="L83" i="12" s="1"/>
  <c r="K83" i="12" s="1"/>
  <c r="N123" i="12"/>
  <c r="N130" i="12"/>
  <c r="D215" i="12"/>
  <c r="E215" i="6"/>
  <c r="E89" i="6"/>
  <c r="D89" i="12"/>
  <c r="Y35" i="12"/>
  <c r="J50" i="12" a="1"/>
  <c r="J50" i="12" s="1"/>
  <c r="C50" i="12"/>
  <c r="L50" i="12" a="1"/>
  <c r="L50" i="12" s="1"/>
  <c r="K50" i="12" s="1"/>
  <c r="Y120" i="12"/>
  <c r="N171" i="12"/>
  <c r="Y122" i="12"/>
  <c r="D48" i="12"/>
  <c r="E48" i="6"/>
  <c r="G30" i="7"/>
  <c r="N206" i="12"/>
  <c r="G49" i="7"/>
  <c r="N43" i="12"/>
  <c r="O22" i="12" a="1"/>
  <c r="O22" i="12" s="1"/>
  <c r="N22" i="12" s="1"/>
  <c r="N24" i="12"/>
  <c r="O23" i="12" a="1"/>
  <c r="O23" i="12" s="1"/>
  <c r="N23" i="12" s="1"/>
  <c r="Y213" i="12"/>
  <c r="W163" i="12" a="1"/>
  <c r="W163" i="12" s="1"/>
  <c r="X163" i="12" a="1"/>
  <c r="X163" i="12" s="1"/>
  <c r="R72" i="9"/>
  <c r="AQ72" i="9"/>
  <c r="AL176" i="8"/>
  <c r="AG64" i="9"/>
  <c r="H64" i="9"/>
  <c r="U176" i="8"/>
  <c r="AC84" i="5" a="1"/>
  <c r="AC84" i="5" s="1"/>
  <c r="O84" i="5"/>
  <c r="C84" i="6"/>
  <c r="AB114" i="5" a="1"/>
  <c r="AB114" i="5" s="1"/>
  <c r="AB115" i="5" a="1"/>
  <c r="AB115" i="5" s="1"/>
  <c r="D95" i="8" s="1"/>
  <c r="G146" i="8"/>
  <c r="H147" i="8" a="1"/>
  <c r="H147" i="8" s="1"/>
  <c r="H146" i="8" a="1"/>
  <c r="H146" i="8" s="1"/>
  <c r="J147" i="8" s="1"/>
  <c r="J94" i="12" a="1"/>
  <c r="J94" i="12" s="1"/>
  <c r="L94" i="12" a="1"/>
  <c r="L94" i="12" s="1"/>
  <c r="C94" i="12"/>
  <c r="V121" i="12" a="1"/>
  <c r="V121" i="12" s="1"/>
  <c r="T121" i="12"/>
  <c r="U121" i="12"/>
  <c r="W193" i="12" a="1"/>
  <c r="W193" i="12" s="1"/>
  <c r="X193" i="12" a="1"/>
  <c r="X193" i="12" s="1"/>
  <c r="E33" i="6"/>
  <c r="D33" i="12"/>
  <c r="X183" i="12" a="1"/>
  <c r="X183" i="12" s="1"/>
  <c r="W183" i="12" a="1"/>
  <c r="W183" i="12" s="1"/>
  <c r="M110" i="12" a="1"/>
  <c r="M110" i="12" s="1"/>
  <c r="J217" i="12" a="1"/>
  <c r="J217" i="12" s="1"/>
  <c r="C217" i="12"/>
  <c r="L217" i="12" a="1"/>
  <c r="L217" i="12" s="1"/>
  <c r="Y207" i="12"/>
  <c r="N214" i="12"/>
  <c r="C19" i="6"/>
  <c r="AC19" i="5" a="1"/>
  <c r="AC19" i="5" s="1"/>
  <c r="O19" i="5"/>
  <c r="C101" i="6"/>
  <c r="O101" i="5"/>
  <c r="AC101" i="5" a="1"/>
  <c r="AC101" i="5" s="1"/>
  <c r="N59" i="12"/>
  <c r="AA217" i="5" a="1"/>
  <c r="AA217" i="5" s="1"/>
  <c r="C140" i="8" s="1"/>
  <c r="Y119" i="12"/>
  <c r="G104" i="8"/>
  <c r="H104" i="8" a="1"/>
  <c r="H104" i="8" s="1"/>
  <c r="J105" i="8" s="1"/>
  <c r="H105" i="8" a="1"/>
  <c r="H105" i="8" s="1"/>
  <c r="H14" i="8" a="1"/>
  <c r="H14" i="8" s="1"/>
  <c r="J15" i="8" s="1"/>
  <c r="H15" i="8" a="1"/>
  <c r="H15" i="8" s="1"/>
  <c r="G14" i="8"/>
  <c r="R165" i="8"/>
  <c r="I165" i="8" s="1"/>
  <c r="AA26" i="5" a="1"/>
  <c r="AA26" i="5" s="1"/>
  <c r="C32" i="8" s="1"/>
  <c r="AA25" i="5" a="1"/>
  <c r="AA25" i="5" s="1"/>
  <c r="X192" i="12" a="1"/>
  <c r="X192" i="12" s="1"/>
  <c r="W192" i="12" a="1"/>
  <c r="W192" i="12" s="1"/>
  <c r="E192" i="6"/>
  <c r="D192" i="12"/>
  <c r="N100" i="12"/>
  <c r="O99" i="12" a="1"/>
  <c r="O99" i="12" s="1"/>
  <c r="N99" i="12" s="1"/>
  <c r="M175" i="12" a="1"/>
  <c r="M175" i="12" s="1"/>
  <c r="J84" i="12" a="1"/>
  <c r="J84" i="12" s="1"/>
  <c r="C84" i="12"/>
  <c r="L84" i="12" a="1"/>
  <c r="L84" i="12" s="1"/>
  <c r="AC91" i="5" a="1"/>
  <c r="AC91" i="5" s="1"/>
  <c r="C91" i="6"/>
  <c r="O91" i="5"/>
  <c r="X71" i="12" a="1"/>
  <c r="X71" i="12" s="1"/>
  <c r="W71" i="12" a="1"/>
  <c r="W71" i="12" s="1"/>
  <c r="D201" i="12"/>
  <c r="E201" i="6"/>
  <c r="E224" i="6"/>
  <c r="D224" i="12"/>
  <c r="N106" i="12"/>
  <c r="O175" i="12" a="1"/>
  <c r="O175" i="12" s="1"/>
  <c r="N175" i="12" s="1"/>
  <c r="N176" i="12"/>
  <c r="Y55" i="12"/>
  <c r="C45" i="6"/>
  <c r="O45" i="5"/>
  <c r="AC45" i="5" a="1"/>
  <c r="AC45" i="5" s="1"/>
  <c r="M217" i="12" a="1"/>
  <c r="M217" i="12" s="1"/>
  <c r="W38" i="12" a="1"/>
  <c r="W38" i="12" s="1"/>
  <c r="X38" i="12" a="1"/>
  <c r="X38" i="12" s="1"/>
  <c r="W87" i="12" a="1"/>
  <c r="W87" i="12" s="1"/>
  <c r="X87" i="12" a="1"/>
  <c r="X87" i="12" s="1"/>
  <c r="C14" i="11"/>
  <c r="L14" i="13"/>
  <c r="P14" i="11"/>
  <c r="O24" i="11"/>
  <c r="W162" i="12" a="1"/>
  <c r="W162" i="12" s="1"/>
  <c r="X162" i="12" a="1"/>
  <c r="X162" i="12" s="1"/>
  <c r="C25" i="6"/>
  <c r="AC25" i="5" a="1"/>
  <c r="AC25" i="5" s="1"/>
  <c r="O25" i="5"/>
  <c r="N92" i="12"/>
  <c r="O91" i="12" a="1"/>
  <c r="O91" i="12" s="1"/>
  <c r="N91" i="12" s="1"/>
  <c r="AC234" i="5" a="1"/>
  <c r="AC234" i="5" s="1"/>
  <c r="C234" i="6"/>
  <c r="O234" i="5"/>
  <c r="H135" i="8" a="1"/>
  <c r="H135" i="8" s="1"/>
  <c r="H134" i="8" a="1"/>
  <c r="H134" i="8" s="1"/>
  <c r="J135" i="8" s="1"/>
  <c r="G134" i="8"/>
  <c r="D71" i="8"/>
  <c r="AR71" i="8" a="1"/>
  <c r="AR71" i="8" s="1"/>
  <c r="H72" i="8" a="1"/>
  <c r="H72" i="8" s="1"/>
  <c r="H71" i="8" a="1"/>
  <c r="H71" i="8" s="1"/>
  <c r="J72" i="8" s="1"/>
  <c r="AO71" i="8" a="1"/>
  <c r="AO71" i="8" s="1"/>
  <c r="AP71" i="8" a="1"/>
  <c r="AP71" i="8" s="1"/>
  <c r="AQ71" i="8" a="1"/>
  <c r="AQ71" i="8" s="1"/>
  <c r="G71" i="8"/>
  <c r="AM71" i="8" a="1"/>
  <c r="AM71" i="8" s="1"/>
  <c r="AI71" i="8" a="1"/>
  <c r="AI71" i="8" s="1"/>
  <c r="Y71" i="8" a="1"/>
  <c r="Y71" i="8" s="1"/>
  <c r="AD71" i="8" a="1"/>
  <c r="AD71" i="8" s="1"/>
  <c r="W71" i="8" a="1"/>
  <c r="W71" i="8" s="1"/>
  <c r="AH71" i="8" a="1"/>
  <c r="AH71" i="8" s="1"/>
  <c r="X71" i="8" a="1"/>
  <c r="X71" i="8" s="1"/>
  <c r="AN71" i="8" a="1"/>
  <c r="AN71" i="8" s="1"/>
  <c r="Z71" i="8" a="1"/>
  <c r="Z71" i="8" s="1"/>
  <c r="AK71" i="8" a="1"/>
  <c r="AK71" i="8" s="1"/>
  <c r="AE71" i="8" a="1"/>
  <c r="AE71" i="8" s="1"/>
  <c r="V71" i="8" a="1"/>
  <c r="V71" i="8" s="1"/>
  <c r="AC71" i="8" a="1"/>
  <c r="AC71" i="8" s="1"/>
  <c r="AL71" i="8" a="1"/>
  <c r="AL71" i="8" s="1"/>
  <c r="AA71" i="8" a="1"/>
  <c r="AA71" i="8" s="1"/>
  <c r="AF71" i="8" a="1"/>
  <c r="AF71" i="8" s="1"/>
  <c r="U71" i="8" a="1"/>
  <c r="U71" i="8" s="1"/>
  <c r="AJ71" i="8" a="1"/>
  <c r="AJ71" i="8" s="1"/>
  <c r="AG71" i="8" a="1"/>
  <c r="AG71" i="8" s="1"/>
  <c r="E71" i="8" a="1"/>
  <c r="E71" i="8" s="1"/>
  <c r="AB71" i="8" a="1"/>
  <c r="AB71" i="8" s="1"/>
  <c r="E79" i="6"/>
  <c r="D79" i="12"/>
  <c r="W52" i="12" a="1"/>
  <c r="W52" i="12" s="1"/>
  <c r="X52" i="12" a="1"/>
  <c r="X52" i="12" s="1"/>
  <c r="Y113" i="12"/>
  <c r="X210" i="12" a="1"/>
  <c r="X210" i="12" s="1"/>
  <c r="W210" i="12" a="1"/>
  <c r="W210" i="12" s="1"/>
  <c r="O107" i="12" a="1"/>
  <c r="O107" i="12" s="1"/>
  <c r="N107" i="12" s="1"/>
  <c r="N108" i="12"/>
  <c r="G31" i="7"/>
  <c r="Y191" i="12"/>
  <c r="AB50" i="5" a="1"/>
  <c r="AB50" i="5" s="1"/>
  <c r="D44" i="8" s="1"/>
  <c r="AB49" i="5" a="1"/>
  <c r="AB49" i="5" s="1"/>
  <c r="N95" i="12"/>
  <c r="O94" i="12" a="1"/>
  <c r="O94" i="12" s="1"/>
  <c r="N94" i="12" s="1"/>
  <c r="C86" i="8"/>
  <c r="D67" i="12"/>
  <c r="E67" i="6"/>
  <c r="N146" i="12"/>
  <c r="N11" i="6"/>
  <c r="I12" i="6"/>
  <c r="F11" i="6"/>
  <c r="Y28" i="12"/>
  <c r="E46" i="6"/>
  <c r="D46" i="12"/>
  <c r="J132" i="12" a="1"/>
  <c r="J132" i="12" s="1"/>
  <c r="C132" i="12"/>
  <c r="L132" i="12" a="1"/>
  <c r="L132" i="12" s="1"/>
  <c r="N53" i="12"/>
  <c r="Y194" i="12"/>
  <c r="Y196" i="12"/>
  <c r="Y150" i="12"/>
  <c r="AB102" i="5" a="1"/>
  <c r="AB102" i="5" s="1"/>
  <c r="D77" i="8" s="1"/>
  <c r="AB101" i="5" a="1"/>
  <c r="AB101" i="5" s="1"/>
  <c r="D220" i="12"/>
  <c r="E220" i="6"/>
  <c r="G52" i="7"/>
  <c r="Y173" i="12"/>
  <c r="N31" i="12"/>
  <c r="D181" i="12"/>
  <c r="E181" i="6"/>
  <c r="M66" i="12" a="1"/>
  <c r="M66" i="12" s="1"/>
  <c r="M142" i="12" a="1"/>
  <c r="M142" i="12" s="1"/>
  <c r="G26" i="7"/>
  <c r="Y51" i="12"/>
  <c r="AO49" i="12" a="1"/>
  <c r="AO49" i="12" s="1"/>
  <c r="Y49" i="12" s="1"/>
  <c r="AO50" i="12" a="1"/>
  <c r="AO50" i="12" s="1"/>
  <c r="Y50" i="12" s="1"/>
  <c r="C107" i="12"/>
  <c r="J107" i="12" a="1"/>
  <c r="J107" i="12" s="1"/>
  <c r="L107" i="12" a="1"/>
  <c r="L107" i="12" s="1"/>
  <c r="O22" i="5"/>
  <c r="AC22" i="5" a="1"/>
  <c r="AC22" i="5" s="1"/>
  <c r="C22" i="6"/>
  <c r="AA66" i="5" a="1"/>
  <c r="AA66" i="5" s="1"/>
  <c r="C53" i="8" s="1"/>
  <c r="G17" i="7"/>
  <c r="H65" i="8" a="1"/>
  <c r="H65" i="8" s="1"/>
  <c r="J66" i="8" s="1"/>
  <c r="H66" i="8" a="1"/>
  <c r="H66" i="8" s="1"/>
  <c r="G65" i="8"/>
  <c r="P17" i="11"/>
  <c r="C17" i="11"/>
  <c r="L17" i="13"/>
  <c r="Y44" i="12"/>
  <c r="W177" i="12" a="1"/>
  <c r="W177" i="12" s="1"/>
  <c r="X177" i="12" a="1"/>
  <c r="X177" i="12" s="1"/>
  <c r="N224" i="12"/>
  <c r="AA43" i="8" a="1"/>
  <c r="AA43" i="8" s="1"/>
  <c r="AA41" i="8" s="1" a="1"/>
  <c r="AA41" i="8" s="1"/>
  <c r="H45" i="8" a="1"/>
  <c r="H45" i="8" s="1"/>
  <c r="H44" i="8" a="1"/>
  <c r="H44" i="8" s="1"/>
  <c r="J45" i="8" s="1"/>
  <c r="Z43" i="8" a="1"/>
  <c r="Z43" i="8" s="1"/>
  <c r="Z41" i="8" s="1" a="1"/>
  <c r="Z41" i="8" s="1"/>
  <c r="AB43" i="8" a="1"/>
  <c r="AB43" i="8" s="1"/>
  <c r="AB41" i="8" s="1" a="1"/>
  <c r="AB41" i="8" s="1"/>
  <c r="AO44" i="8" a="1"/>
  <c r="AO44" i="8" s="1"/>
  <c r="V43" i="8" a="1"/>
  <c r="V43" i="8" s="1"/>
  <c r="V41" i="8" s="1" a="1"/>
  <c r="V41" i="8" s="1"/>
  <c r="AH43" i="8" a="1"/>
  <c r="AH43" i="8" s="1"/>
  <c r="AH41" i="8" s="1" a="1"/>
  <c r="AH41" i="8" s="1"/>
  <c r="AQ43" i="8" a="1"/>
  <c r="AQ43" i="8" s="1"/>
  <c r="AQ41" i="8" s="1" a="1"/>
  <c r="AQ41" i="8" s="1"/>
  <c r="AD43" i="8" a="1"/>
  <c r="AD43" i="8" s="1"/>
  <c r="AD41" i="8" s="1" a="1"/>
  <c r="AD41" i="8" s="1"/>
  <c r="AJ43" i="8" a="1"/>
  <c r="AJ43" i="8" s="1"/>
  <c r="AJ41" i="8" s="1" a="1"/>
  <c r="AJ41" i="8" s="1"/>
  <c r="AR44" i="8" a="1"/>
  <c r="AR44" i="8" s="1"/>
  <c r="Y43" i="8" a="1"/>
  <c r="Y43" i="8" s="1"/>
  <c r="Y41" i="8" s="1" a="1"/>
  <c r="Y41" i="8" s="1"/>
  <c r="W43" i="8" a="1"/>
  <c r="W43" i="8" s="1"/>
  <c r="W41" i="8" s="1" a="1"/>
  <c r="W41" i="8" s="1"/>
  <c r="AC43" i="8" a="1"/>
  <c r="AC43" i="8" s="1"/>
  <c r="AC41" i="8" s="1" a="1"/>
  <c r="AC41" i="8" s="1"/>
  <c r="E43" i="8" a="1"/>
  <c r="E43" i="8" s="1"/>
  <c r="E41" i="8" s="1" a="1"/>
  <c r="E41" i="8" s="1"/>
  <c r="AI43" i="8" a="1"/>
  <c r="AI43" i="8" s="1"/>
  <c r="AI41" i="8" s="1" a="1"/>
  <c r="AI41" i="8" s="1"/>
  <c r="AO43" i="8" a="1"/>
  <c r="AO43" i="8" s="1"/>
  <c r="AO41" i="8" s="1" a="1"/>
  <c r="AO41" i="8" s="1"/>
  <c r="AK43" i="8" a="1"/>
  <c r="AK43" i="8" s="1"/>
  <c r="AK41" i="8" s="1" a="1"/>
  <c r="AK41" i="8" s="1"/>
  <c r="AG43" i="8" a="1"/>
  <c r="AG43" i="8" s="1"/>
  <c r="AG41" i="8" s="1" a="1"/>
  <c r="AG41" i="8" s="1"/>
  <c r="AP44" i="8" a="1"/>
  <c r="AP44" i="8" s="1"/>
  <c r="AN43" i="8" a="1"/>
  <c r="AN43" i="8" s="1"/>
  <c r="AN41" i="8" s="1" a="1"/>
  <c r="AN41" i="8" s="1"/>
  <c r="X43" i="8" a="1"/>
  <c r="X43" i="8" s="1"/>
  <c r="X41" i="8" s="1" a="1"/>
  <c r="X41" i="8" s="1"/>
  <c r="U43" i="8" a="1"/>
  <c r="U43" i="8" s="1"/>
  <c r="U41" i="8" s="1" a="1"/>
  <c r="U41" i="8" s="1"/>
  <c r="AR43" i="8" a="1"/>
  <c r="AR43" i="8" s="1"/>
  <c r="AR41" i="8" s="1" a="1"/>
  <c r="AR41" i="8" s="1"/>
  <c r="AE43" i="8" a="1"/>
  <c r="AE43" i="8" s="1"/>
  <c r="AE41" i="8" s="1" a="1"/>
  <c r="AE41" i="8" s="1"/>
  <c r="AL43" i="8" a="1"/>
  <c r="AL43" i="8" s="1"/>
  <c r="AL41" i="8" s="1" a="1"/>
  <c r="AL41" i="8" s="1"/>
  <c r="AM43" i="8" a="1"/>
  <c r="AM43" i="8" s="1"/>
  <c r="AM41" i="8" s="1" a="1"/>
  <c r="AM41" i="8" s="1"/>
  <c r="AP43" i="8" a="1"/>
  <c r="AP43" i="8" s="1"/>
  <c r="AP41" i="8" s="1" a="1"/>
  <c r="AP41" i="8" s="1"/>
  <c r="AQ44" i="8" a="1"/>
  <c r="AQ44" i="8" s="1"/>
  <c r="G44" i="8"/>
  <c r="AF43" i="8" a="1"/>
  <c r="AF43" i="8" s="1"/>
  <c r="AF41" i="8" s="1" a="1"/>
  <c r="AF41" i="8" s="1"/>
  <c r="AH44" i="8" a="1"/>
  <c r="AH44" i="8" s="1"/>
  <c r="Y44" i="8" a="1"/>
  <c r="Y44" i="8" s="1"/>
  <c r="AD44" i="8" a="1"/>
  <c r="AD44" i="8" s="1"/>
  <c r="AL44" i="8" a="1"/>
  <c r="AL44" i="8" s="1"/>
  <c r="X44" i="8" a="1"/>
  <c r="X44" i="8" s="1"/>
  <c r="AC44" i="8" a="1"/>
  <c r="AC44" i="8" s="1"/>
  <c r="AE44" i="8" a="1"/>
  <c r="AE44" i="8" s="1"/>
  <c r="AJ44" i="8" a="1"/>
  <c r="AJ44" i="8" s="1"/>
  <c r="V44" i="8" a="1"/>
  <c r="V44" i="8" s="1"/>
  <c r="Z44" i="8" a="1"/>
  <c r="Z44" i="8" s="1"/>
  <c r="AA44" i="8" a="1"/>
  <c r="AA44" i="8" s="1"/>
  <c r="AM44" i="8" a="1"/>
  <c r="AM44" i="8" s="1"/>
  <c r="AI44" i="8" a="1"/>
  <c r="AI44" i="8" s="1"/>
  <c r="E44" i="8" a="1"/>
  <c r="E44" i="8" s="1"/>
  <c r="AF44" i="8" a="1"/>
  <c r="AF44" i="8" s="1"/>
  <c r="AK44" i="8" a="1"/>
  <c r="AK44" i="8" s="1"/>
  <c r="W44" i="8" a="1"/>
  <c r="W44" i="8" s="1"/>
  <c r="AN44" i="8" a="1"/>
  <c r="AN44" i="8" s="1"/>
  <c r="U44" i="8" a="1"/>
  <c r="U44" i="8" s="1"/>
  <c r="AG44" i="8" a="1"/>
  <c r="AG44" i="8" s="1"/>
  <c r="AB44" i="8" a="1"/>
  <c r="AB44" i="8" s="1"/>
  <c r="C61" i="6"/>
  <c r="AC61" i="5" a="1"/>
  <c r="AC61" i="5" s="1"/>
  <c r="O61" i="5"/>
  <c r="H29" i="8" a="1"/>
  <c r="H29" i="8" s="1"/>
  <c r="J30" i="8" s="1"/>
  <c r="H30" i="8" a="1"/>
  <c r="H30" i="8" s="1"/>
  <c r="G29" i="8"/>
  <c r="N122" i="12"/>
  <c r="G47" i="7"/>
  <c r="O134" i="5"/>
  <c r="C134" i="6"/>
  <c r="AC134" i="5" a="1"/>
  <c r="AC134" i="5" s="1"/>
  <c r="D109" i="12"/>
  <c r="E109" i="6"/>
  <c r="D163" i="12"/>
  <c r="E163" i="6"/>
  <c r="M203" i="12" a="1"/>
  <c r="M203" i="12" s="1"/>
  <c r="M204" i="12" a="1"/>
  <c r="M204" i="12" s="1"/>
  <c r="Y78" i="12"/>
  <c r="J234" i="12" a="1"/>
  <c r="J234" i="12" s="1"/>
  <c r="C234" i="12"/>
  <c r="L234" i="12" a="1"/>
  <c r="L234" i="12" s="1"/>
  <c r="K234" i="12" s="1"/>
  <c r="Y176" i="12"/>
  <c r="AO175" i="12" a="1"/>
  <c r="AO175" i="12" s="1"/>
  <c r="G23" i="7"/>
  <c r="G37" i="7"/>
  <c r="N163" i="12"/>
  <c r="L72" i="9"/>
  <c r="AK72" i="9"/>
  <c r="AI176" i="8"/>
  <c r="R64" i="9"/>
  <c r="AQ64" i="9"/>
  <c r="Z176" i="8"/>
  <c r="D120" i="12"/>
  <c r="E120" i="6"/>
  <c r="C233" i="12"/>
  <c r="J233" i="12" a="1"/>
  <c r="J233" i="12" s="1"/>
  <c r="L233" i="12" a="1"/>
  <c r="L233" i="12" s="1"/>
  <c r="K233" i="12" s="1"/>
  <c r="E171" i="6"/>
  <c r="D171" i="12"/>
  <c r="AA142" i="5" a="1"/>
  <c r="AA142" i="5" s="1"/>
  <c r="C113" i="8" s="1"/>
  <c r="G50" i="7"/>
  <c r="Y69" i="12"/>
  <c r="N193" i="12"/>
  <c r="E200" i="6"/>
  <c r="D200" i="12"/>
  <c r="D178" i="12"/>
  <c r="E178" i="6"/>
  <c r="AO38" i="8" a="1"/>
  <c r="AO38" i="8" s="1"/>
  <c r="D38" i="8"/>
  <c r="G38" i="8"/>
  <c r="AP38" i="8" a="1"/>
  <c r="AP38" i="8" s="1"/>
  <c r="AQ38" i="8" a="1"/>
  <c r="AQ38" i="8" s="1"/>
  <c r="AR38" i="8" a="1"/>
  <c r="AR38" i="8" s="1"/>
  <c r="H39" i="8" a="1"/>
  <c r="H39" i="8" s="1"/>
  <c r="H38" i="8" a="1"/>
  <c r="H38" i="8" s="1"/>
  <c r="J39" i="8" s="1"/>
  <c r="AD38" i="8" a="1"/>
  <c r="AD38" i="8" s="1"/>
  <c r="AE38" i="8" a="1"/>
  <c r="AE38" i="8" s="1"/>
  <c r="V38" i="8" a="1"/>
  <c r="V38" i="8" s="1"/>
  <c r="AL38" i="8" a="1"/>
  <c r="AL38" i="8" s="1"/>
  <c r="Y38" i="8" a="1"/>
  <c r="Y38" i="8" s="1"/>
  <c r="AC38" i="8" a="1"/>
  <c r="AC38" i="8" s="1"/>
  <c r="AM38" i="8" a="1"/>
  <c r="AM38" i="8" s="1"/>
  <c r="W38" i="8" a="1"/>
  <c r="W38" i="8" s="1"/>
  <c r="AG38" i="8" a="1"/>
  <c r="AG38" i="8" s="1"/>
  <c r="AK38" i="8" a="1"/>
  <c r="AK38" i="8" s="1"/>
  <c r="AF38" i="8" a="1"/>
  <c r="AF38" i="8" s="1"/>
  <c r="AI38" i="8" a="1"/>
  <c r="AI38" i="8" s="1"/>
  <c r="AH38" i="8" a="1"/>
  <c r="AH38" i="8" s="1"/>
  <c r="AN38" i="8" a="1"/>
  <c r="AN38" i="8" s="1"/>
  <c r="AA38" i="8" a="1"/>
  <c r="AA38" i="8" s="1"/>
  <c r="U38" i="8" a="1"/>
  <c r="U38" i="8" s="1"/>
  <c r="Z38" i="8" a="1"/>
  <c r="Z38" i="8" s="1"/>
  <c r="X38" i="8" a="1"/>
  <c r="X38" i="8" s="1"/>
  <c r="E38" i="8" a="1"/>
  <c r="E38" i="8" s="1"/>
  <c r="AJ38" i="8" a="1"/>
  <c r="AJ38" i="8" s="1"/>
  <c r="AB38" i="8" a="1"/>
  <c r="AB38" i="8" s="1"/>
  <c r="C91" i="12"/>
  <c r="J91" i="12" a="1"/>
  <c r="J91" i="12" s="1"/>
  <c r="L91" i="12" a="1"/>
  <c r="L91" i="12" s="1"/>
  <c r="Y29" i="12"/>
  <c r="Y131" i="12"/>
  <c r="G51" i="7"/>
  <c r="E158" i="6"/>
  <c r="D158" i="12"/>
  <c r="N148" i="12"/>
  <c r="O217" i="12" a="1"/>
  <c r="O217" i="12" s="1"/>
  <c r="N217" i="12" s="1"/>
  <c r="N218" i="12"/>
  <c r="D160" i="12"/>
  <c r="E160" i="6"/>
  <c r="D138" i="12"/>
  <c r="E138" i="6"/>
  <c r="W214" i="12" a="1"/>
  <c r="W214" i="12" s="1"/>
  <c r="X214" i="12" a="1"/>
  <c r="X214" i="12" s="1"/>
  <c r="E199" i="6"/>
  <c r="D199" i="12"/>
  <c r="J101" i="12" a="1"/>
  <c r="J101" i="12" s="1"/>
  <c r="C101" i="12"/>
  <c r="L101" i="12" a="1"/>
  <c r="L101" i="12" s="1"/>
  <c r="K101" i="12" s="1"/>
  <c r="AB217" i="5" a="1"/>
  <c r="AB217" i="5" s="1"/>
  <c r="D140" i="8" s="1"/>
  <c r="Y54" i="12"/>
  <c r="E93" i="6"/>
  <c r="D93" i="12"/>
  <c r="D103" i="12"/>
  <c r="E103" i="6"/>
  <c r="P14" i="13" l="1"/>
  <c r="D14" i="13"/>
  <c r="V14" i="13"/>
  <c r="L28" i="13"/>
  <c r="L66" i="12" a="1"/>
  <c r="L66" i="12" s="1"/>
  <c r="K66" i="12" s="1"/>
  <c r="N66" i="12"/>
  <c r="W107" i="12" a="1"/>
  <c r="W107" i="12" s="1"/>
  <c r="X107" i="12" a="1"/>
  <c r="X107" i="12" s="1"/>
  <c r="O12" i="5" a="1"/>
  <c r="O12" i="5" s="1"/>
  <c r="AC22" i="13" a="1"/>
  <c r="AC22" i="13" s="1"/>
  <c r="R22" i="13" s="1"/>
  <c r="AA22" i="11" a="1"/>
  <c r="AA22" i="11" s="1"/>
  <c r="AF22" i="13" a="1"/>
  <c r="AF22" i="13" s="1"/>
  <c r="T22" i="13" s="1"/>
  <c r="X92" i="12" a="1"/>
  <c r="X92" i="12" s="1"/>
  <c r="W92" i="12" a="1"/>
  <c r="W92" i="12" s="1"/>
  <c r="AA17" i="11" a="1"/>
  <c r="AA17" i="11" s="1"/>
  <c r="AF17" i="13" a="1"/>
  <c r="AF17" i="13" s="1"/>
  <c r="T17" i="13" s="1"/>
  <c r="AC17" i="13" a="1"/>
  <c r="AC17" i="13" s="1"/>
  <c r="R17" i="13" s="1"/>
  <c r="W48" i="12" a="1"/>
  <c r="W48" i="12" s="1"/>
  <c r="X48" i="12" a="1"/>
  <c r="X48" i="12" s="1"/>
  <c r="W49" i="12" a="1"/>
  <c r="W49" i="12" s="1"/>
  <c r="X49" i="12" a="1"/>
  <c r="X49" i="12" s="1"/>
  <c r="T87" i="12"/>
  <c r="U87" i="12"/>
  <c r="V87" i="12" a="1"/>
  <c r="V87" i="12" s="1"/>
  <c r="AO106" i="8" a="1"/>
  <c r="AO106" i="8" s="1"/>
  <c r="AO104" i="8" s="1" a="1"/>
  <c r="AO104" i="8" s="1"/>
  <c r="W219" i="12" a="1"/>
  <c r="W219" i="12" s="1"/>
  <c r="X219" i="12" a="1"/>
  <c r="X219" i="12" s="1"/>
  <c r="T190" i="12"/>
  <c r="V190" i="12" a="1"/>
  <c r="V190" i="12" s="1"/>
  <c r="U190" i="12"/>
  <c r="W129" i="12" a="1"/>
  <c r="W129" i="12" s="1"/>
  <c r="X129" i="12" a="1"/>
  <c r="X129" i="12" s="1"/>
  <c r="U164" i="12"/>
  <c r="T164" i="12"/>
  <c r="V164" i="12" a="1"/>
  <c r="V164" i="12" s="1"/>
  <c r="W72" i="12" a="1"/>
  <c r="W72" i="12" s="1"/>
  <c r="X72" i="12" a="1"/>
  <c r="X72" i="12" s="1"/>
  <c r="W161" i="12" a="1"/>
  <c r="W161" i="12" s="1"/>
  <c r="X161" i="12" a="1"/>
  <c r="X161" i="12" s="1"/>
  <c r="I32" i="8"/>
  <c r="A32" i="8" s="1"/>
  <c r="D26" i="12"/>
  <c r="E26" i="6"/>
  <c r="D84" i="12"/>
  <c r="I68" i="8"/>
  <c r="A68" i="8" s="1"/>
  <c r="E84" i="6"/>
  <c r="AB106" i="8" a="1"/>
  <c r="AB106" i="8" s="1"/>
  <c r="AB104" i="8" s="1" a="1"/>
  <c r="AB104" i="8" s="1"/>
  <c r="AH106" i="8" a="1"/>
  <c r="AH106" i="8" s="1"/>
  <c r="AH104" i="8" s="1" a="1"/>
  <c r="AH104" i="8" s="1"/>
  <c r="I122" i="8"/>
  <c r="A122" i="8" s="1"/>
  <c r="D167" i="12"/>
  <c r="E167" i="6"/>
  <c r="W227" i="12" a="1"/>
  <c r="W227" i="12" s="1"/>
  <c r="X227" i="12" a="1"/>
  <c r="X227" i="12" s="1"/>
  <c r="X59" i="12" a="1"/>
  <c r="X59" i="12" s="1"/>
  <c r="W59" i="12" a="1"/>
  <c r="W59" i="12" s="1"/>
  <c r="X128" i="12" a="1"/>
  <c r="X128" i="12" s="1"/>
  <c r="W128" i="12" a="1"/>
  <c r="W128" i="12" s="1"/>
  <c r="V67" i="8" a="1"/>
  <c r="V67" i="8" s="1"/>
  <c r="V65" i="8" s="1" a="1"/>
  <c r="V65" i="8" s="1"/>
  <c r="X46" i="12" a="1"/>
  <c r="X46" i="12" s="1"/>
  <c r="W46" i="12" a="1"/>
  <c r="W46" i="12" s="1"/>
  <c r="N62" i="12"/>
  <c r="V223" i="12" a="1"/>
  <c r="V223" i="12" s="1"/>
  <c r="U223" i="12"/>
  <c r="T223" i="12"/>
  <c r="V209" i="12" a="1"/>
  <c r="V209" i="12" s="1"/>
  <c r="T209" i="12"/>
  <c r="U209" i="12"/>
  <c r="U80" i="12"/>
  <c r="T80" i="12"/>
  <c r="V80" i="12" a="1"/>
  <c r="V80" i="12" s="1"/>
  <c r="E217" i="6"/>
  <c r="D217" i="12"/>
  <c r="I140" i="8"/>
  <c r="A140" i="8" s="1"/>
  <c r="W195" i="12" a="1"/>
  <c r="W195" i="12" s="1"/>
  <c r="X195" i="12" a="1"/>
  <c r="X195" i="12" s="1"/>
  <c r="N114" i="12"/>
  <c r="D21" i="13"/>
  <c r="P21" i="13"/>
  <c r="X218" i="12" a="1"/>
  <c r="X218" i="12" s="1"/>
  <c r="W218" i="12" a="1"/>
  <c r="W218" i="12" s="1"/>
  <c r="AB20" i="11" a="1"/>
  <c r="AB20" i="11" s="1"/>
  <c r="N20" i="11" s="1"/>
  <c r="AG20" i="13" a="1"/>
  <c r="AG20" i="13" s="1"/>
  <c r="U20" i="13" s="1"/>
  <c r="AD20" i="13" a="1"/>
  <c r="AD20" i="13" s="1"/>
  <c r="S20" i="13" s="1"/>
  <c r="N142" i="12"/>
  <c r="T154" i="12"/>
  <c r="V154" i="12" a="1"/>
  <c r="V154" i="12" s="1"/>
  <c r="U154" i="12"/>
  <c r="X212" i="12" a="1"/>
  <c r="X212" i="12" s="1"/>
  <c r="W212" i="12" a="1"/>
  <c r="W212" i="12" s="1"/>
  <c r="N50" i="12"/>
  <c r="W205" i="12" a="1"/>
  <c r="W205" i="12" s="1"/>
  <c r="X205" i="12" a="1"/>
  <c r="X205" i="12" s="1"/>
  <c r="AA19" i="11" a="1"/>
  <c r="AA19" i="11" s="1"/>
  <c r="AF19" i="13" a="1"/>
  <c r="AF19" i="13" s="1"/>
  <c r="T19" i="13" s="1"/>
  <c r="AC19" i="13" a="1"/>
  <c r="AC19" i="13" s="1"/>
  <c r="R19" i="13" s="1"/>
  <c r="I20" i="8"/>
  <c r="A20" i="8" s="1"/>
  <c r="D19" i="12"/>
  <c r="E19" i="6"/>
  <c r="T163" i="12"/>
  <c r="V163" i="12" a="1"/>
  <c r="V163" i="12" s="1"/>
  <c r="U163" i="12"/>
  <c r="X110" i="12" a="1"/>
  <c r="X110" i="12" s="1"/>
  <c r="W110" i="12" a="1"/>
  <c r="W110" i="12" s="1"/>
  <c r="W168" i="12" a="1"/>
  <c r="W168" i="12" s="1"/>
  <c r="X168" i="12" a="1"/>
  <c r="X168" i="12" s="1"/>
  <c r="E25" i="6"/>
  <c r="I29" i="8"/>
  <c r="A29" i="8" s="1"/>
  <c r="D25" i="12"/>
  <c r="X208" i="12" a="1"/>
  <c r="X208" i="12" s="1"/>
  <c r="W208" i="12" a="1"/>
  <c r="W208" i="12" s="1"/>
  <c r="P18" i="13"/>
  <c r="D18" i="13"/>
  <c r="AF12" i="13" a="1"/>
  <c r="AF12" i="13" s="1"/>
  <c r="AG12" i="13" a="1"/>
  <c r="AG12" i="13" s="1"/>
  <c r="AD12" i="13" a="1"/>
  <c r="AD12" i="13" s="1"/>
  <c r="AC12" i="13" a="1"/>
  <c r="AC12" i="13" s="1"/>
  <c r="T41" i="12"/>
  <c r="V41" i="12" a="1"/>
  <c r="V41" i="12" s="1"/>
  <c r="U41" i="12"/>
  <c r="Y91" i="12"/>
  <c r="U93" i="12"/>
  <c r="V93" i="12" a="1"/>
  <c r="V93" i="12" s="1"/>
  <c r="T93" i="12"/>
  <c r="T193" i="12"/>
  <c r="V193" i="12" a="1"/>
  <c r="V193" i="12" s="1"/>
  <c r="U193" i="12"/>
  <c r="AB14" i="11" a="1"/>
  <c r="AB14" i="11" s="1"/>
  <c r="AG14" i="13" a="1"/>
  <c r="AG14" i="13" s="1"/>
  <c r="U14" i="13" s="1"/>
  <c r="AD4" i="13" s="1"/>
  <c r="AD14" i="13" a="1"/>
  <c r="AD14" i="13" s="1"/>
  <c r="S14" i="13" s="1"/>
  <c r="M27" i="13" s="1"/>
  <c r="AF106" i="8" a="1"/>
  <c r="AF106" i="8" s="1"/>
  <c r="AF104" i="8" s="1" a="1"/>
  <c r="AF104" i="8" s="1"/>
  <c r="U222" i="12"/>
  <c r="V222" i="12" a="1"/>
  <c r="V222" i="12" s="1"/>
  <c r="T222" i="12"/>
  <c r="Y45" i="12"/>
  <c r="U57" i="12"/>
  <c r="T57" i="12"/>
  <c r="V57" i="12" a="1"/>
  <c r="V57" i="12" s="1"/>
  <c r="X37" i="12" a="1"/>
  <c r="X37" i="12" s="1"/>
  <c r="W37" i="12" a="1"/>
  <c r="W37" i="12" s="1"/>
  <c r="D180" i="12"/>
  <c r="E180" i="6"/>
  <c r="I128" i="8"/>
  <c r="A128" i="8" s="1"/>
  <c r="X182" i="12" a="1"/>
  <c r="X182" i="12" s="1"/>
  <c r="W182" i="12" a="1"/>
  <c r="W182" i="12" s="1"/>
  <c r="P16" i="13"/>
  <c r="D16" i="13"/>
  <c r="U141" i="12"/>
  <c r="T141" i="12"/>
  <c r="V141" i="12" a="1"/>
  <c r="V141" i="12" s="1"/>
  <c r="W207" i="12" a="1"/>
  <c r="W207" i="12" s="1"/>
  <c r="X207" i="12" a="1"/>
  <c r="X207" i="12" s="1"/>
  <c r="W146" i="12" a="1"/>
  <c r="W146" i="12" s="1"/>
  <c r="X146" i="12" a="1"/>
  <c r="X146" i="12" s="1"/>
  <c r="I50" i="8"/>
  <c r="A50" i="8" s="1"/>
  <c r="D62" i="12"/>
  <c r="E62" i="6"/>
  <c r="U106" i="8" a="1"/>
  <c r="U106" i="8" s="1"/>
  <c r="U104" i="8" s="1" a="1"/>
  <c r="U104" i="8" s="1"/>
  <c r="U67" i="8" a="1"/>
  <c r="U67" i="8" s="1"/>
  <c r="T158" i="12"/>
  <c r="V158" i="12" a="1"/>
  <c r="V158" i="12" s="1"/>
  <c r="U158" i="12"/>
  <c r="K114" i="12"/>
  <c r="I107" i="8"/>
  <c r="A107" i="8" s="1"/>
  <c r="E133" i="6"/>
  <c r="D133" i="12"/>
  <c r="T138" i="12"/>
  <c r="V138" i="12" a="1"/>
  <c r="V138" i="12" s="1"/>
  <c r="U138" i="12"/>
  <c r="X180" i="12" a="1"/>
  <c r="X180" i="12" s="1"/>
  <c r="W180" i="12" a="1"/>
  <c r="W180" i="12" s="1"/>
  <c r="T198" i="12"/>
  <c r="V198" i="12" a="1"/>
  <c r="V198" i="12" s="1"/>
  <c r="U198" i="12"/>
  <c r="T136" i="12"/>
  <c r="V136" i="12" a="1"/>
  <c r="V136" i="12" s="1"/>
  <c r="U136" i="12"/>
  <c r="T117" i="12"/>
  <c r="U117" i="12"/>
  <c r="V117" i="12" a="1"/>
  <c r="V117" i="12" s="1"/>
  <c r="W88" i="12" a="1"/>
  <c r="W88" i="12" s="1"/>
  <c r="X88" i="12" a="1"/>
  <c r="X88" i="12" s="1"/>
  <c r="I53" i="8"/>
  <c r="A53" i="8" s="1"/>
  <c r="E66" i="6"/>
  <c r="D66" i="12"/>
  <c r="W103" i="12" a="1"/>
  <c r="W103" i="12" s="1"/>
  <c r="X103" i="12" a="1"/>
  <c r="X103" i="12" s="1"/>
  <c r="AF20" i="13" a="1"/>
  <c r="AF20" i="13" s="1"/>
  <c r="T20" i="13" s="1"/>
  <c r="AA20" i="11" a="1"/>
  <c r="AA20" i="11" s="1"/>
  <c r="AC20" i="13" a="1"/>
  <c r="AC20" i="13" s="1"/>
  <c r="R20" i="13" s="1"/>
  <c r="W142" i="12" a="1"/>
  <c r="W142" i="12" s="1"/>
  <c r="X142" i="12" a="1"/>
  <c r="X142" i="12" s="1"/>
  <c r="Y217" i="12"/>
  <c r="T70" i="12"/>
  <c r="V70" i="12" a="1"/>
  <c r="V70" i="12" s="1"/>
  <c r="U70" i="12"/>
  <c r="U112" i="12"/>
  <c r="T112" i="12"/>
  <c r="V112" i="12" a="1"/>
  <c r="V112" i="12" s="1"/>
  <c r="W74" i="12" a="1"/>
  <c r="W74" i="12" s="1"/>
  <c r="X74" i="12" a="1"/>
  <c r="X74" i="12" s="1"/>
  <c r="U39" i="12"/>
  <c r="T39" i="12"/>
  <c r="V39" i="12" a="1"/>
  <c r="V39" i="12" s="1"/>
  <c r="AB18" i="11" a="1"/>
  <c r="AB18" i="11" s="1"/>
  <c r="N18" i="11" s="1"/>
  <c r="AD18" i="13" a="1"/>
  <c r="AD18" i="13" s="1"/>
  <c r="S18" i="13" s="1"/>
  <c r="AG18" i="13" a="1"/>
  <c r="AG18" i="13" s="1"/>
  <c r="U18" i="13" s="1"/>
  <c r="AF23" i="13" a="1"/>
  <c r="AF23" i="13" s="1"/>
  <c r="T23" i="13" s="1"/>
  <c r="AC23" i="13" a="1"/>
  <c r="AC23" i="13" s="1"/>
  <c r="R23" i="13" s="1"/>
  <c r="AA23" i="11" a="1"/>
  <c r="AA23" i="11" s="1"/>
  <c r="N49" i="12"/>
  <c r="V179" i="12" a="1"/>
  <c r="V179" i="12" s="1"/>
  <c r="U179" i="12"/>
  <c r="T179" i="12"/>
  <c r="U224" i="12"/>
  <c r="T224" i="12"/>
  <c r="V224" i="12" a="1"/>
  <c r="V224" i="12" s="1"/>
  <c r="D17" i="13"/>
  <c r="P17" i="13"/>
  <c r="AD17" i="13" a="1"/>
  <c r="AD17" i="13" s="1"/>
  <c r="S17" i="13" s="1"/>
  <c r="AG17" i="13" a="1"/>
  <c r="AG17" i="13" s="1"/>
  <c r="U17" i="13" s="1"/>
  <c r="AB17" i="11" a="1"/>
  <c r="AB17" i="11" s="1"/>
  <c r="N17" i="11" s="1"/>
  <c r="D125" i="12"/>
  <c r="E125" i="6"/>
  <c r="I98" i="8"/>
  <c r="A98" i="8" s="1"/>
  <c r="X167" i="12" a="1"/>
  <c r="X167" i="12" s="1"/>
  <c r="W167" i="12" a="1"/>
  <c r="W167" i="12" s="1"/>
  <c r="W96" i="12" a="1"/>
  <c r="W96" i="12" s="1"/>
  <c r="X96" i="12" a="1"/>
  <c r="X96" i="12" s="1"/>
  <c r="W32" i="12" a="1"/>
  <c r="W32" i="12" s="1"/>
  <c r="X32" i="12" a="1"/>
  <c r="X32" i="12" s="1"/>
  <c r="X174" i="12" a="1"/>
  <c r="X174" i="12" s="1"/>
  <c r="W174" i="12" a="1"/>
  <c r="W174" i="12" s="1"/>
  <c r="U123" i="12"/>
  <c r="V123" i="12" a="1"/>
  <c r="V123" i="12" s="1"/>
  <c r="T123" i="12"/>
  <c r="I143" i="8"/>
  <c r="A143" i="8" s="1"/>
  <c r="D225" i="12"/>
  <c r="E225" i="6"/>
  <c r="E102" i="6"/>
  <c r="D102" i="12"/>
  <c r="I83" i="8"/>
  <c r="A83" i="8" s="1"/>
  <c r="I92" i="8"/>
  <c r="A92" i="8" s="1"/>
  <c r="E114" i="6"/>
  <c r="D114" i="12"/>
  <c r="V81" i="12" a="1"/>
  <c r="V81" i="12" s="1"/>
  <c r="T81" i="12"/>
  <c r="U81" i="12"/>
  <c r="Y175" i="12"/>
  <c r="W213" i="12" a="1"/>
  <c r="W213" i="12" s="1"/>
  <c r="X213" i="12" a="1"/>
  <c r="X213" i="12" s="1"/>
  <c r="V98" i="12" a="1"/>
  <c r="V98" i="12" s="1"/>
  <c r="T98" i="12"/>
  <c r="U98" i="12"/>
  <c r="AF21" i="13" a="1"/>
  <c r="AF21" i="13" s="1"/>
  <c r="T21" i="13" s="1"/>
  <c r="AA21" i="11" a="1"/>
  <c r="AA21" i="11" s="1"/>
  <c r="AC21" i="13" a="1"/>
  <c r="AC21" i="13" s="1"/>
  <c r="R21" i="13" s="1"/>
  <c r="W106" i="12" a="1"/>
  <c r="W106" i="12" s="1"/>
  <c r="X106" i="12" a="1"/>
  <c r="X106" i="12" s="1"/>
  <c r="AA18" i="11" a="1"/>
  <c r="AA18" i="11" s="1"/>
  <c r="AF18" i="13" a="1"/>
  <c r="AF18" i="13" s="1"/>
  <c r="T18" i="13" s="1"/>
  <c r="AC18" i="13" a="1"/>
  <c r="AC18" i="13" s="1"/>
  <c r="R18" i="13" s="1"/>
  <c r="W36" i="12" a="1"/>
  <c r="W36" i="12" s="1"/>
  <c r="X36" i="12" a="1"/>
  <c r="X36" i="12" s="1"/>
  <c r="W176" i="12" a="1"/>
  <c r="W176" i="12" s="1"/>
  <c r="X176" i="12" a="1"/>
  <c r="X176" i="12" s="1"/>
  <c r="X156" i="12" a="1"/>
  <c r="X156" i="12" s="1"/>
  <c r="W156" i="12" a="1"/>
  <c r="W156" i="12" s="1"/>
  <c r="W170" i="12" a="1"/>
  <c r="W170" i="12" s="1"/>
  <c r="X170" i="12" a="1"/>
  <c r="X170" i="12" s="1"/>
  <c r="U186" i="12"/>
  <c r="V186" i="12" a="1"/>
  <c r="V186" i="12" s="1"/>
  <c r="T186" i="12"/>
  <c r="X131" i="12" a="1"/>
  <c r="X131" i="12" s="1"/>
  <c r="W131" i="12" a="1"/>
  <c r="W131" i="12" s="1"/>
  <c r="D134" i="12"/>
  <c r="E134" i="6"/>
  <c r="I110" i="8"/>
  <c r="A110" i="8" s="1"/>
  <c r="W51" i="12" a="1"/>
  <c r="W51" i="12" s="1"/>
  <c r="X51" i="12" a="1"/>
  <c r="X51" i="12" s="1"/>
  <c r="U214" i="12"/>
  <c r="T214" i="12"/>
  <c r="V214" i="12" a="1"/>
  <c r="V214" i="12" s="1"/>
  <c r="X29" i="12" a="1"/>
  <c r="X29" i="12" s="1"/>
  <c r="W29" i="12" a="1"/>
  <c r="W29" i="12" s="1"/>
  <c r="W150" i="12" a="1"/>
  <c r="W150" i="12" s="1"/>
  <c r="X150" i="12" a="1"/>
  <c r="X150" i="12" s="1"/>
  <c r="T38" i="12"/>
  <c r="U38" i="12"/>
  <c r="V38" i="12" a="1"/>
  <c r="V38" i="12" s="1"/>
  <c r="K91" i="12"/>
  <c r="X196" i="12" a="1"/>
  <c r="X196" i="12" s="1"/>
  <c r="W196" i="12" a="1"/>
  <c r="W196" i="12" s="1"/>
  <c r="V210" i="12" a="1"/>
  <c r="V210" i="12" s="1"/>
  <c r="U210" i="12"/>
  <c r="T210" i="12"/>
  <c r="T162" i="12"/>
  <c r="V162" i="12" a="1"/>
  <c r="V162" i="12" s="1"/>
  <c r="U162" i="12"/>
  <c r="U71" i="12"/>
  <c r="T71" i="12"/>
  <c r="V71" i="12" a="1"/>
  <c r="V71" i="12" s="1"/>
  <c r="K217" i="12"/>
  <c r="X35" i="12" a="1"/>
  <c r="X35" i="12" s="1"/>
  <c r="W35" i="12" a="1"/>
  <c r="W35" i="12" s="1"/>
  <c r="X34" i="12" a="1"/>
  <c r="X34" i="12" s="1"/>
  <c r="W34" i="12" a="1"/>
  <c r="W34" i="12" s="1"/>
  <c r="AC106" i="8" a="1"/>
  <c r="AC106" i="8" s="1"/>
  <c r="AQ106" i="8" a="1"/>
  <c r="AQ106" i="8" s="1"/>
  <c r="AL106" i="8" a="1"/>
  <c r="AL106" i="8" s="1"/>
  <c r="AL104" i="8" s="1" a="1"/>
  <c r="AL104" i="8" s="1"/>
  <c r="V230" i="12" a="1"/>
  <c r="V230" i="12" s="1"/>
  <c r="T230" i="12"/>
  <c r="U230" i="12"/>
  <c r="Y233" i="12"/>
  <c r="AO67" i="8" a="1"/>
  <c r="AO67" i="8" s="1"/>
  <c r="AO65" i="8" s="1" a="1"/>
  <c r="AO65" i="8" s="1"/>
  <c r="AL67" i="8" a="1"/>
  <c r="AL67" i="8" s="1"/>
  <c r="AL65" i="8" s="1" a="1"/>
  <c r="AL65" i="8" s="1"/>
  <c r="Y23" i="12"/>
  <c r="AA14" i="11" a="1"/>
  <c r="AA14" i="11" s="1"/>
  <c r="AF14" i="13" a="1"/>
  <c r="AF14" i="13" s="1"/>
  <c r="T14" i="13" s="1"/>
  <c r="AD3" i="13" s="1"/>
  <c r="AC14" i="13" a="1"/>
  <c r="AC14" i="13" s="1"/>
  <c r="R14" i="13" s="1"/>
  <c r="M26" i="13" s="1"/>
  <c r="AE3" i="13" s="1"/>
  <c r="O26" i="13" s="1"/>
  <c r="U14" i="8" a="1"/>
  <c r="U14" i="8" s="1"/>
  <c r="V127" i="12" a="1"/>
  <c r="V127" i="12" s="1"/>
  <c r="U127" i="12"/>
  <c r="T127" i="12"/>
  <c r="W137" i="12" a="1"/>
  <c r="W137" i="12" s="1"/>
  <c r="X137" i="12" a="1"/>
  <c r="X137" i="12" s="1"/>
  <c r="D49" i="12"/>
  <c r="E49" i="6"/>
  <c r="I41" i="8"/>
  <c r="A41" i="8" s="1"/>
  <c r="N76" i="12"/>
  <c r="W181" i="12" a="1"/>
  <c r="W181" i="12" s="1"/>
  <c r="X181" i="12" a="1"/>
  <c r="X181" i="12" s="1"/>
  <c r="W165" i="12" a="1"/>
  <c r="W165" i="12" s="1"/>
  <c r="X165" i="12" a="1"/>
  <c r="X165" i="12" s="1"/>
  <c r="T176" i="8"/>
  <c r="T139" i="12"/>
  <c r="V139" i="12" a="1"/>
  <c r="V139" i="12" s="1"/>
  <c r="U139" i="12"/>
  <c r="V149" i="12" a="1"/>
  <c r="V149" i="12" s="1"/>
  <c r="T149" i="12"/>
  <c r="U149" i="12"/>
  <c r="K166" i="12"/>
  <c r="Y102" i="12"/>
  <c r="X143" i="12" a="1"/>
  <c r="X143" i="12" s="1"/>
  <c r="W143" i="12" a="1"/>
  <c r="W143" i="12" s="1"/>
  <c r="K45" i="12"/>
  <c r="X30" i="12" a="1"/>
  <c r="X30" i="12" s="1"/>
  <c r="W30" i="12" a="1"/>
  <c r="W30" i="12" s="1"/>
  <c r="V221" i="12" a="1"/>
  <c r="V221" i="12" s="1"/>
  <c r="U221" i="12"/>
  <c r="T221" i="12"/>
  <c r="Y73" i="12"/>
  <c r="AG22" i="13" a="1"/>
  <c r="AG22" i="13" s="1"/>
  <c r="U22" i="13" s="1"/>
  <c r="AD22" i="13" a="1"/>
  <c r="AD22" i="13" s="1"/>
  <c r="S22" i="13" s="1"/>
  <c r="AB22" i="11" a="1"/>
  <c r="AB22" i="11" s="1"/>
  <c r="N22" i="11" s="1"/>
  <c r="V200" i="12" a="1"/>
  <c r="V200" i="12" s="1"/>
  <c r="U200" i="12"/>
  <c r="T200" i="12"/>
  <c r="U237" i="12"/>
  <c r="V237" i="12" a="1"/>
  <c r="V237" i="12" s="1"/>
  <c r="T237" i="12"/>
  <c r="X153" i="12" a="1"/>
  <c r="X153" i="12" s="1"/>
  <c r="W153" i="12" a="1"/>
  <c r="W153" i="12" s="1"/>
  <c r="I104" i="8"/>
  <c r="A104" i="8" s="1"/>
  <c r="E132" i="6"/>
  <c r="D132" i="12"/>
  <c r="P20" i="13"/>
  <c r="D20" i="13"/>
  <c r="E175" i="6"/>
  <c r="I125" i="8"/>
  <c r="A125" i="8" s="1"/>
  <c r="D175" i="12"/>
  <c r="X135" i="12" a="1"/>
  <c r="X135" i="12" s="1"/>
  <c r="W135" i="12" a="1"/>
  <c r="W135" i="12" s="1"/>
  <c r="V90" i="12" a="1"/>
  <c r="V90" i="12" s="1"/>
  <c r="U90" i="12"/>
  <c r="T90" i="12"/>
  <c r="W111" i="12" a="1"/>
  <c r="W111" i="12" s="1"/>
  <c r="X111" i="12" a="1"/>
  <c r="X111" i="12" s="1"/>
  <c r="I59" i="8"/>
  <c r="A59" i="8" s="1"/>
  <c r="E75" i="6"/>
  <c r="D75" i="12"/>
  <c r="V242" i="12" a="1"/>
  <c r="V242" i="12" s="1"/>
  <c r="T242" i="12"/>
  <c r="U242" i="12"/>
  <c r="T239" i="12"/>
  <c r="V239" i="12" a="1"/>
  <c r="V239" i="12" s="1"/>
  <c r="U239" i="12"/>
  <c r="V58" i="12" a="1"/>
  <c r="V58" i="12" s="1"/>
  <c r="T58" i="12"/>
  <c r="U58" i="12"/>
  <c r="X108" i="12" a="1"/>
  <c r="X108" i="12" s="1"/>
  <c r="W108" i="12" a="1"/>
  <c r="W108" i="12" s="1"/>
  <c r="W33" i="12" a="1"/>
  <c r="W33" i="12" s="1"/>
  <c r="X33" i="12" a="1"/>
  <c r="X33" i="12" s="1"/>
  <c r="X191" i="12" a="1"/>
  <c r="X191" i="12" s="1"/>
  <c r="W191" i="12" a="1"/>
  <c r="W191" i="12" s="1"/>
  <c r="AB21" i="11" a="1"/>
  <c r="AB21" i="11" s="1"/>
  <c r="N21" i="11" s="1"/>
  <c r="AG21" i="13" a="1"/>
  <c r="AG21" i="13" s="1"/>
  <c r="U21" i="13" s="1"/>
  <c r="AD21" i="13" a="1"/>
  <c r="AD21" i="13" s="1"/>
  <c r="S21" i="13" s="1"/>
  <c r="I14" i="8"/>
  <c r="E16" i="6"/>
  <c r="D16" i="12"/>
  <c r="E14" i="6"/>
  <c r="D99" i="12"/>
  <c r="I77" i="8"/>
  <c r="A77" i="8" s="1"/>
  <c r="E99" i="6"/>
  <c r="W157" i="12" a="1"/>
  <c r="W157" i="12" s="1"/>
  <c r="X157" i="12" a="1"/>
  <c r="X157" i="12" s="1"/>
  <c r="AF67" i="8" a="1"/>
  <c r="AF67" i="8" s="1"/>
  <c r="T148" i="12"/>
  <c r="V148" i="12" a="1"/>
  <c r="V148" i="12" s="1"/>
  <c r="U148" i="12"/>
  <c r="T192" i="12"/>
  <c r="U192" i="12"/>
  <c r="V192" i="12" a="1"/>
  <c r="V192" i="12" s="1"/>
  <c r="X19" i="12" a="1"/>
  <c r="X19" i="12" s="1"/>
  <c r="W19" i="12" a="1"/>
  <c r="W19" i="12" s="1"/>
  <c r="X26" i="12" a="1"/>
  <c r="X26" i="12" s="1"/>
  <c r="W26" i="12" a="1"/>
  <c r="W26" i="12" s="1"/>
  <c r="W89" i="12" a="1"/>
  <c r="W89" i="12" s="1"/>
  <c r="X89" i="12" a="1"/>
  <c r="X89" i="12" s="1"/>
  <c r="X234" i="12" a="1"/>
  <c r="X234" i="12" s="1"/>
  <c r="W234" i="12" a="1"/>
  <c r="W234" i="12" s="1"/>
  <c r="E14" i="8" a="1"/>
  <c r="E14" i="8" s="1"/>
  <c r="T64" i="12"/>
  <c r="U64" i="12"/>
  <c r="V64" i="12" a="1"/>
  <c r="V64" i="12" s="1"/>
  <c r="T240" i="12"/>
  <c r="U240" i="12"/>
  <c r="V240" i="12" a="1"/>
  <c r="V240" i="12" s="1"/>
  <c r="W97" i="12" a="1"/>
  <c r="W97" i="12" s="1"/>
  <c r="X97" i="12" a="1"/>
  <c r="X97" i="12" s="1"/>
  <c r="W241" i="12" a="1"/>
  <c r="W241" i="12" s="1"/>
  <c r="X241" i="12" a="1"/>
  <c r="X241" i="12" s="1"/>
  <c r="P23" i="13"/>
  <c r="D23" i="13"/>
  <c r="D188" i="12"/>
  <c r="I131" i="8"/>
  <c r="A131" i="8" s="1"/>
  <c r="E188" i="6"/>
  <c r="T177" i="12"/>
  <c r="U177" i="12"/>
  <c r="V177" i="12" a="1"/>
  <c r="V177" i="12" s="1"/>
  <c r="W113" i="12" a="1"/>
  <c r="W113" i="12" s="1"/>
  <c r="X113" i="12" a="1"/>
  <c r="X113" i="12" s="1"/>
  <c r="E45" i="6"/>
  <c r="D45" i="12"/>
  <c r="I38" i="8"/>
  <c r="A38" i="8" s="1"/>
  <c r="E91" i="6"/>
  <c r="I71" i="8"/>
  <c r="A71" i="8" s="1"/>
  <c r="D91" i="12"/>
  <c r="K94" i="12"/>
  <c r="X65" i="12" a="1"/>
  <c r="X65" i="12" s="1"/>
  <c r="W65" i="12" a="1"/>
  <c r="W65" i="12" s="1"/>
  <c r="W20" i="12" a="1"/>
  <c r="W20" i="12" s="1"/>
  <c r="X20" i="12" a="1"/>
  <c r="X20" i="12" s="1"/>
  <c r="N36" i="12"/>
  <c r="W159" i="12" a="1"/>
  <c r="W159" i="12" s="1"/>
  <c r="X159" i="12" a="1"/>
  <c r="X159" i="12" s="1"/>
  <c r="E106" i="8" a="1"/>
  <c r="E106" i="8" s="1"/>
  <c r="E104" i="8" s="1" a="1"/>
  <c r="E104" i="8" s="1"/>
  <c r="E173" i="8" s="1" a="1"/>
  <c r="E173" i="8" s="1"/>
  <c r="E168" i="8" s="1"/>
  <c r="AD106" i="8" a="1"/>
  <c r="AD106" i="8" s="1"/>
  <c r="AD104" i="8" s="1" a="1"/>
  <c r="AD104" i="8" s="1"/>
  <c r="T178" i="12"/>
  <c r="V178" i="12" a="1"/>
  <c r="V178" i="12" s="1"/>
  <c r="U178" i="12"/>
  <c r="K16" i="12"/>
  <c r="W235" i="12" a="1"/>
  <c r="W235" i="12" s="1"/>
  <c r="X235" i="12" a="1"/>
  <c r="X235" i="12" s="1"/>
  <c r="W67" i="8" a="1"/>
  <c r="W67" i="8" s="1"/>
  <c r="W65" i="8" s="1" a="1"/>
  <c r="W65" i="8" s="1"/>
  <c r="X24" i="12" a="1"/>
  <c r="X24" i="12" s="1"/>
  <c r="W24" i="12" a="1"/>
  <c r="W24" i="12" s="1"/>
  <c r="W25" i="12" a="1"/>
  <c r="W25" i="12" s="1"/>
  <c r="X25" i="12" a="1"/>
  <c r="X25" i="12" s="1"/>
  <c r="D142" i="12"/>
  <c r="I113" i="8"/>
  <c r="A113" i="8" s="1"/>
  <c r="E142" i="6"/>
  <c r="U216" i="12"/>
  <c r="T216" i="12"/>
  <c r="V216" i="12" a="1"/>
  <c r="V216" i="12" s="1"/>
  <c r="U228" i="12"/>
  <c r="T228" i="12"/>
  <c r="V228" i="12" a="1"/>
  <c r="V228" i="12" s="1"/>
  <c r="W114" i="12" a="1"/>
  <c r="W114" i="12" s="1"/>
  <c r="X114" i="12" a="1"/>
  <c r="X114" i="12" s="1"/>
  <c r="T130" i="12"/>
  <c r="U130" i="12"/>
  <c r="V130" i="12" a="1"/>
  <c r="V130" i="12" s="1"/>
  <c r="E204" i="6"/>
  <c r="I137" i="8"/>
  <c r="A137" i="8" s="1"/>
  <c r="D204" i="12"/>
  <c r="U232" i="12"/>
  <c r="V232" i="12" a="1"/>
  <c r="V232" i="12" s="1"/>
  <c r="T232" i="12"/>
  <c r="K142" i="12"/>
  <c r="E156" i="6"/>
  <c r="D156" i="12"/>
  <c r="I116" i="8"/>
  <c r="A116" i="8" s="1"/>
  <c r="N167" i="12"/>
  <c r="W201" i="12" a="1"/>
  <c r="W201" i="12" s="1"/>
  <c r="X201" i="12" a="1"/>
  <c r="X201" i="12" s="1"/>
  <c r="Y62" i="12"/>
  <c r="X104" i="12" a="1"/>
  <c r="X104" i="12" s="1"/>
  <c r="W104" i="12" a="1"/>
  <c r="W104" i="12" s="1"/>
  <c r="U145" i="12"/>
  <c r="V145" i="12" a="1"/>
  <c r="V145" i="12" s="1"/>
  <c r="T145" i="12"/>
  <c r="U144" i="12"/>
  <c r="V144" i="12" a="1"/>
  <c r="V144" i="12" s="1"/>
  <c r="T144" i="12"/>
  <c r="V215" i="12" a="1"/>
  <c r="V215" i="12" s="1"/>
  <c r="T215" i="12"/>
  <c r="U215" i="12"/>
  <c r="W238" i="12" a="1"/>
  <c r="W238" i="12" s="1"/>
  <c r="X238" i="12" a="1"/>
  <c r="X238" i="12" s="1"/>
  <c r="V185" i="12" a="1"/>
  <c r="V185" i="12" s="1"/>
  <c r="U185" i="12"/>
  <c r="T185" i="12"/>
  <c r="AB23" i="11" a="1"/>
  <c r="AB23" i="11" s="1"/>
  <c r="N23" i="11" s="1"/>
  <c r="AD23" i="13" a="1"/>
  <c r="AD23" i="13" s="1"/>
  <c r="S23" i="13" s="1"/>
  <c r="AG23" i="13" a="1"/>
  <c r="AG23" i="13" s="1"/>
  <c r="U23" i="13" s="1"/>
  <c r="Y99" i="12"/>
  <c r="D203" i="12"/>
  <c r="E203" i="6"/>
  <c r="I134" i="8"/>
  <c r="A134" i="8" s="1"/>
  <c r="W122" i="12" a="1"/>
  <c r="W122" i="12" s="1"/>
  <c r="X122" i="12" a="1"/>
  <c r="X122" i="12" s="1"/>
  <c r="X184" i="12" a="1"/>
  <c r="X184" i="12" s="1"/>
  <c r="W184" i="12" a="1"/>
  <c r="W184" i="12" s="1"/>
  <c r="W188" i="12" a="1"/>
  <c r="W188" i="12" s="1"/>
  <c r="X188" i="12" a="1"/>
  <c r="X188" i="12" s="1"/>
  <c r="X199" i="12" a="1"/>
  <c r="X199" i="12" s="1"/>
  <c r="W199" i="12" a="1"/>
  <c r="W199" i="12" s="1"/>
  <c r="W60" i="12" a="1"/>
  <c r="W60" i="12" s="1"/>
  <c r="X60" i="12" a="1"/>
  <c r="X60" i="12" s="1"/>
  <c r="W172" i="12" a="1"/>
  <c r="W172" i="12" s="1"/>
  <c r="X172" i="12" a="1"/>
  <c r="X172" i="12" s="1"/>
  <c r="X75" i="12" a="1"/>
  <c r="X75" i="12" s="1"/>
  <c r="W75" i="12" a="1"/>
  <c r="W75" i="12" s="1"/>
  <c r="Y106" i="8" a="1"/>
  <c r="Y106" i="8" s="1"/>
  <c r="Y104" i="8" s="1" a="1"/>
  <c r="Y104" i="8" s="1"/>
  <c r="L134" i="12" a="1"/>
  <c r="L134" i="12" s="1"/>
  <c r="K134" i="12" s="1"/>
  <c r="N134" i="12"/>
  <c r="W194" i="12" a="1"/>
  <c r="W194" i="12" s="1"/>
  <c r="X194" i="12" a="1"/>
  <c r="X194" i="12" s="1"/>
  <c r="X119" i="12" a="1"/>
  <c r="X119" i="12" s="1"/>
  <c r="W119" i="12" a="1"/>
  <c r="W119" i="12" s="1"/>
  <c r="W22" i="12" a="1"/>
  <c r="W22" i="12" s="1"/>
  <c r="X22" i="12" a="1"/>
  <c r="X22" i="12" s="1"/>
  <c r="U171" i="12"/>
  <c r="V171" i="12" a="1"/>
  <c r="V171" i="12" s="1"/>
  <c r="T171" i="12"/>
  <c r="Y101" i="12"/>
  <c r="Y61" i="12"/>
  <c r="X187" i="12" a="1"/>
  <c r="X187" i="12" s="1"/>
  <c r="W187" i="12" a="1"/>
  <c r="W187" i="12" s="1"/>
  <c r="X54" i="12" a="1"/>
  <c r="X54" i="12" s="1"/>
  <c r="W54" i="12" a="1"/>
  <c r="W54" i="12" s="1"/>
  <c r="X44" i="12" a="1"/>
  <c r="X44" i="12" s="1"/>
  <c r="W44" i="12" a="1"/>
  <c r="W44" i="12" s="1"/>
  <c r="K132" i="12"/>
  <c r="E234" i="6"/>
  <c r="D234" i="12"/>
  <c r="I149" i="8"/>
  <c r="A149" i="8" s="1"/>
  <c r="AA16" i="11" a="1"/>
  <c r="AA16" i="11" s="1"/>
  <c r="AF16" i="13" a="1"/>
  <c r="AF16" i="13" s="1"/>
  <c r="T16" i="13" s="1"/>
  <c r="AC16" i="13" a="1"/>
  <c r="AC16" i="13" s="1"/>
  <c r="R16" i="13" s="1"/>
  <c r="AC11" i="5"/>
  <c r="X106" i="8" a="1"/>
  <c r="X106" i="8" s="1"/>
  <c r="X104" i="8" s="1" a="1"/>
  <c r="X104" i="8" s="1"/>
  <c r="AG106" i="8" a="1"/>
  <c r="AG106" i="8" s="1"/>
  <c r="AG104" i="8" s="1" a="1"/>
  <c r="AG104" i="8" s="1"/>
  <c r="W67" i="12" a="1"/>
  <c r="W67" i="12" s="1"/>
  <c r="X67" i="12" a="1"/>
  <c r="X67" i="12" s="1"/>
  <c r="Y132" i="12"/>
  <c r="X67" i="8" a="1"/>
  <c r="X67" i="8" s="1"/>
  <c r="X65" i="8" s="1" a="1"/>
  <c r="X65" i="8" s="1"/>
  <c r="W27" i="12" a="1"/>
  <c r="W27" i="12" s="1"/>
  <c r="X27" i="12" a="1"/>
  <c r="X27" i="12" s="1"/>
  <c r="X17" i="12" a="1"/>
  <c r="X17" i="12" s="1"/>
  <c r="W17" i="12" a="1"/>
  <c r="W17" i="12" s="1"/>
  <c r="W202" i="12" a="1"/>
  <c r="W202" i="12" s="1"/>
  <c r="X202" i="12" a="1"/>
  <c r="X202" i="12" s="1"/>
  <c r="E115" i="6"/>
  <c r="D115" i="12"/>
  <c r="I95" i="8"/>
  <c r="A95" i="8" s="1"/>
  <c r="X116" i="12" a="1"/>
  <c r="X116" i="12" s="1"/>
  <c r="W116" i="12" a="1"/>
  <c r="W116" i="12" s="1"/>
  <c r="V40" i="12" a="1"/>
  <c r="V40" i="12" s="1"/>
  <c r="U40" i="12"/>
  <c r="T40" i="12"/>
  <c r="T43" i="12"/>
  <c r="U43" i="12"/>
  <c r="V43" i="12" a="1"/>
  <c r="V43" i="12" s="1"/>
  <c r="K99" i="12"/>
  <c r="D76" i="12"/>
  <c r="I62" i="8"/>
  <c r="A62" i="8" s="1"/>
  <c r="E76" i="6"/>
  <c r="N166" i="12"/>
  <c r="W63" i="12" a="1"/>
  <c r="W63" i="12" s="1"/>
  <c r="X63" i="12" a="1"/>
  <c r="X63" i="12" s="1"/>
  <c r="X126" i="12" a="1"/>
  <c r="X126" i="12" s="1"/>
  <c r="W126" i="12" a="1"/>
  <c r="W126" i="12" s="1"/>
  <c r="E73" i="6"/>
  <c r="I56" i="8"/>
  <c r="A56" i="8" s="1"/>
  <c r="D73" i="12"/>
  <c r="X79" i="12" a="1"/>
  <c r="X79" i="12" s="1"/>
  <c r="W79" i="12" a="1"/>
  <c r="W79" i="12" s="1"/>
  <c r="K133" i="12"/>
  <c r="AF15" i="13" a="1"/>
  <c r="AF15" i="13" s="1"/>
  <c r="T15" i="13" s="1"/>
  <c r="AC15" i="13" a="1"/>
  <c r="AC15" i="13" s="1"/>
  <c r="R15" i="13" s="1"/>
  <c r="AA15" i="11" a="1"/>
  <c r="AA15" i="11" s="1"/>
  <c r="W42" i="12" a="1"/>
  <c r="W42" i="12" s="1"/>
  <c r="X42" i="12" a="1"/>
  <c r="X42" i="12" s="1"/>
  <c r="V105" i="12" a="1"/>
  <c r="V105" i="12" s="1"/>
  <c r="U105" i="12"/>
  <c r="T105" i="12"/>
  <c r="W100" i="12" a="1"/>
  <c r="W100" i="12" s="1"/>
  <c r="X100" i="12" a="1"/>
  <c r="X100" i="12" s="1"/>
  <c r="V220" i="12" a="1"/>
  <c r="V220" i="12" s="1"/>
  <c r="T220" i="12"/>
  <c r="U220" i="12"/>
  <c r="T211" i="12"/>
  <c r="U211" i="12"/>
  <c r="V211" i="12" a="1"/>
  <c r="V211" i="12" s="1"/>
  <c r="W85" i="12" a="1"/>
  <c r="W85" i="12" s="1"/>
  <c r="X85" i="12" a="1"/>
  <c r="X85" i="12" s="1"/>
  <c r="AG15" i="13" a="1"/>
  <c r="AG15" i="13" s="1"/>
  <c r="U15" i="13" s="1"/>
  <c r="AB15" i="11" a="1"/>
  <c r="AB15" i="11" s="1"/>
  <c r="N15" i="11" s="1"/>
  <c r="AD15" i="13" a="1"/>
  <c r="AD15" i="13" s="1"/>
  <c r="S15" i="13" s="1"/>
  <c r="X76" i="12" a="1"/>
  <c r="X76" i="12" s="1"/>
  <c r="W76" i="12" a="1"/>
  <c r="W76" i="12" s="1"/>
  <c r="V109" i="12" a="1"/>
  <c r="V109" i="12" s="1"/>
  <c r="T109" i="12"/>
  <c r="U109" i="12"/>
  <c r="D19" i="13"/>
  <c r="P19" i="13"/>
  <c r="U21" i="12"/>
  <c r="V21" i="12" a="1"/>
  <c r="V21" i="12" s="1"/>
  <c r="T21" i="12"/>
  <c r="W243" i="12" a="1"/>
  <c r="W243" i="12" s="1"/>
  <c r="X243" i="12" a="1"/>
  <c r="X243" i="12" s="1"/>
  <c r="Y83" i="12"/>
  <c r="X50" i="12" a="1"/>
  <c r="X50" i="12" s="1"/>
  <c r="W50" i="12" a="1"/>
  <c r="W50" i="12" s="1"/>
  <c r="X28" i="12" a="1"/>
  <c r="X28" i="12" s="1"/>
  <c r="W28" i="12" a="1"/>
  <c r="W28" i="12" s="1"/>
  <c r="W120" i="12" a="1"/>
  <c r="W120" i="12" s="1"/>
  <c r="X120" i="12" a="1"/>
  <c r="X120" i="12" s="1"/>
  <c r="AB16" i="11" a="1"/>
  <c r="AB16" i="11" s="1"/>
  <c r="N16" i="11" s="1"/>
  <c r="AD16" i="13" a="1"/>
  <c r="AD16" i="13" s="1"/>
  <c r="S16" i="13" s="1"/>
  <c r="AG16" i="13" a="1"/>
  <c r="AG16" i="13" s="1"/>
  <c r="U16" i="13" s="1"/>
  <c r="N115" i="12"/>
  <c r="W69" i="12" a="1"/>
  <c r="W69" i="12" s="1"/>
  <c r="X69" i="12" a="1"/>
  <c r="X69" i="12" s="1"/>
  <c r="W78" i="12" a="1"/>
  <c r="W78" i="12" s="1"/>
  <c r="X78" i="12" a="1"/>
  <c r="X78" i="12" s="1"/>
  <c r="E107" i="6"/>
  <c r="I86" i="8"/>
  <c r="A86" i="8" s="1"/>
  <c r="D107" i="12"/>
  <c r="W106" i="8" a="1"/>
  <c r="W106" i="8" s="1"/>
  <c r="W104" i="8" s="1" a="1"/>
  <c r="W104" i="8" s="1"/>
  <c r="V155" i="12" a="1"/>
  <c r="V155" i="12" s="1"/>
  <c r="T155" i="12"/>
  <c r="U155" i="12"/>
  <c r="P22" i="13"/>
  <c r="D22" i="13"/>
  <c r="N75" i="12"/>
  <c r="Y115" i="12"/>
  <c r="D61" i="12"/>
  <c r="I47" i="8"/>
  <c r="A47" i="8" s="1"/>
  <c r="E61" i="6"/>
  <c r="D22" i="12"/>
  <c r="E22" i="6"/>
  <c r="I23" i="8"/>
  <c r="A23" i="8" s="1"/>
  <c r="T52" i="12"/>
  <c r="V52" i="12" a="1"/>
  <c r="V52" i="12" s="1"/>
  <c r="U52" i="12"/>
  <c r="O25" i="11"/>
  <c r="AA7" i="11"/>
  <c r="X55" i="12" a="1"/>
  <c r="X55" i="12" s="1"/>
  <c r="W55" i="12" a="1"/>
  <c r="W55" i="12" s="1"/>
  <c r="T183" i="12"/>
  <c r="V183" i="12" a="1"/>
  <c r="V183" i="12" s="1"/>
  <c r="U183" i="12"/>
  <c r="AC7" i="5"/>
  <c r="Y94" i="12"/>
  <c r="AN106" i="8" a="1"/>
  <c r="AN106" i="8" s="1"/>
  <c r="AN104" i="8" s="1" a="1"/>
  <c r="AN104" i="8" s="1"/>
  <c r="AM106" i="8" a="1"/>
  <c r="AM106" i="8" s="1"/>
  <c r="AM104" i="8" s="1" a="1"/>
  <c r="AM104" i="8" s="1"/>
  <c r="I35" i="8"/>
  <c r="A35" i="8" s="1"/>
  <c r="E36" i="6"/>
  <c r="D36" i="12"/>
  <c r="Y66" i="12"/>
  <c r="Y134" i="12"/>
  <c r="N110" i="12"/>
  <c r="I146" i="8"/>
  <c r="D233" i="12"/>
  <c r="E233" i="6"/>
  <c r="Y204" i="12"/>
  <c r="D50" i="12"/>
  <c r="E50" i="6"/>
  <c r="I44" i="8"/>
  <c r="A44" i="8" s="1"/>
  <c r="T68" i="12"/>
  <c r="V68" i="12" a="1"/>
  <c r="V68" i="12" s="1"/>
  <c r="U68" i="12"/>
  <c r="N225" i="12"/>
  <c r="I17" i="8"/>
  <c r="A17" i="8" s="1"/>
  <c r="D17" i="12"/>
  <c r="E17" i="6"/>
  <c r="X140" i="12" a="1"/>
  <c r="X140" i="12" s="1"/>
  <c r="W140" i="12" a="1"/>
  <c r="W140" i="12" s="1"/>
  <c r="E110" i="6"/>
  <c r="I89" i="8"/>
  <c r="A89" i="8" s="1"/>
  <c r="D110" i="12"/>
  <c r="W18" i="12" a="1"/>
  <c r="W18" i="12" s="1"/>
  <c r="X18" i="12" a="1"/>
  <c r="X18" i="12" s="1"/>
  <c r="V206" i="12" a="1"/>
  <c r="V206" i="12" s="1"/>
  <c r="T206" i="12"/>
  <c r="U206" i="12"/>
  <c r="K22" i="12"/>
  <c r="V31" i="12" a="1"/>
  <c r="V31" i="12" s="1"/>
  <c r="T31" i="12"/>
  <c r="U31" i="12"/>
  <c r="W231" i="12" a="1"/>
  <c r="W231" i="12" s="1"/>
  <c r="X231" i="12" a="1"/>
  <c r="X231" i="12" s="1"/>
  <c r="E128" i="6"/>
  <c r="D128" i="12"/>
  <c r="I101" i="8"/>
  <c r="A101" i="8" s="1"/>
  <c r="Y125" i="12"/>
  <c r="V169" i="12" a="1"/>
  <c r="V169" i="12" s="1"/>
  <c r="T169" i="12"/>
  <c r="U169" i="12"/>
  <c r="D15" i="13"/>
  <c r="P15" i="13"/>
  <c r="V15" i="13"/>
  <c r="V16" i="13" s="1"/>
  <c r="V17" i="13" s="1"/>
  <c r="V18" i="13" s="1"/>
  <c r="V19" i="13" s="1"/>
  <c r="V20" i="13" s="1"/>
  <c r="V21" i="13" s="1"/>
  <c r="V22" i="13" s="1"/>
  <c r="V23" i="13" s="1"/>
  <c r="K102" i="12"/>
  <c r="N128" i="12"/>
  <c r="L25" i="12" a="1"/>
  <c r="L25" i="12" s="1"/>
  <c r="K25" i="12" s="1"/>
  <c r="N25" i="12"/>
  <c r="U160" i="12"/>
  <c r="V160" i="12" a="1"/>
  <c r="V160" i="12" s="1"/>
  <c r="T160" i="12"/>
  <c r="X226" i="12" a="1"/>
  <c r="X226" i="12" s="1"/>
  <c r="W226" i="12" a="1"/>
  <c r="W226" i="12" s="1"/>
  <c r="K107" i="12"/>
  <c r="W173" i="12" a="1"/>
  <c r="W173" i="12" s="1"/>
  <c r="X173" i="12" a="1"/>
  <c r="X173" i="12" s="1"/>
  <c r="G11" i="11"/>
  <c r="K84" i="12"/>
  <c r="D101" i="12"/>
  <c r="I80" i="8"/>
  <c r="A80" i="8" s="1"/>
  <c r="E101" i="6"/>
  <c r="X151" i="12" a="1"/>
  <c r="X151" i="12" s="1"/>
  <c r="W151" i="12" a="1"/>
  <c r="W151" i="12" s="1"/>
  <c r="X95" i="12" a="1"/>
  <c r="X95" i="12" s="1"/>
  <c r="W95" i="12" a="1"/>
  <c r="W95" i="12" s="1"/>
  <c r="D166" i="12"/>
  <c r="E166" i="6"/>
  <c r="I119" i="8"/>
  <c r="A119" i="8" s="1"/>
  <c r="X86" i="12" a="1"/>
  <c r="X86" i="12" s="1"/>
  <c r="W86" i="12" a="1"/>
  <c r="W86" i="12" s="1"/>
  <c r="AB19" i="11" a="1"/>
  <c r="AB19" i="11" s="1"/>
  <c r="N19" i="11" s="1"/>
  <c r="AG19" i="13" a="1"/>
  <c r="AG19" i="13" s="1"/>
  <c r="U19" i="13" s="1"/>
  <c r="AD19" i="13" a="1"/>
  <c r="AD19" i="13" s="1"/>
  <c r="S19" i="13" s="1"/>
  <c r="X189" i="12" a="1"/>
  <c r="X189" i="12" s="1"/>
  <c r="W189" i="12" a="1"/>
  <c r="W189" i="12" s="1"/>
  <c r="Y133" i="12"/>
  <c r="W47" i="12" a="1"/>
  <c r="W47" i="12" s="1"/>
  <c r="X47" i="12" a="1"/>
  <c r="X47" i="12" s="1"/>
  <c r="W203" i="12" a="1"/>
  <c r="W203" i="12" s="1"/>
  <c r="X203" i="12" a="1"/>
  <c r="X203" i="12" s="1"/>
  <c r="X118" i="12" a="1"/>
  <c r="X118" i="12" s="1"/>
  <c r="W118" i="12" a="1"/>
  <c r="W118" i="12" s="1"/>
  <c r="T229" i="12"/>
  <c r="V229" i="12" a="1"/>
  <c r="V229" i="12" s="1"/>
  <c r="U229" i="12"/>
  <c r="W16" i="12" a="1"/>
  <c r="W16" i="12" s="1"/>
  <c r="X16" i="12" a="1"/>
  <c r="X16" i="12" s="1"/>
  <c r="V124" i="12" a="1"/>
  <c r="V124" i="12" s="1"/>
  <c r="T124" i="12"/>
  <c r="U124" i="12"/>
  <c r="V82" i="12" a="1"/>
  <c r="V82" i="12" s="1"/>
  <c r="T82" i="12"/>
  <c r="U82" i="12"/>
  <c r="D23" i="12"/>
  <c r="I26" i="8"/>
  <c r="A26" i="8" s="1"/>
  <c r="E23" i="6"/>
  <c r="Y84" i="12"/>
  <c r="T53" i="12"/>
  <c r="U53" i="12"/>
  <c r="V53" i="12" a="1"/>
  <c r="V53" i="12" s="1"/>
  <c r="E94" i="6"/>
  <c r="I74" i="8"/>
  <c r="A74" i="8" s="1"/>
  <c r="D94" i="12"/>
  <c r="D83" i="12"/>
  <c r="E83" i="6"/>
  <c r="I65" i="8"/>
  <c r="A65" i="8" s="1"/>
  <c r="K76" i="12"/>
  <c r="U147" i="12"/>
  <c r="T147" i="12"/>
  <c r="V147" i="12" a="1"/>
  <c r="V147" i="12" s="1"/>
  <c r="W197" i="12" a="1"/>
  <c r="W197" i="12" s="1"/>
  <c r="X197" i="12" a="1"/>
  <c r="X197" i="12" s="1"/>
  <c r="W77" i="12" a="1"/>
  <c r="W77" i="12" s="1"/>
  <c r="X77" i="12" a="1"/>
  <c r="X77" i="12" s="1"/>
  <c r="W166" i="12" a="1"/>
  <c r="W166" i="12" s="1"/>
  <c r="X166" i="12" a="1"/>
  <c r="X166" i="12" s="1"/>
  <c r="N26" i="12"/>
  <c r="V152" i="12" a="1"/>
  <c r="V152" i="12" s="1"/>
  <c r="T152" i="12"/>
  <c r="U152" i="12"/>
  <c r="K61" i="12"/>
  <c r="Y225" i="12"/>
  <c r="U194" i="12" l="1"/>
  <c r="V194" i="12" a="1"/>
  <c r="V194" i="12" s="1"/>
  <c r="T194" i="12"/>
  <c r="T234" i="12"/>
  <c r="U234" i="12"/>
  <c r="V234" i="12" a="1"/>
  <c r="V234" i="12" s="1"/>
  <c r="Z23" i="11"/>
  <c r="U103" i="12"/>
  <c r="V103" i="12" a="1"/>
  <c r="V103" i="12" s="1"/>
  <c r="T103" i="12"/>
  <c r="U37" i="12"/>
  <c r="T37" i="12"/>
  <c r="V37" i="12" a="1"/>
  <c r="V37" i="12" s="1"/>
  <c r="N14" i="11"/>
  <c r="AB24" i="11"/>
  <c r="AB7" i="11" s="1"/>
  <c r="Z3" i="11" s="1"/>
  <c r="AA3" i="11" s="1" a="1"/>
  <c r="AA3" i="11" s="1"/>
  <c r="V77" i="12" a="1"/>
  <c r="V77" i="12" s="1"/>
  <c r="U77" i="12"/>
  <c r="T77" i="12"/>
  <c r="T16" i="12"/>
  <c r="U16" i="12"/>
  <c r="V16" i="12" a="1"/>
  <c r="V16" i="12" s="1"/>
  <c r="W134" i="12" a="1"/>
  <c r="W134" i="12" s="1"/>
  <c r="X134" i="12" a="1"/>
  <c r="X134" i="12" s="1"/>
  <c r="T120" i="12"/>
  <c r="V120" i="12" a="1"/>
  <c r="V120" i="12" s="1"/>
  <c r="U120" i="12"/>
  <c r="U113" i="12"/>
  <c r="V113" i="12" a="1"/>
  <c r="V113" i="12" s="1"/>
  <c r="T113" i="12"/>
  <c r="V180" i="12" a="1"/>
  <c r="V180" i="12" s="1"/>
  <c r="U180" i="12"/>
  <c r="T180" i="12"/>
  <c r="W125" i="12" a="1"/>
  <c r="W125" i="12" s="1"/>
  <c r="X125" i="12" a="1"/>
  <c r="X125" i="12" s="1"/>
  <c r="X66" i="12" a="1"/>
  <c r="X66" i="12" s="1"/>
  <c r="W66" i="12" a="1"/>
  <c r="W66" i="12" s="1"/>
  <c r="Z15" i="11"/>
  <c r="T63" i="12"/>
  <c r="V63" i="12" a="1"/>
  <c r="V63" i="12" s="1"/>
  <c r="U63" i="12"/>
  <c r="W132" i="12" a="1"/>
  <c r="W132" i="12" s="1"/>
  <c r="X132" i="12" a="1"/>
  <c r="X132" i="12" s="1"/>
  <c r="V75" i="12" a="1"/>
  <c r="V75" i="12" s="1"/>
  <c r="T75" i="12"/>
  <c r="U75" i="12"/>
  <c r="T26" i="12"/>
  <c r="U26" i="12"/>
  <c r="V26" i="12" a="1"/>
  <c r="V26" i="12" s="1"/>
  <c r="T157" i="12"/>
  <c r="U157" i="12"/>
  <c r="V157" i="12" a="1"/>
  <c r="V157" i="12" s="1"/>
  <c r="V32" i="12" a="1"/>
  <c r="V32" i="12" s="1"/>
  <c r="U32" i="12"/>
  <c r="T32" i="12"/>
  <c r="U55" i="12"/>
  <c r="T55" i="12"/>
  <c r="V55" i="12" a="1"/>
  <c r="V55" i="12" s="1"/>
  <c r="X174" i="8"/>
  <c r="V122" i="12" a="1"/>
  <c r="V122" i="12" s="1"/>
  <c r="U122" i="12"/>
  <c r="T122" i="12"/>
  <c r="T238" i="12"/>
  <c r="U238" i="12"/>
  <c r="V238" i="12" a="1"/>
  <c r="V238" i="12" s="1"/>
  <c r="W62" i="12" a="1"/>
  <c r="W62" i="12" s="1"/>
  <c r="X62" i="12" a="1"/>
  <c r="X62" i="12" s="1"/>
  <c r="U176" i="12"/>
  <c r="V176" i="12" a="1"/>
  <c r="V176" i="12" s="1"/>
  <c r="T176" i="12"/>
  <c r="X217" i="12" a="1"/>
  <c r="X217" i="12" s="1"/>
  <c r="W217" i="12" a="1"/>
  <c r="W217" i="12" s="1"/>
  <c r="T88" i="12"/>
  <c r="U88" i="12"/>
  <c r="V88" i="12" a="1"/>
  <c r="V88" i="12" s="1"/>
  <c r="X45" i="12" a="1"/>
  <c r="X45" i="12" s="1"/>
  <c r="W45" i="12" a="1"/>
  <c r="W45" i="12" s="1"/>
  <c r="V212" i="12" a="1"/>
  <c r="V212" i="12" s="1"/>
  <c r="T212" i="12"/>
  <c r="U212" i="12"/>
  <c r="T107" i="12"/>
  <c r="V107" i="12" a="1"/>
  <c r="V107" i="12" s="1"/>
  <c r="U107" i="12"/>
  <c r="U196" i="12"/>
  <c r="T196" i="12"/>
  <c r="V196" i="12" a="1"/>
  <c r="V196" i="12" s="1"/>
  <c r="T170" i="12"/>
  <c r="U170" i="12"/>
  <c r="V170" i="12" a="1"/>
  <c r="V170" i="12" s="1"/>
  <c r="Z19" i="11"/>
  <c r="Z22" i="11"/>
  <c r="T151" i="12"/>
  <c r="V151" i="12" a="1"/>
  <c r="V151" i="12" s="1"/>
  <c r="U151" i="12"/>
  <c r="Z16" i="11"/>
  <c r="E174" i="8"/>
  <c r="T42" i="12"/>
  <c r="V42" i="12" a="1"/>
  <c r="V42" i="12" s="1"/>
  <c r="U42" i="12"/>
  <c r="U104" i="12"/>
  <c r="T104" i="12"/>
  <c r="V104" i="12" a="1"/>
  <c r="V104" i="12" s="1"/>
  <c r="V235" i="12" a="1"/>
  <c r="V235" i="12" s="1"/>
  <c r="U235" i="12"/>
  <c r="T235" i="12"/>
  <c r="V65" i="12" a="1"/>
  <c r="V65" i="12" s="1"/>
  <c r="T65" i="12"/>
  <c r="U65" i="12"/>
  <c r="T97" i="12"/>
  <c r="U97" i="12"/>
  <c r="V97" i="12" a="1"/>
  <c r="V97" i="12" s="1"/>
  <c r="V89" i="12" a="1"/>
  <c r="V89" i="12" s="1"/>
  <c r="T89" i="12"/>
  <c r="U89" i="12"/>
  <c r="U191" i="12"/>
  <c r="T191" i="12"/>
  <c r="V191" i="12" a="1"/>
  <c r="V191" i="12" s="1"/>
  <c r="U30" i="12"/>
  <c r="V30" i="12" a="1"/>
  <c r="V30" i="12" s="1"/>
  <c r="T30" i="12"/>
  <c r="U51" i="12"/>
  <c r="V51" i="12" a="1"/>
  <c r="V51" i="12" s="1"/>
  <c r="T51" i="12"/>
  <c r="X84" i="12" a="1"/>
  <c r="X84" i="12" s="1"/>
  <c r="W84" i="12" a="1"/>
  <c r="W84" i="12" s="1"/>
  <c r="U28" i="12"/>
  <c r="T28" i="12"/>
  <c r="V28" i="12" a="1"/>
  <c r="V28" i="12" s="1"/>
  <c r="T116" i="12"/>
  <c r="U116" i="12"/>
  <c r="V116" i="12" a="1"/>
  <c r="V116" i="12" s="1"/>
  <c r="U173" i="8" a="1"/>
  <c r="U173" i="8" s="1"/>
  <c r="U49" i="12"/>
  <c r="V49" i="12" a="1"/>
  <c r="V49" i="12" s="1"/>
  <c r="T49" i="12"/>
  <c r="T18" i="12"/>
  <c r="U18" i="12"/>
  <c r="V18" i="12" a="1"/>
  <c r="V18" i="12" s="1"/>
  <c r="W115" i="12" a="1"/>
  <c r="W115" i="12" s="1"/>
  <c r="X115" i="12" a="1"/>
  <c r="X115" i="12" s="1"/>
  <c r="T50" i="12"/>
  <c r="U50" i="12"/>
  <c r="V50" i="12" a="1"/>
  <c r="V50" i="12" s="1"/>
  <c r="T67" i="12"/>
  <c r="U67" i="12"/>
  <c r="V67" i="12" a="1"/>
  <c r="V67" i="12" s="1"/>
  <c r="W174" i="8"/>
  <c r="V19" i="12" a="1"/>
  <c r="V19" i="12" s="1"/>
  <c r="T19" i="12"/>
  <c r="U19" i="12"/>
  <c r="T33" i="12"/>
  <c r="U33" i="12"/>
  <c r="V33" i="12" a="1"/>
  <c r="V33" i="12" s="1"/>
  <c r="U143" i="12"/>
  <c r="V143" i="12" a="1"/>
  <c r="V143" i="12" s="1"/>
  <c r="T143" i="12"/>
  <c r="T165" i="12"/>
  <c r="V165" i="12" a="1"/>
  <c r="V165" i="12" s="1"/>
  <c r="U165" i="12"/>
  <c r="U96" i="12"/>
  <c r="V96" i="12" a="1"/>
  <c r="V96" i="12" s="1"/>
  <c r="T96" i="12"/>
  <c r="V208" i="12" a="1"/>
  <c r="V208" i="12" s="1"/>
  <c r="T208" i="12"/>
  <c r="U208" i="12"/>
  <c r="V227" i="12" a="1"/>
  <c r="V227" i="12" s="1"/>
  <c r="U227" i="12"/>
  <c r="T227" i="12"/>
  <c r="T48" i="12"/>
  <c r="U48" i="12"/>
  <c r="V48" i="12" a="1"/>
  <c r="V48" i="12" s="1"/>
  <c r="V153" i="12" a="1"/>
  <c r="V153" i="12" s="1"/>
  <c r="U153" i="12"/>
  <c r="T153" i="12"/>
  <c r="T106" i="12"/>
  <c r="U106" i="12"/>
  <c r="V106" i="12" a="1"/>
  <c r="V106" i="12" s="1"/>
  <c r="W61" i="12" a="1"/>
  <c r="W61" i="12" s="1"/>
  <c r="X61" i="12" a="1"/>
  <c r="X61" i="12" s="1"/>
  <c r="T188" i="12"/>
  <c r="V188" i="12" a="1"/>
  <c r="V188" i="12" s="1"/>
  <c r="U188" i="12"/>
  <c r="T241" i="12"/>
  <c r="V241" i="12" a="1"/>
  <c r="V241" i="12" s="1"/>
  <c r="U241" i="12"/>
  <c r="V128" i="12" a="1"/>
  <c r="V128" i="12" s="1"/>
  <c r="T128" i="12"/>
  <c r="U128" i="12"/>
  <c r="U197" i="12"/>
  <c r="V197" i="12" a="1"/>
  <c r="V197" i="12" s="1"/>
  <c r="T197" i="12"/>
  <c r="V189" i="12" a="1"/>
  <c r="V189" i="12" s="1"/>
  <c r="T189" i="12"/>
  <c r="U189" i="12"/>
  <c r="U85" i="12"/>
  <c r="T85" i="12"/>
  <c r="V85" i="12" a="1"/>
  <c r="V85" i="12" s="1"/>
  <c r="V27" i="12" a="1"/>
  <c r="V27" i="12" s="1"/>
  <c r="U27" i="12"/>
  <c r="T27" i="12"/>
  <c r="W101" i="12" a="1"/>
  <c r="W101" i="12" s="1"/>
  <c r="X101" i="12" a="1"/>
  <c r="X101" i="12" s="1"/>
  <c r="T110" i="12"/>
  <c r="U110" i="12"/>
  <c r="V110" i="12" a="1"/>
  <c r="V110" i="12" s="1"/>
  <c r="V218" i="12" a="1"/>
  <c r="V218" i="12" s="1"/>
  <c r="T218" i="12"/>
  <c r="U218" i="12"/>
  <c r="X225" i="12" a="1"/>
  <c r="X225" i="12" s="1"/>
  <c r="W225" i="12" a="1"/>
  <c r="W225" i="12" s="1"/>
  <c r="U65" i="8" a="1"/>
  <c r="U65" i="8" s="1"/>
  <c r="U172" i="8" s="1" a="1"/>
  <c r="U172" i="8" s="1"/>
  <c r="U174" i="8"/>
  <c r="U205" i="12"/>
  <c r="T205" i="12"/>
  <c r="V205" i="12" a="1"/>
  <c r="V205" i="12" s="1"/>
  <c r="V59" i="12" a="1"/>
  <c r="V59" i="12" s="1"/>
  <c r="T59" i="12"/>
  <c r="U59" i="12"/>
  <c r="T129" i="12"/>
  <c r="V129" i="12" a="1"/>
  <c r="V129" i="12" s="1"/>
  <c r="U129" i="12"/>
  <c r="T118" i="12"/>
  <c r="V118" i="12" a="1"/>
  <c r="V118" i="12" s="1"/>
  <c r="U118" i="12"/>
  <c r="T86" i="12"/>
  <c r="V86" i="12" a="1"/>
  <c r="V86" i="12" s="1"/>
  <c r="U86" i="12"/>
  <c r="V78" i="12" a="1"/>
  <c r="V78" i="12" s="1"/>
  <c r="T78" i="12"/>
  <c r="U78" i="12"/>
  <c r="T44" i="12"/>
  <c r="V44" i="12" a="1"/>
  <c r="V44" i="12" s="1"/>
  <c r="U44" i="12"/>
  <c r="U22" i="12"/>
  <c r="T22" i="12"/>
  <c r="V22" i="12" a="1"/>
  <c r="V22" i="12" s="1"/>
  <c r="V172" i="12" a="1"/>
  <c r="V172" i="12" s="1"/>
  <c r="U172" i="12"/>
  <c r="T172" i="12"/>
  <c r="U201" i="12"/>
  <c r="V201" i="12" a="1"/>
  <c r="V201" i="12" s="1"/>
  <c r="T201" i="12"/>
  <c r="U108" i="12"/>
  <c r="V108" i="12" a="1"/>
  <c r="V108" i="12" s="1"/>
  <c r="T108" i="12"/>
  <c r="AQ104" i="8" a="1"/>
  <c r="AQ104" i="8" s="1"/>
  <c r="V131" i="12" a="1"/>
  <c r="V131" i="12" s="1"/>
  <c r="U131" i="12"/>
  <c r="T131" i="12"/>
  <c r="V36" i="12" a="1"/>
  <c r="V36" i="12" s="1"/>
  <c r="U36" i="12"/>
  <c r="T36" i="12"/>
  <c r="V167" i="12" a="1"/>
  <c r="V167" i="12" s="1"/>
  <c r="U167" i="12"/>
  <c r="T167" i="12"/>
  <c r="T142" i="12"/>
  <c r="U142" i="12"/>
  <c r="V142" i="12" a="1"/>
  <c r="V142" i="12" s="1"/>
  <c r="T182" i="12"/>
  <c r="U182" i="12"/>
  <c r="V182" i="12" a="1"/>
  <c r="V182" i="12" s="1"/>
  <c r="X133" i="12" a="1"/>
  <c r="X133" i="12" s="1"/>
  <c r="W133" i="12" a="1"/>
  <c r="W133" i="12" s="1"/>
  <c r="U226" i="12"/>
  <c r="T226" i="12"/>
  <c r="V226" i="12" a="1"/>
  <c r="V226" i="12" s="1"/>
  <c r="V126" i="12" a="1"/>
  <c r="V126" i="12" s="1"/>
  <c r="U126" i="12"/>
  <c r="T126" i="12"/>
  <c r="U174" i="12"/>
  <c r="T174" i="12"/>
  <c r="V174" i="12" a="1"/>
  <c r="V174" i="12" s="1"/>
  <c r="T168" i="12"/>
  <c r="V168" i="12" a="1"/>
  <c r="V168" i="12" s="1"/>
  <c r="U168" i="12"/>
  <c r="V184" i="12" a="1"/>
  <c r="V184" i="12" s="1"/>
  <c r="U184" i="12"/>
  <c r="T184" i="12"/>
  <c r="U20" i="12"/>
  <c r="T20" i="12"/>
  <c r="V20" i="12" a="1"/>
  <c r="V20" i="12" s="1"/>
  <c r="AF65" i="8" a="1"/>
  <c r="AF65" i="8" s="1"/>
  <c r="V135" i="12" a="1"/>
  <c r="V135" i="12" s="1"/>
  <c r="T135" i="12"/>
  <c r="U135" i="12"/>
  <c r="T137" i="12"/>
  <c r="V137" i="12" a="1"/>
  <c r="V137" i="12" s="1"/>
  <c r="U137" i="12"/>
  <c r="W233" i="12" a="1"/>
  <c r="W233" i="12" s="1"/>
  <c r="X233" i="12" a="1"/>
  <c r="X233" i="12" s="1"/>
  <c r="T156" i="12"/>
  <c r="U156" i="12"/>
  <c r="V156" i="12" a="1"/>
  <c r="V156" i="12" s="1"/>
  <c r="Z21" i="11"/>
  <c r="W83" i="12" a="1"/>
  <c r="W83" i="12" s="1"/>
  <c r="X83" i="12" a="1"/>
  <c r="X83" i="12" s="1"/>
  <c r="U76" i="12"/>
  <c r="V76" i="12" a="1"/>
  <c r="V76" i="12" s="1"/>
  <c r="T76" i="12"/>
  <c r="V79" i="12" a="1"/>
  <c r="V79" i="12" s="1"/>
  <c r="T79" i="12"/>
  <c r="U79" i="12"/>
  <c r="U119" i="12"/>
  <c r="V119" i="12" a="1"/>
  <c r="V119" i="12" s="1"/>
  <c r="T119" i="12"/>
  <c r="X102" i="12" a="1"/>
  <c r="X102" i="12" s="1"/>
  <c r="W102" i="12" a="1"/>
  <c r="W102" i="12" s="1"/>
  <c r="T181" i="12"/>
  <c r="U181" i="12"/>
  <c r="V181" i="12" a="1"/>
  <c r="V181" i="12" s="1"/>
  <c r="F31" i="14"/>
  <c r="N26" i="13"/>
  <c r="E31" i="14" s="1"/>
  <c r="AC104" i="8" a="1"/>
  <c r="AC104" i="8" s="1"/>
  <c r="V150" i="12" a="1"/>
  <c r="V150" i="12" s="1"/>
  <c r="T150" i="12"/>
  <c r="U150" i="12"/>
  <c r="U213" i="12"/>
  <c r="V213" i="12" a="1"/>
  <c r="V213" i="12" s="1"/>
  <c r="T213" i="12"/>
  <c r="X91" i="12" a="1"/>
  <c r="X91" i="12" s="1"/>
  <c r="W91" i="12" a="1"/>
  <c r="W91" i="12" s="1"/>
  <c r="T195" i="12"/>
  <c r="V195" i="12" a="1"/>
  <c r="V195" i="12" s="1"/>
  <c r="U195" i="12"/>
  <c r="L24" i="13"/>
  <c r="M24" i="13"/>
  <c r="N24" i="13"/>
  <c r="O24" i="13"/>
  <c r="D33" i="14"/>
  <c r="O29" i="13"/>
  <c r="E34" i="14"/>
  <c r="P24" i="13"/>
  <c r="U69" i="12"/>
  <c r="T69" i="12"/>
  <c r="V69" i="12" a="1"/>
  <c r="V69" i="12" s="1"/>
  <c r="AD2" i="13"/>
  <c r="U34" i="12"/>
  <c r="V34" i="12" a="1"/>
  <c r="V34" i="12" s="1"/>
  <c r="T34" i="12"/>
  <c r="V29" i="12" a="1"/>
  <c r="V29" i="12" s="1"/>
  <c r="U29" i="12"/>
  <c r="T29" i="12"/>
  <c r="W175" i="12" a="1"/>
  <c r="W175" i="12" s="1"/>
  <c r="X175" i="12" a="1"/>
  <c r="X175" i="12" s="1"/>
  <c r="Z20" i="11"/>
  <c r="U146" i="12"/>
  <c r="V146" i="12" a="1"/>
  <c r="V146" i="12" s="1"/>
  <c r="T146" i="12"/>
  <c r="V161" i="12" a="1"/>
  <c r="V161" i="12" s="1"/>
  <c r="T161" i="12"/>
  <c r="U161" i="12"/>
  <c r="U219" i="12"/>
  <c r="T219" i="12"/>
  <c r="V219" i="12" a="1"/>
  <c r="V219" i="12" s="1"/>
  <c r="Z17" i="11"/>
  <c r="AA24" i="11"/>
  <c r="Z14" i="11"/>
  <c r="Z24" i="11" s="1"/>
  <c r="Z18" i="11"/>
  <c r="U74" i="12"/>
  <c r="T74" i="12"/>
  <c r="V74" i="12" a="1"/>
  <c r="V74" i="12" s="1"/>
  <c r="AE4" i="13"/>
  <c r="M25" i="13"/>
  <c r="T46" i="12"/>
  <c r="V46" i="12" a="1"/>
  <c r="V46" i="12" s="1"/>
  <c r="U46" i="12"/>
  <c r="T92" i="12"/>
  <c r="V92" i="12" a="1"/>
  <c r="V92" i="12" s="1"/>
  <c r="U92" i="12"/>
  <c r="U47" i="12"/>
  <c r="V47" i="12" a="1"/>
  <c r="V47" i="12" s="1"/>
  <c r="T47" i="12"/>
  <c r="V95" i="12" a="1"/>
  <c r="V95" i="12" s="1"/>
  <c r="T95" i="12"/>
  <c r="U95" i="12"/>
  <c r="V231" i="12" a="1"/>
  <c r="V231" i="12" s="1"/>
  <c r="T231" i="12"/>
  <c r="U231" i="12"/>
  <c r="U54" i="12"/>
  <c r="V54" i="12" a="1"/>
  <c r="V54" i="12" s="1"/>
  <c r="T54" i="12"/>
  <c r="V60" i="12" a="1"/>
  <c r="V60" i="12" s="1"/>
  <c r="T60" i="12"/>
  <c r="U60" i="12"/>
  <c r="W99" i="12" a="1"/>
  <c r="W99" i="12" s="1"/>
  <c r="X99" i="12" a="1"/>
  <c r="X99" i="12" s="1"/>
  <c r="V166" i="12" a="1"/>
  <c r="V166" i="12" s="1"/>
  <c r="U166" i="12"/>
  <c r="T166" i="12"/>
  <c r="V203" i="12" a="1"/>
  <c r="V203" i="12" s="1"/>
  <c r="T203" i="12"/>
  <c r="U203" i="12"/>
  <c r="T140" i="12"/>
  <c r="U140" i="12"/>
  <c r="V140" i="12" a="1"/>
  <c r="V140" i="12" s="1"/>
  <c r="W204" i="12" a="1"/>
  <c r="W204" i="12" s="1"/>
  <c r="X204" i="12" a="1"/>
  <c r="X204" i="12" s="1"/>
  <c r="W94" i="12" a="1"/>
  <c r="W94" i="12" s="1"/>
  <c r="X94" i="12" a="1"/>
  <c r="X94" i="12" s="1"/>
  <c r="U243" i="12"/>
  <c r="T243" i="12"/>
  <c r="V243" i="12" a="1"/>
  <c r="V243" i="12" s="1"/>
  <c r="U100" i="12"/>
  <c r="T100" i="12"/>
  <c r="V100" i="12" a="1"/>
  <c r="V100" i="12" s="1"/>
  <c r="T202" i="12"/>
  <c r="V202" i="12" a="1"/>
  <c r="V202" i="12" s="1"/>
  <c r="U202" i="12"/>
  <c r="V174" i="8"/>
  <c r="T199" i="12"/>
  <c r="U199" i="12"/>
  <c r="V199" i="12" a="1"/>
  <c r="V199" i="12" s="1"/>
  <c r="V25" i="12" a="1"/>
  <c r="V25" i="12" s="1"/>
  <c r="T25" i="12"/>
  <c r="U25" i="12"/>
  <c r="E172" i="8" a="1"/>
  <c r="E172" i="8" s="1"/>
  <c r="E167" i="8" s="1"/>
  <c r="U111" i="12"/>
  <c r="V111" i="12" a="1"/>
  <c r="V111" i="12" s="1"/>
  <c r="T111" i="12"/>
  <c r="V173" i="12" a="1"/>
  <c r="V173" i="12" s="1"/>
  <c r="U173" i="12"/>
  <c r="T173" i="12"/>
  <c r="N24" i="11"/>
  <c r="T17" i="12"/>
  <c r="V17" i="12" a="1"/>
  <c r="V17" i="12" s="1"/>
  <c r="U17" i="12"/>
  <c r="T187" i="12"/>
  <c r="U187" i="12"/>
  <c r="V187" i="12" a="1"/>
  <c r="V187" i="12" s="1"/>
  <c r="T114" i="12"/>
  <c r="U114" i="12"/>
  <c r="V114" i="12" a="1"/>
  <c r="V114" i="12" s="1"/>
  <c r="V24" i="12" a="1"/>
  <c r="V24" i="12" s="1"/>
  <c r="U24" i="12"/>
  <c r="T24" i="12"/>
  <c r="U159" i="12"/>
  <c r="V159" i="12" a="1"/>
  <c r="V159" i="12" s="1"/>
  <c r="T159" i="12"/>
  <c r="X73" i="12" a="1"/>
  <c r="X73" i="12" s="1"/>
  <c r="W73" i="12" a="1"/>
  <c r="W73" i="12" s="1"/>
  <c r="X23" i="12" a="1"/>
  <c r="X23" i="12" s="1"/>
  <c r="W23" i="12" a="1"/>
  <c r="W23" i="12" s="1"/>
  <c r="U35" i="12"/>
  <c r="T35" i="12"/>
  <c r="V35" i="12" a="1"/>
  <c r="V35" i="12" s="1"/>
  <c r="V207" i="12" a="1"/>
  <c r="V207" i="12" s="1"/>
  <c r="U207" i="12"/>
  <c r="T207" i="12"/>
  <c r="V72" i="12" a="1"/>
  <c r="V72" i="12" s="1"/>
  <c r="T72" i="12"/>
  <c r="U72" i="12"/>
  <c r="L27" i="13" l="1"/>
  <c r="N25" i="11"/>
  <c r="U62" i="12"/>
  <c r="T62" i="12"/>
  <c r="V62" i="12" a="1"/>
  <c r="V62" i="12" s="1"/>
  <c r="AM63" i="9"/>
  <c r="X169" i="8"/>
  <c r="X170" i="8"/>
  <c r="N63" i="9"/>
  <c r="Y174" i="8"/>
  <c r="U233" i="12"/>
  <c r="T233" i="12"/>
  <c r="V233" i="12" a="1"/>
  <c r="V233" i="12" s="1"/>
  <c r="G10" i="13"/>
  <c r="F34" i="14"/>
  <c r="T91" i="12"/>
  <c r="U91" i="12"/>
  <c r="V91" i="12" a="1"/>
  <c r="V91" i="12" s="1"/>
  <c r="U94" i="12"/>
  <c r="T94" i="12"/>
  <c r="V94" i="12" a="1"/>
  <c r="V94" i="12" s="1"/>
  <c r="V175" i="12" a="1"/>
  <c r="V175" i="12" s="1"/>
  <c r="T175" i="12"/>
  <c r="U175" i="12"/>
  <c r="U133" i="12"/>
  <c r="V133" i="12" a="1"/>
  <c r="V133" i="12" s="1"/>
  <c r="T133" i="12"/>
  <c r="V45" i="12" a="1"/>
  <c r="V45" i="12" s="1"/>
  <c r="U45" i="12"/>
  <c r="T45" i="12"/>
  <c r="U132" i="12"/>
  <c r="T132" i="12"/>
  <c r="V132" i="12" a="1"/>
  <c r="V132" i="12" s="1"/>
  <c r="V225" i="12" a="1"/>
  <c r="V225" i="12" s="1"/>
  <c r="T225" i="12"/>
  <c r="U225" i="12"/>
  <c r="U84" i="12"/>
  <c r="V84" i="12" a="1"/>
  <c r="V84" i="12" s="1"/>
  <c r="T84" i="12"/>
  <c r="V125" i="12" a="1"/>
  <c r="V125" i="12" s="1"/>
  <c r="U125" i="12"/>
  <c r="T125" i="12"/>
  <c r="V169" i="8"/>
  <c r="AI63" i="9"/>
  <c r="V170" i="8"/>
  <c r="J63" i="9"/>
  <c r="V99" i="12" a="1"/>
  <c r="V99" i="12" s="1"/>
  <c r="U99" i="12"/>
  <c r="T99" i="12"/>
  <c r="O27" i="13"/>
  <c r="AE2" i="13"/>
  <c r="L63" i="9"/>
  <c r="AK63" i="9"/>
  <c r="W169" i="8"/>
  <c r="W170" i="8"/>
  <c r="V173" i="8" a="1"/>
  <c r="V173" i="8" s="1"/>
  <c r="V171" i="8" s="1"/>
  <c r="V166" i="8" s="1"/>
  <c r="U168" i="8"/>
  <c r="E169" i="8"/>
  <c r="E165" i="8" s="1"/>
  <c r="E170" i="8"/>
  <c r="E175" i="8" s="1"/>
  <c r="E171" i="8"/>
  <c r="E166" i="8" s="1"/>
  <c r="U73" i="12"/>
  <c r="V73" i="12" a="1"/>
  <c r="V73" i="12" s="1"/>
  <c r="T73" i="12"/>
  <c r="V204" i="12" a="1"/>
  <c r="V204" i="12" s="1"/>
  <c r="T204" i="12"/>
  <c r="U204" i="12"/>
  <c r="T101" i="12"/>
  <c r="V101" i="12" a="1"/>
  <c r="V101" i="12" s="1"/>
  <c r="U101" i="12"/>
  <c r="V61" i="12" a="1"/>
  <c r="V61" i="12" s="1"/>
  <c r="T61" i="12"/>
  <c r="U61" i="12"/>
  <c r="AD14" i="11"/>
  <c r="AD20" i="11"/>
  <c r="AD23" i="11"/>
  <c r="AE22" i="11" s="1"/>
  <c r="M22" i="11" s="1"/>
  <c r="L22" i="11" s="1"/>
  <c r="AD17" i="11"/>
  <c r="AD22" i="11"/>
  <c r="AD15" i="11"/>
  <c r="AD19" i="11"/>
  <c r="AD18" i="11"/>
  <c r="AD16" i="11"/>
  <c r="AD12" i="11"/>
  <c r="AD21" i="11"/>
  <c r="AE20" i="11" s="1"/>
  <c r="M20" i="11" s="1"/>
  <c r="L20" i="11" s="1"/>
  <c r="U115" i="12"/>
  <c r="V115" i="12" a="1"/>
  <c r="V115" i="12" s="1"/>
  <c r="T115" i="12"/>
  <c r="T102" i="12"/>
  <c r="V102" i="12" a="1"/>
  <c r="V102" i="12" s="1"/>
  <c r="U102" i="12"/>
  <c r="V83" i="12" a="1"/>
  <c r="V83" i="12" s="1"/>
  <c r="T83" i="12"/>
  <c r="U83" i="12"/>
  <c r="V23" i="12" a="1"/>
  <c r="V23" i="12" s="1"/>
  <c r="T23" i="12"/>
  <c r="U23" i="12"/>
  <c r="U169" i="8"/>
  <c r="U170" i="8"/>
  <c r="H63" i="9"/>
  <c r="AG63" i="9"/>
  <c r="U171" i="8"/>
  <c r="U166" i="8" s="1"/>
  <c r="T66" i="12"/>
  <c r="V66" i="12" a="1"/>
  <c r="V66" i="12" s="1"/>
  <c r="U66" i="12"/>
  <c r="U134" i="12"/>
  <c r="T134" i="12"/>
  <c r="V134" i="12" a="1"/>
  <c r="V134" i="12" s="1"/>
  <c r="V172" i="8" a="1"/>
  <c r="V172" i="8" s="1"/>
  <c r="U167" i="8"/>
  <c r="T217" i="12"/>
  <c r="U217" i="12"/>
  <c r="V217" i="12" a="1"/>
  <c r="V217" i="12" s="1"/>
  <c r="AE15" i="11" l="1"/>
  <c r="M15" i="11" s="1"/>
  <c r="L15" i="11" s="1"/>
  <c r="P63" i="9"/>
  <c r="Y169" i="8"/>
  <c r="AO63" i="9"/>
  <c r="Y170" i="8"/>
  <c r="Z174" i="8"/>
  <c r="AE14" i="11"/>
  <c r="M14" i="11" s="1"/>
  <c r="AK62" i="9"/>
  <c r="AK65" i="9" s="1"/>
  <c r="L62" i="9"/>
  <c r="L65" i="9" s="1"/>
  <c r="AI62" i="9"/>
  <c r="AI65" i="9" s="1"/>
  <c r="J62" i="9"/>
  <c r="J65" i="9" s="1"/>
  <c r="AE21" i="11"/>
  <c r="M21" i="11" s="1"/>
  <c r="L21" i="11" s="1"/>
  <c r="AK61" i="9"/>
  <c r="W165" i="8"/>
  <c r="L61" i="9"/>
  <c r="W172" i="8" a="1"/>
  <c r="W172" i="8" s="1"/>
  <c r="V167" i="8"/>
  <c r="AC27" i="13"/>
  <c r="AD27" i="13"/>
  <c r="D32" i="14"/>
  <c r="V165" i="8"/>
  <c r="AI61" i="9"/>
  <c r="J61" i="9"/>
  <c r="N62" i="9"/>
  <c r="N65" i="9" s="1"/>
  <c r="AM62" i="9"/>
  <c r="AM65" i="9" s="1"/>
  <c r="AE17" i="11"/>
  <c r="M17" i="11" s="1"/>
  <c r="L17" i="11" s="1"/>
  <c r="AE18" i="11"/>
  <c r="M18" i="11" s="1"/>
  <c r="L18" i="11" s="1"/>
  <c r="AM61" i="9"/>
  <c r="N61" i="9"/>
  <c r="X165" i="8"/>
  <c r="W173" i="8" a="1"/>
  <c r="W173" i="8" s="1"/>
  <c r="V168" i="8"/>
  <c r="AE16" i="11"/>
  <c r="M16" i="11" s="1"/>
  <c r="L16" i="11" s="1"/>
  <c r="AE19" i="11"/>
  <c r="M19" i="11" s="1"/>
  <c r="L19" i="11" s="1"/>
  <c r="AE23" i="11"/>
  <c r="M23" i="11" s="1"/>
  <c r="L23" i="11" s="1"/>
  <c r="H62" i="9"/>
  <c r="H65" i="9" s="1"/>
  <c r="AG62" i="9"/>
  <c r="AG65" i="9" s="1"/>
  <c r="AE12" i="11"/>
  <c r="M12" i="11" s="1"/>
  <c r="L12" i="11" s="1"/>
  <c r="H61" i="9"/>
  <c r="AG61" i="9"/>
  <c r="U165" i="8"/>
  <c r="N27" i="13"/>
  <c r="E32" i="14" s="1"/>
  <c r="F32" i="14"/>
  <c r="O25" i="13"/>
  <c r="M24" i="11" l="1"/>
  <c r="L14" i="11"/>
  <c r="L24" i="11" s="1"/>
  <c r="H60" i="9"/>
  <c r="AG60" i="9"/>
  <c r="N60" i="9"/>
  <c r="AM60" i="9"/>
  <c r="AQ63" i="9"/>
  <c r="Z170" i="8"/>
  <c r="R63" i="9"/>
  <c r="Z169" i="8"/>
  <c r="AA174" i="8"/>
  <c r="W168" i="8"/>
  <c r="X173" i="8" a="1"/>
  <c r="X173" i="8" s="1"/>
  <c r="W171" i="8"/>
  <c r="W166" i="8" s="1"/>
  <c r="X172" i="8" a="1"/>
  <c r="X172" i="8" s="1"/>
  <c r="W167" i="8"/>
  <c r="P62" i="9"/>
  <c r="P65" i="9" s="1"/>
  <c r="AO62" i="9"/>
  <c r="AO65" i="9" s="1"/>
  <c r="F30" i="14"/>
  <c r="N25" i="13"/>
  <c r="E30" i="14" s="1"/>
  <c r="AI60" i="9"/>
  <c r="J60" i="9"/>
  <c r="AK60" i="9"/>
  <c r="L60" i="9"/>
  <c r="AO61" i="9"/>
  <c r="P61" i="9"/>
  <c r="Y165" i="8"/>
  <c r="AO60" i="9" l="1"/>
  <c r="P60" i="9"/>
  <c r="AA169" i="8"/>
  <c r="AS63" i="9"/>
  <c r="T63" i="9"/>
  <c r="AA170" i="8"/>
  <c r="AB174" i="8"/>
  <c r="R61" i="9"/>
  <c r="AQ61" i="9"/>
  <c r="Z165" i="8"/>
  <c r="AQ62" i="9"/>
  <c r="AQ65" i="9" s="1"/>
  <c r="R62" i="9"/>
  <c r="R65" i="9" s="1"/>
  <c r="X167" i="8"/>
  <c r="Y172" i="8" a="1"/>
  <c r="Y172" i="8" s="1"/>
  <c r="X168" i="8"/>
  <c r="Y173" i="8" a="1"/>
  <c r="Y173" i="8" s="1"/>
  <c r="X171" i="8"/>
  <c r="X166" i="8" s="1"/>
  <c r="L10" i="11"/>
  <c r="M10" i="13" s="1"/>
  <c r="L25" i="11"/>
  <c r="L25" i="13"/>
  <c r="D30" i="14" s="1"/>
  <c r="L26" i="13"/>
  <c r="M25" i="11"/>
  <c r="M10" i="11"/>
  <c r="N10" i="13" s="1"/>
  <c r="R60" i="9" l="1"/>
  <c r="AQ60" i="9"/>
  <c r="Z173" i="8" a="1"/>
  <c r="Z173" i="8" s="1"/>
  <c r="Y168" i="8"/>
  <c r="Y171" i="8"/>
  <c r="Y166" i="8" s="1"/>
  <c r="Y167" i="8"/>
  <c r="Z172" i="8" a="1"/>
  <c r="Z172" i="8" s="1"/>
  <c r="AS61" i="9"/>
  <c r="AA165" i="8"/>
  <c r="T61" i="9"/>
  <c r="AD26" i="13"/>
  <c r="AC26" i="13"/>
  <c r="D31" i="14"/>
  <c r="AU63" i="9"/>
  <c r="AB169" i="8"/>
  <c r="V63" i="9"/>
  <c r="AB170" i="8"/>
  <c r="AC174" i="8"/>
  <c r="T62" i="9"/>
  <c r="T65" i="9" s="1"/>
  <c r="AS62" i="9"/>
  <c r="AS65" i="9" s="1"/>
  <c r="G9" i="11"/>
  <c r="T60" i="9" l="1"/>
  <c r="AS60" i="9"/>
  <c r="AC169" i="8"/>
  <c r="AW63" i="9"/>
  <c r="X63" i="9"/>
  <c r="AC170" i="8"/>
  <c r="AD174" i="8"/>
  <c r="AU62" i="9"/>
  <c r="AU65" i="9" s="1"/>
  <c r="V62" i="9"/>
  <c r="V65" i="9" s="1"/>
  <c r="AA172" i="8" a="1"/>
  <c r="AA172" i="8" s="1"/>
  <c r="Z167" i="8"/>
  <c r="Z168" i="8"/>
  <c r="AA173" i="8" a="1"/>
  <c r="AA173" i="8" s="1"/>
  <c r="Z171" i="8"/>
  <c r="Z166" i="8" s="1"/>
  <c r="V61" i="9"/>
  <c r="AB165" i="8"/>
  <c r="AU61" i="9"/>
  <c r="AB173" i="8" l="1" a="1"/>
  <c r="AB173" i="8" s="1"/>
  <c r="AA168" i="8"/>
  <c r="AA171" i="8"/>
  <c r="AA166" i="8" s="1"/>
  <c r="AB172" i="8" a="1"/>
  <c r="AB172" i="8" s="1"/>
  <c r="AA167" i="8"/>
  <c r="AD169" i="8"/>
  <c r="Z63" i="9"/>
  <c r="AD170" i="8"/>
  <c r="AY63" i="9"/>
  <c r="AE174" i="8"/>
  <c r="X62" i="9"/>
  <c r="X65" i="9" s="1"/>
  <c r="AW62" i="9"/>
  <c r="AW65" i="9" s="1"/>
  <c r="V60" i="9"/>
  <c r="AU60" i="9"/>
  <c r="X61" i="9"/>
  <c r="AC165" i="8"/>
  <c r="AW61" i="9"/>
  <c r="AC173" i="8" l="1" a="1"/>
  <c r="AC173" i="8" s="1"/>
  <c r="AB168" i="8"/>
  <c r="AB171" i="8"/>
  <c r="AB166" i="8" s="1"/>
  <c r="AD165" i="8"/>
  <c r="AY61" i="9"/>
  <c r="Z61" i="9"/>
  <c r="BA63" i="9"/>
  <c r="AE170" i="8"/>
  <c r="AB63" i="9"/>
  <c r="AE169" i="8"/>
  <c r="AF174" i="8"/>
  <c r="AY62" i="9"/>
  <c r="AY65" i="9" s="1"/>
  <c r="Z62" i="9"/>
  <c r="Z65" i="9" s="1"/>
  <c r="X60" i="9"/>
  <c r="AW60" i="9"/>
  <c r="AC172" i="8" a="1"/>
  <c r="AC172" i="8" s="1"/>
  <c r="AB167" i="8"/>
  <c r="BA61" i="9" l="1"/>
  <c r="AB61" i="9"/>
  <c r="AE165" i="8"/>
  <c r="BA62" i="9"/>
  <c r="BA65" i="9" s="1"/>
  <c r="AB62" i="9"/>
  <c r="AB65" i="9" s="1"/>
  <c r="AC167" i="8"/>
  <c r="AD172" i="8" a="1"/>
  <c r="AD172" i="8" s="1"/>
  <c r="Z60" i="9"/>
  <c r="AY60" i="9"/>
  <c r="BC63" i="9"/>
  <c r="AF169" i="8"/>
  <c r="AF170" i="8"/>
  <c r="AD63" i="9"/>
  <c r="AG174" i="8"/>
  <c r="AC168" i="8"/>
  <c r="AD173" i="8" a="1"/>
  <c r="AD173" i="8" s="1"/>
  <c r="AC171" i="8"/>
  <c r="AC166" i="8" s="1"/>
  <c r="AE173" i="8" l="1" a="1"/>
  <c r="AE173" i="8" s="1"/>
  <c r="AD168" i="8"/>
  <c r="AD171" i="8"/>
  <c r="AD166" i="8" s="1"/>
  <c r="AD61" i="9"/>
  <c r="BC61" i="9"/>
  <c r="AF165" i="8"/>
  <c r="AG169" i="8"/>
  <c r="H71" i="9"/>
  <c r="AG71" i="9"/>
  <c r="AG170" i="8"/>
  <c r="AH174" i="8"/>
  <c r="BA60" i="9"/>
  <c r="AB60" i="9"/>
  <c r="AD167" i="8"/>
  <c r="AE172" i="8" a="1"/>
  <c r="AE172" i="8" s="1"/>
  <c r="BC62" i="9"/>
  <c r="BC65" i="9" s="1"/>
  <c r="AF65" i="9" s="1"/>
  <c r="G65" i="9" s="1"/>
  <c r="AD62" i="9"/>
  <c r="AD65" i="9" s="1"/>
  <c r="AE167" i="8" l="1"/>
  <c r="AF172" i="8" a="1"/>
  <c r="AF172" i="8" s="1"/>
  <c r="AH169" i="8"/>
  <c r="J71" i="9"/>
  <c r="AH170" i="8"/>
  <c r="AI71" i="9"/>
  <c r="AI174" i="8"/>
  <c r="AG70" i="9"/>
  <c r="AG73" i="9" s="1"/>
  <c r="H70" i="9"/>
  <c r="H73" i="9" s="1"/>
  <c r="AG69" i="9"/>
  <c r="AG165" i="8"/>
  <c r="H69" i="9"/>
  <c r="AD60" i="9"/>
  <c r="BC60" i="9"/>
  <c r="AF173" i="8" a="1"/>
  <c r="AF173" i="8" s="1"/>
  <c r="AE168" i="8"/>
  <c r="AE171" i="8"/>
  <c r="AE166" i="8" s="1"/>
  <c r="H68" i="9" l="1"/>
  <c r="AG68" i="9"/>
  <c r="AF168" i="8"/>
  <c r="AG173" i="8" a="1"/>
  <c r="AG173" i="8" s="1"/>
  <c r="AF171" i="8"/>
  <c r="AF166" i="8" s="1"/>
  <c r="AI69" i="9"/>
  <c r="AH165" i="8"/>
  <c r="J69" i="9"/>
  <c r="AF167" i="8"/>
  <c r="AG172" i="8" a="1"/>
  <c r="AG172" i="8" s="1"/>
  <c r="AI170" i="8"/>
  <c r="L71" i="9"/>
  <c r="AI169" i="8"/>
  <c r="AK71" i="9"/>
  <c r="AJ174" i="8"/>
  <c r="AI70" i="9"/>
  <c r="AI73" i="9" s="1"/>
  <c r="J70" i="9"/>
  <c r="J73" i="9" s="1"/>
  <c r="AH173" i="8" l="1" a="1"/>
  <c r="AH173" i="8" s="1"/>
  <c r="AG168" i="8"/>
  <c r="AG171" i="8"/>
  <c r="AG166" i="8" s="1"/>
  <c r="AJ169" i="8"/>
  <c r="AJ170" i="8"/>
  <c r="AM71" i="9"/>
  <c r="N71" i="9"/>
  <c r="AK174" i="8"/>
  <c r="AG167" i="8"/>
  <c r="AH172" i="8" a="1"/>
  <c r="AH172" i="8" s="1"/>
  <c r="AK70" i="9"/>
  <c r="AK73" i="9" s="1"/>
  <c r="L70" i="9"/>
  <c r="L73" i="9" s="1"/>
  <c r="AI68" i="9"/>
  <c r="J68" i="9"/>
  <c r="AI165" i="8"/>
  <c r="L69" i="9"/>
  <c r="AK69" i="9"/>
  <c r="AI172" i="8" l="1" a="1"/>
  <c r="AI172" i="8" s="1"/>
  <c r="AH167" i="8"/>
  <c r="AM70" i="9"/>
  <c r="AM73" i="9" s="1"/>
  <c r="N70" i="9"/>
  <c r="N73" i="9" s="1"/>
  <c r="P71" i="9"/>
  <c r="AO71" i="9"/>
  <c r="AK169" i="8"/>
  <c r="AK170" i="8"/>
  <c r="AL174" i="8"/>
  <c r="AJ165" i="8"/>
  <c r="AM69" i="9"/>
  <c r="N69" i="9"/>
  <c r="AK68" i="9"/>
  <c r="L68" i="9"/>
  <c r="AI173" i="8" a="1"/>
  <c r="AI173" i="8" s="1"/>
  <c r="AH168" i="8"/>
  <c r="AH171" i="8"/>
  <c r="AH166" i="8" s="1"/>
  <c r="AM68" i="9" l="1"/>
  <c r="N68" i="9"/>
  <c r="AK165" i="8"/>
  <c r="P69" i="9"/>
  <c r="AO69" i="9"/>
  <c r="R71" i="9"/>
  <c r="AL170" i="8"/>
  <c r="AL169" i="8"/>
  <c r="AQ71" i="9"/>
  <c r="AM174" i="8"/>
  <c r="AO70" i="9"/>
  <c r="AO73" i="9" s="1"/>
  <c r="P70" i="9"/>
  <c r="P73" i="9" s="1"/>
  <c r="AI168" i="8"/>
  <c r="AJ173" i="8" a="1"/>
  <c r="AJ173" i="8" s="1"/>
  <c r="AI171" i="8"/>
  <c r="AI166" i="8" s="1"/>
  <c r="AJ172" i="8" a="1"/>
  <c r="AJ172" i="8" s="1"/>
  <c r="AI167" i="8"/>
  <c r="AM170" i="8" l="1"/>
  <c r="AS71" i="9"/>
  <c r="T71" i="9"/>
  <c r="AM169" i="8"/>
  <c r="AN174" i="8"/>
  <c r="AL165" i="8"/>
  <c r="R69" i="9"/>
  <c r="AQ69" i="9"/>
  <c r="AQ70" i="9"/>
  <c r="AQ73" i="9" s="1"/>
  <c r="R70" i="9"/>
  <c r="R73" i="9" s="1"/>
  <c r="P68" i="9"/>
  <c r="AO68" i="9"/>
  <c r="AJ168" i="8"/>
  <c r="AK173" i="8" a="1"/>
  <c r="AK173" i="8" s="1"/>
  <c r="AJ171" i="8"/>
  <c r="AJ166" i="8" s="1"/>
  <c r="AJ167" i="8"/>
  <c r="AK172" i="8" a="1"/>
  <c r="AK172" i="8" s="1"/>
  <c r="R68" i="9" l="1"/>
  <c r="AQ68" i="9"/>
  <c r="AU71" i="9"/>
  <c r="V71" i="9"/>
  <c r="AN170" i="8"/>
  <c r="AN169" i="8"/>
  <c r="AO174" i="8"/>
  <c r="T69" i="9"/>
  <c r="AM165" i="8"/>
  <c r="AS69" i="9"/>
  <c r="AK167" i="8"/>
  <c r="AL172" i="8" a="1"/>
  <c r="AL172" i="8" s="1"/>
  <c r="AK168" i="8"/>
  <c r="AL173" i="8" a="1"/>
  <c r="AL173" i="8" s="1"/>
  <c r="AK171" i="8"/>
  <c r="AK166" i="8" s="1"/>
  <c r="T70" i="9"/>
  <c r="T73" i="9" s="1"/>
  <c r="AS70" i="9"/>
  <c r="AS73" i="9" s="1"/>
  <c r="X71" i="9" l="1"/>
  <c r="AO170" i="8"/>
  <c r="AO169" i="8"/>
  <c r="AW71" i="9"/>
  <c r="AP174" i="8"/>
  <c r="AL168" i="8"/>
  <c r="AM173" i="8" a="1"/>
  <c r="AM173" i="8" s="1"/>
  <c r="AL171" i="8"/>
  <c r="AL166" i="8" s="1"/>
  <c r="T68" i="9"/>
  <c r="AS68" i="9"/>
  <c r="AU69" i="9"/>
  <c r="AN165" i="8"/>
  <c r="V69" i="9"/>
  <c r="V70" i="9"/>
  <c r="V73" i="9" s="1"/>
  <c r="AU70" i="9"/>
  <c r="AU73" i="9" s="1"/>
  <c r="AL167" i="8"/>
  <c r="AM172" i="8" a="1"/>
  <c r="AM172" i="8" s="1"/>
  <c r="AN173" i="8" l="1" a="1"/>
  <c r="AN173" i="8" s="1"/>
  <c r="AM168" i="8"/>
  <c r="AM171" i="8"/>
  <c r="AM166" i="8" s="1"/>
  <c r="X69" i="9"/>
  <c r="AO165" i="8"/>
  <c r="AW69" i="9"/>
  <c r="AY71" i="9"/>
  <c r="AP170" i="8"/>
  <c r="Z71" i="9"/>
  <c r="AP169" i="8"/>
  <c r="AQ174" i="8"/>
  <c r="X70" i="9"/>
  <c r="X73" i="9" s="1"/>
  <c r="AW70" i="9"/>
  <c r="AW73" i="9" s="1"/>
  <c r="AN172" i="8" a="1"/>
  <c r="AN172" i="8" s="1"/>
  <c r="AM167" i="8"/>
  <c r="AU68" i="9"/>
  <c r="V68" i="9"/>
  <c r="AY69" i="9" l="1"/>
  <c r="AP165" i="8"/>
  <c r="Z69" i="9"/>
  <c r="Z70" i="9"/>
  <c r="Z73" i="9" s="1"/>
  <c r="AY70" i="9"/>
  <c r="AY73" i="9" s="1"/>
  <c r="AW68" i="9"/>
  <c r="X68" i="9"/>
  <c r="AB71" i="9"/>
  <c r="AQ170" i="8"/>
  <c r="AQ169" i="8"/>
  <c r="BA71" i="9"/>
  <c r="AR174" i="8"/>
  <c r="AN167" i="8"/>
  <c r="AO172" i="8" a="1"/>
  <c r="AO172" i="8" s="1"/>
  <c r="AN168" i="8"/>
  <c r="AO173" i="8" a="1"/>
  <c r="AO173" i="8" s="1"/>
  <c r="AN171" i="8"/>
  <c r="AN166" i="8" s="1"/>
  <c r="AQ165" i="8" l="1"/>
  <c r="AB69" i="9"/>
  <c r="BA69" i="9"/>
  <c r="BA70" i="9"/>
  <c r="BA73" i="9" s="1"/>
  <c r="AB70" i="9"/>
  <c r="AB73" i="9" s="1"/>
  <c r="AO168" i="8"/>
  <c r="AP173" i="8" a="1"/>
  <c r="AP173" i="8" s="1"/>
  <c r="AO171" i="8"/>
  <c r="AO166" i="8" s="1"/>
  <c r="AP172" i="8" a="1"/>
  <c r="AP172" i="8" s="1"/>
  <c r="AO167" i="8"/>
  <c r="AY68" i="9"/>
  <c r="Z68" i="9"/>
  <c r="AR170" i="8"/>
  <c r="BC71" i="9"/>
  <c r="B6" i="9" a="1"/>
  <c r="B6" i="9" s="1"/>
  <c r="AR169" i="8"/>
  <c r="K10" i="8" a="1"/>
  <c r="K10" i="8" s="1"/>
  <c r="AD71" i="9"/>
  <c r="AQ173" i="8" l="1" a="1"/>
  <c r="AQ173" i="8" s="1"/>
  <c r="AP168" i="8"/>
  <c r="AP171" i="8"/>
  <c r="AP166" i="8" s="1"/>
  <c r="AP167" i="8"/>
  <c r="AQ172" i="8" a="1"/>
  <c r="AQ172" i="8" s="1"/>
  <c r="AL13" i="9"/>
  <c r="M13" i="9"/>
  <c r="AR165" i="8"/>
  <c r="AD69" i="9"/>
  <c r="BC69" i="9"/>
  <c r="BC70" i="9"/>
  <c r="BC73" i="9" s="1"/>
  <c r="AF73" i="9" s="1"/>
  <c r="G73" i="9" s="1"/>
  <c r="AD70" i="9"/>
  <c r="AD73" i="9" s="1"/>
  <c r="F11" i="8" a="1"/>
  <c r="F11" i="8" s="1"/>
  <c r="BA68" i="9"/>
  <c r="AB68" i="9"/>
  <c r="AD68" i="9" l="1"/>
  <c r="BC68" i="9"/>
  <c r="AQ167" i="8"/>
  <c r="AR172" i="8" a="1"/>
  <c r="AR172" i="8" s="1"/>
  <c r="AR167" i="8" s="1"/>
  <c r="AR173" i="8" a="1"/>
  <c r="AR173" i="8" s="1"/>
  <c r="AQ168" i="8"/>
  <c r="AQ171" i="8"/>
  <c r="AQ166" i="8" s="1"/>
  <c r="AR168" i="8" l="1"/>
  <c r="AR171" i="8"/>
  <c r="AR166"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<sst xmlns="http://schemas.openxmlformats.org/spreadsheetml/2006/main" count="3476" uniqueCount="1268">
  <si>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</si>
  <si>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</si>
  <si>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</si>
  <si>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</si>
  <si>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</si>
  <si>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</si>
  <si>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</si>
  <si>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</si>
  <si>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</si>
  <si>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</si>
  <si>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</si>
  <si>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</si>
  <si>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</si>
  <si>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</si>
  <si>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</si>
  <si>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</si>
  <si>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</si>
  <si>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</si>
  <si>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</si>
  <si>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</si>
  <si>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</si>
  <si>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</si>
  <si>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</si>
  <si>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</si>
  <si>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</si>
  <si>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</si>
  <si>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</si>
  <si>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</si>
  <si>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</si>
  <si>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</si>
  <si>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</si>
  <si>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</si>
  <si>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</si>
  <si>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</si>
  <si>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</si>
  <si>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</si>
  <si>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</si>
  <si>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</si>
  <si>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</si>
  <si>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</si>
  <si>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</si>
  <si>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</si>
  <si>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</si>
  <si>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</si>
  <si>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</si>
  <si>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</si>
  <si>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</si>
  <si>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</si>
  <si>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</si>
  <si>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</si>
  <si>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</si>
  <si>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</si>
  <si>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</si>
  <si>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</si>
  <si>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</si>
  <si>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</si>
  <si>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</si>
  <si>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</si>
  <si>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</si>
  <si>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</si>
  <si>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</si>
  <si>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</si>
  <si>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</si>
  <si>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</si>
  <si>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</si>
  <si>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</si>
  <si>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</si>
  <si>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</si>
  <si>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</si>
  <si>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</si>
  <si>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</si>
  <si>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</si>
  <si>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</si>
  <si>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</si>
  <si>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</si>
  <si>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</si>
  <si>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</si>
  <si>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</si>
  <si>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</si>
  <si>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</si>
  <si>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</si>
  <si>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</si>
  <si>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</si>
  <si>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</si>
  <si>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</si>
  <si>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</si>
  <si>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</si>
  <si>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</si>
  <si>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</si>
  <si>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</si>
  <si>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</si>
  <si>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</si>
  <si>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</si>
  <si>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</si>
  <si>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</si>
  <si>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</si>
  <si>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</si>
  <si>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</si>
  <si>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</si>
  <si>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</si>
  <si>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</si>
  <si>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</si>
  <si>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</si>
  <si>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</si>
  <si>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</si>
  <si>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</si>
  <si>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</si>
  <si>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</si>
  <si>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</si>
  <si>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</si>
  <si>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</si>
  <si>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</si>
  <si>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</si>
  <si>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</si>
  <si>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</si>
  <si>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</si>
  <si>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</si>
  <si>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</si>
  <si>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</si>
  <si>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</si>
  <si>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</si>
  <si>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</si>
  <si>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</si>
  <si>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</si>
  <si>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</si>
  <si>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</si>
  <si>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</si>
  <si>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</si>
  <si>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</si>
  <si>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</si>
  <si>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</si>
  <si>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</si>
  <si>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</si>
  <si>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</si>
  <si>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</si>
  <si>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</si>
  <si>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</si>
  <si>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</si>
  <si>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</si>
  <si>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</si>
  <si>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</si>
  <si>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</si>
  <si>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</si>
  <si>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</si>
  <si>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</si>
  <si>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</si>
  <si>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</si>
  <si>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</si>
  <si>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</si>
  <si>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</si>
  <si>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</si>
  <si>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</si>
  <si>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</si>
  <si>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</si>
  <si>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</si>
  <si>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</si>
  <si>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</si>
  <si>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</si>
  <si>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</si>
  <si>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</si>
  <si>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</si>
  <si>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</si>
  <si>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</si>
  <si>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</si>
  <si>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</si>
  <si>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</si>
  <si>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</si>
  <si>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</si>
  <si>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</si>
  <si>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</si>
  <si>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</si>
  <si>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</si>
  <si>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</si>
  <si>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</si>
  <si>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</si>
  <si>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</si>
  <si>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</si>
  <si>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</si>
  <si>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</si>
  <si>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</si>
  <si>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</si>
  <si>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</si>
  <si>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</si>
  <si>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</si>
  <si>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</si>
  <si>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</si>
  <si>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</si>
  <si>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</si>
  <si>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</si>
  <si>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</si>
  <si>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</si>
  <si>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</si>
  <si>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</si>
  <si>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</si>
  <si>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</si>
  <si>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</si>
  <si>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</si>
  <si>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</si>
  <si>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</si>
  <si>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</si>
  <si>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</si>
  <si>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</si>
  <si>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</si>
  <si>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</si>
  <si>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</si>
  <si>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</si>
  <si>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</si>
  <si>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</si>
  <si>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</si>
  <si>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</si>
  <si>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</si>
  <si>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</si>
  <si>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</si>
  <si>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</si>
  <si>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</si>
  <si>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</si>
  <si>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</si>
  <si>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</si>
  <si>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</si>
  <si>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</si>
  <si>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</si>
  <si>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</si>
  <si>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</si>
  <si>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</si>
  <si>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</si>
  <si>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</si>
  <si>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</si>
  <si>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</si>
  <si>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</si>
  <si>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</si>
  <si>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</si>
  <si>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</si>
  <si>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</si>
  <si>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</si>
  <si>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</si>
  <si>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</si>
  <si>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</si>
  <si>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</si>
  <si>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</si>
  <si>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</si>
  <si>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</si>
  <si>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</si>
  <si>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</si>
  <si>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</si>
  <si>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</si>
  <si>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</si>
  <si>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</si>
  <si>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</si>
  <si>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</si>
  <si>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</si>
  <si>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</si>
  <si>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</si>
  <si>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</si>
  <si>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</si>
  <si>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</si>
  <si>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</si>
  <si>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</si>
  <si>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</si>
  <si>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</si>
  <si>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</si>
  <si>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</si>
  <si>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</si>
  <si>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</si>
  <si>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</si>
  <si>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</si>
  <si>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</si>
  <si>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</si>
  <si>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</si>
  <si>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</si>
  <si>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</si>
  <si>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</si>
  <si>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</si>
  <si>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</si>
  <si>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</si>
  <si>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</si>
  <si>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</si>
  <si>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</si>
  <si>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</si>
  <si>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</si>
  <si>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</si>
  <si>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</si>
  <si>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</si>
  <si>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</si>
  <si>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</si>
  <si>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</si>
  <si>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</si>
  <si>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</si>
  <si>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</si>
  <si>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</si>
  <si>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</si>
  <si>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</si>
  <si>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</si>
  <si>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</si>
  <si>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</si>
  <si>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</si>
  <si>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</si>
  <si>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</si>
  <si>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</si>
  <si>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</si>
  <si>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</si>
  <si>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</si>
  <si>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</si>
  <si>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</si>
  <si>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</si>
  <si>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</si>
  <si>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</si>
  <si>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</si>
  <si>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</si>
  <si>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</si>
  <si>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</si>
  <si>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</si>
  <si>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</si>
  <si>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</si>
  <si>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</si>
  <si>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</si>
  <si>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</si>
  <si>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</si>
  <si>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</si>
  <si>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</si>
  <si>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</si>
  <si>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</si>
  <si>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</si>
  <si>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</si>
  <si>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</si>
  <si>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</si>
  <si>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</si>
  <si>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</si>
  <si>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</si>
  <si>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</si>
  <si>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</si>
  <si>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</si>
  <si>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</si>
  <si>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</si>
  <si>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</si>
  <si>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</si>
  <si>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</si>
  <si>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</si>
  <si>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</si>
  <si>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</si>
  <si>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</si>
  <si>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</si>
  <si>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</si>
  <si>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</si>
  <si>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</si>
  <si>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</si>
  <si>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</si>
  <si>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</si>
  <si>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</si>
  <si>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</si>
  <si>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</si>
  <si>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</si>
  <si>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</si>
  <si>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</si>
  <si>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</si>
  <si>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</si>
  <si>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</si>
  <si>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</si>
  <si>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</si>
  <si>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</si>
  <si>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</si>
  <si>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</si>
  <si>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</si>
  <si>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</si>
  <si>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</si>
  <si>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</si>
  <si>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</si>
  <si>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</si>
  <si>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</si>
  <si>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</si>
  <si>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</si>
  <si>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</si>
  <si>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</si>
  <si>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</si>
  <si>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</si>
  <si>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</si>
  <si>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</si>
  <si>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</si>
  <si>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</si>
  <si>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</si>
  <si>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</si>
  <si>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</si>
  <si>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</si>
  <si>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</si>
  <si>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</si>
  <si>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</si>
  <si>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</si>
  <si>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</si>
  <si>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</si>
  <si>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</si>
  <si>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</si>
  <si>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</si>
  <si>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</si>
  <si>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</si>
  <si>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</si>
  <si>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</si>
  <si>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</si>
  <si>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</si>
  <si>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</si>
  <si>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</si>
  <si>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</si>
  <si>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</si>
  <si>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</si>
  <si>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</si>
  <si>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</si>
  <si>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</si>
  <si>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</si>
  <si>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</si>
  <si>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</si>
  <si>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</si>
  <si>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</si>
  <si>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</si>
  <si>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</si>
  <si>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</si>
  <si>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</si>
  <si>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</si>
  <si>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</si>
  <si>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</si>
  <si>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</si>
  <si>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</si>
  <si>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</si>
  <si>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</si>
  <si>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</si>
  <si>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</si>
  <si>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</si>
  <si>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</si>
  <si>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</si>
  <si>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</si>
  <si>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</si>
  <si>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</si>
  <si>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</si>
  <si>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</si>
  <si>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</si>
  <si>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</si>
  <si>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</si>
  <si>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</si>
  <si>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</si>
  <si>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</si>
  <si>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</si>
  <si>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</si>
  <si>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</si>
  <si>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</si>
  <si>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</si>
  <si>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</si>
  <si>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</si>
  <si>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</si>
  <si>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</si>
  <si>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</si>
  <si>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</si>
  <si>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</si>
  <si>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</si>
  <si>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</si>
  <si>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</si>
  <si>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</si>
  <si>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</si>
  <si>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</si>
  <si>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</si>
  <si>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</si>
  <si>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</si>
  <si>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</si>
  <si>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</si>
  <si>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</si>
  <si>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</si>
  <si>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</si>
  <si>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</si>
  <si>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</si>
  <si>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</si>
  <si>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</si>
  <si>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</si>
  <si>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</si>
  <si>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</si>
  <si>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</si>
  <si>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</si>
  <si>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</si>
  <si>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</si>
  <si>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</si>
  <si>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</si>
  <si>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</si>
  <si>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</si>
  <si>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</si>
  <si>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</si>
  <si>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</si>
  <si>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</si>
  <si>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</si>
  <si>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</si>
  <si>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</si>
  <si>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</si>
  <si>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</si>
  <si>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</si>
  <si>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</si>
  <si>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</si>
  <si>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</si>
  <si>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</si>
  <si>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</si>
  <si>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</si>
  <si>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</si>
  <si>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</si>
  <si>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</si>
  <si>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</si>
  <si>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</si>
  <si>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</si>
  <si>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</si>
  <si>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</si>
  <si>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</si>
  <si>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</si>
  <si>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</si>
  <si>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</si>
  <si>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</si>
  <si>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</si>
  <si>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</si>
  <si>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</si>
  <si>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</si>
  <si>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</si>
  <si>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</si>
  <si>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</si>
  <si>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</si>
  <si>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</si>
  <si>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</si>
  <si>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</si>
  <si>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</si>
  <si>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</si>
  <si>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</si>
  <si>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</si>
  <si>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</si>
  <si>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</si>
  <si>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</si>
  <si>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</si>
  <si>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</si>
  <si>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</si>
  <si>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</si>
  <si>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</si>
  <si>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</si>
  <si>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</si>
  <si>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</si>
  <si>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</si>
  <si>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</si>
  <si>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</si>
  <si>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</si>
  <si>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</si>
  <si>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</si>
  <si>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</si>
  <si>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</si>
  <si>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</si>
  <si>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</si>
  <si>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</si>
  <si>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</si>
  <si>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</si>
  <si>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</si>
  <si>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</si>
  <si>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</si>
  <si>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</si>
  <si>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</si>
  <si>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</si>
  <si>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</si>
  <si>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</si>
  <si>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</si>
  <si>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</si>
  <si>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</si>
  <si>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</si>
  <si>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</si>
  <si>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</si>
  <si>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</si>
  <si>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</si>
  <si>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</si>
  <si>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</si>
  <si>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</si>
  <si>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</si>
  <si>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</si>
  <si>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</si>
  <si>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</si>
  <si>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</si>
  <si>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</si>
  <si>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</si>
  <si>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</si>
  <si>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</si>
  <si>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</si>
  <si>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</si>
  <si>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</si>
  <si>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</si>
  <si>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</si>
  <si>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</si>
  <si>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</si>
  <si>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</si>
  <si>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</si>
  <si>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</si>
  <si>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</si>
  <si>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</si>
  <si>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</si>
  <si>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</si>
  <si>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</si>
  <si>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</si>
  <si>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</si>
  <si>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</si>
  <si>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</si>
  <si>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</si>
  <si>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</si>
  <si>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</si>
  <si>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</si>
  <si>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</si>
  <si>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</si>
  <si>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</si>
  <si>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</si>
  <si>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</si>
  <si>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</si>
  <si>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</si>
  <si>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</si>
  <si>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</si>
  <si>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</si>
  <si>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</si>
  <si>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</si>
  <si>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</si>
  <si>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</si>
  <si>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</si>
  <si>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</si>
  <si>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</si>
  <si>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</si>
  <si>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</si>
  <si>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</si>
  <si>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</si>
  <si>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</si>
  <si>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</si>
  <si>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</si>
  <si>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</si>
  <si>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</si>
  <si>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</si>
  <si>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</si>
  <si>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</si>
  <si>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</si>
  <si>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</si>
  <si>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</si>
  <si>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</si>
  <si>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</si>
  <si>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</si>
  <si>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</si>
  <si>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</si>
  <si>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</si>
  <si>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</si>
  <si>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</si>
  <si>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</si>
  <si>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</si>
  <si>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</si>
  <si>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</si>
  <si>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</si>
  <si>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</si>
  <si>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</si>
  <si>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</si>
  <si>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</si>
  <si>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</si>
  <si>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</si>
  <si>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</si>
  <si>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</si>
  <si>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</si>
  <si>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</si>
  <si>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</si>
  <si>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</si>
  <si>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</si>
  <si>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</si>
  <si>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</si>
  <si>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</si>
  <si>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</si>
  <si>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</si>
  <si>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</si>
  <si>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</si>
  <si>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</si>
  <si>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</si>
  <si>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</si>
  <si>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</si>
  <si>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</si>
  <si>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</si>
  <si>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</si>
  <si>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</si>
  <si>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</si>
  <si>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</si>
  <si>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</si>
  <si>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</si>
  <si>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</si>
  <si>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</si>
  <si>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</si>
  <si>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</si>
  <si>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</si>
  <si>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</si>
  <si>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</si>
  <si>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</si>
  <si>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</si>
  <si>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</si>
  <si>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</si>
  <si>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</si>
  <si>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</si>
  <si>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</si>
  <si>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</si>
  <si>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</si>
  <si>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</si>
  <si>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</si>
  <si>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</si>
  <si>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</si>
  <si>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</si>
  <si>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</si>
  <si>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</si>
  <si>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</si>
  <si>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</si>
  <si>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</si>
  <si>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</si>
  <si>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</si>
  <si>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</si>
  <si>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</si>
  <si>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</si>
  <si>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</si>
  <si>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</si>
  <si>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</si>
  <si>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</si>
  <si>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</si>
  <si>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</si>
  <si>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</si>
  <si>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</si>
  <si>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</si>
  <si>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</si>
  <si>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</si>
  <si>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</si>
  <si>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</si>
  <si>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</si>
  <si>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</si>
  <si>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</si>
  <si>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</si>
  <si>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</si>
  <si>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</si>
  <si>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</si>
  <si>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</si>
  <si>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</si>
  <si>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</si>
  <si>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</si>
  <si>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</si>
  <si>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</si>
  <si>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</si>
  <si>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</si>
  <si>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</si>
  <si>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</si>
  <si>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</si>
  <si>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</si>
  <si>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</si>
  <si>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</si>
  <si>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</si>
  <si>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</si>
  <si>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</si>
  <si>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</si>
  <si>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</si>
  <si>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</si>
  <si>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</si>
  <si>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</si>
  <si>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</si>
  <si>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</si>
  <si>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</si>
  <si>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</si>
  <si>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</si>
  <si>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</si>
  <si>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</si>
  <si>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</si>
  <si>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</si>
  <si>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</si>
  <si>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</si>
  <si>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</si>
  <si>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</si>
  <si>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</si>
  <si>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</si>
  <si>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</si>
  <si>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</si>
  <si>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</si>
  <si>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</si>
  <si>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</si>
  <si>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</si>
  <si>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</si>
  <si>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</si>
  <si>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</si>
  <si>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</si>
  <si>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</si>
  <si>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</si>
  <si>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</si>
  <si>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</si>
  <si>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</si>
  <si>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</si>
  <si>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</si>
  <si>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</si>
  <si>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</si>
  <si>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</si>
  <si>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</si>
  <si>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</si>
  <si>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</si>
  <si>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</si>
  <si>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</si>
  <si>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</si>
  <si>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</si>
  <si>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</si>
  <si>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</si>
  <si>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</si>
  <si>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</si>
  <si>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</si>
  <si>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</si>
  <si>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</si>
  <si>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</si>
  <si>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</si>
  <si>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</si>
  <si>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</si>
  <si>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</si>
  <si>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</si>
  <si>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</si>
  <si>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</si>
  <si>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</si>
  <si>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</si>
  <si>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</si>
  <si>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</si>
  <si>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</si>
  <si>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</si>
  <si>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</si>
  <si>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</si>
  <si>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</si>
  <si>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</si>
  <si>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</si>
  <si>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</si>
  <si>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</si>
  <si>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</si>
  <si>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</si>
  <si>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</si>
  <si>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</si>
  <si>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</si>
  <si>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</si>
  <si>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</si>
  <si>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</si>
  <si>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</si>
  <si>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</si>
  <si>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</si>
  <si>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</si>
  <si>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</si>
  <si>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</si>
  <si>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</si>
  <si>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</si>
  <si>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</si>
  <si>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</si>
  <si>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</si>
  <si>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</si>
  <si>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</si>
  <si>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</si>
  <si>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</si>
  <si>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</si>
  <si>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</si>
  <si>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</si>
  <si>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</si>
  <si>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</si>
  <si>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</si>
  <si>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</si>
  <si>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</si>
  <si>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</si>
  <si>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</si>
  <si>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</si>
  <si>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</si>
  <si>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</si>
  <si>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</si>
  <si>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</si>
  <si>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</si>
  <si>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</si>
  <si>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</si>
  <si>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</si>
  <si>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</si>
  <si>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</si>
  <si>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</si>
  <si>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</si>
  <si>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</si>
  <si>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</si>
  <si>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</si>
  <si>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</si>
  <si>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</si>
  <si>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</si>
  <si>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</si>
  <si>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</si>
  <si>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</si>
  <si>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</si>
  <si>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</si>
  <si>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</si>
  <si>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</si>
  <si>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</si>
  <si>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</si>
  <si>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</si>
  <si>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</si>
  <si>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</si>
  <si>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</si>
  <si>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</si>
  <si>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</si>
  <si>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</si>
  <si>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</si>
  <si>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</si>
  <si>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</si>
  <si>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</si>
  <si>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</si>
  <si>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</si>
  <si>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</si>
  <si>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</si>
  <si>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</si>
  <si>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</si>
  <si>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</si>
  <si>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</si>
  <si>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</si>
  <si>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</si>
  <si>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</si>
  <si>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</si>
  <si>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</si>
  <si>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</si>
  <si>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</si>
  <si>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</si>
  <si>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</si>
  <si>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</si>
  <si>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</si>
  <si>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</si>
  <si>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</si>
  <si>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</si>
  <si>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</si>
  <si>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</si>
  <si>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</si>
  <si>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</si>
  <si>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</si>
  <si>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</si>
  <si>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</si>
  <si>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</si>
  <si>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</si>
  <si>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</si>
  <si>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</si>
  <si>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</si>
  <si>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</si>
  <si>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</si>
  <si>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</si>
  <si>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</si>
  <si>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</si>
  <si>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</si>
  <si>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</si>
  <si>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</si>
  <si>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</si>
  <si>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</si>
  <si>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</si>
  <si>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</si>
  <si>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</si>
  <si>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</si>
  <si>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</si>
  <si>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</si>
  <si>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</si>
  <si>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</si>
  <si>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</si>
  <si>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</si>
  <si>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</si>
  <si>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</si>
  <si>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</si>
  <si>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</si>
  <si>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</si>
  <si>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</si>
  <si>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</si>
  <si>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</si>
  <si>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</si>
  <si>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</si>
  <si>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</si>
  <si>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</si>
  <si>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</si>
  <si>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</si>
  <si>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</si>
  <si>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</si>
  <si>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</si>
  <si>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</si>
  <si>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</si>
  <si>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</si>
  <si>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</si>
  <si>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</si>
  <si>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</si>
  <si>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</si>
  <si>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</si>
  <si>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</si>
  <si>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</si>
  <si>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</si>
  <si>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</si>
  <si>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</si>
  <si>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</si>
  <si>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</si>
  <si>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</si>
  <si>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</si>
  <si>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</si>
  <si>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</si>
  <si>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</si>
  <si>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</si>
  <si>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</si>
  <si>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</si>
  <si>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</si>
  <si>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</si>
  <si>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</si>
  <si>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</si>
  <si>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</si>
  <si>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</si>
  <si>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</si>
  <si>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</si>
  <si>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</si>
  <si>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</si>
  <si>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</si>
  <si>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</si>
  <si>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</si>
  <si>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</si>
  <si>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</si>
  <si>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</si>
  <si>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</si>
  <si>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</si>
  <si>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</si>
  <si>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</si>
  <si>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</si>
  <si>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</si>
  <si>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</si>
  <si>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</si>
  <si>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Casa térrea acessível, 2 quartos, Autil=47,46m², conforme Portaria MCID 1416/2023</t>
  </si>
  <si>
    <t>96521</t>
  </si>
  <si>
    <t>101616</t>
  </si>
  <si>
    <t>96619</t>
  </si>
  <si>
    <t>96541</t>
  </si>
  <si>
    <t>104919</t>
  </si>
  <si>
    <t>104917</t>
  </si>
  <si>
    <t>104916</t>
  </si>
  <si>
    <t>96556_ADP-01</t>
  </si>
  <si>
    <t>93382</t>
  </si>
  <si>
    <t>96527</t>
  </si>
  <si>
    <t>96536</t>
  </si>
  <si>
    <t>104918</t>
  </si>
  <si>
    <t>96555_ADP-01</t>
  </si>
  <si>
    <t>87878</t>
  </si>
  <si>
    <t>98562</t>
  </si>
  <si>
    <t>98557</t>
  </si>
  <si>
    <t>92427</t>
  </si>
  <si>
    <t>92463_ADP-01</t>
  </si>
  <si>
    <t>92463</t>
  </si>
  <si>
    <t>92759</t>
  </si>
  <si>
    <t>92760</t>
  </si>
  <si>
    <t>92761</t>
  </si>
  <si>
    <t>92762</t>
  </si>
  <si>
    <t>101963</t>
  </si>
  <si>
    <t>103669_ADP-01</t>
  </si>
  <si>
    <t>103682_ADP-01</t>
  </si>
  <si>
    <t>103328</t>
  </si>
  <si>
    <t>105022</t>
  </si>
  <si>
    <t>105028</t>
  </si>
  <si>
    <t>91338</t>
  </si>
  <si>
    <t>94570</t>
  </si>
  <si>
    <t>94572</t>
  </si>
  <si>
    <t>94569</t>
  </si>
  <si>
    <t>94589</t>
  </si>
  <si>
    <t>105812</t>
  </si>
  <si>
    <t>91314</t>
  </si>
  <si>
    <t>92541</t>
  </si>
  <si>
    <t>94447</t>
  </si>
  <si>
    <t>102233</t>
  </si>
  <si>
    <t>94232</t>
  </si>
  <si>
    <t>94221</t>
  </si>
  <si>
    <t>92548</t>
  </si>
  <si>
    <t>87879</t>
  </si>
  <si>
    <t>87882</t>
  </si>
  <si>
    <t>87545</t>
  </si>
  <si>
    <t>87547</t>
  </si>
  <si>
    <t>104958</t>
  </si>
  <si>
    <t>90408</t>
  </si>
  <si>
    <t>87267</t>
  </si>
  <si>
    <t>87265</t>
  </si>
  <si>
    <t>87905</t>
  </si>
  <si>
    <t>87894</t>
  </si>
  <si>
    <t>87792</t>
  </si>
  <si>
    <t>87775</t>
  </si>
  <si>
    <t>96111</t>
  </si>
  <si>
    <t>88485</t>
  </si>
  <si>
    <t>88484</t>
  </si>
  <si>
    <t>104640</t>
  </si>
  <si>
    <t>104642</t>
  </si>
  <si>
    <t>88415</t>
  </si>
  <si>
    <t>102193</t>
  </si>
  <si>
    <t>102197</t>
  </si>
  <si>
    <t>102219</t>
  </si>
  <si>
    <t>97084</t>
  </si>
  <si>
    <t>100322</t>
  </si>
  <si>
    <t>97087</t>
  </si>
  <si>
    <t>95241</t>
  </si>
  <si>
    <t>87745</t>
  </si>
  <si>
    <t>87630</t>
  </si>
  <si>
    <t>87247</t>
  </si>
  <si>
    <t>87248</t>
  </si>
  <si>
    <t>87246</t>
  </si>
  <si>
    <t>94990</t>
  </si>
  <si>
    <t>98695</t>
  </si>
  <si>
    <t>88648</t>
  </si>
  <si>
    <t>101965</t>
  </si>
  <si>
    <t>93653</t>
  </si>
  <si>
    <t>93654</t>
  </si>
  <si>
    <t>93656</t>
  </si>
  <si>
    <t>93659</t>
  </si>
  <si>
    <t>93674_ADP-01</t>
  </si>
  <si>
    <t>101493</t>
  </si>
  <si>
    <t>101873_ADP-01</t>
  </si>
  <si>
    <t>103782</t>
  </si>
  <si>
    <t>91953</t>
  </si>
  <si>
    <t>91959</t>
  </si>
  <si>
    <t>92000</t>
  </si>
  <si>
    <t>91996</t>
  </si>
  <si>
    <t>91993</t>
  </si>
  <si>
    <t>91985</t>
  </si>
  <si>
    <t>91987</t>
  </si>
  <si>
    <t>91947_ADP-01</t>
  </si>
  <si>
    <t>91941</t>
  </si>
  <si>
    <t>91940</t>
  </si>
  <si>
    <t>91939</t>
  </si>
  <si>
    <t>91937</t>
  </si>
  <si>
    <t>91924</t>
  </si>
  <si>
    <t>91926</t>
  </si>
  <si>
    <t>91928</t>
  </si>
  <si>
    <t>101884</t>
  </si>
  <si>
    <t>101560</t>
  </si>
  <si>
    <t>91834</t>
  </si>
  <si>
    <t>91854</t>
  </si>
  <si>
    <t>91845</t>
  </si>
  <si>
    <t>90447</t>
  </si>
  <si>
    <t>90373</t>
  </si>
  <si>
    <t>89408</t>
  </si>
  <si>
    <t>89395</t>
  </si>
  <si>
    <t>89383</t>
  </si>
  <si>
    <t>89446</t>
  </si>
  <si>
    <t>89356</t>
  </si>
  <si>
    <t>CPU-01</t>
  </si>
  <si>
    <t>89985</t>
  </si>
  <si>
    <t>89987</t>
  </si>
  <si>
    <t>94490</t>
  </si>
  <si>
    <t>86885</t>
  </si>
  <si>
    <t>97741</t>
  </si>
  <si>
    <t>104994_ADP-01</t>
  </si>
  <si>
    <t>89353</t>
  </si>
  <si>
    <t>89402</t>
  </si>
  <si>
    <t>89440</t>
  </si>
  <si>
    <t>102605</t>
  </si>
  <si>
    <t>102591</t>
  </si>
  <si>
    <t>102593</t>
  </si>
  <si>
    <t>94703</t>
  </si>
  <si>
    <t>94704</t>
  </si>
  <si>
    <t>94796</t>
  </si>
  <si>
    <t>89413</t>
  </si>
  <si>
    <t>89414</t>
  </si>
  <si>
    <t>103953</t>
  </si>
  <si>
    <t>89443</t>
  </si>
  <si>
    <t>89445</t>
  </si>
  <si>
    <t>89403</t>
  </si>
  <si>
    <t>89726</t>
  </si>
  <si>
    <t>89732</t>
  </si>
  <si>
    <t>89724</t>
  </si>
  <si>
    <t>89731</t>
  </si>
  <si>
    <t>89744</t>
  </si>
  <si>
    <t>89784</t>
  </si>
  <si>
    <t>104345</t>
  </si>
  <si>
    <t>104348</t>
  </si>
  <si>
    <t>89711</t>
  </si>
  <si>
    <t>89712</t>
  </si>
  <si>
    <t>89798</t>
  </si>
  <si>
    <t>89714</t>
  </si>
  <si>
    <t>97902</t>
  </si>
  <si>
    <t>89707</t>
  </si>
  <si>
    <t>104327</t>
  </si>
  <si>
    <t>104326</t>
  </si>
  <si>
    <t>98104</t>
  </si>
  <si>
    <t>86931</t>
  </si>
  <si>
    <t>86943</t>
  </si>
  <si>
    <t>86934</t>
  </si>
  <si>
    <t>86925</t>
  </si>
  <si>
    <t>100860</t>
  </si>
  <si>
    <t>95546</t>
  </si>
  <si>
    <t>99818</t>
  </si>
  <si>
    <t>99819</t>
  </si>
  <si>
    <t>99811</t>
  </si>
  <si>
    <t>99826</t>
  </si>
  <si>
    <t>99821</t>
  </si>
  <si>
    <t>99804</t>
  </si>
  <si>
    <t>99822</t>
  </si>
  <si>
    <t>99807</t>
  </si>
  <si>
    <t>99816</t>
  </si>
  <si>
    <t>SERVIÇOS PRELIMINARES</t>
  </si>
  <si>
    <t>FUNDAÇÕES</t>
  </si>
  <si>
    <t>SAPATA</t>
  </si>
  <si>
    <t>BALDRAMES</t>
  </si>
  <si>
    <t>IMPERMEABILIZAÇÃO</t>
  </si>
  <si>
    <t>SUPRAESTRUTURA</t>
  </si>
  <si>
    <t>PILARES, VIGAS E LAJES</t>
  </si>
  <si>
    <t>PAREDES E PAINÉIS</t>
  </si>
  <si>
    <t>ALVENARIA/FECHAMENTOS</t>
  </si>
  <si>
    <t>ESQUADRIAS METÁLICAS</t>
  </si>
  <si>
    <t>ESQUADRIAS DE MADEIRAS</t>
  </si>
  <si>
    <t>COBERTURA E PROTEÇÕES</t>
  </si>
  <si>
    <t>TELHADOS</t>
  </si>
  <si>
    <t>REVESTIMENTOS</t>
  </si>
  <si>
    <t>REVESTIMENTOS INTERNOS</t>
  </si>
  <si>
    <t>REVESTIMENTOS CERÂMICOS</t>
  </si>
  <si>
    <t>REVESTIMENTOS EXTERNOS</t>
  </si>
  <si>
    <t>FORROS</t>
  </si>
  <si>
    <t>PINTURA</t>
  </si>
  <si>
    <t>PINTURAS INTERNAS</t>
  </si>
  <si>
    <t>PINTURAS EXTERNAS</t>
  </si>
  <si>
    <t>PINTURA ESQUADRIAS</t>
  </si>
  <si>
    <t>PAVIMENTAÇÕES</t>
  </si>
  <si>
    <t>PISO CERÂMICO</t>
  </si>
  <si>
    <t>PISO CIMENTADO</t>
  </si>
  <si>
    <t>RODAPÉS, SOLEIRAS E PEITORIS</t>
  </si>
  <si>
    <t>INSTALAÇÕES</t>
  </si>
  <si>
    <t>ELÉTRICAS / TELEFÔNICAS</t>
  </si>
  <si>
    <t>CENTRO DE DISTRIBUIÇÃO ELÉTRICA</t>
  </si>
  <si>
    <t>ILUMINAÇÃO, TOMADAS E INTERRUPTORES</t>
  </si>
  <si>
    <t>FIOS E CABOS</t>
  </si>
  <si>
    <t>HIDRÁULICAS / GÁS / INCÊNCIO</t>
  </si>
  <si>
    <t>TUBULAÇÕES E CONEXÕES HIDRÁULICAS</t>
  </si>
  <si>
    <t xml:space="preserve">REGISTROS </t>
  </si>
  <si>
    <t>ENTRADA / ALIMENTAÇÃO HIDRÁULICA</t>
  </si>
  <si>
    <t>CAIXA D'ÁGUA E BARRILETE</t>
  </si>
  <si>
    <t>SANITÁRIAS / PLUVIAL</t>
  </si>
  <si>
    <t>TUBULAÇÕES E CONEXÕES SANITÁRIAS</t>
  </si>
  <si>
    <t>ACESSÓRIOS / CAIXAS SANITÁRIAS</t>
  </si>
  <si>
    <t>APARELHOS, METAIS E BANCADAS</t>
  </si>
  <si>
    <t>COMPLEMENTAÇÕES</t>
  </si>
  <si>
    <t>CALAFETE / LIMPEZA</t>
  </si>
  <si>
    <t>Casa 1</t>
  </si>
  <si>
    <t>Casa 2</t>
  </si>
  <si>
    <t>Casa 3</t>
  </si>
  <si>
    <t>Casa 4</t>
  </si>
  <si>
    <t>Casa 5</t>
  </si>
  <si>
    <t>Casa 6</t>
  </si>
  <si>
    <t>Casa 7</t>
  </si>
  <si>
    <t>Casa 8</t>
  </si>
  <si>
    <t>Casa 9</t>
  </si>
  <si>
    <t>Casa 10</t>
  </si>
  <si>
    <t>Casa 11</t>
  </si>
  <si>
    <t>Casa 12</t>
  </si>
  <si>
    <t>Casa 13</t>
  </si>
  <si>
    <t>Casa 14</t>
  </si>
  <si>
    <t>Casa 15</t>
  </si>
  <si>
    <t>Casa 16</t>
  </si>
  <si>
    <t>Casa 17</t>
  </si>
  <si>
    <t>Casa 18</t>
  </si>
  <si>
    <t>Casa 19</t>
  </si>
  <si>
    <t>Casa 20</t>
  </si>
  <si>
    <t>Conforme modelo disponibilizado pela CAIXA</t>
  </si>
  <si>
    <t>Thales Mamede Galvão de Oliveira</t>
  </si>
  <si>
    <t>162.151.440-4</t>
  </si>
  <si>
    <t>LOCAÇÃO</t>
  </si>
  <si>
    <t>105009</t>
  </si>
  <si>
    <t>CANTEIRO DE OBRAS</t>
  </si>
  <si>
    <t>103689</t>
  </si>
  <si>
    <t>100575</t>
  </si>
  <si>
    <t>ADMINISTRAÇÃO DA OBRA</t>
  </si>
  <si>
    <t>100872</t>
  </si>
  <si>
    <t>=(6,7+6,7+10,45+10,45)*20</t>
  </si>
  <si>
    <t>=4*2</t>
  </si>
  <si>
    <t>=(6,7*10,45)*20</t>
  </si>
  <si>
    <t>=4,5*4*20</t>
  </si>
  <si>
    <t>1. SERVIÇOS PRELIMINARES</t>
  </si>
  <si>
    <t>3. FUNDAÇÕES</t>
  </si>
  <si>
    <t>2. ADMINISTRAÇÃO DA OBRA</t>
  </si>
  <si>
    <t>4. SUPRAESTRUTURA</t>
  </si>
  <si>
    <t>5. PAREDES E PAINÉIS</t>
  </si>
  <si>
    <t>6. COBERTURA E PROTEÇÕES</t>
  </si>
  <si>
    <t>7. REVESTIMENTOS</t>
  </si>
  <si>
    <t>8. PAVIMENTAÇÕES</t>
  </si>
  <si>
    <t>9. INSTALAÇÕES</t>
  </si>
  <si>
    <t>10. COMPLEMENTAÇÕES</t>
  </si>
  <si>
    <t>98052</t>
  </si>
  <si>
    <t>98062</t>
  </si>
  <si>
    <t>1 casa adaptada PNE e 1 casa  adaptada idosos</t>
  </si>
  <si>
    <t>CPU -01</t>
  </si>
  <si>
    <t>Prefeitura Municipal de Pedro Régis-PB</t>
  </si>
  <si>
    <t>Pedro Régis-PB</t>
  </si>
  <si>
    <t>Construção de 20 residencias unifamiliares no Município de Pedro Régis/PB - Novo PAC FNHIS - Sub 50</t>
  </si>
  <si>
    <t>Prefeita Constitucional</t>
  </si>
  <si>
    <t>Michele Ribeiro de Oliveira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</si>
</sst>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
      <left style="thin">
        <color indexed="64"/>
      </left>
      <right style="thin">
        <color indexed="64"/>
      </right>
      <top style="thin">
        <color auto="1"/>
      </top>
      <bottom style="thin">
        <color indexed="64"/>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4">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49" fontId="0" fillId="6" borderId="19" xfId="0" quotePrefix="1" applyNumberFormat="1" applyFill="1" applyBorder="1" applyAlignment="1" applyProtection="1">
      <alignment vertical="center"/>
      <protection locked="0"/>
    </xf>
    <xf numFmtId="0" fontId="56" fillId="0" borderId="144" xfId="50" applyFont="1" applyBorder="1" applyAlignment="1">
      <alignment horizontal="center" vertical="center" wrapText="1"/>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24" fillId="0" borderId="30" xfId="35" applyFont="1" applyBorder="1" applyAlignment="1">
      <alignment horizontal="left" vertical="top"/>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39" fillId="0" borderId="0" xfId="0" applyFont="1" applyAlignment="1">
      <alignment horizontal="center" textRotation="90"/>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2"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24" fillId="17" borderId="31" xfId="0" applyFont="1" applyFill="1" applyBorder="1" applyAlignment="1">
      <alignment horizontal="left" vertical="center" wrapText="1"/>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10" fontId="46" fillId="32" borderId="122" xfId="37" applyNumberFormat="1" applyFont="1" applyFill="1" applyBorder="1" applyAlignment="1" applyProtection="1">
      <alignment horizontal="center"/>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1" fontId="56" fillId="0" borderId="122" xfId="48"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88" fontId="46" fillId="0" borderId="122"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12" fillId="0" borderId="104" xfId="0" applyFont="1" applyBorder="1" applyAlignment="1">
      <alignment horizontal="right" vertical="center"/>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24" fillId="8" borderId="1" xfId="0" applyFont="1" applyFill="1" applyBorder="1" applyAlignment="1">
      <alignment horizontal="center" wrapText="1"/>
    </xf>
    <xf numFmtId="186" fontId="63" fillId="0" borderId="29" xfId="0" applyNumberFormat="1" applyFont="1" applyBorder="1" applyAlignment="1">
      <alignment horizontal="left"/>
    </xf>
    <xf numFmtId="0" fontId="46" fillId="0" borderId="13" xfId="34" applyFont="1" applyBorder="1" applyAlignment="1">
      <alignment horizontal="left"/>
    </xf>
    <xf numFmtId="0" fontId="46" fillId="0" borderId="45" xfId="34" applyFont="1" applyBorder="1" applyAlignment="1">
      <alignment horizontal="left"/>
    </xf>
    <xf numFmtId="0" fontId="46" fillId="0" borderId="0" xfId="34" applyFont="1" applyAlignment="1">
      <alignment horizontal="center" wrapText="1"/>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0" fontId="0" fillId="0" borderId="39" xfId="0" applyBorder="1" applyAlignment="1">
      <alignment horizontal="left"/>
    </xf>
    <xf numFmtId="10" fontId="56" fillId="0" borderId="33" xfId="37" applyNumberFormat="1" applyFill="1" applyBorder="1" applyAlignment="1" applyProtection="1">
      <alignment horizontal="center"/>
    </xf>
    <xf numFmtId="14" fontId="0" fillId="6" borderId="46" xfId="0" applyNumberFormat="1" applyFill="1" applyBorder="1" applyAlignment="1" applyProtection="1">
      <alignment horizontal="center"/>
      <protection locked="0"/>
    </xf>
    <xf numFmtId="176" fontId="24" fillId="8" borderId="31" xfId="0" applyNumberFormat="1" applyFont="1" applyFill="1" applyBorder="1" applyAlignment="1">
      <alignment horizontal="center" shrinkToFit="1"/>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0" fontId="0" fillId="18" borderId="39" xfId="0" applyFill="1" applyBorder="1"/>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0" fontId="31" fillId="0" borderId="99" xfId="0" applyFont="1" applyBorder="1" applyAlignment="1">
      <alignment horizontal="center" vertical="top" wrapText="1"/>
    </xf>
    <xf numFmtId="0" fontId="24" fillId="0" borderId="31" xfId="0" applyFont="1" applyBorder="1" applyAlignment="1">
      <alignment horizontal="right" vertical="center"/>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998">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ill>
        <patternFill>
          <bgColor rgb="FFFFC000"/>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theme="0"/>
      </font>
      <border>
        <left/>
        <right/>
      </border>
    </dxf>
    <dxf>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i val="0"/>
        <color rgb="FFFF0000"/>
      </font>
    </dxf>
    <dxf>
      <font>
        <color theme="0" tint="-0.14996795556505021"/>
      </font>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0070" y="971550"/>
              <a:ext cx="1257300" cy="483870"/>
              <a:chOff x="523876" y="971526"/>
              <a:chExt cx="1257300" cy="485775"/>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26"/>
                <a:ext cx="1257300" cy="485775"/>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16430" y="971550"/>
              <a:ext cx="1230630" cy="483870"/>
              <a:chOff x="1790701" y="971521"/>
              <a:chExt cx="1304925" cy="485775"/>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1"/>
                <a:ext cx="1304925" cy="485775"/>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57150</xdr:rowOff>
        </xdr:from>
        <xdr:to>
          <xdr:col>13</xdr:col>
          <xdr:colOff>2381250</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400050</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400050</xdr:colOff>
          <xdr:row>9</xdr:row>
          <xdr:rowOff>66675</xdr:rowOff>
        </xdr:from>
        <xdr:to>
          <xdr:col>22</xdr:col>
          <xdr:colOff>819150</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438150</xdr:colOff>
          <xdr:row>9</xdr:row>
          <xdr:rowOff>57150</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19050</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57150</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133350</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ht="15" x14ac:dyDescent="0.25">
      <c r="A156" s="4"/>
      <c r="B156" s="47" t="s">
        <v>2</v>
      </c>
      <c r="C156" s="47"/>
      <c r="D156" s="499"/>
    </row>
    <row r="157" spans="1:4" ht="15" x14ac:dyDescent="0.25">
      <c r="A157" s="4"/>
      <c r="B157" s="47"/>
      <c r="C157" s="48" t="str">
        <f>IF(D157&lt;&gt;"","▪","")</f>
        <v>▪</v>
      </c>
      <c r="D157" s="499" t="s">
        <v>986</v>
      </c>
    </row>
    <row r="158" spans="1:4" ht="15" x14ac:dyDescent="0.25">
      <c r="A158" s="4"/>
      <c r="B158" s="47" t="s">
        <v>40</v>
      </c>
      <c r="C158" s="47"/>
      <c r="D158" s="499"/>
    </row>
    <row r="159" spans="1:4" ht="25.5" x14ac:dyDescent="0.25">
      <c r="A159" s="4"/>
      <c r="B159" s="47"/>
      <c r="C159" s="48" t="str">
        <f>IF(D159&lt;&gt;"","▪","")</f>
        <v>▪</v>
      </c>
      <c r="D159" s="499" t="s">
        <v>987</v>
      </c>
    </row>
    <row r="160" spans="1:4"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C163" s="48" t="str">
        <f>IF(D163&lt;&gt;"","▪","")</f>
        <v>▪</v>
      </c>
      <c r="D163" s="499" t="s">
        <v>983</v>
      </c>
    </row>
    <row r="164" spans="1:4" ht="15" x14ac:dyDescent="0.2">
      <c r="A164" s="414"/>
      <c r="C164" s="48" t="str">
        <f>IF(D164&lt;&gt;"","▪","")</f>
        <v>▪</v>
      </c>
      <c r="D164" s="499" t="s">
        <v>952</v>
      </c>
    </row>
    <row r="165" spans="1:4" ht="15" x14ac:dyDescent="0.2">
      <c r="A165" s="414"/>
      <c r="C165" s="48" t="str">
        <f>IF(D165&lt;&gt;"","▪","")</f>
        <v>▪</v>
      </c>
      <c r="D165" s="499" t="s">
        <v>997</v>
      </c>
    </row>
    <row r="166" spans="1:4" ht="15" x14ac:dyDescent="0.2">
      <c r="A166" s="414"/>
      <c r="C166" s="48" t="str">
        <f>IF(D166&lt;&gt;"","▪","")</f>
        <v>▪</v>
      </c>
      <c r="D166" s="499" t="s">
        <v>988</v>
      </c>
    </row>
    <row r="167" spans="1:4" ht="15" x14ac:dyDescent="0.2">
      <c r="A167" s="414"/>
      <c r="C167" s="48" t="str">
        <f>IF(D167&lt;&gt;"","▪","")</f>
        <v>▪</v>
      </c>
      <c r="D167" s="499" t="s">
        <v>989</v>
      </c>
    </row>
    <row r="168" spans="1:4" ht="15" x14ac:dyDescent="0.25">
      <c r="A168" s="4"/>
      <c r="B168" s="47" t="s">
        <v>20</v>
      </c>
      <c r="C168" s="47"/>
      <c r="D168" s="499"/>
    </row>
    <row r="169" spans="1:4" ht="25.5" x14ac:dyDescent="0.2">
      <c r="A169" s="414"/>
      <c r="C169" s="48" t="str">
        <f>IF(D169&lt;&gt;"","▪","")</f>
        <v>▪</v>
      </c>
      <c r="D169" s="499" t="s">
        <v>990</v>
      </c>
    </row>
    <row r="170" spans="1:4" ht="15" x14ac:dyDescent="0.2">
      <c r="A170" s="414"/>
      <c r="C170" s="48" t="str">
        <f t="shared" ref="C170:C171" si="2">IF(D170&lt;&gt;"","▪","")</f>
        <v>▪</v>
      </c>
      <c r="D170" s="499" t="s">
        <v>991</v>
      </c>
    </row>
    <row r="171" spans="1:4" ht="15" x14ac:dyDescent="0.2">
      <c r="A171" s="414"/>
      <c r="C171" s="48" t="str">
        <f t="shared" si="2"/>
        <v>▪</v>
      </c>
      <c r="D171" s="499" t="s">
        <v>992</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984</v>
      </c>
    </row>
    <row r="176" spans="1:4" ht="15" x14ac:dyDescent="0.25">
      <c r="A176" s="4"/>
      <c r="B176" s="47" t="s">
        <v>17</v>
      </c>
      <c r="C176" s="47"/>
      <c r="D176" s="499"/>
    </row>
    <row r="177" spans="1:4" ht="15" x14ac:dyDescent="0.2">
      <c r="A177" s="414"/>
      <c r="C177" s="48" t="str">
        <f>IF(D177&lt;&gt;"","▪","")</f>
        <v>▪</v>
      </c>
      <c r="D177" s="499" t="s">
        <v>985</v>
      </c>
    </row>
    <row r="178" spans="1:4" ht="15" x14ac:dyDescent="0.25">
      <c r="A178" s="418"/>
      <c r="B178" s="477"/>
      <c r="C178" s="477"/>
      <c r="D178" s="502"/>
    </row>
    <row r="179" spans="1:4" ht="18.75" x14ac:dyDescent="0.3">
      <c r="A179" s="602" t="s">
        <v>998</v>
      </c>
      <c r="B179" s="603"/>
      <c r="C179" s="603"/>
      <c r="D179" s="604"/>
    </row>
    <row r="180" spans="1:4" ht="15" x14ac:dyDescent="0.25">
      <c r="A180" s="4"/>
      <c r="B180" s="47" t="s">
        <v>2</v>
      </c>
      <c r="C180" s="47"/>
      <c r="D180" s="499"/>
    </row>
    <row r="181" spans="1:4" ht="15" x14ac:dyDescent="0.25">
      <c r="A181" s="4"/>
      <c r="B181" s="47"/>
      <c r="C181" s="48" t="str">
        <f>IF(D181&lt;&gt;"","▪","")</f>
        <v>▪</v>
      </c>
      <c r="D181" s="499" t="s">
        <v>999</v>
      </c>
    </row>
    <row r="182" spans="1:4" ht="15" x14ac:dyDescent="0.25">
      <c r="A182" s="4"/>
      <c r="B182" s="47" t="s">
        <v>40</v>
      </c>
      <c r="C182" s="47"/>
      <c r="D182" s="499"/>
    </row>
    <row r="183" spans="1:4" ht="15" x14ac:dyDescent="0.25">
      <c r="A183" s="4"/>
      <c r="B183" s="47"/>
      <c r="C183" s="48" t="str">
        <f>IF(D183&lt;&gt;"","▪","")</f>
        <v>▪</v>
      </c>
      <c r="D183" s="499" t="s">
        <v>1000</v>
      </c>
    </row>
    <row r="184" spans="1:4" ht="15" x14ac:dyDescent="0.25">
      <c r="A184" s="4"/>
      <c r="B184" s="47"/>
      <c r="C184" s="48" t="str">
        <f>IF(D184&lt;&gt;"","▪","")</f>
        <v>▪</v>
      </c>
      <c r="D184" s="499" t="s">
        <v>1001</v>
      </c>
    </row>
    <row r="185" spans="1:4" ht="15" x14ac:dyDescent="0.25">
      <c r="A185" s="418"/>
      <c r="B185" s="477"/>
      <c r="C185" s="477"/>
      <c r="D185" s="502"/>
    </row>
    <row r="186" spans="1:4" ht="18.75" x14ac:dyDescent="0.3">
      <c r="A186" s="602" t="s">
        <v>1002</v>
      </c>
      <c r="B186" s="603"/>
      <c r="C186" s="603"/>
      <c r="D186" s="604"/>
    </row>
    <row r="187" spans="1:4" ht="15" x14ac:dyDescent="0.25">
      <c r="A187" s="4"/>
      <c r="B187" s="47" t="s">
        <v>11</v>
      </c>
      <c r="C187" s="47"/>
      <c r="D187" s="499"/>
    </row>
    <row r="188" spans="1:4" ht="15" x14ac:dyDescent="0.25">
      <c r="A188" s="4"/>
      <c r="B188" s="47"/>
      <c r="C188" s="48" t="str">
        <f>IF(D188&lt;&gt;"","▪","")</f>
        <v>▪</v>
      </c>
      <c r="D188" s="499" t="s">
        <v>1003</v>
      </c>
    </row>
    <row r="189" spans="1:4" ht="15" x14ac:dyDescent="0.25">
      <c r="A189" s="418"/>
      <c r="B189" s="477"/>
      <c r="C189" s="477"/>
      <c r="D189" s="502"/>
    </row>
    <row r="190" spans="1:4" ht="18.75" x14ac:dyDescent="0.3">
      <c r="A190" s="602" t="s">
        <v>1005</v>
      </c>
      <c r="B190" s="603"/>
      <c r="C190" s="603"/>
      <c r="D190" s="604"/>
    </row>
    <row r="191" spans="1:4" ht="15" x14ac:dyDescent="0.25">
      <c r="A191" s="4"/>
      <c r="B191" s="47" t="s">
        <v>23</v>
      </c>
      <c r="C191" s="47"/>
      <c r="D191" s="499"/>
    </row>
    <row r="192" spans="1:4" ht="15" x14ac:dyDescent="0.25">
      <c r="A192" s="4"/>
      <c r="B192" s="47"/>
      <c r="C192" s="48" t="str">
        <f>IF(D192&lt;&gt;"","▪","")</f>
        <v>▪</v>
      </c>
      <c r="D192" s="499" t="s">
        <v>1006</v>
      </c>
    </row>
    <row r="193" spans="1:4" ht="15" x14ac:dyDescent="0.25">
      <c r="A193" s="418"/>
      <c r="B193" s="477"/>
      <c r="C193" s="477"/>
      <c r="D193" s="502"/>
    </row>
  </sheetData>
  <sheetProtection algorithmName="SHA-512" hashValue="h0cViO3BYC7Gz1dBo2iC0r6zC+TlZ5tUz+2a4l/8jh3V7YqoeBmR5qIZerqfo7coNZL12A10ukOA9pyeQi5VbQ==" saltValue="vLhk9EmU45IUnxWossIgqw=="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71093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7109375" customWidth="1"/>
    <col min="10" max="10" width="19" customWidth="1"/>
    <col min="11" max="11" width="3" customWidth="1"/>
    <col min="13" max="13" width="1.5703125" customWidth="1"/>
    <col min="14" max="14" width="38.71093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78" t="str">
        <f>CHOOSE(MATCH(Objeto,{"PM","PO"}),"PLANILHA MÚLTIPLA ","PLANILHA ORÇAMENTÁRIA ")&amp; Versao</f>
        <v>PLANILHA MÚLTIPLA v3.16</v>
      </c>
      <c r="F2" s="678"/>
      <c r="G2" s="678"/>
      <c r="H2" s="408"/>
      <c r="I2" s="406"/>
      <c r="J2" s="491" t="s">
        <v>1004</v>
      </c>
      <c r="K2" s="510" t="b">
        <v>1</v>
      </c>
    </row>
    <row r="3" spans="1:15" ht="22.5" customHeight="1" x14ac:dyDescent="0.2">
      <c r="A3" s="404"/>
      <c r="B3" s="406"/>
      <c r="C3" s="406"/>
      <c r="D3" s="406"/>
      <c r="E3" s="678"/>
      <c r="F3" s="678"/>
      <c r="G3" s="678"/>
      <c r="H3" s="408"/>
      <c r="I3" s="406"/>
      <c r="O3" s="606">
        <v>1</v>
      </c>
    </row>
    <row r="4" spans="1:15" ht="17.100000000000001" customHeight="1" x14ac:dyDescent="0.2">
      <c r="A4" s="404"/>
      <c r="B4" s="406"/>
      <c r="C4" s="406"/>
      <c r="D4" s="406"/>
      <c r="E4" s="406"/>
      <c r="F4" s="407"/>
      <c r="G4" s="408"/>
      <c r="H4" s="408"/>
      <c r="I4" s="406"/>
      <c r="J4" s="151" t="str">
        <f>IF(VALUE(MENU!$O$4)=2,"BM","PLE")</f>
        <v>PLE</v>
      </c>
      <c r="O4" s="606">
        <v>1</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77" t="str">
        <f>IF($O$3&lt;&gt;2,"DOCUMENTAÇÃO DA PROPOSTA","PROPOSTA: Para visualizar/preencher esta seção, altere o TIPO DE ORÇAMENTO para 'Proposto'")</f>
        <v>DOCUMENTAÇÃO DA PROPOSTA</v>
      </c>
      <c r="C8" s="677"/>
      <c r="D8" s="677"/>
      <c r="E8" s="677"/>
      <c r="F8" s="677"/>
      <c r="G8" s="677"/>
      <c r="H8" s="677"/>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07-2025.xlsm.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77" t="str">
        <f>IF($O$3&lt;&gt;2,"PÓS-LICITADO: Para visualizar/preencher esta seção, altere o TIPO DE ORÇAMENTO para 'Licitado'","RESULTADO DO PROCESSO LICITATÓRIO")</f>
        <v>PÓS-LICITADO: Para visualizar/preencher esta seção, altere o TIPO DE ORÇAMENTO para 'Licitado'</v>
      </c>
      <c r="C16" s="677"/>
      <c r="D16" s="677"/>
      <c r="E16" s="677"/>
      <c r="F16" s="677"/>
      <c r="G16" s="677"/>
      <c r="H16" s="677"/>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77" t="str">
        <f>IF($O$3&lt;&gt;2,"ACOMPANHAMENTO: Para visualizar/preencher esta seção, altere o TIPO DE ORÇAMENTO para 'Licitado'","ACOMPANHAMENTO DO EMPREENDIMENTO")</f>
        <v>ACOMPANHAMENTO: Para visualizar/preencher esta seção, altere o TIPO DE ORÇAMENTO para 'Licitado'</v>
      </c>
      <c r="C20" s="677"/>
      <c r="D20" s="677"/>
      <c r="E20" s="677"/>
      <c r="F20" s="677"/>
      <c r="G20" s="677"/>
      <c r="H20" s="677"/>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nFHpEZL60+12JoaPxkqDA4wqFALqiK1HB7VUg+qjvEQcH2IOOcEqb0ykqETqXN2Td0UozlXlhXbpxDos343MPQ==" saltValue="JUroAkp3pV5d+2yWo0kmaw==" spinCount="100000" sheet="1" objects="1" scenarios="1" autoFilter="0"/>
  <mergeCells count="4">
    <mergeCell ref="B20:H20"/>
    <mergeCell ref="B8:H8"/>
    <mergeCell ref="E2:G3"/>
    <mergeCell ref="B16:H16"/>
  </mergeCells>
  <phoneticPr fontId="38" type="noConversion"/>
  <conditionalFormatting sqref="C10:G14">
    <cfRule type="expression" dxfId="997" priority="70" stopIfTrue="1">
      <formula>TIPOORCAMENTO="Licitado"</formula>
    </cfRule>
  </conditionalFormatting>
  <conditionalFormatting sqref="C18:G18 E22:E24">
    <cfRule type="expression" dxfId="996" priority="71" stopIfTrue="1">
      <formula>TIPOORCAMENTO&lt;&gt;"Licitado"</formula>
    </cfRule>
  </conditionalFormatting>
  <conditionalFormatting sqref="C22">
    <cfRule type="expression" dxfId="995" priority="73" stopIfTrue="1">
      <formula>OR(TIPOORCAMENTO&lt;&gt;"Licitado",ACOMPANHAMENTO&lt;&gt;"PLE")</formula>
    </cfRule>
  </conditionalFormatting>
  <conditionalFormatting sqref="G22">
    <cfRule type="expression" dxfId="994" priority="74" stopIfTrue="1">
      <formula>OR(TIPOORCAMENTO&lt;&gt;"Licitado",ACOMPANHAMENTO&lt;&gt;"BM")</formula>
    </cfRule>
  </conditionalFormatting>
  <conditionalFormatting sqref="B16:H16 B20:H20">
    <cfRule type="expression" dxfId="993" priority="599" stopIfTrue="1">
      <formula>$O$3&lt;&gt;2</formula>
    </cfRule>
  </conditionalFormatting>
  <conditionalFormatting sqref="B8:H8">
    <cfRule type="expression" dxfId="992"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57150</xdr:rowOff>
                  </from>
                  <to>
                    <xdr:col>13</xdr:col>
                    <xdr:colOff>2381250</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3" activePane="bottomLeft" state="frozen"/>
      <selection pane="bottomLeft" activeCell="C19" sqref="C19"/>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28515625" customWidth="1"/>
    <col min="7" max="10" width="30.7109375" hidden="1" customWidth="1"/>
    <col min="11" max="11" width="9.28515625" hidden="1" customWidth="1"/>
    <col min="12" max="12" width="14.42578125" hidden="1" customWidth="1"/>
    <col min="13" max="15" width="9.28515625" hidden="1" customWidth="1"/>
    <col min="16" max="16" width="9.28515625" style="7" hidden="1" customWidth="1"/>
    <col min="17" max="48" width="9.28515625" hidden="1" customWidth="1"/>
    <col min="49" max="49" width="15.5703125" hidden="1" customWidth="1"/>
    <col min="50" max="50" width="9.28515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G1" s="9" t="s">
        <v>138</v>
      </c>
      <c r="H1" s="9" t="s">
        <v>959</v>
      </c>
      <c r="I1" s="9" t="s">
        <v>960</v>
      </c>
      <c r="J1" s="9" t="s">
        <v>709</v>
      </c>
      <c r="M1" s="610"/>
      <c r="N1" s="680" t="s">
        <v>97</v>
      </c>
      <c r="O1" s="680"/>
      <c r="P1" s="680"/>
      <c r="Q1" s="680"/>
      <c r="R1" s="680"/>
      <c r="S1" s="680"/>
      <c r="T1" s="680"/>
      <c r="U1" s="680"/>
      <c r="V1" s="680"/>
      <c r="W1" s="680"/>
      <c r="X1" s="680"/>
      <c r="Y1" s="680"/>
      <c r="Z1" s="680"/>
      <c r="AA1" s="680"/>
      <c r="AB1" s="680"/>
      <c r="AC1" s="680"/>
      <c r="AD1" s="680"/>
      <c r="AE1" s="680"/>
      <c r="AF1" s="680"/>
      <c r="AG1" s="680"/>
      <c r="AH1" s="680"/>
      <c r="AI1" s="680"/>
      <c r="AJ1" s="680"/>
      <c r="AK1" s="680"/>
      <c r="AL1" s="680"/>
      <c r="AM1" s="680"/>
      <c r="AN1" s="680"/>
      <c r="AO1" s="680"/>
      <c r="AP1" s="680"/>
      <c r="AQ1" s="680"/>
      <c r="AR1" s="680"/>
      <c r="AS1" s="680"/>
      <c r="AT1" s="680"/>
      <c r="AV1" s="611" t="s">
        <v>98</v>
      </c>
      <c r="AW1" s="612"/>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79" t="s">
        <v>119</v>
      </c>
      <c r="C3" s="679"/>
      <c r="D3" s="562" t="str">
        <f ca="1">IF(COUNTIF(D4:D13,"◄")=0,"","Falta preencher a linha "&amp;MATCH("◄",D4:D13,0)+ROW(D3))</f>
        <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962</v>
      </c>
      <c r="D4" s="563" t="str">
        <f ca="1">IF(OR(OFFSET(D4,0,-1)="",OFFSET(D4,0,-1)="(SELECIONAR)"),"◄","")</f>
        <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1263</v>
      </c>
      <c r="D5" s="563" t="str">
        <f t="shared" ref="D5:D11" ca="1" si="0">IF(OFFSET(D5,0,-1)="","◄","")</f>
        <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1264</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675" t="s">
        <v>688</v>
      </c>
      <c r="D7" s="563" t="str">
        <f t="shared" ca="1" si="0"/>
        <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675" t="s">
        <v>688</v>
      </c>
      <c r="D8" s="563"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v>2734215.06</v>
      </c>
      <c r="D9" s="563" t="str">
        <f t="shared" ca="1" si="0"/>
        <v/>
      </c>
      <c r="I9" t="s">
        <v>973</v>
      </c>
      <c r="L9" s="12" t="s">
        <v>106</v>
      </c>
      <c r="U9" t="s">
        <v>198</v>
      </c>
      <c r="V9" s="7" t="s">
        <v>126</v>
      </c>
      <c r="W9" t="s">
        <v>199</v>
      </c>
      <c r="X9" s="7" t="s">
        <v>128</v>
      </c>
      <c r="AV9" t="s">
        <v>200</v>
      </c>
      <c r="AW9" t="s">
        <v>201</v>
      </c>
    </row>
    <row r="10" spans="2:49" x14ac:dyDescent="0.2">
      <c r="B10" s="17" t="s">
        <v>202</v>
      </c>
      <c r="C10" s="19">
        <v>0</v>
      </c>
      <c r="D10" s="563" t="str">
        <f t="shared" ca="1" si="0"/>
        <v/>
      </c>
      <c r="L10" s="12" t="s">
        <v>107</v>
      </c>
      <c r="U10" t="s">
        <v>203</v>
      </c>
      <c r="V10" s="7" t="s">
        <v>148</v>
      </c>
      <c r="W10" t="s">
        <v>204</v>
      </c>
      <c r="X10" s="7" t="s">
        <v>121</v>
      </c>
      <c r="AV10" t="s">
        <v>205</v>
      </c>
      <c r="AW10" t="s">
        <v>206</v>
      </c>
    </row>
    <row r="11" spans="2:49" x14ac:dyDescent="0.2">
      <c r="B11" s="17" t="s">
        <v>207</v>
      </c>
      <c r="C11" s="20">
        <v>0</v>
      </c>
      <c r="D11" s="563" t="str">
        <f t="shared" ca="1" si="0"/>
        <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v>0.04</v>
      </c>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79" t="s">
        <v>220</v>
      </c>
      <c r="C15" s="679"/>
      <c r="D15" s="562" t="str">
        <f ca="1">IF(COUNTIF(D16:D19,"◄")=0,"","Falta preencher a linha "&amp;MATCH("◄",D16:D19,0)+ROW(D15))</f>
        <v/>
      </c>
      <c r="L15" s="12" t="s">
        <v>112</v>
      </c>
      <c r="AV15" t="s">
        <v>221</v>
      </c>
      <c r="AW15" t="s">
        <v>222</v>
      </c>
    </row>
    <row r="16" spans="2:49" ht="25.5" x14ac:dyDescent="0.2">
      <c r="B16" s="24" t="s">
        <v>223</v>
      </c>
      <c r="C16" s="25" t="s">
        <v>1007</v>
      </c>
      <c r="D16" s="563" t="str">
        <f t="shared" ref="D16:D19" ca="1" si="1">IF(OFFSET(D16,0,-1)="","◄","")</f>
        <v/>
      </c>
      <c r="L16" s="12" t="s">
        <v>113</v>
      </c>
      <c r="AV16" t="s">
        <v>224</v>
      </c>
      <c r="AW16" t="s">
        <v>225</v>
      </c>
    </row>
    <row r="17" spans="2:49" ht="25.5" x14ac:dyDescent="0.2">
      <c r="B17" s="17" t="s">
        <v>226</v>
      </c>
      <c r="C17" s="26" t="s">
        <v>1265</v>
      </c>
      <c r="D17" s="563" t="str">
        <f t="shared" ca="1" si="1"/>
        <v/>
      </c>
      <c r="L17" s="12" t="s">
        <v>114</v>
      </c>
      <c r="AV17" t="s">
        <v>227</v>
      </c>
      <c r="AW17" t="s">
        <v>228</v>
      </c>
    </row>
    <row r="18" spans="2:49" x14ac:dyDescent="0.2">
      <c r="B18" s="17" t="s">
        <v>229</v>
      </c>
      <c r="C18" s="27" t="s">
        <v>966</v>
      </c>
      <c r="D18" s="563" t="str">
        <f ca="1">IF(OR(OFFSET(D18,0,-1)="",OFFSET(D18,0,-1)="(SELECIONAR)"),"◄","")</f>
        <v/>
      </c>
      <c r="L18" s="12" t="s">
        <v>115</v>
      </c>
      <c r="AV18" t="s">
        <v>230</v>
      </c>
      <c r="AW18" t="s">
        <v>231</v>
      </c>
    </row>
    <row r="19" spans="2:49" ht="13.5" thickBot="1" x14ac:dyDescent="0.25">
      <c r="B19" s="28" t="s">
        <v>232</v>
      </c>
      <c r="C19" s="29">
        <v>45839</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79" t="s">
        <v>237</v>
      </c>
      <c r="C21" s="679"/>
      <c r="D21" s="562" t="str">
        <f ca="1">IF(COUNTIF(D22:D25,"◄")=0,"","Falta preencher a linha "&amp;MATCH("◄",D22:D25,0)+ROW(D21))</f>
        <v/>
      </c>
      <c r="L21" s="12"/>
      <c r="AV21" t="s">
        <v>238</v>
      </c>
      <c r="AW21" t="s">
        <v>239</v>
      </c>
    </row>
    <row r="22" spans="2:49" x14ac:dyDescent="0.2">
      <c r="B22" s="15" t="s">
        <v>240</v>
      </c>
      <c r="C22" s="31" t="s">
        <v>1236</v>
      </c>
      <c r="D22" s="563" t="str">
        <f t="shared" ref="D22:D24" ca="1" si="2">IF(OFFSET(D22,0,-1)="","◄","")</f>
        <v/>
      </c>
      <c r="AV22" t="s">
        <v>241</v>
      </c>
      <c r="AW22" t="s">
        <v>242</v>
      </c>
    </row>
    <row r="23" spans="2:49" x14ac:dyDescent="0.2">
      <c r="B23" s="17" t="s">
        <v>243</v>
      </c>
      <c r="C23" s="18" t="s">
        <v>1237</v>
      </c>
      <c r="D23" s="563" t="str">
        <f t="shared" ca="1" si="2"/>
        <v/>
      </c>
      <c r="AV23" t="s">
        <v>244</v>
      </c>
      <c r="AW23" t="s">
        <v>245</v>
      </c>
    </row>
    <row r="24" spans="2:49" x14ac:dyDescent="0.2">
      <c r="B24" s="17" t="s">
        <v>246</v>
      </c>
      <c r="C24" s="675" t="s">
        <v>688</v>
      </c>
      <c r="D24" s="563" t="str">
        <f t="shared" ca="1" si="2"/>
        <v/>
      </c>
      <c r="AV24" t="s">
        <v>247</v>
      </c>
      <c r="AW24" t="s">
        <v>248</v>
      </c>
    </row>
    <row r="25" spans="2:49" ht="13.5" thickBot="1" x14ac:dyDescent="0.25">
      <c r="B25" s="21" t="s">
        <v>249</v>
      </c>
      <c r="C25" s="32">
        <v>45981</v>
      </c>
      <c r="D25" s="563" t="s">
        <v>250</v>
      </c>
      <c r="AV25" t="s">
        <v>251</v>
      </c>
      <c r="AW25" t="s">
        <v>252</v>
      </c>
    </row>
    <row r="26" spans="2:49" ht="13.5" thickBot="1" x14ac:dyDescent="0.25">
      <c r="AV26" t="s">
        <v>253</v>
      </c>
      <c r="AW26" t="s">
        <v>254</v>
      </c>
    </row>
    <row r="27" spans="2:49" ht="15.75" thickBot="1" x14ac:dyDescent="0.3">
      <c r="B27" s="679" t="s">
        <v>255</v>
      </c>
      <c r="C27" s="679"/>
      <c r="D27" s="562" t="str">
        <f ca="1">IF(COUNTIF(D28:D29,"◄")=0,"","Falta preencher a linha "&amp;MATCH("◄",D28:D29,0)+ROW(D27))</f>
        <v/>
      </c>
      <c r="AV27" t="s">
        <v>256</v>
      </c>
      <c r="AW27" t="s">
        <v>257</v>
      </c>
    </row>
    <row r="28" spans="2:49" x14ac:dyDescent="0.2">
      <c r="B28" s="13" t="s">
        <v>240</v>
      </c>
      <c r="C28" s="33" t="s">
        <v>1267</v>
      </c>
      <c r="D28" s="563" t="str">
        <f t="shared" ref="D28:D29" ca="1" si="3">IF(OFFSET(D28,0,-1)="","◄","")</f>
        <v/>
      </c>
      <c r="AV28" t="s">
        <v>258</v>
      </c>
      <c r="AW28" t="s">
        <v>259</v>
      </c>
    </row>
    <row r="29" spans="2:49" ht="13.5" thickBot="1" x14ac:dyDescent="0.25">
      <c r="B29" s="21" t="s">
        <v>260</v>
      </c>
      <c r="C29" s="34" t="s">
        <v>1266</v>
      </c>
      <c r="D29" s="563" t="str">
        <f t="shared" ca="1" si="3"/>
        <v/>
      </c>
      <c r="AV29" t="s">
        <v>261</v>
      </c>
      <c r="AW29" t="s">
        <v>262</v>
      </c>
    </row>
    <row r="30" spans="2:49" ht="16.5" thickBot="1" x14ac:dyDescent="0.25">
      <c r="B30" s="8"/>
      <c r="AV30" t="s">
        <v>263</v>
      </c>
      <c r="AW30" t="s">
        <v>262</v>
      </c>
    </row>
    <row r="31" spans="2:49" ht="13.5" thickBot="1" x14ac:dyDescent="0.25">
      <c r="B31" s="474" t="s">
        <v>264</v>
      </c>
      <c r="C31" s="475" t="s">
        <v>950</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79" t="s">
        <v>273</v>
      </c>
      <c r="C35" s="679"/>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968</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79" t="s">
        <v>303</v>
      </c>
      <c r="C46" s="679"/>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679" t="s">
        <v>314</v>
      </c>
      <c r="C50" s="679"/>
      <c r="D50" s="562" t="str">
        <f ca="1">IF(COUNTIF(D51:D54,"◄")=0,"","Falta preencher a linha "&amp;MATCH("◄",D51:D54,0)+ROW(D50))</f>
        <v/>
      </c>
      <c r="AV50" t="s">
        <v>315</v>
      </c>
      <c r="AW50" t="s">
        <v>316</v>
      </c>
    </row>
    <row r="51" spans="2:49" x14ac:dyDescent="0.2">
      <c r="B51" s="13" t="s">
        <v>240</v>
      </c>
      <c r="C51" s="38"/>
      <c r="D51" s="563" t="str" cm="1">
        <f t="array" aca="1" ref="D51" ca="1">IF(AND(TIPOORCAMENTO="Licitado",OFFSET(D51,0,-1)="",IFERROR(RRE!$O$28,0)&gt;0),"◄","")</f>
        <v/>
      </c>
      <c r="AV51" t="s">
        <v>317</v>
      </c>
      <c r="AW51" t="s">
        <v>318</v>
      </c>
    </row>
    <row r="52" spans="2:49" x14ac:dyDescent="0.2">
      <c r="B52" s="17" t="s">
        <v>319</v>
      </c>
      <c r="C52" s="18"/>
      <c r="D52" s="563" t="str" cm="1">
        <f t="array" aca="1" ref="D52" ca="1">IF(AND(TIPOORCAMENTO="Licitado",OFFSET(D52,0,-1)="",IFERROR(RRE!$O$28,0)&gt;0),"◄","")</f>
        <v/>
      </c>
      <c r="AV52" t="s">
        <v>320</v>
      </c>
      <c r="AW52" t="s">
        <v>321</v>
      </c>
    </row>
    <row r="53" spans="2:49" x14ac:dyDescent="0.2">
      <c r="B53" s="17" t="s">
        <v>322</v>
      </c>
      <c r="C53" s="18"/>
      <c r="D53" s="563" t="str" cm="1">
        <f t="array" aca="1" ref="D53" ca="1">IF(AND(TIPOORCAMENTO="Licitado",OFFSET(D53,0,-1)="",IFERROR(RRE!$O$28,0)&gt;0),"◄","")</f>
        <v/>
      </c>
      <c r="AV53" t="s">
        <v>323</v>
      </c>
      <c r="AW53" t="s">
        <v>324</v>
      </c>
    </row>
    <row r="54" spans="2:49" ht="13.5" thickBot="1" x14ac:dyDescent="0.25">
      <c r="B54" s="21" t="s">
        <v>325</v>
      </c>
      <c r="C54" s="39"/>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79" t="s">
        <v>337</v>
      </c>
      <c r="C59" s="679"/>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c52uql7Fme8PIQCZOgqrGWmz1rE1t7GmrfWE2AYsujaZdjVxQsxNKXGgzlJqOiang5ON3J3nCNeXZfl/LK6LeA==" saltValue="P0EkSKMTjlgdwl5rff889g=="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991" priority="2" stopIfTrue="1">
      <formula>CAIXA.Modo=FALSE</formula>
    </cfRule>
  </conditionalFormatting>
  <conditionalFormatting sqref="B59:C61">
    <cfRule type="expression" dxfId="990"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filterMode="1">
    <pageSetUpPr fitToPage="1"/>
  </sheetPr>
  <dimension ref="A1:Z146"/>
  <sheetViews>
    <sheetView showGridLines="0" topLeftCell="I1" zoomScale="85" zoomScaleNormal="85" zoomScaleSheetLayoutView="100" workbookViewId="0">
      <pane ySplit="11" topLeftCell="A24" activePane="bottomLeft" state="frozen"/>
      <selection activeCell="B21" sqref="B21:C21"/>
      <selection pane="bottomLeft"/>
    </sheetView>
  </sheetViews>
  <sheetFormatPr defaultRowHeight="12.75" x14ac:dyDescent="0.2"/>
  <cols>
    <col min="1" max="4" width="5.5703125" style="49" hidden="1" customWidth="1"/>
    <col min="5" max="6" width="11.42578125" style="49" hidden="1" customWidth="1"/>
    <col min="7" max="7" width="11.7109375" style="49" hidden="1" customWidth="1"/>
    <col min="8" max="8" width="10.5703125" customWidth="1"/>
    <col min="9" max="9" width="3.5703125" customWidth="1"/>
    <col min="10" max="15" width="10.5703125" style="49" customWidth="1"/>
    <col min="16" max="16" width="12.71093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682" t="s">
        <v>644</v>
      </c>
      <c r="S1" s="682"/>
    </row>
    <row r="2" spans="1:21" x14ac:dyDescent="0.2">
      <c r="A2" s="49" t="s">
        <v>645</v>
      </c>
      <c r="B2" s="53" t="s">
        <v>646</v>
      </c>
      <c r="C2" s="49" t="str">
        <f t="shared" ref="C2:C49" si="0">CONCATENATE(A2,"-",B2)</f>
        <v>Construção e Reforma de Edifícios-AC</v>
      </c>
      <c r="E2" s="54">
        <v>0.03</v>
      </c>
      <c r="F2" s="54">
        <v>0.04</v>
      </c>
      <c r="G2" s="54">
        <v>5.5E-2</v>
      </c>
      <c r="R2" s="683" t="s">
        <v>647</v>
      </c>
      <c r="S2" s="683"/>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684" t="s">
        <v>650</v>
      </c>
      <c r="K4" s="684"/>
      <c r="L4" s="684" t="s">
        <v>651</v>
      </c>
      <c r="M4" s="684"/>
      <c r="N4" s="684" t="s">
        <v>652</v>
      </c>
      <c r="O4" s="684"/>
      <c r="P4" s="684"/>
      <c r="Q4" s="684"/>
      <c r="R4" s="684"/>
      <c r="S4" s="684"/>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681" t="str">
        <f>Import.CR</f>
        <v>-</v>
      </c>
      <c r="K5" s="681"/>
      <c r="L5" s="681" t="str">
        <f>Import.TransfereGOV</f>
        <v>-</v>
      </c>
      <c r="M5" s="681"/>
      <c r="N5" s="681" t="str">
        <f>Import.Proponente</f>
        <v>Prefeitura Municipal de Pedro Régis-PB</v>
      </c>
      <c r="O5" s="681"/>
      <c r="P5" s="681"/>
      <c r="Q5" s="681"/>
      <c r="R5" s="681"/>
      <c r="S5" s="681"/>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710"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710"/>
      <c r="J7" s="684" t="s">
        <v>657</v>
      </c>
      <c r="K7" s="684"/>
      <c r="L7" s="684"/>
      <c r="M7" s="684"/>
      <c r="N7" s="684"/>
      <c r="O7" s="684"/>
      <c r="P7" s="684"/>
      <c r="Q7" s="684"/>
      <c r="R7" s="684"/>
      <c r="S7" s="684"/>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710"/>
      <c r="J8" s="687" t="str">
        <f>Import.Apelido&amp;" / "&amp;Import.DescLote</f>
        <v>Casa térrea acessível, 2 quartos, Autil=47,46m², conforme Portaria MCID 1416/2023 / Construção de 20 residencias unifamiliares no Município de Pedro Régis/PB - Novo PAC FNHIS - Sub 50</v>
      </c>
      <c r="K8" s="687"/>
      <c r="L8" s="687"/>
      <c r="M8" s="687"/>
      <c r="N8" s="687"/>
      <c r="O8" s="687"/>
      <c r="P8" s="687"/>
      <c r="Q8" s="687"/>
      <c r="R8" s="687"/>
      <c r="S8" s="687"/>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710"/>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710"/>
      <c r="J10" s="688" t="s">
        <v>659</v>
      </c>
      <c r="K10" s="688"/>
      <c r="L10" s="688"/>
      <c r="M10" s="688"/>
      <c r="N10" s="688"/>
      <c r="O10" s="688"/>
      <c r="P10" s="688"/>
      <c r="Q10" s="688"/>
      <c r="R10" s="686">
        <v>0.5</v>
      </c>
      <c r="S10" s="686"/>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685" t="s">
        <v>661</v>
      </c>
      <c r="K11" s="685"/>
      <c r="L11" s="685"/>
      <c r="M11" s="685"/>
      <c r="N11" s="685"/>
      <c r="O11" s="685"/>
      <c r="P11" s="685"/>
      <c r="Q11" s="685"/>
      <c r="R11" s="686">
        <v>0.04</v>
      </c>
      <c r="S11" s="686"/>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693" t="s">
        <v>663</v>
      </c>
      <c r="K14" s="693"/>
      <c r="L14" s="693"/>
      <c r="M14" s="693"/>
      <c r="N14" s="693"/>
      <c r="O14" s="693"/>
      <c r="P14" s="693"/>
      <c r="Q14" s="693"/>
      <c r="R14" s="693"/>
      <c r="S14" s="693"/>
      <c r="U14" s="521" t="str">
        <f ca="1">IF(COUNTIF(ORÇAMENTO!$V$15:$V$244,BDI_1.Título)=0,"",IF(OR(Import.BDI.Tipo1="(SELECIONAR)",Import.BDI.Tipo1="",U17&lt;&gt;"",AND($J17&lt;&gt;$A$145,OR(S21="",S22="",AND($J17&lt;&gt;$A$146,OR(S23="",S24="")),S25="",S26=""))),"Falta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684" t="s">
        <v>664</v>
      </c>
      <c r="K16" s="684"/>
      <c r="L16" s="684"/>
      <c r="M16" s="684"/>
      <c r="N16" s="684"/>
      <c r="O16" s="684"/>
      <c r="P16" s="684"/>
      <c r="Q16" s="684"/>
      <c r="R16" s="684"/>
      <c r="S16" s="684"/>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690" t="s">
        <v>645</v>
      </c>
      <c r="K17" s="690"/>
      <c r="L17" s="690"/>
      <c r="M17" s="690"/>
      <c r="N17" s="690"/>
      <c r="O17" s="690"/>
      <c r="P17" s="690"/>
      <c r="Q17" s="690"/>
      <c r="R17" s="690"/>
      <c r="S17" s="690"/>
      <c r="T17" s="563" t="str">
        <f ca="1">IF(U17="","","◄")</f>
        <v/>
      </c>
      <c r="U17" s="562" t="str">
        <f ca="1">IF(AND(OR(S29&gt;0,COUNTIF(ORÇAMENTO!$V$15:$V$244,BDI_1.Título)&gt;0),OR(Import.BDI.Tipo1="(SELECIONAR)",Import.BDI.Tipo1="")),"Selecione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692" t="s">
        <v>666</v>
      </c>
      <c r="K19" s="692"/>
      <c r="L19" s="692"/>
      <c r="M19" s="692"/>
      <c r="N19" s="692"/>
      <c r="O19" s="692"/>
      <c r="P19" s="692"/>
      <c r="Q19" s="692"/>
      <c r="R19" s="692" t="s">
        <v>667</v>
      </c>
      <c r="S19" s="691" t="s">
        <v>668</v>
      </c>
      <c r="U19" s="691" t="s">
        <v>669</v>
      </c>
      <c r="V19" s="691"/>
      <c r="W19" s="691"/>
      <c r="X19" s="689" t="s">
        <v>670</v>
      </c>
      <c r="Y19" s="689" t="s">
        <v>671</v>
      </c>
      <c r="Z19" s="689"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692"/>
      <c r="K20" s="692"/>
      <c r="L20" s="692"/>
      <c r="M20" s="692"/>
      <c r="N20" s="692"/>
      <c r="O20" s="692"/>
      <c r="P20" s="692"/>
      <c r="Q20" s="692"/>
      <c r="R20" s="692"/>
      <c r="S20" s="691"/>
      <c r="U20" s="691"/>
      <c r="V20" s="691"/>
      <c r="W20" s="691"/>
      <c r="X20" s="689"/>
      <c r="Y20" s="689"/>
      <c r="Z20" s="689"/>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694" t="str">
        <f>IF($J$17=$A$146,"Encargos Sociais incidentes sobre a mão de obra","Administração Central")</f>
        <v>Administração Central</v>
      </c>
      <c r="K21" s="694"/>
      <c r="L21" s="694"/>
      <c r="M21" s="694"/>
      <c r="N21" s="694"/>
      <c r="O21" s="694"/>
      <c r="P21" s="694"/>
      <c r="Q21" s="694"/>
      <c r="R21" s="60" t="str">
        <f>IF($J17=$A$146,"K1","AC")</f>
        <v>AC</v>
      </c>
      <c r="S21" s="61">
        <v>0.04</v>
      </c>
      <c r="T21" s="572" t="str">
        <f ca="1">IF(AND($U$14&lt;&gt;"",$U$17="",R21&lt;&gt;"",S21=""),"◄","")</f>
        <v/>
      </c>
      <c r="U21" s="695" t="str">
        <f ca="1">IFERROR(IF(T21="◄","FALTA PREENCHER",IF(AND(OR(S21&gt;=X21,X21="-"),OR(S21&lt;=Z21,Z21="-")),"OK","FORA DO INTERVALO")),"-")</f>
        <v>OK</v>
      </c>
      <c r="V21" s="695"/>
      <c r="W21" s="695"/>
      <c r="X21" s="62">
        <f>VLOOKUP(CONCATENATE(J17,"-",R21),$C$2:$G$136,3,FALSE)</f>
        <v>0.03</v>
      </c>
      <c r="Y21" s="62">
        <f>VLOOKUP(CONCATENATE(J17,"-",R21),$C$2:$G$136,4,FALSE)</f>
        <v>0.04</v>
      </c>
      <c r="Z21" s="62">
        <f>VLOOKUP(CONCATENATE(J17,"-",R21),$C$2:$G$136,5,FALSE)</f>
        <v>5.5E-2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694" t="str">
        <f>IF($J$17=$A$146,"Administração Central da empresa ou consultoria - overhead","Seguro e Garantia")</f>
        <v>Seguro e Garantia</v>
      </c>
      <c r="K22" s="694"/>
      <c r="L22" s="694"/>
      <c r="M22" s="694"/>
      <c r="N22" s="694"/>
      <c r="O22" s="694"/>
      <c r="P22" s="694"/>
      <c r="Q22" s="694"/>
      <c r="R22" s="60" t="str">
        <f>IF($J17=$A$146,"K2","SG")</f>
        <v>SG</v>
      </c>
      <c r="S22" s="61">
        <v>8.0000000000000002E-3</v>
      </c>
      <c r="T22" s="572" t="str">
        <f t="shared" ref="T22:T26" ca="1" si="1">IF(AND($U$14&lt;&gt;"",$U$17="",R22&lt;&gt;"",S22=""),"◄","")</f>
        <v/>
      </c>
      <c r="U22" s="695" t="str">
        <f t="shared" ref="U22:U28" ca="1" si="2">IFERROR(IF(T22="◄","FALTA PREENCHER",IF(AND(OR(S22&gt;=X22,X22="-"),OR(S22&lt;=Z22,Z22="-")),"OK","FORA DO INTERVALO")),"-")</f>
        <v>OK</v>
      </c>
      <c r="V22" s="695"/>
      <c r="W22" s="695"/>
      <c r="X22" s="62">
        <f>VLOOKUP(CONCATENATE(J17,"-",R22),$C$2:$G$136,3,FALSE)</f>
        <v>8.0000000000000002E-3</v>
      </c>
      <c r="Y22" s="62">
        <f>VLOOKUP(CONCATENATE(J17,"-",R22),$C$2:$G$136,4,FALSE)</f>
        <v>8.0000000000000002E-3</v>
      </c>
      <c r="Z22" s="62">
        <f>VLOOKUP(CONCATENATE(J17,"-",R22),$C$2:$G$136,5,FALSE)</f>
        <v>0.01</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694" t="s">
        <v>942</v>
      </c>
      <c r="K23" s="694"/>
      <c r="L23" s="694"/>
      <c r="M23" s="694"/>
      <c r="N23" s="694"/>
      <c r="O23" s="694"/>
      <c r="P23" s="694"/>
      <c r="Q23" s="694"/>
      <c r="R23" s="60" t="str">
        <f>IF($J17=$A$146,"","R")</f>
        <v>R</v>
      </c>
      <c r="S23" s="61">
        <v>1.2699999999999999E-2</v>
      </c>
      <c r="T23" s="572" t="str">
        <f t="shared" ca="1" si="1"/>
        <v/>
      </c>
      <c r="U23" s="695" t="str">
        <f t="shared" ca="1" si="2"/>
        <v>OK</v>
      </c>
      <c r="V23" s="695"/>
      <c r="W23" s="695"/>
      <c r="X23" s="62">
        <f>VLOOKUP(CONCATENATE(J17,"-",R23),$C$2:$G$136,3,FALSE)</f>
        <v>9.7000000000000003E-3</v>
      </c>
      <c r="Y23" s="62">
        <f>VLOOKUP(CONCATENATE(J17,"-",R23),$C$2:$G$136,4,FALSE)</f>
        <v>1.2699999999999999E-2</v>
      </c>
      <c r="Z23" s="62">
        <f>VLOOKUP(CONCATENATE(J17,"-",R23),$C$2:$G$136,5,FALSE)</f>
        <v>1.2699999999999999E-2</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694" t="s">
        <v>943</v>
      </c>
      <c r="K24" s="694"/>
      <c r="L24" s="694"/>
      <c r="M24" s="694"/>
      <c r="N24" s="694"/>
      <c r="O24" s="694"/>
      <c r="P24" s="694"/>
      <c r="Q24" s="694"/>
      <c r="R24" s="60" t="str">
        <f>IF($J17=$A$146,"","DF")</f>
        <v>DF</v>
      </c>
      <c r="S24" s="61">
        <v>1.23E-2</v>
      </c>
      <c r="T24" s="572" t="str">
        <f t="shared" ca="1" si="1"/>
        <v/>
      </c>
      <c r="U24" s="695" t="str">
        <f t="shared" ca="1" si="2"/>
        <v>OK</v>
      </c>
      <c r="V24" s="695"/>
      <c r="W24" s="695"/>
      <c r="X24" s="62">
        <f>VLOOKUP(CONCATENATE(J17,"-",R24),$C$2:$G$136,3,FALSE)</f>
        <v>5.8999999999999999E-3</v>
      </c>
      <c r="Y24" s="62">
        <f>VLOOKUP(CONCATENATE(J17,"-",R24),$C$2:$G$136,4,FALSE)</f>
        <v>1.23E-2</v>
      </c>
      <c r="Z24" s="62">
        <f>VLOOKUP(CONCATENATE(J17,"-",R24),$C$2:$G$136,5,FALSE)</f>
        <v>1.3899999999999999E-2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694" t="str">
        <f>IF($J$17=$A$146,"Margem bruta da empresa de consultoria","Lucro")</f>
        <v>Lucro</v>
      </c>
      <c r="K25" s="694"/>
      <c r="L25" s="694"/>
      <c r="M25" s="694"/>
      <c r="N25" s="694"/>
      <c r="O25" s="694"/>
      <c r="P25" s="694"/>
      <c r="Q25" s="694"/>
      <c r="R25" s="60" t="str">
        <f>IF($J17=$A$146,"K3","L")</f>
        <v>L</v>
      </c>
      <c r="S25" s="61">
        <v>7.3999999999999996E-2</v>
      </c>
      <c r="T25" s="572" t="str">
        <f t="shared" ca="1" si="1"/>
        <v/>
      </c>
      <c r="U25" s="695" t="str">
        <f t="shared" ca="1" si="2"/>
        <v>OK</v>
      </c>
      <c r="V25" s="695"/>
      <c r="W25" s="695"/>
      <c r="X25" s="62">
        <f>VLOOKUP(CONCATENATE(J17,"-",R25),$C$2:$G$136,3,FALSE)</f>
        <v>6.1600000000000002E-2</v>
      </c>
      <c r="Y25" s="62">
        <f>VLOOKUP(CONCATENATE(J17,"-",R25),$C$2:$G$136,4,FALSE)</f>
        <v>7.400000000000001E-2</v>
      </c>
      <c r="Z25" s="62">
        <f>VLOOKUP(CONCATENATE(J17,"-",R25),$C$2:$G$136,5,FALSE)</f>
        <v>8.9600000000000013E-2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694" t="s">
        <v>675</v>
      </c>
      <c r="K26" s="694"/>
      <c r="L26" s="694"/>
      <c r="M26" s="694"/>
      <c r="N26" s="694"/>
      <c r="O26" s="694"/>
      <c r="P26" s="694"/>
      <c r="Q26" s="694"/>
      <c r="R26" s="60" t="s">
        <v>456</v>
      </c>
      <c r="S26" s="61">
        <v>3.6499999999999998E-2</v>
      </c>
      <c r="T26" s="572" t="str">
        <f t="shared" ca="1" si="1"/>
        <v/>
      </c>
      <c r="U26" s="695" t="str">
        <f t="shared" ca="1" si="2"/>
        <v>OK</v>
      </c>
      <c r="V26" s="695"/>
      <c r="W26" s="695"/>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694" t="s">
        <v>676</v>
      </c>
      <c r="K27" s="694"/>
      <c r="L27" s="694"/>
      <c r="M27" s="694"/>
      <c r="N27" s="694"/>
      <c r="O27" s="694"/>
      <c r="P27" s="694"/>
      <c r="Q27" s="694"/>
      <c r="R27" s="60" t="s">
        <v>677</v>
      </c>
      <c r="S27" s="62">
        <f ca="1">IF(AND($J17&lt;&gt;$A$145,COUNTA(OFFSET(S20,1,0,6))&gt;0),$R$11*$R$10,0)</f>
        <v>0.02</v>
      </c>
      <c r="U27" s="695" t="str">
        <f t="shared" ca="1" si="2"/>
        <v>OK</v>
      </c>
      <c r="V27" s="695"/>
      <c r="W27" s="695"/>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694" t="s">
        <v>678</v>
      </c>
      <c r="K28" s="694"/>
      <c r="L28" s="694"/>
      <c r="M28" s="694"/>
      <c r="N28" s="694"/>
      <c r="O28" s="694"/>
      <c r="P28" s="694"/>
      <c r="Q28" s="694"/>
      <c r="R28" s="60" t="s">
        <v>679</v>
      </c>
      <c r="S28" s="62" cm="1">
        <f t="array" aca="1" ref="S28" ca="1">IF(BDI.Opcao&lt;&gt;"Desonerado",0,IF(AND($J17&lt;&gt;$A$145,COUNTA(OFFSET(S20,1,0,6))&gt;0),IF(YEAR(Import.DataBase)&lt;2025,4.5%,IF(YEAR(Import.DataBase)=2025,3.6%,IF(YEAR(Import.DataBase)=2026,2.7%,IF(YEAR(Import.DataBase)=2027,1.8%,0%)))),0%))</f>
        <v>0</v>
      </c>
      <c r="U28" s="695" t="str">
        <f t="shared" ca="1" si="2"/>
        <v>OK</v>
      </c>
      <c r="V28" s="695"/>
      <c r="W28" s="695"/>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694" t="s">
        <v>680</v>
      </c>
      <c r="K29" s="694"/>
      <c r="L29" s="694"/>
      <c r="M29" s="694"/>
      <c r="N29" s="694"/>
      <c r="O29" s="694"/>
      <c r="P29" s="694"/>
      <c r="Q29" s="694"/>
      <c r="R29" s="64" t="s">
        <v>656</v>
      </c>
      <c r="S29" s="62">
        <f ca="1">IF($J17=$A$145,0,ROUND((((1+S21+S22+S23)*(1+S24)*(1+S25)/(1-(S26+S27)))-1),4))</f>
        <v>0.2223</v>
      </c>
      <c r="U29" s="691" t="str">
        <f ca="1">IFERROR(IF(AND(OR(S29&gt;=X29,X29="-"),OR(S29&lt;=Z29,Z29="-")),"OK","FORA DO INTERVALO"),IF(S29=0,"OK","Selecione o Tipo de obra"))</f>
        <v>OK</v>
      </c>
      <c r="V29" s="691"/>
      <c r="W29" s="691"/>
      <c r="X29" s="62">
        <f>IF($J17=$A$145,0,VLOOKUP(CONCATENATE($J17,"-",$R29),$C$2:$G$136,3,FALSE))</f>
        <v>0.2034</v>
      </c>
      <c r="Y29" s="62">
        <f>IF($J17=$A$145,0,VLOOKUP(CONCATENATE($J17,"-",$R29),$C$2:$G$136,4,FALSE))</f>
        <v>0.22120000000000001</v>
      </c>
      <c r="Z29" s="62">
        <f>IF($J17=$A$145,0,VLOOKUP(CONCATENATE($J17,"-",$R29),$C$2:$G$136,5,FALSE))</f>
        <v>0.25</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698" t="s">
        <v>681</v>
      </c>
      <c r="K30" s="698"/>
      <c r="L30" s="698"/>
      <c r="M30" s="698"/>
      <c r="N30" s="698"/>
      <c r="O30" s="698"/>
      <c r="P30" s="698"/>
      <c r="Q30" s="698"/>
      <c r="R30" s="65" t="s">
        <v>682</v>
      </c>
      <c r="S30" s="66">
        <f ca="1">IF($J17=$A$145,0,ROUND((((1+S21+S22+S23)*(1+S24)*(1+S25)/(1-(S26+S27+S28)))-1),4))</f>
        <v>0.2223</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699" t="str">
        <f ca="1">IF(U29&lt;&gt;"ok","Anexo: Relatório Técnico Circunstanciado justificando a adoção do percentual de cada parcela do BDI.","")</f>
        <v/>
      </c>
      <c r="L32" s="699"/>
      <c r="M32" s="699"/>
      <c r="N32" s="699"/>
      <c r="O32" s="699"/>
      <c r="P32" s="699"/>
      <c r="Q32" s="699"/>
      <c r="R32" s="699"/>
      <c r="S32" s="699"/>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700" t="s">
        <v>683</v>
      </c>
      <c r="K34" s="700"/>
      <c r="L34" s="700"/>
      <c r="M34" s="700"/>
      <c r="N34" s="700"/>
      <c r="O34" s="700"/>
      <c r="P34" s="700"/>
      <c r="Q34" s="700"/>
      <c r="R34" s="700"/>
      <c r="S34" s="700"/>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01" t="s">
        <v>684</v>
      </c>
      <c r="N35" s="707" t="str">
        <f>IF($J17=$A$146,"(1+K1+K2)*(1+K3)","(1+AC + S + R + G)*(1 + DF)*(1+L)")</f>
        <v>(1+AC + S + R + G)*(1 + DF)*(1+L)</v>
      </c>
      <c r="O35" s="707"/>
      <c r="P35" s="707"/>
      <c r="Q35" s="708"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01"/>
      <c r="N36" s="696" t="s">
        <v>686</v>
      </c>
      <c r="O36" s="696"/>
      <c r="P36" s="696"/>
      <c r="Q36" s="708"/>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697"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50%, com a respectiva alíquota de 4%.</v>
      </c>
      <c r="K38" s="697"/>
      <c r="L38" s="697"/>
      <c r="M38" s="697"/>
      <c r="N38" s="697"/>
      <c r="O38" s="697"/>
      <c r="P38" s="697"/>
      <c r="Q38" s="697"/>
      <c r="R38" s="697"/>
      <c r="S38" s="697"/>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697"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97"/>
      <c r="L40" s="697"/>
      <c r="M40" s="697"/>
      <c r="N40" s="697"/>
      <c r="O40" s="697"/>
      <c r="P40" s="697"/>
      <c r="Q40" s="697"/>
      <c r="R40" s="697"/>
      <c r="S40" s="697"/>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100.15" customHeight="1" x14ac:dyDescent="0.2">
      <c r="A43" s="49" t="s">
        <v>687</v>
      </c>
      <c r="B43" s="58" t="s">
        <v>656</v>
      </c>
      <c r="C43" s="49" t="str">
        <f t="shared" si="0"/>
        <v>Fornecimento de Materiais e Equipamentos (aquisição direta)-BDI PAD</v>
      </c>
      <c r="E43" s="54" t="s">
        <v>688</v>
      </c>
      <c r="F43" s="54" t="s">
        <v>688</v>
      </c>
      <c r="G43" s="54" t="s">
        <v>688</v>
      </c>
      <c r="I43" t="s">
        <v>536</v>
      </c>
      <c r="J43" s="709"/>
      <c r="K43" s="709"/>
      <c r="L43" s="709"/>
      <c r="M43" s="709"/>
      <c r="N43" s="709"/>
      <c r="O43" s="709"/>
      <c r="P43" s="709"/>
      <c r="Q43" s="709"/>
      <c r="R43" s="709"/>
      <c r="S43" s="709"/>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03" t="str">
        <f>Import.Município</f>
        <v>Pedro Régis-PB</v>
      </c>
      <c r="K45" s="703"/>
      <c r="L45" s="703"/>
      <c r="M45" s="703"/>
      <c r="P45" s="704">
        <f>DADOS!$C$25</f>
        <v>45981</v>
      </c>
      <c r="Q45" s="704"/>
      <c r="R45" s="704"/>
      <c r="S45" s="704"/>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05" t="s">
        <v>693</v>
      </c>
      <c r="K46" s="705"/>
      <c r="L46" s="705"/>
      <c r="M46" s="705"/>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06"/>
      <c r="K48" s="706"/>
      <c r="L48" s="706"/>
      <c r="M48" s="706"/>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02" t="s">
        <v>696</v>
      </c>
      <c r="K49" s="702"/>
      <c r="L49" s="702"/>
      <c r="M49" s="702"/>
    </row>
    <row r="50" spans="1:26" ht="14.25" x14ac:dyDescent="0.2">
      <c r="B50" s="58"/>
      <c r="E50" s="54"/>
      <c r="F50" s="54"/>
      <c r="G50" s="54"/>
      <c r="I50" t="s">
        <v>536</v>
      </c>
      <c r="J50" s="77" t="s">
        <v>240</v>
      </c>
      <c r="K50" s="78" t="str">
        <f t="array" ref="K50:K52">Import.RespOrçamento</f>
        <v>Thales Mamede Galvão de Oliveira</v>
      </c>
      <c r="L50" s="79"/>
      <c r="M50" s="79"/>
      <c r="N50" s="76"/>
    </row>
    <row r="51" spans="1:26" ht="14.25" x14ac:dyDescent="0.2">
      <c r="A51"/>
      <c r="B51"/>
      <c r="C51"/>
      <c r="D51"/>
      <c r="E51"/>
      <c r="F51"/>
      <c r="G51"/>
      <c r="I51" t="s">
        <v>536</v>
      </c>
      <c r="J51" s="77" t="s">
        <v>243</v>
      </c>
      <c r="K51" s="78" t="str">
        <v>162.151.440-4</v>
      </c>
      <c r="L51" s="79"/>
      <c r="M51" s="79"/>
      <c r="N51" s="76"/>
    </row>
    <row r="52" spans="1:26" ht="14.25" x14ac:dyDescent="0.2">
      <c r="A52"/>
      <c r="B52"/>
      <c r="C52"/>
      <c r="D52"/>
      <c r="E52"/>
      <c r="F52"/>
      <c r="G52"/>
      <c r="I52" t="s">
        <v>536</v>
      </c>
      <c r="J52" s="77" t="s">
        <v>246</v>
      </c>
      <c r="K52" s="78" t="str">
        <v>-</v>
      </c>
      <c r="L52" s="79"/>
      <c r="M52" s="79"/>
      <c r="N52" s="76"/>
    </row>
    <row r="53" spans="1:26" ht="14.25" x14ac:dyDescent="0.2">
      <c r="A53"/>
      <c r="B53"/>
      <c r="C53"/>
      <c r="D53"/>
      <c r="E53"/>
      <c r="F53"/>
      <c r="G53"/>
      <c r="I53" t="s">
        <v>536</v>
      </c>
      <c r="J53" s="77"/>
      <c r="K53" s="80"/>
      <c r="L53" s="79"/>
      <c r="M53" s="79"/>
      <c r="N53" s="76"/>
    </row>
    <row r="54" spans="1:26" ht="15.75" hidden="1" x14ac:dyDescent="0.25">
      <c r="A54"/>
      <c r="B54"/>
      <c r="C54"/>
      <c r="D54"/>
      <c r="E54"/>
      <c r="F54"/>
      <c r="G54"/>
      <c r="I54" t="str">
        <f ca="1">IF($S$69=0,"","F")</f>
        <v/>
      </c>
      <c r="J54" s="693" t="s">
        <v>697</v>
      </c>
      <c r="K54" s="693"/>
      <c r="L54" s="693"/>
      <c r="M54" s="693"/>
      <c r="N54" s="693"/>
      <c r="O54" s="693"/>
      <c r="P54" s="693"/>
      <c r="Q54" s="693"/>
      <c r="R54" s="693"/>
      <c r="S54" s="693"/>
      <c r="U54" s="521" t="str">
        <f>IF(COUNTIF(ORÇAMENTO!$V$15:$V$244,BDI_2.Título)=0,"",IF(OR(Import.BDI.Tipo2="(SELECIONAR)",Import.BDI.Tipo2="",U57&lt;&gt;"",AND($J57&lt;&gt;$A$145,OR(S61="",S62="",AND($J57&lt;&gt;$A$146,OR(S63="",S64="")),S65="",S66=""))),"Falta preencher o BDI 2",""))</f>
        <v/>
      </c>
    </row>
    <row r="55" spans="1:26" hidden="1" x14ac:dyDescent="0.2">
      <c r="A55"/>
      <c r="B55"/>
      <c r="C55"/>
      <c r="D55"/>
      <c r="E55"/>
      <c r="F55"/>
      <c r="G55"/>
      <c r="I55" t="str">
        <f t="shared" ref="I55:I93" ca="1" si="3">IF($S$69=0,"","F")</f>
        <v/>
      </c>
    </row>
    <row r="56" spans="1:26" hidden="1" x14ac:dyDescent="0.2">
      <c r="A56"/>
      <c r="B56"/>
      <c r="C56"/>
      <c r="D56"/>
      <c r="E56"/>
      <c r="F56"/>
      <c r="G56"/>
      <c r="I56" t="str">
        <f t="shared" ca="1" si="3"/>
        <v/>
      </c>
      <c r="J56" s="684" t="s">
        <v>664</v>
      </c>
      <c r="K56" s="684"/>
      <c r="L56" s="684"/>
      <c r="M56" s="684"/>
      <c r="N56" s="684"/>
      <c r="O56" s="684"/>
      <c r="P56" s="684"/>
      <c r="Q56" s="684"/>
      <c r="R56" s="684"/>
      <c r="S56" s="684"/>
    </row>
    <row r="57" spans="1:26" ht="15" hidden="1" x14ac:dyDescent="0.25">
      <c r="A57"/>
      <c r="B57"/>
      <c r="C57"/>
      <c r="D57"/>
      <c r="E57"/>
      <c r="F57"/>
      <c r="G57"/>
      <c r="I57" t="str">
        <f t="shared" ca="1" si="3"/>
        <v/>
      </c>
      <c r="J57" s="690" t="s">
        <v>139</v>
      </c>
      <c r="K57" s="690"/>
      <c r="L57" s="690"/>
      <c r="M57" s="690"/>
      <c r="N57" s="690"/>
      <c r="O57" s="690"/>
      <c r="P57" s="690"/>
      <c r="Q57" s="690"/>
      <c r="R57" s="690"/>
      <c r="S57" s="690"/>
      <c r="T57" s="563" t="str">
        <f ca="1">IF(U57="","","◄")</f>
        <v/>
      </c>
      <c r="U57" s="562" t="str">
        <f ca="1">IF(AND(OR(S69&gt;0,COUNTIF(ORÇAMENTO!$V$15:$V$244,BDI_2.Título)&gt;0),OR(Import.BDI.Tipo2="(SELECIONAR)",Import.BDI.Tipo2="")),"Selecione o Tipo de obra","")</f>
        <v/>
      </c>
    </row>
    <row r="58" spans="1:26" hidden="1" x14ac:dyDescent="0.2">
      <c r="A58"/>
      <c r="B58"/>
      <c r="C58"/>
      <c r="D58"/>
      <c r="E58"/>
      <c r="F58"/>
      <c r="G58"/>
      <c r="I58" t="str">
        <f t="shared" ca="1" si="3"/>
        <v/>
      </c>
    </row>
    <row r="59" spans="1:26" ht="12.75" hidden="1" customHeight="1" x14ac:dyDescent="0.2">
      <c r="A59"/>
      <c r="B59"/>
      <c r="C59"/>
      <c r="D59"/>
      <c r="E59"/>
      <c r="F59"/>
      <c r="G59"/>
      <c r="I59" t="str">
        <f t="shared" ca="1" si="3"/>
        <v/>
      </c>
      <c r="J59" s="692" t="s">
        <v>666</v>
      </c>
      <c r="K59" s="692"/>
      <c r="L59" s="692"/>
      <c r="M59" s="692"/>
      <c r="N59" s="692"/>
      <c r="O59" s="692"/>
      <c r="P59" s="692"/>
      <c r="Q59" s="692"/>
      <c r="R59" s="692" t="s">
        <v>667</v>
      </c>
      <c r="S59" s="691" t="s">
        <v>668</v>
      </c>
      <c r="U59" s="691" t="s">
        <v>669</v>
      </c>
      <c r="V59" s="691"/>
      <c r="W59" s="691"/>
      <c r="X59" s="689" t="s">
        <v>670</v>
      </c>
      <c r="Y59" s="689" t="s">
        <v>671</v>
      </c>
      <c r="Z59" s="689" t="s">
        <v>672</v>
      </c>
    </row>
    <row r="60" spans="1:26" ht="12.75" hidden="1" customHeight="1" x14ac:dyDescent="0.2">
      <c r="A60"/>
      <c r="B60"/>
      <c r="C60"/>
      <c r="D60"/>
      <c r="E60"/>
      <c r="F60"/>
      <c r="G60"/>
      <c r="I60" t="str">
        <f t="shared" ca="1" si="3"/>
        <v/>
      </c>
      <c r="J60" s="692"/>
      <c r="K60" s="692"/>
      <c r="L60" s="692"/>
      <c r="M60" s="692"/>
      <c r="N60" s="692"/>
      <c r="O60" s="692"/>
      <c r="P60" s="692"/>
      <c r="Q60" s="692"/>
      <c r="R60" s="692"/>
      <c r="S60" s="691"/>
      <c r="U60" s="691"/>
      <c r="V60" s="691"/>
      <c r="W60" s="691"/>
      <c r="X60" s="689"/>
      <c r="Y60" s="689"/>
      <c r="Z60" s="689"/>
    </row>
    <row r="61" spans="1:26" ht="15" hidden="1" customHeight="1" x14ac:dyDescent="0.2">
      <c r="A61"/>
      <c r="B61"/>
      <c r="C61"/>
      <c r="D61"/>
      <c r="E61"/>
      <c r="F61"/>
      <c r="G61"/>
      <c r="I61" t="str">
        <f t="shared" ca="1" si="3"/>
        <v/>
      </c>
      <c r="J61" s="694" t="str">
        <f>IF($J$57=$A$146,"Encargos Sociais incidentes sobre a mão de obra","Administração Central")</f>
        <v>Administração Central</v>
      </c>
      <c r="K61" s="694"/>
      <c r="L61" s="694"/>
      <c r="M61" s="694"/>
      <c r="N61" s="694"/>
      <c r="O61" s="694"/>
      <c r="P61" s="694"/>
      <c r="Q61" s="694"/>
      <c r="R61" s="60" t="str">
        <f>IF($J57=$A$146,"K1","AC")</f>
        <v>AC</v>
      </c>
      <c r="S61" s="61"/>
      <c r="T61" s="572" t="str">
        <f ca="1">IF(AND($U$54&lt;&gt;"",$U$57="",R61&lt;&gt;"",S61=""),"◄","")</f>
        <v/>
      </c>
      <c r="U61" s="695" t="str">
        <f ca="1">IFERROR(IF(T61="◄","FALTA PREENCHER",IF(AND(OR(S61&gt;=X61,X61="-"),OR(S61&lt;=Z61,Z61="-")),"OK","FORA DO INTERVALO")),"-")</f>
        <v>-</v>
      </c>
      <c r="V61" s="695"/>
      <c r="W61" s="695"/>
      <c r="X61" s="62" t="e">
        <f>VLOOKUP(CONCATENATE(J57,"-",R61),$C$2:$G$136,3,FALSE)</f>
        <v>#N/A</v>
      </c>
      <c r="Y61" s="62" t="e">
        <f>VLOOKUP(CONCATENATE(J57,"-",R61),$C$2:$G$136,4,FALSE)</f>
        <v>#N/A</v>
      </c>
      <c r="Z61" s="62" t="e">
        <f>VLOOKUP(CONCATENATE(J57,"-",R61),$C$2:$G$136,5,FALSE)</f>
        <v>#N/A</v>
      </c>
    </row>
    <row r="62" spans="1:26" ht="15" hidden="1" customHeight="1" x14ac:dyDescent="0.2">
      <c r="A62"/>
      <c r="B62"/>
      <c r="C62"/>
      <c r="D62"/>
      <c r="E62"/>
      <c r="F62"/>
      <c r="G62"/>
      <c r="I62" t="str">
        <f t="shared" ca="1" si="3"/>
        <v/>
      </c>
      <c r="J62" s="694" t="str">
        <f>IF($J$57=$A$146,"Administração Central da empresa ou consultoria - overhead","Seguro e Garantia")</f>
        <v>Seguro e Garantia</v>
      </c>
      <c r="K62" s="694"/>
      <c r="L62" s="694"/>
      <c r="M62" s="694"/>
      <c r="N62" s="694"/>
      <c r="O62" s="694"/>
      <c r="P62" s="694"/>
      <c r="Q62" s="694"/>
      <c r="R62" s="60" t="str">
        <f>IF($J57=$A$146,"K2","SG")</f>
        <v>SG</v>
      </c>
      <c r="S62" s="61"/>
      <c r="T62" s="572" t="str">
        <f t="shared" ref="T62:T66" ca="1" si="4">IF(AND($U$54&lt;&gt;"",$U$57="",R62&lt;&gt;"",S62=""),"◄","")</f>
        <v/>
      </c>
      <c r="U62" s="695" t="str">
        <f t="shared" ref="U62:U68" ca="1" si="5">IFERROR(IF(T62="◄","FALTA PREENCHER",IF(AND(OR(S62&gt;=X62,X62="-"),OR(S62&lt;=Z62,Z62="-")),"OK","FORA DO INTERVALO")),"-")</f>
        <v>-</v>
      </c>
      <c r="V62" s="695"/>
      <c r="W62" s="695"/>
      <c r="X62" s="62" t="e">
        <f>VLOOKUP(CONCATENATE(J57,"-",R62),$C$2:$G$136,3,FALSE)</f>
        <v>#N/A</v>
      </c>
      <c r="Y62" s="62" t="e">
        <f>VLOOKUP(CONCATENATE(J57,"-",R62),$C$2:$G$136,4,FALSE)</f>
        <v>#N/A</v>
      </c>
      <c r="Z62" s="62" t="e">
        <f>VLOOKUP(CONCATENATE(J57,"-",R62),$C$2:$G$136,5,FALSE)</f>
        <v>#N/A</v>
      </c>
    </row>
    <row r="63" spans="1:26" ht="15" hidden="1" customHeight="1" x14ac:dyDescent="0.2">
      <c r="A63"/>
      <c r="B63"/>
      <c r="C63"/>
      <c r="D63"/>
      <c r="E63"/>
      <c r="F63"/>
      <c r="G63"/>
      <c r="I63" t="str">
        <f t="shared" ca="1" si="3"/>
        <v/>
      </c>
      <c r="J63" s="694" t="s">
        <v>942</v>
      </c>
      <c r="K63" s="694"/>
      <c r="L63" s="694"/>
      <c r="M63" s="694"/>
      <c r="N63" s="694"/>
      <c r="O63" s="694"/>
      <c r="P63" s="694"/>
      <c r="Q63" s="694"/>
      <c r="R63" s="60" t="str">
        <f>IF($J57=$A$146,"","R")</f>
        <v>R</v>
      </c>
      <c r="S63" s="61"/>
      <c r="T63" s="572" t="str">
        <f t="shared" ca="1" si="4"/>
        <v/>
      </c>
      <c r="U63" s="695" t="str">
        <f t="shared" ca="1" si="5"/>
        <v>-</v>
      </c>
      <c r="V63" s="695"/>
      <c r="W63" s="695"/>
      <c r="X63" s="62" t="e">
        <f>VLOOKUP(CONCATENATE(J57,"-",R63),$C$2:$G$136,3,FALSE)</f>
        <v>#N/A</v>
      </c>
      <c r="Y63" s="62" t="e">
        <f>VLOOKUP(CONCATENATE(J57,"-",R63),$C$2:$G$136,4,FALSE)</f>
        <v>#N/A</v>
      </c>
      <c r="Z63" s="62" t="e">
        <f>VLOOKUP(CONCATENATE(J57,"-",R63),$C$2:$G$136,5,FALSE)</f>
        <v>#N/A</v>
      </c>
    </row>
    <row r="64" spans="1:26" ht="15" hidden="1" customHeight="1" x14ac:dyDescent="0.2">
      <c r="A64"/>
      <c r="B64"/>
      <c r="C64"/>
      <c r="D64"/>
      <c r="E64"/>
      <c r="F64"/>
      <c r="G64"/>
      <c r="I64" t="str">
        <f t="shared" ca="1" si="3"/>
        <v/>
      </c>
      <c r="J64" s="694" t="s">
        <v>943</v>
      </c>
      <c r="K64" s="694"/>
      <c r="L64" s="694"/>
      <c r="M64" s="694"/>
      <c r="N64" s="694"/>
      <c r="O64" s="694"/>
      <c r="P64" s="694"/>
      <c r="Q64" s="694"/>
      <c r="R64" s="60" t="str">
        <f>IF($J57=$A$146,"","DF")</f>
        <v>DF</v>
      </c>
      <c r="S64" s="61"/>
      <c r="T64" s="572" t="str">
        <f t="shared" ca="1" si="4"/>
        <v/>
      </c>
      <c r="U64" s="695" t="str">
        <f t="shared" ca="1" si="5"/>
        <v>-</v>
      </c>
      <c r="V64" s="695"/>
      <c r="W64" s="695"/>
      <c r="X64" s="62" t="e">
        <f>VLOOKUP(CONCATENATE(J57,"-",R64),$C$2:$G$136,3,FALSE)</f>
        <v>#N/A</v>
      </c>
      <c r="Y64" s="62" t="e">
        <f>VLOOKUP(CONCATENATE(J57,"-",R64),$C$2:$G$136,4,FALSE)</f>
        <v>#N/A</v>
      </c>
      <c r="Z64" s="62" t="e">
        <f>VLOOKUP(CONCATENATE(J57,"-",R64),$C$2:$G$136,5,FALSE)</f>
        <v>#N/A</v>
      </c>
    </row>
    <row r="65" spans="1:26" ht="15" hidden="1" customHeight="1" x14ac:dyDescent="0.2">
      <c r="A65"/>
      <c r="B65"/>
      <c r="C65"/>
      <c r="D65"/>
      <c r="E65"/>
      <c r="F65"/>
      <c r="G65"/>
      <c r="I65" t="str">
        <f t="shared" ca="1" si="3"/>
        <v/>
      </c>
      <c r="J65" s="694" t="str">
        <f>IF($J$57=$A$146,"Margem bruta da empresa de consultoria","Lucro")</f>
        <v>Lucro</v>
      </c>
      <c r="K65" s="694"/>
      <c r="L65" s="694"/>
      <c r="M65" s="694"/>
      <c r="N65" s="694"/>
      <c r="O65" s="694"/>
      <c r="P65" s="694"/>
      <c r="Q65" s="694"/>
      <c r="R65" s="60" t="str">
        <f>IF($J57=$A$146,"K3","L")</f>
        <v>L</v>
      </c>
      <c r="S65" s="61"/>
      <c r="T65" s="572" t="str">
        <f t="shared" ca="1" si="4"/>
        <v/>
      </c>
      <c r="U65" s="695" t="str">
        <f t="shared" ca="1" si="5"/>
        <v>-</v>
      </c>
      <c r="V65" s="695"/>
      <c r="W65" s="695"/>
      <c r="X65" s="62" t="e">
        <f>VLOOKUP(CONCATENATE(J57,"-",R65),$C$2:$G$136,3,FALSE)</f>
        <v>#N/A</v>
      </c>
      <c r="Y65" s="62" t="e">
        <f>VLOOKUP(CONCATENATE(J57,"-",R65),$C$2:$G$136,4,FALSE)</f>
        <v>#N/A</v>
      </c>
      <c r="Z65" s="62" t="e">
        <f>VLOOKUP(CONCATENATE(J57,"-",R65),$C$2:$G$136,5,FALSE)</f>
        <v>#N/A</v>
      </c>
    </row>
    <row r="66" spans="1:26" ht="15" hidden="1" customHeight="1" x14ac:dyDescent="0.2">
      <c r="A66"/>
      <c r="B66"/>
      <c r="C66"/>
      <c r="D66"/>
      <c r="E66"/>
      <c r="F66"/>
      <c r="G66"/>
      <c r="I66" t="str">
        <f t="shared" ca="1" si="3"/>
        <v/>
      </c>
      <c r="J66" s="694" t="s">
        <v>675</v>
      </c>
      <c r="K66" s="694"/>
      <c r="L66" s="694"/>
      <c r="M66" s="694"/>
      <c r="N66" s="694"/>
      <c r="O66" s="694"/>
      <c r="P66" s="694"/>
      <c r="Q66" s="694"/>
      <c r="R66" s="60" t="s">
        <v>456</v>
      </c>
      <c r="S66" s="61"/>
      <c r="T66" s="572" t="str">
        <f t="shared" ca="1" si="4"/>
        <v/>
      </c>
      <c r="U66" s="695" t="str">
        <f t="shared" ca="1" si="5"/>
        <v>FORA DO INTERVALO</v>
      </c>
      <c r="V66" s="695"/>
      <c r="W66" s="695"/>
      <c r="X66" s="62">
        <f>Y66</f>
        <v>3.6499999999999998E-2</v>
      </c>
      <c r="Y66" s="62">
        <f>IF($J57=$A$145,"-",3.65%)</f>
        <v>3.6499999999999998E-2</v>
      </c>
      <c r="Z66" s="62">
        <f>Y66</f>
        <v>3.6499999999999998E-2</v>
      </c>
    </row>
    <row r="67" spans="1:26" ht="15" hidden="1" customHeight="1" x14ac:dyDescent="0.2">
      <c r="A67"/>
      <c r="B67"/>
      <c r="C67"/>
      <c r="D67"/>
      <c r="E67"/>
      <c r="F67"/>
      <c r="G67"/>
      <c r="I67" t="str">
        <f t="shared" ca="1" si="3"/>
        <v/>
      </c>
      <c r="J67" s="694" t="s">
        <v>676</v>
      </c>
      <c r="K67" s="694"/>
      <c r="L67" s="694"/>
      <c r="M67" s="694"/>
      <c r="N67" s="694"/>
      <c r="O67" s="694"/>
      <c r="P67" s="694"/>
      <c r="Q67" s="694"/>
      <c r="R67" s="60" t="s">
        <v>677</v>
      </c>
      <c r="S67" s="62">
        <f ca="1">IF(AND($J57&lt;&gt;$A$145,COUNTA(OFFSET(S60,1,0,6))&gt;0),$R$11*$R$10,0)</f>
        <v>0</v>
      </c>
      <c r="U67" s="695" t="str">
        <f t="shared" ca="1" si="5"/>
        <v>OK</v>
      </c>
      <c r="V67" s="695"/>
      <c r="W67" s="695"/>
      <c r="X67" s="62">
        <v>0</v>
      </c>
      <c r="Y67" s="62">
        <v>2.5000000000000001E-2</v>
      </c>
      <c r="Z67" s="62">
        <v>0.05</v>
      </c>
    </row>
    <row r="68" spans="1:26" ht="15" hidden="1" customHeight="1" x14ac:dyDescent="0.2">
      <c r="A68"/>
      <c r="B68"/>
      <c r="C68"/>
      <c r="D68"/>
      <c r="E68"/>
      <c r="F68"/>
      <c r="G68"/>
      <c r="I68" t="str">
        <f t="shared" ca="1" si="3"/>
        <v/>
      </c>
      <c r="J68" s="694" t="s">
        <v>678</v>
      </c>
      <c r="K68" s="694"/>
      <c r="L68" s="694"/>
      <c r="M68" s="694"/>
      <c r="N68" s="694"/>
      <c r="O68" s="694"/>
      <c r="P68" s="694"/>
      <c r="Q68" s="694"/>
      <c r="R68" s="60" t="s">
        <v>679</v>
      </c>
      <c r="S68" s="62" cm="1">
        <f t="array" aca="1" ref="S68" ca="1">IF(BDI.Opcao&lt;&gt;"Desonerado",0,IF(AND($J57&lt;&gt;$A$145,COUNTA(OFFSET(S60,1,0,6))&gt;0),IF(YEAR(Import.DataBase)&lt;2025,4.5%,IF(YEAR(Import.DataBase)=2025,3.6%,IF(YEAR(Import.DataBase)=2026,2.7%,IF(YEAR(Import.DataBase)=2027,1.8%,0%)))),0%))</f>
        <v>0</v>
      </c>
      <c r="U68" s="695" t="str">
        <f t="shared" ca="1" si="5"/>
        <v>OK</v>
      </c>
      <c r="V68" s="695"/>
      <c r="W68" s="695"/>
      <c r="X68" s="63">
        <f ca="1">$S68</f>
        <v>0</v>
      </c>
      <c r="Y68" s="63">
        <f ca="1">$S68</f>
        <v>0</v>
      </c>
      <c r="Z68" s="63">
        <f ca="1">$S68</f>
        <v>0</v>
      </c>
    </row>
    <row r="69" spans="1:26" ht="15" hidden="1" customHeight="1" x14ac:dyDescent="0.2">
      <c r="A69"/>
      <c r="B69"/>
      <c r="C69"/>
      <c r="D69"/>
      <c r="E69"/>
      <c r="F69"/>
      <c r="G69"/>
      <c r="I69" t="str">
        <f t="shared" ca="1" si="3"/>
        <v/>
      </c>
      <c r="J69" s="694" t="s">
        <v>680</v>
      </c>
      <c r="K69" s="694"/>
      <c r="L69" s="694"/>
      <c r="M69" s="694"/>
      <c r="N69" s="694"/>
      <c r="O69" s="694"/>
      <c r="P69" s="694"/>
      <c r="Q69" s="694"/>
      <c r="R69" s="64" t="s">
        <v>656</v>
      </c>
      <c r="S69" s="62">
        <f ca="1">IF($J57=$A$145,0,ROUND((((1+S61+S62+S63)*(1+S64)*(1+S65)/(1-(S66+S67)))-1),4))</f>
        <v>0</v>
      </c>
      <c r="U69" s="691" t="str">
        <f ca="1">IFERROR(IF(AND(OR(S69&gt;=X69,X69="-"),OR(S69&lt;=Z69,Z69="-")),"OK","FORA DO INTERVALO"),IF(S69=0,"OK","Selecione o Tipo de obra"))</f>
        <v>OK</v>
      </c>
      <c r="V69" s="691"/>
      <c r="W69" s="691"/>
      <c r="X69" s="62" t="e">
        <f>IF($J57=$A$145,0,VLOOKUP(CONCATENATE($J57,"-",$R69),$C$2:$G$136,3,FALSE))</f>
        <v>#N/A</v>
      </c>
      <c r="Y69" s="62" t="e">
        <f>IF($J57=$A$145,0,VLOOKUP(CONCATENATE($J57,"-",$R69),$C$2:$G$136,4,FALSE))</f>
        <v>#N/A</v>
      </c>
      <c r="Z69" s="62" t="e">
        <f>IF($J57=$A$145,0,VLOOKUP(CONCATENATE($J57,"-",$R69),$C$2:$G$136,5,FALSE))</f>
        <v>#N/A</v>
      </c>
    </row>
    <row r="70" spans="1:26" ht="15" hidden="1" customHeight="1" x14ac:dyDescent="0.2">
      <c r="A70"/>
      <c r="B70"/>
      <c r="C70"/>
      <c r="D70"/>
      <c r="E70"/>
      <c r="F70"/>
      <c r="G70"/>
      <c r="I70" t="str">
        <f t="shared" ca="1" si="3"/>
        <v/>
      </c>
      <c r="J70" s="698" t="s">
        <v>681</v>
      </c>
      <c r="K70" s="698"/>
      <c r="L70" s="698"/>
      <c r="M70" s="698"/>
      <c r="N70" s="698"/>
      <c r="O70" s="698"/>
      <c r="P70" s="698"/>
      <c r="Q70" s="698"/>
      <c r="R70" s="65" t="s">
        <v>682</v>
      </c>
      <c r="S70" s="66">
        <f ca="1">IF($J57=$A$145,0,ROUND((((1+S61+S62+S63)*(1+S64)*(1+S65)/(1-(S66+S67+S68)))-1),4))</f>
        <v>0</v>
      </c>
    </row>
    <row r="71" spans="1:26" ht="15" hidden="1" customHeight="1" x14ac:dyDescent="0.2">
      <c r="A71"/>
      <c r="B71"/>
      <c r="C71"/>
      <c r="D71"/>
      <c r="E71"/>
      <c r="F71"/>
      <c r="G71"/>
      <c r="I71" t="str">
        <f t="shared" ca="1" si="3"/>
        <v/>
      </c>
    </row>
    <row r="72" spans="1:26" ht="15.75" hidden="1" x14ac:dyDescent="0.2">
      <c r="A72"/>
      <c r="B72"/>
      <c r="C72"/>
      <c r="D72"/>
      <c r="E72"/>
      <c r="F72"/>
      <c r="G72"/>
      <c r="I72" t="str">
        <f t="shared" ca="1" si="3"/>
        <v/>
      </c>
      <c r="J72" s="67" t="str">
        <f ca="1">IF(U69&lt;&gt;"ok","X","")</f>
        <v/>
      </c>
      <c r="K72" s="699" t="str">
        <f ca="1">IF(U69&lt;&gt;"ok","Anexo: Relatório Técnico Circunstanciado justificando a adoção do percentual de cada parcela do BDI.","")</f>
        <v/>
      </c>
      <c r="L72" s="699"/>
      <c r="M72" s="699"/>
      <c r="N72" s="699"/>
      <c r="O72" s="699"/>
      <c r="P72" s="699"/>
      <c r="Q72" s="699"/>
      <c r="R72" s="699"/>
      <c r="S72" s="699"/>
    </row>
    <row r="73" spans="1:26" hidden="1" x14ac:dyDescent="0.2">
      <c r="A73"/>
      <c r="B73"/>
      <c r="C73"/>
      <c r="D73"/>
      <c r="E73"/>
      <c r="F73"/>
      <c r="G73"/>
      <c r="I73" t="str">
        <f t="shared" ca="1" si="3"/>
        <v/>
      </c>
    </row>
    <row r="74" spans="1:26" hidden="1" x14ac:dyDescent="0.2">
      <c r="A74"/>
      <c r="B74"/>
      <c r="C74"/>
      <c r="D74"/>
      <c r="E74"/>
      <c r="F74"/>
      <c r="G74"/>
      <c r="I74" t="str">
        <f t="shared" ca="1" si="3"/>
        <v/>
      </c>
      <c r="J74" s="700" t="s">
        <v>683</v>
      </c>
      <c r="K74" s="700"/>
      <c r="L74" s="700"/>
      <c r="M74" s="700"/>
      <c r="N74" s="700"/>
      <c r="O74" s="700"/>
      <c r="P74" s="700"/>
      <c r="Q74" s="700"/>
      <c r="R74" s="700"/>
      <c r="S74" s="700"/>
    </row>
    <row r="75" spans="1:26" ht="15.75" hidden="1" x14ac:dyDescent="0.25">
      <c r="A75"/>
      <c r="B75"/>
      <c r="C75"/>
      <c r="D75"/>
      <c r="E75"/>
      <c r="F75"/>
      <c r="G75"/>
      <c r="I75" t="str">
        <f t="shared" ca="1" si="3"/>
        <v/>
      </c>
      <c r="J75" s="68"/>
      <c r="K75" s="68"/>
      <c r="L75" s="68"/>
      <c r="M75" s="701" t="s">
        <v>684</v>
      </c>
      <c r="N75" s="707" t="str">
        <f>IF($J57=$A$146,"(1+K1+K2)*(1+K3)","(1+AC + S + R + G)*(1 + DF)*(1+L)")</f>
        <v>(1+AC + S + R + G)*(1 + DF)*(1+L)</v>
      </c>
      <c r="O75" s="707"/>
      <c r="P75" s="707"/>
      <c r="Q75" s="708" t="s">
        <v>685</v>
      </c>
      <c r="R75" s="68"/>
      <c r="S75" s="68"/>
    </row>
    <row r="76" spans="1:26" ht="15.75" hidden="1" x14ac:dyDescent="0.2">
      <c r="A76"/>
      <c r="B76"/>
      <c r="C76"/>
      <c r="D76"/>
      <c r="E76"/>
      <c r="F76"/>
      <c r="G76"/>
      <c r="I76" t="str">
        <f t="shared" ca="1" si="3"/>
        <v/>
      </c>
      <c r="J76" s="68"/>
      <c r="K76" s="68"/>
      <c r="L76" s="68"/>
      <c r="M76" s="701"/>
      <c r="N76" s="696" t="s">
        <v>686</v>
      </c>
      <c r="O76" s="696"/>
      <c r="P76" s="696"/>
      <c r="Q76" s="708"/>
      <c r="R76" s="68"/>
      <c r="S76" s="68"/>
    </row>
    <row r="77" spans="1:26" ht="15" hidden="1" customHeight="1" x14ac:dyDescent="0.2">
      <c r="A77"/>
      <c r="B77"/>
      <c r="C77"/>
      <c r="D77"/>
      <c r="E77"/>
      <c r="F77"/>
      <c r="G77"/>
      <c r="I77" t="str">
        <f t="shared" ca="1" si="3"/>
        <v/>
      </c>
      <c r="J77" s="68"/>
      <c r="K77" s="68"/>
      <c r="L77" s="68"/>
      <c r="M77" s="69"/>
      <c r="N77" s="71"/>
      <c r="O77" s="71"/>
      <c r="P77" s="71"/>
      <c r="Q77" s="70"/>
      <c r="R77" s="68"/>
      <c r="S77" s="68"/>
    </row>
    <row r="78" spans="1:26" ht="50.1" hidden="1" customHeight="1" x14ac:dyDescent="0.2">
      <c r="A78"/>
      <c r="B78"/>
      <c r="C78"/>
      <c r="D78"/>
      <c r="E78"/>
      <c r="F78"/>
      <c r="G78"/>
      <c r="I78" t="str">
        <f t="shared" ca="1" si="3"/>
        <v/>
      </c>
      <c r="J78" s="697"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50%, com a respectiva alíquota de 4%.</v>
      </c>
      <c r="K78" s="697"/>
      <c r="L78" s="697"/>
      <c r="M78" s="697"/>
      <c r="N78" s="697"/>
      <c r="O78" s="697"/>
      <c r="P78" s="697"/>
      <c r="Q78" s="697"/>
      <c r="R78" s="697"/>
      <c r="S78" s="697"/>
    </row>
    <row r="79" spans="1:26" hidden="1" x14ac:dyDescent="0.2">
      <c r="A79"/>
      <c r="B79"/>
      <c r="C79"/>
      <c r="D79"/>
      <c r="E79"/>
      <c r="F79"/>
      <c r="G79"/>
      <c r="I79" t="str">
        <f t="shared" ca="1" si="3"/>
        <v/>
      </c>
    </row>
    <row r="80" spans="1:26" ht="50.1" hidden="1" customHeight="1" x14ac:dyDescent="0.2">
      <c r="A80"/>
      <c r="B80"/>
      <c r="C80"/>
      <c r="D80"/>
      <c r="E80"/>
      <c r="F80"/>
      <c r="G80"/>
      <c r="I80" t="str">
        <f t="shared" ca="1" si="3"/>
        <v/>
      </c>
      <c r="J80" s="697"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97"/>
      <c r="L80" s="697"/>
      <c r="M80" s="697"/>
      <c r="N80" s="697"/>
      <c r="O80" s="697"/>
      <c r="P80" s="697"/>
      <c r="Q80" s="697"/>
      <c r="R80" s="697"/>
      <c r="S80" s="697"/>
    </row>
    <row r="81" spans="1:21" hidden="1" x14ac:dyDescent="0.2">
      <c r="A81"/>
      <c r="B81"/>
      <c r="C81"/>
      <c r="D81"/>
      <c r="E81"/>
      <c r="F81"/>
      <c r="G81"/>
      <c r="I81" t="str">
        <f t="shared" ca="1" si="3"/>
        <v/>
      </c>
    </row>
    <row r="82" spans="1:21" hidden="1" x14ac:dyDescent="0.2">
      <c r="A82"/>
      <c r="B82"/>
      <c r="C82"/>
      <c r="D82"/>
      <c r="E82"/>
      <c r="F82"/>
      <c r="G82"/>
      <c r="I82" t="str">
        <f t="shared" ca="1" si="3"/>
        <v/>
      </c>
      <c r="J82" s="49" t="s">
        <v>689</v>
      </c>
    </row>
    <row r="83" spans="1:21" ht="100.15" hidden="1" customHeight="1" x14ac:dyDescent="0.2">
      <c r="A83"/>
      <c r="B83"/>
      <c r="C83"/>
      <c r="D83"/>
      <c r="E83"/>
      <c r="F83"/>
      <c r="G83"/>
      <c r="I83" t="str">
        <f t="shared" ca="1" si="3"/>
        <v/>
      </c>
      <c r="J83" s="709"/>
      <c r="K83" s="709"/>
      <c r="L83" s="709"/>
      <c r="M83" s="709"/>
      <c r="N83" s="709"/>
      <c r="O83" s="709"/>
      <c r="P83" s="709"/>
      <c r="Q83" s="709"/>
      <c r="R83" s="709"/>
      <c r="S83" s="709"/>
    </row>
    <row r="84" spans="1:21" hidden="1" x14ac:dyDescent="0.2">
      <c r="A84"/>
      <c r="B84"/>
      <c r="C84"/>
      <c r="D84"/>
      <c r="E84"/>
      <c r="F84"/>
      <c r="G84"/>
      <c r="I84" t="str">
        <f t="shared" ca="1" si="3"/>
        <v/>
      </c>
    </row>
    <row r="85" spans="1:21" hidden="1" x14ac:dyDescent="0.2">
      <c r="A85"/>
      <c r="B85"/>
      <c r="C85"/>
      <c r="D85"/>
      <c r="E85"/>
      <c r="F85"/>
      <c r="G85"/>
      <c r="I85" t="str">
        <f t="shared" ca="1" si="3"/>
        <v/>
      </c>
      <c r="J85" s="703" t="str">
        <f>Import.Município</f>
        <v>Pedro Régis-PB</v>
      </c>
      <c r="K85" s="703"/>
      <c r="L85" s="703"/>
      <c r="M85" s="703"/>
      <c r="P85" s="704">
        <f>DADOS!$C$25</f>
        <v>45981</v>
      </c>
      <c r="Q85" s="704"/>
      <c r="R85" s="704"/>
      <c r="S85" s="704"/>
    </row>
    <row r="86" spans="1:21" hidden="1" x14ac:dyDescent="0.2">
      <c r="A86"/>
      <c r="B86"/>
      <c r="C86"/>
      <c r="D86"/>
      <c r="E86"/>
      <c r="F86"/>
      <c r="G86"/>
      <c r="I86" t="str">
        <f t="shared" ca="1" si="3"/>
        <v/>
      </c>
      <c r="J86" s="705" t="s">
        <v>693</v>
      </c>
      <c r="K86" s="705"/>
      <c r="L86" s="705"/>
      <c r="M86" s="705"/>
      <c r="O86" s="73"/>
      <c r="P86" s="74" t="s">
        <v>694</v>
      </c>
      <c r="Q86" s="75"/>
      <c r="R86" s="75"/>
      <c r="S86" s="75"/>
    </row>
    <row r="87" spans="1:21" ht="30" hidden="1" customHeight="1" x14ac:dyDescent="0.2">
      <c r="A87"/>
      <c r="B87"/>
      <c r="C87"/>
      <c r="D87"/>
      <c r="E87"/>
      <c r="F87"/>
      <c r="G87"/>
      <c r="I87" t="str">
        <f t="shared" ca="1" si="3"/>
        <v/>
      </c>
    </row>
    <row r="88" spans="1:21" ht="15" hidden="1" x14ac:dyDescent="0.2">
      <c r="A88"/>
      <c r="B88"/>
      <c r="C88"/>
      <c r="D88"/>
      <c r="E88"/>
      <c r="F88"/>
      <c r="G88"/>
      <c r="I88" t="str">
        <f t="shared" ca="1" si="3"/>
        <v/>
      </c>
      <c r="J88" s="706"/>
      <c r="K88" s="706"/>
      <c r="L88" s="706"/>
      <c r="M88" s="706"/>
      <c r="N88" s="76"/>
    </row>
    <row r="89" spans="1:21" hidden="1" x14ac:dyDescent="0.2">
      <c r="A89"/>
      <c r="B89"/>
      <c r="C89"/>
      <c r="D89"/>
      <c r="E89"/>
      <c r="F89"/>
      <c r="G89"/>
      <c r="I89" t="str">
        <f t="shared" ca="1" si="3"/>
        <v/>
      </c>
      <c r="J89" s="702" t="s">
        <v>696</v>
      </c>
      <c r="K89" s="702"/>
      <c r="L89" s="702"/>
      <c r="M89" s="702"/>
    </row>
    <row r="90" spans="1:21" ht="14.25" hidden="1" x14ac:dyDescent="0.2">
      <c r="A90"/>
      <c r="B90"/>
      <c r="C90"/>
      <c r="D90"/>
      <c r="E90"/>
      <c r="F90"/>
      <c r="G90"/>
      <c r="I90" t="str">
        <f t="shared" ca="1" si="3"/>
        <v/>
      </c>
      <c r="J90" s="77" t="s">
        <v>240</v>
      </c>
      <c r="K90" s="78" t="str">
        <f t="array" ref="K90:K92">Import.RespOrçamento</f>
        <v>Thales Mamede Galvão de Oliveira</v>
      </c>
      <c r="L90" s="79"/>
      <c r="M90" s="79"/>
      <c r="N90" s="76"/>
    </row>
    <row r="91" spans="1:21" ht="14.25" hidden="1" x14ac:dyDescent="0.2">
      <c r="A91"/>
      <c r="B91"/>
      <c r="C91"/>
      <c r="D91"/>
      <c r="E91"/>
      <c r="F91"/>
      <c r="G91"/>
      <c r="I91" t="str">
        <f t="shared" ca="1" si="3"/>
        <v/>
      </c>
      <c r="J91" s="77" t="s">
        <v>243</v>
      </c>
      <c r="K91" s="78" t="str">
        <v>162.151.440-4</v>
      </c>
      <c r="L91" s="79"/>
      <c r="M91" s="79"/>
      <c r="N91" s="76"/>
    </row>
    <row r="92" spans="1:21" ht="14.25" hidden="1" x14ac:dyDescent="0.2">
      <c r="A92"/>
      <c r="B92"/>
      <c r="C92"/>
      <c r="D92"/>
      <c r="E92"/>
      <c r="F92"/>
      <c r="G92"/>
      <c r="I92" t="str">
        <f t="shared" ca="1" si="3"/>
        <v/>
      </c>
      <c r="J92" s="77" t="s">
        <v>246</v>
      </c>
      <c r="K92" s="78" t="str">
        <v>-</v>
      </c>
      <c r="L92" s="79"/>
      <c r="M92" s="79"/>
      <c r="N92" s="76"/>
    </row>
    <row r="93" spans="1:21" ht="14.25" hidden="1" x14ac:dyDescent="0.2">
      <c r="A93"/>
      <c r="B93"/>
      <c r="C93"/>
      <c r="D93"/>
      <c r="E93"/>
      <c r="F93"/>
      <c r="G93"/>
      <c r="I93" t="str">
        <f t="shared" ca="1" si="3"/>
        <v/>
      </c>
      <c r="J93" s="77"/>
      <c r="K93" s="80"/>
      <c r="L93" s="79"/>
      <c r="M93" s="79"/>
      <c r="N93" s="76"/>
    </row>
    <row r="94" spans="1:21" ht="15.75" hidden="1" x14ac:dyDescent="0.25">
      <c r="A94"/>
      <c r="B94"/>
      <c r="C94"/>
      <c r="D94"/>
      <c r="E94"/>
      <c r="F94"/>
      <c r="G94"/>
      <c r="I94" t="str">
        <f ca="1">IF($S$109=0,"","F")</f>
        <v/>
      </c>
      <c r="J94" s="693" t="s">
        <v>698</v>
      </c>
      <c r="K94" s="693"/>
      <c r="L94" s="693"/>
      <c r="M94" s="693"/>
      <c r="N94" s="693"/>
      <c r="O94" s="693"/>
      <c r="P94" s="693"/>
      <c r="Q94" s="693"/>
      <c r="R94" s="693"/>
      <c r="S94" s="693"/>
      <c r="U94" s="521" t="str">
        <f>IF(COUNTIF(ORÇAMENTO!$V$15:$V$244,BDI_3.Título)=0,"",IF(OR(Import.BDI.Tipo3="(SELECIONAR)",Import.BDI.Tipo3="",U97&lt;&gt;"",AND($J97&lt;&gt;$A$145,OR(S101="",S102="",AND($J97&lt;&gt;$A$146,OR(S103="",S104="")),S105="",S106=""))),"Falta preencher o BDI 3",""))</f>
        <v/>
      </c>
    </row>
    <row r="95" spans="1:21" hidden="1" x14ac:dyDescent="0.2">
      <c r="A95"/>
      <c r="B95"/>
      <c r="C95"/>
      <c r="D95"/>
      <c r="E95"/>
      <c r="F95"/>
      <c r="G95"/>
      <c r="I95" t="str">
        <f t="shared" ref="I95:I132" ca="1" si="6">IF($S$109=0,"","F")</f>
        <v/>
      </c>
    </row>
    <row r="96" spans="1:21" hidden="1" x14ac:dyDescent="0.2">
      <c r="A96"/>
      <c r="B96"/>
      <c r="C96"/>
      <c r="D96"/>
      <c r="E96"/>
      <c r="F96"/>
      <c r="G96"/>
      <c r="I96" t="str">
        <f t="shared" ca="1" si="6"/>
        <v/>
      </c>
      <c r="J96" s="684" t="s">
        <v>664</v>
      </c>
      <c r="K96" s="684"/>
      <c r="L96" s="684"/>
      <c r="M96" s="684"/>
      <c r="N96" s="684"/>
      <c r="O96" s="684"/>
      <c r="P96" s="684"/>
      <c r="Q96" s="684"/>
      <c r="R96" s="684"/>
      <c r="S96" s="684"/>
    </row>
    <row r="97" spans="1:26" ht="15" hidden="1" x14ac:dyDescent="0.25">
      <c r="A97"/>
      <c r="B97"/>
      <c r="C97"/>
      <c r="D97"/>
      <c r="E97"/>
      <c r="F97"/>
      <c r="G97"/>
      <c r="I97" t="str">
        <f t="shared" ca="1" si="6"/>
        <v/>
      </c>
      <c r="J97" s="690" t="s">
        <v>139</v>
      </c>
      <c r="K97" s="690"/>
      <c r="L97" s="690"/>
      <c r="M97" s="690"/>
      <c r="N97" s="690"/>
      <c r="O97" s="690"/>
      <c r="P97" s="690"/>
      <c r="Q97" s="690"/>
      <c r="R97" s="690"/>
      <c r="S97" s="690"/>
      <c r="T97" s="563" t="str">
        <f ca="1">IF(U97="","","◄")</f>
        <v/>
      </c>
      <c r="U97" s="562" t="str">
        <f ca="1">IF(AND(OR(S109&gt;0,COUNTIF(ORÇAMENTO!$V$15:$V$244,BDI_3.Título)&gt;0),OR(Import.BDI.Tipo3="(SELECIONAR)",Import.BDI.Tipo3="")),"Selecione o Tipo de obra","")</f>
        <v/>
      </c>
    </row>
    <row r="98" spans="1:26" hidden="1" x14ac:dyDescent="0.2">
      <c r="A98"/>
      <c r="B98"/>
      <c r="C98"/>
      <c r="D98"/>
      <c r="E98"/>
      <c r="F98"/>
      <c r="G98"/>
      <c r="I98" t="str">
        <f t="shared" ca="1" si="6"/>
        <v/>
      </c>
    </row>
    <row r="99" spans="1:26" ht="12.75" hidden="1" customHeight="1" x14ac:dyDescent="0.2">
      <c r="A99"/>
      <c r="B99"/>
      <c r="C99"/>
      <c r="D99"/>
      <c r="E99"/>
      <c r="F99"/>
      <c r="G99"/>
      <c r="I99" t="str">
        <f t="shared" ca="1" si="6"/>
        <v/>
      </c>
      <c r="J99" s="692" t="s">
        <v>666</v>
      </c>
      <c r="K99" s="692"/>
      <c r="L99" s="692"/>
      <c r="M99" s="692"/>
      <c r="N99" s="692"/>
      <c r="O99" s="692"/>
      <c r="P99" s="692"/>
      <c r="Q99" s="692"/>
      <c r="R99" s="692" t="s">
        <v>667</v>
      </c>
      <c r="S99" s="691" t="s">
        <v>668</v>
      </c>
      <c r="U99" s="691" t="s">
        <v>669</v>
      </c>
      <c r="V99" s="691"/>
      <c r="W99" s="691"/>
      <c r="X99" s="689" t="s">
        <v>670</v>
      </c>
      <c r="Y99" s="689" t="s">
        <v>671</v>
      </c>
      <c r="Z99" s="689" t="s">
        <v>672</v>
      </c>
    </row>
    <row r="100" spans="1:26" ht="12.75" hidden="1" customHeight="1" x14ac:dyDescent="0.2">
      <c r="A100"/>
      <c r="B100"/>
      <c r="C100"/>
      <c r="D100"/>
      <c r="E100"/>
      <c r="F100"/>
      <c r="G100"/>
      <c r="I100" t="str">
        <f t="shared" ca="1" si="6"/>
        <v/>
      </c>
      <c r="J100" s="692"/>
      <c r="K100" s="692"/>
      <c r="L100" s="692"/>
      <c r="M100" s="692"/>
      <c r="N100" s="692"/>
      <c r="O100" s="692"/>
      <c r="P100" s="692"/>
      <c r="Q100" s="692"/>
      <c r="R100" s="692"/>
      <c r="S100" s="691"/>
      <c r="U100" s="691"/>
      <c r="V100" s="691"/>
      <c r="W100" s="691"/>
      <c r="X100" s="689"/>
      <c r="Y100" s="689"/>
      <c r="Z100" s="689"/>
    </row>
    <row r="101" spans="1:26" ht="15" hidden="1" customHeight="1" x14ac:dyDescent="0.2">
      <c r="A101"/>
      <c r="B101"/>
      <c r="C101"/>
      <c r="D101"/>
      <c r="E101"/>
      <c r="F101"/>
      <c r="G101"/>
      <c r="I101" t="str">
        <f t="shared" ca="1" si="6"/>
        <v/>
      </c>
      <c r="J101" s="694" t="str">
        <f>IF($J$97=$A$146,"Encargos Sociais incidentes sobre a mão de obra","Administração Central")</f>
        <v>Administração Central</v>
      </c>
      <c r="K101" s="694"/>
      <c r="L101" s="694"/>
      <c r="M101" s="694"/>
      <c r="N101" s="694"/>
      <c r="O101" s="694"/>
      <c r="P101" s="694"/>
      <c r="Q101" s="694"/>
      <c r="R101" s="60" t="str">
        <f>IF($J97=$A$146,"K1","AC")</f>
        <v>AC</v>
      </c>
      <c r="S101" s="61"/>
      <c r="T101" s="572" t="str">
        <f ca="1">IF(AND($U$94&lt;&gt;"",$U$97="",R101&lt;&gt;"",S101=""),"◄","")</f>
        <v/>
      </c>
      <c r="U101" s="695" t="str">
        <f ca="1">IFERROR(IF(T101="◄","FALTA PREENCHER",IF(AND(OR(S101&gt;=X101,X101="-"),OR(S101&lt;=Z101,Z101="-")),"OK","FORA DO INTERVALO")),"-")</f>
        <v>-</v>
      </c>
      <c r="V101" s="695"/>
      <c r="W101" s="695"/>
      <c r="X101" s="62" t="e">
        <f>VLOOKUP(CONCATENATE(J97,"-",R101),$C$2:$G$136,3,FALSE)</f>
        <v>#N/A</v>
      </c>
      <c r="Y101" s="62" t="e">
        <f>VLOOKUP(CONCATENATE(J97,"-",R101),$C$2:$G$136,4,FALSE)</f>
        <v>#N/A</v>
      </c>
      <c r="Z101" s="62" t="e">
        <f>VLOOKUP(CONCATENATE(J97,"-",R101),$C$2:$G$136,5,FALSE)</f>
        <v>#N/A</v>
      </c>
    </row>
    <row r="102" spans="1:26" ht="15" hidden="1" customHeight="1" x14ac:dyDescent="0.2">
      <c r="A102"/>
      <c r="B102"/>
      <c r="C102"/>
      <c r="D102"/>
      <c r="E102"/>
      <c r="F102"/>
      <c r="G102"/>
      <c r="I102" t="str">
        <f t="shared" ca="1" si="6"/>
        <v/>
      </c>
      <c r="J102" s="694" t="str">
        <f>IF($J$97=$A$146,"Administração Central da empresa ou consultoria - overhead","Seguro e Garantia")</f>
        <v>Seguro e Garantia</v>
      </c>
      <c r="K102" s="694"/>
      <c r="L102" s="694"/>
      <c r="M102" s="694"/>
      <c r="N102" s="694"/>
      <c r="O102" s="694"/>
      <c r="P102" s="694"/>
      <c r="Q102" s="694"/>
      <c r="R102" s="60" t="str">
        <f>IF($J97=$A$146,"K2","SG")</f>
        <v>SG</v>
      </c>
      <c r="S102" s="61"/>
      <c r="T102" s="572" t="str">
        <f t="shared" ref="T102:T106" ca="1" si="7">IF(AND($U$94&lt;&gt;"",$U$97="",R102&lt;&gt;"",S102=""),"◄","")</f>
        <v/>
      </c>
      <c r="U102" s="695" t="str">
        <f t="shared" ref="U102:U108" ca="1" si="8">IFERROR(IF(T102="◄","FALTA PREENCHER",IF(AND(OR(S102&gt;=X102,X102="-"),OR(S102&lt;=Z102,Z102="-")),"OK","FORA DO INTERVALO")),"-")</f>
        <v>-</v>
      </c>
      <c r="V102" s="695"/>
      <c r="W102" s="695"/>
      <c r="X102" s="62" t="e">
        <f>VLOOKUP(CONCATENATE(J97,"-",R102),$C$2:$G$136,3,FALSE)</f>
        <v>#N/A</v>
      </c>
      <c r="Y102" s="62" t="e">
        <f>VLOOKUP(CONCATENATE(J97,"-",R102),$C$2:$G$136,4,FALSE)</f>
        <v>#N/A</v>
      </c>
      <c r="Z102" s="62" t="e">
        <f>VLOOKUP(CONCATENATE(J97,"-",R102),$C$2:$G$136,5,FALSE)</f>
        <v>#N/A</v>
      </c>
    </row>
    <row r="103" spans="1:26" ht="15" hidden="1" customHeight="1" x14ac:dyDescent="0.2">
      <c r="A103"/>
      <c r="B103"/>
      <c r="C103"/>
      <c r="D103"/>
      <c r="E103"/>
      <c r="F103"/>
      <c r="G103"/>
      <c r="I103" t="str">
        <f t="shared" ca="1" si="6"/>
        <v/>
      </c>
      <c r="J103" s="694" t="s">
        <v>942</v>
      </c>
      <c r="K103" s="694"/>
      <c r="L103" s="694"/>
      <c r="M103" s="694"/>
      <c r="N103" s="694"/>
      <c r="O103" s="694"/>
      <c r="P103" s="694"/>
      <c r="Q103" s="694"/>
      <c r="R103" s="60" t="str">
        <f>IF($J97=$A$146,"","R")</f>
        <v>R</v>
      </c>
      <c r="S103" s="61"/>
      <c r="T103" s="572" t="str">
        <f t="shared" ca="1" si="7"/>
        <v/>
      </c>
      <c r="U103" s="695" t="str">
        <f t="shared" ca="1" si="8"/>
        <v>-</v>
      </c>
      <c r="V103" s="695"/>
      <c r="W103" s="695"/>
      <c r="X103" s="62" t="e">
        <f>VLOOKUP(CONCATENATE(J97,"-",R103),$C$2:$G$136,3,FALSE)</f>
        <v>#N/A</v>
      </c>
      <c r="Y103" s="62" t="e">
        <f>VLOOKUP(CONCATENATE(J97,"-",R103),$C$2:$G$136,4,FALSE)</f>
        <v>#N/A</v>
      </c>
      <c r="Z103" s="62" t="e">
        <f>VLOOKUP(CONCATENATE(J97,"-",R103),$C$2:$G$136,5,FALSE)</f>
        <v>#N/A</v>
      </c>
    </row>
    <row r="104" spans="1:26" ht="15" hidden="1" customHeight="1" x14ac:dyDescent="0.2">
      <c r="A104"/>
      <c r="B104"/>
      <c r="C104"/>
      <c r="D104"/>
      <c r="E104"/>
      <c r="F104"/>
      <c r="G104"/>
      <c r="I104" t="str">
        <f t="shared" ca="1" si="6"/>
        <v/>
      </c>
      <c r="J104" s="694" t="s">
        <v>943</v>
      </c>
      <c r="K104" s="694"/>
      <c r="L104" s="694"/>
      <c r="M104" s="694"/>
      <c r="N104" s="694"/>
      <c r="O104" s="694"/>
      <c r="P104" s="694"/>
      <c r="Q104" s="694"/>
      <c r="R104" s="60" t="str">
        <f>IF($J97=$A$146,"","DF")</f>
        <v>DF</v>
      </c>
      <c r="S104" s="61"/>
      <c r="T104" s="572" t="str">
        <f t="shared" ca="1" si="7"/>
        <v/>
      </c>
      <c r="U104" s="695" t="str">
        <f t="shared" ca="1" si="8"/>
        <v>-</v>
      </c>
      <c r="V104" s="695"/>
      <c r="W104" s="695"/>
      <c r="X104" s="62" t="e">
        <f>VLOOKUP(CONCATENATE(J97,"-",R104),$C$2:$G$136,3,FALSE)</f>
        <v>#N/A</v>
      </c>
      <c r="Y104" s="62" t="e">
        <f>VLOOKUP(CONCATENATE(J97,"-",R104),$C$2:$G$136,4,FALSE)</f>
        <v>#N/A</v>
      </c>
      <c r="Z104" s="62" t="e">
        <f>VLOOKUP(CONCATENATE(J97,"-",R104),$C$2:$G$136,5,FALSE)</f>
        <v>#N/A</v>
      </c>
    </row>
    <row r="105" spans="1:26" ht="15" hidden="1" customHeight="1" x14ac:dyDescent="0.2">
      <c r="A105"/>
      <c r="B105"/>
      <c r="C105"/>
      <c r="D105"/>
      <c r="E105"/>
      <c r="F105"/>
      <c r="G105"/>
      <c r="I105" t="str">
        <f t="shared" ca="1" si="6"/>
        <v/>
      </c>
      <c r="J105" s="694" t="str">
        <f>IF($J$57=$A$146,"Margem bruta da empresa de consultoria","Lucro")</f>
        <v>Lucro</v>
      </c>
      <c r="K105" s="694"/>
      <c r="L105" s="694"/>
      <c r="M105" s="694"/>
      <c r="N105" s="694"/>
      <c r="O105" s="694"/>
      <c r="P105" s="694"/>
      <c r="Q105" s="694"/>
      <c r="R105" s="60" t="str">
        <f>IF($J97=$A$146,"K3","L")</f>
        <v>L</v>
      </c>
      <c r="S105" s="61"/>
      <c r="T105" s="572" t="str">
        <f t="shared" ca="1" si="7"/>
        <v/>
      </c>
      <c r="U105" s="695" t="str">
        <f t="shared" ca="1" si="8"/>
        <v>-</v>
      </c>
      <c r="V105" s="695"/>
      <c r="W105" s="695"/>
      <c r="X105" s="62" t="e">
        <f>VLOOKUP(CONCATENATE(J97,"-",R105),$C$2:$G$136,3,FALSE)</f>
        <v>#N/A</v>
      </c>
      <c r="Y105" s="62" t="e">
        <f>VLOOKUP(CONCATENATE(J97,"-",R105),$C$2:$G$136,4,FALSE)</f>
        <v>#N/A</v>
      </c>
      <c r="Z105" s="62" t="e">
        <f>VLOOKUP(CONCATENATE(J97,"-",R105),$C$2:$G$136,5,FALSE)</f>
        <v>#N/A</v>
      </c>
    </row>
    <row r="106" spans="1:26" ht="15" hidden="1" customHeight="1" x14ac:dyDescent="0.2">
      <c r="A106"/>
      <c r="B106"/>
      <c r="C106"/>
      <c r="D106"/>
      <c r="E106"/>
      <c r="F106"/>
      <c r="G106"/>
      <c r="I106" t="str">
        <f t="shared" ca="1" si="6"/>
        <v/>
      </c>
      <c r="J106" s="694" t="s">
        <v>675</v>
      </c>
      <c r="K106" s="694"/>
      <c r="L106" s="694"/>
      <c r="M106" s="694"/>
      <c r="N106" s="694"/>
      <c r="O106" s="694"/>
      <c r="P106" s="694"/>
      <c r="Q106" s="694"/>
      <c r="R106" s="60" t="s">
        <v>456</v>
      </c>
      <c r="S106" s="61"/>
      <c r="T106" s="572" t="str">
        <f t="shared" ca="1" si="7"/>
        <v/>
      </c>
      <c r="U106" s="695" t="str">
        <f t="shared" ca="1" si="8"/>
        <v>FORA DO INTERVALO</v>
      </c>
      <c r="V106" s="695"/>
      <c r="W106" s="695"/>
      <c r="X106" s="62">
        <f>Y106</f>
        <v>3.6499999999999998E-2</v>
      </c>
      <c r="Y106" s="62">
        <f>IF($J97=$A$145,"-",3.65%)</f>
        <v>3.6499999999999998E-2</v>
      </c>
      <c r="Z106" s="62">
        <f>Y106</f>
        <v>3.6499999999999998E-2</v>
      </c>
    </row>
    <row r="107" spans="1:26" ht="15" hidden="1" customHeight="1" x14ac:dyDescent="0.2">
      <c r="A107"/>
      <c r="B107"/>
      <c r="C107"/>
      <c r="D107"/>
      <c r="E107"/>
      <c r="F107"/>
      <c r="G107"/>
      <c r="I107" t="str">
        <f t="shared" ca="1" si="6"/>
        <v/>
      </c>
      <c r="J107" s="694" t="s">
        <v>676</v>
      </c>
      <c r="K107" s="694"/>
      <c r="L107" s="694"/>
      <c r="M107" s="694"/>
      <c r="N107" s="694"/>
      <c r="O107" s="694"/>
      <c r="P107" s="694"/>
      <c r="Q107" s="694"/>
      <c r="R107" s="60" t="s">
        <v>677</v>
      </c>
      <c r="S107" s="62">
        <f ca="1">IF(AND($J97&lt;&gt;$A$145,COUNTA(OFFSET(S100,1,0,6))&gt;0),$R$11*$R$10,0)</f>
        <v>0</v>
      </c>
      <c r="U107" s="695" t="str">
        <f t="shared" ca="1" si="8"/>
        <v>OK</v>
      </c>
      <c r="V107" s="695"/>
      <c r="W107" s="695"/>
      <c r="X107" s="62">
        <v>0</v>
      </c>
      <c r="Y107" s="62">
        <v>2.5000000000000001E-2</v>
      </c>
      <c r="Z107" s="62">
        <v>0.05</v>
      </c>
    </row>
    <row r="108" spans="1:26" ht="15" hidden="1" customHeight="1" x14ac:dyDescent="0.2">
      <c r="A108"/>
      <c r="B108"/>
      <c r="C108"/>
      <c r="D108"/>
      <c r="E108"/>
      <c r="F108"/>
      <c r="G108"/>
      <c r="I108" t="str">
        <f t="shared" ca="1" si="6"/>
        <v/>
      </c>
      <c r="J108" s="694" t="s">
        <v>678</v>
      </c>
      <c r="K108" s="694"/>
      <c r="L108" s="694"/>
      <c r="M108" s="694"/>
      <c r="N108" s="694"/>
      <c r="O108" s="694"/>
      <c r="P108" s="694"/>
      <c r="Q108" s="694"/>
      <c r="R108" s="60" t="s">
        <v>679</v>
      </c>
      <c r="S108" s="62" cm="1">
        <f t="array" aca="1" ref="S108" ca="1">IF(BDI.Opcao&lt;&gt;"Desonerado",0,IF(AND($J97&lt;&gt;$A$145,COUNTA(OFFSET(S100,1,0,6))&gt;0),IF(YEAR(Import.DataBase)&lt;2025,4.5%,IF(YEAR(Import.DataBase)=2025,3.6%,IF(YEAR(Import.DataBase)=2026,2.7%,IF(YEAR(Import.DataBase)=2027,1.8%,0%)))),0%))</f>
        <v>0</v>
      </c>
      <c r="U108" s="695" t="str">
        <f t="shared" ca="1" si="8"/>
        <v>OK</v>
      </c>
      <c r="V108" s="695"/>
      <c r="W108" s="695"/>
      <c r="X108" s="63">
        <f ca="1">$S108</f>
        <v>0</v>
      </c>
      <c r="Y108" s="63">
        <f ca="1">$S108</f>
        <v>0</v>
      </c>
      <c r="Z108" s="63">
        <f ca="1">$S108</f>
        <v>0</v>
      </c>
    </row>
    <row r="109" spans="1:26" ht="15" hidden="1" customHeight="1" x14ac:dyDescent="0.2">
      <c r="A109"/>
      <c r="B109"/>
      <c r="C109"/>
      <c r="D109"/>
      <c r="E109"/>
      <c r="F109"/>
      <c r="G109"/>
      <c r="I109" t="str">
        <f t="shared" ca="1" si="6"/>
        <v/>
      </c>
      <c r="J109" s="694" t="s">
        <v>680</v>
      </c>
      <c r="K109" s="694"/>
      <c r="L109" s="694"/>
      <c r="M109" s="694"/>
      <c r="N109" s="694"/>
      <c r="O109" s="694"/>
      <c r="P109" s="694"/>
      <c r="Q109" s="694"/>
      <c r="R109" s="64" t="s">
        <v>656</v>
      </c>
      <c r="S109" s="62">
        <f ca="1">IF($J97=$A$145,0,ROUND((((1+S101+S102+S103)*(1+S104)*(1+S105)/(1-(S106+S107)))-1),4))</f>
        <v>0</v>
      </c>
      <c r="U109" s="691" t="str">
        <f ca="1">IFERROR(IF(AND(OR(S109&gt;=X109,X109="-"),OR(S109&lt;=Z109,Z109="-")),"OK","FORA DO INTERVALO"),IF(S109=0,"OK","Selecione o Tipo de obra"))</f>
        <v>OK</v>
      </c>
      <c r="V109" s="691"/>
      <c r="W109" s="691"/>
      <c r="X109" s="62" t="e">
        <f>IF($J97=$A$145,0,VLOOKUP(CONCATENATE($J97,"-",$R109),$C$2:$G$136,3,FALSE))</f>
        <v>#N/A</v>
      </c>
      <c r="Y109" s="62" t="e">
        <f>IF($J97=$A$145,0,VLOOKUP(CONCATENATE($J97,"-",$R109),$C$2:$G$136,4,FALSE))</f>
        <v>#N/A</v>
      </c>
      <c r="Z109" s="62" t="e">
        <f>IF($J97=$A$145,0,VLOOKUP(CONCATENATE($J97,"-",$R109),$C$2:$G$136,5,FALSE))</f>
        <v>#N/A</v>
      </c>
    </row>
    <row r="110" spans="1:26" ht="15" hidden="1" customHeight="1" x14ac:dyDescent="0.2">
      <c r="A110"/>
      <c r="B110"/>
      <c r="C110"/>
      <c r="D110"/>
      <c r="E110"/>
      <c r="F110"/>
      <c r="G110"/>
      <c r="I110" t="str">
        <f t="shared" ca="1" si="6"/>
        <v/>
      </c>
      <c r="J110" s="698" t="s">
        <v>681</v>
      </c>
      <c r="K110" s="698"/>
      <c r="L110" s="698"/>
      <c r="M110" s="698"/>
      <c r="N110" s="698"/>
      <c r="O110" s="698"/>
      <c r="P110" s="698"/>
      <c r="Q110" s="698"/>
      <c r="R110" s="65" t="s">
        <v>682</v>
      </c>
      <c r="S110" s="66">
        <f ca="1">IF($J97=$A$145,0,ROUND((((1+S101+S102+S103)*(1+S104)*(1+S105)/(1-(S106+S107+S108)))-1),4))</f>
        <v>0</v>
      </c>
    </row>
    <row r="111" spans="1:26" ht="15" hidden="1" customHeight="1" x14ac:dyDescent="0.2">
      <c r="A111"/>
      <c r="B111"/>
      <c r="C111"/>
      <c r="D111"/>
      <c r="E111"/>
      <c r="F111"/>
      <c r="G111"/>
      <c r="I111" t="str">
        <f t="shared" ca="1" si="6"/>
        <v/>
      </c>
    </row>
    <row r="112" spans="1:26" ht="15.75" hidden="1" x14ac:dyDescent="0.2">
      <c r="A112"/>
      <c r="B112"/>
      <c r="C112"/>
      <c r="D112"/>
      <c r="E112"/>
      <c r="F112"/>
      <c r="G112"/>
      <c r="I112" t="str">
        <f t="shared" ca="1" si="6"/>
        <v/>
      </c>
      <c r="J112" s="67" t="str">
        <f ca="1">IF(U109&lt;&gt;"ok","X","")</f>
        <v/>
      </c>
      <c r="K112" s="699" t="str">
        <f ca="1">IF(U109&lt;&gt;"ok","Anexo: Relatório Técnico Circunstanciado justificando a adoção do percentual de cada parcela do BDI.","")</f>
        <v/>
      </c>
      <c r="L112" s="699"/>
      <c r="M112" s="699"/>
      <c r="N112" s="699"/>
      <c r="O112" s="699"/>
      <c r="P112" s="699"/>
      <c r="Q112" s="699"/>
      <c r="R112" s="699"/>
      <c r="S112" s="699"/>
    </row>
    <row r="113" spans="1:19" hidden="1" x14ac:dyDescent="0.2">
      <c r="A113"/>
      <c r="B113"/>
      <c r="C113"/>
      <c r="D113"/>
      <c r="E113"/>
      <c r="F113"/>
      <c r="G113"/>
      <c r="I113" t="str">
        <f t="shared" ca="1" si="6"/>
        <v/>
      </c>
    </row>
    <row r="114" spans="1:19" hidden="1" x14ac:dyDescent="0.2">
      <c r="A114"/>
      <c r="B114"/>
      <c r="C114"/>
      <c r="D114"/>
      <c r="E114"/>
      <c r="F114"/>
      <c r="G114"/>
      <c r="I114" t="str">
        <f t="shared" ca="1" si="6"/>
        <v/>
      </c>
      <c r="J114" s="700" t="s">
        <v>683</v>
      </c>
      <c r="K114" s="700"/>
      <c r="L114" s="700"/>
      <c r="M114" s="700"/>
      <c r="N114" s="700"/>
      <c r="O114" s="700"/>
      <c r="P114" s="700"/>
      <c r="Q114" s="700"/>
      <c r="R114" s="700"/>
      <c r="S114" s="700"/>
    </row>
    <row r="115" spans="1:19" ht="15.75" hidden="1" x14ac:dyDescent="0.25">
      <c r="A115"/>
      <c r="B115"/>
      <c r="C115"/>
      <c r="D115"/>
      <c r="E115"/>
      <c r="F115"/>
      <c r="G115"/>
      <c r="I115" t="str">
        <f t="shared" ca="1" si="6"/>
        <v/>
      </c>
      <c r="J115" s="68"/>
      <c r="K115" s="68"/>
      <c r="L115" s="68"/>
      <c r="M115" s="701" t="s">
        <v>684</v>
      </c>
      <c r="N115" s="707" t="str">
        <f>IF($J97=$A$146,"(1+K1+K2)*(1+K3)","(1+AC + S + R + G)*(1 + DF)*(1+L)")</f>
        <v>(1+AC + S + R + G)*(1 + DF)*(1+L)</v>
      </c>
      <c r="O115" s="707"/>
      <c r="P115" s="707"/>
      <c r="Q115" s="708" t="s">
        <v>685</v>
      </c>
      <c r="R115" s="68"/>
      <c r="S115" s="68"/>
    </row>
    <row r="116" spans="1:19" ht="15.75" hidden="1" x14ac:dyDescent="0.2">
      <c r="A116"/>
      <c r="B116"/>
      <c r="C116"/>
      <c r="D116"/>
      <c r="E116"/>
      <c r="F116"/>
      <c r="G116"/>
      <c r="I116" t="str">
        <f t="shared" ca="1" si="6"/>
        <v/>
      </c>
      <c r="J116" s="68"/>
      <c r="K116" s="68"/>
      <c r="L116" s="68"/>
      <c r="M116" s="701"/>
      <c r="N116" s="696" t="s">
        <v>686</v>
      </c>
      <c r="O116" s="696"/>
      <c r="P116" s="696"/>
      <c r="Q116" s="708"/>
      <c r="R116" s="68"/>
      <c r="S116" s="68"/>
    </row>
    <row r="117" spans="1:19" ht="15" hidden="1" customHeight="1" x14ac:dyDescent="0.2">
      <c r="A117"/>
      <c r="B117"/>
      <c r="C117"/>
      <c r="D117"/>
      <c r="E117"/>
      <c r="F117"/>
      <c r="G117"/>
      <c r="I117" t="str">
        <f t="shared" ca="1" si="6"/>
        <v/>
      </c>
      <c r="J117" s="68"/>
      <c r="K117" s="68"/>
      <c r="L117" s="68"/>
      <c r="M117" s="69"/>
      <c r="N117" s="71"/>
      <c r="O117" s="71"/>
      <c r="P117" s="71"/>
      <c r="Q117" s="70"/>
      <c r="R117" s="68"/>
      <c r="S117" s="68"/>
    </row>
    <row r="118" spans="1:19" ht="50.1" hidden="1" customHeight="1" x14ac:dyDescent="0.2">
      <c r="A118"/>
      <c r="B118"/>
      <c r="C118"/>
      <c r="D118"/>
      <c r="E118"/>
      <c r="F118"/>
      <c r="G118"/>
      <c r="I118" t="str">
        <f t="shared" ca="1" si="6"/>
        <v/>
      </c>
      <c r="J118" s="697"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50%, com a respectiva alíquota de 4%.</v>
      </c>
      <c r="K118" s="697"/>
      <c r="L118" s="697"/>
      <c r="M118" s="697"/>
      <c r="N118" s="697"/>
      <c r="O118" s="697"/>
      <c r="P118" s="697"/>
      <c r="Q118" s="697"/>
      <c r="R118" s="697"/>
      <c r="S118" s="697"/>
    </row>
    <row r="119" spans="1:19" hidden="1" x14ac:dyDescent="0.2">
      <c r="A119"/>
      <c r="B119"/>
      <c r="C119"/>
      <c r="D119"/>
      <c r="E119"/>
      <c r="F119"/>
      <c r="G119"/>
      <c r="I119" t="str">
        <f t="shared" ca="1" si="6"/>
        <v/>
      </c>
    </row>
    <row r="120" spans="1:19" ht="50.1" hidden="1" customHeight="1" x14ac:dyDescent="0.2">
      <c r="A120"/>
      <c r="B120"/>
      <c r="C120"/>
      <c r="D120"/>
      <c r="E120"/>
      <c r="F120"/>
      <c r="G120"/>
      <c r="I120" t="str">
        <f t="shared" ca="1" si="6"/>
        <v/>
      </c>
      <c r="J120" s="697"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97"/>
      <c r="L120" s="697"/>
      <c r="M120" s="697"/>
      <c r="N120" s="697"/>
      <c r="O120" s="697"/>
      <c r="P120" s="697"/>
      <c r="Q120" s="697"/>
      <c r="R120" s="697"/>
      <c r="S120" s="697"/>
    </row>
    <row r="121" spans="1:19" hidden="1" x14ac:dyDescent="0.2">
      <c r="A121"/>
      <c r="B121"/>
      <c r="C121"/>
      <c r="D121"/>
      <c r="E121"/>
      <c r="F121"/>
      <c r="G121"/>
      <c r="I121" t="str">
        <f t="shared" ca="1" si="6"/>
        <v/>
      </c>
    </row>
    <row r="122" spans="1:19" hidden="1" x14ac:dyDescent="0.2">
      <c r="A122"/>
      <c r="B122"/>
      <c r="C122"/>
      <c r="D122"/>
      <c r="E122"/>
      <c r="F122"/>
      <c r="G122"/>
      <c r="I122" t="str">
        <f t="shared" ca="1" si="6"/>
        <v/>
      </c>
      <c r="J122" s="49" t="s">
        <v>689</v>
      </c>
    </row>
    <row r="123" spans="1:19" ht="110.1" hidden="1" customHeight="1" x14ac:dyDescent="0.2">
      <c r="A123"/>
      <c r="B123"/>
      <c r="C123"/>
      <c r="D123"/>
      <c r="E123"/>
      <c r="F123"/>
      <c r="G123"/>
      <c r="I123" t="str">
        <f t="shared" ca="1" si="6"/>
        <v/>
      </c>
      <c r="J123" s="709"/>
      <c r="K123" s="709"/>
      <c r="L123" s="709"/>
      <c r="M123" s="709"/>
      <c r="N123" s="709"/>
      <c r="O123" s="709"/>
      <c r="P123" s="709"/>
      <c r="Q123" s="709"/>
      <c r="R123" s="709"/>
      <c r="S123" s="709"/>
    </row>
    <row r="124" spans="1:19" hidden="1" x14ac:dyDescent="0.2">
      <c r="A124"/>
      <c r="B124"/>
      <c r="C124"/>
      <c r="D124"/>
      <c r="E124"/>
      <c r="F124"/>
      <c r="G124"/>
      <c r="I124" t="str">
        <f t="shared" ca="1" si="6"/>
        <v/>
      </c>
    </row>
    <row r="125" spans="1:19" hidden="1" x14ac:dyDescent="0.2">
      <c r="A125"/>
      <c r="B125"/>
      <c r="C125"/>
      <c r="D125"/>
      <c r="E125"/>
      <c r="F125"/>
      <c r="G125"/>
      <c r="I125" t="str">
        <f t="shared" ca="1" si="6"/>
        <v/>
      </c>
      <c r="J125" s="703" t="str">
        <f>Import.Município</f>
        <v>Pedro Régis-PB</v>
      </c>
      <c r="K125" s="703"/>
      <c r="L125" s="703"/>
      <c r="M125" s="703"/>
      <c r="P125" s="704">
        <f>DADOS!$C$25</f>
        <v>45981</v>
      </c>
      <c r="Q125" s="704"/>
      <c r="R125" s="704"/>
      <c r="S125" s="704"/>
    </row>
    <row r="126" spans="1:19" hidden="1" x14ac:dyDescent="0.2">
      <c r="A126"/>
      <c r="B126"/>
      <c r="C126"/>
      <c r="D126"/>
      <c r="E126"/>
      <c r="F126"/>
      <c r="G126"/>
      <c r="I126" t="str">
        <f t="shared" ca="1" si="6"/>
        <v/>
      </c>
      <c r="J126" s="705" t="s">
        <v>693</v>
      </c>
      <c r="K126" s="705"/>
      <c r="L126" s="705"/>
      <c r="M126" s="705"/>
      <c r="O126" s="73"/>
      <c r="P126" s="74" t="s">
        <v>694</v>
      </c>
      <c r="Q126" s="75"/>
      <c r="R126" s="75"/>
      <c r="S126" s="75"/>
    </row>
    <row r="127" spans="1:19" ht="30" hidden="1" customHeight="1" x14ac:dyDescent="0.2">
      <c r="A127"/>
      <c r="B127"/>
      <c r="C127"/>
      <c r="D127"/>
      <c r="E127"/>
      <c r="F127"/>
      <c r="G127"/>
      <c r="I127" t="str">
        <f t="shared" ca="1" si="6"/>
        <v/>
      </c>
    </row>
    <row r="128" spans="1:19" ht="15" hidden="1" x14ac:dyDescent="0.2">
      <c r="A128"/>
      <c r="B128"/>
      <c r="C128"/>
      <c r="D128"/>
      <c r="E128"/>
      <c r="F128"/>
      <c r="G128"/>
      <c r="I128" t="str">
        <f t="shared" ca="1" si="6"/>
        <v/>
      </c>
      <c r="J128" s="706"/>
      <c r="K128" s="706"/>
      <c r="L128" s="706"/>
      <c r="M128" s="706"/>
      <c r="N128" s="76"/>
    </row>
    <row r="129" spans="1:14" hidden="1" x14ac:dyDescent="0.2">
      <c r="A129"/>
      <c r="B129"/>
      <c r="C129"/>
      <c r="D129"/>
      <c r="E129"/>
      <c r="F129"/>
      <c r="G129"/>
      <c r="I129" t="str">
        <f t="shared" ca="1" si="6"/>
        <v/>
      </c>
      <c r="J129" s="702" t="s">
        <v>696</v>
      </c>
      <c r="K129" s="702"/>
      <c r="L129" s="702"/>
      <c r="M129" s="702"/>
    </row>
    <row r="130" spans="1:14" ht="14.25" hidden="1" x14ac:dyDescent="0.2">
      <c r="A130"/>
      <c r="B130"/>
      <c r="C130"/>
      <c r="D130"/>
      <c r="E130"/>
      <c r="F130"/>
      <c r="G130"/>
      <c r="I130" t="str">
        <f t="shared" ca="1" si="6"/>
        <v/>
      </c>
      <c r="J130" s="77" t="s">
        <v>240</v>
      </c>
      <c r="K130" s="78" t="str">
        <f t="array" ref="K130:K132">Import.RespOrçamento</f>
        <v>Thales Mamede Galvão de Oliveira</v>
      </c>
      <c r="L130" s="79"/>
      <c r="M130" s="79"/>
      <c r="N130" s="76"/>
    </row>
    <row r="131" spans="1:14" ht="14.25" hidden="1" x14ac:dyDescent="0.2">
      <c r="A131"/>
      <c r="B131"/>
      <c r="C131"/>
      <c r="D131"/>
      <c r="E131"/>
      <c r="F131"/>
      <c r="G131"/>
      <c r="I131" t="str">
        <f t="shared" ca="1" si="6"/>
        <v/>
      </c>
      <c r="J131" s="77" t="s">
        <v>243</v>
      </c>
      <c r="K131" s="78" t="str">
        <v>162.151.440-4</v>
      </c>
      <c r="L131" s="79"/>
      <c r="M131" s="79"/>
      <c r="N131" s="76"/>
    </row>
    <row r="132" spans="1:14" ht="14.25" hidden="1" x14ac:dyDescent="0.2">
      <c r="A132"/>
      <c r="B132"/>
      <c r="C132"/>
      <c r="D132"/>
      <c r="E132"/>
      <c r="F132"/>
      <c r="G132"/>
      <c r="I132" t="str">
        <f t="shared" ca="1" si="6"/>
        <v/>
      </c>
      <c r="J132" s="77" t="s">
        <v>246</v>
      </c>
      <c r="K132" s="78" t="str">
        <v>-</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HqRYBnvCchae+yeKf09VjYYU0YhZp1VggrbbL/L5sGPjMD1lOca5x/8H8TiRZMuIUTYh2o2qWaJ83vXl09ifBw==" saltValue="Ca1svP4B0WpkGB163Vqryw==" spinCount="100000" sheet="1" objects="1" scenarios="1" autoFilter="0"/>
  <autoFilter ref="I11:I132" xr:uid="{00000000-0009-0000-0000-000003000000}">
    <filterColumn colId="0">
      <customFilters>
        <customFilter operator="notEqual" val=" "/>
      </customFilters>
    </filterColumn>
  </autoFilter>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989" priority="11" stopIfTrue="1">
      <formula>DESONERACAO="não"</formula>
    </cfRule>
  </conditionalFormatting>
  <conditionalFormatting sqref="U69:W69 U29:W29 U109:W109">
    <cfRule type="expression" dxfId="988" priority="12" stopIfTrue="1">
      <formula>AND(U29&lt;&gt;"OK",U29&lt;&gt;"-",U29&lt;&gt;"")</formula>
    </cfRule>
    <cfRule type="cellIs" dxfId="987" priority="13" stopIfTrue="1" operator="equal">
      <formula>"OK"</formula>
    </cfRule>
  </conditionalFormatting>
  <conditionalFormatting sqref="S29 S69 S109">
    <cfRule type="expression" dxfId="986" priority="14" stopIfTrue="1">
      <formula>DESONERACAO="não"</formula>
    </cfRule>
  </conditionalFormatting>
  <conditionalFormatting sqref="J23:S24">
    <cfRule type="expression" dxfId="985" priority="9">
      <formula>$J$17=$A$146</formula>
    </cfRule>
  </conditionalFormatting>
  <conditionalFormatting sqref="S21:S26">
    <cfRule type="expression" dxfId="984" priority="8">
      <formula>$J$17=$A$145</formula>
    </cfRule>
  </conditionalFormatting>
  <conditionalFormatting sqref="J63:S64">
    <cfRule type="expression" dxfId="983" priority="7">
      <formula>$J$57=$A$146</formula>
    </cfRule>
  </conditionalFormatting>
  <conditionalFormatting sqref="S61:S66">
    <cfRule type="expression" dxfId="982" priority="6">
      <formula>$J$57=$A$145</formula>
    </cfRule>
  </conditionalFormatting>
  <conditionalFormatting sqref="J103:S104">
    <cfRule type="expression" dxfId="981" priority="5">
      <formula>$J$97=$A$146</formula>
    </cfRule>
  </conditionalFormatting>
  <conditionalFormatting sqref="S101:S106">
    <cfRule type="expression" dxfId="980" priority="4">
      <formula>$J$97=$A$145</formula>
    </cfRule>
  </conditionalFormatting>
  <conditionalFormatting sqref="U21:W28">
    <cfRule type="cellIs" dxfId="979" priority="3" operator="notEqual">
      <formula>"OK"</formula>
    </cfRule>
  </conditionalFormatting>
  <conditionalFormatting sqref="U61:W68">
    <cfRule type="cellIs" dxfId="978" priority="2" operator="notEqual">
      <formula>"OK"</formula>
    </cfRule>
  </conditionalFormatting>
  <conditionalFormatting sqref="U101:W108">
    <cfRule type="cellIs" dxfId="977"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774"/>
  <sheetViews>
    <sheetView showGridLines="0" zoomScale="85" zoomScaleNormal="85" zoomScaleSheetLayoutView="90" workbookViewId="0">
      <pane xSplit="19" ySplit="15" topLeftCell="T199" activePane="bottomRight" state="frozen"/>
      <selection pane="topRight"/>
      <selection pane="bottomLeft"/>
      <selection pane="bottomRight"/>
    </sheetView>
  </sheetViews>
  <sheetFormatPr defaultRowHeight="12.75" x14ac:dyDescent="0.2"/>
  <cols>
    <col min="1" max="1" width="5.5703125" hidden="1" customWidth="1"/>
    <col min="2" max="2" width="10.42578125" hidden="1" customWidth="1"/>
    <col min="3" max="3" width="5.5703125" hidden="1" customWidth="1"/>
    <col min="4" max="4" width="12.71093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28515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OGU</v>
      </c>
      <c r="X2" s="11" t="s">
        <v>647</v>
      </c>
      <c r="Y2" s="84"/>
      <c r="Z2" s="84"/>
      <c r="AA2" s="84"/>
      <c r="AB2" s="84"/>
    </row>
    <row r="3" spans="1:40" x14ac:dyDescent="0.2">
      <c r="D3" s="7"/>
      <c r="E3" s="662" t="s">
        <v>750</v>
      </c>
      <c r="F3" s="662" t="s">
        <v>954</v>
      </c>
      <c r="G3" s="662" t="s">
        <v>955</v>
      </c>
      <c r="H3" s="662" t="s">
        <v>956</v>
      </c>
      <c r="I3" s="662" t="s">
        <v>957</v>
      </c>
      <c r="R3" s="86"/>
    </row>
    <row r="4" spans="1:40" x14ac:dyDescent="0.2">
      <c r="A4" s="660" t="s">
        <v>706</v>
      </c>
      <c r="D4" s="7"/>
      <c r="E4" s="7"/>
      <c r="F4" s="662" t="s">
        <v>663</v>
      </c>
      <c r="G4" s="662" t="s">
        <v>697</v>
      </c>
      <c r="H4" s="662" t="s">
        <v>698</v>
      </c>
      <c r="I4" s="663">
        <v>0</v>
      </c>
      <c r="O4" s="684" t="s">
        <v>650</v>
      </c>
      <c r="P4" s="684"/>
      <c r="Q4" s="87" t="s">
        <v>707</v>
      </c>
      <c r="R4" s="87" t="s">
        <v>652</v>
      </c>
      <c r="S4" s="684" t="s">
        <v>708</v>
      </c>
      <c r="T4" s="684"/>
      <c r="U4" s="684"/>
      <c r="V4" s="684"/>
      <c r="W4" s="684"/>
      <c r="X4" s="684"/>
      <c r="Y4" s="77"/>
      <c r="Z4" s="77"/>
      <c r="AA4" s="77"/>
      <c r="AB4" s="77"/>
    </row>
    <row r="5" spans="1:40" ht="12.75" customHeight="1" x14ac:dyDescent="0.2">
      <c r="A5" s="450">
        <f ca="1">MAX($C$15:$C$244)</f>
        <v>3</v>
      </c>
      <c r="B5" s="7"/>
      <c r="C5" s="7"/>
      <c r="D5" s="7"/>
      <c r="E5" s="7"/>
      <c r="F5" s="663">
        <f ca="1">IF(BDI.Opcao="DESONERADO",BDI!$S$30,BDI!$S$29)</f>
        <v>0.2223</v>
      </c>
      <c r="G5" s="663">
        <f ca="1">IF(BDI.Opcao="DESONERADO",BDI!$S$70,BDI!$S$69)</f>
        <v>0</v>
      </c>
      <c r="H5" s="663">
        <f ca="1">IF(BDI.Opcao="DESONERADO",BDI!$S$110,BDI!$S$109)</f>
        <v>0</v>
      </c>
      <c r="I5" s="7"/>
      <c r="O5" s="681" t="str">
        <f>Import.CR</f>
        <v>-</v>
      </c>
      <c r="P5" s="681"/>
      <c r="Q5" s="90" t="str" cm="1">
        <f t="array" ref="Q5">Import.TransfereGOV</f>
        <v>-</v>
      </c>
      <c r="R5" s="91" t="str">
        <f>Import.Proponente</f>
        <v>Prefeitura Municipal de Pedro Régis-PB</v>
      </c>
      <c r="S5" s="681" t="str">
        <f>Import.Apelido</f>
        <v>Casa térrea acessível, 2 quartos, Autil=47,46m², conforme Portaria MCID 1416/2023</v>
      </c>
      <c r="T5" s="681"/>
      <c r="U5" s="681"/>
      <c r="V5" s="681"/>
      <c r="W5" s="681"/>
      <c r="X5" s="681"/>
      <c r="Y5" s="92"/>
      <c r="Z5" s="92"/>
      <c r="AA5" s="92"/>
      <c r="AB5" s="92"/>
      <c r="AE5" s="721" t="s">
        <v>709</v>
      </c>
      <c r="AF5" s="721"/>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958</v>
      </c>
      <c r="H7" s="662" t="s">
        <v>456</v>
      </c>
      <c r="I7" s="662" t="s">
        <v>794</v>
      </c>
      <c r="O7" s="684" t="s">
        <v>710</v>
      </c>
      <c r="P7" s="684"/>
      <c r="Q7" s="87" t="s">
        <v>711</v>
      </c>
      <c r="R7" s="87" t="str" cm="1">
        <f t="array" ref="R7">IF(TIPOORCAMENTO="Licitado","NOME DA EMPRESA","DESCRIÇÃO DO LOTE")</f>
        <v>DESCRIÇÃO DO LOTE</v>
      </c>
      <c r="S7" s="722" t="str" cm="1">
        <f t="array" ref="S7">IF(TIPOORCAMENTO="Licitado","REGIME DE EXECUÇÃO","MUNICÍPIO / UF")</f>
        <v>MUNICÍPIO / UF</v>
      </c>
      <c r="T7" s="722"/>
      <c r="U7" s="722"/>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IF(COUNTIFS($L$15:$L$244,"F",$AC$15:$AC$244,"JUSTIFICAR BDI")&gt;0,"JUSTIFICAR BDI","")</f>
        <v/>
      </c>
      <c r="AE7" s="88" t="s">
        <v>712</v>
      </c>
      <c r="AF7" s="89" t="b">
        <v>1</v>
      </c>
      <c r="AJ7" s="725" t="s">
        <v>713</v>
      </c>
      <c r="AL7" s="723" t="s">
        <v>714</v>
      </c>
    </row>
    <row r="8" spans="1:40" ht="12.75" customHeight="1" x14ac:dyDescent="0.2">
      <c r="A8" s="7"/>
      <c r="B8" s="7"/>
      <c r="C8" s="7"/>
      <c r="E8" s="506" t="s">
        <v>996</v>
      </c>
      <c r="F8" s="719" t="str" cm="1">
        <f t="array" aca="1" ref="F8" ca="1">IF(LEN(INFO("release"))&gt;5,"'Referência "&amp;Excel_BuiltIn_Database&amp;".xlsm'#Banco.$a5:$a$65536","'[Referência "&amp;Excel_BuiltIn_Database&amp;".xlsm]Banco'!$a5:$a$65536")</f>
        <v>'[Referência 07-2025.xlsm]Banco'!$a5:$a$65536</v>
      </c>
      <c r="G8" s="719"/>
      <c r="H8" s="719"/>
      <c r="I8" s="719"/>
      <c r="J8" s="719"/>
      <c r="K8" s="719"/>
      <c r="L8" s="710" t="s">
        <v>655</v>
      </c>
      <c r="O8" s="681" t="str" cm="1">
        <f t="array" aca="1" ref="O8" ca="1">IF(ISERROR(INDIRECT($F$9)),"(N/D: 'Referência "&amp;Excel_BuiltIn_Database&amp;".xlsm)",INDIRECT($F$9))</f>
        <v>(N/D: 'Referência 07-2025.xlsm)</v>
      </c>
      <c r="P8" s="681"/>
      <c r="Q8" s="99" t="str" cm="1">
        <f t="array" aca="1" ref="Q8" ca="1">TEXT(Import.DataBase,"mm-aa")&amp;IF(DESONERACAO="Sim"," (DES.)"," (N DES.)")</f>
        <v>07-25 (N DES.)</v>
      </c>
      <c r="R8" s="91" t="str" cm="1">
        <f t="array" ref="R8">IF(TIPOORCAMENTO="Licitado",Import.empresa,Import.DescLote)</f>
        <v>Construção de 20 residencias unifamiliares no Município de Pedro Régis/PB - Novo PAC FNHIS - Sub 50</v>
      </c>
      <c r="S8" s="720" t="str" cm="1">
        <f t="array" ref="S8">IF(TIPOORCAMENTO="Licitado",Import.RegimeExecução,Import.Município)</f>
        <v>Pedro Régis-PB</v>
      </c>
      <c r="T8" s="720"/>
      <c r="U8" s="720"/>
      <c r="V8" s="100" t="str" cm="1">
        <f t="array" aca="1" ref="V8" ca="1">IF(TIPOORCAMENTO="Licitado","",TEXT(F5,"0,00%"))</f>
        <v>22,23%</v>
      </c>
      <c r="W8" s="100" t="str" cm="1">
        <f t="array" aca="1" ref="W8" ca="1">IF(TIPOORCAMENTO="Licitado","",TEXT(G5,"0,00%"))</f>
        <v>0,00%</v>
      </c>
      <c r="X8" s="101" t="str" cm="1">
        <f t="array" aca="1" ref="X8" ca="1">IF(TIPOORCAMENTO="Licitado",Import.CTEF,TEXT(H5,"0,00%"))</f>
        <v>0,00%</v>
      </c>
      <c r="Y8" s="710" t="s">
        <v>715</v>
      </c>
      <c r="Z8" s="710" t="s">
        <v>716</v>
      </c>
      <c r="AA8" s="102"/>
      <c r="AB8" s="102"/>
      <c r="AE8" s="88" t="s">
        <v>717</v>
      </c>
      <c r="AF8" s="89" t="b">
        <v>1</v>
      </c>
      <c r="AJ8" s="725"/>
      <c r="AL8" s="723"/>
    </row>
    <row r="9" spans="1:40" ht="12.75" customHeight="1" x14ac:dyDescent="0.2">
      <c r="E9" s="506" t="s">
        <v>994</v>
      </c>
      <c r="F9" s="719" t="str" cm="1">
        <f t="array" aca="1" ref="F9" ca="1">IF(LEN(INFO("release"))&gt;5,"'Referência "&amp;Excel_BuiltIn_Database&amp;".xlsm'#Banco.$d$3","'[Referência "&amp;Excel_BuiltIn_Database&amp;".xlsm]Banco'!$d$3")</f>
        <v>'[Referência 07-2025.xlsm]Banco'!$d$3</v>
      </c>
      <c r="G9" s="719"/>
      <c r="H9" s="719"/>
      <c r="I9" s="719"/>
      <c r="J9" s="719"/>
      <c r="K9" s="719"/>
      <c r="L9" s="710"/>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710"/>
      <c r="Z9" s="710"/>
      <c r="AE9" s="88" t="s">
        <v>23</v>
      </c>
      <c r="AF9" s="89" t="b">
        <v>1</v>
      </c>
      <c r="AJ9" s="725"/>
      <c r="AL9" s="723"/>
    </row>
    <row r="10" spans="1:40" x14ac:dyDescent="0.2">
      <c r="E10" s="506" t="s">
        <v>995</v>
      </c>
      <c r="F10" s="719" t="str" cm="1">
        <f t="array" aca="1" ref="F10" ca="1">IF(LEN(INFO("release"))&gt;5,"'Referência "&amp;Excel_BuiltIn_Database&amp;".xlsm'#Banco.$B$3","'[Referência "&amp;Excel_BuiltIn_Database&amp;".xlsm]Banco'!$B$3")</f>
        <v>'[Referência 07-2025.xlsm]Banco'!$B$3</v>
      </c>
      <c r="G10" s="719"/>
      <c r="H10" s="719"/>
      <c r="I10" s="719"/>
      <c r="J10" s="719"/>
      <c r="K10" s="719"/>
      <c r="L10" s="710"/>
      <c r="Y10" s="710"/>
      <c r="Z10" s="710"/>
      <c r="AC10" s="103" t="s">
        <v>718</v>
      </c>
      <c r="AE10" s="88" t="s">
        <v>719</v>
      </c>
      <c r="AF10" s="89" t="b">
        <v>1</v>
      </c>
      <c r="AJ10" s="725"/>
      <c r="AL10" s="723"/>
    </row>
    <row r="11" spans="1:40" x14ac:dyDescent="0.2">
      <c r="F11" s="661" t="str" cm="1">
        <f t="array" aca="1" ref="F11" ca="1">IFERROR(INDIRECT(F10),"")</f>
        <v/>
      </c>
      <c r="G11" s="665" t="str" cm="1">
        <f t="array" aca="1" ref="G11" ca="1">IFERROR(TEXT(Import.DataBase,"mm/aaaa"),"")</f>
        <v>07/2025</v>
      </c>
      <c r="H11" s="104"/>
      <c r="L11" s="710"/>
      <c r="Y11" s="710"/>
      <c r="Z11" s="710"/>
      <c r="AC11" s="105" t="str">
        <f ca="1">IF(COUNTIFS($L$15:$L$244,"F",$AC$15:$AC$244,"&lt;&gt;"&amp;" ",$AC$15:$AC$244,"&lt;&gt;"&amp;"JUSTIFICAR BDI")&gt;0,"NÃO OK","OK")</f>
        <v>OK</v>
      </c>
      <c r="AE11" s="88" t="s">
        <v>720</v>
      </c>
      <c r="AF11" s="89" t="b">
        <v>1</v>
      </c>
      <c r="AJ11" s="725"/>
      <c r="AL11" s="723"/>
    </row>
    <row r="12" spans="1:40" ht="20.100000000000001" customHeight="1" x14ac:dyDescent="0.2">
      <c r="G12" s="85"/>
      <c r="H12" s="85"/>
      <c r="L12" s="710"/>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IF(COUNTIF($AC$15:$AC$244,"FONTE")&gt;0,"Falta preencher a Fonte (coluna P) na Linha "&amp;(14+MATCH("FONTE",$AC$15:$AC$244,0)),
 IF(COUNTIF($AC$15:$AC$244,"CÓDIGO")&gt;0,"Falta preencher o Código (coluna Q) na Linha "&amp;(14+MATCH("CÓDIGO",$AC$15:$AC$244,0)),
 IF(COUNTIF($AC$15:$AC$244,"CÓDIGO N/ID")&gt;0,"Código (coluna Q) não identificado na Linha "&amp;(14+MATCH("CÓDIGO N/ID",$AC$15:$AC$244,0))&amp;". Verifique se o código está correto ou busque outro código",
 IF(COUNTIF($AC$15:$AC$244,"DESCRIÇÃO")&gt;0,"Falta preencher a Descrição (coluna R) na Linha "&amp;(14+MATCH("DESCRIÇÃO",$AC$15:$AC$244,0)),
 IF(COUNTIF($AC$15:$AC$244,"UNIDADE")&gt;0,"Falta preencher a Unidade (coluna S) na Linha "&amp;(14+MATCH("UNIDADE",$AC$15:$AC$244,0)),
 IF(COUNTIF($AC$15:$AC$244,"SEM CUSTO")&gt;0,"Falta preencher o Custo Unitário (coluna U) na Linha "&amp;(14+MATCH("SEM CUSTO",$AC$15:$AC$244,0)),
 IF(COUNTIF($AC$15:$AC$244,"SEM PREÇO")&gt;0,"Falta preencher o Preço Unitário licitado (coluna AL) na Linha "&amp;(14+MATCH("SEM CUSTO",$AC$15:$AC$244,0)),
 IF(COUNTIF($AC$15:$AC$244,"BDI")&gt;0,"Falta definir o BDI (coluna V) na Linha "&amp;(14+MATCH("BDI",$AC$15:$AC$244,0)),
 IF(COUNTIF($AC$15:$AC$244,"ACIMA REF.")&gt;0,
         IF(TIPOORCAMENTO="Proposto","O custo unitário (coluna U) na Linha "&amp;(14+MATCH("ACIMA REF.",$AC$15:$AC$244,0))&amp;" está acima do custo referencial (coluna AG)",
            "O preço unitário licitado (coluna AL) na Linha "&amp;(14+MATCH("ACIMA REF.",$AC$15:$AC$244,0))&amp;" está acima do preço referencial do edital (coluna AN)"),
 IF(COUNTIF($AC$15:$AC$244,"QUANT.")&gt;0,"Falta a Quantidade do serviço na Linha "&amp;(14+MATCH("QUANT.",$AC$15:$AC$244,0))&amp;IF(ACOMPANHAMENTO="PLE",". Preencher na aba CÁLCULO",". Preencher na coluna AJ"),
 IF(COUNTIF($AC$15:$AC$244,"Código &gt;13")&gt;0,"O tamanho do código do serviço no TransfereGOV é limitado a 13 caracteres. Resuma o código (coluna Q) na Linha "&amp;(14+MATCH("Código &gt;13",$AC$15:$AC$244,0)),
 IF(COUNTIF($AC$15:$AC$244,"Descrição &gt;100")&gt;0,"O tamanho da descrição de macrosserviço no TransfereGOV é limitado a 100 caracteres. Resuma a descrição (coluna R) na Linha "&amp;(14+MATCH("Descrição &gt;100",$AC$15:$AC$244,0)),
 IF(COUNTIF($AC$15:$AC$244,"Descrição &gt;500")&gt;0,"O tamanho da descrição de serviço no TransfereGOV é limitado a 500 caracteres. Resuma a descrição (coluna R) na Linha "&amp;(14+MATCH("Descrição &gt;500",$AC$15:$AC$244,0)),
 IF(COUNTIF($AC$15:$AC$244,"Unid. Não Disp")&gt;0,"Unidade não disponível na lista do TransfereGOV. Reveja a unidade (coluna S) na Linha "&amp;(14+MATCH("Unid. Não Disp",$AC$15:$AC$244,0)),
 IF(AND(TIPOORCAMENTO="Proposto",LEFT($O$8,5)="(N/D:"),"Abra o arquivo Referência "&amp;Excel_BuiltIn_Database&amp;".xlsm","")))))))))))))))))</f>
        <v>Código (coluna Q) não identificado na Linha 18. Verifique se o código está correto ou busque outro código</v>
      </c>
      <c r="Y12" s="710"/>
      <c r="Z12" s="710"/>
      <c r="AA12" s="724" t="s">
        <v>721</v>
      </c>
      <c r="AB12" s="724"/>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IF(OR($C14="S",$C14=0),0,MATCH(0,OFFSET($D14,1,$C14,ROW($C$244)-ROW($C14)),0))</f>
        <v>0</v>
      </c>
      <c r="K14">
        <f ca="1">IF(OR($C14="S",$C14=0),0,MATCH(OFFSET($D14,0,$C14)+IF($C14&lt;&gt;1,1,COUNTIF(QCI!$A$13:$A$24,ORÇAMENTO!E14)),OFFSET($D14,1,$C14,ROW($C$244)-ROW($C14)),0))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IF($C14="S",IF(OR(Import.TipoArredondamento&lt;&gt;"TransfereGOV",ACOMPANHAMENTO="BM"),VTOTAL1,SUM(OFFSET(CÁLCULO!$AQ$15,ROW($X14)-ROW($X$15),1):OFFSET(CÁLCULO!$BR$15,ROW($X14)-ROW($X$15),-1))),IF($C14=0,0,ROUND(SomaAgrup,15-13*$AF$11)))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0.2223</v>
      </c>
      <c r="AJ14" s="431"/>
      <c r="AL14" s="439"/>
      <c r="AM14" s="336">
        <f t="shared" ref="AM14:AM243" ca="1" si="0">$X14</f>
        <v>0</v>
      </c>
      <c r="AN14" s="470" cm="1">
        <f t="array" aca="1" ref="AN14" ca="1">ROUND(ORÇAMENTO.CustoUnitario*(1+$AH14),2)</f>
        <v>0</v>
      </c>
    </row>
    <row r="15" spans="1:40" ht="12.75" customHeight="1" x14ac:dyDescent="0.2">
      <c r="A15">
        <v>0</v>
      </c>
      <c r="C15" t="s">
        <v>654</v>
      </c>
      <c r="D15">
        <f ca="1">COUNTA(OFFSET(D15,1,0):D$244)</f>
        <v>228</v>
      </c>
      <c r="E15">
        <v>0</v>
      </c>
      <c r="L15" s="114" t="s">
        <v>536</v>
      </c>
      <c r="M15" s="130" t="str" cm="1">
        <f t="array" ref="M15">IF(TIPOORCAMENTO="LICITADO","CTEF","LOTE")</f>
        <v>LOTE</v>
      </c>
      <c r="N15" s="130" t="str" cm="1">
        <f t="array" ref="N15">IF(TIPOORCAMENTO="LICITADO","CTEF","LOTE")</f>
        <v>LOTE</v>
      </c>
      <c r="O15" s="712" t="str">
        <f>Import.DescLote</f>
        <v>Construção de 20 residencias unifamiliares no Município de Pedro Régis/PB - Novo PAC FNHIS - Sub 50</v>
      </c>
      <c r="P15" s="713"/>
      <c r="Q15" s="713"/>
      <c r="R15" s="713"/>
      <c r="S15" s="613"/>
      <c r="T15" s="614"/>
      <c r="U15" s="614"/>
      <c r="V15" s="615"/>
      <c r="W15" s="614"/>
      <c r="X15" s="131">
        <f ca="1">SUMIF(OFFSET($C15,1,0,ROW(X244)-ROW(X15)-1),"S",OFFSET(X15,1,0,ROW(X244)-ROW(X15)-1))</f>
        <v>0</v>
      </c>
      <c r="Y15" s="7"/>
      <c r="Z15" t="str">
        <f ca="1">IF(AND($C15="S",$X15&gt;0),LEFT($Y15,2),"")</f>
        <v/>
      </c>
      <c r="AA15" s="426">
        <f ca="1">SUMIF(OFFSET($C15,1,0,ROW(AA244)-ROW(AA15)-1),"S",OFFSET(AA15,1,0,ROW(AA244)-ROW(AA15)-1))</f>
        <v>0</v>
      </c>
      <c r="AB15" s="132">
        <f ca="1">SUMIF(OFFSET($C15,1,0,ROW(AB244)-ROW(AB15)-1),"S",OFFSET(AB15,1,0,ROW(AB244)-ROW(AB15)-1))</f>
        <v>0</v>
      </c>
      <c r="AC15" s="565" t="s">
        <v>752</v>
      </c>
      <c r="AG15" s="441"/>
      <c r="AH15" s="442"/>
      <c r="AJ15" s="430"/>
      <c r="AL15" s="440"/>
      <c r="AM15" s="471">
        <f t="shared" ca="1" si="0"/>
        <v>0</v>
      </c>
      <c r="AN15" s="472"/>
    </row>
    <row r="16" spans="1:40" ht="30" customHeight="1" x14ac:dyDescent="0.2">
      <c r="A16">
        <f t="shared" ref="A16:A84" si="1">CHOOSE(1+LOG(1+2*(ORÇAMENTO.Nivel="Meta")+4*(ORÇAMENTO.Nivel="Nível 2")+8*(ORÇAMENTO.Nivel="Nível 3")+16*(ORÇAMENTO.Nivel="Nível 4")+32*(ORÇAMENTO.Nivel="Serviço"),2),0,1,2,3,4,"S")</f>
        <v>1</v>
      </c>
      <c r="B16">
        <f t="shared" ref="B16:B84" ca="1" si="2">IF(OR(C16="s",C16=0),OFFSET(B16,-1,0),C16)</f>
        <v>1</v>
      </c>
      <c r="C16">
        <f t="shared" ref="C16:C84" ca="1" si="3">IF(OFFSET(C16,-1,0)="L",1,IF(OFFSET(C16,-1,0)=1,2,IF(OR(A16="s",A16=0),"S",IF(AND(OFFSET(C16,-1,0)=2,A16=4),3,IF(AND(OR(OFFSET(C16,-1,0)="s",OFFSET(C16,-1,0)=0),A16&lt;&gt;"s",A16&gt;OFFSET(B16,-1,0)),OFFSET(B16,-1,0),A16)))))</f>
        <v>1</v>
      </c>
      <c r="D16">
        <f t="shared" ref="D16:D84" ca="1" si="4">IF(OR(C16="S",C16=0),0,IF(ISERROR(K16),J16,SMALL(J16:K16,1)))</f>
        <v>6</v>
      </c>
      <c r="E16">
        <f ca="1">IF($C16=1,OFFSET(E16,-1,0)+MAX(1,COUNTIF(QCI!$A$13:$A$24,OFFSET(ORÇAMENTO!E16,-1,0))),OFFSET(E16,-1,0))</f>
        <v>1</v>
      </c>
      <c r="F16">
        <f t="shared" ref="F16:F84" ca="1" si="5">IF($C16=1,0,IF($C16=2,OFFSET(F16,-1,0)+1,OFFSET(F16,-1,0)))</f>
        <v>0</v>
      </c>
      <c r="G16">
        <f t="shared" ref="G16:G84" ca="1" si="6">IF(AND($C16&lt;=2,$C16&lt;&gt;0),0,IF($C16=3,OFFSET(G16,-1,0)+1,OFFSET(G16,-1,0)))</f>
        <v>0</v>
      </c>
      <c r="H16">
        <f t="shared" ref="H16:H84" ca="1" si="7">IF(AND($C16&lt;=3,$C16&lt;&gt;0),0,IF($C16=4,OFFSET(H16,-1,0)+1,OFFSET(H16,-1,0)))</f>
        <v>0</v>
      </c>
      <c r="I16">
        <f t="shared" ref="I16:I84" ca="1" si="8">IF(AND($C16&lt;=4,$C16&lt;&gt;0),0,IF(AND($C16="S",$X16&gt;0),OFFSET(I16,-1,0)+1,OFFSET(I16,-1,0)))</f>
        <v>0</v>
      </c>
      <c r="J16">
        <f t="shared" ref="J16:J47" ca="1" si="9">IF(OR($C16="S",$C16=0),0,MATCH(0,OFFSET($D16,1,$C16,ROW($C$244)-ROW($C16)),0))</f>
        <v>228</v>
      </c>
      <c r="K16">
        <f ca="1">IF(OR($C16="S",$C16=0),0,MATCH(OFFSET($D16,0,$C16)+IF($C16&lt;&gt;1,1,COUNTIF(QCI!$A$13:$A$24,ORÇAMENTO!E16)),OFFSET($D16,1,$C16,ROW($C$244)-ROW($C16)),0))</f>
        <v>6</v>
      </c>
      <c r="L16" s="114" t="str">
        <f t="shared" ref="L16:L84" ca="1" si="10">IF(OR($X16&gt;0,$C16=1,$C16=2,$C16=3,$C16=4),"F","")</f>
        <v>F</v>
      </c>
      <c r="M16" s="115" t="s">
        <v>701</v>
      </c>
      <c r="N16" s="116" t="str">
        <f t="shared" ref="N16:N84" ca="1" si="11">CHOOSE(1+LOG(1+2*(C16=1)+4*(C16=2)+8*(C16=3)+16*(C16=4)+32*(C16="S"),2),"","Meta","Nível 2","Nível 3","Nível 4","Serviço")</f>
        <v>Meta</v>
      </c>
      <c r="O16" s="117" t="str">
        <f t="shared" ref="O16:O84" ca="1" si="12">IF(OR($C16=0,$L16=""),"-",CONCATENATE(E16&amp;".",IF(AND($A$5&gt;=2,$C16&gt;=2),F16&amp;".",""),IF(AND($A$5&gt;=3,$C16&gt;=3),G16&amp;".",""),IF(AND($A$5&gt;=4,$C16&gt;=4),H16&amp;".",""),IF($C16="S",I16&amp;".","")))</f>
        <v>1.</v>
      </c>
      <c r="P16" s="118" t="s">
        <v>250</v>
      </c>
      <c r="Q16" s="119" t="s">
        <v>250</v>
      </c>
      <c r="R16" s="120" t="s">
        <v>1173</v>
      </c>
      <c r="S16" s="121"/>
      <c r="T16" s="122">
        <f ca="1">OFFSET(CÁLCULO!H$15,ROW($T16)-ROW(T$15),0)</f>
        <v>0</v>
      </c>
      <c r="U16" s="123">
        <f t="shared" ref="U16:U84" ca="1" si="13">AG16</f>
        <v>0</v>
      </c>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IF($C16="S",IF(OR(Import.TipoArredondamento&lt;&gt;"TransfereGOV",ACOMPANHAMENTO="BM"),VTOTAL1,SUM(OFFSET(CÁLCULO!$AQ$15,ROW($X16)-ROW($X$15),1):OFFSET(CÁLCULO!$BR$15,ROW($X16)-ROW($X$15),-1))),IF($C16=0,0,ROUND(SomaAgrup,15-13*$AF$11)))</f>
        <v>0</v>
      </c>
      <c r="Y16" s="126" t="s">
        <v>751</v>
      </c>
      <c r="Z16" t="str">
        <f t="shared" ref="Z16:Z84" ca="1" si="14">IF(AND($C16="S",$X16&gt;0),IF(ISBLANK($Y16),"RA",LEFT($Y16,2)),"")</f>
        <v/>
      </c>
      <c r="AA16" s="127" cm="1">
        <f t="array" aca="1" ref="AA16" ca="1">IF($C16="S",IF($Z16="CP",$X16,IF($Z16="RA",(($X16)*QCI!$AA$3),0)),SomaAgrup)</f>
        <v>0</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84" ca="1" si="15">ROUND(IF(ISNUMBER(ORÇAMENTO.OpcaoBDI),ORÇAMENTO.OpcaoBDI,IF(LEFT(ORÇAMENTO.OpcaoBDI,3)="BDI",HLOOKUP(ORÇAMENTO.OpcaoBDI,$F$4:$H$5,2,FALSE),0)),15-11*$AF$9)</f>
        <v>0.2223</v>
      </c>
      <c r="AJ16" s="431"/>
      <c r="AL16" s="439"/>
      <c r="AM16" s="336">
        <f t="shared" ca="1" si="0"/>
        <v>0</v>
      </c>
      <c r="AN16" s="470" cm="1">
        <f t="array" aca="1" ref="AN16" ca="1">ROUND(ORÇAMENTO.CustoUnitario*(1+$AH16),2)</f>
        <v>0</v>
      </c>
    </row>
    <row r="17" spans="1:40" x14ac:dyDescent="0.2">
      <c r="A17">
        <f t="shared" si="1"/>
        <v>2</v>
      </c>
      <c r="B17">
        <f t="shared" ca="1" si="2"/>
        <v>2</v>
      </c>
      <c r="C17">
        <f t="shared" ca="1" si="3"/>
        <v>2</v>
      </c>
      <c r="D17">
        <f t="shared" ca="1" si="4"/>
        <v>2</v>
      </c>
      <c r="E17">
        <f ca="1">IF($C17=1,OFFSET(E17,-1,0)+MAX(1,COUNTIF(QCI!$A$13:$A$24,OFFSET(ORÇAMENTO!E17,-1,0))),OFFSET(E17,-1,0))</f>
        <v>1</v>
      </c>
      <c r="F17">
        <f t="shared" ca="1" si="5"/>
        <v>1</v>
      </c>
      <c r="G17">
        <f t="shared" ca="1" si="6"/>
        <v>0</v>
      </c>
      <c r="H17">
        <f t="shared" ca="1" si="7"/>
        <v>0</v>
      </c>
      <c r="I17">
        <f t="shared" ca="1" si="8"/>
        <v>0</v>
      </c>
      <c r="J17">
        <f t="shared" ca="1" si="9"/>
        <v>5</v>
      </c>
      <c r="K17">
        <f ca="1">IF(OR($C17="S",$C17=0),0,MATCH(OFFSET($D17,0,$C17)+IF($C17&lt;&gt;1,1,COUNTIF(QCI!$A$13:$A$24,ORÇAMENTO!E17)),OFFSET($D17,1,$C17,ROW($C$244)-ROW($C17)),0))</f>
        <v>2</v>
      </c>
      <c r="L17" s="114" t="str">
        <f t="shared" ca="1" si="10"/>
        <v>F</v>
      </c>
      <c r="M17" s="115" t="s">
        <v>702</v>
      </c>
      <c r="N17" s="116" t="str">
        <f t="shared" ca="1" si="11"/>
        <v>Nível 2</v>
      </c>
      <c r="O17" s="117" t="str">
        <f t="shared" ca="1" si="12"/>
        <v>1.1.</v>
      </c>
      <c r="P17" s="118" t="s">
        <v>250</v>
      </c>
      <c r="Q17" s="119" t="s">
        <v>250</v>
      </c>
      <c r="R17" s="120" t="s">
        <v>1238</v>
      </c>
      <c r="S17" s="121"/>
      <c r="T17" s="122">
        <f ca="1">OFFSET(CÁLCULO!H$15,ROW($T17)-ROW(T$15),0)</f>
        <v>0</v>
      </c>
      <c r="U17" s="123">
        <f t="shared" ca="1" si="13"/>
        <v>0</v>
      </c>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IF($C17="S",IF(OR(Import.TipoArredondamento&lt;&gt;"TransfereGOV",ACOMPANHAMENTO="BM"),VTOTAL1,SUM(OFFSET(CÁLCULO!$AQ$15,ROW($X17)-ROW($X$15),1):OFFSET(CÁLCULO!$BR$15,ROW($X17)-ROW($X$15),-1))),IF($C17=0,0,ROUND(SomaAgrup,15-13*$AF$11)))</f>
        <v>0</v>
      </c>
      <c r="Y17" s="126" t="s">
        <v>751</v>
      </c>
      <c r="Z17" t="str">
        <f t="shared" ca="1" si="14"/>
        <v/>
      </c>
      <c r="AA17" s="127" cm="1">
        <f t="array" aca="1" ref="AA17" ca="1">IF($C17="S",IF($Z17="CP",$X17,IF($Z17="RA",(($X17)*QCI!$AA$3),0)),SomaAgrup)</f>
        <v>0</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5"/>
        <v>0.2223</v>
      </c>
      <c r="AJ17" s="431"/>
      <c r="AL17" s="439"/>
      <c r="AM17" s="336">
        <f t="shared" ca="1" si="0"/>
        <v>0</v>
      </c>
      <c r="AN17" s="470" cm="1">
        <f t="array" aca="1" ref="AN17" ca="1">ROUND(ORÇAMENTO.CustoUnitario*(1+$AH17),2)</f>
        <v>0</v>
      </c>
    </row>
    <row r="18" spans="1:40" ht="38.25"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0</v>
      </c>
      <c r="J18">
        <f t="shared" ca="1" si="9"/>
        <v>0</v>
      </c>
      <c r="K18">
        <f ca="1">IF(OR($C18="S",$C18=0),0,MATCH(OFFSET($D18,0,$C18)+IF($C18&lt;&gt;1,1,COUNTIF(QCI!$A$13:$A$24,ORÇAMENTO!E18)),OFFSET($D18,1,$C18,ROW($C$244)-ROW($C18)),0))</f>
        <v>0</v>
      </c>
      <c r="L18" s="114" t="str">
        <f t="shared" ca="1" si="10"/>
        <v/>
      </c>
      <c r="M18" s="115" t="s">
        <v>705</v>
      </c>
      <c r="N18" s="116" t="str">
        <f t="shared" ca="1" si="11"/>
        <v>Serviço</v>
      </c>
      <c r="O18" s="117" t="str">
        <f t="shared" ca="1" si="12"/>
        <v>-</v>
      </c>
      <c r="P18" s="118" t="s">
        <v>750</v>
      </c>
      <c r="Q18" s="119" t="s">
        <v>1239</v>
      </c>
      <c r="R18" s="120" t="str" cm="1">
        <f t="array" aca="1" ref="R18" ca="1">IF($C18="S",REFERENCIA.Descricao,"(digite a descrição aqui)")</f>
        <v>(Código não identificado nas referências)</v>
      </c>
      <c r="S18" s="121" t="str" cm="1">
        <f t="array" aca="1" ref="S18" ca="1">REFERENCIA.Unidade</f>
        <v>-</v>
      </c>
      <c r="T18" s="122">
        <f ca="1">OFFSET(CÁLCULO!H$15,ROW($T18)-ROW(T$15),0)</f>
        <v>685.99999999999989</v>
      </c>
      <c r="U18" s="123">
        <f t="shared" ca="1" si="13"/>
        <v>0</v>
      </c>
      <c r="V18" s="124" t="s">
        <v>663</v>
      </c>
      <c r="W18" s="122" cm="1">
        <f t="array" aca="1" ref="W18" ca="1">IF($C18="S",ROUND(IF(TIPOORCAMENTO="Proposto",ORÇAMENTO.CustoUnitario*(1+$AH18),ORÇAMENTO.PrecoUnitarioLicitado),15-13*$AF$10),0)</f>
        <v>0</v>
      </c>
      <c r="X18" s="125" cm="1">
        <f t="array" aca="1" ref="X18" ca="1">IF($C18="S",IF(OR(Import.TipoArredondamento&lt;&gt;"TransfereGOV",ACOMPANHAMENTO="BM"),VTOTAL1,SUM(OFFSET(CÁLCULO!$AQ$15,ROW($X18)-ROW($X$15),1):OFFSET(CÁLCULO!$BR$15,ROW($X18)-ROW($X$15),-1))),IF($C18=0,0,ROUND(SomaAgrup,15-13*$AF$11)))</f>
        <v>0</v>
      </c>
      <c r="Y18" s="126" t="s">
        <v>751</v>
      </c>
      <c r="Z18" t="str">
        <f t="shared" ca="1" si="14"/>
        <v/>
      </c>
      <c r="AA18" s="127" cm="1">
        <f t="array" aca="1" ref="AA18" ca="1">IF($C18="S",IF($Z18="CP",$X18,IF($Z18="RA",(($X18)*QCI!$AA$3),0)),SomaAgrup)</f>
        <v>0</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CÓDIGO N/ID</v>
      </c>
      <c r="AD18" t="str">
        <f ca="1">IF(C18&lt;=CRONO.NivelExibicao,MAX($AD$15:OFFSET(AD18,-1,0))+IF($C18&lt;&gt;1,1,MAX(1,COUNTIF(QCI!$A$13:$A$24,OFFSET($E18,-1,0)))),"")</f>
        <v/>
      </c>
      <c r="AE18" s="7" t="str" cm="1">
        <f t="array" aca="1" ref="AE18" ca="1">IF(AND($C18="S",ORÇAMENTO.CodBarra&lt;&gt;""),IF(ORÇAMENTO.Fonte="",ORÇAMENTO.CodBarra,CONCATENATE(ORÇAMENTO.Fonte," ",ORÇAMENTO.CodBarra)))</f>
        <v>SINAPI 105009</v>
      </c>
      <c r="AF18" s="12" t="str"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(Código não identificado nas referências)</v>
      </c>
      <c r="AG18" s="428" cm="1">
        <f t="array" aca="1" ref="AG18" ca="1">ROUND(IF(DESONERACAO="sim",REFERENCIA.Desonerado,REFERENCIA.NaoDesonerado),2)</f>
        <v>0</v>
      </c>
      <c r="AH18" s="429">
        <f t="shared" ca="1" si="15"/>
        <v>0.2223</v>
      </c>
      <c r="AJ18" s="431"/>
      <c r="AL18" s="439"/>
      <c r="AM18" s="336">
        <f t="shared" ca="1" si="0"/>
        <v>0</v>
      </c>
      <c r="AN18" s="470" cm="1">
        <f t="array" aca="1" ref="AN18" ca="1">ROUND(ORÇAMENTO.CustoUnitario*(1+$AH18),2)</f>
        <v>0</v>
      </c>
    </row>
    <row r="19" spans="1:40" x14ac:dyDescent="0.2">
      <c r="A19">
        <f t="shared" si="1"/>
        <v>2</v>
      </c>
      <c r="B19">
        <f t="shared" ca="1" si="2"/>
        <v>2</v>
      </c>
      <c r="C19">
        <f t="shared" ca="1" si="3"/>
        <v>2</v>
      </c>
      <c r="D19">
        <f t="shared" ca="1" si="4"/>
        <v>3</v>
      </c>
      <c r="E19">
        <f ca="1">IF($C19=1,OFFSET(E19,-1,0)+MAX(1,COUNTIF(QCI!$A$13:$A$24,OFFSET(ORÇAMENTO!E19,-1,0))),OFFSET(E19,-1,0))</f>
        <v>1</v>
      </c>
      <c r="F19">
        <f t="shared" ca="1" si="5"/>
        <v>2</v>
      </c>
      <c r="G19">
        <f t="shared" ca="1" si="6"/>
        <v>0</v>
      </c>
      <c r="H19">
        <f t="shared" ca="1" si="7"/>
        <v>0</v>
      </c>
      <c r="I19">
        <f t="shared" ca="1" si="8"/>
        <v>0</v>
      </c>
      <c r="J19">
        <f t="shared" ca="1" si="9"/>
        <v>3</v>
      </c>
      <c r="K19">
        <f ca="1">IF(OR($C19="S",$C19=0),0,MATCH(OFFSET($D19,0,$C19)+IF($C19&lt;&gt;1,1,COUNTIF(QCI!$A$13:$A$24,ORÇAMENTO!E19)),OFFSET($D19,1,$C19,ROW($C$244)-ROW($C19)),0))</f>
        <v>26</v>
      </c>
      <c r="L19" s="114" t="str">
        <f t="shared" ca="1" si="10"/>
        <v>F</v>
      </c>
      <c r="M19" s="115" t="s">
        <v>702</v>
      </c>
      <c r="N19" s="116" t="str">
        <f t="shared" ca="1" si="11"/>
        <v>Nível 2</v>
      </c>
      <c r="O19" s="117" t="str">
        <f t="shared" ca="1" si="12"/>
        <v>1.2.</v>
      </c>
      <c r="P19" s="118" t="s">
        <v>750</v>
      </c>
      <c r="Q19" s="119"/>
      <c r="R19" s="120" t="s">
        <v>1240</v>
      </c>
      <c r="S19" s="121" t="str" cm="1">
        <f t="array" aca="1" ref="S19" ca="1">REFERENCIA.Unidade</f>
        <v>-</v>
      </c>
      <c r="T19" s="122">
        <f ca="1">OFFSET(CÁLCULO!H$15,ROW($T19)-ROW(T$15),0)</f>
        <v>0</v>
      </c>
      <c r="U19" s="123"/>
      <c r="V19" s="124" t="s">
        <v>663</v>
      </c>
      <c r="W19" s="122" cm="1">
        <f t="array" aca="1" ref="W19" ca="1">IF($C19="S",ROUND(IF(TIPOORCAMENTO="Proposto",ORÇAMENTO.CustoUnitario*(1+$AH19),ORÇAMENTO.PrecoUnitarioLicitado),15-13*$AF$10),0)</f>
        <v>0</v>
      </c>
      <c r="X19" s="125" cm="1">
        <f t="array" aca="1" ref="X19" ca="1">IF($C19="S",IF(OR(Import.TipoArredondamento&lt;&gt;"TransfereGOV",ACOMPANHAMENTO="BM"),VTOTAL1,SUM(OFFSET(CÁLCULO!$AQ$15,ROW($X19)-ROW($X$15),1):OFFSET(CÁLCULO!$BR$15,ROW($X19)-ROW($X$15),-1))),IF($C19=0,0,ROUND(SomaAgrup,15-13*$AF$11)))</f>
        <v>0</v>
      </c>
      <c r="Y19" s="126" t="s">
        <v>751</v>
      </c>
      <c r="Z19" t="str">
        <f t="shared" ca="1" si="14"/>
        <v/>
      </c>
      <c r="AA19" s="127" cm="1">
        <f t="array" aca="1" ref="AA19" ca="1">IF($C19="S",IF($Z19="CP",$X19,IF($Z19="RA",(($X19)*QCI!$AA$3),0)),SomaAgrup)</f>
        <v>0</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f ca="1">IF(C19&lt;=CRONO.NivelExibicao,MAX($AD$15:OFFSET(AD19,-1,0))+IF($C19&lt;&gt;1,1,MAX(1,COUNTIF(QCI!$A$13:$A$24,OFFSET($E19,-1,0)))),"")</f>
        <v>3</v>
      </c>
      <c r="AE19" s="7" t="b" cm="1">
        <f t="array" aca="1" ref="AE19" ca="1">IF(AND($C19="S",ORÇAMENTO.CodBarra&lt;&gt;""),IF(ORÇAMENTO.Fonte="",ORÇAMENTO.CodBarra,CONCATENATE(ORÇAMENTO.Fonte," ",ORÇAMENTO.CodBarra)))</f>
        <v>0</v>
      </c>
      <c r="AF19" s="12"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(Sem Código)</v>
      </c>
      <c r="AG19" s="428" cm="1">
        <f t="array" aca="1" ref="AG19" ca="1">ROUND(IF(DESONERACAO="sim",REFERENCIA.Desonerado,REFERENCIA.NaoDesonerado),2)</f>
        <v>0</v>
      </c>
      <c r="AH19" s="429">
        <f t="shared" ca="1" si="15"/>
        <v>0.2223</v>
      </c>
      <c r="AJ19" s="431"/>
      <c r="AL19" s="439"/>
      <c r="AM19" s="336">
        <f t="shared" ca="1" si="0"/>
        <v>0</v>
      </c>
      <c r="AN19" s="470" cm="1">
        <f t="array" aca="1" ref="AN19" ca="1">ROUND(ORÇAMENTO.CustoUnitario*(1+$AH19),2)</f>
        <v>0</v>
      </c>
    </row>
    <row r="20" spans="1:40" ht="25.5" x14ac:dyDescent="0.2">
      <c r="A20" t="str">
        <f t="shared" si="1"/>
        <v>S</v>
      </c>
      <c r="B20">
        <f t="shared" ca="1" si="2"/>
        <v>2</v>
      </c>
      <c r="C20" t="str">
        <f t="shared" ca="1" si="3"/>
        <v>S</v>
      </c>
      <c r="D20">
        <f t="shared" ca="1" si="4"/>
        <v>0</v>
      </c>
      <c r="E20">
        <f ca="1">IF($C20=1,OFFSET(E20,-1,0)+MAX(1,COUNTIF(QCI!$A$13:$A$24,OFFSET(ORÇAMENTO!E20,-1,0))),OFFSET(E20,-1,0))</f>
        <v>1</v>
      </c>
      <c r="F20">
        <f t="shared" ca="1" si="5"/>
        <v>2</v>
      </c>
      <c r="G20">
        <f t="shared" ca="1" si="6"/>
        <v>0</v>
      </c>
      <c r="H20">
        <f t="shared" ca="1" si="7"/>
        <v>0</v>
      </c>
      <c r="I20">
        <f t="shared" ca="1" si="8"/>
        <v>0</v>
      </c>
      <c r="J20">
        <f t="shared" ca="1" si="9"/>
        <v>0</v>
      </c>
      <c r="K20">
        <f ca="1">IF(OR($C20="S",$C20=0),0,MATCH(OFFSET($D20,0,$C20)+IF($C20&lt;&gt;1,1,COUNTIF(QCI!$A$13:$A$24,ORÇAMENTO!E20)),OFFSET($D20,1,$C20,ROW($C$244)-ROW($C20)),0))</f>
        <v>0</v>
      </c>
      <c r="L20" s="114" t="str">
        <f t="shared" ca="1" si="10"/>
        <v/>
      </c>
      <c r="M20" s="115" t="s">
        <v>705</v>
      </c>
      <c r="N20" s="116" t="str">
        <f t="shared" ca="1" si="11"/>
        <v>Serviço</v>
      </c>
      <c r="O20" s="117" t="str">
        <f t="shared" ca="1" si="12"/>
        <v>-</v>
      </c>
      <c r="P20" s="118" t="s">
        <v>750</v>
      </c>
      <c r="Q20" s="119" t="s">
        <v>1241</v>
      </c>
      <c r="R20" s="120" t="str" cm="1">
        <f t="array" aca="1" ref="R20" ca="1">IF($C20="S",REFERENCIA.Descricao,"(digite a descrição aqui)")</f>
        <v>(Código não identificado nas referências)</v>
      </c>
      <c r="S20" s="121" t="str" cm="1">
        <f t="array" aca="1" ref="S20" ca="1">REFERENCIA.Unidade</f>
        <v>-</v>
      </c>
      <c r="T20" s="122">
        <f ca="1">OFFSET(CÁLCULO!H$15,ROW($T20)-ROW(T$15),0)</f>
        <v>8</v>
      </c>
      <c r="U20" s="123">
        <f t="shared" ca="1" si="13"/>
        <v>0</v>
      </c>
      <c r="V20" s="124" t="s">
        <v>663</v>
      </c>
      <c r="W20" s="122" cm="1">
        <f t="array" aca="1" ref="W20" ca="1">IF($C20="S",ROUND(IF(TIPOORCAMENTO="Proposto",ORÇAMENTO.CustoUnitario*(1+$AH20),ORÇAMENTO.PrecoUnitarioLicitado),15-13*$AF$10),0)</f>
        <v>0</v>
      </c>
      <c r="X20" s="125" cm="1">
        <f t="array" aca="1" ref="X20" ca="1">IF($C20="S",IF(OR(Import.TipoArredondamento&lt;&gt;"TransfereGOV",ACOMPANHAMENTO="BM"),VTOTAL1,SUM(OFFSET(CÁLCULO!$AQ$15,ROW($X20)-ROW($X$15),1):OFFSET(CÁLCULO!$BR$15,ROW($X20)-ROW($X$15),-1))),IF($C20=0,0,ROUND(SomaAgrup,15-13*$AF$11)))</f>
        <v>0</v>
      </c>
      <c r="Y20" s="126" t="s">
        <v>751</v>
      </c>
      <c r="Z20" t="str">
        <f t="shared" ca="1" si="14"/>
        <v/>
      </c>
      <c r="AA20" s="127" cm="1">
        <f t="array" aca="1" ref="AA20" ca="1">IF($C20="S",IF($Z20="CP",$X20,IF($Z20="RA",(($X20)*QCI!$AA$3),0)),SomaAgrup)</f>
        <v>0</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CÓDIGO N/ID</v>
      </c>
      <c r="AD20" t="str">
        <f ca="1">IF(C20&lt;=CRONO.NivelExibicao,MAX($AD$15:OFFSET(AD20,-1,0))+IF($C20&lt;&gt;1,1,MAX(1,COUNTIF(QCI!$A$13:$A$24,OFFSET($E20,-1,0)))),"")</f>
        <v/>
      </c>
      <c r="AE20" s="7" t="str" cm="1">
        <f t="array" aca="1" ref="AE20" ca="1">IF(AND($C20="S",ORÇAMENTO.CodBarra&lt;&gt;""),IF(ORÇAMENTO.Fonte="",ORÇAMENTO.CodBarra,CONCATENATE(ORÇAMENTO.Fonte," ",ORÇAMENTO.CodBarra)))</f>
        <v>SINAPI 103689</v>
      </c>
      <c r="AF20" s="12" t="str"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(Código não identificado nas referências)</v>
      </c>
      <c r="AG20" s="428" cm="1">
        <f t="array" aca="1" ref="AG20" ca="1">ROUND(IF(DESONERACAO="sim",REFERENCIA.Desonerado,REFERENCIA.NaoDesonerado),2)</f>
        <v>0</v>
      </c>
      <c r="AH20" s="429">
        <f t="shared" ca="1" si="15"/>
        <v>0.2223</v>
      </c>
      <c r="AJ20" s="431"/>
      <c r="AL20" s="439"/>
      <c r="AM20" s="336">
        <f t="shared" ca="1" si="0"/>
        <v>0</v>
      </c>
      <c r="AN20" s="470" cm="1">
        <f t="array" aca="1" ref="AN20" ca="1">ROUND(ORÇAMENTO.CustoUnitario*(1+$AH20),2)</f>
        <v>0</v>
      </c>
    </row>
    <row r="21" spans="1:40" ht="25.5" x14ac:dyDescent="0.2">
      <c r="A21" t="str">
        <f t="shared" si="1"/>
        <v>S</v>
      </c>
      <c r="B21">
        <f t="shared" ca="1" si="2"/>
        <v>2</v>
      </c>
      <c r="C21" t="str">
        <f t="shared" ca="1" si="3"/>
        <v>S</v>
      </c>
      <c r="D21">
        <f t="shared" ca="1" si="4"/>
        <v>0</v>
      </c>
      <c r="E21">
        <f ca="1">IF($C21=1,OFFSET(E21,-1,0)+MAX(1,COUNTIF(QCI!$A$13:$A$24,OFFSET(ORÇAMENTO!E21,-1,0))),OFFSET(E21,-1,0))</f>
        <v>1</v>
      </c>
      <c r="F21">
        <f t="shared" ca="1" si="5"/>
        <v>2</v>
      </c>
      <c r="G21">
        <f t="shared" ca="1" si="6"/>
        <v>0</v>
      </c>
      <c r="H21">
        <f t="shared" ca="1" si="7"/>
        <v>0</v>
      </c>
      <c r="I21">
        <f t="shared" ca="1" si="8"/>
        <v>0</v>
      </c>
      <c r="J21">
        <f t="shared" ca="1" si="9"/>
        <v>0</v>
      </c>
      <c r="K21">
        <f ca="1">IF(OR($C21="S",$C21=0),0,MATCH(OFFSET($D21,0,$C21)+IF($C21&lt;&gt;1,1,COUNTIF(QCI!$A$13:$A$24,ORÇAMENTO!E21)),OFFSET($D21,1,$C21,ROW($C$244)-ROW($C21)),0))</f>
        <v>0</v>
      </c>
      <c r="L21" s="114" t="str">
        <f t="shared" ca="1" si="10"/>
        <v/>
      </c>
      <c r="M21" s="115" t="s">
        <v>705</v>
      </c>
      <c r="N21" s="116" t="str">
        <f t="shared" ca="1" si="11"/>
        <v>Serviço</v>
      </c>
      <c r="O21" s="117" t="str">
        <f t="shared" ca="1" si="12"/>
        <v>-</v>
      </c>
      <c r="P21" s="118" t="s">
        <v>750</v>
      </c>
      <c r="Q21" s="119" t="s">
        <v>1242</v>
      </c>
      <c r="R21" s="120" t="str" cm="1">
        <f t="array" aca="1" ref="R21" ca="1">IF($C21="S",REFERENCIA.Descricao,"(digite a descrição aqui)")</f>
        <v>(Código não identificado nas referências)</v>
      </c>
      <c r="S21" s="121" t="str" cm="1">
        <f t="array" aca="1" ref="S21" ca="1">REFERENCIA.Unidade</f>
        <v>-</v>
      </c>
      <c r="T21" s="122">
        <f ca="1">OFFSET(CÁLCULO!H$15,ROW($T21)-ROW(T$15),0)</f>
        <v>1400.3999999999999</v>
      </c>
      <c r="U21" s="123">
        <f t="shared" ca="1" si="13"/>
        <v>0</v>
      </c>
      <c r="V21" s="124" t="s">
        <v>663</v>
      </c>
      <c r="W21" s="122" cm="1">
        <f t="array" aca="1" ref="W21" ca="1">IF($C21="S",ROUND(IF(TIPOORCAMENTO="Proposto",ORÇAMENTO.CustoUnitario*(1+$AH21),ORÇAMENTO.PrecoUnitarioLicitado),15-13*$AF$10),0)</f>
        <v>0</v>
      </c>
      <c r="X21" s="125" cm="1">
        <f t="array" aca="1" ref="X21" ca="1">IF($C21="S",IF(OR(Import.TipoArredondamento&lt;&gt;"TransfereGOV",ACOMPANHAMENTO="BM"),VTOTAL1,SUM(OFFSET(CÁLCULO!$AQ$15,ROW($X21)-ROW($X$15),1):OFFSET(CÁLCULO!$BR$15,ROW($X21)-ROW($X$15),-1))),IF($C21=0,0,ROUND(SomaAgrup,15-13*$AF$11)))</f>
        <v>0</v>
      </c>
      <c r="Y21" s="126" t="s">
        <v>751</v>
      </c>
      <c r="Z21" t="str">
        <f t="shared" ca="1" si="14"/>
        <v/>
      </c>
      <c r="AA21" s="127" cm="1">
        <f t="array" aca="1" ref="AA21" ca="1">IF($C21="S",IF($Z21="CP",$X21,IF($Z21="RA",(($X21)*QCI!$AA$3),0)),SomaAgrup)</f>
        <v>0</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CÓDIGO N/ID</v>
      </c>
      <c r="AD21" t="str">
        <f ca="1">IF(C21&lt;=CRONO.NivelExibicao,MAX($AD$15:OFFSET(AD21,-1,0))+IF($C21&lt;&gt;1,1,MAX(1,COUNTIF(QCI!$A$13:$A$24,OFFSET($E21,-1,0)))),"")</f>
        <v/>
      </c>
      <c r="AE21" s="7" t="str" cm="1">
        <f t="array" aca="1" ref="AE21" ca="1">IF(AND($C21="S",ORÇAMENTO.CodBarra&lt;&gt;""),IF(ORÇAMENTO.Fonte="",ORÇAMENTO.CodBarra,CONCATENATE(ORÇAMENTO.Fonte," ",ORÇAMENTO.CodBarra)))</f>
        <v>SINAPI 100575</v>
      </c>
      <c r="AF21" s="12" t="str"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(Código não identificado nas referências)</v>
      </c>
      <c r="AG21" s="428" cm="1">
        <f t="array" aca="1" ref="AG21" ca="1">ROUND(IF(DESONERACAO="sim",REFERENCIA.Desonerado,REFERENCIA.NaoDesonerado),2)</f>
        <v>0</v>
      </c>
      <c r="AH21" s="429">
        <f t="shared" ca="1" si="15"/>
        <v>0.2223</v>
      </c>
      <c r="AJ21" s="431"/>
      <c r="AL21" s="439"/>
      <c r="AM21" s="336">
        <f t="shared" ca="1" si="0"/>
        <v>0</v>
      </c>
      <c r="AN21" s="470" cm="1">
        <f t="array" aca="1" ref="AN21" ca="1">ROUND(ORÇAMENTO.CustoUnitario*(1+$AH21),2)</f>
        <v>0</v>
      </c>
    </row>
    <row r="22" spans="1:40" x14ac:dyDescent="0.2">
      <c r="A22">
        <f t="shared" si="1"/>
        <v>1</v>
      </c>
      <c r="B22">
        <f t="shared" ca="1" si="2"/>
        <v>1</v>
      </c>
      <c r="C22">
        <f t="shared" ca="1" si="3"/>
        <v>1</v>
      </c>
      <c r="D22">
        <f t="shared" ca="1" si="4"/>
        <v>3</v>
      </c>
      <c r="E22">
        <f ca="1">IF($C22=1,OFFSET(E22,-1,0)+MAX(1,COUNTIF(QCI!$A$13:$A$24,OFFSET(ORÇAMENTO!E22,-1,0))),OFFSET(E22,-1,0))</f>
        <v>2</v>
      </c>
      <c r="F22">
        <f t="shared" ca="1" si="5"/>
        <v>0</v>
      </c>
      <c r="G22">
        <f t="shared" ca="1" si="6"/>
        <v>0</v>
      </c>
      <c r="H22">
        <f t="shared" ca="1" si="7"/>
        <v>0</v>
      </c>
      <c r="I22">
        <f t="shared" ca="1" si="8"/>
        <v>0</v>
      </c>
      <c r="J22">
        <f t="shared" ca="1" si="9"/>
        <v>222</v>
      </c>
      <c r="K22">
        <f ca="1">IF(OR($C22="S",$C22=0),0,MATCH(OFFSET($D22,0,$C22)+IF($C22&lt;&gt;1,1,COUNTIF(QCI!$A$13:$A$24,ORÇAMENTO!E22)),OFFSET($D22,1,$C22,ROW($C$244)-ROW($C22)),0))</f>
        <v>3</v>
      </c>
      <c r="L22" s="114" t="str">
        <f t="shared" ca="1" si="10"/>
        <v>F</v>
      </c>
      <c r="M22" s="115" t="s">
        <v>701</v>
      </c>
      <c r="N22" s="116" t="str">
        <f t="shared" ca="1" si="11"/>
        <v>Meta</v>
      </c>
      <c r="O22" s="117" t="str">
        <f t="shared" ca="1" si="12"/>
        <v>2.</v>
      </c>
      <c r="P22" s="118" t="s">
        <v>750</v>
      </c>
      <c r="Q22" s="119"/>
      <c r="R22" s="120" t="s">
        <v>1243</v>
      </c>
      <c r="S22" s="121" t="str" cm="1">
        <f t="array" aca="1" ref="S22" ca="1">REFERENCIA.Unidade</f>
        <v>-</v>
      </c>
      <c r="T22" s="122">
        <f ca="1">OFFSET(CÁLCULO!H$15,ROW($T22)-ROW(T$15),0)</f>
        <v>0</v>
      </c>
      <c r="U22" s="123"/>
      <c r="V22" s="124" t="s">
        <v>663</v>
      </c>
      <c r="W22" s="122" cm="1">
        <f t="array" aca="1" ref="W22" ca="1">IF($C22="S",ROUND(IF(TIPOORCAMENTO="Proposto",ORÇAMENTO.CustoUnitario*(1+$AH22),ORÇAMENTO.PrecoUnitarioLicitado),15-13*$AF$10),0)</f>
        <v>0</v>
      </c>
      <c r="X22" s="125" cm="1">
        <f t="array" aca="1" ref="X22" ca="1">IF($C22="S",IF(OR(Import.TipoArredondamento&lt;&gt;"TransfereGOV",ACOMPANHAMENTO="BM"),VTOTAL1,SUM(OFFSET(CÁLCULO!$AQ$15,ROW($X22)-ROW($X$15),1):OFFSET(CÁLCULO!$BR$15,ROW($X22)-ROW($X$15),-1))),IF($C22=0,0,ROUND(SomaAgrup,15-13*$AF$11)))</f>
        <v>0</v>
      </c>
      <c r="Y22" s="126" t="s">
        <v>751</v>
      </c>
      <c r="Z22" t="str">
        <f t="shared" ca="1" si="14"/>
        <v/>
      </c>
      <c r="AA22" s="127" cm="1">
        <f t="array" aca="1" ref="AA22" ca="1">IF($C22="S",IF($Z22="CP",$X22,IF($Z22="RA",(($X22)*QCI!$AA$3),0)),SomaAgrup)</f>
        <v>0</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f ca="1">IF(C22&lt;=CRONO.NivelExibicao,MAX($AD$15:OFFSET(AD22,-1,0))+IF($C22&lt;&gt;1,1,MAX(1,COUNTIF(QCI!$A$13:$A$24,OFFSET($E22,-1,0)))),"")</f>
        <v>4</v>
      </c>
      <c r="AE22" s="7" t="b" cm="1">
        <f t="array" aca="1" ref="AE22" ca="1">IF(AND($C22="S",ORÇAMENTO.CodBarra&lt;&gt;""),IF(ORÇAMENTO.Fonte="",ORÇAMENTO.CodBarra,CONCATENATE(ORÇAMENTO.Fonte," ",ORÇAMENTO.CodBarra)))</f>
        <v>0</v>
      </c>
      <c r="AF22" s="12"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(Sem Código)</v>
      </c>
      <c r="AG22" s="428" cm="1">
        <f t="array" aca="1" ref="AG22" ca="1">ROUND(IF(DESONERACAO="sim",REFERENCIA.Desonerado,REFERENCIA.NaoDesonerado),2)</f>
        <v>0</v>
      </c>
      <c r="AH22" s="429">
        <f t="shared" ca="1" si="15"/>
        <v>0.2223</v>
      </c>
      <c r="AJ22" s="431"/>
      <c r="AL22" s="439"/>
      <c r="AM22" s="336">
        <f t="shared" ca="1" si="0"/>
        <v>0</v>
      </c>
      <c r="AN22" s="470" cm="1">
        <f t="array" aca="1" ref="AN22" ca="1">ROUND(ORÇAMENTO.CustoUnitario*(1+$AH22),2)</f>
        <v>0</v>
      </c>
    </row>
    <row r="23" spans="1:40" x14ac:dyDescent="0.2">
      <c r="A23">
        <f t="shared" si="1"/>
        <v>2</v>
      </c>
      <c r="B23">
        <f t="shared" ca="1" si="2"/>
        <v>2</v>
      </c>
      <c r="C23">
        <f t="shared" ca="1" si="3"/>
        <v>2</v>
      </c>
      <c r="D23">
        <f t="shared" ca="1" si="4"/>
        <v>2</v>
      </c>
      <c r="E23">
        <f ca="1">IF($C23=1,OFFSET(E23,-1,0)+MAX(1,COUNTIF(QCI!$A$13:$A$24,OFFSET(ORÇAMENTO!E23,-1,0))),OFFSET(E23,-1,0))</f>
        <v>2</v>
      </c>
      <c r="F23">
        <f t="shared" ca="1" si="5"/>
        <v>1</v>
      </c>
      <c r="G23">
        <f t="shared" ca="1" si="6"/>
        <v>0</v>
      </c>
      <c r="H23">
        <f t="shared" ca="1" si="7"/>
        <v>0</v>
      </c>
      <c r="I23">
        <f t="shared" ca="1" si="8"/>
        <v>0</v>
      </c>
      <c r="J23">
        <f t="shared" ca="1" si="9"/>
        <v>2</v>
      </c>
      <c r="K23">
        <f ca="1">IF(OR($C23="S",$C23=0),0,MATCH(OFFSET($D23,0,$C23)+IF($C23&lt;&gt;1,1,COUNTIF(QCI!$A$13:$A$24,ORÇAMENTO!E23)),OFFSET($D23,1,$C23,ROW($C$244)-ROW($C23)),0))</f>
        <v>13</v>
      </c>
      <c r="L23" s="114" t="str">
        <f t="shared" ca="1" si="10"/>
        <v>F</v>
      </c>
      <c r="M23" s="115" t="s">
        <v>702</v>
      </c>
      <c r="N23" s="116" t="str">
        <f t="shared" ca="1" si="11"/>
        <v>Nível 2</v>
      </c>
      <c r="O23" s="117" t="str">
        <f t="shared" ca="1" si="12"/>
        <v>2.1.</v>
      </c>
      <c r="P23" s="118" t="s">
        <v>750</v>
      </c>
      <c r="Q23" s="119"/>
      <c r="R23" s="120" t="s">
        <v>1243</v>
      </c>
      <c r="S23" s="121" t="str" cm="1">
        <f t="array" aca="1" ref="S23" ca="1">REFERENCIA.Unidade</f>
        <v>-</v>
      </c>
      <c r="T23" s="122">
        <f ca="1">OFFSET(CÁLCULO!H$15,ROW($T23)-ROW(T$15),0)</f>
        <v>0</v>
      </c>
      <c r="U23" s="123"/>
      <c r="V23" s="124" t="s">
        <v>663</v>
      </c>
      <c r="W23" s="122" cm="1">
        <f t="array" aca="1" ref="W23" ca="1">IF($C23="S",ROUND(IF(TIPOORCAMENTO="Proposto",ORÇAMENTO.CustoUnitario*(1+$AH23),ORÇAMENTO.PrecoUnitarioLicitado),15-13*$AF$10),0)</f>
        <v>0</v>
      </c>
      <c r="X23" s="125" cm="1">
        <f t="array" aca="1" ref="X23" ca="1">IF($C23="S",IF(OR(Import.TipoArredondamento&lt;&gt;"TransfereGOV",ACOMPANHAMENTO="BM"),VTOTAL1,SUM(OFFSET(CÁLCULO!$AQ$15,ROW($X23)-ROW($X$15),1):OFFSET(CÁLCULO!$BR$15,ROW($X23)-ROW($X$15),-1))),IF($C23=0,0,ROUND(SomaAgrup,15-13*$AF$11)))</f>
        <v>0</v>
      </c>
      <c r="Y23" s="126" t="s">
        <v>751</v>
      </c>
      <c r="Z23" t="str">
        <f t="shared" ca="1" si="14"/>
        <v/>
      </c>
      <c r="AA23" s="127" cm="1">
        <f t="array" aca="1" ref="AA23" ca="1">IF($C23="S",IF($Z23="CP",$X23,IF($Z23="RA",(($X23)*QCI!$AA$3),0)),SomaAgrup)</f>
        <v>0</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f ca="1">IF(C23&lt;=CRONO.NivelExibicao,MAX($AD$15:OFFSET(AD23,-1,0))+IF($C23&lt;&gt;1,1,MAX(1,COUNTIF(QCI!$A$13:$A$24,OFFSET($E23,-1,0)))),"")</f>
        <v>5</v>
      </c>
      <c r="AE23" s="7" t="b" cm="1">
        <f t="array" aca="1" ref="AE23" ca="1">IF(AND($C23="S",ORÇAMENTO.CodBarra&lt;&gt;""),IF(ORÇAMENTO.Fonte="",ORÇAMENTO.CodBarra,CONCATENATE(ORÇAMENTO.Fonte," ",ORÇAMENTO.CodBarra)))</f>
        <v>0</v>
      </c>
      <c r="AF23" s="12"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(Sem Código)</v>
      </c>
      <c r="AG23" s="428" cm="1">
        <f t="array" aca="1" ref="AG23" ca="1">ROUND(IF(DESONERACAO="sim",REFERENCIA.Desonerado,REFERENCIA.NaoDesonerado),2)</f>
        <v>0</v>
      </c>
      <c r="AH23" s="429">
        <f t="shared" ca="1" si="15"/>
        <v>0.2223</v>
      </c>
      <c r="AJ23" s="431"/>
      <c r="AL23" s="439"/>
      <c r="AM23" s="336">
        <f t="shared" ca="1" si="0"/>
        <v>0</v>
      </c>
      <c r="AN23" s="470" cm="1">
        <f t="array" aca="1" ref="AN23" ca="1">ROUND(ORÇAMENTO.CustoUnitario*(1+$AH23),2)</f>
        <v>0</v>
      </c>
    </row>
    <row r="24" spans="1:40" x14ac:dyDescent="0.2">
      <c r="A24" t="str">
        <f t="shared" si="1"/>
        <v>S</v>
      </c>
      <c r="B24">
        <f t="shared" ca="1" si="2"/>
        <v>2</v>
      </c>
      <c r="C24" t="str">
        <f t="shared" ca="1" si="3"/>
        <v>S</v>
      </c>
      <c r="D24">
        <f t="shared" ca="1" si="4"/>
        <v>0</v>
      </c>
      <c r="E24">
        <f ca="1">IF($C24=1,OFFSET(E24,-1,0)+MAX(1,COUNTIF(QCI!$A$13:$A$24,OFFSET(ORÇAMENTO!E24,-1,0))),OFFSET(E24,-1,0))</f>
        <v>2</v>
      </c>
      <c r="F24">
        <f t="shared" ca="1" si="5"/>
        <v>1</v>
      </c>
      <c r="G24">
        <f t="shared" ca="1" si="6"/>
        <v>0</v>
      </c>
      <c r="H24">
        <f t="shared" ca="1" si="7"/>
        <v>0</v>
      </c>
      <c r="I24">
        <f t="shared" ca="1" si="8"/>
        <v>0</v>
      </c>
      <c r="J24">
        <f t="shared" ca="1" si="9"/>
        <v>0</v>
      </c>
      <c r="K24">
        <f ca="1">IF(OR($C24="S",$C24=0),0,MATCH(OFFSET($D24,0,$C24)+IF($C24&lt;&gt;1,1,COUNTIF(QCI!$A$13:$A$24,ORÇAMENTO!E24)),OFFSET($D24,1,$C24,ROW($C$244)-ROW($C24)),0))</f>
        <v>0</v>
      </c>
      <c r="L24" s="114" t="str">
        <f t="shared" ca="1" si="10"/>
        <v/>
      </c>
      <c r="M24" s="115" t="s">
        <v>705</v>
      </c>
      <c r="N24" s="116" t="str">
        <f t="shared" ca="1" si="11"/>
        <v>Serviço</v>
      </c>
      <c r="O24" s="117" t="str">
        <f t="shared" ca="1" si="12"/>
        <v>-</v>
      </c>
      <c r="P24" s="118" t="s">
        <v>956</v>
      </c>
      <c r="Q24" s="119" t="s">
        <v>1262</v>
      </c>
      <c r="R24" s="120" t="str" cm="1">
        <f t="array" aca="1" ref="R24" ca="1">IF($C24="S",REFERENCIA.Descricao,"(digite a descrição aqui)")</f>
        <v>(Código não identificado nas referências)</v>
      </c>
      <c r="S24" s="121" t="str" cm="1">
        <f t="array" aca="1" ref="S24" ca="1">REFERENCIA.Unidade</f>
        <v>-</v>
      </c>
      <c r="T24" s="122">
        <f ca="1">OFFSET(CÁLCULO!H$15,ROW($T24)-ROW(T$15),0)</f>
        <v>1.0000000000000002</v>
      </c>
      <c r="U24" s="123">
        <f t="shared" ca="1" si="13"/>
        <v>0</v>
      </c>
      <c r="V24" s="124" t="s">
        <v>663</v>
      </c>
      <c r="W24" s="122" cm="1">
        <f t="array" aca="1" ref="W24" ca="1">IF($C24="S",ROUND(IF(TIPOORCAMENTO="Proposto",ORÇAMENTO.CustoUnitario*(1+$AH24),ORÇAMENTO.PrecoUnitarioLicitado),15-13*$AF$10),0)</f>
        <v>0</v>
      </c>
      <c r="X24" s="125" cm="1">
        <f t="array" aca="1" ref="X24" ca="1">IF($C24="S",IF(OR(Import.TipoArredondamento&lt;&gt;"TransfereGOV",ACOMPANHAMENTO="BM"),VTOTAL1,SUM(OFFSET(CÁLCULO!$AQ$15,ROW($X24)-ROW($X$15),1):OFFSET(CÁLCULO!$BR$15,ROW($X24)-ROW($X$15),-1))),IF($C24=0,0,ROUND(SomaAgrup,15-13*$AF$11)))</f>
        <v>0</v>
      </c>
      <c r="Y24" s="126" t="s">
        <v>751</v>
      </c>
      <c r="Z24" t="str">
        <f t="shared" ca="1" si="14"/>
        <v/>
      </c>
      <c r="AA24" s="127" cm="1">
        <f t="array" aca="1" ref="AA24" ca="1">IF($C24="S",IF($Z24="CP",$X24,IF($Z24="RA",(($X24)*QCI!$AA$3),0)),SomaAgrup)</f>
        <v>0</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CÓDIGO N/ID</v>
      </c>
      <c r="AD24" t="str">
        <f ca="1">IF(C24&lt;=CRONO.NivelExibicao,MAX($AD$15:OFFSET(AD24,-1,0))+IF($C24&lt;&gt;1,1,MAX(1,COUNTIF(QCI!$A$13:$A$24,OFFSET($E24,-1,0)))),"")</f>
        <v/>
      </c>
      <c r="AE24" s="7" t="str" cm="1">
        <f t="array" aca="1" ref="AE24" ca="1">IF(AND($C24="S",ORÇAMENTO.CodBarra&lt;&gt;""),IF(ORÇAMENTO.Fonte="",ORÇAMENTO.CodBarra,CONCATENATE(ORÇAMENTO.Fonte," ",ORÇAMENTO.CodBarra)))</f>
        <v>Composição CPU -01</v>
      </c>
      <c r="AF24" s="12" t="str"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(Código não identificado nas referências)</v>
      </c>
      <c r="AG24" s="428" cm="1">
        <f t="array" aca="1" ref="AG24" ca="1">ROUND(IF(DESONERACAO="sim",REFERENCIA.Desonerado,REFERENCIA.NaoDesonerado),2)</f>
        <v>0</v>
      </c>
      <c r="AH24" s="429">
        <f t="shared" ca="1" si="15"/>
        <v>0.2223</v>
      </c>
      <c r="AJ24" s="431"/>
      <c r="AL24" s="439"/>
      <c r="AM24" s="336">
        <f t="shared" ca="1" si="0"/>
        <v>0</v>
      </c>
      <c r="AN24" s="470" cm="1">
        <f t="array" aca="1" ref="AN24" ca="1">ROUND(ORÇAMENTO.CustoUnitario*(1+$AH24),2)</f>
        <v>0</v>
      </c>
    </row>
    <row r="25" spans="1:40" x14ac:dyDescent="0.2">
      <c r="A25">
        <f t="shared" si="1"/>
        <v>1</v>
      </c>
      <c r="B25">
        <f t="shared" ca="1" si="2"/>
        <v>1</v>
      </c>
      <c r="C25">
        <f t="shared" ca="1" si="3"/>
        <v>1</v>
      </c>
      <c r="D25">
        <f t="shared" ca="1" si="4"/>
        <v>24</v>
      </c>
      <c r="E25">
        <f ca="1">IF($C25=1,OFFSET(E25,-1,0)+MAX(1,COUNTIF(QCI!$A$13:$A$24,OFFSET(ORÇAMENTO!E25,-1,0))),OFFSET(E25,-1,0))</f>
        <v>3</v>
      </c>
      <c r="F25">
        <f t="shared" ca="1" si="5"/>
        <v>0</v>
      </c>
      <c r="G25">
        <f t="shared" ca="1" si="6"/>
        <v>0</v>
      </c>
      <c r="H25">
        <f t="shared" ca="1" si="7"/>
        <v>0</v>
      </c>
      <c r="I25">
        <f t="shared" ca="1" si="8"/>
        <v>0</v>
      </c>
      <c r="J25">
        <f t="shared" ca="1" si="9"/>
        <v>219</v>
      </c>
      <c r="K25">
        <f ca="1">IF(OR($C25="S",$C25=0),0,MATCH(OFFSET($D25,0,$C25)+IF($C25&lt;&gt;1,1,COUNTIF(QCI!$A$13:$A$24,ORÇAMENTO!E25)),OFFSET($D25,1,$C25,ROW($C$244)-ROW($C25)),0))</f>
        <v>24</v>
      </c>
      <c r="L25" s="114" t="str">
        <f t="shared" ca="1" si="10"/>
        <v>F</v>
      </c>
      <c r="M25" s="115" t="s">
        <v>701</v>
      </c>
      <c r="N25" s="116" t="str">
        <f t="shared" ca="1" si="11"/>
        <v>Meta</v>
      </c>
      <c r="O25" s="117" t="str">
        <f t="shared" ca="1" si="12"/>
        <v>3.</v>
      </c>
      <c r="P25" s="118" t="s">
        <v>250</v>
      </c>
      <c r="Q25" s="119" t="s">
        <v>250</v>
      </c>
      <c r="R25" s="120" t="s">
        <v>1174</v>
      </c>
      <c r="S25" s="121"/>
      <c r="T25" s="122">
        <f ca="1">OFFSET(CÁLCULO!H$15,ROW($T25)-ROW(T$15),0)</f>
        <v>0</v>
      </c>
      <c r="U25" s="123">
        <f t="shared" ca="1" si="13"/>
        <v>0</v>
      </c>
      <c r="V25" s="124" t="s">
        <v>663</v>
      </c>
      <c r="W25" s="122" cm="1">
        <f t="array" aca="1" ref="W25" ca="1">IF($C25="S",ROUND(IF(TIPOORCAMENTO="Proposto",ORÇAMENTO.CustoUnitario*(1+$AH25),ORÇAMENTO.PrecoUnitarioLicitado),15-13*$AF$10),0)</f>
        <v>0</v>
      </c>
      <c r="X25" s="125" cm="1">
        <f t="array" aca="1" ref="X25" ca="1">IF($C25="S",IF(OR(Import.TipoArredondamento&lt;&gt;"TransfereGOV",ACOMPANHAMENTO="BM"),VTOTAL1,SUM(OFFSET(CÁLCULO!$AQ$15,ROW($X25)-ROW($X$15),1):OFFSET(CÁLCULO!$BR$15,ROW($X25)-ROW($X$15),-1))),IF($C25=0,0,ROUND(SomaAgrup,15-13*$AF$11)))</f>
        <v>0</v>
      </c>
      <c r="Y25" s="126" t="s">
        <v>751</v>
      </c>
      <c r="Z25" t="str">
        <f t="shared" ca="1" si="14"/>
        <v/>
      </c>
      <c r="AA25" s="127" cm="1">
        <f t="array" aca="1" ref="AA25" ca="1">IF($C25="S",IF($Z25="CP",$X25,IF($Z25="RA",(($X25)*QCI!$AA$3),0)),SomaAgrup)</f>
        <v>0</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f ca="1">IF(C25&lt;=CRONO.NivelExibicao,MAX($AD$15:OFFSET(AD25,-1,0))+IF($C25&lt;&gt;1,1,MAX(1,COUNTIF(QCI!$A$13:$A$24,OFFSET($E25,-1,0)))),"")</f>
        <v>6</v>
      </c>
      <c r="AE25" s="7" t="b" cm="1">
        <f t="array" aca="1" ref="AE25" ca="1">IF(AND($C25="S",ORÇAMENTO.CodBarra&lt;&gt;""),IF(ORÇAMENTO.Fonte="",ORÇAMENTO.CodBarra,CONCATENATE(ORÇAMENTO.Fonte," ",ORÇAMENTO.CodBarra)))</f>
        <v>0</v>
      </c>
      <c r="AF25" s="12" t="str"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(Sem Código)</v>
      </c>
      <c r="AG25" s="428" cm="1">
        <f t="array" aca="1" ref="AG25" ca="1">ROUND(IF(DESONERACAO="sim",REFERENCIA.Desonerado,REFERENCIA.NaoDesonerado),2)</f>
        <v>0</v>
      </c>
      <c r="AH25" s="429">
        <f t="shared" ca="1" si="15"/>
        <v>0.2223</v>
      </c>
      <c r="AJ25" s="431"/>
      <c r="AL25" s="439"/>
      <c r="AM25" s="336">
        <f t="shared" ca="1" si="0"/>
        <v>0</v>
      </c>
      <c r="AN25" s="470" cm="1">
        <f t="array" aca="1" ref="AN25" ca="1">ROUND(ORÇAMENTO.CustoUnitario*(1+$AH25),2)</f>
        <v>0</v>
      </c>
    </row>
    <row r="26" spans="1:40" x14ac:dyDescent="0.2">
      <c r="A26">
        <f t="shared" si="1"/>
        <v>2</v>
      </c>
      <c r="B26">
        <f t="shared" ca="1" si="2"/>
        <v>2</v>
      </c>
      <c r="C26">
        <f t="shared" ca="1" si="3"/>
        <v>2</v>
      </c>
      <c r="D26">
        <f t="shared" ca="1" si="4"/>
        <v>10</v>
      </c>
      <c r="E26">
        <f ca="1">IF($C26=1,OFFSET(E26,-1,0)+MAX(1,COUNTIF(QCI!$A$13:$A$24,OFFSET(ORÇAMENTO!E26,-1,0))),OFFSET(E26,-1,0))</f>
        <v>3</v>
      </c>
      <c r="F26">
        <f t="shared" ca="1" si="5"/>
        <v>1</v>
      </c>
      <c r="G26">
        <f t="shared" ca="1" si="6"/>
        <v>0</v>
      </c>
      <c r="H26">
        <f t="shared" ca="1" si="7"/>
        <v>0</v>
      </c>
      <c r="I26">
        <f t="shared" ca="1" si="8"/>
        <v>0</v>
      </c>
      <c r="J26">
        <f t="shared" ca="1" si="9"/>
        <v>23</v>
      </c>
      <c r="K26">
        <f ca="1">IF(OR($C26="S",$C26=0),0,MATCH(OFFSET($D26,0,$C26)+IF($C26&lt;&gt;1,1,COUNTIF(QCI!$A$13:$A$24,ORÇAMENTO!E26)),OFFSET($D26,1,$C26,ROW($C$244)-ROW($C26)),0))</f>
        <v>10</v>
      </c>
      <c r="L26" s="114" t="str">
        <f t="shared" ca="1" si="10"/>
        <v>F</v>
      </c>
      <c r="M26" s="115" t="s">
        <v>702</v>
      </c>
      <c r="N26" s="116" t="str">
        <f t="shared" ca="1" si="11"/>
        <v>Nível 2</v>
      </c>
      <c r="O26" s="117" t="str">
        <f t="shared" ca="1" si="12"/>
        <v>3.1.</v>
      </c>
      <c r="P26" s="118" t="s">
        <v>250</v>
      </c>
      <c r="Q26" s="119" t="s">
        <v>250</v>
      </c>
      <c r="R26" s="120" t="s">
        <v>1175</v>
      </c>
      <c r="S26" s="121"/>
      <c r="T26" s="122">
        <f ca="1">OFFSET(CÁLCULO!H$15,ROW($T26)-ROW(T$15),0)</f>
        <v>0</v>
      </c>
      <c r="U26" s="123">
        <f t="shared" ca="1" si="13"/>
        <v>0</v>
      </c>
      <c r="V26" s="124" t="s">
        <v>663</v>
      </c>
      <c r="W26" s="122" cm="1">
        <f t="array" aca="1" ref="W26" ca="1">IF($C26="S",ROUND(IF(TIPOORCAMENTO="Proposto",ORÇAMENTO.CustoUnitario*(1+$AH26),ORÇAMENTO.PrecoUnitarioLicitado),15-13*$AF$10),0)</f>
        <v>0</v>
      </c>
      <c r="X26" s="125" cm="1">
        <f t="array" aca="1" ref="X26" ca="1">IF($C26="S",IF(OR(Import.TipoArredondamento&lt;&gt;"TransfereGOV",ACOMPANHAMENTO="BM"),VTOTAL1,SUM(OFFSET(CÁLCULO!$AQ$15,ROW($X26)-ROW($X$15),1):OFFSET(CÁLCULO!$BR$15,ROW($X26)-ROW($X$15),-1))),IF($C26=0,0,ROUND(SomaAgrup,15-13*$AF$11)))</f>
        <v>0</v>
      </c>
      <c r="Y26" s="126" t="s">
        <v>751</v>
      </c>
      <c r="Z26" t="str">
        <f t="shared" ca="1" si="14"/>
        <v/>
      </c>
      <c r="AA26" s="127" cm="1">
        <f t="array" aca="1" ref="AA26" ca="1">IF($C26="S",IF($Z26="CP",$X26,IF($Z26="RA",(($X26)*QCI!$AA$3),0)),SomaAgrup)</f>
        <v>0</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f ca="1">IF(C26&lt;=CRONO.NivelExibicao,MAX($AD$15:OFFSET(AD26,-1,0))+IF($C26&lt;&gt;1,1,MAX(1,COUNTIF(QCI!$A$13:$A$24,OFFSET($E26,-1,0)))),"")</f>
        <v>7</v>
      </c>
      <c r="AE26" s="7" t="b" cm="1">
        <f t="array" aca="1" ref="AE26" ca="1">IF(AND($C26="S",ORÇAMENTO.CodBarra&lt;&gt;""),IF(ORÇAMENTO.Fonte="",ORÇAMENTO.CodBarra,CONCATENATE(ORÇAMENTO.Fonte," ",ORÇAMENTO.CodBarra)))</f>
        <v>0</v>
      </c>
      <c r="AF26" s="12"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(Sem Código)</v>
      </c>
      <c r="AG26" s="428" cm="1">
        <f t="array" aca="1" ref="AG26" ca="1">ROUND(IF(DESONERACAO="sim",REFERENCIA.Desonerado,REFERENCIA.NaoDesonerado),2)</f>
        <v>0</v>
      </c>
      <c r="AH26" s="429">
        <f t="shared" ca="1" si="15"/>
        <v>0.2223</v>
      </c>
      <c r="AJ26" s="431"/>
      <c r="AL26" s="439"/>
      <c r="AM26" s="336">
        <f t="shared" ca="1" si="0"/>
        <v>0</v>
      </c>
      <c r="AN26" s="470" cm="1">
        <f t="array" aca="1" ref="AN26" ca="1">ROUND(ORÇAMENTO.CustoUnitario*(1+$AH26),2)</f>
        <v>0</v>
      </c>
    </row>
    <row r="27" spans="1:40" ht="38.25" x14ac:dyDescent="0.2">
      <c r="A27" t="str">
        <f t="shared" si="1"/>
        <v>S</v>
      </c>
      <c r="B27">
        <f t="shared" ca="1" si="2"/>
        <v>2</v>
      </c>
      <c r="C27" t="str">
        <f t="shared" ca="1" si="3"/>
        <v>S</v>
      </c>
      <c r="D27">
        <f t="shared" ca="1" si="4"/>
        <v>0</v>
      </c>
      <c r="E27">
        <f ca="1">IF($C27=1,OFFSET(E27,-1,0)+MAX(1,COUNTIF(QCI!$A$13:$A$24,OFFSET(ORÇAMENTO!E27,-1,0))),OFFSET(E27,-1,0))</f>
        <v>3</v>
      </c>
      <c r="F27">
        <f t="shared" ca="1" si="5"/>
        <v>1</v>
      </c>
      <c r="G27">
        <f t="shared" ca="1" si="6"/>
        <v>0</v>
      </c>
      <c r="H27">
        <f t="shared" ca="1" si="7"/>
        <v>0</v>
      </c>
      <c r="I27">
        <f t="shared" ca="1" si="8"/>
        <v>0</v>
      </c>
      <c r="J27">
        <f t="shared" ca="1" si="9"/>
        <v>0</v>
      </c>
      <c r="K27">
        <f ca="1">IF(OR($C27="S",$C27=0),0,MATCH(OFFSET($D27,0,$C27)+IF($C27&lt;&gt;1,1,COUNTIF(QCI!$A$13:$A$24,ORÇAMENTO!E27)),OFFSET($D27,1,$C27,ROW($C$244)-ROW($C27)),0))</f>
        <v>0</v>
      </c>
      <c r="L27" s="114" t="str">
        <f t="shared" ca="1" si="10"/>
        <v/>
      </c>
      <c r="M27" s="115" t="s">
        <v>705</v>
      </c>
      <c r="N27" s="116" t="str">
        <f t="shared" ca="1" si="11"/>
        <v>Serviço</v>
      </c>
      <c r="O27" s="117" t="str">
        <f t="shared" ca="1" si="12"/>
        <v>-</v>
      </c>
      <c r="P27" s="118" t="s">
        <v>750</v>
      </c>
      <c r="Q27" s="119" t="s">
        <v>1008</v>
      </c>
      <c r="R27" s="120" t="str" cm="1">
        <f t="array" aca="1" ref="R27" ca="1">IF($C27="S",REFERENCIA.Descricao,"(digite a descrição aqui)")</f>
        <v>(Código não identificado nas referências)</v>
      </c>
      <c r="S27" s="121" t="str" cm="1">
        <f t="array" aca="1" ref="S27" ca="1">REFERENCIA.Unidade</f>
        <v>-</v>
      </c>
      <c r="T27" s="122">
        <f ca="1">OFFSET(CÁLCULO!H$15,ROW($T27)-ROW(T$15),0)</f>
        <v>174.8</v>
      </c>
      <c r="U27" s="123">
        <f t="shared" ca="1" si="13"/>
        <v>0</v>
      </c>
      <c r="V27" s="124" t="s">
        <v>663</v>
      </c>
      <c r="W27" s="122" cm="1">
        <f t="array" aca="1" ref="W27" ca="1">IF($C27="S",ROUND(IF(TIPOORCAMENTO="Proposto",ORÇAMENTO.CustoUnitario*(1+$AH27),ORÇAMENTO.PrecoUnitarioLicitado),15-13*$AF$10),0)</f>
        <v>0</v>
      </c>
      <c r="X27" s="125" cm="1">
        <f t="array" aca="1" ref="X27" ca="1">IF($C27="S",IF(OR(Import.TipoArredondamento&lt;&gt;"TransfereGOV",ACOMPANHAMENTO="BM"),VTOTAL1,SUM(OFFSET(CÁLCULO!$AQ$15,ROW($X27)-ROW($X$15),1):OFFSET(CÁLCULO!$BR$15,ROW($X27)-ROW($X$15),-1))),IF($C27=0,0,ROUND(SomaAgrup,15-13*$AF$11)))</f>
        <v>0</v>
      </c>
      <c r="Y27" s="126" t="s">
        <v>751</v>
      </c>
      <c r="Z27" t="str">
        <f t="shared" ca="1" si="14"/>
        <v/>
      </c>
      <c r="AA27" s="127" cm="1">
        <f t="array" aca="1" ref="AA27" ca="1">IF($C27="S",IF($Z27="CP",$X27,IF($Z27="RA",(($X27)*QCI!$AA$3),0)),SomaAgrup)</f>
        <v>0</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CÓDIGO N/ID</v>
      </c>
      <c r="AD27" t="str">
        <f ca="1">IF(C27&lt;=CRONO.NivelExibicao,MAX($AD$15:OFFSET(AD27,-1,0))+IF($C27&lt;&gt;1,1,MAX(1,COUNTIF(QCI!$A$13:$A$24,OFFSET($E27,-1,0)))),"")</f>
        <v/>
      </c>
      <c r="AE27" s="7" t="str" cm="1">
        <f t="array" aca="1" ref="AE27" ca="1">IF(AND($C27="S",ORÇAMENTO.CodBarra&lt;&gt;""),IF(ORÇAMENTO.Fonte="",ORÇAMENTO.CodBarra,CONCATENATE(ORÇAMENTO.Fonte," ",ORÇAMENTO.CodBarra)))</f>
        <v>SINAPI 96521</v>
      </c>
      <c r="AF27" s="12"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(Código não identificado nas referências)</v>
      </c>
      <c r="AG27" s="428" cm="1">
        <f t="array" aca="1" ref="AG27" ca="1">ROUND(IF(DESONERACAO="sim",REFERENCIA.Desonerado,REFERENCIA.NaoDesonerado),2)</f>
        <v>0</v>
      </c>
      <c r="AH27" s="429">
        <f t="shared" ca="1" si="15"/>
        <v>0.2223</v>
      </c>
      <c r="AJ27" s="431"/>
      <c r="AL27" s="439"/>
      <c r="AM27" s="336">
        <f t="shared" ca="1" si="0"/>
        <v>0</v>
      </c>
      <c r="AN27" s="470" cm="1">
        <f t="array" aca="1" ref="AN27" ca="1">ROUND(ORÇAMENTO.CustoUnitario*(1+$AH27),2)</f>
        <v>0</v>
      </c>
    </row>
    <row r="28" spans="1:40" ht="25.5" x14ac:dyDescent="0.2">
      <c r="A28" t="str">
        <f t="shared" si="1"/>
        <v>S</v>
      </c>
      <c r="B28">
        <f t="shared" ca="1" si="2"/>
        <v>2</v>
      </c>
      <c r="C28" t="str">
        <f t="shared" ca="1" si="3"/>
        <v>S</v>
      </c>
      <c r="D28">
        <f t="shared" ca="1" si="4"/>
        <v>0</v>
      </c>
      <c r="E28">
        <f ca="1">IF($C28=1,OFFSET(E28,-1,0)+MAX(1,COUNTIF(QCI!$A$13:$A$24,OFFSET(ORÇAMENTO!E28,-1,0))),OFFSET(E28,-1,0))</f>
        <v>3</v>
      </c>
      <c r="F28">
        <f t="shared" ca="1" si="5"/>
        <v>1</v>
      </c>
      <c r="G28">
        <f t="shared" ca="1" si="6"/>
        <v>0</v>
      </c>
      <c r="H28">
        <f t="shared" ca="1" si="7"/>
        <v>0</v>
      </c>
      <c r="I28">
        <f t="shared" ca="1" si="8"/>
        <v>0</v>
      </c>
      <c r="J28">
        <f t="shared" ca="1" si="9"/>
        <v>0</v>
      </c>
      <c r="K28">
        <f ca="1">IF(OR($C28="S",$C28=0),0,MATCH(OFFSET($D28,0,$C28)+IF($C28&lt;&gt;1,1,COUNTIF(QCI!$A$13:$A$24,ORÇAMENTO!E28)),OFFSET($D28,1,$C28,ROW($C$244)-ROW($C28)),0))</f>
        <v>0</v>
      </c>
      <c r="L28" s="114" t="str">
        <f t="shared" ca="1" si="10"/>
        <v/>
      </c>
      <c r="M28" s="115" t="s">
        <v>705</v>
      </c>
      <c r="N28" s="116" t="str">
        <f t="shared" ca="1" si="11"/>
        <v>Serviço</v>
      </c>
      <c r="O28" s="117" t="str">
        <f t="shared" ca="1" si="12"/>
        <v>-</v>
      </c>
      <c r="P28" s="118" t="s">
        <v>750</v>
      </c>
      <c r="Q28" s="119" t="s">
        <v>1009</v>
      </c>
      <c r="R28" s="120" t="str" cm="1">
        <f t="array" aca="1" ref="R28" ca="1">IF($C28="S",REFERENCIA.Descricao,"(digite a descrição aqui)")</f>
        <v>(Código não identificado nas referências)</v>
      </c>
      <c r="S28" s="121" t="str" cm="1">
        <f t="array" aca="1" ref="S28" ca="1">REFERENCIA.Unidade</f>
        <v>-</v>
      </c>
      <c r="T28" s="122">
        <f ca="1">OFFSET(CÁLCULO!H$15,ROW($T28)-ROW(T$15),0)</f>
        <v>93.600000000000023</v>
      </c>
      <c r="U28" s="123">
        <f t="shared" ca="1" si="13"/>
        <v>0</v>
      </c>
      <c r="V28" s="124" t="s">
        <v>663</v>
      </c>
      <c r="W28" s="122" cm="1">
        <f t="array" aca="1" ref="W28" ca="1">IF($C28="S",ROUND(IF(TIPOORCAMENTO="Proposto",ORÇAMENTO.CustoUnitario*(1+$AH28),ORÇAMENTO.PrecoUnitarioLicitado),15-13*$AF$10),0)</f>
        <v>0</v>
      </c>
      <c r="X28" s="125" cm="1">
        <f t="array" aca="1" ref="X28" ca="1">IF($C28="S",IF(OR(Import.TipoArredondamento&lt;&gt;"TransfereGOV",ACOMPANHAMENTO="BM"),VTOTAL1,SUM(OFFSET(CÁLCULO!$AQ$15,ROW($X28)-ROW($X$15),1):OFFSET(CÁLCULO!$BR$15,ROW($X28)-ROW($X$15),-1))),IF($C28=0,0,ROUND(SomaAgrup,15-13*$AF$11)))</f>
        <v>0</v>
      </c>
      <c r="Y28" s="126" t="s">
        <v>751</v>
      </c>
      <c r="Z28" t="str">
        <f t="shared" ca="1" si="14"/>
        <v/>
      </c>
      <c r="AA28" s="127" cm="1">
        <f t="array" aca="1" ref="AA28" ca="1">IF($C28="S",IF($Z28="CP",$X28,IF($Z28="RA",(($X28)*QCI!$AA$3),0)),SomaAgrup)</f>
        <v>0</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CÓDIGO N/ID</v>
      </c>
      <c r="AD28" t="str">
        <f ca="1">IF(C28&lt;=CRONO.NivelExibicao,MAX($AD$15:OFFSET(AD28,-1,0))+IF($C28&lt;&gt;1,1,MAX(1,COUNTIF(QCI!$A$13:$A$24,OFFSET($E28,-1,0)))),"")</f>
        <v/>
      </c>
      <c r="AE28" s="7" t="str" cm="1">
        <f t="array" aca="1" ref="AE28" ca="1">IF(AND($C28="S",ORÇAMENTO.CodBarra&lt;&gt;""),IF(ORÇAMENTO.Fonte="",ORÇAMENTO.CodBarra,CONCATENATE(ORÇAMENTO.Fonte," ",ORÇAMENTO.CodBarra)))</f>
        <v>SINAPI 101616</v>
      </c>
      <c r="AF28" s="12" t="str"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(Código não identificado nas referências)</v>
      </c>
      <c r="AG28" s="428" cm="1">
        <f t="array" aca="1" ref="AG28" ca="1">ROUND(IF(DESONERACAO="sim",REFERENCIA.Desonerado,REFERENCIA.NaoDesonerado),2)</f>
        <v>0</v>
      </c>
      <c r="AH28" s="429">
        <f t="shared" ca="1" si="15"/>
        <v>0.2223</v>
      </c>
      <c r="AJ28" s="431"/>
      <c r="AL28" s="439"/>
      <c r="AM28" s="336">
        <f t="shared" ca="1" si="0"/>
        <v>0</v>
      </c>
      <c r="AN28" s="470" cm="1">
        <f t="array" aca="1" ref="AN28" ca="1">ROUND(ORÇAMENTO.CustoUnitario*(1+$AH28),2)</f>
        <v>0</v>
      </c>
    </row>
    <row r="29" spans="1:40" ht="25.5" x14ac:dyDescent="0.2">
      <c r="A29" t="str">
        <f t="shared" si="1"/>
        <v>S</v>
      </c>
      <c r="B29">
        <f t="shared" ca="1" si="2"/>
        <v>2</v>
      </c>
      <c r="C29" t="str">
        <f t="shared" ca="1" si="3"/>
        <v>S</v>
      </c>
      <c r="D29">
        <f t="shared" ca="1" si="4"/>
        <v>0</v>
      </c>
      <c r="E29">
        <f ca="1">IF($C29=1,OFFSET(E29,-1,0)+MAX(1,COUNTIF(QCI!$A$13:$A$24,OFFSET(ORÇAMENTO!E29,-1,0))),OFFSET(E29,-1,0))</f>
        <v>3</v>
      </c>
      <c r="F29">
        <f t="shared" ca="1" si="5"/>
        <v>1</v>
      </c>
      <c r="G29">
        <f t="shared" ca="1" si="6"/>
        <v>0</v>
      </c>
      <c r="H29">
        <f t="shared" ca="1" si="7"/>
        <v>0</v>
      </c>
      <c r="I29">
        <f t="shared" ca="1" si="8"/>
        <v>0</v>
      </c>
      <c r="J29">
        <f t="shared" ca="1" si="9"/>
        <v>0</v>
      </c>
      <c r="K29">
        <f ca="1">IF(OR($C29="S",$C29=0),0,MATCH(OFFSET($D29,0,$C29)+IF($C29&lt;&gt;1,1,COUNTIF(QCI!$A$13:$A$24,ORÇAMENTO!E29)),OFFSET($D29,1,$C29,ROW($C$244)-ROW($C29)),0))</f>
        <v>0</v>
      </c>
      <c r="L29" s="114" t="str">
        <f t="shared" ca="1" si="10"/>
        <v/>
      </c>
      <c r="M29" s="115" t="s">
        <v>705</v>
      </c>
      <c r="N29" s="116" t="str">
        <f t="shared" ca="1" si="11"/>
        <v>Serviço</v>
      </c>
      <c r="O29" s="117" t="str">
        <f t="shared" ca="1" si="12"/>
        <v>-</v>
      </c>
      <c r="P29" s="118" t="s">
        <v>750</v>
      </c>
      <c r="Q29" s="119" t="s">
        <v>1010</v>
      </c>
      <c r="R29" s="120" t="str" cm="1">
        <f t="array" aca="1" ref="R29" ca="1">IF($C29="S",REFERENCIA.Descricao,"(digite a descrição aqui)")</f>
        <v>(Código não identificado nas referências)</v>
      </c>
      <c r="S29" s="121" t="str" cm="1">
        <f t="array" aca="1" ref="S29" ca="1">REFERENCIA.Unidade</f>
        <v>-</v>
      </c>
      <c r="T29" s="122">
        <f ca="1">OFFSET(CÁLCULO!H$15,ROW($T29)-ROW(T$15),0)</f>
        <v>93.600000000000023</v>
      </c>
      <c r="U29" s="123">
        <f t="shared" ca="1" si="13"/>
        <v>0</v>
      </c>
      <c r="V29" s="124" t="s">
        <v>663</v>
      </c>
      <c r="W29" s="122" cm="1">
        <f t="array" aca="1" ref="W29" ca="1">IF($C29="S",ROUND(IF(TIPOORCAMENTO="Proposto",ORÇAMENTO.CustoUnitario*(1+$AH29),ORÇAMENTO.PrecoUnitarioLicitado),15-13*$AF$10),0)</f>
        <v>0</v>
      </c>
      <c r="X29" s="125" cm="1">
        <f t="array" aca="1" ref="X29" ca="1">IF($C29="S",IF(OR(Import.TipoArredondamento&lt;&gt;"TransfereGOV",ACOMPANHAMENTO="BM"),VTOTAL1,SUM(OFFSET(CÁLCULO!$AQ$15,ROW($X29)-ROW($X$15),1):OFFSET(CÁLCULO!$BR$15,ROW($X29)-ROW($X$15),-1))),IF($C29=0,0,ROUND(SomaAgrup,15-13*$AF$11)))</f>
        <v>0</v>
      </c>
      <c r="Y29" s="126" t="s">
        <v>751</v>
      </c>
      <c r="Z29" t="str">
        <f t="shared" ca="1" si="14"/>
        <v/>
      </c>
      <c r="AA29" s="127" cm="1">
        <f t="array" aca="1" ref="AA29" ca="1">IF($C29="S",IF($Z29="CP",$X29,IF($Z29="RA",(($X29)*QCI!$AA$3),0)),SomaAgrup)</f>
        <v>0</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CÓDIGO N/ID</v>
      </c>
      <c r="AD29" t="str">
        <f ca="1">IF(C29&lt;=CRONO.NivelExibicao,MAX($AD$15:OFFSET(AD29,-1,0))+IF($C29&lt;&gt;1,1,MAX(1,COUNTIF(QCI!$A$13:$A$24,OFFSET($E29,-1,0)))),"")</f>
        <v/>
      </c>
      <c r="AE29" s="7" t="str" cm="1">
        <f t="array" aca="1" ref="AE29" ca="1">IF(AND($C29="S",ORÇAMENTO.CodBarra&lt;&gt;""),IF(ORÇAMENTO.Fonte="",ORÇAMENTO.CodBarra,CONCATENATE(ORÇAMENTO.Fonte," ",ORÇAMENTO.CodBarra)))</f>
        <v>SINAPI 96619</v>
      </c>
      <c r="AF29" s="12" t="str"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(Código não identificado nas referências)</v>
      </c>
      <c r="AG29" s="428" cm="1">
        <f t="array" aca="1" ref="AG29" ca="1">ROUND(IF(DESONERACAO="sim",REFERENCIA.Desonerado,REFERENCIA.NaoDesonerado),2)</f>
        <v>0</v>
      </c>
      <c r="AH29" s="429">
        <f t="shared" ca="1" si="15"/>
        <v>0.2223</v>
      </c>
      <c r="AJ29" s="431"/>
      <c r="AL29" s="439"/>
      <c r="AM29" s="336">
        <f t="shared" ca="1" si="0"/>
        <v>0</v>
      </c>
      <c r="AN29" s="470" cm="1">
        <f t="array" aca="1" ref="AN29" ca="1">ROUND(ORÇAMENTO.CustoUnitario*(1+$AH29),2)</f>
        <v>0</v>
      </c>
    </row>
    <row r="30" spans="1:40" ht="38.25" x14ac:dyDescent="0.2">
      <c r="A30" t="str">
        <f t="shared" si="1"/>
        <v>S</v>
      </c>
      <c r="B30">
        <f t="shared" ca="1" si="2"/>
        <v>2</v>
      </c>
      <c r="C30" t="str">
        <f t="shared" ca="1" si="3"/>
        <v>S</v>
      </c>
      <c r="D30">
        <f t="shared" ca="1" si="4"/>
        <v>0</v>
      </c>
      <c r="E30">
        <f ca="1">IF($C30=1,OFFSET(E30,-1,0)+MAX(1,COUNTIF(QCI!$A$13:$A$24,OFFSET(ORÇAMENTO!E30,-1,0))),OFFSET(E30,-1,0))</f>
        <v>3</v>
      </c>
      <c r="F30">
        <f t="shared" ca="1" si="5"/>
        <v>1</v>
      </c>
      <c r="G30">
        <f t="shared" ca="1" si="6"/>
        <v>0</v>
      </c>
      <c r="H30">
        <f t="shared" ca="1" si="7"/>
        <v>0</v>
      </c>
      <c r="I30">
        <f t="shared" ca="1" si="8"/>
        <v>0</v>
      </c>
      <c r="J30">
        <f t="shared" ca="1" si="9"/>
        <v>0</v>
      </c>
      <c r="K30">
        <f ca="1">IF(OR($C30="S",$C30=0),0,MATCH(OFFSET($D30,0,$C30)+IF($C30&lt;&gt;1,1,COUNTIF(QCI!$A$13:$A$24,ORÇAMENTO!E30)),OFFSET($D30,1,$C30,ROW($C$244)-ROW($C30)),0))</f>
        <v>0</v>
      </c>
      <c r="L30" s="114" t="str">
        <f t="shared" ca="1" si="10"/>
        <v/>
      </c>
      <c r="M30" s="115" t="s">
        <v>705</v>
      </c>
      <c r="N30" s="116" t="str">
        <f t="shared" ca="1" si="11"/>
        <v>Serviço</v>
      </c>
      <c r="O30" s="117" t="str">
        <f t="shared" ca="1" si="12"/>
        <v>-</v>
      </c>
      <c r="P30" s="118" t="s">
        <v>750</v>
      </c>
      <c r="Q30" s="119" t="s">
        <v>1011</v>
      </c>
      <c r="R30" s="120" t="str" cm="1">
        <f t="array" aca="1" ref="R30" ca="1">IF($C30="S",REFERENCIA.Descricao,"(digite a descrição aqui)")</f>
        <v>(Código não identificado nas referências)</v>
      </c>
      <c r="S30" s="121" t="str" cm="1">
        <f t="array" aca="1" ref="S30" ca="1">REFERENCIA.Unidade</f>
        <v>-</v>
      </c>
      <c r="T30" s="122">
        <f ca="1">OFFSET(CÁLCULO!H$15,ROW($T30)-ROW(T$15),0)</f>
        <v>291.2</v>
      </c>
      <c r="U30" s="123">
        <f t="shared" ca="1" si="13"/>
        <v>0</v>
      </c>
      <c r="V30" s="124" t="s">
        <v>663</v>
      </c>
      <c r="W30" s="122" cm="1">
        <f t="array" aca="1" ref="W30" ca="1">IF($C30="S",ROUND(IF(TIPOORCAMENTO="Proposto",ORÇAMENTO.CustoUnitario*(1+$AH30),ORÇAMENTO.PrecoUnitarioLicitado),15-13*$AF$10),0)</f>
        <v>0</v>
      </c>
      <c r="X30" s="125" cm="1">
        <f t="array" aca="1" ref="X30" ca="1">IF($C30="S",IF(OR(Import.TipoArredondamento&lt;&gt;"TransfereGOV",ACOMPANHAMENTO="BM"),VTOTAL1,SUM(OFFSET(CÁLCULO!$AQ$15,ROW($X30)-ROW($X$15),1):OFFSET(CÁLCULO!$BR$15,ROW($X30)-ROW($X$15),-1))),IF($C30=0,0,ROUND(SomaAgrup,15-13*$AF$11)))</f>
        <v>0</v>
      </c>
      <c r="Y30" s="126" t="s">
        <v>751</v>
      </c>
      <c r="Z30" t="str">
        <f t="shared" ca="1" si="14"/>
        <v/>
      </c>
      <c r="AA30" s="127" cm="1">
        <f t="array" aca="1" ref="AA30" ca="1">IF($C30="S",IF($Z30="CP",$X30,IF($Z30="RA",(($X30)*QCI!$AA$3),0)),SomaAgrup)</f>
        <v>0</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CÓDIGO N/ID</v>
      </c>
      <c r="AD30" t="str">
        <f ca="1">IF(C30&lt;=CRONO.NivelExibicao,MAX($AD$15:OFFSET(AD30,-1,0))+IF($C30&lt;&gt;1,1,MAX(1,COUNTIF(QCI!$A$13:$A$24,OFFSET($E30,-1,0)))),"")</f>
        <v/>
      </c>
      <c r="AE30" s="7" t="str" cm="1">
        <f t="array" aca="1" ref="AE30" ca="1">IF(AND($C30="S",ORÇAMENTO.CodBarra&lt;&gt;""),IF(ORÇAMENTO.Fonte="",ORÇAMENTO.CodBarra,CONCATENATE(ORÇAMENTO.Fonte," ",ORÇAMENTO.CodBarra)))</f>
        <v>SINAPI 96541</v>
      </c>
      <c r="AF30" s="12"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(Código não identificado nas referências)</v>
      </c>
      <c r="AG30" s="428" cm="1">
        <f t="array" aca="1" ref="AG30" ca="1">ROUND(IF(DESONERACAO="sim",REFERENCIA.Desonerado,REFERENCIA.NaoDesonerado),2)</f>
        <v>0</v>
      </c>
      <c r="AH30" s="429">
        <f t="shared" ca="1" si="15"/>
        <v>0.2223</v>
      </c>
      <c r="AJ30" s="431"/>
      <c r="AL30" s="439"/>
      <c r="AM30" s="336">
        <f t="shared" ca="1" si="0"/>
        <v>0</v>
      </c>
      <c r="AN30" s="470" cm="1">
        <f t="array" aca="1" ref="AN30" ca="1">ROUND(ORÇAMENTO.CustoUnitario*(1+$AH30),2)</f>
        <v>0</v>
      </c>
    </row>
    <row r="31" spans="1:40" ht="25.5" x14ac:dyDescent="0.2">
      <c r="A31" t="str">
        <f t="shared" si="1"/>
        <v>S</v>
      </c>
      <c r="B31">
        <f t="shared" ca="1" si="2"/>
        <v>2</v>
      </c>
      <c r="C31" t="str">
        <f t="shared" ca="1" si="3"/>
        <v>S</v>
      </c>
      <c r="D31">
        <f t="shared" ca="1" si="4"/>
        <v>0</v>
      </c>
      <c r="E31">
        <f ca="1">IF($C31=1,OFFSET(E31,-1,0)+MAX(1,COUNTIF(QCI!$A$13:$A$24,OFFSET(ORÇAMENTO!E31,-1,0))),OFFSET(E31,-1,0))</f>
        <v>3</v>
      </c>
      <c r="F31">
        <f t="shared" ca="1" si="5"/>
        <v>1</v>
      </c>
      <c r="G31">
        <f t="shared" ca="1" si="6"/>
        <v>0</v>
      </c>
      <c r="H31">
        <f t="shared" ca="1" si="7"/>
        <v>0</v>
      </c>
      <c r="I31">
        <f t="shared" ca="1" si="8"/>
        <v>0</v>
      </c>
      <c r="J31">
        <f t="shared" ca="1" si="9"/>
        <v>0</v>
      </c>
      <c r="K31">
        <f ca="1">IF(OR($C31="S",$C31=0),0,MATCH(OFFSET($D31,0,$C31)+IF($C31&lt;&gt;1,1,COUNTIF(QCI!$A$13:$A$24,ORÇAMENTO!E31)),OFFSET($D31,1,$C31,ROW($C$244)-ROW($C31)),0))</f>
        <v>0</v>
      </c>
      <c r="L31" s="114" t="str">
        <f t="shared" ca="1" si="10"/>
        <v/>
      </c>
      <c r="M31" s="115" t="s">
        <v>705</v>
      </c>
      <c r="N31" s="116" t="str">
        <f t="shared" ca="1" si="11"/>
        <v>Serviço</v>
      </c>
      <c r="O31" s="117" t="str">
        <f t="shared" ca="1" si="12"/>
        <v>-</v>
      </c>
      <c r="P31" s="118" t="s">
        <v>750</v>
      </c>
      <c r="Q31" s="119" t="s">
        <v>1012</v>
      </c>
      <c r="R31" s="120" t="str" cm="1">
        <f t="array" aca="1" ref="R31" ca="1">IF($C31="S",REFERENCIA.Descricao,"(digite a descrição aqui)")</f>
        <v>(Código não identificado nas referências)</v>
      </c>
      <c r="S31" s="121" t="str" cm="1">
        <f t="array" aca="1" ref="S31" ca="1">REFERENCIA.Unidade</f>
        <v>-</v>
      </c>
      <c r="T31" s="122">
        <f ca="1">OFFSET(CÁLCULO!H$15,ROW($T31)-ROW(T$15),0)</f>
        <v>1014.0000000000003</v>
      </c>
      <c r="U31" s="123">
        <f t="shared" ca="1" si="13"/>
        <v>0</v>
      </c>
      <c r="V31" s="124" t="s">
        <v>663</v>
      </c>
      <c r="W31" s="122" cm="1">
        <f t="array" aca="1" ref="W31" ca="1">IF($C31="S",ROUND(IF(TIPOORCAMENTO="Proposto",ORÇAMENTO.CustoUnitario*(1+$AH31),ORÇAMENTO.PrecoUnitarioLicitado),15-13*$AF$10),0)</f>
        <v>0</v>
      </c>
      <c r="X31" s="125" cm="1">
        <f t="array" aca="1" ref="X31" ca="1">IF($C31="S",IF(OR(Import.TipoArredondamento&lt;&gt;"TransfereGOV",ACOMPANHAMENTO="BM"),VTOTAL1,SUM(OFFSET(CÁLCULO!$AQ$15,ROW($X31)-ROW($X$15),1):OFFSET(CÁLCULO!$BR$15,ROW($X31)-ROW($X$15),-1))),IF($C31=0,0,ROUND(SomaAgrup,15-13*$AF$11)))</f>
        <v>0</v>
      </c>
      <c r="Y31" s="126" t="s">
        <v>751</v>
      </c>
      <c r="Z31" t="str">
        <f t="shared" ca="1" si="14"/>
        <v/>
      </c>
      <c r="AA31" s="127" cm="1">
        <f t="array" aca="1" ref="AA31" ca="1">IF($C31="S",IF($Z31="CP",$X31,IF($Z31="RA",(($X31)*QCI!$AA$3),0)),SomaAgrup)</f>
        <v>0</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CÓDIGO N/ID</v>
      </c>
      <c r="AD31" t="str">
        <f ca="1">IF(C31&lt;=CRONO.NivelExibicao,MAX($AD$15:OFFSET(AD31,-1,0))+IF($C31&lt;&gt;1,1,MAX(1,COUNTIF(QCI!$A$13:$A$24,OFFSET($E31,-1,0)))),"")</f>
        <v/>
      </c>
      <c r="AE31" s="7" t="str" cm="1">
        <f t="array" aca="1" ref="AE31" ca="1">IF(AND($C31="S",ORÇAMENTO.CodBarra&lt;&gt;""),IF(ORÇAMENTO.Fonte="",ORÇAMENTO.CodBarra,CONCATENATE(ORÇAMENTO.Fonte," ",ORÇAMENTO.CodBarra)))</f>
        <v>SINAPI 104919</v>
      </c>
      <c r="AF31" s="12" t="str"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(Código não identificado nas referências)</v>
      </c>
      <c r="AG31" s="428" cm="1">
        <f t="array" aca="1" ref="AG31" ca="1">ROUND(IF(DESONERACAO="sim",REFERENCIA.Desonerado,REFERENCIA.NaoDesonerado),2)</f>
        <v>0</v>
      </c>
      <c r="AH31" s="429">
        <f t="shared" ca="1" si="15"/>
        <v>0.2223</v>
      </c>
      <c r="AJ31" s="431"/>
      <c r="AL31" s="439"/>
      <c r="AM31" s="336">
        <f t="shared" ca="1" si="0"/>
        <v>0</v>
      </c>
      <c r="AN31" s="470" cm="1">
        <f t="array" aca="1" ref="AN31" ca="1">ROUND(ORÇAMENTO.CustoUnitario*(1+$AH31),2)</f>
        <v>0</v>
      </c>
    </row>
    <row r="32" spans="1:40" ht="38.25" x14ac:dyDescent="0.2">
      <c r="A32" t="str">
        <f t="shared" si="1"/>
        <v>S</v>
      </c>
      <c r="B32">
        <f t="shared" ca="1" si="2"/>
        <v>2</v>
      </c>
      <c r="C32" t="str">
        <f t="shared" ca="1" si="3"/>
        <v>S</v>
      </c>
      <c r="D32">
        <f t="shared" ca="1" si="4"/>
        <v>0</v>
      </c>
      <c r="E32">
        <f ca="1">IF($C32=1,OFFSET(E32,-1,0)+MAX(1,COUNTIF(QCI!$A$13:$A$24,OFFSET(ORÇAMENTO!E32,-1,0))),OFFSET(E32,-1,0))</f>
        <v>3</v>
      </c>
      <c r="F32">
        <f t="shared" ca="1" si="5"/>
        <v>1</v>
      </c>
      <c r="G32">
        <f t="shared" ca="1" si="6"/>
        <v>0</v>
      </c>
      <c r="H32">
        <f t="shared" ca="1" si="7"/>
        <v>0</v>
      </c>
      <c r="I32">
        <f t="shared" ca="1" si="8"/>
        <v>0</v>
      </c>
      <c r="J32">
        <f t="shared" ca="1" si="9"/>
        <v>0</v>
      </c>
      <c r="K32">
        <f ca="1">IF(OR($C32="S",$C32=0),0,MATCH(OFFSET($D32,0,$C32)+IF($C32&lt;&gt;1,1,COUNTIF(QCI!$A$13:$A$24,ORÇAMENTO!E32)),OFFSET($D32,1,$C32,ROW($C$244)-ROW($C32)),0))</f>
        <v>0</v>
      </c>
      <c r="L32" s="114" t="str">
        <f t="shared" ca="1" si="10"/>
        <v/>
      </c>
      <c r="M32" s="115" t="s">
        <v>705</v>
      </c>
      <c r="N32" s="116" t="str">
        <f t="shared" ca="1" si="11"/>
        <v>Serviço</v>
      </c>
      <c r="O32" s="117" t="str">
        <f t="shared" ca="1" si="12"/>
        <v>-</v>
      </c>
      <c r="P32" s="118" t="s">
        <v>750</v>
      </c>
      <c r="Q32" s="119" t="s">
        <v>1013</v>
      </c>
      <c r="R32" s="120" t="str" cm="1">
        <f t="array" aca="1" ref="R32" ca="1">IF($C32="S",REFERENCIA.Descricao,"(digite a descrição aqui)")</f>
        <v>(Código não identificado nas referências)</v>
      </c>
      <c r="S32" s="121" t="str" cm="1">
        <f t="array" aca="1" ref="S32" ca="1">REFERENCIA.Unidade</f>
        <v>-</v>
      </c>
      <c r="T32" s="122">
        <f ca="1">OFFSET(CÁLCULO!H$15,ROW($T32)-ROW(T$15),0)</f>
        <v>533.99999999999989</v>
      </c>
      <c r="U32" s="123">
        <f t="shared" ca="1" si="13"/>
        <v>0</v>
      </c>
      <c r="V32" s="124" t="s">
        <v>663</v>
      </c>
      <c r="W32" s="122" cm="1">
        <f t="array" aca="1" ref="W32" ca="1">IF($C32="S",ROUND(IF(TIPOORCAMENTO="Proposto",ORÇAMENTO.CustoUnitario*(1+$AH32),ORÇAMENTO.PrecoUnitarioLicitado),15-13*$AF$10),0)</f>
        <v>0</v>
      </c>
      <c r="X32" s="125" cm="1">
        <f t="array" aca="1" ref="X32" ca="1">IF($C32="S",IF(OR(Import.TipoArredondamento&lt;&gt;"TransfereGOV",ACOMPANHAMENTO="BM"),VTOTAL1,SUM(OFFSET(CÁLCULO!$AQ$15,ROW($X32)-ROW($X$15),1):OFFSET(CÁLCULO!$BR$15,ROW($X32)-ROW($X$15),-1))),IF($C32=0,0,ROUND(SomaAgrup,15-13*$AF$11)))</f>
        <v>0</v>
      </c>
      <c r="Y32" s="126" t="s">
        <v>751</v>
      </c>
      <c r="Z32" t="str">
        <f t="shared" ca="1" si="14"/>
        <v/>
      </c>
      <c r="AA32" s="127" cm="1">
        <f t="array" aca="1" ref="AA32" ca="1">IF($C32="S",IF($Z32="CP",$X32,IF($Z32="RA",(($X32)*QCI!$AA$3),0)),SomaAgrup)</f>
        <v>0</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CÓDIGO N/ID</v>
      </c>
      <c r="AD32" t="str">
        <f ca="1">IF(C32&lt;=CRONO.NivelExibicao,MAX($AD$15:OFFSET(AD32,-1,0))+IF($C32&lt;&gt;1,1,MAX(1,COUNTIF(QCI!$A$13:$A$24,OFFSET($E32,-1,0)))),"")</f>
        <v/>
      </c>
      <c r="AE32" s="7" t="str" cm="1">
        <f t="array" aca="1" ref="AE32" ca="1">IF(AND($C32="S",ORÇAMENTO.CodBarra&lt;&gt;""),IF(ORÇAMENTO.Fonte="",ORÇAMENTO.CodBarra,CONCATENATE(ORÇAMENTO.Fonte," ",ORÇAMENTO.CodBarra)))</f>
        <v>SINAPI 104917</v>
      </c>
      <c r="AF32" s="12" t="str"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(Código não identificado nas referências)</v>
      </c>
      <c r="AG32" s="428" cm="1">
        <f t="array" aca="1" ref="AG32" ca="1">ROUND(IF(DESONERACAO="sim",REFERENCIA.Desonerado,REFERENCIA.NaoDesonerado),2)</f>
        <v>0</v>
      </c>
      <c r="AH32" s="429">
        <f t="shared" ca="1" si="15"/>
        <v>0.2223</v>
      </c>
      <c r="AJ32" s="431"/>
      <c r="AL32" s="439"/>
      <c r="AM32" s="336">
        <f t="shared" ca="1" si="0"/>
        <v>0</v>
      </c>
      <c r="AN32" s="470" cm="1">
        <f t="array" aca="1" ref="AN32" ca="1">ROUND(ORÇAMENTO.CustoUnitario*(1+$AH32),2)</f>
        <v>0</v>
      </c>
    </row>
    <row r="33" spans="1:40" ht="25.5" x14ac:dyDescent="0.2">
      <c r="A33" t="str">
        <f t="shared" si="1"/>
        <v>S</v>
      </c>
      <c r="B33">
        <f t="shared" ca="1" si="2"/>
        <v>2</v>
      </c>
      <c r="C33" t="str">
        <f t="shared" ca="1" si="3"/>
        <v>S</v>
      </c>
      <c r="D33">
        <f t="shared" ca="1" si="4"/>
        <v>0</v>
      </c>
      <c r="E33">
        <f ca="1">IF($C33=1,OFFSET(E33,-1,0)+MAX(1,COUNTIF(QCI!$A$13:$A$24,OFFSET(ORÇAMENTO!E33,-1,0))),OFFSET(E33,-1,0))</f>
        <v>3</v>
      </c>
      <c r="F33">
        <f t="shared" ca="1" si="5"/>
        <v>1</v>
      </c>
      <c r="G33">
        <f t="shared" ca="1" si="6"/>
        <v>0</v>
      </c>
      <c r="H33">
        <f t="shared" ca="1" si="7"/>
        <v>0</v>
      </c>
      <c r="I33">
        <f t="shared" ca="1" si="8"/>
        <v>0</v>
      </c>
      <c r="J33">
        <f t="shared" ca="1" si="9"/>
        <v>0</v>
      </c>
      <c r="K33">
        <f ca="1">IF(OR($C33="S",$C33=0),0,MATCH(OFFSET($D33,0,$C33)+IF($C33&lt;&gt;1,1,COUNTIF(QCI!$A$13:$A$24,ORÇAMENTO!E33)),OFFSET($D33,1,$C33,ROW($C$244)-ROW($C33)),0))</f>
        <v>0</v>
      </c>
      <c r="L33" s="114" t="str">
        <f t="shared" ca="1" si="10"/>
        <v/>
      </c>
      <c r="M33" s="115" t="s">
        <v>705</v>
      </c>
      <c r="N33" s="116" t="str">
        <f t="shared" ca="1" si="11"/>
        <v>Serviço</v>
      </c>
      <c r="O33" s="117" t="str">
        <f t="shared" ca="1" si="12"/>
        <v>-</v>
      </c>
      <c r="P33" s="118" t="s">
        <v>750</v>
      </c>
      <c r="Q33" s="119" t="s">
        <v>1014</v>
      </c>
      <c r="R33" s="120" t="str" cm="1">
        <f t="array" aca="1" ref="R33" ca="1">IF($C33="S",REFERENCIA.Descricao,"(digite a descrição aqui)")</f>
        <v>(Código não identificado nas referências)</v>
      </c>
      <c r="S33" s="121" t="str" cm="1">
        <f t="array" aca="1" ref="S33" ca="1">REFERENCIA.Unidade</f>
        <v>-</v>
      </c>
      <c r="T33" s="122">
        <f ca="1">OFFSET(CÁLCULO!H$15,ROW($T33)-ROW(T$15),0)</f>
        <v>256.00000000000006</v>
      </c>
      <c r="U33" s="123">
        <f t="shared" ca="1" si="13"/>
        <v>0</v>
      </c>
      <c r="V33" s="124" t="s">
        <v>663</v>
      </c>
      <c r="W33" s="122" cm="1">
        <f t="array" aca="1" ref="W33" ca="1">IF($C33="S",ROUND(IF(TIPOORCAMENTO="Proposto",ORÇAMENTO.CustoUnitario*(1+$AH33),ORÇAMENTO.PrecoUnitarioLicitado),15-13*$AF$10),0)</f>
        <v>0</v>
      </c>
      <c r="X33" s="125" cm="1">
        <f t="array" aca="1" ref="X33" ca="1">IF($C33="S",IF(OR(Import.TipoArredondamento&lt;&gt;"TransfereGOV",ACOMPANHAMENTO="BM"),VTOTAL1,SUM(OFFSET(CÁLCULO!$AQ$15,ROW($X33)-ROW($X$15),1):OFFSET(CÁLCULO!$BR$15,ROW($X33)-ROW($X$15),-1))),IF($C33=0,0,ROUND(SomaAgrup,15-13*$AF$11)))</f>
        <v>0</v>
      </c>
      <c r="Y33" s="126" t="s">
        <v>751</v>
      </c>
      <c r="Z33" t="str">
        <f t="shared" ca="1" si="14"/>
        <v/>
      </c>
      <c r="AA33" s="127" cm="1">
        <f t="array" aca="1" ref="AA33" ca="1">IF($C33="S",IF($Z33="CP",$X33,IF($Z33="RA",(($X33)*QCI!$AA$3),0)),SomaAgrup)</f>
        <v>0</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CÓDIGO N/ID</v>
      </c>
      <c r="AD33" t="str">
        <f ca="1">IF(C33&lt;=CRONO.NivelExibicao,MAX($AD$15:OFFSET(AD33,-1,0))+IF($C33&lt;&gt;1,1,MAX(1,COUNTIF(QCI!$A$13:$A$24,OFFSET($E33,-1,0)))),"")</f>
        <v/>
      </c>
      <c r="AE33" s="7" t="str" cm="1">
        <f t="array" aca="1" ref="AE33" ca="1">IF(AND($C33="S",ORÇAMENTO.CodBarra&lt;&gt;""),IF(ORÇAMENTO.Fonte="",ORÇAMENTO.CodBarra,CONCATENATE(ORÇAMENTO.Fonte," ",ORÇAMENTO.CodBarra)))</f>
        <v>SINAPI 104916</v>
      </c>
      <c r="AF33" s="12" t="str"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(Código não identificado nas referências)</v>
      </c>
      <c r="AG33" s="428" cm="1">
        <f t="array" aca="1" ref="AG33" ca="1">ROUND(IF(DESONERACAO="sim",REFERENCIA.Desonerado,REFERENCIA.NaoDesonerado),2)</f>
        <v>0</v>
      </c>
      <c r="AH33" s="429">
        <f t="shared" ca="1" si="15"/>
        <v>0.2223</v>
      </c>
      <c r="AJ33" s="431"/>
      <c r="AL33" s="439"/>
      <c r="AM33" s="336">
        <f t="shared" ca="1" si="0"/>
        <v>0</v>
      </c>
      <c r="AN33" s="470" cm="1">
        <f t="array" aca="1" ref="AN33" ca="1">ROUND(ORÇAMENTO.CustoUnitario*(1+$AH33),2)</f>
        <v>0</v>
      </c>
    </row>
    <row r="34" spans="1:40" ht="25.5" x14ac:dyDescent="0.2">
      <c r="A34" t="str">
        <f t="shared" si="1"/>
        <v>S</v>
      </c>
      <c r="B34">
        <f t="shared" ca="1" si="2"/>
        <v>2</v>
      </c>
      <c r="C34" t="str">
        <f t="shared" ca="1" si="3"/>
        <v>S</v>
      </c>
      <c r="D34">
        <f t="shared" ca="1" si="4"/>
        <v>0</v>
      </c>
      <c r="E34">
        <f ca="1">IF($C34=1,OFFSET(E34,-1,0)+MAX(1,COUNTIF(QCI!$A$13:$A$24,OFFSET(ORÇAMENTO!E34,-1,0))),OFFSET(E34,-1,0))</f>
        <v>3</v>
      </c>
      <c r="F34">
        <f t="shared" ca="1" si="5"/>
        <v>1</v>
      </c>
      <c r="G34">
        <f t="shared" ca="1" si="6"/>
        <v>0</v>
      </c>
      <c r="H34">
        <f t="shared" ca="1" si="7"/>
        <v>0</v>
      </c>
      <c r="I34">
        <f t="shared" ca="1" si="8"/>
        <v>0</v>
      </c>
      <c r="J34">
        <f t="shared" ca="1" si="9"/>
        <v>0</v>
      </c>
      <c r="K34">
        <f ca="1">IF(OR($C34="S",$C34=0),0,MATCH(OFFSET($D34,0,$C34)+IF($C34&lt;&gt;1,1,COUNTIF(QCI!$A$13:$A$24,ORÇAMENTO!E34)),OFFSET($D34,1,$C34,ROW($C$244)-ROW($C34)),0))</f>
        <v>0</v>
      </c>
      <c r="L34" s="114" t="str">
        <f t="shared" ca="1" si="10"/>
        <v/>
      </c>
      <c r="M34" s="115" t="s">
        <v>705</v>
      </c>
      <c r="N34" s="116" t="str">
        <f t="shared" ca="1" si="11"/>
        <v>Serviço</v>
      </c>
      <c r="O34" s="117" t="str">
        <f t="shared" ca="1" si="12"/>
        <v>-</v>
      </c>
      <c r="P34" s="118" t="s">
        <v>956</v>
      </c>
      <c r="Q34" s="119" t="s">
        <v>1015</v>
      </c>
      <c r="R34" s="120" t="str" cm="1">
        <f t="array" aca="1" ref="R34" ca="1">IF($C34="S",REFERENCIA.Descricao,"(digite a descrição aqui)")</f>
        <v>(Código não identificado nas referências)</v>
      </c>
      <c r="S34" s="121" t="str" cm="1">
        <f t="array" aca="1" ref="S34" ca="1">REFERENCIA.Unidade</f>
        <v>-</v>
      </c>
      <c r="T34" s="122">
        <f ca="1">OFFSET(CÁLCULO!H$15,ROW($T34)-ROW(T$15),0)</f>
        <v>28.2</v>
      </c>
      <c r="U34" s="123">
        <f t="shared" ca="1" si="13"/>
        <v>0</v>
      </c>
      <c r="V34" s="124" t="s">
        <v>663</v>
      </c>
      <c r="W34" s="122" cm="1">
        <f t="array" aca="1" ref="W34" ca="1">IF($C34="S",ROUND(IF(TIPOORCAMENTO="Proposto",ORÇAMENTO.CustoUnitario*(1+$AH34),ORÇAMENTO.PrecoUnitarioLicitado),15-13*$AF$10),0)</f>
        <v>0</v>
      </c>
      <c r="X34" s="125" cm="1">
        <f t="array" aca="1" ref="X34" ca="1">IF($C34="S",IF(OR(Import.TipoArredondamento&lt;&gt;"TransfereGOV",ACOMPANHAMENTO="BM"),VTOTAL1,SUM(OFFSET(CÁLCULO!$AQ$15,ROW($X34)-ROW($X$15),1):OFFSET(CÁLCULO!$BR$15,ROW($X34)-ROW($X$15),-1))),IF($C34=0,0,ROUND(SomaAgrup,15-13*$AF$11)))</f>
        <v>0</v>
      </c>
      <c r="Y34" s="126" t="s">
        <v>751</v>
      </c>
      <c r="Z34" t="str">
        <f t="shared" ca="1" si="14"/>
        <v/>
      </c>
      <c r="AA34" s="127" cm="1">
        <f t="array" aca="1" ref="AA34" ca="1">IF($C34="S",IF($Z34="CP",$X34,IF($Z34="RA",(($X34)*QCI!$AA$3),0)),SomaAgrup)</f>
        <v>0</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CÓDIGO N/ID</v>
      </c>
      <c r="AD34" t="str">
        <f ca="1">IF(C34&lt;=CRONO.NivelExibicao,MAX($AD$15:OFFSET(AD34,-1,0))+IF($C34&lt;&gt;1,1,MAX(1,COUNTIF(QCI!$A$13:$A$24,OFFSET($E34,-1,0)))),"")</f>
        <v/>
      </c>
      <c r="AE34" s="7" t="str" cm="1">
        <f t="array" aca="1" ref="AE34" ca="1">IF(AND($C34="S",ORÇAMENTO.CodBarra&lt;&gt;""),IF(ORÇAMENTO.Fonte="",ORÇAMENTO.CodBarra,CONCATENATE(ORÇAMENTO.Fonte," ",ORÇAMENTO.CodBarra)))</f>
        <v>Composição 96556_ADP-01</v>
      </c>
      <c r="AF34" s="12" t="str"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(Código não identificado nas referências)</v>
      </c>
      <c r="AG34" s="428" cm="1">
        <f t="array" aca="1" ref="AG34" ca="1">ROUND(IF(DESONERACAO="sim",REFERENCIA.Desonerado,REFERENCIA.NaoDesonerado),2)</f>
        <v>0</v>
      </c>
      <c r="AH34" s="429">
        <f t="shared" ca="1" si="15"/>
        <v>0.2223</v>
      </c>
      <c r="AJ34" s="431"/>
      <c r="AL34" s="439"/>
      <c r="AM34" s="336">
        <f t="shared" ca="1" si="0"/>
        <v>0</v>
      </c>
      <c r="AN34" s="470" cm="1">
        <f t="array" aca="1" ref="AN34" ca="1">ROUND(ORÇAMENTO.CustoUnitario*(1+$AH34),2)</f>
        <v>0</v>
      </c>
    </row>
    <row r="35" spans="1:40" ht="25.5" x14ac:dyDescent="0.2">
      <c r="A35" t="str">
        <f t="shared" si="1"/>
        <v>S</v>
      </c>
      <c r="B35">
        <f t="shared" ca="1" si="2"/>
        <v>2</v>
      </c>
      <c r="C35" t="str">
        <f t="shared" ca="1" si="3"/>
        <v>S</v>
      </c>
      <c r="D35">
        <f t="shared" ca="1" si="4"/>
        <v>0</v>
      </c>
      <c r="E35">
        <f ca="1">IF($C35=1,OFFSET(E35,-1,0)+MAX(1,COUNTIF(QCI!$A$13:$A$24,OFFSET(ORÇAMENTO!E35,-1,0))),OFFSET(E35,-1,0))</f>
        <v>3</v>
      </c>
      <c r="F35">
        <f t="shared" ca="1" si="5"/>
        <v>1</v>
      </c>
      <c r="G35">
        <f t="shared" ca="1" si="6"/>
        <v>0</v>
      </c>
      <c r="H35">
        <f t="shared" ca="1" si="7"/>
        <v>0</v>
      </c>
      <c r="I35">
        <f t="shared" ca="1" si="8"/>
        <v>0</v>
      </c>
      <c r="J35">
        <f t="shared" ca="1" si="9"/>
        <v>0</v>
      </c>
      <c r="K35">
        <f ca="1">IF(OR($C35="S",$C35=0),0,MATCH(OFFSET($D35,0,$C35)+IF($C35&lt;&gt;1,1,COUNTIF(QCI!$A$13:$A$24,ORÇAMENTO!E35)),OFFSET($D35,1,$C35,ROW($C$244)-ROW($C35)),0))</f>
        <v>0</v>
      </c>
      <c r="L35" s="114" t="str">
        <f t="shared" ca="1" si="10"/>
        <v/>
      </c>
      <c r="M35" s="115" t="s">
        <v>705</v>
      </c>
      <c r="N35" s="116" t="str">
        <f t="shared" ca="1" si="11"/>
        <v>Serviço</v>
      </c>
      <c r="O35" s="117" t="str">
        <f t="shared" ca="1" si="12"/>
        <v>-</v>
      </c>
      <c r="P35" s="118" t="s">
        <v>750</v>
      </c>
      <c r="Q35" s="119" t="s">
        <v>1016</v>
      </c>
      <c r="R35" s="120" t="str" cm="1">
        <f t="array" aca="1" ref="R35" ca="1">IF($C35="S",REFERENCIA.Descricao,"(digite a descrição aqui)")</f>
        <v>(Código não identificado nas referências)</v>
      </c>
      <c r="S35" s="121" t="str" cm="1">
        <f t="array" aca="1" ref="S35" ca="1">REFERENCIA.Unidade</f>
        <v>-</v>
      </c>
      <c r="T35" s="122">
        <f ca="1">OFFSET(CÁLCULO!H$15,ROW($T35)-ROW(T$15),0)</f>
        <v>141.80000000000004</v>
      </c>
      <c r="U35" s="123">
        <f t="shared" ca="1" si="13"/>
        <v>0</v>
      </c>
      <c r="V35" s="124" t="s">
        <v>663</v>
      </c>
      <c r="W35" s="122" cm="1">
        <f t="array" aca="1" ref="W35" ca="1">IF($C35="S",ROUND(IF(TIPOORCAMENTO="Proposto",ORÇAMENTO.CustoUnitario*(1+$AH35),ORÇAMENTO.PrecoUnitarioLicitado),15-13*$AF$10),0)</f>
        <v>0</v>
      </c>
      <c r="X35" s="125" cm="1">
        <f t="array" aca="1" ref="X35" ca="1">IF($C35="S",IF(OR(Import.TipoArredondamento&lt;&gt;"TransfereGOV",ACOMPANHAMENTO="BM"),VTOTAL1,SUM(OFFSET(CÁLCULO!$AQ$15,ROW($X35)-ROW($X$15),1):OFFSET(CÁLCULO!$BR$15,ROW($X35)-ROW($X$15),-1))),IF($C35=0,0,ROUND(SomaAgrup,15-13*$AF$11)))</f>
        <v>0</v>
      </c>
      <c r="Y35" s="126" t="s">
        <v>751</v>
      </c>
      <c r="Z35" t="str">
        <f t="shared" ca="1" si="14"/>
        <v/>
      </c>
      <c r="AA35" s="127" cm="1">
        <f t="array" aca="1" ref="AA35" ca="1">IF($C35="S",IF($Z35="CP",$X35,IF($Z35="RA",(($X35)*QCI!$AA$3),0)),SomaAgrup)</f>
        <v>0</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CÓDIGO N/ID</v>
      </c>
      <c r="AD35" t="str">
        <f ca="1">IF(C35&lt;=CRONO.NivelExibicao,MAX($AD$15:OFFSET(AD35,-1,0))+IF($C35&lt;&gt;1,1,MAX(1,COUNTIF(QCI!$A$13:$A$24,OFFSET($E35,-1,0)))),"")</f>
        <v/>
      </c>
      <c r="AE35" s="7" t="str" cm="1">
        <f t="array" aca="1" ref="AE35" ca="1">IF(AND($C35="S",ORÇAMENTO.CodBarra&lt;&gt;""),IF(ORÇAMENTO.Fonte="",ORÇAMENTO.CodBarra,CONCATENATE(ORÇAMENTO.Fonte," ",ORÇAMENTO.CodBarra)))</f>
        <v>SINAPI 93382</v>
      </c>
      <c r="AF35" s="12" t="str"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(Código não identificado nas referências)</v>
      </c>
      <c r="AG35" s="428" cm="1">
        <f t="array" aca="1" ref="AG35" ca="1">ROUND(IF(DESONERACAO="sim",REFERENCIA.Desonerado,REFERENCIA.NaoDesonerado),2)</f>
        <v>0</v>
      </c>
      <c r="AH35" s="429">
        <f t="shared" ca="1" si="15"/>
        <v>0.2223</v>
      </c>
      <c r="AJ35" s="431"/>
      <c r="AL35" s="439"/>
      <c r="AM35" s="336">
        <f t="shared" ca="1" si="0"/>
        <v>0</v>
      </c>
      <c r="AN35" s="470" cm="1">
        <f t="array" aca="1" ref="AN35" ca="1">ROUND(ORÇAMENTO.CustoUnitario*(1+$AH35),2)</f>
        <v>0</v>
      </c>
    </row>
    <row r="36" spans="1:40" x14ac:dyDescent="0.2">
      <c r="A36">
        <f t="shared" si="1"/>
        <v>2</v>
      </c>
      <c r="B36">
        <f t="shared" ca="1" si="2"/>
        <v>2</v>
      </c>
      <c r="C36">
        <f t="shared" ca="1" si="3"/>
        <v>2</v>
      </c>
      <c r="D36">
        <f t="shared" ca="1" si="4"/>
        <v>9</v>
      </c>
      <c r="E36">
        <f ca="1">IF($C36=1,OFFSET(E36,-1,0)+MAX(1,COUNTIF(QCI!$A$13:$A$24,OFFSET(ORÇAMENTO!E36,-1,0))),OFFSET(E36,-1,0))</f>
        <v>3</v>
      </c>
      <c r="F36">
        <f t="shared" ca="1" si="5"/>
        <v>2</v>
      </c>
      <c r="G36">
        <f t="shared" ca="1" si="6"/>
        <v>0</v>
      </c>
      <c r="H36">
        <f t="shared" ca="1" si="7"/>
        <v>0</v>
      </c>
      <c r="I36">
        <f t="shared" ca="1" si="8"/>
        <v>0</v>
      </c>
      <c r="J36">
        <f t="shared" ca="1" si="9"/>
        <v>13</v>
      </c>
      <c r="K36">
        <f ca="1">IF(OR($C36="S",$C36=0),0,MATCH(OFFSET($D36,0,$C36)+IF($C36&lt;&gt;1,1,COUNTIF(QCI!$A$13:$A$24,ORÇAMENTO!E36)),OFFSET($D36,1,$C36,ROW($C$244)-ROW($C36)),0))</f>
        <v>9</v>
      </c>
      <c r="L36" s="114" t="str">
        <f t="shared" ca="1" si="10"/>
        <v>F</v>
      </c>
      <c r="M36" s="115" t="s">
        <v>702</v>
      </c>
      <c r="N36" s="116" t="str">
        <f t="shared" ca="1" si="11"/>
        <v>Nível 2</v>
      </c>
      <c r="O36" s="117" t="str">
        <f t="shared" ca="1" si="12"/>
        <v>3.2.</v>
      </c>
      <c r="P36" s="118" t="s">
        <v>250</v>
      </c>
      <c r="Q36" s="119" t="s">
        <v>250</v>
      </c>
      <c r="R36" s="120" t="s">
        <v>1176</v>
      </c>
      <c r="S36" s="121"/>
      <c r="T36" s="122">
        <f ca="1">OFFSET(CÁLCULO!H$15,ROW($T36)-ROW(T$15),0)</f>
        <v>0</v>
      </c>
      <c r="U36" s="123">
        <f t="shared" ca="1" si="13"/>
        <v>0</v>
      </c>
      <c r="V36" s="124" t="s">
        <v>663</v>
      </c>
      <c r="W36" s="122" cm="1">
        <f t="array" aca="1" ref="W36" ca="1">IF($C36="S",ROUND(IF(TIPOORCAMENTO="Proposto",ORÇAMENTO.CustoUnitario*(1+$AH36),ORÇAMENTO.PrecoUnitarioLicitado),15-13*$AF$10),0)</f>
        <v>0</v>
      </c>
      <c r="X36" s="125" cm="1">
        <f t="array" aca="1" ref="X36" ca="1">IF($C36="S",IF(OR(Import.TipoArredondamento&lt;&gt;"TransfereGOV",ACOMPANHAMENTO="BM"),VTOTAL1,SUM(OFFSET(CÁLCULO!$AQ$15,ROW($X36)-ROW($X$15),1):OFFSET(CÁLCULO!$BR$15,ROW($X36)-ROW($X$15),-1))),IF($C36=0,0,ROUND(SomaAgrup,15-13*$AF$11)))</f>
        <v>0</v>
      </c>
      <c r="Y36" s="126" t="s">
        <v>751</v>
      </c>
      <c r="Z36" t="str">
        <f t="shared" ca="1" si="14"/>
        <v/>
      </c>
      <c r="AA36" s="127" cm="1">
        <f t="array" aca="1" ref="AA36" ca="1">IF($C36="S",IF($Z36="CP",$X36,IF($Z36="RA",(($X36)*QCI!$AA$3),0)),SomaAgrup)</f>
        <v>0</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f ca="1">IF(C36&lt;=CRONO.NivelExibicao,MAX($AD$15:OFFSET(AD36,-1,0))+IF($C36&lt;&gt;1,1,MAX(1,COUNTIF(QCI!$A$13:$A$24,OFFSET($E36,-1,0)))),"")</f>
        <v>8</v>
      </c>
      <c r="AE36" s="7" t="b" cm="1">
        <f t="array" aca="1" ref="AE36" ca="1">IF(AND($C36="S",ORÇAMENTO.CodBarra&lt;&gt;""),IF(ORÇAMENTO.Fonte="",ORÇAMENTO.CodBarra,CONCATENATE(ORÇAMENTO.Fonte," ",ORÇAMENTO.CodBarra)))</f>
        <v>0</v>
      </c>
      <c r="AF36" s="12" t="str"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(Sem Código)</v>
      </c>
      <c r="AG36" s="428" cm="1">
        <f t="array" aca="1" ref="AG36" ca="1">ROUND(IF(DESONERACAO="sim",REFERENCIA.Desonerado,REFERENCIA.NaoDesonerado),2)</f>
        <v>0</v>
      </c>
      <c r="AH36" s="429">
        <f t="shared" ca="1" si="15"/>
        <v>0.2223</v>
      </c>
      <c r="AJ36" s="431"/>
      <c r="AL36" s="439"/>
      <c r="AM36" s="336">
        <f t="shared" ca="1" si="0"/>
        <v>0</v>
      </c>
      <c r="AN36" s="470" cm="1">
        <f t="array" aca="1" ref="AN36" ca="1">ROUND(ORÇAMENTO.CustoUnitario*(1+$AH36),2)</f>
        <v>0</v>
      </c>
    </row>
    <row r="37" spans="1:40" ht="38.25" x14ac:dyDescent="0.2">
      <c r="A37" t="str">
        <f t="shared" si="1"/>
        <v>S</v>
      </c>
      <c r="B37">
        <f t="shared" ca="1" si="2"/>
        <v>2</v>
      </c>
      <c r="C37" t="str">
        <f t="shared" ca="1" si="3"/>
        <v>S</v>
      </c>
      <c r="D37">
        <f t="shared" ca="1" si="4"/>
        <v>0</v>
      </c>
      <c r="E37">
        <f ca="1">IF($C37=1,OFFSET(E37,-1,0)+MAX(1,COUNTIF(QCI!$A$13:$A$24,OFFSET(ORÇAMENTO!E37,-1,0))),OFFSET(E37,-1,0))</f>
        <v>3</v>
      </c>
      <c r="F37">
        <f t="shared" ca="1" si="5"/>
        <v>2</v>
      </c>
      <c r="G37">
        <f t="shared" ca="1" si="6"/>
        <v>0</v>
      </c>
      <c r="H37">
        <f t="shared" ca="1" si="7"/>
        <v>0</v>
      </c>
      <c r="I37">
        <f t="shared" ca="1" si="8"/>
        <v>0</v>
      </c>
      <c r="J37">
        <f t="shared" ca="1" si="9"/>
        <v>0</v>
      </c>
      <c r="K37">
        <f ca="1">IF(OR($C37="S",$C37=0),0,MATCH(OFFSET($D37,0,$C37)+IF($C37&lt;&gt;1,1,COUNTIF(QCI!$A$13:$A$24,ORÇAMENTO!E37)),OFFSET($D37,1,$C37,ROW($C$244)-ROW($C37)),0))</f>
        <v>0</v>
      </c>
      <c r="L37" s="114" t="str">
        <f t="shared" ca="1" si="10"/>
        <v/>
      </c>
      <c r="M37" s="115" t="s">
        <v>705</v>
      </c>
      <c r="N37" s="116" t="str">
        <f t="shared" ca="1" si="11"/>
        <v>Serviço</v>
      </c>
      <c r="O37" s="117" t="str">
        <f t="shared" ca="1" si="12"/>
        <v>-</v>
      </c>
      <c r="P37" s="118" t="s">
        <v>750</v>
      </c>
      <c r="Q37" s="119" t="s">
        <v>1017</v>
      </c>
      <c r="R37" s="120" t="str" cm="1">
        <f t="array" aca="1" ref="R37" ca="1">IF($C37="S",REFERENCIA.Descricao,"(digite a descrição aqui)")</f>
        <v>(Código não identificado nas referências)</v>
      </c>
      <c r="S37" s="121" t="str" cm="1">
        <f t="array" aca="1" ref="S37" ca="1">REFERENCIA.Unidade</f>
        <v>-</v>
      </c>
      <c r="T37" s="122">
        <f ca="1">OFFSET(CÁLCULO!H$15,ROW($T37)-ROW(T$15),0)</f>
        <v>109.19999999999995</v>
      </c>
      <c r="U37" s="123">
        <f t="shared" ca="1" si="13"/>
        <v>0</v>
      </c>
      <c r="V37" s="124" t="s">
        <v>663</v>
      </c>
      <c r="W37" s="122" cm="1">
        <f t="array" aca="1" ref="W37" ca="1">IF($C37="S",ROUND(IF(TIPOORCAMENTO="Proposto",ORÇAMENTO.CustoUnitario*(1+$AH37),ORÇAMENTO.PrecoUnitarioLicitado),15-13*$AF$10),0)</f>
        <v>0</v>
      </c>
      <c r="X37" s="125" cm="1">
        <f t="array" aca="1" ref="X37" ca="1">IF($C37="S",IF(OR(Import.TipoArredondamento&lt;&gt;"TransfereGOV",ACOMPANHAMENTO="BM"),VTOTAL1,SUM(OFFSET(CÁLCULO!$AQ$15,ROW($X37)-ROW($X$15),1):OFFSET(CÁLCULO!$BR$15,ROW($X37)-ROW($X$15),-1))),IF($C37=0,0,ROUND(SomaAgrup,15-13*$AF$11)))</f>
        <v>0</v>
      </c>
      <c r="Y37" s="126" t="s">
        <v>751</v>
      </c>
      <c r="Z37" t="str">
        <f t="shared" ca="1" si="14"/>
        <v/>
      </c>
      <c r="AA37" s="127" cm="1">
        <f t="array" aca="1" ref="AA37" ca="1">IF($C37="S",IF($Z37="CP",$X37,IF($Z37="RA",(($X37)*QCI!$AA$3),0)),SomaAgrup)</f>
        <v>0</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CÓDIGO N/ID</v>
      </c>
      <c r="AD37" t="str">
        <f ca="1">IF(C37&lt;=CRONO.NivelExibicao,MAX($AD$15:OFFSET(AD37,-1,0))+IF($C37&lt;&gt;1,1,MAX(1,COUNTIF(QCI!$A$13:$A$24,OFFSET($E37,-1,0)))),"")</f>
        <v/>
      </c>
      <c r="AE37" s="7" t="str" cm="1">
        <f t="array" aca="1" ref="AE37" ca="1">IF(AND($C37="S",ORÇAMENTO.CodBarra&lt;&gt;""),IF(ORÇAMENTO.Fonte="",ORÇAMENTO.CodBarra,CONCATENATE(ORÇAMENTO.Fonte," ",ORÇAMENTO.CodBarra)))</f>
        <v>SINAPI 96527</v>
      </c>
      <c r="AF37" s="12" t="str"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(Código não identificado nas referências)</v>
      </c>
      <c r="AG37" s="428" cm="1">
        <f t="array" aca="1" ref="AG37" ca="1">ROUND(IF(DESONERACAO="sim",REFERENCIA.Desonerado,REFERENCIA.NaoDesonerado),2)</f>
        <v>0</v>
      </c>
      <c r="AH37" s="429">
        <f t="shared" ca="1" si="15"/>
        <v>0.2223</v>
      </c>
      <c r="AJ37" s="431"/>
      <c r="AL37" s="439"/>
      <c r="AM37" s="336">
        <f t="shared" ca="1" si="0"/>
        <v>0</v>
      </c>
      <c r="AN37" s="470" cm="1">
        <f t="array" aca="1" ref="AN37" ca="1">ROUND(ORÇAMENTO.CustoUnitario*(1+$AH37),2)</f>
        <v>0</v>
      </c>
    </row>
    <row r="38" spans="1:40" ht="25.5" x14ac:dyDescent="0.2">
      <c r="A38" t="str">
        <f t="shared" si="1"/>
        <v>S</v>
      </c>
      <c r="B38">
        <f t="shared" ca="1" si="2"/>
        <v>2</v>
      </c>
      <c r="C38" t="str">
        <f t="shared" ca="1" si="3"/>
        <v>S</v>
      </c>
      <c r="D38">
        <f t="shared" ca="1" si="4"/>
        <v>0</v>
      </c>
      <c r="E38">
        <f ca="1">IF($C38=1,OFFSET(E38,-1,0)+MAX(1,COUNTIF(QCI!$A$13:$A$24,OFFSET(ORÇAMENTO!E38,-1,0))),OFFSET(E38,-1,0))</f>
        <v>3</v>
      </c>
      <c r="F38">
        <f t="shared" ca="1" si="5"/>
        <v>2</v>
      </c>
      <c r="G38">
        <f t="shared" ca="1" si="6"/>
        <v>0</v>
      </c>
      <c r="H38">
        <f t="shared" ca="1" si="7"/>
        <v>0</v>
      </c>
      <c r="I38">
        <f t="shared" ca="1" si="8"/>
        <v>0</v>
      </c>
      <c r="J38">
        <f t="shared" ca="1" si="9"/>
        <v>0</v>
      </c>
      <c r="K38">
        <f ca="1">IF(OR($C38="S",$C38=0),0,MATCH(OFFSET($D38,0,$C38)+IF($C38&lt;&gt;1,1,COUNTIF(QCI!$A$13:$A$24,ORÇAMENTO!E38)),OFFSET($D38,1,$C38,ROW($C$244)-ROW($C38)),0))</f>
        <v>0</v>
      </c>
      <c r="L38" s="114" t="str">
        <f t="shared" ca="1" si="10"/>
        <v/>
      </c>
      <c r="M38" s="115" t="s">
        <v>705</v>
      </c>
      <c r="N38" s="116" t="str">
        <f t="shared" ca="1" si="11"/>
        <v>Serviço</v>
      </c>
      <c r="O38" s="117" t="str">
        <f t="shared" ca="1" si="12"/>
        <v>-</v>
      </c>
      <c r="P38" s="118" t="s">
        <v>750</v>
      </c>
      <c r="Q38" s="119" t="s">
        <v>1010</v>
      </c>
      <c r="R38" s="120" t="str" cm="1">
        <f t="array" aca="1" ref="R38" ca="1">IF($C38="S",REFERENCIA.Descricao,"(digite a descrição aqui)")</f>
        <v>(Código não identificado nas referências)</v>
      </c>
      <c r="S38" s="121" t="str" cm="1">
        <f t="array" aca="1" ref="S38" ca="1">REFERENCIA.Unidade</f>
        <v>-</v>
      </c>
      <c r="T38" s="122">
        <f ca="1">OFFSET(CÁLCULO!H$15,ROW($T38)-ROW(T$15),0)</f>
        <v>136.6</v>
      </c>
      <c r="U38" s="123">
        <f t="shared" ca="1" si="13"/>
        <v>0</v>
      </c>
      <c r="V38" s="124" t="s">
        <v>663</v>
      </c>
      <c r="W38" s="122" cm="1">
        <f t="array" aca="1" ref="W38" ca="1">IF($C38="S",ROUND(IF(TIPOORCAMENTO="Proposto",ORÇAMENTO.CustoUnitario*(1+$AH38),ORÇAMENTO.PrecoUnitarioLicitado),15-13*$AF$10),0)</f>
        <v>0</v>
      </c>
      <c r="X38" s="125" cm="1">
        <f t="array" aca="1" ref="X38" ca="1">IF($C38="S",IF(OR(Import.TipoArredondamento&lt;&gt;"TransfereGOV",ACOMPANHAMENTO="BM"),VTOTAL1,SUM(OFFSET(CÁLCULO!$AQ$15,ROW($X38)-ROW($X$15),1):OFFSET(CÁLCULO!$BR$15,ROW($X38)-ROW($X$15),-1))),IF($C38=0,0,ROUND(SomaAgrup,15-13*$AF$11)))</f>
        <v>0</v>
      </c>
      <c r="Y38" s="126" t="s">
        <v>751</v>
      </c>
      <c r="Z38" t="str">
        <f t="shared" ca="1" si="14"/>
        <v/>
      </c>
      <c r="AA38" s="127" cm="1">
        <f t="array" aca="1" ref="AA38" ca="1">IF($C38="S",IF($Z38="CP",$X38,IF($Z38="RA",(($X38)*QCI!$AA$3),0)),SomaAgrup)</f>
        <v>0</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CÓDIGO N/ID</v>
      </c>
      <c r="AD38" t="str">
        <f ca="1">IF(C38&lt;=CRONO.NivelExibicao,MAX($AD$15:OFFSET(AD38,-1,0))+IF($C38&lt;&gt;1,1,MAX(1,COUNTIF(QCI!$A$13:$A$24,OFFSET($E38,-1,0)))),"")</f>
        <v/>
      </c>
      <c r="AE38" s="7" t="str" cm="1">
        <f t="array" aca="1" ref="AE38" ca="1">IF(AND($C38="S",ORÇAMENTO.CodBarra&lt;&gt;""),IF(ORÇAMENTO.Fonte="",ORÇAMENTO.CodBarra,CONCATENATE(ORÇAMENTO.Fonte," ",ORÇAMENTO.CodBarra)))</f>
        <v>SINAPI 96619</v>
      </c>
      <c r="AF38" s="12" t="str"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(Código não identificado nas referências)</v>
      </c>
      <c r="AG38" s="428" cm="1">
        <f t="array" aca="1" ref="AG38" ca="1">ROUND(IF(DESONERACAO="sim",REFERENCIA.Desonerado,REFERENCIA.NaoDesonerado),2)</f>
        <v>0</v>
      </c>
      <c r="AH38" s="429">
        <f t="shared" ca="1" si="15"/>
        <v>0.2223</v>
      </c>
      <c r="AJ38" s="431"/>
      <c r="AL38" s="439"/>
      <c r="AM38" s="336">
        <f t="shared" ca="1" si="0"/>
        <v>0</v>
      </c>
      <c r="AN38" s="470" cm="1">
        <f t="array" aca="1" ref="AN38" ca="1">ROUND(ORÇAMENTO.CustoUnitario*(1+$AH38),2)</f>
        <v>0</v>
      </c>
    </row>
    <row r="39" spans="1:40" ht="38.25" x14ac:dyDescent="0.2">
      <c r="A39" t="str">
        <f t="shared" si="1"/>
        <v>S</v>
      </c>
      <c r="B39">
        <f t="shared" ca="1" si="2"/>
        <v>2</v>
      </c>
      <c r="C39" t="str">
        <f t="shared" ca="1" si="3"/>
        <v>S</v>
      </c>
      <c r="D39">
        <f t="shared" ca="1" si="4"/>
        <v>0</v>
      </c>
      <c r="E39">
        <f ca="1">IF($C39=1,OFFSET(E39,-1,0)+MAX(1,COUNTIF(QCI!$A$13:$A$24,OFFSET(ORÇAMENTO!E39,-1,0))),OFFSET(E39,-1,0))</f>
        <v>3</v>
      </c>
      <c r="F39">
        <f t="shared" ca="1" si="5"/>
        <v>2</v>
      </c>
      <c r="G39">
        <f t="shared" ca="1" si="6"/>
        <v>0</v>
      </c>
      <c r="H39">
        <f t="shared" ca="1" si="7"/>
        <v>0</v>
      </c>
      <c r="I39">
        <f t="shared" ca="1" si="8"/>
        <v>0</v>
      </c>
      <c r="J39">
        <f t="shared" ca="1" si="9"/>
        <v>0</v>
      </c>
      <c r="K39">
        <f ca="1">IF(OR($C39="S",$C39=0),0,MATCH(OFFSET($D39,0,$C39)+IF($C39&lt;&gt;1,1,COUNTIF(QCI!$A$13:$A$24,ORÇAMENTO!E39)),OFFSET($D39,1,$C39,ROW($C$244)-ROW($C39)),0))</f>
        <v>0</v>
      </c>
      <c r="L39" s="114" t="str">
        <f t="shared" ca="1" si="10"/>
        <v/>
      </c>
      <c r="M39" s="115" t="s">
        <v>705</v>
      </c>
      <c r="N39" s="116" t="str">
        <f t="shared" ca="1" si="11"/>
        <v>Serviço</v>
      </c>
      <c r="O39" s="117" t="str">
        <f t="shared" ca="1" si="12"/>
        <v>-</v>
      </c>
      <c r="P39" s="118" t="s">
        <v>750</v>
      </c>
      <c r="Q39" s="119" t="s">
        <v>1018</v>
      </c>
      <c r="R39" s="120" t="str" cm="1">
        <f t="array" aca="1" ref="R39" ca="1">IF($C39="S",REFERENCIA.Descricao,"(digite a descrição aqui)")</f>
        <v>(Código não identificado nas referências)</v>
      </c>
      <c r="S39" s="121" t="str" cm="1">
        <f t="array" aca="1" ref="S39" ca="1">REFERENCIA.Unidade</f>
        <v>-</v>
      </c>
      <c r="T39" s="122">
        <f ca="1">OFFSET(CÁLCULO!H$15,ROW($T39)-ROW(T$15),0)</f>
        <v>571.59999999999991</v>
      </c>
      <c r="U39" s="123">
        <f t="shared" ca="1" si="13"/>
        <v>0</v>
      </c>
      <c r="V39" s="124" t="s">
        <v>663</v>
      </c>
      <c r="W39" s="122" cm="1">
        <f t="array" aca="1" ref="W39" ca="1">IF($C39="S",ROUND(IF(TIPOORCAMENTO="Proposto",ORÇAMENTO.CustoUnitario*(1+$AH39),ORÇAMENTO.PrecoUnitarioLicitado),15-13*$AF$10),0)</f>
        <v>0</v>
      </c>
      <c r="X39" s="125" cm="1">
        <f t="array" aca="1" ref="X39" ca="1">IF($C39="S",IF(OR(Import.TipoArredondamento&lt;&gt;"TransfereGOV",ACOMPANHAMENTO="BM"),VTOTAL1,SUM(OFFSET(CÁLCULO!$AQ$15,ROW($X39)-ROW($X$15),1):OFFSET(CÁLCULO!$BR$15,ROW($X39)-ROW($X$15),-1))),IF($C39=0,0,ROUND(SomaAgrup,15-13*$AF$11)))</f>
        <v>0</v>
      </c>
      <c r="Y39" s="126" t="s">
        <v>751</v>
      </c>
      <c r="Z39" t="str">
        <f t="shared" ca="1" si="14"/>
        <v/>
      </c>
      <c r="AA39" s="127" cm="1">
        <f t="array" aca="1" ref="AA39" ca="1">IF($C39="S",IF($Z39="CP",$X39,IF($Z39="RA",(($X39)*QCI!$AA$3),0)),SomaAgrup)</f>
        <v>0</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CÓDIGO N/ID</v>
      </c>
      <c r="AD39" t="str">
        <f ca="1">IF(C39&lt;=CRONO.NivelExibicao,MAX($AD$15:OFFSET(AD39,-1,0))+IF($C39&lt;&gt;1,1,MAX(1,COUNTIF(QCI!$A$13:$A$24,OFFSET($E39,-1,0)))),"")</f>
        <v/>
      </c>
      <c r="AE39" s="7" t="str" cm="1">
        <f t="array" aca="1" ref="AE39" ca="1">IF(AND($C39="S",ORÇAMENTO.CodBarra&lt;&gt;""),IF(ORÇAMENTO.Fonte="",ORÇAMENTO.CodBarra,CONCATENATE(ORÇAMENTO.Fonte," ",ORÇAMENTO.CodBarra)))</f>
        <v>SINAPI 96536</v>
      </c>
      <c r="AF39" s="12" t="str"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(Código não identificado nas referências)</v>
      </c>
      <c r="AG39" s="428" cm="1">
        <f t="array" aca="1" ref="AG39" ca="1">ROUND(IF(DESONERACAO="sim",REFERENCIA.Desonerado,REFERENCIA.NaoDesonerado),2)</f>
        <v>0</v>
      </c>
      <c r="AH39" s="429">
        <f t="shared" ca="1" si="15"/>
        <v>0.2223</v>
      </c>
      <c r="AJ39" s="431"/>
      <c r="AL39" s="439"/>
      <c r="AM39" s="336">
        <f t="shared" ca="1" si="0"/>
        <v>0</v>
      </c>
      <c r="AN39" s="470" cm="1">
        <f t="array" aca="1" ref="AN39" ca="1">ROUND(ORÇAMENTO.CustoUnitario*(1+$AH39),2)</f>
        <v>0</v>
      </c>
    </row>
    <row r="40" spans="1:40" ht="25.5" x14ac:dyDescent="0.2">
      <c r="A40" t="str">
        <f t="shared" si="1"/>
        <v>S</v>
      </c>
      <c r="B40">
        <f t="shared" ca="1" si="2"/>
        <v>2</v>
      </c>
      <c r="C40" t="str">
        <f t="shared" ca="1" si="3"/>
        <v>S</v>
      </c>
      <c r="D40">
        <f t="shared" ca="1" si="4"/>
        <v>0</v>
      </c>
      <c r="E40">
        <f ca="1">IF($C40=1,OFFSET(E40,-1,0)+MAX(1,COUNTIF(QCI!$A$13:$A$24,OFFSET(ORÇAMENTO!E40,-1,0))),OFFSET(E40,-1,0))</f>
        <v>3</v>
      </c>
      <c r="F40">
        <f t="shared" ca="1" si="5"/>
        <v>2</v>
      </c>
      <c r="G40">
        <f t="shared" ca="1" si="6"/>
        <v>0</v>
      </c>
      <c r="H40">
        <f t="shared" ca="1" si="7"/>
        <v>0</v>
      </c>
      <c r="I40">
        <f t="shared" ca="1" si="8"/>
        <v>0</v>
      </c>
      <c r="J40">
        <f t="shared" ca="1" si="9"/>
        <v>0</v>
      </c>
      <c r="K40">
        <f ca="1">IF(OR($C40="S",$C40=0),0,MATCH(OFFSET($D40,0,$C40)+IF($C40&lt;&gt;1,1,COUNTIF(QCI!$A$13:$A$24,ORÇAMENTO!E40)),OFFSET($D40,1,$C40,ROW($C$244)-ROW($C40)),0))</f>
        <v>0</v>
      </c>
      <c r="L40" s="114" t="str">
        <f t="shared" ca="1" si="10"/>
        <v/>
      </c>
      <c r="M40" s="115" t="s">
        <v>705</v>
      </c>
      <c r="N40" s="116" t="str">
        <f t="shared" ca="1" si="11"/>
        <v>Serviço</v>
      </c>
      <c r="O40" s="117" t="str">
        <f t="shared" ca="1" si="12"/>
        <v>-</v>
      </c>
      <c r="P40" s="118" t="s">
        <v>750</v>
      </c>
      <c r="Q40" s="119" t="s">
        <v>1019</v>
      </c>
      <c r="R40" s="120" t="str" cm="1">
        <f t="array" aca="1" ref="R40" ca="1">IF($C40="S",REFERENCIA.Descricao,"(digite a descrição aqui)")</f>
        <v>(Código não identificado nas referências)</v>
      </c>
      <c r="S40" s="121" t="str" cm="1">
        <f t="array" aca="1" ref="S40" ca="1">REFERENCIA.Unidade</f>
        <v>-</v>
      </c>
      <c r="T40" s="122">
        <f ca="1">OFFSET(CÁLCULO!H$15,ROW($T40)-ROW(T$15),0)</f>
        <v>1608.0000000000005</v>
      </c>
      <c r="U40" s="123">
        <f t="shared" ca="1" si="13"/>
        <v>0</v>
      </c>
      <c r="V40" s="124" t="s">
        <v>663</v>
      </c>
      <c r="W40" s="122" cm="1">
        <f t="array" aca="1" ref="W40" ca="1">IF($C40="S",ROUND(IF(TIPOORCAMENTO="Proposto",ORÇAMENTO.CustoUnitario*(1+$AH40),ORÇAMENTO.PrecoUnitarioLicitado),15-13*$AF$10),0)</f>
        <v>0</v>
      </c>
      <c r="X40" s="125" cm="1">
        <f t="array" aca="1" ref="X40" ca="1">IF($C40="S",IF(OR(Import.TipoArredondamento&lt;&gt;"TransfereGOV",ACOMPANHAMENTO="BM"),VTOTAL1,SUM(OFFSET(CÁLCULO!$AQ$15,ROW($X40)-ROW($X$15),1):OFFSET(CÁLCULO!$BR$15,ROW($X40)-ROW($X$15),-1))),IF($C40=0,0,ROUND(SomaAgrup,15-13*$AF$11)))</f>
        <v>0</v>
      </c>
      <c r="Y40" s="126" t="s">
        <v>751</v>
      </c>
      <c r="Z40" t="str">
        <f t="shared" ca="1" si="14"/>
        <v/>
      </c>
      <c r="AA40" s="127" cm="1">
        <f t="array" aca="1" ref="AA40" ca="1">IF($C40="S",IF($Z40="CP",$X40,IF($Z40="RA",(($X40)*QCI!$AA$3),0)),SomaAgrup)</f>
        <v>0</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CÓDIGO N/ID</v>
      </c>
      <c r="AD40" t="str">
        <f ca="1">IF(C40&lt;=CRONO.NivelExibicao,MAX($AD$15:OFFSET(AD40,-1,0))+IF($C40&lt;&gt;1,1,MAX(1,COUNTIF(QCI!$A$13:$A$24,OFFSET($E40,-1,0)))),"")</f>
        <v/>
      </c>
      <c r="AE40" s="7" t="str" cm="1">
        <f t="array" aca="1" ref="AE40" ca="1">IF(AND($C40="S",ORÇAMENTO.CodBarra&lt;&gt;""),IF(ORÇAMENTO.Fonte="",ORÇAMENTO.CodBarra,CONCATENATE(ORÇAMENTO.Fonte," ",ORÇAMENTO.CodBarra)))</f>
        <v>SINAPI 104918</v>
      </c>
      <c r="AF40" s="12" t="str"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(Código não identificado nas referências)</v>
      </c>
      <c r="AG40" s="428" cm="1">
        <f t="array" aca="1" ref="AG40" ca="1">ROUND(IF(DESONERACAO="sim",REFERENCIA.Desonerado,REFERENCIA.NaoDesonerado),2)</f>
        <v>0</v>
      </c>
      <c r="AH40" s="429">
        <f t="shared" ca="1" si="15"/>
        <v>0.2223</v>
      </c>
      <c r="AJ40" s="431"/>
      <c r="AL40" s="439"/>
      <c r="AM40" s="336">
        <f t="shared" ca="1" si="0"/>
        <v>0</v>
      </c>
      <c r="AN40" s="470" cm="1">
        <f t="array" aca="1" ref="AN40" ca="1">ROUND(ORÇAMENTO.CustoUnitario*(1+$AH40),2)</f>
        <v>0</v>
      </c>
    </row>
    <row r="41" spans="1:40" ht="38.25" x14ac:dyDescent="0.2">
      <c r="A41" t="str">
        <f t="shared" si="1"/>
        <v>S</v>
      </c>
      <c r="B41">
        <f t="shared" ca="1" si="2"/>
        <v>2</v>
      </c>
      <c r="C41" t="str">
        <f t="shared" ca="1" si="3"/>
        <v>S</v>
      </c>
      <c r="D41">
        <f t="shared" ca="1" si="4"/>
        <v>0</v>
      </c>
      <c r="E41">
        <f ca="1">IF($C41=1,OFFSET(E41,-1,0)+MAX(1,COUNTIF(QCI!$A$13:$A$24,OFFSET(ORÇAMENTO!E41,-1,0))),OFFSET(E41,-1,0))</f>
        <v>3</v>
      </c>
      <c r="F41">
        <f t="shared" ca="1" si="5"/>
        <v>2</v>
      </c>
      <c r="G41">
        <f t="shared" ca="1" si="6"/>
        <v>0</v>
      </c>
      <c r="H41">
        <f t="shared" ca="1" si="7"/>
        <v>0</v>
      </c>
      <c r="I41">
        <f t="shared" ca="1" si="8"/>
        <v>0</v>
      </c>
      <c r="J41">
        <f t="shared" ca="1" si="9"/>
        <v>0</v>
      </c>
      <c r="K41">
        <f ca="1">IF(OR($C41="S",$C41=0),0,MATCH(OFFSET($D41,0,$C41)+IF($C41&lt;&gt;1,1,COUNTIF(QCI!$A$13:$A$24,ORÇAMENTO!E41)),OFFSET($D41,1,$C41,ROW($C$244)-ROW($C41)),0))</f>
        <v>0</v>
      </c>
      <c r="L41" s="114" t="str">
        <f t="shared" ca="1" si="10"/>
        <v/>
      </c>
      <c r="M41" s="115" t="s">
        <v>705</v>
      </c>
      <c r="N41" s="116" t="str">
        <f t="shared" ca="1" si="11"/>
        <v>Serviço</v>
      </c>
      <c r="O41" s="117" t="str">
        <f t="shared" ca="1" si="12"/>
        <v>-</v>
      </c>
      <c r="P41" s="118" t="s">
        <v>750</v>
      </c>
      <c r="Q41" s="119" t="s">
        <v>1013</v>
      </c>
      <c r="R41" s="120" t="str" cm="1">
        <f t="array" aca="1" ref="R41" ca="1">IF($C41="S",REFERENCIA.Descricao,"(digite a descrição aqui)")</f>
        <v>(Código não identificado nas referências)</v>
      </c>
      <c r="S41" s="121" t="str" cm="1">
        <f t="array" aca="1" ref="S41" ca="1">REFERENCIA.Unidade</f>
        <v>-</v>
      </c>
      <c r="T41" s="122">
        <f ca="1">OFFSET(CÁLCULO!H$15,ROW($T41)-ROW(T$15),0)</f>
        <v>154</v>
      </c>
      <c r="U41" s="123">
        <f t="shared" ca="1" si="13"/>
        <v>0</v>
      </c>
      <c r="V41" s="124" t="s">
        <v>663</v>
      </c>
      <c r="W41" s="122" cm="1">
        <f t="array" aca="1" ref="W41" ca="1">IF($C41="S",ROUND(IF(TIPOORCAMENTO="Proposto",ORÇAMENTO.CustoUnitario*(1+$AH41),ORÇAMENTO.PrecoUnitarioLicitado),15-13*$AF$10),0)</f>
        <v>0</v>
      </c>
      <c r="X41" s="125" cm="1">
        <f t="array" aca="1" ref="X41" ca="1">IF($C41="S",IF(OR(Import.TipoArredondamento&lt;&gt;"TransfereGOV",ACOMPANHAMENTO="BM"),VTOTAL1,SUM(OFFSET(CÁLCULO!$AQ$15,ROW($X41)-ROW($X$15),1):OFFSET(CÁLCULO!$BR$15,ROW($X41)-ROW($X$15),-1))),IF($C41=0,0,ROUND(SomaAgrup,15-13*$AF$11)))</f>
        <v>0</v>
      </c>
      <c r="Y41" s="126" t="s">
        <v>751</v>
      </c>
      <c r="Z41" t="str">
        <f t="shared" ca="1" si="14"/>
        <v/>
      </c>
      <c r="AA41" s="127" cm="1">
        <f t="array" aca="1" ref="AA41" ca="1">IF($C41="S",IF($Z41="CP",$X41,IF($Z41="RA",(($X41)*QCI!$AA$3),0)),SomaAgrup)</f>
        <v>0</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CÓDIGO N/ID</v>
      </c>
      <c r="AD41" t="str">
        <f ca="1">IF(C41&lt;=CRONO.NivelExibicao,MAX($AD$15:OFFSET(AD41,-1,0))+IF($C41&lt;&gt;1,1,MAX(1,COUNTIF(QCI!$A$13:$A$24,OFFSET($E41,-1,0)))),"")</f>
        <v/>
      </c>
      <c r="AE41" s="7" t="str" cm="1">
        <f t="array" aca="1" ref="AE41" ca="1">IF(AND($C41="S",ORÇAMENTO.CodBarra&lt;&gt;""),IF(ORÇAMENTO.Fonte="",ORÇAMENTO.CodBarra,CONCATENATE(ORÇAMENTO.Fonte," ",ORÇAMENTO.CodBarra)))</f>
        <v>SINAPI 104917</v>
      </c>
      <c r="AF41" s="12" t="str"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(Código não identificado nas referências)</v>
      </c>
      <c r="AG41" s="428" cm="1">
        <f t="array" aca="1" ref="AG41" ca="1">ROUND(IF(DESONERACAO="sim",REFERENCIA.Desonerado,REFERENCIA.NaoDesonerado),2)</f>
        <v>0</v>
      </c>
      <c r="AH41" s="429">
        <f t="shared" ca="1" si="15"/>
        <v>0.2223</v>
      </c>
      <c r="AJ41" s="431"/>
      <c r="AL41" s="439"/>
      <c r="AM41" s="336">
        <f t="shared" ca="1" si="0"/>
        <v>0</v>
      </c>
      <c r="AN41" s="470" cm="1">
        <f t="array" aca="1" ref="AN41" ca="1">ROUND(ORÇAMENTO.CustoUnitario*(1+$AH41),2)</f>
        <v>0</v>
      </c>
    </row>
    <row r="42" spans="1:40" ht="25.5" x14ac:dyDescent="0.2">
      <c r="A42" t="str">
        <f t="shared" si="1"/>
        <v>S</v>
      </c>
      <c r="B42">
        <f t="shared" ca="1" si="2"/>
        <v>2</v>
      </c>
      <c r="C42" t="str">
        <f t="shared" ca="1" si="3"/>
        <v>S</v>
      </c>
      <c r="D42">
        <f t="shared" ca="1" si="4"/>
        <v>0</v>
      </c>
      <c r="E42">
        <f ca="1">IF($C42=1,OFFSET(E42,-1,0)+MAX(1,COUNTIF(QCI!$A$13:$A$24,OFFSET(ORÇAMENTO!E42,-1,0))),OFFSET(E42,-1,0))</f>
        <v>3</v>
      </c>
      <c r="F42">
        <f t="shared" ca="1" si="5"/>
        <v>2</v>
      </c>
      <c r="G42">
        <f t="shared" ca="1" si="6"/>
        <v>0</v>
      </c>
      <c r="H42">
        <f t="shared" ca="1" si="7"/>
        <v>0</v>
      </c>
      <c r="I42">
        <f t="shared" ca="1" si="8"/>
        <v>0</v>
      </c>
      <c r="J42">
        <f t="shared" ca="1" si="9"/>
        <v>0</v>
      </c>
      <c r="K42">
        <f ca="1">IF(OR($C42="S",$C42=0),0,MATCH(OFFSET($D42,0,$C42)+IF($C42&lt;&gt;1,1,COUNTIF(QCI!$A$13:$A$24,ORÇAMENTO!E42)),OFFSET($D42,1,$C42,ROW($C$244)-ROW($C42)),0))</f>
        <v>0</v>
      </c>
      <c r="L42" s="114" t="str">
        <f t="shared" ca="1" si="10"/>
        <v/>
      </c>
      <c r="M42" s="115" t="s">
        <v>705</v>
      </c>
      <c r="N42" s="116" t="str">
        <f t="shared" ca="1" si="11"/>
        <v>Serviço</v>
      </c>
      <c r="O42" s="117" t="str">
        <f t="shared" ca="1" si="12"/>
        <v>-</v>
      </c>
      <c r="P42" s="118" t="s">
        <v>750</v>
      </c>
      <c r="Q42" s="119" t="s">
        <v>1014</v>
      </c>
      <c r="R42" s="120" t="str" cm="1">
        <f t="array" aca="1" ref="R42" ca="1">IF($C42="S",REFERENCIA.Descricao,"(digite a descrição aqui)")</f>
        <v>(Código não identificado nas referências)</v>
      </c>
      <c r="S42" s="121" t="str" cm="1">
        <f t="array" aca="1" ref="S42" ca="1">REFERENCIA.Unidade</f>
        <v>-</v>
      </c>
      <c r="T42" s="122">
        <f ca="1">OFFSET(CÁLCULO!H$15,ROW($T42)-ROW(T$15),0)</f>
        <v>780</v>
      </c>
      <c r="U42" s="123">
        <f t="shared" ca="1" si="13"/>
        <v>0</v>
      </c>
      <c r="V42" s="124" t="s">
        <v>663</v>
      </c>
      <c r="W42" s="122" cm="1">
        <f t="array" aca="1" ref="W42" ca="1">IF($C42="S",ROUND(IF(TIPOORCAMENTO="Proposto",ORÇAMENTO.CustoUnitario*(1+$AH42),ORÇAMENTO.PrecoUnitarioLicitado),15-13*$AF$10),0)</f>
        <v>0</v>
      </c>
      <c r="X42" s="125" cm="1">
        <f t="array" aca="1" ref="X42" ca="1">IF($C42="S",IF(OR(Import.TipoArredondamento&lt;&gt;"TransfereGOV",ACOMPANHAMENTO="BM"),VTOTAL1,SUM(OFFSET(CÁLCULO!$AQ$15,ROW($X42)-ROW($X$15),1):OFFSET(CÁLCULO!$BR$15,ROW($X42)-ROW($X$15),-1))),IF($C42=0,0,ROUND(SomaAgrup,15-13*$AF$11)))</f>
        <v>0</v>
      </c>
      <c r="Y42" s="126" t="s">
        <v>751</v>
      </c>
      <c r="Z42" t="str">
        <f t="shared" ca="1" si="14"/>
        <v/>
      </c>
      <c r="AA42" s="127" cm="1">
        <f t="array" aca="1" ref="AA42" ca="1">IF($C42="S",IF($Z42="CP",$X42,IF($Z42="RA",(($X42)*QCI!$AA$3),0)),SomaAgrup)</f>
        <v>0</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CÓDIGO N/ID</v>
      </c>
      <c r="AD42" t="str">
        <f ca="1">IF(C42&lt;=CRONO.NivelExibicao,MAX($AD$15:OFFSET(AD42,-1,0))+IF($C42&lt;&gt;1,1,MAX(1,COUNTIF(QCI!$A$13:$A$24,OFFSET($E42,-1,0)))),"")</f>
        <v/>
      </c>
      <c r="AE42" s="7" t="str" cm="1">
        <f t="array" aca="1" ref="AE42" ca="1">IF(AND($C42="S",ORÇAMENTO.CodBarra&lt;&gt;""),IF(ORÇAMENTO.Fonte="",ORÇAMENTO.CodBarra,CONCATENATE(ORÇAMENTO.Fonte," ",ORÇAMENTO.CodBarra)))</f>
        <v>SINAPI 104916</v>
      </c>
      <c r="AF42" s="12" t="str"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(Código não identificado nas referências)</v>
      </c>
      <c r="AG42" s="428" cm="1">
        <f t="array" aca="1" ref="AG42" ca="1">ROUND(IF(DESONERACAO="sim",REFERENCIA.Desonerado,REFERENCIA.NaoDesonerado),2)</f>
        <v>0</v>
      </c>
      <c r="AH42" s="429">
        <f t="shared" ca="1" si="15"/>
        <v>0.2223</v>
      </c>
      <c r="AJ42" s="431"/>
      <c r="AL42" s="439"/>
      <c r="AM42" s="336">
        <f t="shared" ca="1" si="0"/>
        <v>0</v>
      </c>
      <c r="AN42" s="470" cm="1">
        <f t="array" aca="1" ref="AN42" ca="1">ROUND(ORÇAMENTO.CustoUnitario*(1+$AH42),2)</f>
        <v>0</v>
      </c>
    </row>
    <row r="43" spans="1:40" ht="38.25" x14ac:dyDescent="0.2">
      <c r="A43" t="str">
        <f t="shared" si="1"/>
        <v>S</v>
      </c>
      <c r="B43">
        <f t="shared" ca="1" si="2"/>
        <v>2</v>
      </c>
      <c r="C43" t="str">
        <f t="shared" ca="1" si="3"/>
        <v>S</v>
      </c>
      <c r="D43">
        <f t="shared" ca="1" si="4"/>
        <v>0</v>
      </c>
      <c r="E43">
        <f ca="1">IF($C43=1,OFFSET(E43,-1,0)+MAX(1,COUNTIF(QCI!$A$13:$A$24,OFFSET(ORÇAMENTO!E43,-1,0))),OFFSET(E43,-1,0))</f>
        <v>3</v>
      </c>
      <c r="F43">
        <f t="shared" ca="1" si="5"/>
        <v>2</v>
      </c>
      <c r="G43">
        <f t="shared" ca="1" si="6"/>
        <v>0</v>
      </c>
      <c r="H43">
        <f t="shared" ca="1" si="7"/>
        <v>0</v>
      </c>
      <c r="I43">
        <f t="shared" ca="1" si="8"/>
        <v>0</v>
      </c>
      <c r="J43">
        <f t="shared" ca="1" si="9"/>
        <v>0</v>
      </c>
      <c r="K43">
        <f ca="1">IF(OR($C43="S",$C43=0),0,MATCH(OFFSET($D43,0,$C43)+IF($C43&lt;&gt;1,1,COUNTIF(QCI!$A$13:$A$24,ORÇAMENTO!E43)),OFFSET($D43,1,$C43,ROW($C$244)-ROW($C43)),0))</f>
        <v>0</v>
      </c>
      <c r="L43" s="114" t="str">
        <f t="shared" ca="1" si="10"/>
        <v/>
      </c>
      <c r="M43" s="115" t="s">
        <v>705</v>
      </c>
      <c r="N43" s="116" t="str">
        <f t="shared" ca="1" si="11"/>
        <v>Serviço</v>
      </c>
      <c r="O43" s="117" t="str">
        <f t="shared" ca="1" si="12"/>
        <v>-</v>
      </c>
      <c r="P43" s="118" t="s">
        <v>956</v>
      </c>
      <c r="Q43" s="119" t="s">
        <v>1020</v>
      </c>
      <c r="R43" s="120" t="str" cm="1">
        <f t="array" aca="1" ref="R43" ca="1">IF($C43="S",REFERENCIA.Descricao,"(digite a descrição aqui)")</f>
        <v>(Código não identificado nas referências)</v>
      </c>
      <c r="S43" s="121" t="str" cm="1">
        <f t="array" aca="1" ref="S43" ca="1">REFERENCIA.Unidade</f>
        <v>-</v>
      </c>
      <c r="T43" s="122">
        <f ca="1">OFFSET(CÁLCULO!H$15,ROW($T43)-ROW(T$15),0)</f>
        <v>38.199999999999989</v>
      </c>
      <c r="U43" s="123">
        <f t="shared" ca="1" si="13"/>
        <v>0</v>
      </c>
      <c r="V43" s="124" t="s">
        <v>663</v>
      </c>
      <c r="W43" s="122" cm="1">
        <f t="array" aca="1" ref="W43" ca="1">IF($C43="S",ROUND(IF(TIPOORCAMENTO="Proposto",ORÇAMENTO.CustoUnitario*(1+$AH43),ORÇAMENTO.PrecoUnitarioLicitado),15-13*$AF$10),0)</f>
        <v>0</v>
      </c>
      <c r="X43" s="125" cm="1">
        <f t="array" aca="1" ref="X43" ca="1">IF($C43="S",IF(OR(Import.TipoArredondamento&lt;&gt;"TransfereGOV",ACOMPANHAMENTO="BM"),VTOTAL1,SUM(OFFSET(CÁLCULO!$AQ$15,ROW($X43)-ROW($X$15),1):OFFSET(CÁLCULO!$BR$15,ROW($X43)-ROW($X$15),-1))),IF($C43=0,0,ROUND(SomaAgrup,15-13*$AF$11)))</f>
        <v>0</v>
      </c>
      <c r="Y43" s="126" t="s">
        <v>751</v>
      </c>
      <c r="Z43" t="str">
        <f t="shared" ca="1" si="14"/>
        <v/>
      </c>
      <c r="AA43" s="127" cm="1">
        <f t="array" aca="1" ref="AA43" ca="1">IF($C43="S",IF($Z43="CP",$X43,IF($Z43="RA",(($X43)*QCI!$AA$3),0)),SomaAgrup)</f>
        <v>0</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CÓDIGO N/ID</v>
      </c>
      <c r="AD43" t="str">
        <f ca="1">IF(C43&lt;=CRONO.NivelExibicao,MAX($AD$15:OFFSET(AD43,-1,0))+IF($C43&lt;&gt;1,1,MAX(1,COUNTIF(QCI!$A$13:$A$24,OFFSET($E43,-1,0)))),"")</f>
        <v/>
      </c>
      <c r="AE43" s="7" t="str" cm="1">
        <f t="array" aca="1" ref="AE43" ca="1">IF(AND($C43="S",ORÇAMENTO.CodBarra&lt;&gt;""),IF(ORÇAMENTO.Fonte="",ORÇAMENTO.CodBarra,CONCATENATE(ORÇAMENTO.Fonte," ",ORÇAMENTO.CodBarra)))</f>
        <v>Composição 96555_ADP-01</v>
      </c>
      <c r="AF43" s="12" t="str"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(Código não identificado nas referências)</v>
      </c>
      <c r="AG43" s="428" cm="1">
        <f t="array" aca="1" ref="AG43" ca="1">ROUND(IF(DESONERACAO="sim",REFERENCIA.Desonerado,REFERENCIA.NaoDesonerado),2)</f>
        <v>0</v>
      </c>
      <c r="AH43" s="429">
        <f t="shared" ca="1" si="15"/>
        <v>0.2223</v>
      </c>
      <c r="AJ43" s="431"/>
      <c r="AL43" s="439"/>
      <c r="AM43" s="336">
        <f t="shared" ca="1" si="0"/>
        <v>0</v>
      </c>
      <c r="AN43" s="470" cm="1">
        <f t="array" aca="1" ref="AN43" ca="1">ROUND(ORÇAMENTO.CustoUnitario*(1+$AH43),2)</f>
        <v>0</v>
      </c>
    </row>
    <row r="44" spans="1:40" ht="25.5" x14ac:dyDescent="0.2">
      <c r="A44" t="str">
        <f t="shared" si="1"/>
        <v>S</v>
      </c>
      <c r="B44">
        <f t="shared" ca="1" si="2"/>
        <v>2</v>
      </c>
      <c r="C44" t="str">
        <f t="shared" ca="1" si="3"/>
        <v>S</v>
      </c>
      <c r="D44">
        <f t="shared" ca="1" si="4"/>
        <v>0</v>
      </c>
      <c r="E44">
        <f ca="1">IF($C44=1,OFFSET(E44,-1,0)+MAX(1,COUNTIF(QCI!$A$13:$A$24,OFFSET(ORÇAMENTO!E44,-1,0))),OFFSET(E44,-1,0))</f>
        <v>3</v>
      </c>
      <c r="F44">
        <f t="shared" ca="1" si="5"/>
        <v>2</v>
      </c>
      <c r="G44">
        <f t="shared" ca="1" si="6"/>
        <v>0</v>
      </c>
      <c r="H44">
        <f t="shared" ca="1" si="7"/>
        <v>0</v>
      </c>
      <c r="I44">
        <f t="shared" ca="1" si="8"/>
        <v>0</v>
      </c>
      <c r="J44">
        <f t="shared" ca="1" si="9"/>
        <v>0</v>
      </c>
      <c r="K44">
        <f ca="1">IF(OR($C44="S",$C44=0),0,MATCH(OFFSET($D44,0,$C44)+IF($C44&lt;&gt;1,1,COUNTIF(QCI!$A$13:$A$24,ORÇAMENTO!E44)),OFFSET($D44,1,$C44,ROW($C$244)-ROW($C44)),0))</f>
        <v>0</v>
      </c>
      <c r="L44" s="114" t="str">
        <f t="shared" ca="1" si="10"/>
        <v/>
      </c>
      <c r="M44" s="115" t="s">
        <v>705</v>
      </c>
      <c r="N44" s="116" t="str">
        <f t="shared" ca="1" si="11"/>
        <v>Serviço</v>
      </c>
      <c r="O44" s="117" t="str">
        <f t="shared" ca="1" si="12"/>
        <v>-</v>
      </c>
      <c r="P44" s="118" t="s">
        <v>750</v>
      </c>
      <c r="Q44" s="119" t="s">
        <v>1016</v>
      </c>
      <c r="R44" s="120" t="str" cm="1">
        <f t="array" aca="1" ref="R44" ca="1">IF($C44="S",REFERENCIA.Descricao,"(digite a descrição aqui)")</f>
        <v>(Código não identificado nas referências)</v>
      </c>
      <c r="S44" s="121" t="str" cm="1">
        <f t="array" aca="1" ref="S44" ca="1">REFERENCIA.Unidade</f>
        <v>-</v>
      </c>
      <c r="T44" s="122">
        <f ca="1">OFFSET(CÁLCULO!H$15,ROW($T44)-ROW(T$15),0)</f>
        <v>64.2</v>
      </c>
      <c r="U44" s="123">
        <f t="shared" ca="1" si="13"/>
        <v>0</v>
      </c>
      <c r="V44" s="124" t="s">
        <v>663</v>
      </c>
      <c r="W44" s="122" cm="1">
        <f t="array" aca="1" ref="W44" ca="1">IF($C44="S",ROUND(IF(TIPOORCAMENTO="Proposto",ORÇAMENTO.CustoUnitario*(1+$AH44),ORÇAMENTO.PrecoUnitarioLicitado),15-13*$AF$10),0)</f>
        <v>0</v>
      </c>
      <c r="X44" s="125" cm="1">
        <f t="array" aca="1" ref="X44" ca="1">IF($C44="S",IF(OR(Import.TipoArredondamento&lt;&gt;"TransfereGOV",ACOMPANHAMENTO="BM"),VTOTAL1,SUM(OFFSET(CÁLCULO!$AQ$15,ROW($X44)-ROW($X$15),1):OFFSET(CÁLCULO!$BR$15,ROW($X44)-ROW($X$15),-1))),IF($C44=0,0,ROUND(SomaAgrup,15-13*$AF$11)))</f>
        <v>0</v>
      </c>
      <c r="Y44" s="126" t="s">
        <v>751</v>
      </c>
      <c r="Z44" t="str">
        <f t="shared" ca="1" si="14"/>
        <v/>
      </c>
      <c r="AA44" s="127" cm="1">
        <f t="array" aca="1" ref="AA44" ca="1">IF($C44="S",IF($Z44="CP",$X44,IF($Z44="RA",(($X44)*QCI!$AA$3),0)),SomaAgrup)</f>
        <v>0</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CÓDIGO N/ID</v>
      </c>
      <c r="AD44" t="str">
        <f ca="1">IF(C44&lt;=CRONO.NivelExibicao,MAX($AD$15:OFFSET(AD44,-1,0))+IF($C44&lt;&gt;1,1,MAX(1,COUNTIF(QCI!$A$13:$A$24,OFFSET($E44,-1,0)))),"")</f>
        <v/>
      </c>
      <c r="AE44" s="7" t="str" cm="1">
        <f t="array" aca="1" ref="AE44" ca="1">IF(AND($C44="S",ORÇAMENTO.CodBarra&lt;&gt;""),IF(ORÇAMENTO.Fonte="",ORÇAMENTO.CodBarra,CONCATENATE(ORÇAMENTO.Fonte," ",ORÇAMENTO.CodBarra)))</f>
        <v>SINAPI 93382</v>
      </c>
      <c r="AF44" s="12" t="str"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(Código não identificado nas referências)</v>
      </c>
      <c r="AG44" s="428" cm="1">
        <f t="array" aca="1" ref="AG44" ca="1">ROUND(IF(DESONERACAO="sim",REFERENCIA.Desonerado,REFERENCIA.NaoDesonerado),2)</f>
        <v>0</v>
      </c>
      <c r="AH44" s="429">
        <f t="shared" ca="1" si="15"/>
        <v>0.2223</v>
      </c>
      <c r="AJ44" s="431"/>
      <c r="AL44" s="439"/>
      <c r="AM44" s="336">
        <f t="shared" ca="1" si="0"/>
        <v>0</v>
      </c>
      <c r="AN44" s="470" cm="1">
        <f t="array" aca="1" ref="AN44" ca="1">ROUND(ORÇAMENTO.CustoUnitario*(1+$AH44),2)</f>
        <v>0</v>
      </c>
    </row>
    <row r="45" spans="1:40" x14ac:dyDescent="0.2">
      <c r="A45">
        <f t="shared" si="1"/>
        <v>2</v>
      </c>
      <c r="B45">
        <f t="shared" ca="1" si="2"/>
        <v>2</v>
      </c>
      <c r="C45">
        <f t="shared" ca="1" si="3"/>
        <v>2</v>
      </c>
      <c r="D45">
        <f t="shared" ca="1" si="4"/>
        <v>4</v>
      </c>
      <c r="E45">
        <f ca="1">IF($C45=1,OFFSET(E45,-1,0)+MAX(1,COUNTIF(QCI!$A$13:$A$24,OFFSET(ORÇAMENTO!E45,-1,0))),OFFSET(E45,-1,0))</f>
        <v>3</v>
      </c>
      <c r="F45">
        <f t="shared" ca="1" si="5"/>
        <v>3</v>
      </c>
      <c r="G45">
        <f t="shared" ca="1" si="6"/>
        <v>0</v>
      </c>
      <c r="H45">
        <f t="shared" ca="1" si="7"/>
        <v>0</v>
      </c>
      <c r="I45">
        <f t="shared" ca="1" si="8"/>
        <v>0</v>
      </c>
      <c r="J45">
        <f t="shared" ca="1" si="9"/>
        <v>4</v>
      </c>
      <c r="K45">
        <f ca="1">IF(OR($C45="S",$C45=0),0,MATCH(OFFSET($D45,0,$C45)+IF($C45&lt;&gt;1,1,COUNTIF(QCI!$A$13:$A$24,ORÇAMENTO!E45)),OFFSET($D45,1,$C45,ROW($C$244)-ROW($C45)),0))</f>
        <v>54</v>
      </c>
      <c r="L45" s="114" t="str">
        <f t="shared" ca="1" si="10"/>
        <v>F</v>
      </c>
      <c r="M45" s="115" t="s">
        <v>702</v>
      </c>
      <c r="N45" s="116" t="str">
        <f t="shared" ca="1" si="11"/>
        <v>Nível 2</v>
      </c>
      <c r="O45" s="117" t="str">
        <f t="shared" ca="1" si="12"/>
        <v>3.3.</v>
      </c>
      <c r="P45" s="118" t="s">
        <v>250</v>
      </c>
      <c r="Q45" s="119" t="s">
        <v>250</v>
      </c>
      <c r="R45" s="120" t="s">
        <v>1177</v>
      </c>
      <c r="S45" s="121"/>
      <c r="T45" s="122">
        <f ca="1">OFFSET(CÁLCULO!H$15,ROW($T45)-ROW(T$15),0)</f>
        <v>0</v>
      </c>
      <c r="U45" s="123">
        <f t="shared" ca="1" si="13"/>
        <v>0</v>
      </c>
      <c r="V45" s="124" t="s">
        <v>663</v>
      </c>
      <c r="W45" s="122" cm="1">
        <f t="array" aca="1" ref="W45" ca="1">IF($C45="S",ROUND(IF(TIPOORCAMENTO="Proposto",ORÇAMENTO.CustoUnitario*(1+$AH45),ORÇAMENTO.PrecoUnitarioLicitado),15-13*$AF$10),0)</f>
        <v>0</v>
      </c>
      <c r="X45" s="125" cm="1">
        <f t="array" aca="1" ref="X45" ca="1">IF($C45="S",IF(OR(Import.TipoArredondamento&lt;&gt;"TransfereGOV",ACOMPANHAMENTO="BM"),VTOTAL1,SUM(OFFSET(CÁLCULO!$AQ$15,ROW($X45)-ROW($X$15),1):OFFSET(CÁLCULO!$BR$15,ROW($X45)-ROW($X$15),-1))),IF($C45=0,0,ROUND(SomaAgrup,15-13*$AF$11)))</f>
        <v>0</v>
      </c>
      <c r="Y45" s="126" t="s">
        <v>751</v>
      </c>
      <c r="Z45" t="str">
        <f t="shared" ca="1" si="14"/>
        <v/>
      </c>
      <c r="AA45" s="127" cm="1">
        <f t="array" aca="1" ref="AA45" ca="1">IF($C45="S",IF($Z45="CP",$X45,IF($Z45="RA",(($X45)*QCI!$AA$3),0)),SomaAgrup)</f>
        <v>0</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f ca="1">IF(C45&lt;=CRONO.NivelExibicao,MAX($AD$15:OFFSET(AD45,-1,0))+IF($C45&lt;&gt;1,1,MAX(1,COUNTIF(QCI!$A$13:$A$24,OFFSET($E45,-1,0)))),"")</f>
        <v>9</v>
      </c>
      <c r="AE45" s="7" t="b" cm="1">
        <f t="array" aca="1" ref="AE45" ca="1">IF(AND($C45="S",ORÇAMENTO.CodBarra&lt;&gt;""),IF(ORÇAMENTO.Fonte="",ORÇAMENTO.CodBarra,CONCATENATE(ORÇAMENTO.Fonte," ",ORÇAMENTO.CodBarra)))</f>
        <v>0</v>
      </c>
      <c r="AF45" s="12" t="str"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(Sem Código)</v>
      </c>
      <c r="AG45" s="428" cm="1">
        <f t="array" aca="1" ref="AG45" ca="1">ROUND(IF(DESONERACAO="sim",REFERENCIA.Desonerado,REFERENCIA.NaoDesonerado),2)</f>
        <v>0</v>
      </c>
      <c r="AH45" s="429">
        <f t="shared" ca="1" si="15"/>
        <v>0.2223</v>
      </c>
      <c r="AJ45" s="431"/>
      <c r="AL45" s="439"/>
      <c r="AM45" s="336">
        <f t="shared" ca="1" si="0"/>
        <v>0</v>
      </c>
      <c r="AN45" s="470" cm="1">
        <f t="array" aca="1" ref="AN45" ca="1">ROUND(ORÇAMENTO.CustoUnitario*(1+$AH45),2)</f>
        <v>0</v>
      </c>
    </row>
    <row r="46" spans="1:40" ht="38.25" x14ac:dyDescent="0.2">
      <c r="A46" t="str">
        <f t="shared" si="1"/>
        <v>S</v>
      </c>
      <c r="B46">
        <f t="shared" ca="1" si="2"/>
        <v>2</v>
      </c>
      <c r="C46" t="str">
        <f t="shared" ca="1" si="3"/>
        <v>S</v>
      </c>
      <c r="D46">
        <f t="shared" ca="1" si="4"/>
        <v>0</v>
      </c>
      <c r="E46">
        <f ca="1">IF($C46=1,OFFSET(E46,-1,0)+MAX(1,COUNTIF(QCI!$A$13:$A$24,OFFSET(ORÇAMENTO!E46,-1,0))),OFFSET(E46,-1,0))</f>
        <v>3</v>
      </c>
      <c r="F46">
        <f t="shared" ca="1" si="5"/>
        <v>3</v>
      </c>
      <c r="G46">
        <f t="shared" ca="1" si="6"/>
        <v>0</v>
      </c>
      <c r="H46">
        <f t="shared" ca="1" si="7"/>
        <v>0</v>
      </c>
      <c r="I46">
        <f t="shared" ca="1" si="8"/>
        <v>0</v>
      </c>
      <c r="J46">
        <f t="shared" ca="1" si="9"/>
        <v>0</v>
      </c>
      <c r="K46">
        <f ca="1">IF(OR($C46="S",$C46=0),0,MATCH(OFFSET($D46,0,$C46)+IF($C46&lt;&gt;1,1,COUNTIF(QCI!$A$13:$A$24,ORÇAMENTO!E46)),OFFSET($D46,1,$C46,ROW($C$244)-ROW($C46)),0))</f>
        <v>0</v>
      </c>
      <c r="L46" s="114" t="str">
        <f t="shared" ca="1" si="10"/>
        <v/>
      </c>
      <c r="M46" s="115" t="s">
        <v>705</v>
      </c>
      <c r="N46" s="116" t="str">
        <f t="shared" ca="1" si="11"/>
        <v>Serviço</v>
      </c>
      <c r="O46" s="117" t="str">
        <f t="shared" ca="1" si="12"/>
        <v>-</v>
      </c>
      <c r="P46" s="118" t="s">
        <v>750</v>
      </c>
      <c r="Q46" s="119" t="s">
        <v>1021</v>
      </c>
      <c r="R46" s="120" t="str" cm="1">
        <f t="array" aca="1" ref="R46" ca="1">IF($C46="S",REFERENCIA.Descricao,"(digite a descrição aqui)")</f>
        <v>(Código não identificado nas referências)</v>
      </c>
      <c r="S46" s="121" t="str" cm="1">
        <f t="array" aca="1" ref="S46" ca="1">REFERENCIA.Unidade</f>
        <v>-</v>
      </c>
      <c r="T46" s="122">
        <f ca="1">OFFSET(CÁLCULO!H$15,ROW($T46)-ROW(T$15),0)</f>
        <v>679.00000000000011</v>
      </c>
      <c r="U46" s="123">
        <f t="shared" ca="1" si="13"/>
        <v>0</v>
      </c>
      <c r="V46" s="124" t="s">
        <v>663</v>
      </c>
      <c r="W46" s="122" cm="1">
        <f t="array" aca="1" ref="W46" ca="1">IF($C46="S",ROUND(IF(TIPOORCAMENTO="Proposto",ORÇAMENTO.CustoUnitario*(1+$AH46),ORÇAMENTO.PrecoUnitarioLicitado),15-13*$AF$10),0)</f>
        <v>0</v>
      </c>
      <c r="X46" s="125" cm="1">
        <f t="array" aca="1" ref="X46" ca="1">IF($C46="S",IF(OR(Import.TipoArredondamento&lt;&gt;"TransfereGOV",ACOMPANHAMENTO="BM"),VTOTAL1,SUM(OFFSET(CÁLCULO!$AQ$15,ROW($X46)-ROW($X$15),1):OFFSET(CÁLCULO!$BR$15,ROW($X46)-ROW($X$15),-1))),IF($C46=0,0,ROUND(SomaAgrup,15-13*$AF$11)))</f>
        <v>0</v>
      </c>
      <c r="Y46" s="126" t="s">
        <v>751</v>
      </c>
      <c r="Z46" t="str">
        <f t="shared" ca="1" si="14"/>
        <v/>
      </c>
      <c r="AA46" s="127" cm="1">
        <f t="array" aca="1" ref="AA46" ca="1">IF($C46="S",IF($Z46="CP",$X46,IF($Z46="RA",(($X46)*QCI!$AA$3),0)),SomaAgrup)</f>
        <v>0</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CÓDIGO N/ID</v>
      </c>
      <c r="AD46" t="str">
        <f ca="1">IF(C46&lt;=CRONO.NivelExibicao,MAX($AD$15:OFFSET(AD46,-1,0))+IF($C46&lt;&gt;1,1,MAX(1,COUNTIF(QCI!$A$13:$A$24,OFFSET($E46,-1,0)))),"")</f>
        <v/>
      </c>
      <c r="AE46" s="7" t="str" cm="1">
        <f t="array" aca="1" ref="AE46" ca="1">IF(AND($C46="S",ORÇAMENTO.CodBarra&lt;&gt;""),IF(ORÇAMENTO.Fonte="",ORÇAMENTO.CodBarra,CONCATENATE(ORÇAMENTO.Fonte," ",ORÇAMENTO.CodBarra)))</f>
        <v>SINAPI 87878</v>
      </c>
      <c r="AF46" s="12" t="str"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(Código não identificado nas referências)</v>
      </c>
      <c r="AG46" s="428" cm="1">
        <f t="array" aca="1" ref="AG46" ca="1">ROUND(IF(DESONERACAO="sim",REFERENCIA.Desonerado,REFERENCIA.NaoDesonerado),2)</f>
        <v>0</v>
      </c>
      <c r="AH46" s="429">
        <f t="shared" ca="1" si="15"/>
        <v>0.2223</v>
      </c>
      <c r="AJ46" s="431"/>
      <c r="AL46" s="439"/>
      <c r="AM46" s="336">
        <f t="shared" ca="1" si="0"/>
        <v>0</v>
      </c>
      <c r="AN46" s="470" cm="1">
        <f t="array" aca="1" ref="AN46" ca="1">ROUND(ORÇAMENTO.CustoUnitario*(1+$AH46),2)</f>
        <v>0</v>
      </c>
    </row>
    <row r="47" spans="1:40" ht="38.25" x14ac:dyDescent="0.2">
      <c r="A47" t="str">
        <f t="shared" si="1"/>
        <v>S</v>
      </c>
      <c r="B47">
        <f t="shared" ca="1" si="2"/>
        <v>2</v>
      </c>
      <c r="C47" t="str">
        <f t="shared" ca="1" si="3"/>
        <v>S</v>
      </c>
      <c r="D47">
        <f t="shared" ca="1" si="4"/>
        <v>0</v>
      </c>
      <c r="E47">
        <f ca="1">IF($C47=1,OFFSET(E47,-1,0)+MAX(1,COUNTIF(QCI!$A$13:$A$24,OFFSET(ORÇAMENTO!E47,-1,0))),OFFSET(E47,-1,0))</f>
        <v>3</v>
      </c>
      <c r="F47">
        <f t="shared" ca="1" si="5"/>
        <v>3</v>
      </c>
      <c r="G47">
        <f t="shared" ca="1" si="6"/>
        <v>0</v>
      </c>
      <c r="H47">
        <f t="shared" ca="1" si="7"/>
        <v>0</v>
      </c>
      <c r="I47">
        <f t="shared" ca="1" si="8"/>
        <v>0</v>
      </c>
      <c r="J47">
        <f t="shared" ca="1" si="9"/>
        <v>0</v>
      </c>
      <c r="K47">
        <f ca="1">IF(OR($C47="S",$C47=0),0,MATCH(OFFSET($D47,0,$C47)+IF($C47&lt;&gt;1,1,COUNTIF(QCI!$A$13:$A$24,ORÇAMENTO!E47)),OFFSET($D47,1,$C47,ROW($C$244)-ROW($C47)),0))</f>
        <v>0</v>
      </c>
      <c r="L47" s="114" t="str">
        <f t="shared" ca="1" si="10"/>
        <v/>
      </c>
      <c r="M47" s="115" t="s">
        <v>705</v>
      </c>
      <c r="N47" s="116" t="str">
        <f t="shared" ca="1" si="11"/>
        <v>Serviço</v>
      </c>
      <c r="O47" s="117" t="str">
        <f t="shared" ca="1" si="12"/>
        <v>-</v>
      </c>
      <c r="P47" s="118" t="s">
        <v>750</v>
      </c>
      <c r="Q47" s="119" t="s">
        <v>1022</v>
      </c>
      <c r="R47" s="120" t="str" cm="1">
        <f t="array" aca="1" ref="R47" ca="1">IF($C47="S",REFERENCIA.Descricao,"(digite a descrição aqui)")</f>
        <v>(Código não identificado nas referências)</v>
      </c>
      <c r="S47" s="121" t="str" cm="1">
        <f t="array" aca="1" ref="S47" ca="1">REFERENCIA.Unidade</f>
        <v>-</v>
      </c>
      <c r="T47" s="122">
        <f ca="1">OFFSET(CÁLCULO!H$15,ROW($T47)-ROW(T$15),0)</f>
        <v>679.00000000000011</v>
      </c>
      <c r="U47" s="123">
        <f t="shared" ca="1" si="13"/>
        <v>0</v>
      </c>
      <c r="V47" s="124" t="s">
        <v>663</v>
      </c>
      <c r="W47" s="122" cm="1">
        <f t="array" aca="1" ref="W47" ca="1">IF($C47="S",ROUND(IF(TIPOORCAMENTO="Proposto",ORÇAMENTO.CustoUnitario*(1+$AH47),ORÇAMENTO.PrecoUnitarioLicitado),15-13*$AF$10),0)</f>
        <v>0</v>
      </c>
      <c r="X47" s="125" cm="1">
        <f t="array" aca="1" ref="X47" ca="1">IF($C47="S",IF(OR(Import.TipoArredondamento&lt;&gt;"TransfereGOV",ACOMPANHAMENTO="BM"),VTOTAL1,SUM(OFFSET(CÁLCULO!$AQ$15,ROW($X47)-ROW($X$15),1):OFFSET(CÁLCULO!$BR$15,ROW($X47)-ROW($X$15),-1))),IF($C47=0,0,ROUND(SomaAgrup,15-13*$AF$11)))</f>
        <v>0</v>
      </c>
      <c r="Y47" s="126" t="s">
        <v>751</v>
      </c>
      <c r="Z47" t="str">
        <f t="shared" ca="1" si="14"/>
        <v/>
      </c>
      <c r="AA47" s="127" cm="1">
        <f t="array" aca="1" ref="AA47" ca="1">IF($C47="S",IF($Z47="CP",$X47,IF($Z47="RA",(($X47)*QCI!$AA$3),0)),SomaAgrup)</f>
        <v>0</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CÓDIGO N/ID</v>
      </c>
      <c r="AD47" t="str">
        <f ca="1">IF(C47&lt;=CRONO.NivelExibicao,MAX($AD$15:OFFSET(AD47,-1,0))+IF($C47&lt;&gt;1,1,MAX(1,COUNTIF(QCI!$A$13:$A$24,OFFSET($E47,-1,0)))),"")</f>
        <v/>
      </c>
      <c r="AE47" s="7" t="str" cm="1">
        <f t="array" aca="1" ref="AE47" ca="1">IF(AND($C47="S",ORÇAMENTO.CodBarra&lt;&gt;""),IF(ORÇAMENTO.Fonte="",ORÇAMENTO.CodBarra,CONCATENATE(ORÇAMENTO.Fonte," ",ORÇAMENTO.CodBarra)))</f>
        <v>SINAPI 98562</v>
      </c>
      <c r="AF47" s="12" t="str"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(Código não identificado nas referências)</v>
      </c>
      <c r="AG47" s="428" cm="1">
        <f t="array" aca="1" ref="AG47" ca="1">ROUND(IF(DESONERACAO="sim",REFERENCIA.Desonerado,REFERENCIA.NaoDesonerado),2)</f>
        <v>0</v>
      </c>
      <c r="AH47" s="429">
        <f t="shared" ca="1" si="15"/>
        <v>0.2223</v>
      </c>
      <c r="AJ47" s="431"/>
      <c r="AL47" s="439"/>
      <c r="AM47" s="336">
        <f t="shared" ca="1" si="0"/>
        <v>0</v>
      </c>
      <c r="AN47" s="470" cm="1">
        <f t="array" aca="1" ref="AN47" ca="1">ROUND(ORÇAMENTO.CustoUnitario*(1+$AH47),2)</f>
        <v>0</v>
      </c>
    </row>
    <row r="48" spans="1:40" ht="25.5" x14ac:dyDescent="0.2">
      <c r="A48" t="str">
        <f t="shared" si="1"/>
        <v>S</v>
      </c>
      <c r="B48">
        <f t="shared" ca="1" si="2"/>
        <v>2</v>
      </c>
      <c r="C48" t="str">
        <f t="shared" ca="1" si="3"/>
        <v>S</v>
      </c>
      <c r="D48">
        <f t="shared" ca="1" si="4"/>
        <v>0</v>
      </c>
      <c r="E48">
        <f ca="1">IF($C48=1,OFFSET(E48,-1,0)+MAX(1,COUNTIF(QCI!$A$13:$A$24,OFFSET(ORÇAMENTO!E48,-1,0))),OFFSET(E48,-1,0))</f>
        <v>3</v>
      </c>
      <c r="F48">
        <f t="shared" ca="1" si="5"/>
        <v>3</v>
      </c>
      <c r="G48">
        <f t="shared" ca="1" si="6"/>
        <v>0</v>
      </c>
      <c r="H48">
        <f t="shared" ca="1" si="7"/>
        <v>0</v>
      </c>
      <c r="I48">
        <f t="shared" ca="1" si="8"/>
        <v>0</v>
      </c>
      <c r="J48">
        <f t="shared" ref="J48:J77" ca="1" si="16">IF(OR($C48="S",$C48=0),0,MATCH(0,OFFSET($D48,1,$C48,ROW($C$244)-ROW($C48)),0))</f>
        <v>0</v>
      </c>
      <c r="K48">
        <f ca="1">IF(OR($C48="S",$C48=0),0,MATCH(OFFSET($D48,0,$C48)+IF($C48&lt;&gt;1,1,COUNTIF(QCI!$A$13:$A$24,ORÇAMENTO!E48)),OFFSET($D48,1,$C48,ROW($C$244)-ROW($C48)),0))</f>
        <v>0</v>
      </c>
      <c r="L48" s="114" t="str">
        <f t="shared" ca="1" si="10"/>
        <v/>
      </c>
      <c r="M48" s="115" t="s">
        <v>705</v>
      </c>
      <c r="N48" s="116" t="str">
        <f t="shared" ca="1" si="11"/>
        <v>Serviço</v>
      </c>
      <c r="O48" s="117" t="str">
        <f t="shared" ca="1" si="12"/>
        <v>-</v>
      </c>
      <c r="P48" s="118" t="s">
        <v>750</v>
      </c>
      <c r="Q48" s="119" t="s">
        <v>1023</v>
      </c>
      <c r="R48" s="120" t="str" cm="1">
        <f t="array" aca="1" ref="R48" ca="1">IF($C48="S",REFERENCIA.Descricao,"(digite a descrição aqui)")</f>
        <v>(Código não identificado nas referências)</v>
      </c>
      <c r="S48" s="121" t="str" cm="1">
        <f t="array" aca="1" ref="S48" ca="1">REFERENCIA.Unidade</f>
        <v>-</v>
      </c>
      <c r="T48" s="122">
        <f ca="1">OFFSET(CÁLCULO!H$15,ROW($T48)-ROW(T$15),0)</f>
        <v>679.00000000000011</v>
      </c>
      <c r="U48" s="123">
        <f t="shared" ca="1" si="13"/>
        <v>0</v>
      </c>
      <c r="V48" s="124" t="s">
        <v>663</v>
      </c>
      <c r="W48" s="122" cm="1">
        <f t="array" aca="1" ref="W48" ca="1">IF($C48="S",ROUND(IF(TIPOORCAMENTO="Proposto",ORÇAMENTO.CustoUnitario*(1+$AH48),ORÇAMENTO.PrecoUnitarioLicitado),15-13*$AF$10),0)</f>
        <v>0</v>
      </c>
      <c r="X48" s="125" cm="1">
        <f t="array" aca="1" ref="X48" ca="1">IF($C48="S",IF(OR(Import.TipoArredondamento&lt;&gt;"TransfereGOV",ACOMPANHAMENTO="BM"),VTOTAL1,SUM(OFFSET(CÁLCULO!$AQ$15,ROW($X48)-ROW($X$15),1):OFFSET(CÁLCULO!$BR$15,ROW($X48)-ROW($X$15),-1))),IF($C48=0,0,ROUND(SomaAgrup,15-13*$AF$11)))</f>
        <v>0</v>
      </c>
      <c r="Y48" s="126" t="s">
        <v>751</v>
      </c>
      <c r="Z48" t="str">
        <f t="shared" ca="1" si="14"/>
        <v/>
      </c>
      <c r="AA48" s="127" cm="1">
        <f t="array" aca="1" ref="AA48" ca="1">IF($C48="S",IF($Z48="CP",$X48,IF($Z48="RA",(($X48)*QCI!$AA$3),0)),SomaAgrup)</f>
        <v>0</v>
      </c>
      <c r="AB48" s="128" cm="1">
        <f t="array" aca="1" ref="AB48" ca="1">IF($C48="S",IF($Z48="OU",ROUND($X48,2),0),SomaAgrup)</f>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CÓDIGO N/ID</v>
      </c>
      <c r="AD48" t="str">
        <f ca="1">IF(C48&lt;=CRONO.NivelExibicao,MAX($AD$15:OFFSET(AD48,-1,0))+IF($C48&lt;&gt;1,1,MAX(1,COUNTIF(QCI!$A$13:$A$24,OFFSET($E48,-1,0)))),"")</f>
        <v/>
      </c>
      <c r="AE48" s="7" t="str" cm="1">
        <f t="array" aca="1" ref="AE48" ca="1">IF(AND($C48="S",ORÇAMENTO.CodBarra&lt;&gt;""),IF(ORÇAMENTO.Fonte="",ORÇAMENTO.CodBarra,CONCATENATE(ORÇAMENTO.Fonte," ",ORÇAMENTO.CodBarra)))</f>
        <v>SINAPI 98557</v>
      </c>
      <c r="AF48" s="12" t="str"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(Código não identificado nas referências)</v>
      </c>
      <c r="AG48" s="428" cm="1">
        <f t="array" aca="1" ref="AG48" ca="1">ROUND(IF(DESONERACAO="sim",REFERENCIA.Desonerado,REFERENCIA.NaoDesonerado),2)</f>
        <v>0</v>
      </c>
      <c r="AH48" s="429">
        <f t="shared" ca="1" si="15"/>
        <v>0.2223</v>
      </c>
      <c r="AJ48" s="431"/>
      <c r="AL48" s="439"/>
      <c r="AM48" s="336">
        <f t="shared" ca="1" si="0"/>
        <v>0</v>
      </c>
      <c r="AN48" s="470" cm="1">
        <f t="array" aca="1" ref="AN48" ca="1">ROUND(ORÇAMENTO.CustoUnitario*(1+$AH48),2)</f>
        <v>0</v>
      </c>
    </row>
    <row r="49" spans="1:40" x14ac:dyDescent="0.2">
      <c r="A49">
        <f t="shared" si="1"/>
        <v>1</v>
      </c>
      <c r="B49">
        <f t="shared" ca="1" si="2"/>
        <v>1</v>
      </c>
      <c r="C49">
        <f t="shared" ca="1" si="3"/>
        <v>1</v>
      </c>
      <c r="D49">
        <f t="shared" ca="1" si="4"/>
        <v>12</v>
      </c>
      <c r="E49">
        <f ca="1">IF($C49=1,OFFSET(E49,-1,0)+MAX(1,COUNTIF(QCI!$A$13:$A$24,OFFSET(ORÇAMENTO!E49,-1,0))),OFFSET(E49,-1,0))</f>
        <v>4</v>
      </c>
      <c r="F49">
        <f t="shared" ca="1" si="5"/>
        <v>0</v>
      </c>
      <c r="G49">
        <f t="shared" ca="1" si="6"/>
        <v>0</v>
      </c>
      <c r="H49">
        <f t="shared" ca="1" si="7"/>
        <v>0</v>
      </c>
      <c r="I49">
        <f t="shared" ca="1" si="8"/>
        <v>0</v>
      </c>
      <c r="J49">
        <f t="shared" ca="1" si="16"/>
        <v>195</v>
      </c>
      <c r="K49">
        <f ca="1">IF(OR($C49="S",$C49=0),0,MATCH(OFFSET($D49,0,$C49)+IF($C49&lt;&gt;1,1,COUNTIF(QCI!$A$13:$A$24,ORÇAMENTO!E49)),OFFSET($D49,1,$C49,ROW($C$244)-ROW($C49)),0))</f>
        <v>12</v>
      </c>
      <c r="L49" s="114" t="str">
        <f t="shared" ca="1" si="10"/>
        <v>F</v>
      </c>
      <c r="M49" s="115" t="s">
        <v>701</v>
      </c>
      <c r="N49" s="116" t="str">
        <f t="shared" ca="1" si="11"/>
        <v>Meta</v>
      </c>
      <c r="O49" s="117" t="str">
        <f t="shared" ca="1" si="12"/>
        <v>4.</v>
      </c>
      <c r="P49" s="118" t="s">
        <v>250</v>
      </c>
      <c r="Q49" s="119" t="s">
        <v>250</v>
      </c>
      <c r="R49" s="120" t="s">
        <v>1178</v>
      </c>
      <c r="S49" s="121"/>
      <c r="T49" s="122">
        <f ca="1">OFFSET(CÁLCULO!H$15,ROW($T49)-ROW(T$15),0)</f>
        <v>0</v>
      </c>
      <c r="U49" s="123">
        <f t="shared" ca="1" si="13"/>
        <v>0</v>
      </c>
      <c r="V49" s="124" t="s">
        <v>663</v>
      </c>
      <c r="W49" s="122" cm="1">
        <f t="array" aca="1" ref="W49" ca="1">IF($C49="S",ROUND(IF(TIPOORCAMENTO="Proposto",ORÇAMENTO.CustoUnitario*(1+$AH49),ORÇAMENTO.PrecoUnitarioLicitado),15-13*$AF$10),0)</f>
        <v>0</v>
      </c>
      <c r="X49" s="125" cm="1">
        <f t="array" aca="1" ref="X49" ca="1">IF($C49="S",IF(OR(Import.TipoArredondamento&lt;&gt;"TransfereGOV",ACOMPANHAMENTO="BM"),VTOTAL1,SUM(OFFSET(CÁLCULO!$AQ$15,ROW($X49)-ROW($X$15),1):OFFSET(CÁLCULO!$BR$15,ROW($X49)-ROW($X$15),-1))),IF($C49=0,0,ROUND(SomaAgrup,15-13*$AF$11)))</f>
        <v>0</v>
      </c>
      <c r="Y49" s="126" t="s">
        <v>751</v>
      </c>
      <c r="Z49" t="str">
        <f t="shared" ca="1" si="14"/>
        <v/>
      </c>
      <c r="AA49" s="127" cm="1">
        <f t="array" aca="1" ref="AA49" ca="1">IF($C49="S",IF($Z49="CP",$X49,IF($Z49="RA",(($X49)*QCI!$AA$3),0)),SomaAgrup)</f>
        <v>0</v>
      </c>
      <c r="AB49" s="128" cm="1">
        <f t="array" aca="1" ref="AB49" ca="1">IF($C49="S",IF($Z49="OU",ROUND($X49,2),0),SomaAgrup)</f>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f ca="1">IF(C49&lt;=CRONO.NivelExibicao,MAX($AD$15:OFFSET(AD49,-1,0))+IF($C49&lt;&gt;1,1,MAX(1,COUNTIF(QCI!$A$13:$A$24,OFFSET($E49,-1,0)))),"")</f>
        <v>10</v>
      </c>
      <c r="AE49" s="7" t="b" cm="1">
        <f t="array" aca="1" ref="AE49" ca="1">IF(AND($C49="S",ORÇAMENTO.CodBarra&lt;&gt;""),IF(ORÇAMENTO.Fonte="",ORÇAMENTO.CodBarra,CONCATENATE(ORÇAMENTO.Fonte," ",ORÇAMENTO.CodBarra)))</f>
        <v>0</v>
      </c>
      <c r="AF49" s="12" t="str"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(Sem Código)</v>
      </c>
      <c r="AG49" s="428" cm="1">
        <f t="array" aca="1" ref="AG49" ca="1">ROUND(IF(DESONERACAO="sim",REFERENCIA.Desonerado,REFERENCIA.NaoDesonerado),2)</f>
        <v>0</v>
      </c>
      <c r="AH49" s="429">
        <f t="shared" ca="1" si="15"/>
        <v>0.2223</v>
      </c>
      <c r="AJ49" s="431"/>
      <c r="AL49" s="439"/>
      <c r="AM49" s="336">
        <f t="shared" ca="1" si="0"/>
        <v>0</v>
      </c>
      <c r="AN49" s="470" cm="1">
        <f t="array" aca="1" ref="AN49" ca="1">ROUND(ORÇAMENTO.CustoUnitario*(1+$AH49),2)</f>
        <v>0</v>
      </c>
    </row>
    <row r="50" spans="1:40" x14ac:dyDescent="0.2">
      <c r="A50">
        <f t="shared" si="1"/>
        <v>2</v>
      </c>
      <c r="B50">
        <f t="shared" ca="1" si="2"/>
        <v>2</v>
      </c>
      <c r="C50">
        <f t="shared" ca="1" si="3"/>
        <v>2</v>
      </c>
      <c r="D50">
        <f t="shared" ca="1" si="4"/>
        <v>11</v>
      </c>
      <c r="E50">
        <f ca="1">IF($C50=1,OFFSET(E50,-1,0)+MAX(1,COUNTIF(QCI!$A$13:$A$24,OFFSET(ORÇAMENTO!E50,-1,0))),OFFSET(E50,-1,0))</f>
        <v>4</v>
      </c>
      <c r="F50">
        <f t="shared" ca="1" si="5"/>
        <v>1</v>
      </c>
      <c r="G50">
        <f t="shared" ca="1" si="6"/>
        <v>0</v>
      </c>
      <c r="H50">
        <f t="shared" ca="1" si="7"/>
        <v>0</v>
      </c>
      <c r="I50">
        <f t="shared" ca="1" si="8"/>
        <v>0</v>
      </c>
      <c r="J50">
        <f t="shared" ca="1" si="16"/>
        <v>11</v>
      </c>
      <c r="K50">
        <f ca="1">IF(OR($C50="S",$C50=0),0,MATCH(OFFSET($D50,0,$C50)+IF($C50&lt;&gt;1,1,COUNTIF(QCI!$A$13:$A$24,ORÇAMENTO!E50)),OFFSET($D50,1,$C50,ROW($C$244)-ROW($C50)),0))</f>
        <v>16</v>
      </c>
      <c r="L50" s="114" t="str">
        <f t="shared" ca="1" si="10"/>
        <v>F</v>
      </c>
      <c r="M50" s="115" t="s">
        <v>702</v>
      </c>
      <c r="N50" s="116" t="str">
        <f t="shared" ca="1" si="11"/>
        <v>Nível 2</v>
      </c>
      <c r="O50" s="117" t="str">
        <f t="shared" ca="1" si="12"/>
        <v>4.1.</v>
      </c>
      <c r="P50" s="118" t="s">
        <v>250</v>
      </c>
      <c r="Q50" s="119" t="s">
        <v>250</v>
      </c>
      <c r="R50" s="120" t="s">
        <v>1179</v>
      </c>
      <c r="S50" s="121"/>
      <c r="T50" s="122">
        <f ca="1">OFFSET(CÁLCULO!H$15,ROW($T50)-ROW(T$15),0)</f>
        <v>0</v>
      </c>
      <c r="U50" s="123">
        <f t="shared" ca="1" si="13"/>
        <v>0</v>
      </c>
      <c r="V50" s="124" t="s">
        <v>663</v>
      </c>
      <c r="W50" s="122" cm="1">
        <f t="array" aca="1" ref="W50" ca="1">IF($C50="S",ROUND(IF(TIPOORCAMENTO="Proposto",ORÇAMENTO.CustoUnitario*(1+$AH50),ORÇAMENTO.PrecoUnitarioLicitado),15-13*$AF$10),0)</f>
        <v>0</v>
      </c>
      <c r="X50" s="125" cm="1">
        <f t="array" aca="1" ref="X50" ca="1">IF($C50="S",IF(OR(Import.TipoArredondamento&lt;&gt;"TransfereGOV",ACOMPANHAMENTO="BM"),VTOTAL1,SUM(OFFSET(CÁLCULO!$AQ$15,ROW($X50)-ROW($X$15),1):OFFSET(CÁLCULO!$BR$15,ROW($X50)-ROW($X$15),-1))),IF($C50=0,0,ROUND(SomaAgrup,15-13*$AF$11)))</f>
        <v>0</v>
      </c>
      <c r="Y50" s="126" t="s">
        <v>751</v>
      </c>
      <c r="Z50" t="str">
        <f t="shared" ca="1" si="14"/>
        <v/>
      </c>
      <c r="AA50" s="127" cm="1">
        <f t="array" aca="1" ref="AA50" ca="1">IF($C50="S",IF($Z50="CP",$X50,IF($Z50="RA",(($X50)*QCI!$AA$3),0)),SomaAgrup)</f>
        <v>0</v>
      </c>
      <c r="AB50" s="128" cm="1">
        <f t="array" aca="1" ref="AB50" ca="1">IF($C50="S",IF($Z50="OU",ROUND($X50,2),0),SomaAgrup)</f>
        <v>0</v>
      </c>
      <c r="AC50" s="565"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f ca="1">IF(C50&lt;=CRONO.NivelExibicao,MAX($AD$15:OFFSET(AD50,-1,0))+IF($C50&lt;&gt;1,1,MAX(1,COUNTIF(QCI!$A$13:$A$24,OFFSET($E50,-1,0)))),"")</f>
        <v>11</v>
      </c>
      <c r="AE50" s="7" t="b" cm="1">
        <f t="array" aca="1" ref="AE50" ca="1">IF(AND($C50="S",ORÇAMENTO.CodBarra&lt;&gt;""),IF(ORÇAMENTO.Fonte="",ORÇAMENTO.CodBarra,CONCATENATE(ORÇAMENTO.Fonte," ",ORÇAMENTO.CodBarra)))</f>
        <v>0</v>
      </c>
      <c r="AF50" s="12" t="str"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(Sem Código)</v>
      </c>
      <c r="AG50" s="428" cm="1">
        <f t="array" aca="1" ref="AG50" ca="1">ROUND(IF(DESONERACAO="sim",REFERENCIA.Desonerado,REFERENCIA.NaoDesonerado),2)</f>
        <v>0</v>
      </c>
      <c r="AH50" s="429">
        <f t="shared" ca="1" si="15"/>
        <v>0.2223</v>
      </c>
      <c r="AJ50" s="431"/>
      <c r="AL50" s="439"/>
      <c r="AM50" s="336">
        <f t="shared" ca="1" si="0"/>
        <v>0</v>
      </c>
      <c r="AN50" s="470" cm="1">
        <f t="array" aca="1" ref="AN50" ca="1">ROUND(ORÇAMENTO.CustoUnitario*(1+$AH50),2)</f>
        <v>0</v>
      </c>
    </row>
    <row r="51" spans="1:40" ht="51" x14ac:dyDescent="0.2">
      <c r="A51" t="str">
        <f t="shared" si="1"/>
        <v>S</v>
      </c>
      <c r="B51">
        <f t="shared" ca="1" si="2"/>
        <v>2</v>
      </c>
      <c r="C51" t="str">
        <f t="shared" ca="1" si="3"/>
        <v>S</v>
      </c>
      <c r="D51">
        <f t="shared" ca="1" si="4"/>
        <v>0</v>
      </c>
      <c r="E51">
        <f ca="1">IF($C51=1,OFFSET(E51,-1,0)+MAX(1,COUNTIF(QCI!$A$13:$A$24,OFFSET(ORÇAMENTO!E51,-1,0))),OFFSET(E51,-1,0))</f>
        <v>4</v>
      </c>
      <c r="F51">
        <f t="shared" ca="1" si="5"/>
        <v>1</v>
      </c>
      <c r="G51">
        <f t="shared" ca="1" si="6"/>
        <v>0</v>
      </c>
      <c r="H51">
        <f t="shared" ca="1" si="7"/>
        <v>0</v>
      </c>
      <c r="I51">
        <f t="shared" ca="1" si="8"/>
        <v>0</v>
      </c>
      <c r="J51">
        <f t="shared" ca="1" si="16"/>
        <v>0</v>
      </c>
      <c r="K51">
        <f ca="1">IF(OR($C51="S",$C51=0),0,MATCH(OFFSET($D51,0,$C51)+IF($C51&lt;&gt;1,1,COUNTIF(QCI!$A$13:$A$24,ORÇAMENTO!E51)),OFFSET($D51,1,$C51,ROW($C$244)-ROW($C51)),0))</f>
        <v>0</v>
      </c>
      <c r="L51" s="114" t="str">
        <f t="shared" ca="1" si="10"/>
        <v/>
      </c>
      <c r="M51" s="115" t="s">
        <v>705</v>
      </c>
      <c r="N51" s="116" t="str">
        <f t="shared" ca="1" si="11"/>
        <v>Serviço</v>
      </c>
      <c r="O51" s="117" t="str">
        <f t="shared" ca="1" si="12"/>
        <v>-</v>
      </c>
      <c r="P51" s="118" t="s">
        <v>750</v>
      </c>
      <c r="Q51" s="119" t="s">
        <v>1024</v>
      </c>
      <c r="R51" s="120" t="str" cm="1">
        <f t="array" aca="1" ref="R51" ca="1">IF($C51="S",REFERENCIA.Descricao,"(digite a descrição aqui)")</f>
        <v>(Código não identificado nas referências)</v>
      </c>
      <c r="S51" s="121" t="str" cm="1">
        <f t="array" aca="1" ref="S51" ca="1">REFERENCIA.Unidade</f>
        <v>-</v>
      </c>
      <c r="T51" s="122">
        <f ca="1">OFFSET(CÁLCULO!H$15,ROW($T51)-ROW(T$15),0)</f>
        <v>287.79999999999984</v>
      </c>
      <c r="U51" s="123">
        <f t="shared" ca="1" si="13"/>
        <v>0</v>
      </c>
      <c r="V51" s="124" t="s">
        <v>663</v>
      </c>
      <c r="W51" s="122" cm="1">
        <f t="array" aca="1" ref="W51" ca="1">IF($C51="S",ROUND(IF(TIPOORCAMENTO="Proposto",ORÇAMENTO.CustoUnitario*(1+$AH51),ORÇAMENTO.PrecoUnitarioLicitado),15-13*$AF$10),0)</f>
        <v>0</v>
      </c>
      <c r="X51" s="125" cm="1">
        <f t="array" aca="1" ref="X51" ca="1">IF($C51="S",IF(OR(Import.TipoArredondamento&lt;&gt;"TransfereGOV",ACOMPANHAMENTO="BM"),VTOTAL1,SUM(OFFSET(CÁLCULO!$AQ$15,ROW($X51)-ROW($X$15),1):OFFSET(CÁLCULO!$BR$15,ROW($X51)-ROW($X$15),-1))),IF($C51=0,0,ROUND(SomaAgrup,15-13*$AF$11)))</f>
        <v>0</v>
      </c>
      <c r="Y51" s="126" t="s">
        <v>751</v>
      </c>
      <c r="Z51" t="str">
        <f t="shared" ca="1" si="14"/>
        <v/>
      </c>
      <c r="AA51" s="127" cm="1">
        <f t="array" aca="1" ref="AA51" ca="1">IF($C51="S",IF($Z51="CP",$X51,IF($Z51="RA",(($X51)*QCI!$AA$3),0)),SomaAgrup)</f>
        <v>0</v>
      </c>
      <c r="AB51" s="128" cm="1">
        <f t="array" aca="1" ref="AB51" ca="1">IF($C51="S",IF($Z51="OU",ROUND($X51,2),0),SomaAgrup)</f>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CÓDIGO N/ID</v>
      </c>
      <c r="AD51" t="str">
        <f ca="1">IF(C51&lt;=CRONO.NivelExibicao,MAX($AD$15:OFFSET(AD51,-1,0))+IF($C51&lt;&gt;1,1,MAX(1,COUNTIF(QCI!$A$13:$A$24,OFFSET($E51,-1,0)))),"")</f>
        <v/>
      </c>
      <c r="AE51" s="7" t="str" cm="1">
        <f t="array" aca="1" ref="AE51" ca="1">IF(AND($C51="S",ORÇAMENTO.CodBarra&lt;&gt;""),IF(ORÇAMENTO.Fonte="",ORÇAMENTO.CodBarra,CONCATENATE(ORÇAMENTO.Fonte," ",ORÇAMENTO.CodBarra)))</f>
        <v>SINAPI 92427</v>
      </c>
      <c r="AF51" s="12" t="str"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(Código não identificado nas referências)</v>
      </c>
      <c r="AG51" s="428" cm="1">
        <f t="array" aca="1" ref="AG51" ca="1">ROUND(IF(DESONERACAO="sim",REFERENCIA.Desonerado,REFERENCIA.NaoDesonerado),2)</f>
        <v>0</v>
      </c>
      <c r="AH51" s="429">
        <f t="shared" ca="1" si="15"/>
        <v>0.2223</v>
      </c>
      <c r="AJ51" s="431"/>
      <c r="AL51" s="439"/>
      <c r="AM51" s="336">
        <f t="shared" ca="1" si="0"/>
        <v>0</v>
      </c>
      <c r="AN51" s="470" cm="1">
        <f t="array" aca="1" ref="AN51" ca="1">ROUND(ORÇAMENTO.CustoUnitario*(1+$AH51),2)</f>
        <v>0</v>
      </c>
    </row>
    <row r="52" spans="1:40" ht="38.25" x14ac:dyDescent="0.2">
      <c r="A52" t="str">
        <f t="shared" si="1"/>
        <v>S</v>
      </c>
      <c r="B52">
        <f t="shared" ca="1" si="2"/>
        <v>2</v>
      </c>
      <c r="C52" t="str">
        <f t="shared" ca="1" si="3"/>
        <v>S</v>
      </c>
      <c r="D52">
        <f t="shared" ca="1" si="4"/>
        <v>0</v>
      </c>
      <c r="E52">
        <f ca="1">IF($C52=1,OFFSET(E52,-1,0)+MAX(1,COUNTIF(QCI!$A$13:$A$24,OFFSET(ORÇAMENTO!E52,-1,0))),OFFSET(E52,-1,0))</f>
        <v>4</v>
      </c>
      <c r="F52">
        <f t="shared" ca="1" si="5"/>
        <v>1</v>
      </c>
      <c r="G52">
        <f t="shared" ca="1" si="6"/>
        <v>0</v>
      </c>
      <c r="H52">
        <f t="shared" ca="1" si="7"/>
        <v>0</v>
      </c>
      <c r="I52">
        <f t="shared" ca="1" si="8"/>
        <v>0</v>
      </c>
      <c r="J52">
        <f t="shared" ca="1" si="16"/>
        <v>0</v>
      </c>
      <c r="K52">
        <f ca="1">IF(OR($C52="S",$C52=0),0,MATCH(OFFSET($D52,0,$C52)+IF($C52&lt;&gt;1,1,COUNTIF(QCI!$A$13:$A$24,ORÇAMENTO!E52)),OFFSET($D52,1,$C52,ROW($C$244)-ROW($C52)),0))</f>
        <v>0</v>
      </c>
      <c r="L52" s="114" t="str">
        <f t="shared" ca="1" si="10"/>
        <v/>
      </c>
      <c r="M52" s="115" t="s">
        <v>705</v>
      </c>
      <c r="N52" s="116" t="str">
        <f t="shared" ca="1" si="11"/>
        <v>Serviço</v>
      </c>
      <c r="O52" s="117" t="str">
        <f t="shared" ca="1" si="12"/>
        <v>-</v>
      </c>
      <c r="P52" s="118" t="s">
        <v>956</v>
      </c>
      <c r="Q52" s="119" t="s">
        <v>1025</v>
      </c>
      <c r="R52" s="120" t="str" cm="1">
        <f t="array" aca="1" ref="R52" ca="1">IF($C52="S",REFERENCIA.Descricao,"(digite a descrição aqui)")</f>
        <v>(Código não identificado nas referências)</v>
      </c>
      <c r="S52" s="121" t="str" cm="1">
        <f t="array" aca="1" ref="S52" ca="1">REFERENCIA.Unidade</f>
        <v>-</v>
      </c>
      <c r="T52" s="122">
        <f ca="1">OFFSET(CÁLCULO!H$15,ROW($T52)-ROW(T$15),0)</f>
        <v>410.80000000000007</v>
      </c>
      <c r="U52" s="123">
        <f t="shared" ca="1" si="13"/>
        <v>0</v>
      </c>
      <c r="V52" s="124" t="s">
        <v>663</v>
      </c>
      <c r="W52" s="122" cm="1">
        <f t="array" aca="1" ref="W52" ca="1">IF($C52="S",ROUND(IF(TIPOORCAMENTO="Proposto",ORÇAMENTO.CustoUnitario*(1+$AH52),ORÇAMENTO.PrecoUnitarioLicitado),15-13*$AF$10),0)</f>
        <v>0</v>
      </c>
      <c r="X52" s="125" cm="1">
        <f t="array" aca="1" ref="X52" ca="1">IF($C52="S",IF(OR(Import.TipoArredondamento&lt;&gt;"TransfereGOV",ACOMPANHAMENTO="BM"),VTOTAL1,SUM(OFFSET(CÁLCULO!$AQ$15,ROW($X52)-ROW($X$15),1):OFFSET(CÁLCULO!$BR$15,ROW($X52)-ROW($X$15),-1))),IF($C52=0,0,ROUND(SomaAgrup,15-13*$AF$11)))</f>
        <v>0</v>
      </c>
      <c r="Y52" s="126" t="s">
        <v>751</v>
      </c>
      <c r="Z52" t="str">
        <f t="shared" ca="1" si="14"/>
        <v/>
      </c>
      <c r="AA52" s="127" cm="1">
        <f t="array" aca="1" ref="AA52" ca="1">IF($C52="S",IF($Z52="CP",$X52,IF($Z52="RA",(($X52)*QCI!$AA$3),0)),SomaAgrup)</f>
        <v>0</v>
      </c>
      <c r="AB52" s="128" cm="1">
        <f t="array" aca="1" ref="AB52" ca="1">IF($C52="S",IF($Z52="OU",ROUND($X52,2),0),SomaAgrup)</f>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CÓDIGO N/ID</v>
      </c>
      <c r="AD52" t="str">
        <f ca="1">IF(C52&lt;=CRONO.NivelExibicao,MAX($AD$15:OFFSET(AD52,-1,0))+IF($C52&lt;&gt;1,1,MAX(1,COUNTIF(QCI!$A$13:$A$24,OFFSET($E52,-1,0)))),"")</f>
        <v/>
      </c>
      <c r="AE52" s="7" t="str" cm="1">
        <f t="array" aca="1" ref="AE52" ca="1">IF(AND($C52="S",ORÇAMENTO.CodBarra&lt;&gt;""),IF(ORÇAMENTO.Fonte="",ORÇAMENTO.CodBarra,CONCATENATE(ORÇAMENTO.Fonte," ",ORÇAMENTO.CodBarra)))</f>
        <v>Composição 92463_ADP-01</v>
      </c>
      <c r="AF52" s="12" t="str"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(Código não identificado nas referências)</v>
      </c>
      <c r="AG52" s="428" cm="1">
        <f t="array" aca="1" ref="AG52" ca="1">ROUND(IF(DESONERACAO="sim",REFERENCIA.Desonerado,REFERENCIA.NaoDesonerado),2)</f>
        <v>0</v>
      </c>
      <c r="AH52" s="429">
        <f t="shared" ca="1" si="15"/>
        <v>0.2223</v>
      </c>
      <c r="AJ52" s="431"/>
      <c r="AL52" s="439"/>
      <c r="AM52" s="336">
        <f t="shared" ca="1" si="0"/>
        <v>0</v>
      </c>
      <c r="AN52" s="470" cm="1">
        <f t="array" aca="1" ref="AN52" ca="1">ROUND(ORÇAMENTO.CustoUnitario*(1+$AH52),2)</f>
        <v>0</v>
      </c>
    </row>
    <row r="53" spans="1:40" ht="38.25" x14ac:dyDescent="0.2">
      <c r="A53" t="str">
        <f t="shared" si="1"/>
        <v>S</v>
      </c>
      <c r="B53">
        <f t="shared" ca="1" si="2"/>
        <v>2</v>
      </c>
      <c r="C53" t="str">
        <f t="shared" ca="1" si="3"/>
        <v>S</v>
      </c>
      <c r="D53">
        <f t="shared" ca="1" si="4"/>
        <v>0</v>
      </c>
      <c r="E53">
        <f ca="1">IF($C53=1,OFFSET(E53,-1,0)+MAX(1,COUNTIF(QCI!$A$13:$A$24,OFFSET(ORÇAMENTO!E53,-1,0))),OFFSET(E53,-1,0))</f>
        <v>4</v>
      </c>
      <c r="F53">
        <f t="shared" ca="1" si="5"/>
        <v>1</v>
      </c>
      <c r="G53">
        <f t="shared" ca="1" si="6"/>
        <v>0</v>
      </c>
      <c r="H53">
        <f t="shared" ca="1" si="7"/>
        <v>0</v>
      </c>
      <c r="I53">
        <f t="shared" ca="1" si="8"/>
        <v>0</v>
      </c>
      <c r="J53">
        <f t="shared" ca="1" si="16"/>
        <v>0</v>
      </c>
      <c r="K53">
        <f ca="1">IF(OR($C53="S",$C53=0),0,MATCH(OFFSET($D53,0,$C53)+IF($C53&lt;&gt;1,1,COUNTIF(QCI!$A$13:$A$24,ORÇAMENTO!E53)),OFFSET($D53,1,$C53,ROW($C$244)-ROW($C53)),0))</f>
        <v>0</v>
      </c>
      <c r="L53" s="114" t="str">
        <f t="shared" ca="1" si="10"/>
        <v/>
      </c>
      <c r="M53" s="115" t="s">
        <v>705</v>
      </c>
      <c r="N53" s="116" t="str">
        <f t="shared" ca="1" si="11"/>
        <v>Serviço</v>
      </c>
      <c r="O53" s="117" t="str">
        <f t="shared" ca="1" si="12"/>
        <v>-</v>
      </c>
      <c r="P53" s="118" t="s">
        <v>750</v>
      </c>
      <c r="Q53" s="119" t="s">
        <v>1026</v>
      </c>
      <c r="R53" s="120" t="str" cm="1">
        <f t="array" aca="1" ref="R53" ca="1">IF($C53="S",REFERENCIA.Descricao,"(digite a descrição aqui)")</f>
        <v>(Código não identificado nas referências)</v>
      </c>
      <c r="S53" s="121" t="str" cm="1">
        <f t="array" aca="1" ref="S53" ca="1">REFERENCIA.Unidade</f>
        <v>-</v>
      </c>
      <c r="T53" s="122">
        <f ca="1">OFFSET(CÁLCULO!H$15,ROW($T53)-ROW(T$15),0)</f>
        <v>82.6</v>
      </c>
      <c r="U53" s="123">
        <f t="shared" ca="1" si="13"/>
        <v>0</v>
      </c>
      <c r="V53" s="124" t="s">
        <v>663</v>
      </c>
      <c r="W53" s="122" cm="1">
        <f t="array" aca="1" ref="W53" ca="1">IF($C53="S",ROUND(IF(TIPOORCAMENTO="Proposto",ORÇAMENTO.CustoUnitario*(1+$AH53),ORÇAMENTO.PrecoUnitarioLicitado),15-13*$AF$10),0)</f>
        <v>0</v>
      </c>
      <c r="X53" s="125" cm="1">
        <f t="array" aca="1" ref="X53" ca="1">IF($C53="S",IF(OR(Import.TipoArredondamento&lt;&gt;"TransfereGOV",ACOMPANHAMENTO="BM"),VTOTAL1,SUM(OFFSET(CÁLCULO!$AQ$15,ROW($X53)-ROW($X$15),1):OFFSET(CÁLCULO!$BR$15,ROW($X53)-ROW($X$15),-1))),IF($C53=0,0,ROUND(SomaAgrup,15-13*$AF$11)))</f>
        <v>0</v>
      </c>
      <c r="Y53" s="126" t="s">
        <v>751</v>
      </c>
      <c r="Z53" t="str">
        <f t="shared" ca="1" si="14"/>
        <v/>
      </c>
      <c r="AA53" s="127" cm="1">
        <f t="array" aca="1" ref="AA53" ca="1">IF($C53="S",IF($Z53="CP",$X53,IF($Z53="RA",(($X53)*QCI!$AA$3),0)),SomaAgrup)</f>
        <v>0</v>
      </c>
      <c r="AB53" s="128" cm="1">
        <f t="array" aca="1" ref="AB53" ca="1">IF($C53="S",IF($Z53="OU",ROUND($X53,2),0),SomaAgrup)</f>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CÓDIGO N/ID</v>
      </c>
      <c r="AD53" t="str">
        <f ca="1">IF(C53&lt;=CRONO.NivelExibicao,MAX($AD$15:OFFSET(AD53,-1,0))+IF($C53&lt;&gt;1,1,MAX(1,COUNTIF(QCI!$A$13:$A$24,OFFSET($E53,-1,0)))),"")</f>
        <v/>
      </c>
      <c r="AE53" s="7" t="str" cm="1">
        <f t="array" aca="1" ref="AE53" ca="1">IF(AND($C53="S",ORÇAMENTO.CodBarra&lt;&gt;""),IF(ORÇAMENTO.Fonte="",ORÇAMENTO.CodBarra,CONCATENATE(ORÇAMENTO.Fonte," ",ORÇAMENTO.CodBarra)))</f>
        <v>SINAPI 92463</v>
      </c>
      <c r="AF53" s="12" t="str"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(Código não identificado nas referências)</v>
      </c>
      <c r="AG53" s="428" cm="1">
        <f t="array" aca="1" ref="AG53" ca="1">ROUND(IF(DESONERACAO="sim",REFERENCIA.Desonerado,REFERENCIA.NaoDesonerado),2)</f>
        <v>0</v>
      </c>
      <c r="AH53" s="429">
        <f t="shared" ca="1" si="15"/>
        <v>0.2223</v>
      </c>
      <c r="AJ53" s="431"/>
      <c r="AL53" s="439"/>
      <c r="AM53" s="336">
        <f t="shared" ca="1" si="0"/>
        <v>0</v>
      </c>
      <c r="AN53" s="470" cm="1">
        <f t="array" aca="1" ref="AN53" ca="1">ROUND(ORÇAMENTO.CustoUnitario*(1+$AH53),2)</f>
        <v>0</v>
      </c>
    </row>
    <row r="54" spans="1:40" ht="38.25" x14ac:dyDescent="0.2">
      <c r="A54" t="str">
        <f t="shared" si="1"/>
        <v>S</v>
      </c>
      <c r="B54">
        <f t="shared" ca="1" si="2"/>
        <v>2</v>
      </c>
      <c r="C54" t="str">
        <f t="shared" ca="1" si="3"/>
        <v>S</v>
      </c>
      <c r="D54">
        <f t="shared" ca="1" si="4"/>
        <v>0</v>
      </c>
      <c r="E54">
        <f ca="1">IF($C54=1,OFFSET(E54,-1,0)+MAX(1,COUNTIF(QCI!$A$13:$A$24,OFFSET(ORÇAMENTO!E54,-1,0))),OFFSET(E54,-1,0))</f>
        <v>4</v>
      </c>
      <c r="F54">
        <f t="shared" ca="1" si="5"/>
        <v>1</v>
      </c>
      <c r="G54">
        <f t="shared" ca="1" si="6"/>
        <v>0</v>
      </c>
      <c r="H54">
        <f t="shared" ca="1" si="7"/>
        <v>0</v>
      </c>
      <c r="I54">
        <f t="shared" ca="1" si="8"/>
        <v>0</v>
      </c>
      <c r="J54">
        <f t="shared" ca="1" si="16"/>
        <v>0</v>
      </c>
      <c r="K54">
        <f ca="1">IF(OR($C54="S",$C54=0),0,MATCH(OFFSET($D54,0,$C54)+IF($C54&lt;&gt;1,1,COUNTIF(QCI!$A$13:$A$24,ORÇAMENTO!E54)),OFFSET($D54,1,$C54,ROW($C$244)-ROW($C54)),0))</f>
        <v>0</v>
      </c>
      <c r="L54" s="114" t="str">
        <f t="shared" ca="1" si="10"/>
        <v/>
      </c>
      <c r="M54" s="115" t="s">
        <v>705</v>
      </c>
      <c r="N54" s="116" t="str">
        <f t="shared" ca="1" si="11"/>
        <v>Serviço</v>
      </c>
      <c r="O54" s="117" t="str">
        <f t="shared" ca="1" si="12"/>
        <v>-</v>
      </c>
      <c r="P54" s="118" t="s">
        <v>750</v>
      </c>
      <c r="Q54" s="119" t="s">
        <v>1027</v>
      </c>
      <c r="R54" s="120" t="str" cm="1">
        <f t="array" aca="1" ref="R54" ca="1">IF($C54="S",REFERENCIA.Descricao,"(digite a descrição aqui)")</f>
        <v>(Código não identificado nas referências)</v>
      </c>
      <c r="S54" s="121" t="str" cm="1">
        <f t="array" aca="1" ref="S54" ca="1">REFERENCIA.Unidade</f>
        <v>-</v>
      </c>
      <c r="T54" s="122">
        <f ca="1">OFFSET(CÁLCULO!H$15,ROW($T54)-ROW(T$15),0)</f>
        <v>1408.0000000000002</v>
      </c>
      <c r="U54" s="123">
        <f t="shared" ca="1" si="13"/>
        <v>0</v>
      </c>
      <c r="V54" s="124" t="s">
        <v>663</v>
      </c>
      <c r="W54" s="122" cm="1">
        <f t="array" aca="1" ref="W54" ca="1">IF($C54="S",ROUND(IF(TIPOORCAMENTO="Proposto",ORÇAMENTO.CustoUnitario*(1+$AH54),ORÇAMENTO.PrecoUnitarioLicitado),15-13*$AF$10),0)</f>
        <v>0</v>
      </c>
      <c r="X54" s="125" cm="1">
        <f t="array" aca="1" ref="X54" ca="1">IF($C54="S",IF(OR(Import.TipoArredondamento&lt;&gt;"TransfereGOV",ACOMPANHAMENTO="BM"),VTOTAL1,SUM(OFFSET(CÁLCULO!$AQ$15,ROW($X54)-ROW($X$15),1):OFFSET(CÁLCULO!$BR$15,ROW($X54)-ROW($X$15),-1))),IF($C54=0,0,ROUND(SomaAgrup,15-13*$AF$11)))</f>
        <v>0</v>
      </c>
      <c r="Y54" s="126" t="s">
        <v>751</v>
      </c>
      <c r="Z54" t="str">
        <f t="shared" ca="1" si="14"/>
        <v/>
      </c>
      <c r="AA54" s="127" cm="1">
        <f t="array" aca="1" ref="AA54" ca="1">IF($C54="S",IF($Z54="CP",$X54,IF($Z54="RA",(($X54)*QCI!$AA$3),0)),SomaAgrup)</f>
        <v>0</v>
      </c>
      <c r="AB54" s="128" cm="1">
        <f t="array" aca="1" ref="AB54" ca="1">IF($C54="S",IF($Z54="OU",ROUND($X54,2),0),SomaAgrup)</f>
        <v>0</v>
      </c>
      <c r="AC54" s="565"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CÓDIGO N/ID</v>
      </c>
      <c r="AD54" t="str">
        <f ca="1">IF(C54&lt;=CRONO.NivelExibicao,MAX($AD$15:OFFSET(AD54,-1,0))+IF($C54&lt;&gt;1,1,MAX(1,COUNTIF(QCI!$A$13:$A$24,OFFSET($E54,-1,0)))),"")</f>
        <v/>
      </c>
      <c r="AE54" s="7" t="str" cm="1">
        <f t="array" aca="1" ref="AE54" ca="1">IF(AND($C54="S",ORÇAMENTO.CodBarra&lt;&gt;""),IF(ORÇAMENTO.Fonte="",ORÇAMENTO.CodBarra,CONCATENATE(ORÇAMENTO.Fonte," ",ORÇAMENTO.CodBarra)))</f>
        <v>SINAPI 92759</v>
      </c>
      <c r="AF54" s="12" t="str"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(Código não identificado nas referências)</v>
      </c>
      <c r="AG54" s="428" cm="1">
        <f t="array" aca="1" ref="AG54" ca="1">ROUND(IF(DESONERACAO="sim",REFERENCIA.Desonerado,REFERENCIA.NaoDesonerado),2)</f>
        <v>0</v>
      </c>
      <c r="AH54" s="429">
        <f t="shared" ca="1" si="15"/>
        <v>0.2223</v>
      </c>
      <c r="AJ54" s="431"/>
      <c r="AL54" s="439"/>
      <c r="AM54" s="336">
        <f t="shared" ca="1" si="0"/>
        <v>0</v>
      </c>
      <c r="AN54" s="470" cm="1">
        <f t="array" aca="1" ref="AN54" ca="1">ROUND(ORÇAMENTO.CustoUnitario*(1+$AH54),2)</f>
        <v>0</v>
      </c>
    </row>
    <row r="55" spans="1:40" ht="38.25" x14ac:dyDescent="0.2">
      <c r="A55" t="str">
        <f t="shared" si="1"/>
        <v>S</v>
      </c>
      <c r="B55">
        <f t="shared" ca="1" si="2"/>
        <v>2</v>
      </c>
      <c r="C55" t="str">
        <f t="shared" ca="1" si="3"/>
        <v>S</v>
      </c>
      <c r="D55">
        <f t="shared" ca="1" si="4"/>
        <v>0</v>
      </c>
      <c r="E55">
        <f ca="1">IF($C55=1,OFFSET(E55,-1,0)+MAX(1,COUNTIF(QCI!$A$13:$A$24,OFFSET(ORÇAMENTO!E55,-1,0))),OFFSET(E55,-1,0))</f>
        <v>4</v>
      </c>
      <c r="F55">
        <f t="shared" ca="1" si="5"/>
        <v>1</v>
      </c>
      <c r="G55">
        <f t="shared" ca="1" si="6"/>
        <v>0</v>
      </c>
      <c r="H55">
        <f t="shared" ca="1" si="7"/>
        <v>0</v>
      </c>
      <c r="I55">
        <f t="shared" ca="1" si="8"/>
        <v>0</v>
      </c>
      <c r="J55">
        <f t="shared" ca="1" si="16"/>
        <v>0</v>
      </c>
      <c r="K55">
        <f ca="1">IF(OR($C55="S",$C55=0),0,MATCH(OFFSET($D55,0,$C55)+IF($C55&lt;&gt;1,1,COUNTIF(QCI!$A$13:$A$24,ORÇAMENTO!E55)),OFFSET($D55,1,$C55,ROW($C$244)-ROW($C55)),0))</f>
        <v>0</v>
      </c>
      <c r="L55" s="114" t="str">
        <f t="shared" ca="1" si="10"/>
        <v/>
      </c>
      <c r="M55" s="115" t="s">
        <v>705</v>
      </c>
      <c r="N55" s="116" t="str">
        <f t="shared" ca="1" si="11"/>
        <v>Serviço</v>
      </c>
      <c r="O55" s="117" t="str">
        <f t="shared" ca="1" si="12"/>
        <v>-</v>
      </c>
      <c r="P55" s="118" t="s">
        <v>750</v>
      </c>
      <c r="Q55" s="119" t="s">
        <v>1028</v>
      </c>
      <c r="R55" s="120" t="str" cm="1">
        <f t="array" aca="1" ref="R55" ca="1">IF($C55="S",REFERENCIA.Descricao,"(digite a descrição aqui)")</f>
        <v>(Código não identificado nas referências)</v>
      </c>
      <c r="S55" s="121" t="str" cm="1">
        <f t="array" aca="1" ref="S55" ca="1">REFERENCIA.Unidade</f>
        <v>-</v>
      </c>
      <c r="T55" s="122">
        <f ca="1">OFFSET(CÁLCULO!H$15,ROW($T55)-ROW(T$15),0)</f>
        <v>300</v>
      </c>
      <c r="U55" s="123">
        <f t="shared" ca="1" si="13"/>
        <v>0</v>
      </c>
      <c r="V55" s="124" t="s">
        <v>663</v>
      </c>
      <c r="W55" s="122" cm="1">
        <f t="array" aca="1" ref="W55" ca="1">IF($C55="S",ROUND(IF(TIPOORCAMENTO="Proposto",ORÇAMENTO.CustoUnitario*(1+$AH55),ORÇAMENTO.PrecoUnitarioLicitado),15-13*$AF$10),0)</f>
        <v>0</v>
      </c>
      <c r="X55" s="125" cm="1">
        <f t="array" aca="1" ref="X55" ca="1">IF($C55="S",IF(OR(Import.TipoArredondamento&lt;&gt;"TransfereGOV",ACOMPANHAMENTO="BM"),VTOTAL1,SUM(OFFSET(CÁLCULO!$AQ$15,ROW($X55)-ROW($X$15),1):OFFSET(CÁLCULO!$BR$15,ROW($X55)-ROW($X$15),-1))),IF($C55=0,0,ROUND(SomaAgrup,15-13*$AF$11)))</f>
        <v>0</v>
      </c>
      <c r="Y55" s="126" t="s">
        <v>751</v>
      </c>
      <c r="Z55" t="str">
        <f t="shared" ca="1" si="14"/>
        <v/>
      </c>
      <c r="AA55" s="127" cm="1">
        <f t="array" aca="1" ref="AA55" ca="1">IF($C55="S",IF($Z55="CP",$X55,IF($Z55="RA",(($X55)*QCI!$AA$3),0)),SomaAgrup)</f>
        <v>0</v>
      </c>
      <c r="AB55" s="128" cm="1">
        <f t="array" aca="1" ref="AB55" ca="1">IF($C55="S",IF($Z55="OU",ROUND($X55,2),0),SomaAgrup)</f>
        <v>0</v>
      </c>
      <c r="AC55" s="565"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CÓDIGO N/ID</v>
      </c>
      <c r="AD55" t="str">
        <f ca="1">IF(C55&lt;=CRONO.NivelExibicao,MAX($AD$15:OFFSET(AD55,-1,0))+IF($C55&lt;&gt;1,1,MAX(1,COUNTIF(QCI!$A$13:$A$24,OFFSET($E55,-1,0)))),"")</f>
        <v/>
      </c>
      <c r="AE55" s="7" t="str" cm="1">
        <f t="array" aca="1" ref="AE55" ca="1">IF(AND($C55="S",ORÇAMENTO.CodBarra&lt;&gt;""),IF(ORÇAMENTO.Fonte="",ORÇAMENTO.CodBarra,CONCATENATE(ORÇAMENTO.Fonte," ",ORÇAMENTO.CodBarra)))</f>
        <v>SINAPI 92760</v>
      </c>
      <c r="AF55" s="12" t="str"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(Código não identificado nas referências)</v>
      </c>
      <c r="AG55" s="428" cm="1">
        <f t="array" aca="1" ref="AG55" ca="1">ROUND(IF(DESONERACAO="sim",REFERENCIA.Desonerado,REFERENCIA.NaoDesonerado),2)</f>
        <v>0</v>
      </c>
      <c r="AH55" s="429">
        <f t="shared" ca="1" si="15"/>
        <v>0.2223</v>
      </c>
      <c r="AJ55" s="431"/>
      <c r="AL55" s="439"/>
      <c r="AM55" s="336">
        <f t="shared" ca="1" si="0"/>
        <v>0</v>
      </c>
      <c r="AN55" s="470" cm="1">
        <f t="array" aca="1" ref="AN55" ca="1">ROUND(ORÇAMENTO.CustoUnitario*(1+$AH55),2)</f>
        <v>0</v>
      </c>
    </row>
    <row r="56" spans="1:40" ht="38.25" x14ac:dyDescent="0.2">
      <c r="A56" t="str">
        <f t="shared" si="1"/>
        <v>S</v>
      </c>
      <c r="B56">
        <f t="shared" ca="1" si="2"/>
        <v>2</v>
      </c>
      <c r="C56" t="str">
        <f t="shared" ca="1" si="3"/>
        <v>S</v>
      </c>
      <c r="D56">
        <f t="shared" ca="1" si="4"/>
        <v>0</v>
      </c>
      <c r="E56">
        <f ca="1">IF($C56=1,OFFSET(E56,-1,0)+MAX(1,COUNTIF(QCI!$A$13:$A$24,OFFSET(ORÇAMENTO!E56,-1,0))),OFFSET(E56,-1,0))</f>
        <v>4</v>
      </c>
      <c r="F56">
        <f t="shared" ca="1" si="5"/>
        <v>1</v>
      </c>
      <c r="G56">
        <f t="shared" ca="1" si="6"/>
        <v>0</v>
      </c>
      <c r="H56">
        <f t="shared" ca="1" si="7"/>
        <v>0</v>
      </c>
      <c r="I56">
        <f t="shared" ca="1" si="8"/>
        <v>0</v>
      </c>
      <c r="J56">
        <f t="shared" ca="1" si="16"/>
        <v>0</v>
      </c>
      <c r="K56">
        <f ca="1">IF(OR($C56="S",$C56=0),0,MATCH(OFFSET($D56,0,$C56)+IF($C56&lt;&gt;1,1,COUNTIF(QCI!$A$13:$A$24,ORÇAMENTO!E56)),OFFSET($D56,1,$C56,ROW($C$244)-ROW($C56)),0))</f>
        <v>0</v>
      </c>
      <c r="L56" s="114" t="str">
        <f t="shared" ca="1" si="10"/>
        <v/>
      </c>
      <c r="M56" s="115" t="s">
        <v>705</v>
      </c>
      <c r="N56" s="116" t="str">
        <f t="shared" ca="1" si="11"/>
        <v>Serviço</v>
      </c>
      <c r="O56" s="117" t="str">
        <f t="shared" ca="1" si="12"/>
        <v>-</v>
      </c>
      <c r="P56" s="118" t="s">
        <v>750</v>
      </c>
      <c r="Q56" s="119" t="s">
        <v>1029</v>
      </c>
      <c r="R56" s="120" t="str" cm="1">
        <f t="array" aca="1" ref="R56" ca="1">IF($C56="S",REFERENCIA.Descricao,"(digite a descrição aqui)")</f>
        <v>(Código não identificado nas referências)</v>
      </c>
      <c r="S56" s="121" t="str" cm="1">
        <f t="array" aca="1" ref="S56" ca="1">REFERENCIA.Unidade</f>
        <v>-</v>
      </c>
      <c r="T56" s="122">
        <f ca="1">OFFSET(CÁLCULO!H$15,ROW($T56)-ROW(T$15),0)</f>
        <v>1305.9999999999995</v>
      </c>
      <c r="U56" s="123">
        <f t="shared" ca="1" si="13"/>
        <v>0</v>
      </c>
      <c r="V56" s="124" t="s">
        <v>663</v>
      </c>
      <c r="W56" s="122" cm="1">
        <f t="array" aca="1" ref="W56" ca="1">IF($C56="S",ROUND(IF(TIPOORCAMENTO="Proposto",ORÇAMENTO.CustoUnitario*(1+$AH56),ORÇAMENTO.PrecoUnitarioLicitado),15-13*$AF$10),0)</f>
        <v>0</v>
      </c>
      <c r="X56" s="125" cm="1">
        <f t="array" aca="1" ref="X56" ca="1">IF($C56="S",IF(OR(Import.TipoArredondamento&lt;&gt;"TransfereGOV",ACOMPANHAMENTO="BM"),VTOTAL1,SUM(OFFSET(CÁLCULO!$AQ$15,ROW($X56)-ROW($X$15),1):OFFSET(CÁLCULO!$BR$15,ROW($X56)-ROW($X$15),-1))),IF($C56=0,0,ROUND(SomaAgrup,15-13*$AF$11)))</f>
        <v>0</v>
      </c>
      <c r="Y56" s="126" t="s">
        <v>751</v>
      </c>
      <c r="Z56" t="str">
        <f t="shared" ca="1" si="14"/>
        <v/>
      </c>
      <c r="AA56" s="127" cm="1">
        <f t="array" aca="1" ref="AA56" ca="1">IF($C56="S",IF($Z56="CP",$X56,IF($Z56="RA",(($X56)*QCI!$AA$3),0)),SomaAgrup)</f>
        <v>0</v>
      </c>
      <c r="AB56" s="128" cm="1">
        <f t="array" aca="1" ref="AB56" ca="1">IF($C56="S",IF($Z56="OU",ROUND($X56,2),0),SomaAgrup)</f>
        <v>0</v>
      </c>
      <c r="AC56" s="565"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CÓDIGO N/ID</v>
      </c>
      <c r="AD56" t="str">
        <f ca="1">IF(C56&lt;=CRONO.NivelExibicao,MAX($AD$15:OFFSET(AD56,-1,0))+IF($C56&lt;&gt;1,1,MAX(1,COUNTIF(QCI!$A$13:$A$24,OFFSET($E56,-1,0)))),"")</f>
        <v/>
      </c>
      <c r="AE56" s="7" t="str" cm="1">
        <f t="array" aca="1" ref="AE56" ca="1">IF(AND($C56="S",ORÇAMENTO.CodBarra&lt;&gt;""),IF(ORÇAMENTO.Fonte="",ORÇAMENTO.CodBarra,CONCATENATE(ORÇAMENTO.Fonte," ",ORÇAMENTO.CodBarra)))</f>
        <v>SINAPI 92761</v>
      </c>
      <c r="AF56" s="12" t="str" cm="1">
        <f t="array" aca="1" ref="AF56" ca="1">IF(ISERROR(ORÇAMENTO.BancoRef),"(abra o arquivo 'Referência "&amp;Excel_BuiltIn_Database&amp;".xlsm)",IF(OR($C56&lt;&gt;"S",ORÇAMENTO.CodBarra=""),"(Sem Código)",IF(ISERROR(MATCH($AE56,INDIRECT(ORÇAMENTO.BancoRef),0)),"(Código não identificado nas referências)",MATCH($AE56,INDIRECT(ORÇAMENTO.BancoRef),0))))</f>
        <v>(Código não identificado nas referências)</v>
      </c>
      <c r="AG56" s="428" cm="1">
        <f t="array" aca="1" ref="AG56" ca="1">ROUND(IF(DESONERACAO="sim",REFERENCIA.Desonerado,REFERENCIA.NaoDesonerado),2)</f>
        <v>0</v>
      </c>
      <c r="AH56" s="429">
        <f t="shared" ca="1" si="15"/>
        <v>0.2223</v>
      </c>
      <c r="AJ56" s="431"/>
      <c r="AL56" s="439"/>
      <c r="AM56" s="336">
        <f t="shared" ca="1" si="0"/>
        <v>0</v>
      </c>
      <c r="AN56" s="470" cm="1">
        <f t="array" aca="1" ref="AN56" ca="1">ROUND(ORÇAMENTO.CustoUnitario*(1+$AH56),2)</f>
        <v>0</v>
      </c>
    </row>
    <row r="57" spans="1:40" ht="38.25" x14ac:dyDescent="0.2">
      <c r="A57" t="str">
        <f t="shared" si="1"/>
        <v>S</v>
      </c>
      <c r="B57">
        <f t="shared" ca="1" si="2"/>
        <v>2</v>
      </c>
      <c r="C57" t="str">
        <f t="shared" ca="1" si="3"/>
        <v>S</v>
      </c>
      <c r="D57">
        <f t="shared" ca="1" si="4"/>
        <v>0</v>
      </c>
      <c r="E57">
        <f ca="1">IF($C57=1,OFFSET(E57,-1,0)+MAX(1,COUNTIF(QCI!$A$13:$A$24,OFFSET(ORÇAMENTO!E57,-1,0))),OFFSET(E57,-1,0))</f>
        <v>4</v>
      </c>
      <c r="F57">
        <f t="shared" ca="1" si="5"/>
        <v>1</v>
      </c>
      <c r="G57">
        <f t="shared" ca="1" si="6"/>
        <v>0</v>
      </c>
      <c r="H57">
        <f t="shared" ca="1" si="7"/>
        <v>0</v>
      </c>
      <c r="I57">
        <f t="shared" ca="1" si="8"/>
        <v>0</v>
      </c>
      <c r="J57">
        <f t="shared" ca="1" si="16"/>
        <v>0</v>
      </c>
      <c r="K57">
        <f ca="1">IF(OR($C57="S",$C57=0),0,MATCH(OFFSET($D57,0,$C57)+IF($C57&lt;&gt;1,1,COUNTIF(QCI!$A$13:$A$24,ORÇAMENTO!E57)),OFFSET($D57,1,$C57,ROW($C$244)-ROW($C57)),0))</f>
        <v>0</v>
      </c>
      <c r="L57" s="114" t="str">
        <f t="shared" ca="1" si="10"/>
        <v/>
      </c>
      <c r="M57" s="115" t="s">
        <v>705</v>
      </c>
      <c r="N57" s="116" t="str">
        <f t="shared" ca="1" si="11"/>
        <v>Serviço</v>
      </c>
      <c r="O57" s="117" t="str">
        <f t="shared" ca="1" si="12"/>
        <v>-</v>
      </c>
      <c r="P57" s="118" t="s">
        <v>750</v>
      </c>
      <c r="Q57" s="119" t="s">
        <v>1030</v>
      </c>
      <c r="R57" s="120" t="str" cm="1">
        <f t="array" aca="1" ref="R57" ca="1">IF($C57="S",REFERENCIA.Descricao,"(digite a descrição aqui)")</f>
        <v>(Código não identificado nas referências)</v>
      </c>
      <c r="S57" s="121" t="str" cm="1">
        <f t="array" aca="1" ref="S57" ca="1">REFERENCIA.Unidade</f>
        <v>-</v>
      </c>
      <c r="T57" s="122">
        <f ca="1">OFFSET(CÁLCULO!H$15,ROW($T57)-ROW(T$15),0)</f>
        <v>1711.9999999999993</v>
      </c>
      <c r="U57" s="123">
        <f t="shared" ca="1" si="13"/>
        <v>0</v>
      </c>
      <c r="V57" s="124" t="s">
        <v>663</v>
      </c>
      <c r="W57" s="122" cm="1">
        <f t="array" aca="1" ref="W57" ca="1">IF($C57="S",ROUND(IF(TIPOORCAMENTO="Proposto",ORÇAMENTO.CustoUnitario*(1+$AH57),ORÇAMENTO.PrecoUnitarioLicitado),15-13*$AF$10),0)</f>
        <v>0</v>
      </c>
      <c r="X57" s="125" cm="1">
        <f t="array" aca="1" ref="X57" ca="1">IF($C57="S",IF(OR(Import.TipoArredondamento&lt;&gt;"TransfereGOV",ACOMPANHAMENTO="BM"),VTOTAL1,SUM(OFFSET(CÁLCULO!$AQ$15,ROW($X57)-ROW($X$15),1):OFFSET(CÁLCULO!$BR$15,ROW($X57)-ROW($X$15),-1))),IF($C57=0,0,ROUND(SomaAgrup,15-13*$AF$11)))</f>
        <v>0</v>
      </c>
      <c r="Y57" s="126" t="s">
        <v>751</v>
      </c>
      <c r="Z57" t="str">
        <f t="shared" ca="1" si="14"/>
        <v/>
      </c>
      <c r="AA57" s="127" cm="1">
        <f t="array" aca="1" ref="AA57" ca="1">IF($C57="S",IF($Z57="CP",$X57,IF($Z57="RA",(($X57)*QCI!$AA$3),0)),SomaAgrup)</f>
        <v>0</v>
      </c>
      <c r="AB57" s="128" cm="1">
        <f t="array" aca="1" ref="AB57" ca="1">IF($C57="S",IF($Z57="OU",ROUND($X57,2),0),SomaAgrup)</f>
        <v>0</v>
      </c>
      <c r="AC57" s="565"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CÓDIGO N/ID</v>
      </c>
      <c r="AD57" t="str">
        <f ca="1">IF(C57&lt;=CRONO.NivelExibicao,MAX($AD$15:OFFSET(AD57,-1,0))+IF($C57&lt;&gt;1,1,MAX(1,COUNTIF(QCI!$A$13:$A$24,OFFSET($E57,-1,0)))),"")</f>
        <v/>
      </c>
      <c r="AE57" s="7" t="str" cm="1">
        <f t="array" aca="1" ref="AE57" ca="1">IF(AND($C57="S",ORÇAMENTO.CodBarra&lt;&gt;""),IF(ORÇAMENTO.Fonte="",ORÇAMENTO.CodBarra,CONCATENATE(ORÇAMENTO.Fonte," ",ORÇAMENTO.CodBarra)))</f>
        <v>SINAPI 92762</v>
      </c>
      <c r="AF57" s="12" t="str" cm="1">
        <f t="array" aca="1" ref="AF57" ca="1">IF(ISERROR(ORÇAMENTO.BancoRef),"(abra o arquivo 'Referência "&amp;Excel_BuiltIn_Database&amp;".xlsm)",IF(OR($C57&lt;&gt;"S",ORÇAMENTO.CodBarra=""),"(Sem Código)",IF(ISERROR(MATCH($AE57,INDIRECT(ORÇAMENTO.BancoRef),0)),"(Código não identificado nas referências)",MATCH($AE57,INDIRECT(ORÇAMENTO.BancoRef),0))))</f>
        <v>(Código não identificado nas referências)</v>
      </c>
      <c r="AG57" s="428" cm="1">
        <f t="array" aca="1" ref="AG57" ca="1">ROUND(IF(DESONERACAO="sim",REFERENCIA.Desonerado,REFERENCIA.NaoDesonerado),2)</f>
        <v>0</v>
      </c>
      <c r="AH57" s="429">
        <f t="shared" ca="1" si="15"/>
        <v>0.2223</v>
      </c>
      <c r="AJ57" s="431"/>
      <c r="AL57" s="439"/>
      <c r="AM57" s="336">
        <f t="shared" ca="1" si="0"/>
        <v>0</v>
      </c>
      <c r="AN57" s="470" cm="1">
        <f t="array" aca="1" ref="AN57" ca="1">ROUND(ORÇAMENTO.CustoUnitario*(1+$AH57),2)</f>
        <v>0</v>
      </c>
    </row>
    <row r="58" spans="1:40" ht="38.25" x14ac:dyDescent="0.2">
      <c r="A58" t="str">
        <f t="shared" si="1"/>
        <v>S</v>
      </c>
      <c r="B58">
        <f t="shared" ca="1" si="2"/>
        <v>2</v>
      </c>
      <c r="C58" t="str">
        <f t="shared" ca="1" si="3"/>
        <v>S</v>
      </c>
      <c r="D58">
        <f t="shared" ca="1" si="4"/>
        <v>0</v>
      </c>
      <c r="E58">
        <f ca="1">IF($C58=1,OFFSET(E58,-1,0)+MAX(1,COUNTIF(QCI!$A$13:$A$24,OFFSET(ORÇAMENTO!E58,-1,0))),OFFSET(E58,-1,0))</f>
        <v>4</v>
      </c>
      <c r="F58">
        <f t="shared" ca="1" si="5"/>
        <v>1</v>
      </c>
      <c r="G58">
        <f t="shared" ca="1" si="6"/>
        <v>0</v>
      </c>
      <c r="H58">
        <f t="shared" ca="1" si="7"/>
        <v>0</v>
      </c>
      <c r="I58">
        <f t="shared" ca="1" si="8"/>
        <v>0</v>
      </c>
      <c r="J58">
        <f t="shared" ca="1" si="16"/>
        <v>0</v>
      </c>
      <c r="K58">
        <f ca="1">IF(OR($C58="S",$C58=0),0,MATCH(OFFSET($D58,0,$C58)+IF($C58&lt;&gt;1,1,COUNTIF(QCI!$A$13:$A$24,ORÇAMENTO!E58)),OFFSET($D58,1,$C58,ROW($C$244)-ROW($C58)),0))</f>
        <v>0</v>
      </c>
      <c r="L58" s="114" t="str">
        <f t="shared" ca="1" si="10"/>
        <v/>
      </c>
      <c r="M58" s="115" t="s">
        <v>705</v>
      </c>
      <c r="N58" s="116" t="str">
        <f t="shared" ca="1" si="11"/>
        <v>Serviço</v>
      </c>
      <c r="O58" s="117" t="str">
        <f t="shared" ca="1" si="12"/>
        <v>-</v>
      </c>
      <c r="P58" s="118" t="s">
        <v>750</v>
      </c>
      <c r="Q58" s="119" t="s">
        <v>1031</v>
      </c>
      <c r="R58" s="120" t="str" cm="1">
        <f t="array" aca="1" ref="R58" ca="1">IF($C58="S",REFERENCIA.Descricao,"(digite a descrição aqui)")</f>
        <v>(Código não identificado nas referências)</v>
      </c>
      <c r="S58" s="121" t="str" cm="1">
        <f t="array" aca="1" ref="S58" ca="1">REFERENCIA.Unidade</f>
        <v>-</v>
      </c>
      <c r="T58" s="122">
        <f ca="1">OFFSET(CÁLCULO!H$15,ROW($T58)-ROW(T$15),0)</f>
        <v>115.39999999999995</v>
      </c>
      <c r="U58" s="123">
        <f t="shared" ca="1" si="13"/>
        <v>0</v>
      </c>
      <c r="V58" s="124" t="s">
        <v>663</v>
      </c>
      <c r="W58" s="122" cm="1">
        <f t="array" aca="1" ref="W58" ca="1">IF($C58="S",ROUND(IF(TIPOORCAMENTO="Proposto",ORÇAMENTO.CustoUnitario*(1+$AH58),ORÇAMENTO.PrecoUnitarioLicitado),15-13*$AF$10),0)</f>
        <v>0</v>
      </c>
      <c r="X58" s="125" cm="1">
        <f t="array" aca="1" ref="X58" ca="1">IF($C58="S",IF(OR(Import.TipoArredondamento&lt;&gt;"TransfereGOV",ACOMPANHAMENTO="BM"),VTOTAL1,SUM(OFFSET(CÁLCULO!$AQ$15,ROW($X58)-ROW($X$15),1):OFFSET(CÁLCULO!$BR$15,ROW($X58)-ROW($X$15),-1))),IF($C58=0,0,ROUND(SomaAgrup,15-13*$AF$11)))</f>
        <v>0</v>
      </c>
      <c r="Y58" s="126" t="s">
        <v>751</v>
      </c>
      <c r="Z58" t="str">
        <f t="shared" ca="1" si="14"/>
        <v/>
      </c>
      <c r="AA58" s="127" cm="1">
        <f t="array" aca="1" ref="AA58" ca="1">IF($C58="S",IF($Z58="CP",$X58,IF($Z58="RA",(($X58)*QCI!$AA$3),0)),SomaAgrup)</f>
        <v>0</v>
      </c>
      <c r="AB58" s="128" cm="1">
        <f t="array" aca="1" ref="AB58" ca="1">IF($C58="S",IF($Z58="OU",ROUND($X58,2),0),SomaAgrup)</f>
        <v>0</v>
      </c>
      <c r="AC58" s="565"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CÓDIGO N/ID</v>
      </c>
      <c r="AD58" t="str">
        <f ca="1">IF(C58&lt;=CRONO.NivelExibicao,MAX($AD$15:OFFSET(AD58,-1,0))+IF($C58&lt;&gt;1,1,MAX(1,COUNTIF(QCI!$A$13:$A$24,OFFSET($E58,-1,0)))),"")</f>
        <v/>
      </c>
      <c r="AE58" s="7" t="str" cm="1">
        <f t="array" aca="1" ref="AE58" ca="1">IF(AND($C58="S",ORÇAMENTO.CodBarra&lt;&gt;""),IF(ORÇAMENTO.Fonte="",ORÇAMENTO.CodBarra,CONCATENATE(ORÇAMENTO.Fonte," ",ORÇAMENTO.CodBarra)))</f>
        <v>SINAPI 101963</v>
      </c>
      <c r="AF58" s="12" t="str" cm="1">
        <f t="array" aca="1" ref="AF58" ca="1">IF(ISERROR(ORÇAMENTO.BancoRef),"(abra o arquivo 'Referência "&amp;Excel_BuiltIn_Database&amp;".xlsm)",IF(OR($C58&lt;&gt;"S",ORÇAMENTO.CodBarra=""),"(Sem Código)",IF(ISERROR(MATCH($AE58,INDIRECT(ORÇAMENTO.BancoRef),0)),"(Código não identificado nas referências)",MATCH($AE58,INDIRECT(ORÇAMENTO.BancoRef),0))))</f>
        <v>(Código não identificado nas referências)</v>
      </c>
      <c r="AG58" s="428" cm="1">
        <f t="array" aca="1" ref="AG58" ca="1">ROUND(IF(DESONERACAO="sim",REFERENCIA.Desonerado,REFERENCIA.NaoDesonerado),2)</f>
        <v>0</v>
      </c>
      <c r="AH58" s="429">
        <f t="shared" ca="1" si="15"/>
        <v>0.2223</v>
      </c>
      <c r="AJ58" s="431"/>
      <c r="AL58" s="439"/>
      <c r="AM58" s="336">
        <f t="shared" ca="1" si="0"/>
        <v>0</v>
      </c>
      <c r="AN58" s="470" cm="1">
        <f t="array" aca="1" ref="AN58" ca="1">ROUND(ORÇAMENTO.CustoUnitario*(1+$AH58),2)</f>
        <v>0</v>
      </c>
    </row>
    <row r="59" spans="1:40" ht="25.5" x14ac:dyDescent="0.2">
      <c r="A59" t="str">
        <f t="shared" si="1"/>
        <v>S</v>
      </c>
      <c r="B59">
        <f t="shared" ca="1" si="2"/>
        <v>2</v>
      </c>
      <c r="C59" t="str">
        <f t="shared" ca="1" si="3"/>
        <v>S</v>
      </c>
      <c r="D59">
        <f t="shared" ca="1" si="4"/>
        <v>0</v>
      </c>
      <c r="E59">
        <f ca="1">IF($C59=1,OFFSET(E59,-1,0)+MAX(1,COUNTIF(QCI!$A$13:$A$24,OFFSET(ORÇAMENTO!E59,-1,0))),OFFSET(E59,-1,0))</f>
        <v>4</v>
      </c>
      <c r="F59">
        <f t="shared" ca="1" si="5"/>
        <v>1</v>
      </c>
      <c r="G59">
        <f t="shared" ca="1" si="6"/>
        <v>0</v>
      </c>
      <c r="H59">
        <f t="shared" ca="1" si="7"/>
        <v>0</v>
      </c>
      <c r="I59">
        <f t="shared" ca="1" si="8"/>
        <v>0</v>
      </c>
      <c r="J59">
        <f t="shared" ca="1" si="16"/>
        <v>0</v>
      </c>
      <c r="K59">
        <f ca="1">IF(OR($C59="S",$C59=0),0,MATCH(OFFSET($D59,0,$C59)+IF($C59&lt;&gt;1,1,COUNTIF(QCI!$A$13:$A$24,ORÇAMENTO!E59)),OFFSET($D59,1,$C59,ROW($C$244)-ROW($C59)),0))</f>
        <v>0</v>
      </c>
      <c r="L59" s="114" t="str">
        <f t="shared" ca="1" si="10"/>
        <v/>
      </c>
      <c r="M59" s="115" t="s">
        <v>705</v>
      </c>
      <c r="N59" s="116" t="str">
        <f t="shared" ca="1" si="11"/>
        <v>Serviço</v>
      </c>
      <c r="O59" s="117" t="str">
        <f t="shared" ca="1" si="12"/>
        <v>-</v>
      </c>
      <c r="P59" s="118" t="s">
        <v>956</v>
      </c>
      <c r="Q59" s="119" t="s">
        <v>1032</v>
      </c>
      <c r="R59" s="120" t="str" cm="1">
        <f t="array" aca="1" ref="R59" ca="1">IF($C59="S",REFERENCIA.Descricao,"(digite a descrição aqui)")</f>
        <v>(Código não identificado nas referências)</v>
      </c>
      <c r="S59" s="121" t="str" cm="1">
        <f t="array" aca="1" ref="S59" ca="1">REFERENCIA.Unidade</f>
        <v>-</v>
      </c>
      <c r="T59" s="122">
        <f ca="1">OFFSET(CÁLCULO!H$15,ROW($T59)-ROW(T$15),0)</f>
        <v>25.600000000000005</v>
      </c>
      <c r="U59" s="123">
        <f t="shared" ca="1" si="13"/>
        <v>0</v>
      </c>
      <c r="V59" s="124" t="s">
        <v>663</v>
      </c>
      <c r="W59" s="122" cm="1">
        <f t="array" aca="1" ref="W59" ca="1">IF($C59="S",ROUND(IF(TIPOORCAMENTO="Proposto",ORÇAMENTO.CustoUnitario*(1+$AH59),ORÇAMENTO.PrecoUnitarioLicitado),15-13*$AF$10),0)</f>
        <v>0</v>
      </c>
      <c r="X59" s="125" cm="1">
        <f t="array" aca="1" ref="X59" ca="1">IF($C59="S",IF(OR(Import.TipoArredondamento&lt;&gt;"TransfereGOV",ACOMPANHAMENTO="BM"),VTOTAL1,SUM(OFFSET(CÁLCULO!$AQ$15,ROW($X59)-ROW($X$15),1):OFFSET(CÁLCULO!$BR$15,ROW($X59)-ROW($X$15),-1))),IF($C59=0,0,ROUND(SomaAgrup,15-13*$AF$11)))</f>
        <v>0</v>
      </c>
      <c r="Y59" s="126" t="s">
        <v>751</v>
      </c>
      <c r="Z59" t="str">
        <f t="shared" ca="1" si="14"/>
        <v/>
      </c>
      <c r="AA59" s="127" cm="1">
        <f t="array" aca="1" ref="AA59" ca="1">IF($C59="S",IF($Z59="CP",$X59,IF($Z59="RA",(($X59)*QCI!$AA$3),0)),SomaAgrup)</f>
        <v>0</v>
      </c>
      <c r="AB59" s="128" cm="1">
        <f t="array" aca="1" ref="AB59" ca="1">IF($C59="S",IF($Z59="OU",ROUND($X59,2),0),SomaAgrup)</f>
        <v>0</v>
      </c>
      <c r="AC59" s="565"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CÓDIGO N/ID</v>
      </c>
      <c r="AD59" t="str">
        <f ca="1">IF(C59&lt;=CRONO.NivelExibicao,MAX($AD$15:OFFSET(AD59,-1,0))+IF($C59&lt;&gt;1,1,MAX(1,COUNTIF(QCI!$A$13:$A$24,OFFSET($E59,-1,0)))),"")</f>
        <v/>
      </c>
      <c r="AE59" s="7" t="str" cm="1">
        <f t="array" aca="1" ref="AE59" ca="1">IF(AND($C59="S",ORÇAMENTO.CodBarra&lt;&gt;""),IF(ORÇAMENTO.Fonte="",ORÇAMENTO.CodBarra,CONCATENATE(ORÇAMENTO.Fonte," ",ORÇAMENTO.CodBarra)))</f>
        <v>Composição 103669_ADP-01</v>
      </c>
      <c r="AF59" s="12" t="str" cm="1">
        <f t="array" aca="1" ref="AF59" ca="1">IF(ISERROR(ORÇAMENTO.BancoRef),"(abra o arquivo 'Referência "&amp;Excel_BuiltIn_Database&amp;".xlsm)",IF(OR($C59&lt;&gt;"S",ORÇAMENTO.CodBarra=""),"(Sem Código)",IF(ISERROR(MATCH($AE59,INDIRECT(ORÇAMENTO.BancoRef),0)),"(Código não identificado nas referências)",MATCH($AE59,INDIRECT(ORÇAMENTO.BancoRef),0))))</f>
        <v>(Código não identificado nas referências)</v>
      </c>
      <c r="AG59" s="428" cm="1">
        <f t="array" aca="1" ref="AG59" ca="1">ROUND(IF(DESONERACAO="sim",REFERENCIA.Desonerado,REFERENCIA.NaoDesonerado),2)</f>
        <v>0</v>
      </c>
      <c r="AH59" s="429">
        <f t="shared" ca="1" si="15"/>
        <v>0.2223</v>
      </c>
      <c r="AJ59" s="431"/>
      <c r="AL59" s="439"/>
      <c r="AM59" s="336">
        <f t="shared" ca="1" si="0"/>
        <v>0</v>
      </c>
      <c r="AN59" s="470" cm="1">
        <f t="array" aca="1" ref="AN59" ca="1">ROUND(ORÇAMENTO.CustoUnitario*(1+$AH59),2)</f>
        <v>0</v>
      </c>
    </row>
    <row r="60" spans="1:40" ht="38.25" x14ac:dyDescent="0.2">
      <c r="A60" t="str">
        <f t="shared" si="1"/>
        <v>S</v>
      </c>
      <c r="B60">
        <f t="shared" ca="1" si="2"/>
        <v>2</v>
      </c>
      <c r="C60" t="str">
        <f t="shared" ca="1" si="3"/>
        <v>S</v>
      </c>
      <c r="D60">
        <f t="shared" ca="1" si="4"/>
        <v>0</v>
      </c>
      <c r="E60">
        <f ca="1">IF($C60=1,OFFSET(E60,-1,0)+MAX(1,COUNTIF(QCI!$A$13:$A$24,OFFSET(ORÇAMENTO!E60,-1,0))),OFFSET(E60,-1,0))</f>
        <v>4</v>
      </c>
      <c r="F60">
        <f t="shared" ca="1" si="5"/>
        <v>1</v>
      </c>
      <c r="G60">
        <f t="shared" ca="1" si="6"/>
        <v>0</v>
      </c>
      <c r="H60">
        <f t="shared" ca="1" si="7"/>
        <v>0</v>
      </c>
      <c r="I60">
        <f t="shared" ca="1" si="8"/>
        <v>0</v>
      </c>
      <c r="J60">
        <f t="shared" ca="1" si="16"/>
        <v>0</v>
      </c>
      <c r="K60">
        <f ca="1">IF(OR($C60="S",$C60=0),0,MATCH(OFFSET($D60,0,$C60)+IF($C60&lt;&gt;1,1,COUNTIF(QCI!$A$13:$A$24,ORÇAMENTO!E60)),OFFSET($D60,1,$C60,ROW($C$244)-ROW($C60)),0))</f>
        <v>0</v>
      </c>
      <c r="L60" s="114" t="str">
        <f t="shared" ca="1" si="10"/>
        <v/>
      </c>
      <c r="M60" s="115" t="s">
        <v>705</v>
      </c>
      <c r="N60" s="116" t="str">
        <f t="shared" ca="1" si="11"/>
        <v>Serviço</v>
      </c>
      <c r="O60" s="117" t="str">
        <f t="shared" ca="1" si="12"/>
        <v>-</v>
      </c>
      <c r="P60" s="118" t="s">
        <v>956</v>
      </c>
      <c r="Q60" s="119" t="s">
        <v>1033</v>
      </c>
      <c r="R60" s="120" t="str" cm="1">
        <f t="array" aca="1" ref="R60" ca="1">IF($C60="S",REFERENCIA.Descricao,"(digite a descrição aqui)")</f>
        <v>(Código não identificado nas referências)</v>
      </c>
      <c r="S60" s="121" t="str" cm="1">
        <f t="array" aca="1" ref="S60" ca="1">REFERENCIA.Unidade</f>
        <v>-</v>
      </c>
      <c r="T60" s="122">
        <f ca="1">OFFSET(CÁLCULO!H$15,ROW($T60)-ROW(T$15),0)</f>
        <v>35.600000000000009</v>
      </c>
      <c r="U60" s="123">
        <f t="shared" ca="1" si="13"/>
        <v>0</v>
      </c>
      <c r="V60" s="124" t="s">
        <v>663</v>
      </c>
      <c r="W60" s="122" cm="1">
        <f t="array" aca="1" ref="W60" ca="1">IF($C60="S",ROUND(IF(TIPOORCAMENTO="Proposto",ORÇAMENTO.CustoUnitario*(1+$AH60),ORÇAMENTO.PrecoUnitarioLicitado),15-13*$AF$10),0)</f>
        <v>0</v>
      </c>
      <c r="X60" s="125" cm="1">
        <f t="array" aca="1" ref="X60" ca="1">IF($C60="S",IF(OR(Import.TipoArredondamento&lt;&gt;"TransfereGOV",ACOMPANHAMENTO="BM"),VTOTAL1,SUM(OFFSET(CÁLCULO!$AQ$15,ROW($X60)-ROW($X$15),1):OFFSET(CÁLCULO!$BR$15,ROW($X60)-ROW($X$15),-1))),IF($C60=0,0,ROUND(SomaAgrup,15-13*$AF$11)))</f>
        <v>0</v>
      </c>
      <c r="Y60" s="126" t="s">
        <v>751</v>
      </c>
      <c r="Z60" t="str">
        <f t="shared" ca="1" si="14"/>
        <v/>
      </c>
      <c r="AA60" s="127" cm="1">
        <f t="array" aca="1" ref="AA60" ca="1">IF($C60="S",IF($Z60="CP",$X60,IF($Z60="RA",(($X60)*QCI!$AA$3),0)),SomaAgrup)</f>
        <v>0</v>
      </c>
      <c r="AB60" s="128" cm="1">
        <f t="array" aca="1" ref="AB60" ca="1">IF($C60="S",IF($Z60="OU",ROUND($X60,2),0),SomaAgrup)</f>
        <v>0</v>
      </c>
      <c r="AC60" s="565"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CÓDIGO N/ID</v>
      </c>
      <c r="AD60" t="str">
        <f ca="1">IF(C60&lt;=CRONO.NivelExibicao,MAX($AD$15:OFFSET(AD60,-1,0))+IF($C60&lt;&gt;1,1,MAX(1,COUNTIF(QCI!$A$13:$A$24,OFFSET($E60,-1,0)))),"")</f>
        <v/>
      </c>
      <c r="AE60" s="7" t="str" cm="1">
        <f t="array" aca="1" ref="AE60" ca="1">IF(AND($C60="S",ORÇAMENTO.CodBarra&lt;&gt;""),IF(ORÇAMENTO.Fonte="",ORÇAMENTO.CodBarra,CONCATENATE(ORÇAMENTO.Fonte," ",ORÇAMENTO.CodBarra)))</f>
        <v>Composição 103682_ADP-01</v>
      </c>
      <c r="AF60" s="12" t="str" cm="1">
        <f t="array" aca="1" ref="AF60" ca="1">IF(ISERROR(ORÇAMENTO.BancoRef),"(abra o arquivo 'Referência "&amp;Excel_BuiltIn_Database&amp;".xlsm)",IF(OR($C60&lt;&gt;"S",ORÇAMENTO.CodBarra=""),"(Sem Código)",IF(ISERROR(MATCH($AE60,INDIRECT(ORÇAMENTO.BancoRef),0)),"(Código não identificado nas referências)",MATCH($AE60,INDIRECT(ORÇAMENTO.BancoRef),0))))</f>
        <v>(Código não identificado nas referências)</v>
      </c>
      <c r="AG60" s="428" cm="1">
        <f t="array" aca="1" ref="AG60" ca="1">ROUND(IF(DESONERACAO="sim",REFERENCIA.Desonerado,REFERENCIA.NaoDesonerado),2)</f>
        <v>0</v>
      </c>
      <c r="AH60" s="429">
        <f t="shared" ca="1" si="15"/>
        <v>0.2223</v>
      </c>
      <c r="AJ60" s="431"/>
      <c r="AL60" s="439"/>
      <c r="AM60" s="336">
        <f t="shared" ca="1" si="0"/>
        <v>0</v>
      </c>
      <c r="AN60" s="470" cm="1">
        <f t="array" aca="1" ref="AN60" ca="1">ROUND(ORÇAMENTO.CustoUnitario*(1+$AH60),2)</f>
        <v>0</v>
      </c>
    </row>
    <row r="61" spans="1:40" x14ac:dyDescent="0.2">
      <c r="A61">
        <f t="shared" si="1"/>
        <v>1</v>
      </c>
      <c r="B61">
        <f t="shared" ca="1" si="2"/>
        <v>1</v>
      </c>
      <c r="C61">
        <f t="shared" ca="1" si="3"/>
        <v>1</v>
      </c>
      <c r="D61">
        <f t="shared" ca="1" si="4"/>
        <v>14</v>
      </c>
      <c r="E61">
        <f ca="1">IF($C61=1,OFFSET(E61,-1,0)+MAX(1,COUNTIF(QCI!$A$13:$A$24,OFFSET(ORÇAMENTO!E61,-1,0))),OFFSET(E61,-1,0))</f>
        <v>5</v>
      </c>
      <c r="F61">
        <f t="shared" ca="1" si="5"/>
        <v>0</v>
      </c>
      <c r="G61">
        <f t="shared" ca="1" si="6"/>
        <v>0</v>
      </c>
      <c r="H61">
        <f t="shared" ca="1" si="7"/>
        <v>0</v>
      </c>
      <c r="I61">
        <f t="shared" ca="1" si="8"/>
        <v>0</v>
      </c>
      <c r="J61">
        <f t="shared" ca="1" si="16"/>
        <v>183</v>
      </c>
      <c r="K61">
        <f ca="1">IF(OR($C61="S",$C61=0),0,MATCH(OFFSET($D61,0,$C61)+IF($C61&lt;&gt;1,1,COUNTIF(QCI!$A$13:$A$24,ORÇAMENTO!E61)),OFFSET($D61,1,$C61,ROW($C$244)-ROW($C61)),0))</f>
        <v>14</v>
      </c>
      <c r="L61" s="114" t="str">
        <f t="shared" ca="1" si="10"/>
        <v>F</v>
      </c>
      <c r="M61" s="115" t="s">
        <v>701</v>
      </c>
      <c r="N61" s="116" t="str">
        <f t="shared" ca="1" si="11"/>
        <v>Meta</v>
      </c>
      <c r="O61" s="117" t="str">
        <f t="shared" ca="1" si="12"/>
        <v>5.</v>
      </c>
      <c r="P61" s="118" t="s">
        <v>250</v>
      </c>
      <c r="Q61" s="119" t="s">
        <v>250</v>
      </c>
      <c r="R61" s="120" t="s">
        <v>1180</v>
      </c>
      <c r="S61" s="121"/>
      <c r="T61" s="122">
        <f ca="1">OFFSET(CÁLCULO!H$15,ROW($T61)-ROW(T$15),0)</f>
        <v>0</v>
      </c>
      <c r="U61" s="123">
        <f t="shared" ca="1" si="13"/>
        <v>0</v>
      </c>
      <c r="V61" s="124" t="s">
        <v>663</v>
      </c>
      <c r="W61" s="122" cm="1">
        <f t="array" aca="1" ref="W61" ca="1">IF($C61="S",ROUND(IF(TIPOORCAMENTO="Proposto",ORÇAMENTO.CustoUnitario*(1+$AH61),ORÇAMENTO.PrecoUnitarioLicitado),15-13*$AF$10),0)</f>
        <v>0</v>
      </c>
      <c r="X61" s="125" cm="1">
        <f t="array" aca="1" ref="X61" ca="1">IF($C61="S",IF(OR(Import.TipoArredondamento&lt;&gt;"TransfereGOV",ACOMPANHAMENTO="BM"),VTOTAL1,SUM(OFFSET(CÁLCULO!$AQ$15,ROW($X61)-ROW($X$15),1):OFFSET(CÁLCULO!$BR$15,ROW($X61)-ROW($X$15),-1))),IF($C61=0,0,ROUND(SomaAgrup,15-13*$AF$11)))</f>
        <v>0</v>
      </c>
      <c r="Y61" s="126" t="s">
        <v>751</v>
      </c>
      <c r="Z61" t="str">
        <f t="shared" ca="1" si="14"/>
        <v/>
      </c>
      <c r="AA61" s="127" cm="1">
        <f t="array" aca="1" ref="AA61" ca="1">IF($C61="S",IF($Z61="CP",$X61,IF($Z61="RA",(($X61)*QCI!$AA$3),0)),SomaAgrup)</f>
        <v>0</v>
      </c>
      <c r="AB61" s="128" cm="1">
        <f t="array" aca="1" ref="AB61" ca="1">IF($C61="S",IF($Z61="OU",ROUND($X61,2),0),SomaAgrup)</f>
        <v>0</v>
      </c>
      <c r="AC61" s="565"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f ca="1">IF(C61&lt;=CRONO.NivelExibicao,MAX($AD$15:OFFSET(AD61,-1,0))+IF($C61&lt;&gt;1,1,MAX(1,COUNTIF(QCI!$A$13:$A$24,OFFSET($E61,-1,0)))),"")</f>
        <v>12</v>
      </c>
      <c r="AE61" s="7" t="b" cm="1">
        <f t="array" aca="1" ref="AE61" ca="1">IF(AND($C61="S",ORÇAMENTO.CodBarra&lt;&gt;""),IF(ORÇAMENTO.Fonte="",ORÇAMENTO.CodBarra,CONCATENATE(ORÇAMENTO.Fonte," ",ORÇAMENTO.CodBarra)))</f>
        <v>0</v>
      </c>
      <c r="AF61" s="12" t="str" cm="1">
        <f t="array" aca="1" ref="AF61" ca="1">IF(ISERROR(ORÇAMENTO.BancoRef),"(abra o arquivo 'Referência "&amp;Excel_BuiltIn_Database&amp;".xlsm)",IF(OR($C61&lt;&gt;"S",ORÇAMENTO.CodBarra=""),"(Sem Código)",IF(ISERROR(MATCH($AE61,INDIRECT(ORÇAMENTO.BancoRef),0)),"(Código não identificado nas referências)",MATCH($AE61,INDIRECT(ORÇAMENTO.BancoRef),0))))</f>
        <v>(Sem Código)</v>
      </c>
      <c r="AG61" s="428" cm="1">
        <f t="array" aca="1" ref="AG61" ca="1">ROUND(IF(DESONERACAO="sim",REFERENCIA.Desonerado,REFERENCIA.NaoDesonerado),2)</f>
        <v>0</v>
      </c>
      <c r="AH61" s="429">
        <f t="shared" ca="1" si="15"/>
        <v>0.2223</v>
      </c>
      <c r="AJ61" s="431"/>
      <c r="AL61" s="439"/>
      <c r="AM61" s="336">
        <f t="shared" ca="1" si="0"/>
        <v>0</v>
      </c>
      <c r="AN61" s="470" cm="1">
        <f t="array" aca="1" ref="AN61" ca="1">ROUND(ORÇAMENTO.CustoUnitario*(1+$AH61),2)</f>
        <v>0</v>
      </c>
    </row>
    <row r="62" spans="1:40" x14ac:dyDescent="0.2">
      <c r="A62">
        <f t="shared" si="1"/>
        <v>2</v>
      </c>
      <c r="B62">
        <f t="shared" ca="1" si="2"/>
        <v>2</v>
      </c>
      <c r="C62">
        <f t="shared" ca="1" si="3"/>
        <v>2</v>
      </c>
      <c r="D62">
        <f t="shared" ca="1" si="4"/>
        <v>4</v>
      </c>
      <c r="E62">
        <f ca="1">IF($C62=1,OFFSET(E62,-1,0)+MAX(1,COUNTIF(QCI!$A$13:$A$24,OFFSET(ORÇAMENTO!E62,-1,0))),OFFSET(E62,-1,0))</f>
        <v>5</v>
      </c>
      <c r="F62">
        <f t="shared" ca="1" si="5"/>
        <v>1</v>
      </c>
      <c r="G62">
        <f t="shared" ca="1" si="6"/>
        <v>0</v>
      </c>
      <c r="H62">
        <f t="shared" ca="1" si="7"/>
        <v>0</v>
      </c>
      <c r="I62">
        <f t="shared" ca="1" si="8"/>
        <v>0</v>
      </c>
      <c r="J62">
        <f t="shared" ca="1" si="16"/>
        <v>13</v>
      </c>
      <c r="K62">
        <f ca="1">IF(OR($C62="S",$C62=0),0,MATCH(OFFSET($D62,0,$C62)+IF($C62&lt;&gt;1,1,COUNTIF(QCI!$A$13:$A$24,ORÇAMENTO!E62)),OFFSET($D62,1,$C62,ROW($C$244)-ROW($C62)),0))</f>
        <v>4</v>
      </c>
      <c r="L62" s="114" t="str">
        <f t="shared" ca="1" si="10"/>
        <v>F</v>
      </c>
      <c r="M62" s="115" t="s">
        <v>702</v>
      </c>
      <c r="N62" s="116" t="str">
        <f t="shared" ca="1" si="11"/>
        <v>Nível 2</v>
      </c>
      <c r="O62" s="117" t="str">
        <f t="shared" ca="1" si="12"/>
        <v>5.1.</v>
      </c>
      <c r="P62" s="118" t="s">
        <v>250</v>
      </c>
      <c r="Q62" s="119" t="s">
        <v>250</v>
      </c>
      <c r="R62" s="120" t="s">
        <v>1181</v>
      </c>
      <c r="S62" s="121"/>
      <c r="T62" s="122">
        <f ca="1">OFFSET(CÁLCULO!H$15,ROW($T62)-ROW(T$15),0)</f>
        <v>0</v>
      </c>
      <c r="U62" s="123">
        <f t="shared" ca="1" si="13"/>
        <v>0</v>
      </c>
      <c r="V62" s="124" t="s">
        <v>663</v>
      </c>
      <c r="W62" s="122" cm="1">
        <f t="array" aca="1" ref="W62" ca="1">IF($C62="S",ROUND(IF(TIPOORCAMENTO="Proposto",ORÇAMENTO.CustoUnitario*(1+$AH62),ORÇAMENTO.PrecoUnitarioLicitado),15-13*$AF$10),0)</f>
        <v>0</v>
      </c>
      <c r="X62" s="125" cm="1">
        <f t="array" aca="1" ref="X62" ca="1">IF($C62="S",IF(OR(Import.TipoArredondamento&lt;&gt;"TransfereGOV",ACOMPANHAMENTO="BM"),VTOTAL1,SUM(OFFSET(CÁLCULO!$AQ$15,ROW($X62)-ROW($X$15),1):OFFSET(CÁLCULO!$BR$15,ROW($X62)-ROW($X$15),-1))),IF($C62=0,0,ROUND(SomaAgrup,15-13*$AF$11)))</f>
        <v>0</v>
      </c>
      <c r="Y62" s="126" t="s">
        <v>751</v>
      </c>
      <c r="Z62" t="str">
        <f t="shared" ca="1" si="14"/>
        <v/>
      </c>
      <c r="AA62" s="127" cm="1">
        <f t="array" aca="1" ref="AA62" ca="1">IF($C62="S",IF($Z62="CP",$X62,IF($Z62="RA",(($X62)*QCI!$AA$3),0)),SomaAgrup)</f>
        <v>0</v>
      </c>
      <c r="AB62" s="128" cm="1">
        <f t="array" aca="1" ref="AB62" ca="1">IF($C62="S",IF($Z62="OU",ROUND($X62,2),0),SomaAgrup)</f>
        <v>0</v>
      </c>
      <c r="AC62" s="565"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f ca="1">IF(C62&lt;=CRONO.NivelExibicao,MAX($AD$15:OFFSET(AD62,-1,0))+IF($C62&lt;&gt;1,1,MAX(1,COUNTIF(QCI!$A$13:$A$24,OFFSET($E62,-1,0)))),"")</f>
        <v>13</v>
      </c>
      <c r="AE62" s="7" t="b" cm="1">
        <f t="array" aca="1" ref="AE62" ca="1">IF(AND($C62="S",ORÇAMENTO.CodBarra&lt;&gt;""),IF(ORÇAMENTO.Fonte="",ORÇAMENTO.CodBarra,CONCATENATE(ORÇAMENTO.Fonte," ",ORÇAMENTO.CodBarra)))</f>
        <v>0</v>
      </c>
      <c r="AF62" s="12" t="str" cm="1">
        <f t="array" aca="1" ref="AF62" ca="1">IF(ISERROR(ORÇAMENTO.BancoRef),"(abra o arquivo 'Referência "&amp;Excel_BuiltIn_Database&amp;".xlsm)",IF(OR($C62&lt;&gt;"S",ORÇAMENTO.CodBarra=""),"(Sem Código)",IF(ISERROR(MATCH($AE62,INDIRECT(ORÇAMENTO.BancoRef),0)),"(Código não identificado nas referências)",MATCH($AE62,INDIRECT(ORÇAMENTO.BancoRef),0))))</f>
        <v>(Sem Código)</v>
      </c>
      <c r="AG62" s="428" cm="1">
        <f t="array" aca="1" ref="AG62" ca="1">ROUND(IF(DESONERACAO="sim",REFERENCIA.Desonerado,REFERENCIA.NaoDesonerado),2)</f>
        <v>0</v>
      </c>
      <c r="AH62" s="429">
        <f t="shared" ca="1" si="15"/>
        <v>0.2223</v>
      </c>
      <c r="AJ62" s="431"/>
      <c r="AL62" s="439"/>
      <c r="AM62" s="336">
        <f t="shared" ca="1" si="0"/>
        <v>0</v>
      </c>
      <c r="AN62" s="470" cm="1">
        <f t="array" aca="1" ref="AN62" ca="1">ROUND(ORÇAMENTO.CustoUnitario*(1+$AH62),2)</f>
        <v>0</v>
      </c>
    </row>
    <row r="63" spans="1:40" ht="38.25" x14ac:dyDescent="0.2">
      <c r="A63" t="str">
        <f t="shared" si="1"/>
        <v>S</v>
      </c>
      <c r="B63">
        <f t="shared" ca="1" si="2"/>
        <v>2</v>
      </c>
      <c r="C63" t="str">
        <f t="shared" ca="1" si="3"/>
        <v>S</v>
      </c>
      <c r="D63">
        <f t="shared" ca="1" si="4"/>
        <v>0</v>
      </c>
      <c r="E63">
        <f ca="1">IF($C63=1,OFFSET(E63,-1,0)+MAX(1,COUNTIF(QCI!$A$13:$A$24,OFFSET(ORÇAMENTO!E63,-1,0))),OFFSET(E63,-1,0))</f>
        <v>5</v>
      </c>
      <c r="F63">
        <f t="shared" ca="1" si="5"/>
        <v>1</v>
      </c>
      <c r="G63">
        <f t="shared" ca="1" si="6"/>
        <v>0</v>
      </c>
      <c r="H63">
        <f t="shared" ca="1" si="7"/>
        <v>0</v>
      </c>
      <c r="I63">
        <f t="shared" ca="1" si="8"/>
        <v>0</v>
      </c>
      <c r="J63">
        <f t="shared" ca="1" si="16"/>
        <v>0</v>
      </c>
      <c r="K63">
        <f ca="1">IF(OR($C63="S",$C63=0),0,MATCH(OFFSET($D63,0,$C63)+IF($C63&lt;&gt;1,1,COUNTIF(QCI!$A$13:$A$24,ORÇAMENTO!E63)),OFFSET($D63,1,$C63,ROW($C$244)-ROW($C63)),0))</f>
        <v>0</v>
      </c>
      <c r="L63" s="114" t="str">
        <f t="shared" ca="1" si="10"/>
        <v/>
      </c>
      <c r="M63" s="115" t="s">
        <v>705</v>
      </c>
      <c r="N63" s="116" t="str">
        <f t="shared" ca="1" si="11"/>
        <v>Serviço</v>
      </c>
      <c r="O63" s="117" t="str">
        <f t="shared" ca="1" si="12"/>
        <v>-</v>
      </c>
      <c r="P63" s="118" t="s">
        <v>750</v>
      </c>
      <c r="Q63" s="119" t="s">
        <v>1034</v>
      </c>
      <c r="R63" s="120" t="str" cm="1">
        <f t="array" aca="1" ref="R63" ca="1">IF($C63="S",REFERENCIA.Descricao,"(digite a descrição aqui)")</f>
        <v>(Código não identificado nas referências)</v>
      </c>
      <c r="S63" s="121" t="str" cm="1">
        <f t="array" aca="1" ref="S63" ca="1">REFERENCIA.Unidade</f>
        <v>-</v>
      </c>
      <c r="T63" s="122">
        <f ca="1">OFFSET(CÁLCULO!H$15,ROW($T63)-ROW(T$15),0)</f>
        <v>1730</v>
      </c>
      <c r="U63" s="123">
        <f t="shared" ca="1" si="13"/>
        <v>0</v>
      </c>
      <c r="V63" s="124" t="s">
        <v>663</v>
      </c>
      <c r="W63" s="122" cm="1">
        <f t="array" aca="1" ref="W63" ca="1">IF($C63="S",ROUND(IF(TIPOORCAMENTO="Proposto",ORÇAMENTO.CustoUnitario*(1+$AH63),ORÇAMENTO.PrecoUnitarioLicitado),15-13*$AF$10),0)</f>
        <v>0</v>
      </c>
      <c r="X63" s="125" cm="1">
        <f t="array" aca="1" ref="X63" ca="1">IF($C63="S",IF(OR(Import.TipoArredondamento&lt;&gt;"TransfereGOV",ACOMPANHAMENTO="BM"),VTOTAL1,SUM(OFFSET(CÁLCULO!$AQ$15,ROW($X63)-ROW($X$15),1):OFFSET(CÁLCULO!$BR$15,ROW($X63)-ROW($X$15),-1))),IF($C63=0,0,ROUND(SomaAgrup,15-13*$AF$11)))</f>
        <v>0</v>
      </c>
      <c r="Y63" s="126" t="s">
        <v>751</v>
      </c>
      <c r="Z63" t="str">
        <f t="shared" ca="1" si="14"/>
        <v/>
      </c>
      <c r="AA63" s="127" cm="1">
        <f t="array" aca="1" ref="AA63" ca="1">IF($C63="S",IF($Z63="CP",$X63,IF($Z63="RA",(($X63)*QCI!$AA$3),0)),SomaAgrup)</f>
        <v>0</v>
      </c>
      <c r="AB63" s="128" cm="1">
        <f t="array" aca="1" ref="AB63" ca="1">IF($C63="S",IF($Z63="OU",ROUND($X63,2),0),SomaAgrup)</f>
        <v>0</v>
      </c>
      <c r="AC63" s="565"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CÓDIGO N/ID</v>
      </c>
      <c r="AD63" t="str">
        <f ca="1">IF(C63&lt;=CRONO.NivelExibicao,MAX($AD$15:OFFSET(AD63,-1,0))+IF($C63&lt;&gt;1,1,MAX(1,COUNTIF(QCI!$A$13:$A$24,OFFSET($E63,-1,0)))),"")</f>
        <v/>
      </c>
      <c r="AE63" s="7" t="str" cm="1">
        <f t="array" aca="1" ref="AE63" ca="1">IF(AND($C63="S",ORÇAMENTO.CodBarra&lt;&gt;""),IF(ORÇAMENTO.Fonte="",ORÇAMENTO.CodBarra,CONCATENATE(ORÇAMENTO.Fonte," ",ORÇAMENTO.CodBarra)))</f>
        <v>SINAPI 103328</v>
      </c>
      <c r="AF63" s="12" t="str" cm="1">
        <f t="array" aca="1" ref="AF63" ca="1">IF(ISERROR(ORÇAMENTO.BancoRef),"(abra o arquivo 'Referência "&amp;Excel_BuiltIn_Database&amp;".xlsm)",IF(OR($C63&lt;&gt;"S",ORÇAMENTO.CodBarra=""),"(Sem Código)",IF(ISERROR(MATCH($AE63,INDIRECT(ORÇAMENTO.BancoRef),0)),"(Código não identificado nas referências)",MATCH($AE63,INDIRECT(ORÇAMENTO.BancoRef),0))))</f>
        <v>(Código não identificado nas referências)</v>
      </c>
      <c r="AG63" s="428" cm="1">
        <f t="array" aca="1" ref="AG63" ca="1">ROUND(IF(DESONERACAO="sim",REFERENCIA.Desonerado,REFERENCIA.NaoDesonerado),2)</f>
        <v>0</v>
      </c>
      <c r="AH63" s="429">
        <f t="shared" ca="1" si="15"/>
        <v>0.2223</v>
      </c>
      <c r="AJ63" s="431"/>
      <c r="AL63" s="439"/>
      <c r="AM63" s="336">
        <f t="shared" ca="1" si="0"/>
        <v>0</v>
      </c>
      <c r="AN63" s="470" cm="1">
        <f t="array" aca="1" ref="AN63" ca="1">ROUND(ORÇAMENTO.CustoUnitario*(1+$AH63),2)</f>
        <v>0</v>
      </c>
    </row>
    <row r="64" spans="1:40" ht="25.5" x14ac:dyDescent="0.2">
      <c r="A64" t="str">
        <f t="shared" si="1"/>
        <v>S</v>
      </c>
      <c r="B64">
        <f t="shared" ca="1" si="2"/>
        <v>2</v>
      </c>
      <c r="C64" t="str">
        <f t="shared" ca="1" si="3"/>
        <v>S</v>
      </c>
      <c r="D64">
        <f t="shared" ca="1" si="4"/>
        <v>0</v>
      </c>
      <c r="E64">
        <f ca="1">IF($C64=1,OFFSET(E64,-1,0)+MAX(1,COUNTIF(QCI!$A$13:$A$24,OFFSET(ORÇAMENTO!E64,-1,0))),OFFSET(E64,-1,0))</f>
        <v>5</v>
      </c>
      <c r="F64">
        <f t="shared" ca="1" si="5"/>
        <v>1</v>
      </c>
      <c r="G64">
        <f t="shared" ca="1" si="6"/>
        <v>0</v>
      </c>
      <c r="H64">
        <f t="shared" ca="1" si="7"/>
        <v>0</v>
      </c>
      <c r="I64">
        <f t="shared" ca="1" si="8"/>
        <v>0</v>
      </c>
      <c r="J64">
        <f t="shared" ca="1" si="16"/>
        <v>0</v>
      </c>
      <c r="K64">
        <f ca="1">IF(OR($C64="S",$C64=0),0,MATCH(OFFSET($D64,0,$C64)+IF($C64&lt;&gt;1,1,COUNTIF(QCI!$A$13:$A$24,ORÇAMENTO!E64)),OFFSET($D64,1,$C64,ROW($C$244)-ROW($C64)),0))</f>
        <v>0</v>
      </c>
      <c r="L64" s="114" t="str">
        <f t="shared" ca="1" si="10"/>
        <v/>
      </c>
      <c r="M64" s="115" t="s">
        <v>705</v>
      </c>
      <c r="N64" s="116" t="str">
        <f t="shared" ca="1" si="11"/>
        <v>Serviço</v>
      </c>
      <c r="O64" s="117" t="str">
        <f t="shared" ca="1" si="12"/>
        <v>-</v>
      </c>
      <c r="P64" s="118" t="s">
        <v>750</v>
      </c>
      <c r="Q64" s="119" t="s">
        <v>1035</v>
      </c>
      <c r="R64" s="120" t="str" cm="1">
        <f t="array" aca="1" ref="R64" ca="1">IF($C64="S",REFERENCIA.Descricao,"(digite a descrição aqui)")</f>
        <v>(Código não identificado nas referências)</v>
      </c>
      <c r="S64" s="121" t="str" cm="1">
        <f t="array" aca="1" ref="S64" ca="1">REFERENCIA.Unidade</f>
        <v>-</v>
      </c>
      <c r="T64" s="122">
        <f ca="1">OFFSET(CÁLCULO!H$15,ROW($T64)-ROW(T$15),0)</f>
        <v>323.99999999999989</v>
      </c>
      <c r="U64" s="123">
        <f t="shared" ca="1" si="13"/>
        <v>0</v>
      </c>
      <c r="V64" s="124" t="s">
        <v>663</v>
      </c>
      <c r="W64" s="122" cm="1">
        <f t="array" aca="1" ref="W64" ca="1">IF($C64="S",ROUND(IF(TIPOORCAMENTO="Proposto",ORÇAMENTO.CustoUnitario*(1+$AH64),ORÇAMENTO.PrecoUnitarioLicitado),15-13*$AF$10),0)</f>
        <v>0</v>
      </c>
      <c r="X64" s="125" cm="1">
        <f t="array" aca="1" ref="X64" ca="1">IF($C64="S",IF(OR(Import.TipoArredondamento&lt;&gt;"TransfereGOV",ACOMPANHAMENTO="BM"),VTOTAL1,SUM(OFFSET(CÁLCULO!$AQ$15,ROW($X64)-ROW($X$15),1):OFFSET(CÁLCULO!$BR$15,ROW($X64)-ROW($X$15),-1))),IF($C64=0,0,ROUND(SomaAgrup,15-13*$AF$11)))</f>
        <v>0</v>
      </c>
      <c r="Y64" s="126" t="s">
        <v>751</v>
      </c>
      <c r="Z64" t="str">
        <f t="shared" ca="1" si="14"/>
        <v/>
      </c>
      <c r="AA64" s="127" cm="1">
        <f t="array" aca="1" ref="AA64" ca="1">IF($C64="S",IF($Z64="CP",$X64,IF($Z64="RA",(($X64)*QCI!$AA$3),0)),SomaAgrup)</f>
        <v>0</v>
      </c>
      <c r="AB64" s="128" cm="1">
        <f t="array" aca="1" ref="AB64" ca="1">IF($C64="S",IF($Z64="OU",ROUND($X64,2),0),SomaAgrup)</f>
        <v>0</v>
      </c>
      <c r="AC64" s="565"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CÓDIGO N/ID</v>
      </c>
      <c r="AD64" t="str">
        <f ca="1">IF(C64&lt;=CRONO.NivelExibicao,MAX($AD$15:OFFSET(AD64,-1,0))+IF($C64&lt;&gt;1,1,MAX(1,COUNTIF(QCI!$A$13:$A$24,OFFSET($E64,-1,0)))),"")</f>
        <v/>
      </c>
      <c r="AE64" s="7" t="str" cm="1">
        <f t="array" aca="1" ref="AE64" ca="1">IF(AND($C64="S",ORÇAMENTO.CodBarra&lt;&gt;""),IF(ORÇAMENTO.Fonte="",ORÇAMENTO.CodBarra,CONCATENATE(ORÇAMENTO.Fonte," ",ORÇAMENTO.CodBarra)))</f>
        <v>SINAPI 105022</v>
      </c>
      <c r="AF64" s="12" t="str" cm="1">
        <f t="array" aca="1" ref="AF64" ca="1">IF(ISERROR(ORÇAMENTO.BancoRef),"(abra o arquivo 'Referência "&amp;Excel_BuiltIn_Database&amp;".xlsm)",IF(OR($C64&lt;&gt;"S",ORÇAMENTO.CodBarra=""),"(Sem Código)",IF(ISERROR(MATCH($AE64,INDIRECT(ORÇAMENTO.BancoRef),0)),"(Código não identificado nas referências)",MATCH($AE64,INDIRECT(ORÇAMENTO.BancoRef),0))))</f>
        <v>(Código não identificado nas referências)</v>
      </c>
      <c r="AG64" s="428" cm="1">
        <f t="array" aca="1" ref="AG64" ca="1">ROUND(IF(DESONERACAO="sim",REFERENCIA.Desonerado,REFERENCIA.NaoDesonerado),2)</f>
        <v>0</v>
      </c>
      <c r="AH64" s="429">
        <f t="shared" ca="1" si="15"/>
        <v>0.2223</v>
      </c>
      <c r="AJ64" s="431"/>
      <c r="AL64" s="439"/>
      <c r="AM64" s="336">
        <f t="shared" ca="1" si="0"/>
        <v>0</v>
      </c>
      <c r="AN64" s="470" cm="1">
        <f t="array" aca="1" ref="AN64" ca="1">ROUND(ORÇAMENTO.CustoUnitario*(1+$AH64),2)</f>
        <v>0</v>
      </c>
    </row>
    <row r="65" spans="1:40" x14ac:dyDescent="0.2">
      <c r="A65" t="str">
        <f t="shared" si="1"/>
        <v>S</v>
      </c>
      <c r="B65">
        <f t="shared" ca="1" si="2"/>
        <v>2</v>
      </c>
      <c r="C65" t="str">
        <f t="shared" ca="1" si="3"/>
        <v>S</v>
      </c>
      <c r="D65">
        <f t="shared" ca="1" si="4"/>
        <v>0</v>
      </c>
      <c r="E65">
        <f ca="1">IF($C65=1,OFFSET(E65,-1,0)+MAX(1,COUNTIF(QCI!$A$13:$A$24,OFFSET(ORÇAMENTO!E65,-1,0))),OFFSET(E65,-1,0))</f>
        <v>5</v>
      </c>
      <c r="F65">
        <f t="shared" ca="1" si="5"/>
        <v>1</v>
      </c>
      <c r="G65">
        <f t="shared" ca="1" si="6"/>
        <v>0</v>
      </c>
      <c r="H65">
        <f t="shared" ca="1" si="7"/>
        <v>0</v>
      </c>
      <c r="I65">
        <f t="shared" ca="1" si="8"/>
        <v>0</v>
      </c>
      <c r="J65">
        <f t="shared" ca="1" si="16"/>
        <v>0</v>
      </c>
      <c r="K65">
        <f ca="1">IF(OR($C65="S",$C65=0),0,MATCH(OFFSET($D65,0,$C65)+IF($C65&lt;&gt;1,1,COUNTIF(QCI!$A$13:$A$24,ORÇAMENTO!E65)),OFFSET($D65,1,$C65,ROW($C$244)-ROW($C65)),0))</f>
        <v>0</v>
      </c>
      <c r="L65" s="114" t="str">
        <f t="shared" ca="1" si="10"/>
        <v/>
      </c>
      <c r="M65" s="115" t="s">
        <v>705</v>
      </c>
      <c r="N65" s="116" t="str">
        <f t="shared" ca="1" si="11"/>
        <v>Serviço</v>
      </c>
      <c r="O65" s="117" t="str">
        <f t="shared" ca="1" si="12"/>
        <v>-</v>
      </c>
      <c r="P65" s="118" t="s">
        <v>750</v>
      </c>
      <c r="Q65" s="119" t="s">
        <v>1036</v>
      </c>
      <c r="R65" s="120" t="str" cm="1">
        <f t="array" aca="1" ref="R65" ca="1">IF($C65="S",REFERENCIA.Descricao,"(digite a descrição aqui)")</f>
        <v>(Código não identificado nas referências)</v>
      </c>
      <c r="S65" s="121" t="str" cm="1">
        <f t="array" aca="1" ref="S65" ca="1">REFERENCIA.Unidade</f>
        <v>-</v>
      </c>
      <c r="T65" s="122">
        <f ca="1">OFFSET(CÁLCULO!H$15,ROW($T65)-ROW(T$15),0)</f>
        <v>183.99999999999994</v>
      </c>
      <c r="U65" s="123">
        <f t="shared" ca="1" si="13"/>
        <v>0</v>
      </c>
      <c r="V65" s="124" t="s">
        <v>663</v>
      </c>
      <c r="W65" s="122" cm="1">
        <f t="array" aca="1" ref="W65" ca="1">IF($C65="S",ROUND(IF(TIPOORCAMENTO="Proposto",ORÇAMENTO.CustoUnitario*(1+$AH65),ORÇAMENTO.PrecoUnitarioLicitado),15-13*$AF$10),0)</f>
        <v>0</v>
      </c>
      <c r="X65" s="125" cm="1">
        <f t="array" aca="1" ref="X65" ca="1">IF($C65="S",IF(OR(Import.TipoArredondamento&lt;&gt;"TransfereGOV",ACOMPANHAMENTO="BM"),VTOTAL1,SUM(OFFSET(CÁLCULO!$AQ$15,ROW($X65)-ROW($X$15),1):OFFSET(CÁLCULO!$BR$15,ROW($X65)-ROW($X$15),-1))),IF($C65=0,0,ROUND(SomaAgrup,15-13*$AF$11)))</f>
        <v>0</v>
      </c>
      <c r="Y65" s="126" t="s">
        <v>751</v>
      </c>
      <c r="Z65" t="str">
        <f t="shared" ca="1" si="14"/>
        <v/>
      </c>
      <c r="AA65" s="127" cm="1">
        <f t="array" aca="1" ref="AA65" ca="1">IF($C65="S",IF($Z65="CP",$X65,IF($Z65="RA",(($X65)*QCI!$AA$3),0)),SomaAgrup)</f>
        <v>0</v>
      </c>
      <c r="AB65" s="128" cm="1">
        <f t="array" aca="1" ref="AB65" ca="1">IF($C65="S",IF($Z65="OU",ROUND($X65,2),0),SomaAgrup)</f>
        <v>0</v>
      </c>
      <c r="AC65" s="565"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CÓDIGO N/ID</v>
      </c>
      <c r="AD65" t="str">
        <f ca="1">IF(C65&lt;=CRONO.NivelExibicao,MAX($AD$15:OFFSET(AD65,-1,0))+IF($C65&lt;&gt;1,1,MAX(1,COUNTIF(QCI!$A$13:$A$24,OFFSET($E65,-1,0)))),"")</f>
        <v/>
      </c>
      <c r="AE65" s="7" t="str" cm="1">
        <f t="array" aca="1" ref="AE65" ca="1">IF(AND($C65="S",ORÇAMENTO.CodBarra&lt;&gt;""),IF(ORÇAMENTO.Fonte="",ORÇAMENTO.CodBarra,CONCATENATE(ORÇAMENTO.Fonte," ",ORÇAMENTO.CodBarra)))</f>
        <v>SINAPI 105028</v>
      </c>
      <c r="AF65" s="12" t="str" cm="1">
        <f t="array" aca="1" ref="AF65" ca="1">IF(ISERROR(ORÇAMENTO.BancoRef),"(abra o arquivo 'Referência "&amp;Excel_BuiltIn_Database&amp;".xlsm)",IF(OR($C65&lt;&gt;"S",ORÇAMENTO.CodBarra=""),"(Sem Código)",IF(ISERROR(MATCH($AE65,INDIRECT(ORÇAMENTO.BancoRef),0)),"(Código não identificado nas referências)",MATCH($AE65,INDIRECT(ORÇAMENTO.BancoRef),0))))</f>
        <v>(Código não identificado nas referências)</v>
      </c>
      <c r="AG65" s="428" cm="1">
        <f t="array" aca="1" ref="AG65" ca="1">ROUND(IF(DESONERACAO="sim",REFERENCIA.Desonerado,REFERENCIA.NaoDesonerado),2)</f>
        <v>0</v>
      </c>
      <c r="AH65" s="429">
        <f t="shared" ca="1" si="15"/>
        <v>0.2223</v>
      </c>
      <c r="AJ65" s="431"/>
      <c r="AL65" s="439"/>
      <c r="AM65" s="336">
        <f t="shared" ca="1" si="0"/>
        <v>0</v>
      </c>
      <c r="AN65" s="470" cm="1">
        <f t="array" aca="1" ref="AN65" ca="1">ROUND(ORÇAMENTO.CustoUnitario*(1+$AH65),2)</f>
        <v>0</v>
      </c>
    </row>
    <row r="66" spans="1:40" x14ac:dyDescent="0.2">
      <c r="A66">
        <f t="shared" si="1"/>
        <v>2</v>
      </c>
      <c r="B66">
        <f t="shared" ca="1" si="2"/>
        <v>2</v>
      </c>
      <c r="C66">
        <f t="shared" ca="1" si="3"/>
        <v>2</v>
      </c>
      <c r="D66">
        <f t="shared" ca="1" si="4"/>
        <v>7</v>
      </c>
      <c r="E66">
        <f ca="1">IF($C66=1,OFFSET(E66,-1,0)+MAX(1,COUNTIF(QCI!$A$13:$A$24,OFFSET(ORÇAMENTO!E66,-1,0))),OFFSET(E66,-1,0))</f>
        <v>5</v>
      </c>
      <c r="F66">
        <f t="shared" ca="1" si="5"/>
        <v>2</v>
      </c>
      <c r="G66">
        <f t="shared" ca="1" si="6"/>
        <v>0</v>
      </c>
      <c r="H66">
        <f t="shared" ca="1" si="7"/>
        <v>0</v>
      </c>
      <c r="I66">
        <f t="shared" ca="1" si="8"/>
        <v>0</v>
      </c>
      <c r="J66">
        <f t="shared" ca="1" si="16"/>
        <v>9</v>
      </c>
      <c r="K66">
        <f ca="1">IF(OR($C66="S",$C66=0),0,MATCH(OFFSET($D66,0,$C66)+IF($C66&lt;&gt;1,1,COUNTIF(QCI!$A$13:$A$24,ORÇAMENTO!E66)),OFFSET($D66,1,$C66,ROW($C$244)-ROW($C66)),0))</f>
        <v>7</v>
      </c>
      <c r="L66" s="114" t="str">
        <f t="shared" ca="1" si="10"/>
        <v>F</v>
      </c>
      <c r="M66" s="115" t="s">
        <v>702</v>
      </c>
      <c r="N66" s="116" t="str">
        <f t="shared" ca="1" si="11"/>
        <v>Nível 2</v>
      </c>
      <c r="O66" s="117" t="str">
        <f t="shared" ca="1" si="12"/>
        <v>5.2.</v>
      </c>
      <c r="P66" s="118" t="s">
        <v>250</v>
      </c>
      <c r="Q66" s="119" t="s">
        <v>250</v>
      </c>
      <c r="R66" s="120" t="s">
        <v>1182</v>
      </c>
      <c r="S66" s="121"/>
      <c r="T66" s="122">
        <f ca="1">OFFSET(CÁLCULO!H$15,ROW($T66)-ROW(T$15),0)</f>
        <v>0</v>
      </c>
      <c r="U66" s="123">
        <f t="shared" ca="1" si="13"/>
        <v>0</v>
      </c>
      <c r="V66" s="124" t="s">
        <v>663</v>
      </c>
      <c r="W66" s="122" cm="1">
        <f t="array" aca="1" ref="W66" ca="1">IF($C66="S",ROUND(IF(TIPOORCAMENTO="Proposto",ORÇAMENTO.CustoUnitario*(1+$AH66),ORÇAMENTO.PrecoUnitarioLicitado),15-13*$AF$10),0)</f>
        <v>0</v>
      </c>
      <c r="X66" s="125" cm="1">
        <f t="array" aca="1" ref="X66" ca="1">IF($C66="S",IF(OR(Import.TipoArredondamento&lt;&gt;"TransfereGOV",ACOMPANHAMENTO="BM"),VTOTAL1,SUM(OFFSET(CÁLCULO!$AQ$15,ROW($X66)-ROW($X$15),1):OFFSET(CÁLCULO!$BR$15,ROW($X66)-ROW($X$15),-1))),IF($C66=0,0,ROUND(SomaAgrup,15-13*$AF$11)))</f>
        <v>0</v>
      </c>
      <c r="Y66" s="126" t="s">
        <v>751</v>
      </c>
      <c r="Z66" t="str">
        <f t="shared" ca="1" si="14"/>
        <v/>
      </c>
      <c r="AA66" s="127" cm="1">
        <f t="array" aca="1" ref="AA66" ca="1">IF($C66="S",IF($Z66="CP",$X66,IF($Z66="RA",(($X66)*QCI!$AA$3),0)),SomaAgrup)</f>
        <v>0</v>
      </c>
      <c r="AB66" s="128" cm="1">
        <f t="array" aca="1" ref="AB66" ca="1">IF($C66="S",IF($Z66="OU",ROUND($X66,2),0),SomaAgrup)</f>
        <v>0</v>
      </c>
      <c r="AC66" s="565"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f ca="1">IF(C66&lt;=CRONO.NivelExibicao,MAX($AD$15:OFFSET(AD66,-1,0))+IF($C66&lt;&gt;1,1,MAX(1,COUNTIF(QCI!$A$13:$A$24,OFFSET($E66,-1,0)))),"")</f>
        <v>14</v>
      </c>
      <c r="AE66" s="7" t="b" cm="1">
        <f t="array" aca="1" ref="AE66" ca="1">IF(AND($C66="S",ORÇAMENTO.CodBarra&lt;&gt;""),IF(ORÇAMENTO.Fonte="",ORÇAMENTO.CodBarra,CONCATENATE(ORÇAMENTO.Fonte," ",ORÇAMENTO.CodBarra)))</f>
        <v>0</v>
      </c>
      <c r="AF66" s="12" t="str" cm="1">
        <f t="array" aca="1" ref="AF66" ca="1">IF(ISERROR(ORÇAMENTO.BancoRef),"(abra o arquivo 'Referência "&amp;Excel_BuiltIn_Database&amp;".xlsm)",IF(OR($C66&lt;&gt;"S",ORÇAMENTO.CodBarra=""),"(Sem Código)",IF(ISERROR(MATCH($AE66,INDIRECT(ORÇAMENTO.BancoRef),0)),"(Código não identificado nas referências)",MATCH($AE66,INDIRECT(ORÇAMENTO.BancoRef),0))))</f>
        <v>(Sem Código)</v>
      </c>
      <c r="AG66" s="428" cm="1">
        <f t="array" aca="1" ref="AG66" ca="1">ROUND(IF(DESONERACAO="sim",REFERENCIA.Desonerado,REFERENCIA.NaoDesonerado),2)</f>
        <v>0</v>
      </c>
      <c r="AH66" s="429">
        <f t="shared" ca="1" si="15"/>
        <v>0.2223</v>
      </c>
      <c r="AJ66" s="431"/>
      <c r="AL66" s="439"/>
      <c r="AM66" s="336">
        <f t="shared" ca="1" si="0"/>
        <v>0</v>
      </c>
      <c r="AN66" s="470" cm="1">
        <f t="array" aca="1" ref="AN66" ca="1">ROUND(ORÇAMENTO.CustoUnitario*(1+$AH66),2)</f>
        <v>0</v>
      </c>
    </row>
    <row r="67" spans="1:40" ht="38.25" x14ac:dyDescent="0.2">
      <c r="A67" t="str">
        <f t="shared" si="1"/>
        <v>S</v>
      </c>
      <c r="B67">
        <f t="shared" ca="1" si="2"/>
        <v>2</v>
      </c>
      <c r="C67" t="str">
        <f t="shared" ca="1" si="3"/>
        <v>S</v>
      </c>
      <c r="D67">
        <f t="shared" ca="1" si="4"/>
        <v>0</v>
      </c>
      <c r="E67">
        <f ca="1">IF($C67=1,OFFSET(E67,-1,0)+MAX(1,COUNTIF(QCI!$A$13:$A$24,OFFSET(ORÇAMENTO!E67,-1,0))),OFFSET(E67,-1,0))</f>
        <v>5</v>
      </c>
      <c r="F67">
        <f t="shared" ca="1" si="5"/>
        <v>2</v>
      </c>
      <c r="G67">
        <f t="shared" ca="1" si="6"/>
        <v>0</v>
      </c>
      <c r="H67">
        <f t="shared" ca="1" si="7"/>
        <v>0</v>
      </c>
      <c r="I67">
        <f t="shared" ca="1" si="8"/>
        <v>0</v>
      </c>
      <c r="J67">
        <f t="shared" ca="1" si="16"/>
        <v>0</v>
      </c>
      <c r="K67">
        <f ca="1">IF(OR($C67="S",$C67=0),0,MATCH(OFFSET($D67,0,$C67)+IF($C67&lt;&gt;1,1,COUNTIF(QCI!$A$13:$A$24,ORÇAMENTO!E67)),OFFSET($D67,1,$C67,ROW($C$244)-ROW($C67)),0))</f>
        <v>0</v>
      </c>
      <c r="L67" s="114" t="str">
        <f t="shared" ca="1" si="10"/>
        <v/>
      </c>
      <c r="M67" s="115" t="s">
        <v>705</v>
      </c>
      <c r="N67" s="116" t="str">
        <f t="shared" ca="1" si="11"/>
        <v>Serviço</v>
      </c>
      <c r="O67" s="117" t="str">
        <f t="shared" ca="1" si="12"/>
        <v>-</v>
      </c>
      <c r="P67" s="118" t="s">
        <v>750</v>
      </c>
      <c r="Q67" s="119" t="s">
        <v>1037</v>
      </c>
      <c r="R67" s="120" t="str" cm="1">
        <f t="array" aca="1" ref="R67" ca="1">IF($C67="S",REFERENCIA.Descricao,"(digite a descrição aqui)")</f>
        <v>(Código não identificado nas referências)</v>
      </c>
      <c r="S67" s="121" t="str" cm="1">
        <f t="array" aca="1" ref="S67" ca="1">REFERENCIA.Unidade</f>
        <v>-</v>
      </c>
      <c r="T67" s="122">
        <f ca="1">OFFSET(CÁLCULO!H$15,ROW($T67)-ROW(T$15),0)</f>
        <v>67.2</v>
      </c>
      <c r="U67" s="123">
        <f t="shared" ca="1" si="13"/>
        <v>0</v>
      </c>
      <c r="V67" s="124" t="s">
        <v>663</v>
      </c>
      <c r="W67" s="122" cm="1">
        <f t="array" aca="1" ref="W67" ca="1">IF($C67="S",ROUND(IF(TIPOORCAMENTO="Proposto",ORÇAMENTO.CustoUnitario*(1+$AH67),ORÇAMENTO.PrecoUnitarioLicitado),15-13*$AF$10),0)</f>
        <v>0</v>
      </c>
      <c r="X67" s="125" cm="1">
        <f t="array" aca="1" ref="X67" ca="1">IF($C67="S",IF(OR(Import.TipoArredondamento&lt;&gt;"TransfereGOV",ACOMPANHAMENTO="BM"),VTOTAL1,SUM(OFFSET(CÁLCULO!$AQ$15,ROW($X67)-ROW($X$15),1):OFFSET(CÁLCULO!$BR$15,ROW($X67)-ROW($X$15),-1))),IF($C67=0,0,ROUND(SomaAgrup,15-13*$AF$11)))</f>
        <v>0</v>
      </c>
      <c r="Y67" s="126" t="s">
        <v>751</v>
      </c>
      <c r="Z67" t="str">
        <f t="shared" ca="1" si="14"/>
        <v/>
      </c>
      <c r="AA67" s="127" cm="1">
        <f t="array" aca="1" ref="AA67" ca="1">IF($C67="S",IF($Z67="CP",$X67,IF($Z67="RA",(($X67)*QCI!$AA$3),0)),SomaAgrup)</f>
        <v>0</v>
      </c>
      <c r="AB67" s="128" cm="1">
        <f t="array" aca="1" ref="AB67" ca="1">IF($C67="S",IF($Z67="OU",ROUND($X67,2),0),SomaAgrup)</f>
        <v>0</v>
      </c>
      <c r="AC67" s="565"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CÓDIGO N/ID</v>
      </c>
      <c r="AD67" t="str">
        <f ca="1">IF(C67&lt;=CRONO.NivelExibicao,MAX($AD$15:OFFSET(AD67,-1,0))+IF($C67&lt;&gt;1,1,MAX(1,COUNTIF(QCI!$A$13:$A$24,OFFSET($E67,-1,0)))),"")</f>
        <v/>
      </c>
      <c r="AE67" s="7" t="str" cm="1">
        <f t="array" aca="1" ref="AE67" ca="1">IF(AND($C67="S",ORÇAMENTO.CodBarra&lt;&gt;""),IF(ORÇAMENTO.Fonte="",ORÇAMENTO.CodBarra,CONCATENATE(ORÇAMENTO.Fonte," ",ORÇAMENTO.CodBarra)))</f>
        <v>SINAPI 91338</v>
      </c>
      <c r="AF67" s="12" t="str" cm="1">
        <f t="array" aca="1" ref="AF67" ca="1">IF(ISERROR(ORÇAMENTO.BancoRef),"(abra o arquivo 'Referência "&amp;Excel_BuiltIn_Database&amp;".xlsm)",IF(OR($C67&lt;&gt;"S",ORÇAMENTO.CodBarra=""),"(Sem Código)",IF(ISERROR(MATCH($AE67,INDIRECT(ORÇAMENTO.BancoRef),0)),"(Código não identificado nas referências)",MATCH($AE67,INDIRECT(ORÇAMENTO.BancoRef),0))))</f>
        <v>(Código não identificado nas referências)</v>
      </c>
      <c r="AG67" s="428" cm="1">
        <f t="array" aca="1" ref="AG67" ca="1">ROUND(IF(DESONERACAO="sim",REFERENCIA.Desonerado,REFERENCIA.NaoDesonerado),2)</f>
        <v>0</v>
      </c>
      <c r="AH67" s="429">
        <f t="shared" ca="1" si="15"/>
        <v>0.2223</v>
      </c>
      <c r="AJ67" s="431"/>
      <c r="AL67" s="439"/>
      <c r="AM67" s="336">
        <f t="shared" ca="1" si="0"/>
        <v>0</v>
      </c>
      <c r="AN67" s="470" cm="1">
        <f t="array" aca="1" ref="AN67" ca="1">ROUND(ORÇAMENTO.CustoUnitario*(1+$AH67),2)</f>
        <v>0</v>
      </c>
    </row>
    <row r="68" spans="1:40" ht="76.5" x14ac:dyDescent="0.2">
      <c r="A68" t="str">
        <f t="shared" si="1"/>
        <v>S</v>
      </c>
      <c r="B68">
        <f t="shared" ca="1" si="2"/>
        <v>2</v>
      </c>
      <c r="C68" t="str">
        <f t="shared" ca="1" si="3"/>
        <v>S</v>
      </c>
      <c r="D68">
        <f t="shared" ca="1" si="4"/>
        <v>0</v>
      </c>
      <c r="E68">
        <f ca="1">IF($C68=1,OFFSET(E68,-1,0)+MAX(1,COUNTIF(QCI!$A$13:$A$24,OFFSET(ORÇAMENTO!E68,-1,0))),OFFSET(E68,-1,0))</f>
        <v>5</v>
      </c>
      <c r="F68">
        <f t="shared" ca="1" si="5"/>
        <v>2</v>
      </c>
      <c r="G68">
        <f t="shared" ca="1" si="6"/>
        <v>0</v>
      </c>
      <c r="H68">
        <f t="shared" ca="1" si="7"/>
        <v>0</v>
      </c>
      <c r="I68">
        <f t="shared" ca="1" si="8"/>
        <v>0</v>
      </c>
      <c r="J68">
        <f t="shared" ca="1" si="16"/>
        <v>0</v>
      </c>
      <c r="K68">
        <f ca="1">IF(OR($C68="S",$C68=0),0,MATCH(OFFSET($D68,0,$C68)+IF($C68&lt;&gt;1,1,COUNTIF(QCI!$A$13:$A$24,ORÇAMENTO!E68)),OFFSET($D68,1,$C68,ROW($C$244)-ROW($C68)),0))</f>
        <v>0</v>
      </c>
      <c r="L68" s="114" t="str">
        <f t="shared" ca="1" si="10"/>
        <v/>
      </c>
      <c r="M68" s="115" t="s">
        <v>705</v>
      </c>
      <c r="N68" s="116" t="str">
        <f t="shared" ca="1" si="11"/>
        <v>Serviço</v>
      </c>
      <c r="O68" s="117" t="str">
        <f t="shared" ca="1" si="12"/>
        <v>-</v>
      </c>
      <c r="P68" s="118" t="s">
        <v>750</v>
      </c>
      <c r="Q68" s="119" t="s">
        <v>1038</v>
      </c>
      <c r="R68" s="120" t="str" cm="1">
        <f t="array" aca="1" ref="R68" ca="1">IF($C68="S",REFERENCIA.Descricao,"(digite a descrição aqui)")</f>
        <v>(Código não identificado nas referências)</v>
      </c>
      <c r="S68" s="121" t="str" cm="1">
        <f t="array" aca="1" ref="S68" ca="1">REFERENCIA.Unidade</f>
        <v>-</v>
      </c>
      <c r="T68" s="122">
        <f ca="1">OFFSET(CÁLCULO!H$15,ROW($T68)-ROW(T$15),0)</f>
        <v>52.000000000000014</v>
      </c>
      <c r="U68" s="123">
        <f t="shared" ca="1" si="13"/>
        <v>0</v>
      </c>
      <c r="V68" s="124" t="s">
        <v>663</v>
      </c>
      <c r="W68" s="122" cm="1">
        <f t="array" aca="1" ref="W68" ca="1">IF($C68="S",ROUND(IF(TIPOORCAMENTO="Proposto",ORÇAMENTO.CustoUnitario*(1+$AH68),ORÇAMENTO.PrecoUnitarioLicitado),15-13*$AF$10),0)</f>
        <v>0</v>
      </c>
      <c r="X68" s="125" cm="1">
        <f t="array" aca="1" ref="X68" ca="1">IF($C68="S",IF(OR(Import.TipoArredondamento&lt;&gt;"TransfereGOV",ACOMPANHAMENTO="BM"),VTOTAL1,SUM(OFFSET(CÁLCULO!$AQ$15,ROW($X68)-ROW($X$15),1):OFFSET(CÁLCULO!$BR$15,ROW($X68)-ROW($X$15),-1))),IF($C68=0,0,ROUND(SomaAgrup,15-13*$AF$11)))</f>
        <v>0</v>
      </c>
      <c r="Y68" s="126" t="s">
        <v>751</v>
      </c>
      <c r="Z68" t="str">
        <f t="shared" ca="1" si="14"/>
        <v/>
      </c>
      <c r="AA68" s="127" cm="1">
        <f t="array" aca="1" ref="AA68" ca="1">IF($C68="S",IF($Z68="CP",$X68,IF($Z68="RA",(($X68)*QCI!$AA$3),0)),SomaAgrup)</f>
        <v>0</v>
      </c>
      <c r="AB68" s="128" cm="1">
        <f t="array" aca="1" ref="AB68" ca="1">IF($C68="S",IF($Z68="OU",ROUND($X68,2),0),SomaAgrup)</f>
        <v>0</v>
      </c>
      <c r="AC68" s="565"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CÓDIGO N/ID</v>
      </c>
      <c r="AD68" t="str">
        <f ca="1">IF(C68&lt;=CRONO.NivelExibicao,MAX($AD$15:OFFSET(AD68,-1,0))+IF($C68&lt;&gt;1,1,MAX(1,COUNTIF(QCI!$A$13:$A$24,OFFSET($E68,-1,0)))),"")</f>
        <v/>
      </c>
      <c r="AE68" s="7" t="str" cm="1">
        <f t="array" aca="1" ref="AE68" ca="1">IF(AND($C68="S",ORÇAMENTO.CodBarra&lt;&gt;""),IF(ORÇAMENTO.Fonte="",ORÇAMENTO.CodBarra,CONCATENATE(ORÇAMENTO.Fonte," ",ORÇAMENTO.CodBarra)))</f>
        <v>SINAPI 94570</v>
      </c>
      <c r="AF68" s="12" t="str" cm="1">
        <f t="array" aca="1" ref="AF68" ca="1">IF(ISERROR(ORÇAMENTO.BancoRef),"(abra o arquivo 'Referência "&amp;Excel_BuiltIn_Database&amp;".xlsm)",IF(OR($C68&lt;&gt;"S",ORÇAMENTO.CodBarra=""),"(Sem Código)",IF(ISERROR(MATCH($AE68,INDIRECT(ORÇAMENTO.BancoRef),0)),"(Código não identificado nas referências)",MATCH($AE68,INDIRECT(ORÇAMENTO.BancoRef),0))))</f>
        <v>(Código não identificado nas referências)</v>
      </c>
      <c r="AG68" s="428" cm="1">
        <f t="array" aca="1" ref="AG68" ca="1">ROUND(IF(DESONERACAO="sim",REFERENCIA.Desonerado,REFERENCIA.NaoDesonerado),2)</f>
        <v>0</v>
      </c>
      <c r="AH68" s="429">
        <f t="shared" ca="1" si="15"/>
        <v>0.2223</v>
      </c>
      <c r="AJ68" s="431"/>
      <c r="AL68" s="439"/>
      <c r="AM68" s="336">
        <f t="shared" ca="1" si="0"/>
        <v>0</v>
      </c>
      <c r="AN68" s="470" cm="1">
        <f t="array" aca="1" ref="AN68" ca="1">ROUND(ORÇAMENTO.CustoUnitario*(1+$AH68),2)</f>
        <v>0</v>
      </c>
    </row>
    <row r="69" spans="1:40" ht="76.5" x14ac:dyDescent="0.2">
      <c r="A69" t="str">
        <f t="shared" si="1"/>
        <v>S</v>
      </c>
      <c r="B69">
        <f t="shared" ca="1" si="2"/>
        <v>2</v>
      </c>
      <c r="C69" t="str">
        <f t="shared" ca="1" si="3"/>
        <v>S</v>
      </c>
      <c r="D69">
        <f t="shared" ca="1" si="4"/>
        <v>0</v>
      </c>
      <c r="E69">
        <f ca="1">IF($C69=1,OFFSET(E69,-1,0)+MAX(1,COUNTIF(QCI!$A$13:$A$24,OFFSET(ORÇAMENTO!E69,-1,0))),OFFSET(E69,-1,0))</f>
        <v>5</v>
      </c>
      <c r="F69">
        <f t="shared" ca="1" si="5"/>
        <v>2</v>
      </c>
      <c r="G69">
        <f t="shared" ca="1" si="6"/>
        <v>0</v>
      </c>
      <c r="H69">
        <f t="shared" ca="1" si="7"/>
        <v>0</v>
      </c>
      <c r="I69">
        <f t="shared" ca="1" si="8"/>
        <v>0</v>
      </c>
      <c r="J69">
        <f t="shared" ca="1" si="16"/>
        <v>0</v>
      </c>
      <c r="K69">
        <f ca="1">IF(OR($C69="S",$C69=0),0,MATCH(OFFSET($D69,0,$C69)+IF($C69&lt;&gt;1,1,COUNTIF(QCI!$A$13:$A$24,ORÇAMENTO!E69)),OFFSET($D69,1,$C69,ROW($C$244)-ROW($C69)),0))</f>
        <v>0</v>
      </c>
      <c r="L69" s="114" t="str">
        <f t="shared" ca="1" si="10"/>
        <v/>
      </c>
      <c r="M69" s="115" t="s">
        <v>705</v>
      </c>
      <c r="N69" s="116" t="str">
        <f t="shared" ca="1" si="11"/>
        <v>Serviço</v>
      </c>
      <c r="O69" s="117" t="str">
        <f t="shared" ca="1" si="12"/>
        <v>-</v>
      </c>
      <c r="P69" s="118" t="s">
        <v>750</v>
      </c>
      <c r="Q69" s="119" t="s">
        <v>1039</v>
      </c>
      <c r="R69" s="120" t="str" cm="1">
        <f t="array" aca="1" ref="R69" ca="1">IF($C69="S",REFERENCIA.Descricao,"(digite a descrição aqui)")</f>
        <v>(Código não identificado nas referências)</v>
      </c>
      <c r="S69" s="121" t="str" cm="1">
        <f t="array" aca="1" ref="S69" ca="1">REFERENCIA.Unidade</f>
        <v>-</v>
      </c>
      <c r="T69" s="122">
        <f ca="1">OFFSET(CÁLCULO!H$15,ROW($T69)-ROW(T$15),0)</f>
        <v>55.999999999999979</v>
      </c>
      <c r="U69" s="123">
        <f t="shared" ca="1" si="13"/>
        <v>0</v>
      </c>
      <c r="V69" s="124" t="s">
        <v>663</v>
      </c>
      <c r="W69" s="122" cm="1">
        <f t="array" aca="1" ref="W69" ca="1">IF($C69="S",ROUND(IF(TIPOORCAMENTO="Proposto",ORÇAMENTO.CustoUnitario*(1+$AH69),ORÇAMENTO.PrecoUnitarioLicitado),15-13*$AF$10),0)</f>
        <v>0</v>
      </c>
      <c r="X69" s="125" cm="1">
        <f t="array" aca="1" ref="X69" ca="1">IF($C69="S",IF(OR(Import.TipoArredondamento&lt;&gt;"TransfereGOV",ACOMPANHAMENTO="BM"),VTOTAL1,SUM(OFFSET(CÁLCULO!$AQ$15,ROW($X69)-ROW($X$15),1):OFFSET(CÁLCULO!$BR$15,ROW($X69)-ROW($X$15),-1))),IF($C69=0,0,ROUND(SomaAgrup,15-13*$AF$11)))</f>
        <v>0</v>
      </c>
      <c r="Y69" s="126" t="s">
        <v>751</v>
      </c>
      <c r="Z69" t="str">
        <f t="shared" ca="1" si="14"/>
        <v/>
      </c>
      <c r="AA69" s="127" cm="1">
        <f t="array" aca="1" ref="AA69" ca="1">IF($C69="S",IF($Z69="CP",$X69,IF($Z69="RA",(($X69)*QCI!$AA$3),0)),SomaAgrup)</f>
        <v>0</v>
      </c>
      <c r="AB69" s="128" cm="1">
        <f t="array" aca="1" ref="AB69" ca="1">IF($C69="S",IF($Z69="OU",ROUND($X69,2),0),SomaAgrup)</f>
        <v>0</v>
      </c>
      <c r="AC69" s="565"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CÓDIGO N/ID</v>
      </c>
      <c r="AD69" t="str">
        <f ca="1">IF(C69&lt;=CRONO.NivelExibicao,MAX($AD$15:OFFSET(AD69,-1,0))+IF($C69&lt;&gt;1,1,MAX(1,COUNTIF(QCI!$A$13:$A$24,OFFSET($E69,-1,0)))),"")</f>
        <v/>
      </c>
      <c r="AE69" s="7" t="str" cm="1">
        <f t="array" aca="1" ref="AE69" ca="1">IF(AND($C69="S",ORÇAMENTO.CodBarra&lt;&gt;""),IF(ORÇAMENTO.Fonte="",ORÇAMENTO.CodBarra,CONCATENATE(ORÇAMENTO.Fonte," ",ORÇAMENTO.CodBarra)))</f>
        <v>SINAPI 94572</v>
      </c>
      <c r="AF69" s="12" t="str" cm="1">
        <f t="array" aca="1" ref="AF69" ca="1">IF(ISERROR(ORÇAMENTO.BancoRef),"(abra o arquivo 'Referência "&amp;Excel_BuiltIn_Database&amp;".xlsm)",IF(OR($C69&lt;&gt;"S",ORÇAMENTO.CodBarra=""),"(Sem Código)",IF(ISERROR(MATCH($AE69,INDIRECT(ORÇAMENTO.BancoRef),0)),"(Código não identificado nas referências)",MATCH($AE69,INDIRECT(ORÇAMENTO.BancoRef),0))))</f>
        <v>(Código não identificado nas referências)</v>
      </c>
      <c r="AG69" s="428" cm="1">
        <f t="array" aca="1" ref="AG69" ca="1">ROUND(IF(DESONERACAO="sim",REFERENCIA.Desonerado,REFERENCIA.NaoDesonerado),2)</f>
        <v>0</v>
      </c>
      <c r="AH69" s="429">
        <f t="shared" ca="1" si="15"/>
        <v>0.2223</v>
      </c>
      <c r="AJ69" s="431"/>
      <c r="AL69" s="439"/>
      <c r="AM69" s="336">
        <f t="shared" ca="1" si="0"/>
        <v>0</v>
      </c>
      <c r="AN69" s="470" cm="1">
        <f t="array" aca="1" ref="AN69" ca="1">ROUND(ORÇAMENTO.CustoUnitario*(1+$AH69),2)</f>
        <v>0</v>
      </c>
    </row>
    <row r="70" spans="1:40" ht="63.75" x14ac:dyDescent="0.2">
      <c r="A70" t="str">
        <f t="shared" si="1"/>
        <v>S</v>
      </c>
      <c r="B70">
        <f t="shared" ca="1" si="2"/>
        <v>2</v>
      </c>
      <c r="C70" t="str">
        <f t="shared" ca="1" si="3"/>
        <v>S</v>
      </c>
      <c r="D70">
        <f t="shared" ca="1" si="4"/>
        <v>0</v>
      </c>
      <c r="E70">
        <f ca="1">IF($C70=1,OFFSET(E70,-1,0)+MAX(1,COUNTIF(QCI!$A$13:$A$24,OFFSET(ORÇAMENTO!E70,-1,0))),OFFSET(E70,-1,0))</f>
        <v>5</v>
      </c>
      <c r="F70">
        <f t="shared" ca="1" si="5"/>
        <v>2</v>
      </c>
      <c r="G70">
        <f t="shared" ca="1" si="6"/>
        <v>0</v>
      </c>
      <c r="H70">
        <f t="shared" ca="1" si="7"/>
        <v>0</v>
      </c>
      <c r="I70">
        <f t="shared" ca="1" si="8"/>
        <v>0</v>
      </c>
      <c r="J70">
        <f t="shared" ca="1" si="16"/>
        <v>0</v>
      </c>
      <c r="K70">
        <f ca="1">IF(OR($C70="S",$C70=0),0,MATCH(OFFSET($D70,0,$C70)+IF($C70&lt;&gt;1,1,COUNTIF(QCI!$A$13:$A$24,ORÇAMENTO!E70)),OFFSET($D70,1,$C70,ROW($C$244)-ROW($C70)),0))</f>
        <v>0</v>
      </c>
      <c r="L70" s="114" t="str">
        <f t="shared" ca="1" si="10"/>
        <v/>
      </c>
      <c r="M70" s="115" t="s">
        <v>705</v>
      </c>
      <c r="N70" s="116" t="str">
        <f t="shared" ca="1" si="11"/>
        <v>Serviço</v>
      </c>
      <c r="O70" s="117" t="str">
        <f t="shared" ca="1" si="12"/>
        <v>-</v>
      </c>
      <c r="P70" s="118" t="s">
        <v>750</v>
      </c>
      <c r="Q70" s="119" t="s">
        <v>1040</v>
      </c>
      <c r="R70" s="120" t="str" cm="1">
        <f t="array" aca="1" ref="R70" ca="1">IF($C70="S",REFERENCIA.Descricao,"(digite a descrição aqui)")</f>
        <v>(Código não identificado nas referências)</v>
      </c>
      <c r="S70" s="121" t="str" cm="1">
        <f t="array" aca="1" ref="S70" ca="1">REFERENCIA.Unidade</f>
        <v>-</v>
      </c>
      <c r="T70" s="122">
        <f ca="1">OFFSET(CÁLCULO!H$15,ROW($T70)-ROW(T$15),0)</f>
        <v>9.600000000000005</v>
      </c>
      <c r="U70" s="123">
        <f t="shared" ca="1" si="13"/>
        <v>0</v>
      </c>
      <c r="V70" s="124" t="s">
        <v>663</v>
      </c>
      <c r="W70" s="122" cm="1">
        <f t="array" aca="1" ref="W70" ca="1">IF($C70="S",ROUND(IF(TIPOORCAMENTO="Proposto",ORÇAMENTO.CustoUnitario*(1+$AH70),ORÇAMENTO.PrecoUnitarioLicitado),15-13*$AF$10),0)</f>
        <v>0</v>
      </c>
      <c r="X70" s="125" cm="1">
        <f t="array" aca="1" ref="X70" ca="1">IF($C70="S",IF(OR(Import.TipoArredondamento&lt;&gt;"TransfereGOV",ACOMPANHAMENTO="BM"),VTOTAL1,SUM(OFFSET(CÁLCULO!$AQ$15,ROW($X70)-ROW($X$15),1):OFFSET(CÁLCULO!$BR$15,ROW($X70)-ROW($X$15),-1))),IF($C70=0,0,ROUND(SomaAgrup,15-13*$AF$11)))</f>
        <v>0</v>
      </c>
      <c r="Y70" s="126" t="s">
        <v>751</v>
      </c>
      <c r="Z70" t="str">
        <f t="shared" ca="1" si="14"/>
        <v/>
      </c>
      <c r="AA70" s="127" cm="1">
        <f t="array" aca="1" ref="AA70" ca="1">IF($C70="S",IF($Z70="CP",$X70,IF($Z70="RA",(($X70)*QCI!$AA$3),0)),SomaAgrup)</f>
        <v>0</v>
      </c>
      <c r="AB70" s="128" cm="1">
        <f t="array" aca="1" ref="AB70" ca="1">IF($C70="S",IF($Z70="OU",ROUND($X70,2),0),SomaAgrup)</f>
        <v>0</v>
      </c>
      <c r="AC70" s="565"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CÓDIGO N/ID</v>
      </c>
      <c r="AD70" t="str">
        <f ca="1">IF(C70&lt;=CRONO.NivelExibicao,MAX($AD$15:OFFSET(AD70,-1,0))+IF($C70&lt;&gt;1,1,MAX(1,COUNTIF(QCI!$A$13:$A$24,OFFSET($E70,-1,0)))),"")</f>
        <v/>
      </c>
      <c r="AE70" s="7" t="str" cm="1">
        <f t="array" aca="1" ref="AE70" ca="1">IF(AND($C70="S",ORÇAMENTO.CodBarra&lt;&gt;""),IF(ORÇAMENTO.Fonte="",ORÇAMENTO.CodBarra,CONCATENATE(ORÇAMENTO.Fonte," ",ORÇAMENTO.CodBarra)))</f>
        <v>SINAPI 94569</v>
      </c>
      <c r="AF70" s="12" t="str" cm="1">
        <f t="array" aca="1" ref="AF70" ca="1">IF(ISERROR(ORÇAMENTO.BancoRef),"(abra o arquivo 'Referência "&amp;Excel_BuiltIn_Database&amp;".xlsm)",IF(OR($C70&lt;&gt;"S",ORÇAMENTO.CodBarra=""),"(Sem Código)",IF(ISERROR(MATCH($AE70,INDIRECT(ORÇAMENTO.BancoRef),0)),"(Código não identificado nas referências)",MATCH($AE70,INDIRECT(ORÇAMENTO.BancoRef),0))))</f>
        <v>(Código não identificado nas referências)</v>
      </c>
      <c r="AG70" s="428" cm="1">
        <f t="array" aca="1" ref="AG70" ca="1">ROUND(IF(DESONERACAO="sim",REFERENCIA.Desonerado,REFERENCIA.NaoDesonerado),2)</f>
        <v>0</v>
      </c>
      <c r="AH70" s="429">
        <f t="shared" ca="1" si="15"/>
        <v>0.2223</v>
      </c>
      <c r="AJ70" s="431"/>
      <c r="AL70" s="439"/>
      <c r="AM70" s="336">
        <f t="shared" ca="1" si="0"/>
        <v>0</v>
      </c>
      <c r="AN70" s="470" cm="1">
        <f t="array" aca="1" ref="AN70" ca="1">ROUND(ORÇAMENTO.CustoUnitario*(1+$AH70),2)</f>
        <v>0</v>
      </c>
    </row>
    <row r="71" spans="1:40" ht="25.5" x14ac:dyDescent="0.2">
      <c r="A71" t="str">
        <f t="shared" si="1"/>
        <v>S</v>
      </c>
      <c r="B71">
        <f t="shared" ca="1" si="2"/>
        <v>2</v>
      </c>
      <c r="C71" t="str">
        <f t="shared" ca="1" si="3"/>
        <v>S</v>
      </c>
      <c r="D71">
        <f t="shared" ca="1" si="4"/>
        <v>0</v>
      </c>
      <c r="E71">
        <f ca="1">IF($C71=1,OFFSET(E71,-1,0)+MAX(1,COUNTIF(QCI!$A$13:$A$24,OFFSET(ORÇAMENTO!E71,-1,0))),OFFSET(E71,-1,0))</f>
        <v>5</v>
      </c>
      <c r="F71">
        <f t="shared" ca="1" si="5"/>
        <v>2</v>
      </c>
      <c r="G71">
        <f t="shared" ca="1" si="6"/>
        <v>0</v>
      </c>
      <c r="H71">
        <f t="shared" ca="1" si="7"/>
        <v>0</v>
      </c>
      <c r="I71">
        <f t="shared" ca="1" si="8"/>
        <v>0</v>
      </c>
      <c r="J71">
        <f t="shared" ca="1" si="16"/>
        <v>0</v>
      </c>
      <c r="K71">
        <f ca="1">IF(OR($C71="S",$C71=0),0,MATCH(OFFSET($D71,0,$C71)+IF($C71&lt;&gt;1,1,COUNTIF(QCI!$A$13:$A$24,ORÇAMENTO!E71)),OFFSET($D71,1,$C71,ROW($C$244)-ROW($C71)),0))</f>
        <v>0</v>
      </c>
      <c r="L71" s="114" t="str">
        <f t="shared" ca="1" si="10"/>
        <v/>
      </c>
      <c r="M71" s="115" t="s">
        <v>705</v>
      </c>
      <c r="N71" s="116" t="str">
        <f t="shared" ca="1" si="11"/>
        <v>Serviço</v>
      </c>
      <c r="O71" s="117" t="str">
        <f t="shared" ca="1" si="12"/>
        <v>-</v>
      </c>
      <c r="P71" s="118" t="s">
        <v>750</v>
      </c>
      <c r="Q71" s="119" t="s">
        <v>1041</v>
      </c>
      <c r="R71" s="120" t="str" cm="1">
        <f t="array" aca="1" ref="R71" ca="1">IF($C71="S",REFERENCIA.Descricao,"(digite a descrição aqui)")</f>
        <v>(Código não identificado nas referências)</v>
      </c>
      <c r="S71" s="121" t="str" cm="1">
        <f t="array" aca="1" ref="S71" ca="1">REFERENCIA.Unidade</f>
        <v>-</v>
      </c>
      <c r="T71" s="122">
        <f ca="1">OFFSET(CÁLCULO!H$15,ROW($T71)-ROW(T$15),0)</f>
        <v>432.00000000000017</v>
      </c>
      <c r="U71" s="123">
        <f t="shared" ca="1" si="13"/>
        <v>0</v>
      </c>
      <c r="V71" s="124" t="s">
        <v>663</v>
      </c>
      <c r="W71" s="122" cm="1">
        <f t="array" aca="1" ref="W71" ca="1">IF($C71="S",ROUND(IF(TIPOORCAMENTO="Proposto",ORÇAMENTO.CustoUnitario*(1+$AH71),ORÇAMENTO.PrecoUnitarioLicitado),15-13*$AF$10),0)</f>
        <v>0</v>
      </c>
      <c r="X71" s="125" cm="1">
        <f t="array" aca="1" ref="X71" ca="1">IF($C71="S",IF(OR(Import.TipoArredondamento&lt;&gt;"TransfereGOV",ACOMPANHAMENTO="BM"),VTOTAL1,SUM(OFFSET(CÁLCULO!$AQ$15,ROW($X71)-ROW($X$15),1):OFFSET(CÁLCULO!$BR$15,ROW($X71)-ROW($X$15),-1))),IF($C71=0,0,ROUND(SomaAgrup,15-13*$AF$11)))</f>
        <v>0</v>
      </c>
      <c r="Y71" s="126" t="s">
        <v>751</v>
      </c>
      <c r="Z71" t="str">
        <f t="shared" ca="1" si="14"/>
        <v/>
      </c>
      <c r="AA71" s="127" cm="1">
        <f t="array" aca="1" ref="AA71" ca="1">IF($C71="S",IF($Z71="CP",$X71,IF($Z71="RA",(($X71)*QCI!$AA$3),0)),SomaAgrup)</f>
        <v>0</v>
      </c>
      <c r="AB71" s="128" cm="1">
        <f t="array" aca="1" ref="AB71" ca="1">IF($C71="S",IF($Z71="OU",ROUND($X71,2),0),SomaAgrup)</f>
        <v>0</v>
      </c>
      <c r="AC71" s="565"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CÓDIGO N/ID</v>
      </c>
      <c r="AD71" t="str">
        <f ca="1">IF(C71&lt;=CRONO.NivelExibicao,MAX($AD$15:OFFSET(AD71,-1,0))+IF($C71&lt;&gt;1,1,MAX(1,COUNTIF(QCI!$A$13:$A$24,OFFSET($E71,-1,0)))),"")</f>
        <v/>
      </c>
      <c r="AE71" s="7" t="str" cm="1">
        <f t="array" aca="1" ref="AE71" ca="1">IF(AND($C71="S",ORÇAMENTO.CodBarra&lt;&gt;""),IF(ORÇAMENTO.Fonte="",ORÇAMENTO.CodBarra,CONCATENATE(ORÇAMENTO.Fonte," ",ORÇAMENTO.CodBarra)))</f>
        <v>SINAPI 94589</v>
      </c>
      <c r="AF71" s="12" t="str" cm="1">
        <f t="array" aca="1" ref="AF71" ca="1">IF(ISERROR(ORÇAMENTO.BancoRef),"(abra o arquivo 'Referência "&amp;Excel_BuiltIn_Database&amp;".xlsm)",IF(OR($C71&lt;&gt;"S",ORÇAMENTO.CodBarra=""),"(Sem Código)",IF(ISERROR(MATCH($AE71,INDIRECT(ORÇAMENTO.BancoRef),0)),"(Código não identificado nas referências)",MATCH($AE71,INDIRECT(ORÇAMENTO.BancoRef),0))))</f>
        <v>(Código não identificado nas referências)</v>
      </c>
      <c r="AG71" s="428" cm="1">
        <f t="array" aca="1" ref="AG71" ca="1">ROUND(IF(DESONERACAO="sim",REFERENCIA.Desonerado,REFERENCIA.NaoDesonerado),2)</f>
        <v>0</v>
      </c>
      <c r="AH71" s="429">
        <f t="shared" ca="1" si="15"/>
        <v>0.2223</v>
      </c>
      <c r="AJ71" s="431"/>
      <c r="AL71" s="439"/>
      <c r="AM71" s="336">
        <f t="shared" ca="1" si="0"/>
        <v>0</v>
      </c>
      <c r="AN71" s="470" cm="1">
        <f t="array" aca="1" ref="AN71" ca="1">ROUND(ORÇAMENTO.CustoUnitario*(1+$AH71),2)</f>
        <v>0</v>
      </c>
    </row>
    <row r="72" spans="1:40" x14ac:dyDescent="0.2">
      <c r="A72" t="str">
        <f t="shared" si="1"/>
        <v>S</v>
      </c>
      <c r="B72">
        <f t="shared" ca="1" si="2"/>
        <v>2</v>
      </c>
      <c r="C72" t="str">
        <f t="shared" ca="1" si="3"/>
        <v>S</v>
      </c>
      <c r="D72">
        <f t="shared" ca="1" si="4"/>
        <v>0</v>
      </c>
      <c r="E72">
        <f ca="1">IF($C72=1,OFFSET(E72,-1,0)+MAX(1,COUNTIF(QCI!$A$13:$A$24,OFFSET(ORÇAMENTO!E72,-1,0))),OFFSET(E72,-1,0))</f>
        <v>5</v>
      </c>
      <c r="F72">
        <f t="shared" ca="1" si="5"/>
        <v>2</v>
      </c>
      <c r="G72">
        <f t="shared" ca="1" si="6"/>
        <v>0</v>
      </c>
      <c r="H72">
        <f t="shared" ca="1" si="7"/>
        <v>0</v>
      </c>
      <c r="I72">
        <f t="shared" ca="1" si="8"/>
        <v>0</v>
      </c>
      <c r="J72">
        <f t="shared" ca="1" si="16"/>
        <v>0</v>
      </c>
      <c r="K72">
        <f ca="1">IF(OR($C72="S",$C72=0),0,MATCH(OFFSET($D72,0,$C72)+IF($C72&lt;&gt;1,1,COUNTIF(QCI!$A$13:$A$24,ORÇAMENTO!E72)),OFFSET($D72,1,$C72,ROW($C$244)-ROW($C72)),0))</f>
        <v>0</v>
      </c>
      <c r="L72" s="114" t="str">
        <f t="shared" ca="1" si="10"/>
        <v/>
      </c>
      <c r="M72" s="115" t="s">
        <v>705</v>
      </c>
      <c r="N72" s="116" t="str">
        <f t="shared" ca="1" si="11"/>
        <v>Serviço</v>
      </c>
      <c r="O72" s="117" t="str">
        <f t="shared" ca="1" si="12"/>
        <v>-</v>
      </c>
      <c r="P72" s="118" t="s">
        <v>750</v>
      </c>
      <c r="Q72" s="119" t="s">
        <v>1042</v>
      </c>
      <c r="R72" s="120" t="str" cm="1">
        <f t="array" aca="1" ref="R72" ca="1">IF($C72="S",REFERENCIA.Descricao,"(digite a descrição aqui)")</f>
        <v>(Código não identificado nas referências)</v>
      </c>
      <c r="S72" s="121" t="str" cm="1">
        <f t="array" aca="1" ref="S72" ca="1">REFERENCIA.Unidade</f>
        <v>-</v>
      </c>
      <c r="T72" s="122">
        <f ca="1">OFFSET(CÁLCULO!H$15,ROW($T72)-ROW(T$15),0)</f>
        <v>864.00000000000034</v>
      </c>
      <c r="U72" s="123">
        <f t="shared" ca="1" si="13"/>
        <v>0</v>
      </c>
      <c r="V72" s="124" t="s">
        <v>663</v>
      </c>
      <c r="W72" s="122" cm="1">
        <f t="array" aca="1" ref="W72" ca="1">IF($C72="S",ROUND(IF(TIPOORCAMENTO="Proposto",ORÇAMENTO.CustoUnitario*(1+$AH72),ORÇAMENTO.PrecoUnitarioLicitado),15-13*$AF$10),0)</f>
        <v>0</v>
      </c>
      <c r="X72" s="125" cm="1">
        <f t="array" aca="1" ref="X72" ca="1">IF($C72="S",IF(OR(Import.TipoArredondamento&lt;&gt;"TransfereGOV",ACOMPANHAMENTO="BM"),VTOTAL1,SUM(OFFSET(CÁLCULO!$AQ$15,ROW($X72)-ROW($X$15),1):OFFSET(CÁLCULO!$BR$15,ROW($X72)-ROW($X$15),-1))),IF($C72=0,0,ROUND(SomaAgrup,15-13*$AF$11)))</f>
        <v>0</v>
      </c>
      <c r="Y72" s="126" t="s">
        <v>751</v>
      </c>
      <c r="Z72" t="str">
        <f t="shared" ca="1" si="14"/>
        <v/>
      </c>
      <c r="AA72" s="127" cm="1">
        <f t="array" aca="1" ref="AA72" ca="1">IF($C72="S",IF($Z72="CP",$X72,IF($Z72="RA",(($X72)*QCI!$AA$3),0)),SomaAgrup)</f>
        <v>0</v>
      </c>
      <c r="AB72" s="128" cm="1">
        <f t="array" aca="1" ref="AB72" ca="1">IF($C72="S",IF($Z72="OU",ROUND($X72,2),0),SomaAgrup)</f>
        <v>0</v>
      </c>
      <c r="AC72" s="565"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CÓDIGO N/ID</v>
      </c>
      <c r="AD72" t="str">
        <f ca="1">IF(C72&lt;=CRONO.NivelExibicao,MAX($AD$15:OFFSET(AD72,-1,0))+IF($C72&lt;&gt;1,1,MAX(1,COUNTIF(QCI!$A$13:$A$24,OFFSET($E72,-1,0)))),"")</f>
        <v/>
      </c>
      <c r="AE72" s="7" t="str" cm="1">
        <f t="array" aca="1" ref="AE72" ca="1">IF(AND($C72="S",ORÇAMENTO.CodBarra&lt;&gt;""),IF(ORÇAMENTO.Fonte="",ORÇAMENTO.CodBarra,CONCATENATE(ORÇAMENTO.Fonte," ",ORÇAMENTO.CodBarra)))</f>
        <v>SINAPI 105812</v>
      </c>
      <c r="AF72" s="12" t="str" cm="1">
        <f t="array" aca="1" ref="AF72" ca="1">IF(ISERROR(ORÇAMENTO.BancoRef),"(abra o arquivo 'Referência "&amp;Excel_BuiltIn_Database&amp;".xlsm)",IF(OR($C72&lt;&gt;"S",ORÇAMENTO.CodBarra=""),"(Sem Código)",IF(ISERROR(MATCH($AE72,INDIRECT(ORÇAMENTO.BancoRef),0)),"(Código não identificado nas referências)",MATCH($AE72,INDIRECT(ORÇAMENTO.BancoRef),0))))</f>
        <v>(Código não identificado nas referências)</v>
      </c>
      <c r="AG72" s="428" cm="1">
        <f t="array" aca="1" ref="AG72" ca="1">ROUND(IF(DESONERACAO="sim",REFERENCIA.Desonerado,REFERENCIA.NaoDesonerado),2)</f>
        <v>0</v>
      </c>
      <c r="AH72" s="429">
        <f t="shared" ca="1" si="15"/>
        <v>0.2223</v>
      </c>
      <c r="AJ72" s="431"/>
      <c r="AL72" s="439"/>
      <c r="AM72" s="336">
        <f t="shared" ca="1" si="0"/>
        <v>0</v>
      </c>
      <c r="AN72" s="470" cm="1">
        <f t="array" aca="1" ref="AN72" ca="1">ROUND(ORÇAMENTO.CustoUnitario*(1+$AH72),2)</f>
        <v>0</v>
      </c>
    </row>
    <row r="73" spans="1:40" x14ac:dyDescent="0.2">
      <c r="A73">
        <f t="shared" si="1"/>
        <v>2</v>
      </c>
      <c r="B73">
        <f t="shared" ca="1" si="2"/>
        <v>2</v>
      </c>
      <c r="C73">
        <f t="shared" ca="1" si="3"/>
        <v>2</v>
      </c>
      <c r="D73">
        <f t="shared" ca="1" si="4"/>
        <v>2</v>
      </c>
      <c r="E73">
        <f ca="1">IF($C73=1,OFFSET(E73,-1,0)+MAX(1,COUNTIF(QCI!$A$13:$A$24,OFFSET(ORÇAMENTO!E73,-1,0))),OFFSET(E73,-1,0))</f>
        <v>5</v>
      </c>
      <c r="F73">
        <f t="shared" ca="1" si="5"/>
        <v>3</v>
      </c>
      <c r="G73">
        <f t="shared" ca="1" si="6"/>
        <v>0</v>
      </c>
      <c r="H73">
        <f t="shared" ca="1" si="7"/>
        <v>0</v>
      </c>
      <c r="I73">
        <f t="shared" ca="1" si="8"/>
        <v>0</v>
      </c>
      <c r="J73">
        <f t="shared" ca="1" si="16"/>
        <v>2</v>
      </c>
      <c r="K73">
        <f ca="1">IF(OR($C73="S",$C73=0),0,MATCH(OFFSET($D73,0,$C73)+IF($C73&lt;&gt;1,1,COUNTIF(QCI!$A$13:$A$24,ORÇAMENTO!E73)),OFFSET($D73,1,$C73,ROW($C$244)-ROW($C73)),0))</f>
        <v>26</v>
      </c>
      <c r="L73" s="114" t="str">
        <f t="shared" ca="1" si="10"/>
        <v>F</v>
      </c>
      <c r="M73" s="115" t="s">
        <v>702</v>
      </c>
      <c r="N73" s="116" t="str">
        <f t="shared" ca="1" si="11"/>
        <v>Nível 2</v>
      </c>
      <c r="O73" s="117" t="str">
        <f t="shared" ca="1" si="12"/>
        <v>5.3.</v>
      </c>
      <c r="P73" s="118" t="s">
        <v>250</v>
      </c>
      <c r="Q73" s="119" t="s">
        <v>250</v>
      </c>
      <c r="R73" s="120" t="s">
        <v>1183</v>
      </c>
      <c r="S73" s="121"/>
      <c r="T73" s="122">
        <f ca="1">OFFSET(CÁLCULO!H$15,ROW($T73)-ROW(T$15),0)</f>
        <v>0</v>
      </c>
      <c r="U73" s="123">
        <f t="shared" ca="1" si="13"/>
        <v>0</v>
      </c>
      <c r="V73" s="124" t="s">
        <v>663</v>
      </c>
      <c r="W73" s="122" cm="1">
        <f t="array" aca="1" ref="W73" ca="1">IF($C73="S",ROUND(IF(TIPOORCAMENTO="Proposto",ORÇAMENTO.CustoUnitario*(1+$AH73),ORÇAMENTO.PrecoUnitarioLicitado),15-13*$AF$10),0)</f>
        <v>0</v>
      </c>
      <c r="X73" s="125" cm="1">
        <f t="array" aca="1" ref="X73" ca="1">IF($C73="S",IF(OR(Import.TipoArredondamento&lt;&gt;"TransfereGOV",ACOMPANHAMENTO="BM"),VTOTAL1,SUM(OFFSET(CÁLCULO!$AQ$15,ROW($X73)-ROW($X$15),1):OFFSET(CÁLCULO!$BR$15,ROW($X73)-ROW($X$15),-1))),IF($C73=0,0,ROUND(SomaAgrup,15-13*$AF$11)))</f>
        <v>0</v>
      </c>
      <c r="Y73" s="126" t="s">
        <v>751</v>
      </c>
      <c r="Z73" t="str">
        <f t="shared" ca="1" si="14"/>
        <v/>
      </c>
      <c r="AA73" s="127" cm="1">
        <f t="array" aca="1" ref="AA73" ca="1">IF($C73="S",IF($Z73="CP",$X73,IF($Z73="RA",(($X73)*QCI!$AA$3),0)),SomaAgrup)</f>
        <v>0</v>
      </c>
      <c r="AB73" s="128" cm="1">
        <f t="array" aca="1" ref="AB73" ca="1">IF($C73="S",IF($Z73="OU",ROUND($X73,2),0),SomaAgrup)</f>
        <v>0</v>
      </c>
      <c r="AC73" s="565"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f ca="1">IF(C73&lt;=CRONO.NivelExibicao,MAX($AD$15:OFFSET(AD73,-1,0))+IF($C73&lt;&gt;1,1,MAX(1,COUNTIF(QCI!$A$13:$A$24,OFFSET($E73,-1,0)))),"")</f>
        <v>15</v>
      </c>
      <c r="AE73" s="7" t="b" cm="1">
        <f t="array" aca="1" ref="AE73" ca="1">IF(AND($C73="S",ORÇAMENTO.CodBarra&lt;&gt;""),IF(ORÇAMENTO.Fonte="",ORÇAMENTO.CodBarra,CONCATENATE(ORÇAMENTO.Fonte," ",ORÇAMENTO.CodBarra)))</f>
        <v>0</v>
      </c>
      <c r="AF73" s="12" t="str" cm="1">
        <f t="array" aca="1" ref="AF73" ca="1">IF(ISERROR(ORÇAMENTO.BancoRef),"(abra o arquivo 'Referência "&amp;Excel_BuiltIn_Database&amp;".xlsm)",IF(OR($C73&lt;&gt;"S",ORÇAMENTO.CodBarra=""),"(Sem Código)",IF(ISERROR(MATCH($AE73,INDIRECT(ORÇAMENTO.BancoRef),0)),"(Código não identificado nas referências)",MATCH($AE73,INDIRECT(ORÇAMENTO.BancoRef),0))))</f>
        <v>(Sem Código)</v>
      </c>
      <c r="AG73" s="428" cm="1">
        <f t="array" aca="1" ref="AG73" ca="1">ROUND(IF(DESONERACAO="sim",REFERENCIA.Desonerado,REFERENCIA.NaoDesonerado),2)</f>
        <v>0</v>
      </c>
      <c r="AH73" s="429">
        <f t="shared" ca="1" si="15"/>
        <v>0.2223</v>
      </c>
      <c r="AJ73" s="431"/>
      <c r="AL73" s="439"/>
      <c r="AM73" s="336">
        <f t="shared" ca="1" si="0"/>
        <v>0</v>
      </c>
      <c r="AN73" s="470" cm="1">
        <f t="array" aca="1" ref="AN73" ca="1">ROUND(ORÇAMENTO.CustoUnitario*(1+$AH73),2)</f>
        <v>0</v>
      </c>
    </row>
    <row r="74" spans="1:40" ht="63.75" x14ac:dyDescent="0.2">
      <c r="A74" t="str">
        <f t="shared" si="1"/>
        <v>S</v>
      </c>
      <c r="B74">
        <f t="shared" ca="1" si="2"/>
        <v>2</v>
      </c>
      <c r="C74" t="str">
        <f t="shared" ca="1" si="3"/>
        <v>S</v>
      </c>
      <c r="D74">
        <f t="shared" ca="1" si="4"/>
        <v>0</v>
      </c>
      <c r="E74">
        <f ca="1">IF($C74=1,OFFSET(E74,-1,0)+MAX(1,COUNTIF(QCI!$A$13:$A$24,OFFSET(ORÇAMENTO!E74,-1,0))),OFFSET(E74,-1,0))</f>
        <v>5</v>
      </c>
      <c r="F74">
        <f t="shared" ca="1" si="5"/>
        <v>3</v>
      </c>
      <c r="G74">
        <f t="shared" ca="1" si="6"/>
        <v>0</v>
      </c>
      <c r="H74">
        <f t="shared" ca="1" si="7"/>
        <v>0</v>
      </c>
      <c r="I74">
        <f t="shared" ca="1" si="8"/>
        <v>0</v>
      </c>
      <c r="J74">
        <f t="shared" ca="1" si="16"/>
        <v>0</v>
      </c>
      <c r="K74">
        <f ca="1">IF(OR($C74="S",$C74=0),0,MATCH(OFFSET($D74,0,$C74)+IF($C74&lt;&gt;1,1,COUNTIF(QCI!$A$13:$A$24,ORÇAMENTO!E74)),OFFSET($D74,1,$C74,ROW($C$244)-ROW($C74)),0))</f>
        <v>0</v>
      </c>
      <c r="L74" s="114" t="str">
        <f t="shared" ca="1" si="10"/>
        <v/>
      </c>
      <c r="M74" s="115" t="s">
        <v>705</v>
      </c>
      <c r="N74" s="116" t="str">
        <f t="shared" ca="1" si="11"/>
        <v>Serviço</v>
      </c>
      <c r="O74" s="117" t="str">
        <f t="shared" ca="1" si="12"/>
        <v>-</v>
      </c>
      <c r="P74" s="118" t="s">
        <v>750</v>
      </c>
      <c r="Q74" s="119" t="s">
        <v>1043</v>
      </c>
      <c r="R74" s="120" t="str" cm="1">
        <f t="array" aca="1" ref="R74" ca="1">IF($C74="S",REFERENCIA.Descricao,"(digite a descrição aqui)")</f>
        <v>(Código não identificado nas referências)</v>
      </c>
      <c r="S74" s="121" t="str" cm="1">
        <f t="array" aca="1" ref="S74" ca="1">REFERENCIA.Unidade</f>
        <v>-</v>
      </c>
      <c r="T74" s="122">
        <f ca="1">OFFSET(CÁLCULO!H$15,ROW($T74)-ROW(T$15),0)</f>
        <v>60</v>
      </c>
      <c r="U74" s="123">
        <f t="shared" ca="1" si="13"/>
        <v>0</v>
      </c>
      <c r="V74" s="124" t="s">
        <v>663</v>
      </c>
      <c r="W74" s="122" cm="1">
        <f t="array" aca="1" ref="W74" ca="1">IF($C74="S",ROUND(IF(TIPOORCAMENTO="Proposto",ORÇAMENTO.CustoUnitario*(1+$AH74),ORÇAMENTO.PrecoUnitarioLicitado),15-13*$AF$10),0)</f>
        <v>0</v>
      </c>
      <c r="X74" s="125" cm="1">
        <f t="array" aca="1" ref="X74" ca="1">IF($C74="S",IF(OR(Import.TipoArredondamento&lt;&gt;"TransfereGOV",ACOMPANHAMENTO="BM"),VTOTAL1,SUM(OFFSET(CÁLCULO!$AQ$15,ROW($X74)-ROW($X$15),1):OFFSET(CÁLCULO!$BR$15,ROW($X74)-ROW($X$15),-1))),IF($C74=0,0,ROUND(SomaAgrup,15-13*$AF$11)))</f>
        <v>0</v>
      </c>
      <c r="Y74" s="126" t="s">
        <v>751</v>
      </c>
      <c r="Z74" t="str">
        <f t="shared" ca="1" si="14"/>
        <v/>
      </c>
      <c r="AA74" s="127" cm="1">
        <f t="array" aca="1" ref="AA74" ca="1">IF($C74="S",IF($Z74="CP",$X74,IF($Z74="RA",(($X74)*QCI!$AA$3),0)),SomaAgrup)</f>
        <v>0</v>
      </c>
      <c r="AB74" s="128" cm="1">
        <f t="array" aca="1" ref="AB74" ca="1">IF($C74="S",IF($Z74="OU",ROUND($X74,2),0),SomaAgrup)</f>
        <v>0</v>
      </c>
      <c r="AC74" s="565"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CÓDIGO N/ID</v>
      </c>
      <c r="AD74" t="str">
        <f ca="1">IF(C74&lt;=CRONO.NivelExibicao,MAX($AD$15:OFFSET(AD74,-1,0))+IF($C74&lt;&gt;1,1,MAX(1,COUNTIF(QCI!$A$13:$A$24,OFFSET($E74,-1,0)))),"")</f>
        <v/>
      </c>
      <c r="AE74" s="7" t="str" cm="1">
        <f t="array" aca="1" ref="AE74" ca="1">IF(AND($C74="S",ORÇAMENTO.CodBarra&lt;&gt;""),IF(ORÇAMENTO.Fonte="",ORÇAMENTO.CodBarra,CONCATENATE(ORÇAMENTO.Fonte," ",ORÇAMENTO.CodBarra)))</f>
        <v>SINAPI 91314</v>
      </c>
      <c r="AF74" s="12" t="str" cm="1">
        <f t="array" aca="1" ref="AF74" ca="1">IF(ISERROR(ORÇAMENTO.BancoRef),"(abra o arquivo 'Referência "&amp;Excel_BuiltIn_Database&amp;".xlsm)",IF(OR($C74&lt;&gt;"S",ORÇAMENTO.CodBarra=""),"(Sem Código)",IF(ISERROR(MATCH($AE74,INDIRECT(ORÇAMENTO.BancoRef),0)),"(Código não identificado nas referências)",MATCH($AE74,INDIRECT(ORÇAMENTO.BancoRef),0))))</f>
        <v>(Código não identificado nas referências)</v>
      </c>
      <c r="AG74" s="428" cm="1">
        <f t="array" aca="1" ref="AG74" ca="1">ROUND(IF(DESONERACAO="sim",REFERENCIA.Desonerado,REFERENCIA.NaoDesonerado),2)</f>
        <v>0</v>
      </c>
      <c r="AH74" s="429">
        <f t="shared" ca="1" si="15"/>
        <v>0.2223</v>
      </c>
      <c r="AJ74" s="431"/>
      <c r="AL74" s="439"/>
      <c r="AM74" s="336">
        <f t="shared" ca="1" si="0"/>
        <v>0</v>
      </c>
      <c r="AN74" s="470" cm="1">
        <f t="array" aca="1" ref="AN74" ca="1">ROUND(ORÇAMENTO.CustoUnitario*(1+$AH74),2)</f>
        <v>0</v>
      </c>
    </row>
    <row r="75" spans="1:40" x14ac:dyDescent="0.2">
      <c r="A75">
        <f t="shared" si="1"/>
        <v>1</v>
      </c>
      <c r="B75">
        <f t="shared" ca="1" si="2"/>
        <v>1</v>
      </c>
      <c r="C75">
        <f t="shared" ca="1" si="3"/>
        <v>1</v>
      </c>
      <c r="D75">
        <f t="shared" ca="1" si="4"/>
        <v>8</v>
      </c>
      <c r="E75">
        <f ca="1">IF($C75=1,OFFSET(E75,-1,0)+MAX(1,COUNTIF(QCI!$A$13:$A$24,OFFSET(ORÇAMENTO!E75,-1,0))),OFFSET(E75,-1,0))</f>
        <v>6</v>
      </c>
      <c r="F75">
        <f t="shared" ca="1" si="5"/>
        <v>0</v>
      </c>
      <c r="G75">
        <f t="shared" ca="1" si="6"/>
        <v>0</v>
      </c>
      <c r="H75">
        <f t="shared" ca="1" si="7"/>
        <v>0</v>
      </c>
      <c r="I75">
        <f t="shared" ca="1" si="8"/>
        <v>0</v>
      </c>
      <c r="J75">
        <f t="shared" ca="1" si="16"/>
        <v>169</v>
      </c>
      <c r="K75">
        <f ca="1">IF(OR($C75="S",$C75=0),0,MATCH(OFFSET($D75,0,$C75)+IF($C75&lt;&gt;1,1,COUNTIF(QCI!$A$13:$A$24,ORÇAMENTO!E75)),OFFSET($D75,1,$C75,ROW($C$244)-ROW($C75)),0))</f>
        <v>8</v>
      </c>
      <c r="L75" s="114" t="str">
        <f t="shared" ca="1" si="10"/>
        <v>F</v>
      </c>
      <c r="M75" s="115" t="s">
        <v>701</v>
      </c>
      <c r="N75" s="116" t="str">
        <f t="shared" ca="1" si="11"/>
        <v>Meta</v>
      </c>
      <c r="O75" s="117" t="str">
        <f t="shared" ca="1" si="12"/>
        <v>6.</v>
      </c>
      <c r="P75" s="118" t="s">
        <v>250</v>
      </c>
      <c r="Q75" s="119" t="s">
        <v>250</v>
      </c>
      <c r="R75" s="120" t="s">
        <v>1184</v>
      </c>
      <c r="S75" s="121"/>
      <c r="T75" s="122">
        <f ca="1">OFFSET(CÁLCULO!H$15,ROW($T75)-ROW(T$15),0)</f>
        <v>0</v>
      </c>
      <c r="U75" s="123">
        <f t="shared" ca="1" si="13"/>
        <v>0</v>
      </c>
      <c r="V75" s="124" t="s">
        <v>663</v>
      </c>
      <c r="W75" s="122" cm="1">
        <f t="array" aca="1" ref="W75" ca="1">IF($C75="S",ROUND(IF(TIPOORCAMENTO="Proposto",ORÇAMENTO.CustoUnitario*(1+$AH75),ORÇAMENTO.PrecoUnitarioLicitado),15-13*$AF$10),0)</f>
        <v>0</v>
      </c>
      <c r="X75" s="125" cm="1">
        <f t="array" aca="1" ref="X75" ca="1">IF($C75="S",IF(OR(Import.TipoArredondamento&lt;&gt;"TransfereGOV",ACOMPANHAMENTO="BM"),VTOTAL1,SUM(OFFSET(CÁLCULO!$AQ$15,ROW($X75)-ROW($X$15),1):OFFSET(CÁLCULO!$BR$15,ROW($X75)-ROW($X$15),-1))),IF($C75=0,0,ROUND(SomaAgrup,15-13*$AF$11)))</f>
        <v>0</v>
      </c>
      <c r="Y75" s="126" t="s">
        <v>751</v>
      </c>
      <c r="Z75" t="str">
        <f t="shared" ca="1" si="14"/>
        <v/>
      </c>
      <c r="AA75" s="127" cm="1">
        <f t="array" aca="1" ref="AA75" ca="1">IF($C75="S",IF($Z75="CP",$X75,IF($Z75="RA",(($X75)*QCI!$AA$3),0)),SomaAgrup)</f>
        <v>0</v>
      </c>
      <c r="AB75" s="128" cm="1">
        <f t="array" aca="1" ref="AB75" ca="1">IF($C75="S",IF($Z75="OU",ROUND($X75,2),0),SomaAgrup)</f>
        <v>0</v>
      </c>
      <c r="AC75" s="565"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D75">
        <f ca="1">IF(C75&lt;=CRONO.NivelExibicao,MAX($AD$15:OFFSET(AD75,-1,0))+IF($C75&lt;&gt;1,1,MAX(1,COUNTIF(QCI!$A$13:$A$24,OFFSET($E75,-1,0)))),"")</f>
        <v>16</v>
      </c>
      <c r="AE75" s="7" t="b" cm="1">
        <f t="array" aca="1" ref="AE75" ca="1">IF(AND($C75="S",ORÇAMENTO.CodBarra&lt;&gt;""),IF(ORÇAMENTO.Fonte="",ORÇAMENTO.CodBarra,CONCATENATE(ORÇAMENTO.Fonte," ",ORÇAMENTO.CodBarra)))</f>
        <v>0</v>
      </c>
      <c r="AF75" s="12" t="str" cm="1">
        <f t="array" aca="1" ref="AF75" ca="1">IF(ISERROR(ORÇAMENTO.BancoRef),"(abra o arquivo 'Referência "&amp;Excel_BuiltIn_Database&amp;".xlsm)",IF(OR($C75&lt;&gt;"S",ORÇAMENTO.CodBarra=""),"(Sem Código)",IF(ISERROR(MATCH($AE75,INDIRECT(ORÇAMENTO.BancoRef),0)),"(Código não identificado nas referências)",MATCH($AE75,INDIRECT(ORÇAMENTO.BancoRef),0))))</f>
        <v>(Sem Código)</v>
      </c>
      <c r="AG75" s="428" cm="1">
        <f t="array" aca="1" ref="AG75" ca="1">ROUND(IF(DESONERACAO="sim",REFERENCIA.Desonerado,REFERENCIA.NaoDesonerado),2)</f>
        <v>0</v>
      </c>
      <c r="AH75" s="429">
        <f t="shared" ca="1" si="15"/>
        <v>0.2223</v>
      </c>
      <c r="AJ75" s="431"/>
      <c r="AL75" s="439"/>
      <c r="AM75" s="336">
        <f t="shared" ca="1" si="0"/>
        <v>0</v>
      </c>
      <c r="AN75" s="470" cm="1">
        <f t="array" aca="1" ref="AN75" ca="1">ROUND(ORÇAMENTO.CustoUnitario*(1+$AH75),2)</f>
        <v>0</v>
      </c>
    </row>
    <row r="76" spans="1:40" x14ac:dyDescent="0.2">
      <c r="A76">
        <f t="shared" si="1"/>
        <v>2</v>
      </c>
      <c r="B76">
        <f t="shared" ca="1" si="2"/>
        <v>2</v>
      </c>
      <c r="C76">
        <f t="shared" ca="1" si="3"/>
        <v>2</v>
      </c>
      <c r="D76">
        <f t="shared" ca="1" si="4"/>
        <v>7</v>
      </c>
      <c r="E76">
        <f ca="1">IF($C76=1,OFFSET(E76,-1,0)+MAX(1,COUNTIF(QCI!$A$13:$A$24,OFFSET(ORÇAMENTO!E76,-1,0))),OFFSET(E76,-1,0))</f>
        <v>6</v>
      </c>
      <c r="F76">
        <f t="shared" ca="1" si="5"/>
        <v>1</v>
      </c>
      <c r="G76">
        <f t="shared" ca="1" si="6"/>
        <v>0</v>
      </c>
      <c r="H76">
        <f t="shared" ca="1" si="7"/>
        <v>0</v>
      </c>
      <c r="I76">
        <f t="shared" ca="1" si="8"/>
        <v>0</v>
      </c>
      <c r="J76">
        <f t="shared" ca="1" si="16"/>
        <v>7</v>
      </c>
      <c r="K76">
        <f ca="1">IF(OR($C76="S",$C76=0),0,MATCH(OFFSET($D76,0,$C76)+IF($C76&lt;&gt;1,1,COUNTIF(QCI!$A$13:$A$24,ORÇAMENTO!E76)),OFFSET($D76,1,$C76,ROW($C$244)-ROW($C76)),0))</f>
        <v>15</v>
      </c>
      <c r="L76" s="114" t="str">
        <f t="shared" ca="1" si="10"/>
        <v>F</v>
      </c>
      <c r="M76" s="115" t="s">
        <v>702</v>
      </c>
      <c r="N76" s="116" t="str">
        <f t="shared" ca="1" si="11"/>
        <v>Nível 2</v>
      </c>
      <c r="O76" s="117" t="str">
        <f t="shared" ca="1" si="12"/>
        <v>6.1.</v>
      </c>
      <c r="P76" s="118" t="s">
        <v>250</v>
      </c>
      <c r="Q76" s="119" t="s">
        <v>250</v>
      </c>
      <c r="R76" s="120" t="s">
        <v>1185</v>
      </c>
      <c r="S76" s="121"/>
      <c r="T76" s="122">
        <f ca="1">OFFSET(CÁLCULO!H$15,ROW($T76)-ROW(T$15),0)</f>
        <v>0</v>
      </c>
      <c r="U76" s="123">
        <f t="shared" ca="1" si="13"/>
        <v>0</v>
      </c>
      <c r="V76" s="124" t="s">
        <v>663</v>
      </c>
      <c r="W76" s="122" cm="1">
        <f t="array" aca="1" ref="W76" ca="1">IF($C76="S",ROUND(IF(TIPOORCAMENTO="Proposto",ORÇAMENTO.CustoUnitario*(1+$AH76),ORÇAMENTO.PrecoUnitarioLicitado),15-13*$AF$10),0)</f>
        <v>0</v>
      </c>
      <c r="X76" s="125" cm="1">
        <f t="array" aca="1" ref="X76" ca="1">IF($C76="S",IF(OR(Import.TipoArredondamento&lt;&gt;"TransfereGOV",ACOMPANHAMENTO="BM"),VTOTAL1,SUM(OFFSET(CÁLCULO!$AQ$15,ROW($X76)-ROW($X$15),1):OFFSET(CÁLCULO!$BR$15,ROW($X76)-ROW($X$15),-1))),IF($C76=0,0,ROUND(SomaAgrup,15-13*$AF$11)))</f>
        <v>0</v>
      </c>
      <c r="Y76" s="126" t="s">
        <v>751</v>
      </c>
      <c r="Z76" t="str">
        <f t="shared" ca="1" si="14"/>
        <v/>
      </c>
      <c r="AA76" s="127" cm="1">
        <f t="array" aca="1" ref="AA76" ca="1">IF($C76="S",IF($Z76="CP",$X76,IF($Z76="RA",(($X76)*QCI!$AA$3),0)),SomaAgrup)</f>
        <v>0</v>
      </c>
      <c r="AB76" s="128" cm="1">
        <f t="array" aca="1" ref="AB76" ca="1">IF($C76="S",IF($Z76="OU",ROUND($X76,2),0),SomaAgrup)</f>
        <v>0</v>
      </c>
      <c r="AC76" s="565" t="str" cm="1">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IF(AND(TIPOORCAMENTO="Licitado",$AL76=0,$AN76&gt;0),"SEM PREÇO",
IF(AND($C76="S",$P76&lt;&gt;"",$Q76&lt;&gt;"",$U76&gt;0,AND($V76&lt;&gt;"BDI 1",$V76&lt;&gt;"BDI 2",$V76&lt;&gt;"BDI 3")),IF(ISNUMBER($V76),"JUSTIFICAR BDI","BDI"),
IF(OR(AND(import.recurso="OGU",TIPOORCAMENTO="Proposto",LEFT($O$8,5)&lt;&gt;"(N/D:",$AG76&lt;&gt;"",ORÇAMENTO.CustoUnitario&gt;$AG76),AND(TIPOORCAMENTO="LICITADO",ORÇAMENTO.PrecoUnitarioLicitado&gt;$AN76)),"ACIMA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D76">
        <f ca="1">IF(C76&lt;=CRONO.NivelExibicao,MAX($AD$15:OFFSET(AD76,-1,0))+IF($C76&lt;&gt;1,1,MAX(1,COUNTIF(QCI!$A$13:$A$24,OFFSET($E76,-1,0)))),"")</f>
        <v>17</v>
      </c>
      <c r="AE76" s="7" t="b" cm="1">
        <f t="array" aca="1" ref="AE76" ca="1">IF(AND($C76="S",ORÇAMENTO.CodBarra&lt;&gt;""),IF(ORÇAMENTO.Fonte="",ORÇAMENTO.CodBarra,CONCATENATE(ORÇAMENTO.Fonte," ",ORÇAMENTO.CodBarra)))</f>
        <v>0</v>
      </c>
      <c r="AF76" s="12" t="str" cm="1">
        <f t="array" aca="1" ref="AF76" ca="1">IF(ISERROR(ORÇAMENTO.BancoRef),"(abra o arquivo 'Referência "&amp;Excel_BuiltIn_Database&amp;".xlsm)",IF(OR($C76&lt;&gt;"S",ORÇAMENTO.CodBarra=""),"(Sem Código)",IF(ISERROR(MATCH($AE76,INDIRECT(ORÇAMENTO.BancoRef),0)),"(Código não identificado nas referências)",MATCH($AE76,INDIRECT(ORÇAMENTO.BancoRef),0))))</f>
        <v>(Sem Código)</v>
      </c>
      <c r="AG76" s="428" cm="1">
        <f t="array" aca="1" ref="AG76" ca="1">ROUND(IF(DESONERACAO="sim",REFERENCIA.Desonerado,REFERENCIA.NaoDesonerado),2)</f>
        <v>0</v>
      </c>
      <c r="AH76" s="429">
        <f t="shared" ca="1" si="15"/>
        <v>0.2223</v>
      </c>
      <c r="AJ76" s="431"/>
      <c r="AL76" s="439"/>
      <c r="AM76" s="336">
        <f t="shared" ca="1" si="0"/>
        <v>0</v>
      </c>
      <c r="AN76" s="470" cm="1">
        <f t="array" aca="1" ref="AN76" ca="1">ROUND(ORÇAMENTO.CustoUnitario*(1+$AH76),2)</f>
        <v>0</v>
      </c>
    </row>
    <row r="77" spans="1:40" ht="38.25" x14ac:dyDescent="0.2">
      <c r="A77" t="str">
        <f t="shared" si="1"/>
        <v>S</v>
      </c>
      <c r="B77">
        <f t="shared" ca="1" si="2"/>
        <v>2</v>
      </c>
      <c r="C77" t="str">
        <f t="shared" ca="1" si="3"/>
        <v>S</v>
      </c>
      <c r="D77">
        <f t="shared" ca="1" si="4"/>
        <v>0</v>
      </c>
      <c r="E77">
        <f ca="1">IF($C77=1,OFFSET(E77,-1,0)+MAX(1,COUNTIF(QCI!$A$13:$A$24,OFFSET(ORÇAMENTO!E77,-1,0))),OFFSET(E77,-1,0))</f>
        <v>6</v>
      </c>
      <c r="F77">
        <f t="shared" ca="1" si="5"/>
        <v>1</v>
      </c>
      <c r="G77">
        <f t="shared" ca="1" si="6"/>
        <v>0</v>
      </c>
      <c r="H77">
        <f t="shared" ca="1" si="7"/>
        <v>0</v>
      </c>
      <c r="I77">
        <f t="shared" ca="1" si="8"/>
        <v>0</v>
      </c>
      <c r="J77">
        <f t="shared" ca="1" si="16"/>
        <v>0</v>
      </c>
      <c r="K77">
        <f ca="1">IF(OR($C77="S",$C77=0),0,MATCH(OFFSET($D77,0,$C77)+IF($C77&lt;&gt;1,1,COUNTIF(QCI!$A$13:$A$24,ORÇAMENTO!E77)),OFFSET($D77,1,$C77,ROW($C$244)-ROW($C77)),0))</f>
        <v>0</v>
      </c>
      <c r="L77" s="114" t="str">
        <f t="shared" ca="1" si="10"/>
        <v/>
      </c>
      <c r="M77" s="115" t="s">
        <v>705</v>
      </c>
      <c r="N77" s="116" t="str">
        <f t="shared" ca="1" si="11"/>
        <v>Serviço</v>
      </c>
      <c r="O77" s="117" t="str">
        <f t="shared" ca="1" si="12"/>
        <v>-</v>
      </c>
      <c r="P77" s="118" t="s">
        <v>750</v>
      </c>
      <c r="Q77" s="119" t="s">
        <v>1044</v>
      </c>
      <c r="R77" s="120" t="str" cm="1">
        <f t="array" aca="1" ref="R77" ca="1">IF($C77="S",REFERENCIA.Descricao,"(digite a descrição aqui)")</f>
        <v>(Código não identificado nas referências)</v>
      </c>
      <c r="S77" s="121" t="str" cm="1">
        <f t="array" aca="1" ref="S77" ca="1">REFERENCIA.Unidade</f>
        <v>-</v>
      </c>
      <c r="T77" s="122">
        <f ca="1">OFFSET(CÁLCULO!H$15,ROW($T77)-ROW(T$15),0)</f>
        <v>1469.8</v>
      </c>
      <c r="U77" s="123">
        <f t="shared" ca="1" si="13"/>
        <v>0</v>
      </c>
      <c r="V77" s="124" t="s">
        <v>663</v>
      </c>
      <c r="W77" s="122" cm="1">
        <f t="array" aca="1" ref="W77" ca="1">IF($C77="S",ROUND(IF(TIPOORCAMENTO="Proposto",ORÇAMENTO.CustoUnitario*(1+$AH77),ORÇAMENTO.PrecoUnitarioLicitado),15-13*$AF$10),0)</f>
        <v>0</v>
      </c>
      <c r="X77" s="125" cm="1">
        <f t="array" aca="1" ref="X77" ca="1">IF($C77="S",IF(OR(Import.TipoArredondamento&lt;&gt;"TransfereGOV",ACOMPANHAMENTO="BM"),VTOTAL1,SUM(OFFSET(CÁLCULO!$AQ$15,ROW($X77)-ROW($X$15),1):OFFSET(CÁLCULO!$BR$15,ROW($X77)-ROW($X$15),-1))),IF($C77=0,0,ROUND(SomaAgrup,15-13*$AF$11)))</f>
        <v>0</v>
      </c>
      <c r="Y77" s="126" t="s">
        <v>751</v>
      </c>
      <c r="Z77" t="str">
        <f t="shared" ca="1" si="14"/>
        <v/>
      </c>
      <c r="AA77" s="127" cm="1">
        <f t="array" aca="1" ref="AA77" ca="1">IF($C77="S",IF($Z77="CP",$X77,IF($Z77="RA",(($X77)*QCI!$AA$3),0)),SomaAgrup)</f>
        <v>0</v>
      </c>
      <c r="AB77" s="128" cm="1">
        <f t="array" aca="1" ref="AB77" ca="1">IF($C77="S",IF($Z77="OU",ROUND($X77,2),0),SomaAgrup)</f>
        <v>0</v>
      </c>
      <c r="AC77" s="565" t="str" cm="1">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IF(AND(TIPOORCAMENTO="Licitado",$AL77=0,$AN77&gt;0),"SEM PREÇO",
IF(AND($C77="S",$P77&lt;&gt;"",$Q77&lt;&gt;"",$U77&gt;0,AND($V77&lt;&gt;"BDI 1",$V77&lt;&gt;"BDI 2",$V77&lt;&gt;"BDI 3")),IF(ISNUMBER($V77),"JUSTIFICAR BDI","BDI"),
IF(OR(AND(import.recurso="OGU",TIPOORCAMENTO="Proposto",LEFT($O$8,5)&lt;&gt;"(N/D:",$AG77&lt;&gt;"",ORÇAMENTO.CustoUnitario&gt;$AG77),AND(TIPOORCAMENTO="LICITADO",ORÇAMENTO.PrecoUnitarioLicitado&gt;$AN77)),"ACIMA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CÓDIGO N/ID</v>
      </c>
      <c r="AD77" t="str">
        <f ca="1">IF(C77&lt;=CRONO.NivelExibicao,MAX($AD$15:OFFSET(AD77,-1,0))+IF($C77&lt;&gt;1,1,MAX(1,COUNTIF(QCI!$A$13:$A$24,OFFSET($E77,-1,0)))),"")</f>
        <v/>
      </c>
      <c r="AE77" s="7" t="str" cm="1">
        <f t="array" aca="1" ref="AE77" ca="1">IF(AND($C77="S",ORÇAMENTO.CodBarra&lt;&gt;""),IF(ORÇAMENTO.Fonte="",ORÇAMENTO.CodBarra,CONCATENATE(ORÇAMENTO.Fonte," ",ORÇAMENTO.CodBarra)))</f>
        <v>SINAPI 92541</v>
      </c>
      <c r="AF77" s="12" t="str" cm="1">
        <f t="array" aca="1" ref="AF77" ca="1">IF(ISERROR(ORÇAMENTO.BancoRef),"(abra o arquivo 'Referência "&amp;Excel_BuiltIn_Database&amp;".xlsm)",IF(OR($C77&lt;&gt;"S",ORÇAMENTO.CodBarra=""),"(Sem Código)",IF(ISERROR(MATCH($AE77,INDIRECT(ORÇAMENTO.BancoRef),0)),"(Código não identificado nas referências)",MATCH($AE77,INDIRECT(ORÇAMENTO.BancoRef),0))))</f>
        <v>(Código não identificado nas referências)</v>
      </c>
      <c r="AG77" s="428" cm="1">
        <f t="array" aca="1" ref="AG77" ca="1">ROUND(IF(DESONERACAO="sim",REFERENCIA.Desonerado,REFERENCIA.NaoDesonerado),2)</f>
        <v>0</v>
      </c>
      <c r="AH77" s="429">
        <f t="shared" ca="1" si="15"/>
        <v>0.2223</v>
      </c>
      <c r="AJ77" s="431"/>
      <c r="AL77" s="439"/>
      <c r="AM77" s="336">
        <f t="shared" ca="1" si="0"/>
        <v>0</v>
      </c>
      <c r="AN77" s="470" cm="1">
        <f t="array" aca="1" ref="AN77" ca="1">ROUND(ORÇAMENTO.CustoUnitario*(1+$AH77),2)</f>
        <v>0</v>
      </c>
    </row>
    <row r="78" spans="1:40" ht="25.5" x14ac:dyDescent="0.2">
      <c r="A78" t="str">
        <f t="shared" si="1"/>
        <v>S</v>
      </c>
      <c r="B78">
        <f t="shared" ca="1" si="2"/>
        <v>2</v>
      </c>
      <c r="C78" t="str">
        <f t="shared" ca="1" si="3"/>
        <v>S</v>
      </c>
      <c r="D78">
        <f t="shared" ca="1" si="4"/>
        <v>0</v>
      </c>
      <c r="E78">
        <f ca="1">IF($C78=1,OFFSET(E78,-1,0)+MAX(1,COUNTIF(QCI!$A$13:$A$24,OFFSET(ORÇAMENTO!E78,-1,0))),OFFSET(E78,-1,0))</f>
        <v>6</v>
      </c>
      <c r="F78">
        <f t="shared" ca="1" si="5"/>
        <v>1</v>
      </c>
      <c r="G78">
        <f t="shared" ca="1" si="6"/>
        <v>0</v>
      </c>
      <c r="H78">
        <f t="shared" ca="1" si="7"/>
        <v>0</v>
      </c>
      <c r="I78">
        <f t="shared" ca="1" si="8"/>
        <v>0</v>
      </c>
      <c r="J78">
        <f t="shared" ref="J78:J141" ca="1" si="17">IF(OR($C78="S",$C78=0),0,MATCH(0,OFFSET($D78,1,$C78,ROW($C$244)-ROW($C78)),0))</f>
        <v>0</v>
      </c>
      <c r="K78">
        <f ca="1">IF(OR($C78="S",$C78=0),0,MATCH(OFFSET($D78,0,$C78)+IF($C78&lt;&gt;1,1,COUNTIF(QCI!$A$13:$A$24,ORÇAMENTO!E78)),OFFSET($D78,1,$C78,ROW($C$244)-ROW($C78)),0))</f>
        <v>0</v>
      </c>
      <c r="L78" s="114" t="str">
        <f t="shared" ca="1" si="10"/>
        <v/>
      </c>
      <c r="M78" s="115" t="s">
        <v>705</v>
      </c>
      <c r="N78" s="116" t="str">
        <f t="shared" ca="1" si="11"/>
        <v>Serviço</v>
      </c>
      <c r="O78" s="117" t="str">
        <f t="shared" ca="1" si="12"/>
        <v>-</v>
      </c>
      <c r="P78" s="118" t="s">
        <v>750</v>
      </c>
      <c r="Q78" s="119" t="s">
        <v>1045</v>
      </c>
      <c r="R78" s="120" t="str" cm="1">
        <f t="array" aca="1" ref="R78" ca="1">IF($C78="S",REFERENCIA.Descricao,"(digite a descrição aqui)")</f>
        <v>(Código não identificado nas referências)</v>
      </c>
      <c r="S78" s="121" t="str" cm="1">
        <f t="array" aca="1" ref="S78" ca="1">REFERENCIA.Unidade</f>
        <v>-</v>
      </c>
      <c r="T78" s="122">
        <f ca="1">OFFSET(CÁLCULO!H$15,ROW($T78)-ROW(T$15),0)</f>
        <v>1469.8</v>
      </c>
      <c r="U78" s="123">
        <f t="shared" ca="1" si="13"/>
        <v>0</v>
      </c>
      <c r="V78" s="124" t="s">
        <v>663</v>
      </c>
      <c r="W78" s="122" cm="1">
        <f t="array" aca="1" ref="W78" ca="1">IF($C78="S",ROUND(IF(TIPOORCAMENTO="Proposto",ORÇAMENTO.CustoUnitario*(1+$AH78),ORÇAMENTO.PrecoUnitarioLicitado),15-13*$AF$10),0)</f>
        <v>0</v>
      </c>
      <c r="X78" s="125" cm="1">
        <f t="array" aca="1" ref="X78" ca="1">IF($C78="S",IF(OR(Import.TipoArredondamento&lt;&gt;"TransfereGOV",ACOMPANHAMENTO="BM"),VTOTAL1,SUM(OFFSET(CÁLCULO!$AQ$15,ROW($X78)-ROW($X$15),1):OFFSET(CÁLCULO!$BR$15,ROW($X78)-ROW($X$15),-1))),IF($C78=0,0,ROUND(SomaAgrup,15-13*$AF$11)))</f>
        <v>0</v>
      </c>
      <c r="Y78" s="126" t="s">
        <v>751</v>
      </c>
      <c r="Z78" t="str">
        <f t="shared" ca="1" si="14"/>
        <v/>
      </c>
      <c r="AA78" s="127" cm="1">
        <f t="array" aca="1" ref="AA78" ca="1">IF($C78="S",IF($Z78="CP",$X78,IF($Z78="RA",(($X78)*QCI!$AA$3),0)),SomaAgrup)</f>
        <v>0</v>
      </c>
      <c r="AB78" s="128" cm="1">
        <f t="array" aca="1" ref="AB78" ca="1">IF($C78="S",IF($Z78="OU",ROUND($X78,2),0),SomaAgrup)</f>
        <v>0</v>
      </c>
      <c r="AC78" s="565" t="str" cm="1">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IF(AND(TIPOORCAMENTO="Licitado",$AL78=0,$AN78&gt;0),"SEM PREÇO",
IF(AND($C78="S",$P78&lt;&gt;"",$Q78&lt;&gt;"",$U78&gt;0,AND($V78&lt;&gt;"BDI 1",$V78&lt;&gt;"BDI 2",$V78&lt;&gt;"BDI 3")),IF(ISNUMBER($V78),"JUSTIFICAR BDI","BDI"),
IF(OR(AND(import.recurso="OGU",TIPOORCAMENTO="Proposto",LEFT($O$8,5)&lt;&gt;"(N/D:",$AG78&lt;&gt;"",ORÇAMENTO.CustoUnitario&gt;$AG78),AND(TIPOORCAMENTO="LICITADO",ORÇAMENTO.PrecoUnitarioLicitado&gt;$AN78)),"ACIMA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CÓDIGO N/ID</v>
      </c>
      <c r="AD78" t="str">
        <f ca="1">IF(C78&lt;=CRONO.NivelExibicao,MAX($AD$15:OFFSET(AD78,-1,0))+IF($C78&lt;&gt;1,1,MAX(1,COUNTIF(QCI!$A$13:$A$24,OFFSET($E78,-1,0)))),"")</f>
        <v/>
      </c>
      <c r="AE78" s="7" t="str" cm="1">
        <f t="array" aca="1" ref="AE78" ca="1">IF(AND($C78="S",ORÇAMENTO.CodBarra&lt;&gt;""),IF(ORÇAMENTO.Fonte="",ORÇAMENTO.CodBarra,CONCATENATE(ORÇAMENTO.Fonte," ",ORÇAMENTO.CodBarra)))</f>
        <v>SINAPI 94447</v>
      </c>
      <c r="AF78" s="12" t="str" cm="1">
        <f t="array" aca="1" ref="AF78" ca="1">IF(ISERROR(ORÇAMENTO.BancoRef),"(abra o arquivo 'Referência "&amp;Excel_BuiltIn_Database&amp;".xlsm)",IF(OR($C78&lt;&gt;"S",ORÇAMENTO.CodBarra=""),"(Sem Código)",IF(ISERROR(MATCH($AE78,INDIRECT(ORÇAMENTO.BancoRef),0)),"(Código não identificado nas referências)",MATCH($AE78,INDIRECT(ORÇAMENTO.BancoRef),0))))</f>
        <v>(Código não identificado nas referências)</v>
      </c>
      <c r="AG78" s="428" cm="1">
        <f t="array" aca="1" ref="AG78" ca="1">ROUND(IF(DESONERACAO="sim",REFERENCIA.Desonerado,REFERENCIA.NaoDesonerado),2)</f>
        <v>0</v>
      </c>
      <c r="AH78" s="429">
        <f t="shared" ca="1" si="15"/>
        <v>0.2223</v>
      </c>
      <c r="AJ78" s="431"/>
      <c r="AL78" s="439"/>
      <c r="AM78" s="336">
        <f t="shared" ca="1" si="0"/>
        <v>0</v>
      </c>
      <c r="AN78" s="470" cm="1">
        <f t="array" aca="1" ref="AN78" ca="1">ROUND(ORÇAMENTO.CustoUnitario*(1+$AH78),2)</f>
        <v>0</v>
      </c>
    </row>
    <row r="79" spans="1:40" x14ac:dyDescent="0.2">
      <c r="A79" t="str">
        <f t="shared" si="1"/>
        <v>S</v>
      </c>
      <c r="B79">
        <f t="shared" ca="1" si="2"/>
        <v>2</v>
      </c>
      <c r="C79" t="str">
        <f t="shared" ca="1" si="3"/>
        <v>S</v>
      </c>
      <c r="D79">
        <f t="shared" ca="1" si="4"/>
        <v>0</v>
      </c>
      <c r="E79">
        <f ca="1">IF($C79=1,OFFSET(E79,-1,0)+MAX(1,COUNTIF(QCI!$A$13:$A$24,OFFSET(ORÇAMENTO!E79,-1,0))),OFFSET(E79,-1,0))</f>
        <v>6</v>
      </c>
      <c r="F79">
        <f t="shared" ca="1" si="5"/>
        <v>1</v>
      </c>
      <c r="G79">
        <f t="shared" ca="1" si="6"/>
        <v>0</v>
      </c>
      <c r="H79">
        <f t="shared" ca="1" si="7"/>
        <v>0</v>
      </c>
      <c r="I79">
        <f t="shared" ca="1" si="8"/>
        <v>0</v>
      </c>
      <c r="J79">
        <f t="shared" ca="1" si="17"/>
        <v>0</v>
      </c>
      <c r="K79">
        <f ca="1">IF(OR($C79="S",$C79=0),0,MATCH(OFFSET($D79,0,$C79)+IF($C79&lt;&gt;1,1,COUNTIF(QCI!$A$13:$A$24,ORÇAMENTO!E79)),OFFSET($D79,1,$C79,ROW($C$244)-ROW($C79)),0))</f>
        <v>0</v>
      </c>
      <c r="L79" s="114" t="str">
        <f t="shared" ca="1" si="10"/>
        <v/>
      </c>
      <c r="M79" s="115" t="s">
        <v>705</v>
      </c>
      <c r="N79" s="116" t="str">
        <f t="shared" ca="1" si="11"/>
        <v>Serviço</v>
      </c>
      <c r="O79" s="117" t="str">
        <f t="shared" ca="1" si="12"/>
        <v>-</v>
      </c>
      <c r="P79" s="118" t="s">
        <v>750</v>
      </c>
      <c r="Q79" s="119" t="s">
        <v>1046</v>
      </c>
      <c r="R79" s="120" t="str" cm="1">
        <f t="array" aca="1" ref="R79" ca="1">IF($C79="S",REFERENCIA.Descricao,"(digite a descrição aqui)")</f>
        <v>(Código não identificado nas referências)</v>
      </c>
      <c r="S79" s="121" t="str" cm="1">
        <f t="array" aca="1" ref="S79" ca="1">REFERENCIA.Unidade</f>
        <v>-</v>
      </c>
      <c r="T79" s="122">
        <f ca="1">OFFSET(CÁLCULO!H$15,ROW($T79)-ROW(T$15),0)</f>
        <v>2075.9999999999995</v>
      </c>
      <c r="U79" s="123">
        <f t="shared" ca="1" si="13"/>
        <v>0</v>
      </c>
      <c r="V79" s="124" t="s">
        <v>663</v>
      </c>
      <c r="W79" s="122" cm="1">
        <f t="array" aca="1" ref="W79" ca="1">IF($C79="S",ROUND(IF(TIPOORCAMENTO="Proposto",ORÇAMENTO.CustoUnitario*(1+$AH79),ORÇAMENTO.PrecoUnitarioLicitado),15-13*$AF$10),0)</f>
        <v>0</v>
      </c>
      <c r="X79" s="125" cm="1">
        <f t="array" aca="1" ref="X79" ca="1">IF($C79="S",IF(OR(Import.TipoArredondamento&lt;&gt;"TransfereGOV",ACOMPANHAMENTO="BM"),VTOTAL1,SUM(OFFSET(CÁLCULO!$AQ$15,ROW($X79)-ROW($X$15),1):OFFSET(CÁLCULO!$BR$15,ROW($X79)-ROW($X$15),-1))),IF($C79=0,0,ROUND(SomaAgrup,15-13*$AF$11)))</f>
        <v>0</v>
      </c>
      <c r="Y79" s="126" t="s">
        <v>751</v>
      </c>
      <c r="Z79" t="str">
        <f t="shared" ca="1" si="14"/>
        <v/>
      </c>
      <c r="AA79" s="127" cm="1">
        <f t="array" aca="1" ref="AA79" ca="1">IF($C79="S",IF($Z79="CP",$X79,IF($Z79="RA",(($X79)*QCI!$AA$3),0)),SomaAgrup)</f>
        <v>0</v>
      </c>
      <c r="AB79" s="128" cm="1">
        <f t="array" aca="1" ref="AB79" ca="1">IF($C79="S",IF($Z79="OU",ROUND($X79,2),0),SomaAgrup)</f>
        <v>0</v>
      </c>
      <c r="AC79" s="565" t="str" cm="1">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IF(AND(TIPOORCAMENTO="Licitado",$AL79=0,$AN79&gt;0),"SEM PREÇO",
IF(AND($C79="S",$P79&lt;&gt;"",$Q79&lt;&gt;"",$U79&gt;0,AND($V79&lt;&gt;"BDI 1",$V79&lt;&gt;"BDI 2",$V79&lt;&gt;"BDI 3")),IF(ISNUMBER($V79),"JUSTIFICAR BDI","BDI"),
IF(OR(AND(import.recurso="OGU",TIPOORCAMENTO="Proposto",LEFT($O$8,5)&lt;&gt;"(N/D:",$AG79&lt;&gt;"",ORÇAMENTO.CustoUnitario&gt;$AG79),AND(TIPOORCAMENTO="LICITADO",ORÇAMENTO.PrecoUnitarioLicitado&gt;$AN79)),"ACIMA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CÓDIGO N/ID</v>
      </c>
      <c r="AD79" t="str">
        <f ca="1">IF(C79&lt;=CRONO.NivelExibicao,MAX($AD$15:OFFSET(AD79,-1,0))+IF($C79&lt;&gt;1,1,MAX(1,COUNTIF(QCI!$A$13:$A$24,OFFSET($E79,-1,0)))),"")</f>
        <v/>
      </c>
      <c r="AE79" s="7" t="str" cm="1">
        <f t="array" aca="1" ref="AE79" ca="1">IF(AND($C79="S",ORÇAMENTO.CodBarra&lt;&gt;""),IF(ORÇAMENTO.Fonte="",ORÇAMENTO.CodBarra,CONCATENATE(ORÇAMENTO.Fonte," ",ORÇAMENTO.CodBarra)))</f>
        <v>SINAPI 102233</v>
      </c>
      <c r="AF79" s="12" t="str" cm="1">
        <f t="array" aca="1" ref="AF79" ca="1">IF(ISERROR(ORÇAMENTO.BancoRef),"(abra o arquivo 'Referência "&amp;Excel_BuiltIn_Database&amp;".xlsm)",IF(OR($C79&lt;&gt;"S",ORÇAMENTO.CodBarra=""),"(Sem Código)",IF(ISERROR(MATCH($AE79,INDIRECT(ORÇAMENTO.BancoRef),0)),"(Código não identificado nas referências)",MATCH($AE79,INDIRECT(ORÇAMENTO.BancoRef),0))))</f>
        <v>(Código não identificado nas referências)</v>
      </c>
      <c r="AG79" s="428" cm="1">
        <f t="array" aca="1" ref="AG79" ca="1">ROUND(IF(DESONERACAO="sim",REFERENCIA.Desonerado,REFERENCIA.NaoDesonerado),2)</f>
        <v>0</v>
      </c>
      <c r="AH79" s="429">
        <f t="shared" ca="1" si="15"/>
        <v>0.2223</v>
      </c>
      <c r="AJ79" s="431"/>
      <c r="AL79" s="439"/>
      <c r="AM79" s="336">
        <f t="shared" ca="1" si="0"/>
        <v>0</v>
      </c>
      <c r="AN79" s="470" cm="1">
        <f t="array" aca="1" ref="AN79" ca="1">ROUND(ORÇAMENTO.CustoUnitario*(1+$AH79),2)</f>
        <v>0</v>
      </c>
    </row>
    <row r="80" spans="1:40" ht="25.5" x14ac:dyDescent="0.2">
      <c r="A80" t="str">
        <f t="shared" si="1"/>
        <v>S</v>
      </c>
      <c r="B80">
        <f t="shared" ca="1" si="2"/>
        <v>2</v>
      </c>
      <c r="C80" t="str">
        <f t="shared" ca="1" si="3"/>
        <v>S</v>
      </c>
      <c r="D80">
        <f t="shared" ca="1" si="4"/>
        <v>0</v>
      </c>
      <c r="E80">
        <f ca="1">IF($C80=1,OFFSET(E80,-1,0)+MAX(1,COUNTIF(QCI!$A$13:$A$24,OFFSET(ORÇAMENTO!E80,-1,0))),OFFSET(E80,-1,0))</f>
        <v>6</v>
      </c>
      <c r="F80">
        <f t="shared" ca="1" si="5"/>
        <v>1</v>
      </c>
      <c r="G80">
        <f t="shared" ca="1" si="6"/>
        <v>0</v>
      </c>
      <c r="H80">
        <f t="shared" ca="1" si="7"/>
        <v>0</v>
      </c>
      <c r="I80">
        <f t="shared" ca="1" si="8"/>
        <v>0</v>
      </c>
      <c r="J80">
        <f t="shared" ca="1" si="17"/>
        <v>0</v>
      </c>
      <c r="K80">
        <f ca="1">IF(OR($C80="S",$C80=0),0,MATCH(OFFSET($D80,0,$C80)+IF($C80&lt;&gt;1,1,COUNTIF(QCI!$A$13:$A$24,ORÇAMENTO!E80)),OFFSET($D80,1,$C80,ROW($C$244)-ROW($C80)),0))</f>
        <v>0</v>
      </c>
      <c r="L80" s="114" t="str">
        <f t="shared" ca="1" si="10"/>
        <v/>
      </c>
      <c r="M80" s="115" t="s">
        <v>705</v>
      </c>
      <c r="N80" s="116" t="str">
        <f t="shared" ca="1" si="11"/>
        <v>Serviço</v>
      </c>
      <c r="O80" s="117" t="str">
        <f t="shared" ca="1" si="12"/>
        <v>-</v>
      </c>
      <c r="P80" s="118" t="s">
        <v>750</v>
      </c>
      <c r="Q80" s="119" t="s">
        <v>1047</v>
      </c>
      <c r="R80" s="120" t="str" cm="1">
        <f t="array" aca="1" ref="R80" ca="1">IF($C80="S",REFERENCIA.Descricao,"(digite a descrição aqui)")</f>
        <v>(Código não identificado nas referências)</v>
      </c>
      <c r="S80" s="121" t="str" cm="1">
        <f t="array" aca="1" ref="S80" ca="1">REFERENCIA.Unidade</f>
        <v>-</v>
      </c>
      <c r="T80" s="122">
        <f ca="1">OFFSET(CÁLCULO!H$15,ROW($T80)-ROW(T$15),0)</f>
        <v>10520</v>
      </c>
      <c r="U80" s="123">
        <f t="shared" ca="1" si="13"/>
        <v>0</v>
      </c>
      <c r="V80" s="124" t="s">
        <v>663</v>
      </c>
      <c r="W80" s="122" cm="1">
        <f t="array" aca="1" ref="W80" ca="1">IF($C80="S",ROUND(IF(TIPOORCAMENTO="Proposto",ORÇAMENTO.CustoUnitario*(1+$AH80),ORÇAMENTO.PrecoUnitarioLicitado),15-13*$AF$10),0)</f>
        <v>0</v>
      </c>
      <c r="X80" s="125" cm="1">
        <f t="array" aca="1" ref="X80" ca="1">IF($C80="S",IF(OR(Import.TipoArredondamento&lt;&gt;"TransfereGOV",ACOMPANHAMENTO="BM"),VTOTAL1,SUM(OFFSET(CÁLCULO!$AQ$15,ROW($X80)-ROW($X$15),1):OFFSET(CÁLCULO!$BR$15,ROW($X80)-ROW($X$15),-1))),IF($C80=0,0,ROUND(SomaAgrup,15-13*$AF$11)))</f>
        <v>0</v>
      </c>
      <c r="Y80" s="126" t="s">
        <v>751</v>
      </c>
      <c r="Z80" t="str">
        <f t="shared" ca="1" si="14"/>
        <v/>
      </c>
      <c r="AA80" s="127" cm="1">
        <f t="array" aca="1" ref="AA80" ca="1">IF($C80="S",IF($Z80="CP",$X80,IF($Z80="RA",(($X80)*QCI!$AA$3),0)),SomaAgrup)</f>
        <v>0</v>
      </c>
      <c r="AB80" s="128" cm="1">
        <f t="array" aca="1" ref="AB80" ca="1">IF($C80="S",IF($Z80="OU",ROUND($X80,2),0),SomaAgrup)</f>
        <v>0</v>
      </c>
      <c r="AC80" s="565" t="str" cm="1">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IF(AND(TIPOORCAMENTO="Licitado",$AL80=0,$AN80&gt;0),"SEM PREÇO",
IF(AND($C80="S",$P80&lt;&gt;"",$Q80&lt;&gt;"",$U80&gt;0,AND($V80&lt;&gt;"BDI 1",$V80&lt;&gt;"BDI 2",$V80&lt;&gt;"BDI 3")),IF(ISNUMBER($V80),"JUSTIFICAR BDI","BDI"),
IF(OR(AND(import.recurso="OGU",TIPOORCAMENTO="Proposto",LEFT($O$8,5)&lt;&gt;"(N/D:",$AG80&lt;&gt;"",ORÇAMENTO.CustoUnitario&gt;$AG80),AND(TIPOORCAMENTO="LICITADO",ORÇAMENTO.PrecoUnitarioLicitado&gt;$AN80)),"ACIMA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CÓDIGO N/ID</v>
      </c>
      <c r="AD80" t="str">
        <f ca="1">IF(C80&lt;=CRONO.NivelExibicao,MAX($AD$15:OFFSET(AD80,-1,0))+IF($C80&lt;&gt;1,1,MAX(1,COUNTIF(QCI!$A$13:$A$24,OFFSET($E80,-1,0)))),"")</f>
        <v/>
      </c>
      <c r="AE80" s="7" t="str" cm="1">
        <f t="array" aca="1" ref="AE80" ca="1">IF(AND($C80="S",ORÇAMENTO.CodBarra&lt;&gt;""),IF(ORÇAMENTO.Fonte="",ORÇAMENTO.CodBarra,CONCATENATE(ORÇAMENTO.Fonte," ",ORÇAMENTO.CodBarra)))</f>
        <v>SINAPI 94232</v>
      </c>
      <c r="AF80" s="12" t="str" cm="1">
        <f t="array" aca="1" ref="AF80" ca="1">IF(ISERROR(ORÇAMENTO.BancoRef),"(abra o arquivo 'Referência "&amp;Excel_BuiltIn_Database&amp;".xlsm)",IF(OR($C80&lt;&gt;"S",ORÇAMENTO.CodBarra=""),"(Sem Código)",IF(ISERROR(MATCH($AE80,INDIRECT(ORÇAMENTO.BancoRef),0)),"(Código não identificado nas referências)",MATCH($AE80,INDIRECT(ORÇAMENTO.BancoRef),0))))</f>
        <v>(Código não identificado nas referências)</v>
      </c>
      <c r="AG80" s="428" cm="1">
        <f t="array" aca="1" ref="AG80" ca="1">ROUND(IF(DESONERACAO="sim",REFERENCIA.Desonerado,REFERENCIA.NaoDesonerado),2)</f>
        <v>0</v>
      </c>
      <c r="AH80" s="429">
        <f t="shared" ca="1" si="15"/>
        <v>0.2223</v>
      </c>
      <c r="AJ80" s="431"/>
      <c r="AL80" s="439"/>
      <c r="AM80" s="336">
        <f t="shared" ca="1" si="0"/>
        <v>0</v>
      </c>
      <c r="AN80" s="470" cm="1">
        <f t="array" aca="1" ref="AN80" ca="1">ROUND(ORÇAMENTO.CustoUnitario*(1+$AH80),2)</f>
        <v>0</v>
      </c>
    </row>
    <row r="81" spans="1:40" ht="38.25" x14ac:dyDescent="0.2">
      <c r="A81" t="str">
        <f t="shared" si="1"/>
        <v>S</v>
      </c>
      <c r="B81">
        <f t="shared" ca="1" si="2"/>
        <v>2</v>
      </c>
      <c r="C81" t="str">
        <f t="shared" ca="1" si="3"/>
        <v>S</v>
      </c>
      <c r="D81">
        <f t="shared" ca="1" si="4"/>
        <v>0</v>
      </c>
      <c r="E81">
        <f ca="1">IF($C81=1,OFFSET(E81,-1,0)+MAX(1,COUNTIF(QCI!$A$13:$A$24,OFFSET(ORÇAMENTO!E81,-1,0))),OFFSET(E81,-1,0))</f>
        <v>6</v>
      </c>
      <c r="F81">
        <f t="shared" ca="1" si="5"/>
        <v>1</v>
      </c>
      <c r="G81">
        <f t="shared" ca="1" si="6"/>
        <v>0</v>
      </c>
      <c r="H81">
        <f t="shared" ca="1" si="7"/>
        <v>0</v>
      </c>
      <c r="I81">
        <f t="shared" ca="1" si="8"/>
        <v>0</v>
      </c>
      <c r="J81">
        <f t="shared" ca="1" si="17"/>
        <v>0</v>
      </c>
      <c r="K81">
        <f ca="1">IF(OR($C81="S",$C81=0),0,MATCH(OFFSET($D81,0,$C81)+IF($C81&lt;&gt;1,1,COUNTIF(QCI!$A$13:$A$24,ORÇAMENTO!E81)),OFFSET($D81,1,$C81,ROW($C$244)-ROW($C81)),0))</f>
        <v>0</v>
      </c>
      <c r="L81" s="114" t="str">
        <f t="shared" ca="1" si="10"/>
        <v/>
      </c>
      <c r="M81" s="115" t="s">
        <v>705</v>
      </c>
      <c r="N81" s="116" t="str">
        <f t="shared" ca="1" si="11"/>
        <v>Serviço</v>
      </c>
      <c r="O81" s="117" t="str">
        <f t="shared" ca="1" si="12"/>
        <v>-</v>
      </c>
      <c r="P81" s="118" t="s">
        <v>750</v>
      </c>
      <c r="Q81" s="119" t="s">
        <v>1048</v>
      </c>
      <c r="R81" s="120" t="str" cm="1">
        <f t="array" aca="1" ref="R81" ca="1">IF($C81="S",REFERENCIA.Descricao,"(digite a descrição aqui)")</f>
        <v>(Código não identificado nas referências)</v>
      </c>
      <c r="S81" s="121" t="str" cm="1">
        <f t="array" aca="1" ref="S81" ca="1">REFERENCIA.Unidade</f>
        <v>-</v>
      </c>
      <c r="T81" s="122">
        <f ca="1">OFFSET(CÁLCULO!H$15,ROW($T81)-ROW(T$15),0)</f>
        <v>213.00000000000006</v>
      </c>
      <c r="U81" s="123">
        <f t="shared" ca="1" si="13"/>
        <v>0</v>
      </c>
      <c r="V81" s="124" t="s">
        <v>663</v>
      </c>
      <c r="W81" s="122" cm="1">
        <f t="array" aca="1" ref="W81" ca="1">IF($C81="S",ROUND(IF(TIPOORCAMENTO="Proposto",ORÇAMENTO.CustoUnitario*(1+$AH81),ORÇAMENTO.PrecoUnitarioLicitado),15-13*$AF$10),0)</f>
        <v>0</v>
      </c>
      <c r="X81" s="125" cm="1">
        <f t="array" aca="1" ref="X81" ca="1">IF($C81="S",IF(OR(Import.TipoArredondamento&lt;&gt;"TransfereGOV",ACOMPANHAMENTO="BM"),VTOTAL1,SUM(OFFSET(CÁLCULO!$AQ$15,ROW($X81)-ROW($X$15),1):OFFSET(CÁLCULO!$BR$15,ROW($X81)-ROW($X$15),-1))),IF($C81=0,0,ROUND(SomaAgrup,15-13*$AF$11)))</f>
        <v>0</v>
      </c>
      <c r="Y81" s="126" t="s">
        <v>751</v>
      </c>
      <c r="Z81" t="str">
        <f t="shared" ca="1" si="14"/>
        <v/>
      </c>
      <c r="AA81" s="127" cm="1">
        <f t="array" aca="1" ref="AA81" ca="1">IF($C81="S",IF($Z81="CP",$X81,IF($Z81="RA",(($X81)*QCI!$AA$3),0)),SomaAgrup)</f>
        <v>0</v>
      </c>
      <c r="AB81" s="128" cm="1">
        <f t="array" aca="1" ref="AB81" ca="1">IF($C81="S",IF($Z81="OU",ROUND($X81,2),0),SomaAgrup)</f>
        <v>0</v>
      </c>
      <c r="AC81" s="565" t="str" cm="1">
        <f t="array" aca="1" ref="AC81" ca="1">IF($N81=""," ",
IF(AND($C81&lt;&gt;"S",OR($R81="",$R81="(digite a descrição aqui)")),"DESCRIÇÃO",
IF(AND($C81="S",OR($Q81&lt;&gt;"",$T81&gt;0,$U81&gt;0),$P81=""),"FONTE",
IF(AND($C81="S",$P81&lt;&gt;"",OR($T81&gt;0,$U81&gt;0),$Q81=""),"CÓDIGO",
IF(AND($C81="S",$P81&lt;&gt;"",$Q81&lt;&gt;"",$R81="(Código não identificado nas referências)"),"CÓDIGO N/ID",
IF(AND($C81="S",OR($R81="",$R81="(digite a descrição aqui)"),OR($Q81&lt;&gt;"",$T81&gt;0,$U81&gt;0)),"DESCRIÇÃO",
IF(AND($C81="S",$P81&lt;&gt;"",$Q81&lt;&gt;"",$S81=""),"UNIDADE",
IF(AND($C81="S",$P81&lt;&gt;"",$Q81&lt;&gt;"",$U81=0),"SEM CUSTO",
IF(AND(TIPOORCAMENTO="Licitado",$AL81=0,$AN81&gt;0),"SEM PREÇO",
IF(AND($C81="S",$P81&lt;&gt;"",$Q81&lt;&gt;"",$U81&gt;0,AND($V81&lt;&gt;"BDI 1",$V81&lt;&gt;"BDI 2",$V81&lt;&gt;"BDI 3")),IF(ISNUMBER($V81),"JUSTIFICAR BDI","BDI"),
IF(OR(AND(import.recurso="OGU",TIPOORCAMENTO="Proposto",LEFT($O$8,5)&lt;&gt;"(N/D:",$AG81&lt;&gt;"",ORÇAMENTO.CustoUnitario&gt;$AG81),AND(TIPOORCAMENTO="LICITADO",ORÇAMENTO.PrecoUnitarioLicitado&gt;$AN81)),"ACIMA REF.",
IF(AND($C81="S",$P81&lt;&gt;"",$Q81&lt;&gt;"",$T81=0,$U81&gt;0),"QUANT.",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CÓDIGO N/ID</v>
      </c>
      <c r="AD81" t="str">
        <f ca="1">IF(C81&lt;=CRONO.NivelExibicao,MAX($AD$15:OFFSET(AD81,-1,0))+IF($C81&lt;&gt;1,1,MAX(1,COUNTIF(QCI!$A$13:$A$24,OFFSET($E81,-1,0)))),"")</f>
        <v/>
      </c>
      <c r="AE81" s="7" t="str" cm="1">
        <f t="array" aca="1" ref="AE81" ca="1">IF(AND($C81="S",ORÇAMENTO.CodBarra&lt;&gt;""),IF(ORÇAMENTO.Fonte="",ORÇAMENTO.CodBarra,CONCATENATE(ORÇAMENTO.Fonte," ",ORÇAMENTO.CodBarra)))</f>
        <v>SINAPI 94221</v>
      </c>
      <c r="AF81" s="12" t="str" cm="1">
        <f t="array" aca="1" ref="AF81" ca="1">IF(ISERROR(ORÇAMENTO.BancoRef),"(abra o arquivo 'Referência "&amp;Excel_BuiltIn_Database&amp;".xlsm)",IF(OR($C81&lt;&gt;"S",ORÇAMENTO.CodBarra=""),"(Sem Código)",IF(ISERROR(MATCH($AE81,INDIRECT(ORÇAMENTO.BancoRef),0)),"(Código não identificado nas referências)",MATCH($AE81,INDIRECT(ORÇAMENTO.BancoRef),0))))</f>
        <v>(Código não identificado nas referências)</v>
      </c>
      <c r="AG81" s="428" cm="1">
        <f t="array" aca="1" ref="AG81" ca="1">ROUND(IF(DESONERACAO="sim",REFERENCIA.Desonerado,REFERENCIA.NaoDesonerado),2)</f>
        <v>0</v>
      </c>
      <c r="AH81" s="429">
        <f t="shared" ca="1" si="15"/>
        <v>0.2223</v>
      </c>
      <c r="AJ81" s="431"/>
      <c r="AL81" s="439"/>
      <c r="AM81" s="336">
        <f t="shared" ca="1" si="0"/>
        <v>0</v>
      </c>
      <c r="AN81" s="470" cm="1">
        <f t="array" aca="1" ref="AN81" ca="1">ROUND(ORÇAMENTO.CustoUnitario*(1+$AH81),2)</f>
        <v>0</v>
      </c>
    </row>
    <row r="82" spans="1:40" ht="38.25" x14ac:dyDescent="0.2">
      <c r="A82" t="str">
        <f t="shared" si="1"/>
        <v>S</v>
      </c>
      <c r="B82">
        <f t="shared" ca="1" si="2"/>
        <v>2</v>
      </c>
      <c r="C82" t="str">
        <f t="shared" ca="1" si="3"/>
        <v>S</v>
      </c>
      <c r="D82">
        <f t="shared" ca="1" si="4"/>
        <v>0</v>
      </c>
      <c r="E82">
        <f ca="1">IF($C82=1,OFFSET(E82,-1,0)+MAX(1,COUNTIF(QCI!$A$13:$A$24,OFFSET(ORÇAMENTO!E82,-1,0))),OFFSET(E82,-1,0))</f>
        <v>6</v>
      </c>
      <c r="F82">
        <f t="shared" ca="1" si="5"/>
        <v>1</v>
      </c>
      <c r="G82">
        <f t="shared" ca="1" si="6"/>
        <v>0</v>
      </c>
      <c r="H82">
        <f t="shared" ca="1" si="7"/>
        <v>0</v>
      </c>
      <c r="I82">
        <f t="shared" ca="1" si="8"/>
        <v>0</v>
      </c>
      <c r="J82">
        <f t="shared" ca="1" si="17"/>
        <v>0</v>
      </c>
      <c r="K82">
        <f ca="1">IF(OR($C82="S",$C82=0),0,MATCH(OFFSET($D82,0,$C82)+IF($C82&lt;&gt;1,1,COUNTIF(QCI!$A$13:$A$24,ORÇAMENTO!E82)),OFFSET($D82,1,$C82,ROW($C$244)-ROW($C82)),0))</f>
        <v>0</v>
      </c>
      <c r="L82" s="114" t="str">
        <f t="shared" ca="1" si="10"/>
        <v/>
      </c>
      <c r="M82" s="115" t="s">
        <v>705</v>
      </c>
      <c r="N82" s="116" t="str">
        <f t="shared" ca="1" si="11"/>
        <v>Serviço</v>
      </c>
      <c r="O82" s="117" t="str">
        <f t="shared" ca="1" si="12"/>
        <v>-</v>
      </c>
      <c r="P82" s="118" t="s">
        <v>750</v>
      </c>
      <c r="Q82" s="119" t="s">
        <v>1049</v>
      </c>
      <c r="R82" s="120" t="str" cm="1">
        <f t="array" aca="1" ref="R82" ca="1">IF($C82="S",REFERENCIA.Descricao,"(digite a descrição aqui)")</f>
        <v>(Código não identificado nas referências)</v>
      </c>
      <c r="S82" s="121" t="str" cm="1">
        <f t="array" aca="1" ref="S82" ca="1">REFERENCIA.Unidade</f>
        <v>-</v>
      </c>
      <c r="T82" s="122">
        <f ca="1">OFFSET(CÁLCULO!H$15,ROW($T82)-ROW(T$15),0)</f>
        <v>80</v>
      </c>
      <c r="U82" s="123">
        <f t="shared" ca="1" si="13"/>
        <v>0</v>
      </c>
      <c r="V82" s="124" t="s">
        <v>663</v>
      </c>
      <c r="W82" s="122" cm="1">
        <f t="array" aca="1" ref="W82" ca="1">IF($C82="S",ROUND(IF(TIPOORCAMENTO="Proposto",ORÇAMENTO.CustoUnitario*(1+$AH82),ORÇAMENTO.PrecoUnitarioLicitado),15-13*$AF$10),0)</f>
        <v>0</v>
      </c>
      <c r="X82" s="125" cm="1">
        <f t="array" aca="1" ref="X82" ca="1">IF($C82="S",IF(OR(Import.TipoArredondamento&lt;&gt;"TransfereGOV",ACOMPANHAMENTO="BM"),VTOTAL1,SUM(OFFSET(CÁLCULO!$AQ$15,ROW($X82)-ROW($X$15),1):OFFSET(CÁLCULO!$BR$15,ROW($X82)-ROW($X$15),-1))),IF($C82=0,0,ROUND(SomaAgrup,15-13*$AF$11)))</f>
        <v>0</v>
      </c>
      <c r="Y82" s="126" t="s">
        <v>751</v>
      </c>
      <c r="Z82" t="str">
        <f t="shared" ca="1" si="14"/>
        <v/>
      </c>
      <c r="AA82" s="127" cm="1">
        <f t="array" aca="1" ref="AA82" ca="1">IF($C82="S",IF($Z82="CP",$X82,IF($Z82="RA",(($X82)*QCI!$AA$3),0)),SomaAgrup)</f>
        <v>0</v>
      </c>
      <c r="AB82" s="128" cm="1">
        <f t="array" aca="1" ref="AB82" ca="1">IF($C82="S",IF($Z82="OU",ROUND($X82,2),0),SomaAgrup)</f>
        <v>0</v>
      </c>
      <c r="AC82" s="565" t="str" cm="1">
        <f t="array" aca="1" ref="AC82" ca="1">IF($N82=""," ",
IF(AND($C82&lt;&gt;"S",OR($R82="",$R82="(digite a descrição aqui)")),"DESCRIÇÃO",
IF(AND($C82="S",OR($Q82&lt;&gt;"",$T82&gt;0,$U82&gt;0),$P82=""),"FONTE",
IF(AND($C82="S",$P82&lt;&gt;"",OR($T82&gt;0,$U82&gt;0),$Q82=""),"CÓDIGO",
IF(AND($C82="S",$P82&lt;&gt;"",$Q82&lt;&gt;"",$R82="(Código não identificado nas referências)"),"CÓDIGO N/ID",
IF(AND($C82="S",OR($R82="",$R82="(digite a descrição aqui)"),OR($Q82&lt;&gt;"",$T82&gt;0,$U82&gt;0)),"DESCRIÇÃO",
IF(AND($C82="S",$P82&lt;&gt;"",$Q82&lt;&gt;"",$S82=""),"UNIDADE",
IF(AND($C82="S",$P82&lt;&gt;"",$Q82&lt;&gt;"",$U82=0),"SEM CUSTO",
IF(AND(TIPOORCAMENTO="Licitado",$AL82=0,$AN82&gt;0),"SEM PREÇO",
IF(AND($C82="S",$P82&lt;&gt;"",$Q82&lt;&gt;"",$U82&gt;0,AND($V82&lt;&gt;"BDI 1",$V82&lt;&gt;"BDI 2",$V82&lt;&gt;"BDI 3")),IF(ISNUMBER($V82),"JUSTIFICAR BDI","BDI"),
IF(OR(AND(import.recurso="OGU",TIPOORCAMENTO="Proposto",LEFT($O$8,5)&lt;&gt;"(N/D:",$AG82&lt;&gt;"",ORÇAMENTO.CustoUnitario&gt;$AG82),AND(TIPOORCAMENTO="LICITADO",ORÇAMENTO.PrecoUnitarioLicitado&gt;$AN82)),"ACIMA REF.",
IF(AND($C82="S",$P82&lt;&gt;"",$Q82&lt;&gt;"",$T82=0,$U82&gt;0),"QUANT.",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CÓDIGO N/ID</v>
      </c>
      <c r="AD82" t="str">
        <f ca="1">IF(C82&lt;=CRONO.NivelExibicao,MAX($AD$15:OFFSET(AD82,-1,0))+IF($C82&lt;&gt;1,1,MAX(1,COUNTIF(QCI!$A$13:$A$24,OFFSET($E82,-1,0)))),"")</f>
        <v/>
      </c>
      <c r="AE82" s="7" t="str" cm="1">
        <f t="array" aca="1" ref="AE82" ca="1">IF(AND($C82="S",ORÇAMENTO.CodBarra&lt;&gt;""),IF(ORÇAMENTO.Fonte="",ORÇAMENTO.CodBarra,CONCATENATE(ORÇAMENTO.Fonte," ",ORÇAMENTO.CodBarra)))</f>
        <v>SINAPI 92548</v>
      </c>
      <c r="AF82" s="12" t="str" cm="1">
        <f t="array" aca="1" ref="AF82" ca="1">IF(ISERROR(ORÇAMENTO.BancoRef),"(abra o arquivo 'Referência "&amp;Excel_BuiltIn_Database&amp;".xlsm)",IF(OR($C82&lt;&gt;"S",ORÇAMENTO.CodBarra=""),"(Sem Código)",IF(ISERROR(MATCH($AE82,INDIRECT(ORÇAMENTO.BancoRef),0)),"(Código não identificado nas referências)",MATCH($AE82,INDIRECT(ORÇAMENTO.BancoRef),0))))</f>
        <v>(Código não identificado nas referências)</v>
      </c>
      <c r="AG82" s="428" cm="1">
        <f t="array" aca="1" ref="AG82" ca="1">ROUND(IF(DESONERACAO="sim",REFERENCIA.Desonerado,REFERENCIA.NaoDesonerado),2)</f>
        <v>0</v>
      </c>
      <c r="AH82" s="429">
        <f t="shared" ca="1" si="15"/>
        <v>0.2223</v>
      </c>
      <c r="AJ82" s="431"/>
      <c r="AL82" s="439"/>
      <c r="AM82" s="336">
        <f t="shared" ca="1" si="0"/>
        <v>0</v>
      </c>
      <c r="AN82" s="470" cm="1">
        <f t="array" aca="1" ref="AN82" ca="1">ROUND(ORÇAMENTO.CustoUnitario*(1+$AH82),2)</f>
        <v>0</v>
      </c>
    </row>
    <row r="83" spans="1:40" x14ac:dyDescent="0.2">
      <c r="A83">
        <f t="shared" si="1"/>
        <v>1</v>
      </c>
      <c r="B83">
        <f t="shared" ca="1" si="2"/>
        <v>1</v>
      </c>
      <c r="C83">
        <f t="shared" ca="1" si="3"/>
        <v>1</v>
      </c>
      <c r="D83">
        <f t="shared" ca="1" si="4"/>
        <v>31</v>
      </c>
      <c r="E83">
        <f ca="1">IF($C83=1,OFFSET(E83,-1,0)+MAX(1,COUNTIF(QCI!$A$13:$A$24,OFFSET(ORÇAMENTO!E83,-1,0))),OFFSET(E83,-1,0))</f>
        <v>7</v>
      </c>
      <c r="F83">
        <f t="shared" ca="1" si="5"/>
        <v>0</v>
      </c>
      <c r="G83">
        <f t="shared" ca="1" si="6"/>
        <v>0</v>
      </c>
      <c r="H83">
        <f t="shared" ca="1" si="7"/>
        <v>0</v>
      </c>
      <c r="I83">
        <f t="shared" ca="1" si="8"/>
        <v>0</v>
      </c>
      <c r="J83">
        <f t="shared" ca="1" si="17"/>
        <v>161</v>
      </c>
      <c r="K83">
        <f ca="1">IF(OR($C83="S",$C83=0),0,MATCH(OFFSET($D83,0,$C83)+IF($C83&lt;&gt;1,1,COUNTIF(QCI!$A$13:$A$24,ORÇAMENTO!E83)),OFFSET($D83,1,$C83,ROW($C$244)-ROW($C83)),0))</f>
        <v>31</v>
      </c>
      <c r="L83" s="114" t="str">
        <f t="shared" ca="1" si="10"/>
        <v>F</v>
      </c>
      <c r="M83" s="115" t="s">
        <v>701</v>
      </c>
      <c r="N83" s="116" t="str">
        <f t="shared" ca="1" si="11"/>
        <v>Meta</v>
      </c>
      <c r="O83" s="117" t="str">
        <f t="shared" ca="1" si="12"/>
        <v>7.</v>
      </c>
      <c r="P83" s="118" t="s">
        <v>250</v>
      </c>
      <c r="Q83" s="119" t="s">
        <v>250</v>
      </c>
      <c r="R83" s="120" t="s">
        <v>1186</v>
      </c>
      <c r="S83" s="121"/>
      <c r="T83" s="122">
        <f ca="1">OFFSET(CÁLCULO!H$15,ROW($T83)-ROW(T$15),0)</f>
        <v>0</v>
      </c>
      <c r="U83" s="123">
        <f t="shared" ca="1" si="13"/>
        <v>0</v>
      </c>
      <c r="V83" s="124" t="s">
        <v>663</v>
      </c>
      <c r="W83" s="122" cm="1">
        <f t="array" aca="1" ref="W83" ca="1">IF($C83="S",ROUND(IF(TIPOORCAMENTO="Proposto",ORÇAMENTO.CustoUnitario*(1+$AH83),ORÇAMENTO.PrecoUnitarioLicitado),15-13*$AF$10),0)</f>
        <v>0</v>
      </c>
      <c r="X83" s="125" cm="1">
        <f t="array" aca="1" ref="X83" ca="1">IF($C83="S",IF(OR(Import.TipoArredondamento&lt;&gt;"TransfereGOV",ACOMPANHAMENTO="BM"),VTOTAL1,SUM(OFFSET(CÁLCULO!$AQ$15,ROW($X83)-ROW($X$15),1):OFFSET(CÁLCULO!$BR$15,ROW($X83)-ROW($X$15),-1))),IF($C83=0,0,ROUND(SomaAgrup,15-13*$AF$11)))</f>
        <v>0</v>
      </c>
      <c r="Y83" s="126" t="s">
        <v>751</v>
      </c>
      <c r="Z83" t="str">
        <f t="shared" ca="1" si="14"/>
        <v/>
      </c>
      <c r="AA83" s="127" cm="1">
        <f t="array" aca="1" ref="AA83" ca="1">IF($C83="S",IF($Z83="CP",$X83,IF($Z83="RA",(($X83)*QCI!$AA$3),0)),SomaAgrup)</f>
        <v>0</v>
      </c>
      <c r="AB83" s="128" cm="1">
        <f t="array" aca="1" ref="AB83" ca="1">IF($C83="S",IF($Z83="OU",ROUND($X83,2),0),SomaAgrup)</f>
        <v>0</v>
      </c>
      <c r="AC83" s="565" t="str" cm="1">
        <f t="array" aca="1" ref="AC83" ca="1">IF($N83=""," ",
IF(AND($C83&lt;&gt;"S",OR($R83="",$R83="(digite a descrição aqui)")),"DESCRIÇÃO",
IF(AND($C83="S",OR($Q83&lt;&gt;"",$T83&gt;0,$U83&gt;0),$P83=""),"FONTE",
IF(AND($C83="S",$P83&lt;&gt;"",OR($T83&gt;0,$U83&gt;0),$Q83=""),"CÓDIGO",
IF(AND($C83="S",$P83&lt;&gt;"",$Q83&lt;&gt;"",$R83="(Código não identificado nas referências)"),"CÓDIGO N/ID",
IF(AND($C83="S",OR($R83="",$R83="(digite a descrição aqui)"),OR($Q83&lt;&gt;"",$T83&gt;0,$U83&gt;0)),"DESCRIÇÃO",
IF(AND($C83="S",$P83&lt;&gt;"",$Q83&lt;&gt;"",$S83=""),"UNIDADE",
IF(AND($C83="S",$P83&lt;&gt;"",$Q83&lt;&gt;"",$U83=0),"SEM CUSTO",
IF(AND(TIPOORCAMENTO="Licitado",$AL83=0,$AN83&gt;0),"SEM PREÇO",
IF(AND($C83="S",$P83&lt;&gt;"",$Q83&lt;&gt;"",$U83&gt;0,AND($V83&lt;&gt;"BDI 1",$V83&lt;&gt;"BDI 2",$V83&lt;&gt;"BDI 3")),IF(ISNUMBER($V83),"JUSTIFICAR BDI","BDI"),
IF(OR(AND(import.recurso="OGU",TIPOORCAMENTO="Proposto",LEFT($O$8,5)&lt;&gt;"(N/D:",$AG83&lt;&gt;"",ORÇAMENTO.CustoUnitario&gt;$AG83),AND(TIPOORCAMENTO="LICITADO",ORÇAMENTO.PrecoUnitarioLicitado&gt;$AN83)),"ACIMA REF.",
IF(AND($C83="S",$P83&lt;&gt;"",$Q83&lt;&gt;"",$T83=0,$U83&gt;0),"QUANT.",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 xml:space="preserve"> </v>
      </c>
      <c r="AD83">
        <f ca="1">IF(C83&lt;=CRONO.NivelExibicao,MAX($AD$15:OFFSET(AD83,-1,0))+IF($C83&lt;&gt;1,1,MAX(1,COUNTIF(QCI!$A$13:$A$24,OFFSET($E83,-1,0)))),"")</f>
        <v>18</v>
      </c>
      <c r="AE83" s="7" t="b" cm="1">
        <f t="array" aca="1" ref="AE83" ca="1">IF(AND($C83="S",ORÇAMENTO.CodBarra&lt;&gt;""),IF(ORÇAMENTO.Fonte="",ORÇAMENTO.CodBarra,CONCATENATE(ORÇAMENTO.Fonte," ",ORÇAMENTO.CodBarra)))</f>
        <v>0</v>
      </c>
      <c r="AF83" s="12" t="str" cm="1">
        <f t="array" aca="1" ref="AF83" ca="1">IF(ISERROR(ORÇAMENTO.BancoRef),"(abra o arquivo 'Referência "&amp;Excel_BuiltIn_Database&amp;".xlsm)",IF(OR($C83&lt;&gt;"S",ORÇAMENTO.CodBarra=""),"(Sem Código)",IF(ISERROR(MATCH($AE83,INDIRECT(ORÇAMENTO.BancoRef),0)),"(Código não identificado nas referências)",MATCH($AE83,INDIRECT(ORÇAMENTO.BancoRef),0))))</f>
        <v>(Sem Código)</v>
      </c>
      <c r="AG83" s="428" cm="1">
        <f t="array" aca="1" ref="AG83" ca="1">ROUND(IF(DESONERACAO="sim",REFERENCIA.Desonerado,REFERENCIA.NaoDesonerado),2)</f>
        <v>0</v>
      </c>
      <c r="AH83" s="429">
        <f t="shared" ca="1" si="15"/>
        <v>0.2223</v>
      </c>
      <c r="AJ83" s="431"/>
      <c r="AL83" s="439"/>
      <c r="AM83" s="336">
        <f t="shared" ca="1" si="0"/>
        <v>0</v>
      </c>
      <c r="AN83" s="470" cm="1">
        <f t="array" aca="1" ref="AN83" ca="1">ROUND(ORÇAMENTO.CustoUnitario*(1+$AH83),2)</f>
        <v>0</v>
      </c>
    </row>
    <row r="84" spans="1:40" x14ac:dyDescent="0.2">
      <c r="A84">
        <f t="shared" si="1"/>
        <v>2</v>
      </c>
      <c r="B84">
        <f t="shared" ca="1" si="2"/>
        <v>2</v>
      </c>
      <c r="C84">
        <f t="shared" ca="1" si="3"/>
        <v>2</v>
      </c>
      <c r="D84">
        <f t="shared" ca="1" si="4"/>
        <v>7</v>
      </c>
      <c r="E84">
        <f ca="1">IF($C84=1,OFFSET(E84,-1,0)+MAX(1,COUNTIF(QCI!$A$13:$A$24,OFFSET(ORÇAMENTO!E84,-1,0))),OFFSET(E84,-1,0))</f>
        <v>7</v>
      </c>
      <c r="F84">
        <f t="shared" ca="1" si="5"/>
        <v>1</v>
      </c>
      <c r="G84">
        <f t="shared" ca="1" si="6"/>
        <v>0</v>
      </c>
      <c r="H84">
        <f t="shared" ca="1" si="7"/>
        <v>0</v>
      </c>
      <c r="I84">
        <f t="shared" ca="1" si="8"/>
        <v>0</v>
      </c>
      <c r="J84">
        <f t="shared" ca="1" si="17"/>
        <v>30</v>
      </c>
      <c r="K84">
        <f ca="1">IF(OR($C84="S",$C84=0),0,MATCH(OFFSET($D84,0,$C84)+IF($C84&lt;&gt;1,1,COUNTIF(QCI!$A$13:$A$24,ORÇAMENTO!E84)),OFFSET($D84,1,$C84,ROW($C$244)-ROW($C84)),0))</f>
        <v>7</v>
      </c>
      <c r="L84" s="114" t="str">
        <f t="shared" ca="1" si="10"/>
        <v>F</v>
      </c>
      <c r="M84" s="115" t="s">
        <v>702</v>
      </c>
      <c r="N84" s="116" t="str">
        <f t="shared" ca="1" si="11"/>
        <v>Nível 2</v>
      </c>
      <c r="O84" s="117" t="str">
        <f t="shared" ca="1" si="12"/>
        <v>7.1.</v>
      </c>
      <c r="P84" s="118" t="s">
        <v>250</v>
      </c>
      <c r="Q84" s="119" t="s">
        <v>250</v>
      </c>
      <c r="R84" s="120" t="s">
        <v>1187</v>
      </c>
      <c r="S84" s="121"/>
      <c r="T84" s="122">
        <f ca="1">OFFSET(CÁLCULO!H$15,ROW($T84)-ROW(T$15),0)</f>
        <v>0</v>
      </c>
      <c r="U84" s="123">
        <f t="shared" ca="1" si="13"/>
        <v>0</v>
      </c>
      <c r="V84" s="124" t="s">
        <v>663</v>
      </c>
      <c r="W84" s="122" cm="1">
        <f t="array" aca="1" ref="W84" ca="1">IF($C84="S",ROUND(IF(TIPOORCAMENTO="Proposto",ORÇAMENTO.CustoUnitario*(1+$AH84),ORÇAMENTO.PrecoUnitarioLicitado),15-13*$AF$10),0)</f>
        <v>0</v>
      </c>
      <c r="X84" s="125" cm="1">
        <f t="array" aca="1" ref="X84" ca="1">IF($C84="S",IF(OR(Import.TipoArredondamento&lt;&gt;"TransfereGOV",ACOMPANHAMENTO="BM"),VTOTAL1,SUM(OFFSET(CÁLCULO!$AQ$15,ROW($X84)-ROW($X$15),1):OFFSET(CÁLCULO!$BR$15,ROW($X84)-ROW($X$15),-1))),IF($C84=0,0,ROUND(SomaAgrup,15-13*$AF$11)))</f>
        <v>0</v>
      </c>
      <c r="Y84" s="126" t="s">
        <v>751</v>
      </c>
      <c r="Z84" t="str">
        <f t="shared" ca="1" si="14"/>
        <v/>
      </c>
      <c r="AA84" s="127" cm="1">
        <f t="array" aca="1" ref="AA84" ca="1">IF($C84="S",IF($Z84="CP",$X84,IF($Z84="RA",(($X84)*QCI!$AA$3),0)),SomaAgrup)</f>
        <v>0</v>
      </c>
      <c r="AB84" s="128" cm="1">
        <f t="array" aca="1" ref="AB84" ca="1">IF($C84="S",IF($Z84="OU",ROUND($X84,2),0),SomaAgrup)</f>
        <v>0</v>
      </c>
      <c r="AC84" s="565" t="str" cm="1">
        <f t="array" aca="1" ref="AC84" ca="1">IF($N84=""," ",
IF(AND($C84&lt;&gt;"S",OR($R84="",$R84="(digite a descrição aqui)")),"DESCRIÇÃO",
IF(AND($C84="S",OR($Q84&lt;&gt;"",$T84&gt;0,$U84&gt;0),$P84=""),"FONTE",
IF(AND($C84="S",$P84&lt;&gt;"",OR($T84&gt;0,$U84&gt;0),$Q84=""),"CÓDIGO",
IF(AND($C84="S",$P84&lt;&gt;"",$Q84&lt;&gt;"",$R84="(Código não identificado nas referências)"),"CÓDIGO N/ID",
IF(AND($C84="S",OR($R84="",$R84="(digite a descrição aqui)"),OR($Q84&lt;&gt;"",$T84&gt;0,$U84&gt;0)),"DESCRIÇÃO",
IF(AND($C84="S",$P84&lt;&gt;"",$Q84&lt;&gt;"",$S84=""),"UNIDADE",
IF(AND($C84="S",$P84&lt;&gt;"",$Q84&lt;&gt;"",$U84=0),"SEM CUSTO",
IF(AND(TIPOORCAMENTO="Licitado",$AL84=0,$AN84&gt;0),"SEM PREÇO",
IF(AND($C84="S",$P84&lt;&gt;"",$Q84&lt;&gt;"",$U84&gt;0,AND($V84&lt;&gt;"BDI 1",$V84&lt;&gt;"BDI 2",$V84&lt;&gt;"BDI 3")),IF(ISNUMBER($V84),"JUSTIFICAR BDI","BDI"),
IF(OR(AND(import.recurso="OGU",TIPOORCAMENTO="Proposto",LEFT($O$8,5)&lt;&gt;"(N/D:",$AG84&lt;&gt;"",ORÇAMENTO.CustoUnitario&gt;$AG84),AND(TIPOORCAMENTO="LICITADO",ORÇAMENTO.PrecoUnitarioLicitado&gt;$AN84)),"ACIMA REF.",
IF(AND($C84="S",$P84&lt;&gt;"",$Q84&lt;&gt;"",$T84=0,$U84&gt;0),"QUANT.",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 xml:space="preserve"> </v>
      </c>
      <c r="AD84">
        <f ca="1">IF(C84&lt;=CRONO.NivelExibicao,MAX($AD$15:OFFSET(AD84,-1,0))+IF($C84&lt;&gt;1,1,MAX(1,COUNTIF(QCI!$A$13:$A$24,OFFSET($E84,-1,0)))),"")</f>
        <v>19</v>
      </c>
      <c r="AE84" s="7" t="b" cm="1">
        <f t="array" aca="1" ref="AE84" ca="1">IF(AND($C84="S",ORÇAMENTO.CodBarra&lt;&gt;""),IF(ORÇAMENTO.Fonte="",ORÇAMENTO.CodBarra,CONCATENATE(ORÇAMENTO.Fonte," ",ORÇAMENTO.CodBarra)))</f>
        <v>0</v>
      </c>
      <c r="AF84" s="12" t="str" cm="1">
        <f t="array" aca="1" ref="AF84" ca="1">IF(ISERROR(ORÇAMENTO.BancoRef),"(abra o arquivo 'Referência "&amp;Excel_BuiltIn_Database&amp;".xlsm)",IF(OR($C84&lt;&gt;"S",ORÇAMENTO.CodBarra=""),"(Sem Código)",IF(ISERROR(MATCH($AE84,INDIRECT(ORÇAMENTO.BancoRef),0)),"(Código não identificado nas referências)",MATCH($AE84,INDIRECT(ORÇAMENTO.BancoRef),0))))</f>
        <v>(Sem Código)</v>
      </c>
      <c r="AG84" s="428" cm="1">
        <f t="array" aca="1" ref="AG84" ca="1">ROUND(IF(DESONERACAO="sim",REFERENCIA.Desonerado,REFERENCIA.NaoDesonerado),2)</f>
        <v>0</v>
      </c>
      <c r="AH84" s="429">
        <f t="shared" ca="1" si="15"/>
        <v>0.2223</v>
      </c>
      <c r="AJ84" s="431"/>
      <c r="AL84" s="439"/>
      <c r="AM84" s="336">
        <f t="shared" ca="1" si="0"/>
        <v>0</v>
      </c>
      <c r="AN84" s="470" cm="1">
        <f t="array" aca="1" ref="AN84" ca="1">ROUND(ORÇAMENTO.CustoUnitario*(1+$AH84),2)</f>
        <v>0</v>
      </c>
    </row>
    <row r="85" spans="1:40" ht="38.25" x14ac:dyDescent="0.2">
      <c r="A85" t="str">
        <f t="shared" ref="A85:A116" si="18">CHOOSE(1+LOG(1+2*(ORÇAMENTO.Nivel="Meta")+4*(ORÇAMENTO.Nivel="Nível 2")+8*(ORÇAMENTO.Nivel="Nível 3")+16*(ORÇAMENTO.Nivel="Nível 4")+32*(ORÇAMENTO.Nivel="Serviço"),2),0,1,2,3,4,"S")</f>
        <v>S</v>
      </c>
      <c r="B85">
        <f t="shared" ref="B85:B148" ca="1" si="19">IF(OR(C85="s",C85=0),OFFSET(B85,-1,0),C85)</f>
        <v>2</v>
      </c>
      <c r="C85" t="str">
        <f t="shared" ref="C85:C148" ca="1" si="20">IF(OFFSET(C85,-1,0)="L",1,IF(OFFSET(C85,-1,0)=1,2,IF(OR(A85="s",A85=0),"S",IF(AND(OFFSET(C85,-1,0)=2,A85=4),3,IF(AND(OR(OFFSET(C85,-1,0)="s",OFFSET(C85,-1,0)=0),A85&lt;&gt;"s",A85&gt;OFFSET(B85,-1,0)),OFFSET(B85,-1,0),A85)))))</f>
        <v>S</v>
      </c>
      <c r="D85">
        <f t="shared" ref="D85:D148" ca="1" si="21">IF(OR(C85="S",C85=0),0,IF(ISERROR(K85),J85,SMALL(J85:K85,1)))</f>
        <v>0</v>
      </c>
      <c r="E85">
        <f ca="1">IF($C85=1,OFFSET(E85,-1,0)+MAX(1,COUNTIF(QCI!$A$13:$A$24,OFFSET(ORÇAMENTO!E85,-1,0))),OFFSET(E85,-1,0))</f>
        <v>7</v>
      </c>
      <c r="F85">
        <f t="shared" ref="F85:F148" ca="1" si="22">IF($C85=1,0,IF($C85=2,OFFSET(F85,-1,0)+1,OFFSET(F85,-1,0)))</f>
        <v>1</v>
      </c>
      <c r="G85">
        <f t="shared" ref="G85:G148" ca="1" si="23">IF(AND($C85&lt;=2,$C85&lt;&gt;0),0,IF($C85=3,OFFSET(G85,-1,0)+1,OFFSET(G85,-1,0)))</f>
        <v>0</v>
      </c>
      <c r="H85">
        <f t="shared" ref="H85:H148" ca="1" si="24">IF(AND($C85&lt;=3,$C85&lt;&gt;0),0,IF($C85=4,OFFSET(H85,-1,0)+1,OFFSET(H85,-1,0)))</f>
        <v>0</v>
      </c>
      <c r="I85">
        <f t="shared" ref="I85:I148" ca="1" si="25">IF(AND($C85&lt;=4,$C85&lt;&gt;0),0,IF(AND($C85="S",$X85&gt;0),OFFSET(I85,-1,0)+1,OFFSET(I85,-1,0)))</f>
        <v>0</v>
      </c>
      <c r="J85">
        <f t="shared" ca="1" si="17"/>
        <v>0</v>
      </c>
      <c r="K85">
        <f ca="1">IF(OR($C85="S",$C85=0),0,MATCH(OFFSET($D85,0,$C85)+IF($C85&lt;&gt;1,1,COUNTIF(QCI!$A$13:$A$24,ORÇAMENTO!E85)),OFFSET($D85,1,$C85,ROW($C$244)-ROW($C85)),0))</f>
        <v>0</v>
      </c>
      <c r="L85" s="114" t="str">
        <f t="shared" ref="L85:L148" ca="1" si="26">IF(OR($X85&gt;0,$C85=1,$C85=2,$C85=3,$C85=4),"F","")</f>
        <v/>
      </c>
      <c r="M85" s="115" t="s">
        <v>705</v>
      </c>
      <c r="N85" s="116" t="str">
        <f t="shared" ref="N85:N148" ca="1" si="27">CHOOSE(1+LOG(1+2*(C85=1)+4*(C85=2)+8*(C85=3)+16*(C85=4)+32*(C85="S"),2),"","Meta","Nível 2","Nível 3","Nível 4","Serviço")</f>
        <v>Serviço</v>
      </c>
      <c r="O85" s="117" t="str">
        <f t="shared" ref="O85:O148" ca="1" si="28">IF(OR($C85=0,$L85=""),"-",CONCATENATE(E85&amp;".",IF(AND($A$5&gt;=2,$C85&gt;=2),F85&amp;".",""),IF(AND($A$5&gt;=3,$C85&gt;=3),G85&amp;".",""),IF(AND($A$5&gt;=4,$C85&gt;=4),H85&amp;".",""),IF($C85="S",I85&amp;".","")))</f>
        <v>-</v>
      </c>
      <c r="P85" s="118" t="s">
        <v>750</v>
      </c>
      <c r="Q85" s="119" t="s">
        <v>1050</v>
      </c>
      <c r="R85" s="120" t="str" cm="1">
        <f t="array" aca="1" ref="R85" ca="1">IF($C85="S",REFERENCIA.Descricao,"(digite a descrição aqui)")</f>
        <v>(Código não identificado nas referências)</v>
      </c>
      <c r="S85" s="121" t="str" cm="1">
        <f t="array" aca="1" ref="S85" ca="1">REFERENCIA.Unidade</f>
        <v>-</v>
      </c>
      <c r="T85" s="122">
        <f ca="1">OFFSET(CÁLCULO!H$15,ROW($T85)-ROW(T$15),0)</f>
        <v>2721.9999999999991</v>
      </c>
      <c r="U85" s="123">
        <f t="shared" ref="U85:U148" ca="1" si="29">AG85</f>
        <v>0</v>
      </c>
      <c r="V85" s="124" t="s">
        <v>663</v>
      </c>
      <c r="W85" s="122" cm="1">
        <f t="array" aca="1" ref="W85" ca="1">IF($C85="S",ROUND(IF(TIPOORCAMENTO="Proposto",ORÇAMENTO.CustoUnitario*(1+$AH85),ORÇAMENTO.PrecoUnitarioLicitado),15-13*$AF$10),0)</f>
        <v>0</v>
      </c>
      <c r="X85" s="125" cm="1">
        <f t="array" aca="1" ref="X85" ca="1">IF($C85="S",IF(OR(Import.TipoArredondamento&lt;&gt;"TransfereGOV",ACOMPANHAMENTO="BM"),VTOTAL1,SUM(OFFSET(CÁLCULO!$AQ$15,ROW($X85)-ROW($X$15),1):OFFSET(CÁLCULO!$BR$15,ROW($X85)-ROW($X$15),-1))),IF($C85=0,0,ROUND(SomaAgrup,15-13*$AF$11)))</f>
        <v>0</v>
      </c>
      <c r="Y85" s="126" t="s">
        <v>751</v>
      </c>
      <c r="Z85" t="str">
        <f t="shared" ref="Z85:Z148" ca="1" si="30">IF(AND($C85="S",$X85&gt;0),IF(ISBLANK($Y85),"RA",LEFT($Y85,2)),"")</f>
        <v/>
      </c>
      <c r="AA85" s="127" cm="1">
        <f t="array" aca="1" ref="AA85" ca="1">IF($C85="S",IF($Z85="CP",$X85,IF($Z85="RA",(($X85)*QCI!$AA$3),0)),SomaAgrup)</f>
        <v>0</v>
      </c>
      <c r="AB85" s="128" cm="1">
        <f t="array" aca="1" ref="AB85" ca="1">IF($C85="S",IF($Z85="OU",ROUND($X85,2),0),SomaAgrup)</f>
        <v>0</v>
      </c>
      <c r="AC85" s="565" t="str" cm="1">
        <f t="array" aca="1" ref="AC85" ca="1">IF($N85=""," ",
IF(AND($C85&lt;&gt;"S",OR($R85="",$R85="(digite a descrição aqui)")),"DESCRIÇÃO",
IF(AND($C85="S",OR($Q85&lt;&gt;"",$T85&gt;0,$U85&gt;0),$P85=""),"FONTE",
IF(AND($C85="S",$P85&lt;&gt;"",OR($T85&gt;0,$U85&gt;0),$Q85=""),"CÓDIGO",
IF(AND($C85="S",$P85&lt;&gt;"",$Q85&lt;&gt;"",$R85="(Código não identificado nas referências)"),"CÓDIGO N/ID",
IF(AND($C85="S",OR($R85="",$R85="(digite a descrição aqui)"),OR($Q85&lt;&gt;"",$T85&gt;0,$U85&gt;0)),"DESCRIÇÃO",
IF(AND($C85="S",$P85&lt;&gt;"",$Q85&lt;&gt;"",$S85=""),"UNIDADE",
IF(AND($C85="S",$P85&lt;&gt;"",$Q85&lt;&gt;"",$U85=0),"SEM CUSTO",
IF(AND(TIPOORCAMENTO="Licitado",$AL85=0,$AN85&gt;0),"SEM PREÇO",
IF(AND($C85="S",$P85&lt;&gt;"",$Q85&lt;&gt;"",$U85&gt;0,AND($V85&lt;&gt;"BDI 1",$V85&lt;&gt;"BDI 2",$V85&lt;&gt;"BDI 3")),IF(ISNUMBER($V85),"JUSTIFICAR BDI","BDI"),
IF(OR(AND(import.recurso="OGU",TIPOORCAMENTO="Proposto",LEFT($O$8,5)&lt;&gt;"(N/D:",$AG85&lt;&gt;"",ORÇAMENTO.CustoUnitario&gt;$AG85),AND(TIPOORCAMENTO="LICITADO",ORÇAMENTO.PrecoUnitarioLicitado&gt;$AN85)),"ACIMA REF.",
IF(AND($C85="S",$P85&lt;&gt;"",$Q85&lt;&gt;"",$T85=0,$U85&gt;0),"QUANT.",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CÓDIGO N/ID</v>
      </c>
      <c r="AD85" t="str">
        <f ca="1">IF(C85&lt;=CRONO.NivelExibicao,MAX($AD$15:OFFSET(AD85,-1,0))+IF($C85&lt;&gt;1,1,MAX(1,COUNTIF(QCI!$A$13:$A$24,OFFSET($E85,-1,0)))),"")</f>
        <v/>
      </c>
      <c r="AE85" s="7" t="str" cm="1">
        <f t="array" aca="1" ref="AE85" ca="1">IF(AND($C85="S",ORÇAMENTO.CodBarra&lt;&gt;""),IF(ORÇAMENTO.Fonte="",ORÇAMENTO.CodBarra,CONCATENATE(ORÇAMENTO.Fonte," ",ORÇAMENTO.CodBarra)))</f>
        <v>SINAPI 87879</v>
      </c>
      <c r="AF85" s="12" t="str" cm="1">
        <f t="array" aca="1" ref="AF85" ca="1">IF(ISERROR(ORÇAMENTO.BancoRef),"(abra o arquivo 'Referência "&amp;Excel_BuiltIn_Database&amp;".xlsm)",IF(OR($C85&lt;&gt;"S",ORÇAMENTO.CodBarra=""),"(Sem Código)",IF(ISERROR(MATCH($AE85,INDIRECT(ORÇAMENTO.BancoRef),0)),"(Código não identificado nas referências)",MATCH($AE85,INDIRECT(ORÇAMENTO.BancoRef),0))))</f>
        <v>(Código não identificado nas referências)</v>
      </c>
      <c r="AG85" s="428" cm="1">
        <f t="array" aca="1" ref="AG85" ca="1">ROUND(IF(DESONERACAO="sim",REFERENCIA.Desonerado,REFERENCIA.NaoDesonerado),2)</f>
        <v>0</v>
      </c>
      <c r="AH85" s="429">
        <f t="shared" ref="AH85:AH116" ca="1" si="31">ROUND(IF(ISNUMBER(ORÇAMENTO.OpcaoBDI),ORÇAMENTO.OpcaoBDI,IF(LEFT(ORÇAMENTO.OpcaoBDI,3)="BDI",HLOOKUP(ORÇAMENTO.OpcaoBDI,$F$4:$H$5,2,FALSE),0)),15-11*$AF$9)</f>
        <v>0.2223</v>
      </c>
      <c r="AJ85" s="431"/>
      <c r="AL85" s="439"/>
      <c r="AM85" s="336">
        <f t="shared" ca="1" si="0"/>
        <v>0</v>
      </c>
      <c r="AN85" s="470" cm="1">
        <f t="array" aca="1" ref="AN85" ca="1">ROUND(ORÇAMENTO.CustoUnitario*(1+$AH85),2)</f>
        <v>0</v>
      </c>
    </row>
    <row r="86" spans="1:40" ht="51" x14ac:dyDescent="0.2">
      <c r="A86" t="str">
        <f t="shared" si="18"/>
        <v>S</v>
      </c>
      <c r="B86">
        <f t="shared" ca="1" si="19"/>
        <v>2</v>
      </c>
      <c r="C86" t="str">
        <f t="shared" ca="1" si="20"/>
        <v>S</v>
      </c>
      <c r="D86">
        <f t="shared" ca="1" si="21"/>
        <v>0</v>
      </c>
      <c r="E86">
        <f ca="1">IF($C86=1,OFFSET(E86,-1,0)+MAX(1,COUNTIF(QCI!$A$13:$A$24,OFFSET(ORÇAMENTO!E86,-1,0))),OFFSET(E86,-1,0))</f>
        <v>7</v>
      </c>
      <c r="F86">
        <f t="shared" ca="1" si="22"/>
        <v>1</v>
      </c>
      <c r="G86">
        <f t="shared" ca="1" si="23"/>
        <v>0</v>
      </c>
      <c r="H86">
        <f t="shared" ca="1" si="24"/>
        <v>0</v>
      </c>
      <c r="I86">
        <f t="shared" ca="1" si="25"/>
        <v>0</v>
      </c>
      <c r="J86">
        <f t="shared" ca="1" si="17"/>
        <v>0</v>
      </c>
      <c r="K86">
        <f ca="1">IF(OR($C86="S",$C86=0),0,MATCH(OFFSET($D86,0,$C86)+IF($C86&lt;&gt;1,1,COUNTIF(QCI!$A$13:$A$24,ORÇAMENTO!E86)),OFFSET($D86,1,$C86,ROW($C$244)-ROW($C86)),0))</f>
        <v>0</v>
      </c>
      <c r="L86" s="114" t="str">
        <f t="shared" ca="1" si="26"/>
        <v/>
      </c>
      <c r="M86" s="115" t="s">
        <v>705</v>
      </c>
      <c r="N86" s="116" t="str">
        <f t="shared" ca="1" si="27"/>
        <v>Serviço</v>
      </c>
      <c r="O86" s="117" t="str">
        <f t="shared" ca="1" si="28"/>
        <v>-</v>
      </c>
      <c r="P86" s="118" t="s">
        <v>750</v>
      </c>
      <c r="Q86" s="119" t="s">
        <v>1051</v>
      </c>
      <c r="R86" s="120" t="str" cm="1">
        <f t="array" aca="1" ref="R86" ca="1">IF($C86="S",REFERENCIA.Descricao,"(digite a descrição aqui)")</f>
        <v>(Código não identificado nas referências)</v>
      </c>
      <c r="S86" s="121" t="str" cm="1">
        <f t="array" aca="1" ref="S86" ca="1">REFERENCIA.Unidade</f>
        <v>-</v>
      </c>
      <c r="T86" s="122">
        <f ca="1">OFFSET(CÁLCULO!H$15,ROW($T86)-ROW(T$15),0)</f>
        <v>88.799999999999983</v>
      </c>
      <c r="U86" s="123">
        <f t="shared" ca="1" si="29"/>
        <v>0</v>
      </c>
      <c r="V86" s="124" t="s">
        <v>663</v>
      </c>
      <c r="W86" s="122" cm="1">
        <f t="array" aca="1" ref="W86" ca="1">IF($C86="S",ROUND(IF(TIPOORCAMENTO="Proposto",ORÇAMENTO.CustoUnitario*(1+$AH86),ORÇAMENTO.PrecoUnitarioLicitado),15-13*$AF$10),0)</f>
        <v>0</v>
      </c>
      <c r="X86" s="125" cm="1">
        <f t="array" aca="1" ref="X86" ca="1">IF($C86="S",IF(OR(Import.TipoArredondamento&lt;&gt;"TransfereGOV",ACOMPANHAMENTO="BM"),VTOTAL1,SUM(OFFSET(CÁLCULO!$AQ$15,ROW($X86)-ROW($X$15),1):OFFSET(CÁLCULO!$BR$15,ROW($X86)-ROW($X$15),-1))),IF($C86=0,0,ROUND(SomaAgrup,15-13*$AF$11)))</f>
        <v>0</v>
      </c>
      <c r="Y86" s="126" t="s">
        <v>751</v>
      </c>
      <c r="Z86" t="str">
        <f t="shared" ca="1" si="30"/>
        <v/>
      </c>
      <c r="AA86" s="127" cm="1">
        <f t="array" aca="1" ref="AA86" ca="1">IF($C86="S",IF($Z86="CP",$X86,IF($Z86="RA",(($X86)*QCI!$AA$3),0)),SomaAgrup)</f>
        <v>0</v>
      </c>
      <c r="AB86" s="128" cm="1">
        <f t="array" aca="1" ref="AB86" ca="1">IF($C86="S",IF($Z86="OU",ROUND($X86,2),0),SomaAgrup)</f>
        <v>0</v>
      </c>
      <c r="AC86" s="565" t="str" cm="1">
        <f t="array" aca="1" ref="AC86" ca="1">IF($N86=""," ",
IF(AND($C86&lt;&gt;"S",OR($R86="",$R86="(digite a descrição aqui)")),"DESCRIÇÃO",
IF(AND($C86="S",OR($Q86&lt;&gt;"",$T86&gt;0,$U86&gt;0),$P86=""),"FONTE",
IF(AND($C86="S",$P86&lt;&gt;"",OR($T86&gt;0,$U86&gt;0),$Q86=""),"CÓDIGO",
IF(AND($C86="S",$P86&lt;&gt;"",$Q86&lt;&gt;"",$R86="(Código não identificado nas referências)"),"CÓDIGO N/ID",
IF(AND($C86="S",OR($R86="",$R86="(digite a descrição aqui)"),OR($Q86&lt;&gt;"",$T86&gt;0,$U86&gt;0)),"DESCRIÇÃO",
IF(AND($C86="S",$P86&lt;&gt;"",$Q86&lt;&gt;"",$S86=""),"UNIDADE",
IF(AND($C86="S",$P86&lt;&gt;"",$Q86&lt;&gt;"",$U86=0),"SEM CUSTO",
IF(AND(TIPOORCAMENTO="Licitado",$AL86=0,$AN86&gt;0),"SEM PREÇO",
IF(AND($C86="S",$P86&lt;&gt;"",$Q86&lt;&gt;"",$U86&gt;0,AND($V86&lt;&gt;"BDI 1",$V86&lt;&gt;"BDI 2",$V86&lt;&gt;"BDI 3")),IF(ISNUMBER($V86),"JUSTIFICAR BDI","BDI"),
IF(OR(AND(import.recurso="OGU",TIPOORCAMENTO="Proposto",LEFT($O$8,5)&lt;&gt;"(N/D:",$AG86&lt;&gt;"",ORÇAMENTO.CustoUnitario&gt;$AG86),AND(TIPOORCAMENTO="LICITADO",ORÇAMENTO.PrecoUnitarioLicitado&gt;$AN86)),"ACIMA REF.",
IF(AND($C86="S",$P86&lt;&gt;"",$Q86&lt;&gt;"",$T86=0,$U86&gt;0),"QUANT.",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CÓDIGO N/ID</v>
      </c>
      <c r="AD86" t="str">
        <f ca="1">IF(C86&lt;=CRONO.NivelExibicao,MAX($AD$15:OFFSET(AD86,-1,0))+IF($C86&lt;&gt;1,1,MAX(1,COUNTIF(QCI!$A$13:$A$24,OFFSET($E86,-1,0)))),"")</f>
        <v/>
      </c>
      <c r="AE86" s="7" t="str" cm="1">
        <f t="array" aca="1" ref="AE86" ca="1">IF(AND($C86="S",ORÇAMENTO.CodBarra&lt;&gt;""),IF(ORÇAMENTO.Fonte="",ORÇAMENTO.CodBarra,CONCATENATE(ORÇAMENTO.Fonte," ",ORÇAMENTO.CodBarra)))</f>
        <v>SINAPI 87882</v>
      </c>
      <c r="AF86" s="12" t="str" cm="1">
        <f t="array" aca="1" ref="AF86" ca="1">IF(ISERROR(ORÇAMENTO.BancoRef),"(abra o arquivo 'Referência "&amp;Excel_BuiltIn_Database&amp;".xlsm)",IF(OR($C86&lt;&gt;"S",ORÇAMENTO.CodBarra=""),"(Sem Código)",IF(ISERROR(MATCH($AE86,INDIRECT(ORÇAMENTO.BancoRef),0)),"(Código não identificado nas referências)",MATCH($AE86,INDIRECT(ORÇAMENTO.BancoRef),0))))</f>
        <v>(Código não identificado nas referências)</v>
      </c>
      <c r="AG86" s="428" cm="1">
        <f t="array" aca="1" ref="AG86" ca="1">ROUND(IF(DESONERACAO="sim",REFERENCIA.Desonerado,REFERENCIA.NaoDesonerado),2)</f>
        <v>0</v>
      </c>
      <c r="AH86" s="429">
        <f t="shared" ca="1" si="31"/>
        <v>0.2223</v>
      </c>
      <c r="AJ86" s="431"/>
      <c r="AL86" s="439"/>
      <c r="AM86" s="336">
        <f t="shared" ca="1" si="0"/>
        <v>0</v>
      </c>
      <c r="AN86" s="470" cm="1">
        <f t="array" aca="1" ref="AN86" ca="1">ROUND(ORÇAMENTO.CustoUnitario*(1+$AH86),2)</f>
        <v>0</v>
      </c>
    </row>
    <row r="87" spans="1:40" ht="51" x14ac:dyDescent="0.2">
      <c r="A87" t="str">
        <f t="shared" si="18"/>
        <v>S</v>
      </c>
      <c r="B87">
        <f t="shared" ca="1" si="19"/>
        <v>2</v>
      </c>
      <c r="C87" t="str">
        <f t="shared" ca="1" si="20"/>
        <v>S</v>
      </c>
      <c r="D87">
        <f t="shared" ca="1" si="21"/>
        <v>0</v>
      </c>
      <c r="E87">
        <f ca="1">IF($C87=1,OFFSET(E87,-1,0)+MAX(1,COUNTIF(QCI!$A$13:$A$24,OFFSET(ORÇAMENTO!E87,-1,0))),OFFSET(E87,-1,0))</f>
        <v>7</v>
      </c>
      <c r="F87">
        <f t="shared" ca="1" si="22"/>
        <v>1</v>
      </c>
      <c r="G87">
        <f t="shared" ca="1" si="23"/>
        <v>0</v>
      </c>
      <c r="H87">
        <f t="shared" ca="1" si="24"/>
        <v>0</v>
      </c>
      <c r="I87">
        <f t="shared" ca="1" si="25"/>
        <v>0</v>
      </c>
      <c r="J87">
        <f t="shared" ca="1" si="17"/>
        <v>0</v>
      </c>
      <c r="K87">
        <f ca="1">IF(OR($C87="S",$C87=0),0,MATCH(OFFSET($D87,0,$C87)+IF($C87&lt;&gt;1,1,COUNTIF(QCI!$A$13:$A$24,ORÇAMENTO!E87)),OFFSET($D87,1,$C87,ROW($C$244)-ROW($C87)),0))</f>
        <v>0</v>
      </c>
      <c r="L87" s="114" t="str">
        <f t="shared" ca="1" si="26"/>
        <v/>
      </c>
      <c r="M87" s="115" t="s">
        <v>705</v>
      </c>
      <c r="N87" s="116" t="str">
        <f t="shared" ca="1" si="27"/>
        <v>Serviço</v>
      </c>
      <c r="O87" s="117" t="str">
        <f t="shared" ca="1" si="28"/>
        <v>-</v>
      </c>
      <c r="P87" s="118" t="s">
        <v>750</v>
      </c>
      <c r="Q87" s="119" t="s">
        <v>1052</v>
      </c>
      <c r="R87" s="120" t="str" cm="1">
        <f t="array" aca="1" ref="R87" ca="1">IF($C87="S",REFERENCIA.Descricao,"(digite a descrição aqui)")</f>
        <v>(Código não identificado nas referências)</v>
      </c>
      <c r="S87" s="121" t="str" cm="1">
        <f t="array" aca="1" ref="S87" ca="1">REFERENCIA.Unidade</f>
        <v>-</v>
      </c>
      <c r="T87" s="122">
        <f ca="1">OFFSET(CÁLCULO!H$15,ROW($T87)-ROW(T$15),0)</f>
        <v>469.80000000000013</v>
      </c>
      <c r="U87" s="123">
        <f t="shared" ca="1" si="29"/>
        <v>0</v>
      </c>
      <c r="V87" s="124" t="s">
        <v>663</v>
      </c>
      <c r="W87" s="122" cm="1">
        <f t="array" aca="1" ref="W87" ca="1">IF($C87="S",ROUND(IF(TIPOORCAMENTO="Proposto",ORÇAMENTO.CustoUnitario*(1+$AH87),ORÇAMENTO.PrecoUnitarioLicitado),15-13*$AF$10),0)</f>
        <v>0</v>
      </c>
      <c r="X87" s="125" cm="1">
        <f t="array" aca="1" ref="X87" ca="1">IF($C87="S",IF(OR(Import.TipoArredondamento&lt;&gt;"TransfereGOV",ACOMPANHAMENTO="BM"),VTOTAL1,SUM(OFFSET(CÁLCULO!$AQ$15,ROW($X87)-ROW($X$15),1):OFFSET(CÁLCULO!$BR$15,ROW($X87)-ROW($X$15),-1))),IF($C87=0,0,ROUND(SomaAgrup,15-13*$AF$11)))</f>
        <v>0</v>
      </c>
      <c r="Y87" s="126" t="s">
        <v>751</v>
      </c>
      <c r="Z87" t="str">
        <f t="shared" ca="1" si="30"/>
        <v/>
      </c>
      <c r="AA87" s="127" cm="1">
        <f t="array" aca="1" ref="AA87" ca="1">IF($C87="S",IF($Z87="CP",$X87,IF($Z87="RA",(($X87)*QCI!$AA$3),0)),SomaAgrup)</f>
        <v>0</v>
      </c>
      <c r="AB87" s="128" cm="1">
        <f t="array" aca="1" ref="AB87" ca="1">IF($C87="S",IF($Z87="OU",ROUND($X87,2),0),SomaAgrup)</f>
        <v>0</v>
      </c>
      <c r="AC87" s="565" t="str" cm="1">
        <f t="array" aca="1" ref="AC87" ca="1">IF($N87=""," ",
IF(AND($C87&lt;&gt;"S",OR($R87="",$R87="(digite a descrição aqui)")),"DESCRIÇÃO",
IF(AND($C87="S",OR($Q87&lt;&gt;"",$T87&gt;0,$U87&gt;0),$P87=""),"FONTE",
IF(AND($C87="S",$P87&lt;&gt;"",OR($T87&gt;0,$U87&gt;0),$Q87=""),"CÓDIGO",
IF(AND($C87="S",$P87&lt;&gt;"",$Q87&lt;&gt;"",$R87="(Código não identificado nas referências)"),"CÓDIGO N/ID",
IF(AND($C87="S",OR($R87="",$R87="(digite a descrição aqui)"),OR($Q87&lt;&gt;"",$T87&gt;0,$U87&gt;0)),"DESCRIÇÃO",
IF(AND($C87="S",$P87&lt;&gt;"",$Q87&lt;&gt;"",$S87=""),"UNIDADE",
IF(AND($C87="S",$P87&lt;&gt;"",$Q87&lt;&gt;"",$U87=0),"SEM CUSTO",
IF(AND(TIPOORCAMENTO="Licitado",$AL87=0,$AN87&gt;0),"SEM PREÇO",
IF(AND($C87="S",$P87&lt;&gt;"",$Q87&lt;&gt;"",$U87&gt;0,AND($V87&lt;&gt;"BDI 1",$V87&lt;&gt;"BDI 2",$V87&lt;&gt;"BDI 3")),IF(ISNUMBER($V87),"JUSTIFICAR BDI","BDI"),
IF(OR(AND(import.recurso="OGU",TIPOORCAMENTO="Proposto",LEFT($O$8,5)&lt;&gt;"(N/D:",$AG87&lt;&gt;"",ORÇAMENTO.CustoUnitario&gt;$AG87),AND(TIPOORCAMENTO="LICITADO",ORÇAMENTO.PrecoUnitarioLicitado&gt;$AN87)),"ACIMA REF.",
IF(AND($C87="S",$P87&lt;&gt;"",$Q87&lt;&gt;"",$T87=0,$U87&gt;0),"QUANT.",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CÓDIGO N/ID</v>
      </c>
      <c r="AD87" t="str">
        <f ca="1">IF(C87&lt;=CRONO.NivelExibicao,MAX($AD$15:OFFSET(AD87,-1,0))+IF($C87&lt;&gt;1,1,MAX(1,COUNTIF(QCI!$A$13:$A$24,OFFSET($E87,-1,0)))),"")</f>
        <v/>
      </c>
      <c r="AE87" s="7" t="str" cm="1">
        <f t="array" aca="1" ref="AE87" ca="1">IF(AND($C87="S",ORÇAMENTO.CodBarra&lt;&gt;""),IF(ORÇAMENTO.Fonte="",ORÇAMENTO.CodBarra,CONCATENATE(ORÇAMENTO.Fonte," ",ORÇAMENTO.CodBarra)))</f>
        <v>SINAPI 87545</v>
      </c>
      <c r="AF87" s="12" t="str" cm="1">
        <f t="array" aca="1" ref="AF87" ca="1">IF(ISERROR(ORÇAMENTO.BancoRef),"(abra o arquivo 'Referência "&amp;Excel_BuiltIn_Database&amp;".xlsm)",IF(OR($C87&lt;&gt;"S",ORÇAMENTO.CodBarra=""),"(Sem Código)",IF(ISERROR(MATCH($AE87,INDIRECT(ORÇAMENTO.BancoRef),0)),"(Código não identificado nas referências)",MATCH($AE87,INDIRECT(ORÇAMENTO.BancoRef),0))))</f>
        <v>(Código não identificado nas referências)</v>
      </c>
      <c r="AG87" s="428" cm="1">
        <f t="array" aca="1" ref="AG87" ca="1">ROUND(IF(DESONERACAO="sim",REFERENCIA.Desonerado,REFERENCIA.NaoDesonerado),2)</f>
        <v>0</v>
      </c>
      <c r="AH87" s="429">
        <f t="shared" ca="1" si="31"/>
        <v>0.2223</v>
      </c>
      <c r="AJ87" s="431"/>
      <c r="AL87" s="439"/>
      <c r="AM87" s="336">
        <f t="shared" ca="1" si="0"/>
        <v>0</v>
      </c>
      <c r="AN87" s="470" cm="1">
        <f t="array" aca="1" ref="AN87" ca="1">ROUND(ORÇAMENTO.CustoUnitario*(1+$AH87),2)</f>
        <v>0</v>
      </c>
    </row>
    <row r="88" spans="1:40" ht="51" x14ac:dyDescent="0.2">
      <c r="A88" t="str">
        <f t="shared" si="18"/>
        <v>S</v>
      </c>
      <c r="B88">
        <f t="shared" ca="1" si="19"/>
        <v>2</v>
      </c>
      <c r="C88" t="str">
        <f t="shared" ca="1" si="20"/>
        <v>S</v>
      </c>
      <c r="D88">
        <f t="shared" ca="1" si="21"/>
        <v>0</v>
      </c>
      <c r="E88">
        <f ca="1">IF($C88=1,OFFSET(E88,-1,0)+MAX(1,COUNTIF(QCI!$A$13:$A$24,OFFSET(ORÇAMENTO!E88,-1,0))),OFFSET(E88,-1,0))</f>
        <v>7</v>
      </c>
      <c r="F88">
        <f t="shared" ca="1" si="22"/>
        <v>1</v>
      </c>
      <c r="G88">
        <f t="shared" ca="1" si="23"/>
        <v>0</v>
      </c>
      <c r="H88">
        <f t="shared" ca="1" si="24"/>
        <v>0</v>
      </c>
      <c r="I88">
        <f t="shared" ca="1" si="25"/>
        <v>0</v>
      </c>
      <c r="J88">
        <f t="shared" ca="1" si="17"/>
        <v>0</v>
      </c>
      <c r="K88">
        <f ca="1">IF(OR($C88="S",$C88=0),0,MATCH(OFFSET($D88,0,$C88)+IF($C88&lt;&gt;1,1,COUNTIF(QCI!$A$13:$A$24,ORÇAMENTO!E88)),OFFSET($D88,1,$C88,ROW($C$244)-ROW($C88)),0))</f>
        <v>0</v>
      </c>
      <c r="L88" s="114" t="str">
        <f t="shared" ca="1" si="26"/>
        <v/>
      </c>
      <c r="M88" s="115" t="s">
        <v>705</v>
      </c>
      <c r="N88" s="116" t="str">
        <f t="shared" ca="1" si="27"/>
        <v>Serviço</v>
      </c>
      <c r="O88" s="117" t="str">
        <f t="shared" ca="1" si="28"/>
        <v>-</v>
      </c>
      <c r="P88" s="118" t="s">
        <v>750</v>
      </c>
      <c r="Q88" s="119" t="s">
        <v>1053</v>
      </c>
      <c r="R88" s="120" t="str" cm="1">
        <f t="array" aca="1" ref="R88" ca="1">IF($C88="S",REFERENCIA.Descricao,"(digite a descrição aqui)")</f>
        <v>(Código não identificado nas referências)</v>
      </c>
      <c r="S88" s="121" t="str" cm="1">
        <f t="array" aca="1" ref="S88" ca="1">REFERENCIA.Unidade</f>
        <v>-</v>
      </c>
      <c r="T88" s="122">
        <f ca="1">OFFSET(CÁLCULO!H$15,ROW($T88)-ROW(T$15),0)</f>
        <v>1600.9999999999995</v>
      </c>
      <c r="U88" s="123">
        <f t="shared" ca="1" si="29"/>
        <v>0</v>
      </c>
      <c r="V88" s="124" t="s">
        <v>663</v>
      </c>
      <c r="W88" s="122" cm="1">
        <f t="array" aca="1" ref="W88" ca="1">IF($C88="S",ROUND(IF(TIPOORCAMENTO="Proposto",ORÇAMENTO.CustoUnitario*(1+$AH88),ORÇAMENTO.PrecoUnitarioLicitado),15-13*$AF$10),0)</f>
        <v>0</v>
      </c>
      <c r="X88" s="125" cm="1">
        <f t="array" aca="1" ref="X88" ca="1">IF($C88="S",IF(OR(Import.TipoArredondamento&lt;&gt;"TransfereGOV",ACOMPANHAMENTO="BM"),VTOTAL1,SUM(OFFSET(CÁLCULO!$AQ$15,ROW($X88)-ROW($X$15),1):OFFSET(CÁLCULO!$BR$15,ROW($X88)-ROW($X$15),-1))),IF($C88=0,0,ROUND(SomaAgrup,15-13*$AF$11)))</f>
        <v>0</v>
      </c>
      <c r="Y88" s="126" t="s">
        <v>751</v>
      </c>
      <c r="Z88" t="str">
        <f t="shared" ca="1" si="30"/>
        <v/>
      </c>
      <c r="AA88" s="127" cm="1">
        <f t="array" aca="1" ref="AA88" ca="1">IF($C88="S",IF($Z88="CP",$X88,IF($Z88="RA",(($X88)*QCI!$AA$3),0)),SomaAgrup)</f>
        <v>0</v>
      </c>
      <c r="AB88" s="128" cm="1">
        <f t="array" aca="1" ref="AB88" ca="1">IF($C88="S",IF($Z88="OU",ROUND($X88,2),0),SomaAgrup)</f>
        <v>0</v>
      </c>
      <c r="AC88" s="565" t="str" cm="1">
        <f t="array" aca="1" ref="AC88" ca="1">IF($N88=""," ",
IF(AND($C88&lt;&gt;"S",OR($R88="",$R88="(digite a descrição aqui)")),"DESCRIÇÃO",
IF(AND($C88="S",OR($Q88&lt;&gt;"",$T88&gt;0,$U88&gt;0),$P88=""),"FONTE",
IF(AND($C88="S",$P88&lt;&gt;"",OR($T88&gt;0,$U88&gt;0),$Q88=""),"CÓDIGO",
IF(AND($C88="S",$P88&lt;&gt;"",$Q88&lt;&gt;"",$R88="(Código não identificado nas referências)"),"CÓDIGO N/ID",
IF(AND($C88="S",OR($R88="",$R88="(digite a descrição aqui)"),OR($Q88&lt;&gt;"",$T88&gt;0,$U88&gt;0)),"DESCRIÇÃO",
IF(AND($C88="S",$P88&lt;&gt;"",$Q88&lt;&gt;"",$S88=""),"UNIDADE",
IF(AND($C88="S",$P88&lt;&gt;"",$Q88&lt;&gt;"",$U88=0),"SEM CUSTO",
IF(AND(TIPOORCAMENTO="Licitado",$AL88=0,$AN88&gt;0),"SEM PREÇO",
IF(AND($C88="S",$P88&lt;&gt;"",$Q88&lt;&gt;"",$U88&gt;0,AND($V88&lt;&gt;"BDI 1",$V88&lt;&gt;"BDI 2",$V88&lt;&gt;"BDI 3")),IF(ISNUMBER($V88),"JUSTIFICAR BDI","BDI"),
IF(OR(AND(import.recurso="OGU",TIPOORCAMENTO="Proposto",LEFT($O$8,5)&lt;&gt;"(N/D:",$AG88&lt;&gt;"",ORÇAMENTO.CustoUnitario&gt;$AG88),AND(TIPOORCAMENTO="LICITADO",ORÇAMENTO.PrecoUnitarioLicitado&gt;$AN88)),"ACIMA REF.",
IF(AND($C88="S",$P88&lt;&gt;"",$Q88&lt;&gt;"",$T88=0,$U88&gt;0),"QUANT.",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CÓDIGO N/ID</v>
      </c>
      <c r="AD88" t="str">
        <f ca="1">IF(C88&lt;=CRONO.NivelExibicao,MAX($AD$15:OFFSET(AD88,-1,0))+IF($C88&lt;&gt;1,1,MAX(1,COUNTIF(QCI!$A$13:$A$24,OFFSET($E88,-1,0)))),"")</f>
        <v/>
      </c>
      <c r="AE88" s="7" t="str" cm="1">
        <f t="array" aca="1" ref="AE88" ca="1">IF(AND($C88="S",ORÇAMENTO.CodBarra&lt;&gt;""),IF(ORÇAMENTO.Fonte="",ORÇAMENTO.CodBarra,CONCATENATE(ORÇAMENTO.Fonte," ",ORÇAMENTO.CodBarra)))</f>
        <v>SINAPI 87547</v>
      </c>
      <c r="AF88" s="12" t="str" cm="1">
        <f t="array" aca="1" ref="AF88" ca="1">IF(ISERROR(ORÇAMENTO.BancoRef),"(abra o arquivo 'Referência "&amp;Excel_BuiltIn_Database&amp;".xlsm)",IF(OR($C88&lt;&gt;"S",ORÇAMENTO.CodBarra=""),"(Sem Código)",IF(ISERROR(MATCH($AE88,INDIRECT(ORÇAMENTO.BancoRef),0)),"(Código não identificado nas referências)",MATCH($AE88,INDIRECT(ORÇAMENTO.BancoRef),0))))</f>
        <v>(Código não identificado nas referências)</v>
      </c>
      <c r="AG88" s="428" cm="1">
        <f t="array" aca="1" ref="AG88" ca="1">ROUND(IF(DESONERACAO="sim",REFERENCIA.Desonerado,REFERENCIA.NaoDesonerado),2)</f>
        <v>0</v>
      </c>
      <c r="AH88" s="429">
        <f t="shared" ca="1" si="31"/>
        <v>0.2223</v>
      </c>
      <c r="AJ88" s="431"/>
      <c r="AL88" s="439"/>
      <c r="AM88" s="336">
        <f t="shared" ca="1" si="0"/>
        <v>0</v>
      </c>
      <c r="AN88" s="470" cm="1">
        <f t="array" aca="1" ref="AN88" ca="1">ROUND(ORÇAMENTO.CustoUnitario*(1+$AH88),2)</f>
        <v>0</v>
      </c>
    </row>
    <row r="89" spans="1:40" ht="38.25" x14ac:dyDescent="0.2">
      <c r="A89" t="str">
        <f t="shared" si="18"/>
        <v>S</v>
      </c>
      <c r="B89">
        <f t="shared" ca="1" si="19"/>
        <v>2</v>
      </c>
      <c r="C89" t="str">
        <f t="shared" ca="1" si="20"/>
        <v>S</v>
      </c>
      <c r="D89">
        <f t="shared" ca="1" si="21"/>
        <v>0</v>
      </c>
      <c r="E89">
        <f ca="1">IF($C89=1,OFFSET(E89,-1,0)+MAX(1,COUNTIF(QCI!$A$13:$A$24,OFFSET(ORÇAMENTO!E89,-1,0))),OFFSET(E89,-1,0))</f>
        <v>7</v>
      </c>
      <c r="F89">
        <f t="shared" ca="1" si="22"/>
        <v>1</v>
      </c>
      <c r="G89">
        <f t="shared" ca="1" si="23"/>
        <v>0</v>
      </c>
      <c r="H89">
        <f t="shared" ca="1" si="24"/>
        <v>0</v>
      </c>
      <c r="I89">
        <f t="shared" ca="1" si="25"/>
        <v>0</v>
      </c>
      <c r="J89">
        <f t="shared" ca="1" si="17"/>
        <v>0</v>
      </c>
      <c r="K89">
        <f ca="1">IF(OR($C89="S",$C89=0),0,MATCH(OFFSET($D89,0,$C89)+IF($C89&lt;&gt;1,1,COUNTIF(QCI!$A$13:$A$24,ORÇAMENTO!E89)),OFFSET($D89,1,$C89,ROW($C$244)-ROW($C89)),0))</f>
        <v>0</v>
      </c>
      <c r="L89" s="114" t="str">
        <f t="shared" ca="1" si="26"/>
        <v/>
      </c>
      <c r="M89" s="115" t="s">
        <v>705</v>
      </c>
      <c r="N89" s="116" t="str">
        <f t="shared" ca="1" si="27"/>
        <v>Serviço</v>
      </c>
      <c r="O89" s="117" t="str">
        <f t="shared" ca="1" si="28"/>
        <v>-</v>
      </c>
      <c r="P89" s="118" t="s">
        <v>750</v>
      </c>
      <c r="Q89" s="119" t="s">
        <v>1054</v>
      </c>
      <c r="R89" s="120" t="str" cm="1">
        <f t="array" aca="1" ref="R89" ca="1">IF($C89="S",REFERENCIA.Descricao,"(digite a descrição aqui)")</f>
        <v>(Código não identificado nas referências)</v>
      </c>
      <c r="S89" s="121" t="str" cm="1">
        <f t="array" aca="1" ref="S89" ca="1">REFERENCIA.Unidade</f>
        <v>-</v>
      </c>
      <c r="T89" s="122">
        <f ca="1">OFFSET(CÁLCULO!H$15,ROW($T89)-ROW(T$15),0)</f>
        <v>651.19999999999982</v>
      </c>
      <c r="U89" s="123">
        <f t="shared" ca="1" si="29"/>
        <v>0</v>
      </c>
      <c r="V89" s="124" t="s">
        <v>663</v>
      </c>
      <c r="W89" s="122" cm="1">
        <f t="array" aca="1" ref="W89" ca="1">IF($C89="S",ROUND(IF(TIPOORCAMENTO="Proposto",ORÇAMENTO.CustoUnitario*(1+$AH89),ORÇAMENTO.PrecoUnitarioLicitado),15-13*$AF$10),0)</f>
        <v>0</v>
      </c>
      <c r="X89" s="125" cm="1">
        <f t="array" aca="1" ref="X89" ca="1">IF($C89="S",IF(OR(Import.TipoArredondamento&lt;&gt;"TransfereGOV",ACOMPANHAMENTO="BM"),VTOTAL1,SUM(OFFSET(CÁLCULO!$AQ$15,ROW($X89)-ROW($X$15),1):OFFSET(CÁLCULO!$BR$15,ROW($X89)-ROW($X$15),-1))),IF($C89=0,0,ROUND(SomaAgrup,15-13*$AF$11)))</f>
        <v>0</v>
      </c>
      <c r="Y89" s="126" t="s">
        <v>751</v>
      </c>
      <c r="Z89" t="str">
        <f t="shared" ca="1" si="30"/>
        <v/>
      </c>
      <c r="AA89" s="127" cm="1">
        <f t="array" aca="1" ref="AA89" ca="1">IF($C89="S",IF($Z89="CP",$X89,IF($Z89="RA",(($X89)*QCI!$AA$3),0)),SomaAgrup)</f>
        <v>0</v>
      </c>
      <c r="AB89" s="128" cm="1">
        <f t="array" aca="1" ref="AB89" ca="1">IF($C89="S",IF($Z89="OU",ROUND($X89,2),0),SomaAgrup)</f>
        <v>0</v>
      </c>
      <c r="AC89" s="565" t="str" cm="1">
        <f t="array" aca="1" ref="AC89" ca="1">IF($N89=""," ",
IF(AND($C89&lt;&gt;"S",OR($R89="",$R89="(digite a descrição aqui)")),"DESCRIÇÃO",
IF(AND($C89="S",OR($Q89&lt;&gt;"",$T89&gt;0,$U89&gt;0),$P89=""),"FONTE",
IF(AND($C89="S",$P89&lt;&gt;"",OR($T89&gt;0,$U89&gt;0),$Q89=""),"CÓDIGO",
IF(AND($C89="S",$P89&lt;&gt;"",$Q89&lt;&gt;"",$R89="(Código não identificado nas referências)"),"CÓDIGO N/ID",
IF(AND($C89="S",OR($R89="",$R89="(digite a descrição aqui)"),OR($Q89&lt;&gt;"",$T89&gt;0,$U89&gt;0)),"DESCRIÇÃO",
IF(AND($C89="S",$P89&lt;&gt;"",$Q89&lt;&gt;"",$S89=""),"UNIDADE",
IF(AND($C89="S",$P89&lt;&gt;"",$Q89&lt;&gt;"",$U89=0),"SEM CUSTO",
IF(AND(TIPOORCAMENTO="Licitado",$AL89=0,$AN89&gt;0),"SEM PREÇO",
IF(AND($C89="S",$P89&lt;&gt;"",$Q89&lt;&gt;"",$U89&gt;0,AND($V89&lt;&gt;"BDI 1",$V89&lt;&gt;"BDI 2",$V89&lt;&gt;"BDI 3")),IF(ISNUMBER($V89),"JUSTIFICAR BDI","BDI"),
IF(OR(AND(import.recurso="OGU",TIPOORCAMENTO="Proposto",LEFT($O$8,5)&lt;&gt;"(N/D:",$AG89&lt;&gt;"",ORÇAMENTO.CustoUnitario&gt;$AG89),AND(TIPOORCAMENTO="LICITADO",ORÇAMENTO.PrecoUnitarioLicitado&gt;$AN89)),"ACIMA REF.",
IF(AND($C89="S",$P89&lt;&gt;"",$Q89&lt;&gt;"",$T89=0,$U89&gt;0),"QUANT.",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CÓDIGO N/ID</v>
      </c>
      <c r="AD89" t="str">
        <f ca="1">IF(C89&lt;=CRONO.NivelExibicao,MAX($AD$15:OFFSET(AD89,-1,0))+IF($C89&lt;&gt;1,1,MAX(1,COUNTIF(QCI!$A$13:$A$24,OFFSET($E89,-1,0)))),"")</f>
        <v/>
      </c>
      <c r="AE89" s="7" t="str" cm="1">
        <f t="array" aca="1" ref="AE89" ca="1">IF(AND($C89="S",ORÇAMENTO.CodBarra&lt;&gt;""),IF(ORÇAMENTO.Fonte="",ORÇAMENTO.CodBarra,CONCATENATE(ORÇAMENTO.Fonte," ",ORÇAMENTO.CodBarra)))</f>
        <v>SINAPI 104958</v>
      </c>
      <c r="AF89" s="12" t="str" cm="1">
        <f t="array" aca="1" ref="AF89" ca="1">IF(ISERROR(ORÇAMENTO.BancoRef),"(abra o arquivo 'Referência "&amp;Excel_BuiltIn_Database&amp;".xlsm)",IF(OR($C89&lt;&gt;"S",ORÇAMENTO.CodBarra=""),"(Sem Código)",IF(ISERROR(MATCH($AE89,INDIRECT(ORÇAMENTO.BancoRef),0)),"(Código não identificado nas referências)",MATCH($AE89,INDIRECT(ORÇAMENTO.BancoRef),0))))</f>
        <v>(Código não identificado nas referências)</v>
      </c>
      <c r="AG89" s="428" cm="1">
        <f t="array" aca="1" ref="AG89" ca="1">ROUND(IF(DESONERACAO="sim",REFERENCIA.Desonerado,REFERENCIA.NaoDesonerado),2)</f>
        <v>0</v>
      </c>
      <c r="AH89" s="429">
        <f t="shared" ca="1" si="31"/>
        <v>0.2223</v>
      </c>
      <c r="AJ89" s="431"/>
      <c r="AL89" s="439"/>
      <c r="AM89" s="336">
        <f t="shared" ca="1" si="0"/>
        <v>0</v>
      </c>
      <c r="AN89" s="470" cm="1">
        <f t="array" aca="1" ref="AN89" ca="1">ROUND(ORÇAMENTO.CustoUnitario*(1+$AH89),2)</f>
        <v>0</v>
      </c>
    </row>
    <row r="90" spans="1:40" ht="38.25" x14ac:dyDescent="0.2">
      <c r="A90" t="str">
        <f t="shared" si="18"/>
        <v>S</v>
      </c>
      <c r="B90">
        <f t="shared" ca="1" si="19"/>
        <v>2</v>
      </c>
      <c r="C90" t="str">
        <f t="shared" ca="1" si="20"/>
        <v>S</v>
      </c>
      <c r="D90">
        <f t="shared" ca="1" si="21"/>
        <v>0</v>
      </c>
      <c r="E90">
        <f ca="1">IF($C90=1,OFFSET(E90,-1,0)+MAX(1,COUNTIF(QCI!$A$13:$A$24,OFFSET(ORÇAMENTO!E90,-1,0))),OFFSET(E90,-1,0))</f>
        <v>7</v>
      </c>
      <c r="F90">
        <f t="shared" ca="1" si="22"/>
        <v>1</v>
      </c>
      <c r="G90">
        <f t="shared" ca="1" si="23"/>
        <v>0</v>
      </c>
      <c r="H90">
        <f t="shared" ca="1" si="24"/>
        <v>0</v>
      </c>
      <c r="I90">
        <f t="shared" ca="1" si="25"/>
        <v>0</v>
      </c>
      <c r="J90">
        <f t="shared" ca="1" si="17"/>
        <v>0</v>
      </c>
      <c r="K90">
        <f ca="1">IF(OR($C90="S",$C90=0),0,MATCH(OFFSET($D90,0,$C90)+IF($C90&lt;&gt;1,1,COUNTIF(QCI!$A$13:$A$24,ORÇAMENTO!E90)),OFFSET($D90,1,$C90,ROW($C$244)-ROW($C90)),0))</f>
        <v>0</v>
      </c>
      <c r="L90" s="114" t="str">
        <f t="shared" ca="1" si="26"/>
        <v/>
      </c>
      <c r="M90" s="115" t="s">
        <v>705</v>
      </c>
      <c r="N90" s="116" t="str">
        <f t="shared" ca="1" si="27"/>
        <v>Serviço</v>
      </c>
      <c r="O90" s="117" t="str">
        <f t="shared" ca="1" si="28"/>
        <v>-</v>
      </c>
      <c r="P90" s="118" t="s">
        <v>750</v>
      </c>
      <c r="Q90" s="119" t="s">
        <v>1055</v>
      </c>
      <c r="R90" s="120" t="str" cm="1">
        <f t="array" aca="1" ref="R90" ca="1">IF($C90="S",REFERENCIA.Descricao,"(digite a descrição aqui)")</f>
        <v>(Código não identificado nas referências)</v>
      </c>
      <c r="S90" s="121" t="str" cm="1">
        <f t="array" aca="1" ref="S90" ca="1">REFERENCIA.Unidade</f>
        <v>-</v>
      </c>
      <c r="T90" s="122">
        <f ca="1">OFFSET(CÁLCULO!H$15,ROW($T90)-ROW(T$15),0)</f>
        <v>88.799999999999983</v>
      </c>
      <c r="U90" s="123">
        <f t="shared" ca="1" si="29"/>
        <v>0</v>
      </c>
      <c r="V90" s="124" t="s">
        <v>663</v>
      </c>
      <c r="W90" s="122" cm="1">
        <f t="array" aca="1" ref="W90" ca="1">IF($C90="S",ROUND(IF(TIPOORCAMENTO="Proposto",ORÇAMENTO.CustoUnitario*(1+$AH90),ORÇAMENTO.PrecoUnitarioLicitado),15-13*$AF$10),0)</f>
        <v>0</v>
      </c>
      <c r="X90" s="125" cm="1">
        <f t="array" aca="1" ref="X90" ca="1">IF($C90="S",IF(OR(Import.TipoArredondamento&lt;&gt;"TransfereGOV",ACOMPANHAMENTO="BM"),VTOTAL1,SUM(OFFSET(CÁLCULO!$AQ$15,ROW($X90)-ROW($X$15),1):OFFSET(CÁLCULO!$BR$15,ROW($X90)-ROW($X$15),-1))),IF($C90=0,0,ROUND(SomaAgrup,15-13*$AF$11)))</f>
        <v>0</v>
      </c>
      <c r="Y90" s="126" t="s">
        <v>751</v>
      </c>
      <c r="Z90" t="str">
        <f t="shared" ca="1" si="30"/>
        <v/>
      </c>
      <c r="AA90" s="127" cm="1">
        <f t="array" aca="1" ref="AA90" ca="1">IF($C90="S",IF($Z90="CP",$X90,IF($Z90="RA",(($X90)*QCI!$AA$3),0)),SomaAgrup)</f>
        <v>0</v>
      </c>
      <c r="AB90" s="128" cm="1">
        <f t="array" aca="1" ref="AB90" ca="1">IF($C90="S",IF($Z90="OU",ROUND($X90,2),0),SomaAgrup)</f>
        <v>0</v>
      </c>
      <c r="AC90" s="565" t="str" cm="1">
        <f t="array" aca="1" ref="AC90" ca="1">IF($N90=""," ",
IF(AND($C90&lt;&gt;"S",OR($R90="",$R90="(digite a descrição aqui)")),"DESCRIÇÃO",
IF(AND($C90="S",OR($Q90&lt;&gt;"",$T90&gt;0,$U90&gt;0),$P90=""),"FONTE",
IF(AND($C90="S",$P90&lt;&gt;"",OR($T90&gt;0,$U90&gt;0),$Q90=""),"CÓDIGO",
IF(AND($C90="S",$P90&lt;&gt;"",$Q90&lt;&gt;"",$R90="(Código não identificado nas referências)"),"CÓDIGO N/ID",
IF(AND($C90="S",OR($R90="",$R90="(digite a descrição aqui)"),OR($Q90&lt;&gt;"",$T90&gt;0,$U90&gt;0)),"DESCRIÇÃO",
IF(AND($C90="S",$P90&lt;&gt;"",$Q90&lt;&gt;"",$S90=""),"UNIDADE",
IF(AND($C90="S",$P90&lt;&gt;"",$Q90&lt;&gt;"",$U90=0),"SEM CUSTO",
IF(AND(TIPOORCAMENTO="Licitado",$AL90=0,$AN90&gt;0),"SEM PREÇO",
IF(AND($C90="S",$P90&lt;&gt;"",$Q90&lt;&gt;"",$U90&gt;0,AND($V90&lt;&gt;"BDI 1",$V90&lt;&gt;"BDI 2",$V90&lt;&gt;"BDI 3")),IF(ISNUMBER($V90),"JUSTIFICAR BDI","BDI"),
IF(OR(AND(import.recurso="OGU",TIPOORCAMENTO="Proposto",LEFT($O$8,5)&lt;&gt;"(N/D:",$AG90&lt;&gt;"",ORÇAMENTO.CustoUnitario&gt;$AG90),AND(TIPOORCAMENTO="LICITADO",ORÇAMENTO.PrecoUnitarioLicitado&gt;$AN90)),"ACIMA REF.",
IF(AND($C90="S",$P90&lt;&gt;"",$Q90&lt;&gt;"",$T90=0,$U90&gt;0),"QUANT.",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CÓDIGO N/ID</v>
      </c>
      <c r="AD90" t="str">
        <f ca="1">IF(C90&lt;=CRONO.NivelExibicao,MAX($AD$15:OFFSET(AD90,-1,0))+IF($C90&lt;&gt;1,1,MAX(1,COUNTIF(QCI!$A$13:$A$24,OFFSET($E90,-1,0)))),"")</f>
        <v/>
      </c>
      <c r="AE90" s="7" t="str" cm="1">
        <f t="array" aca="1" ref="AE90" ca="1">IF(AND($C90="S",ORÇAMENTO.CodBarra&lt;&gt;""),IF(ORÇAMENTO.Fonte="",ORÇAMENTO.CodBarra,CONCATENATE(ORÇAMENTO.Fonte," ",ORÇAMENTO.CodBarra)))</f>
        <v>SINAPI 90408</v>
      </c>
      <c r="AF90" s="12" t="str" cm="1">
        <f t="array" aca="1" ref="AF90" ca="1">IF(ISERROR(ORÇAMENTO.BancoRef),"(abra o arquivo 'Referência "&amp;Excel_BuiltIn_Database&amp;".xlsm)",IF(OR($C90&lt;&gt;"S",ORÇAMENTO.CodBarra=""),"(Sem Código)",IF(ISERROR(MATCH($AE90,INDIRECT(ORÇAMENTO.BancoRef),0)),"(Código não identificado nas referências)",MATCH($AE90,INDIRECT(ORÇAMENTO.BancoRef),0))))</f>
        <v>(Código não identificado nas referências)</v>
      </c>
      <c r="AG90" s="428" cm="1">
        <f t="array" aca="1" ref="AG90" ca="1">ROUND(IF(DESONERACAO="sim",REFERENCIA.Desonerado,REFERENCIA.NaoDesonerado),2)</f>
        <v>0</v>
      </c>
      <c r="AH90" s="429">
        <f t="shared" ca="1" si="31"/>
        <v>0.2223</v>
      </c>
      <c r="AJ90" s="431"/>
      <c r="AL90" s="439"/>
      <c r="AM90" s="336">
        <f t="shared" ca="1" si="0"/>
        <v>0</v>
      </c>
      <c r="AN90" s="470" cm="1">
        <f t="array" aca="1" ref="AN90" ca="1">ROUND(ORÇAMENTO.CustoUnitario*(1+$AH90),2)</f>
        <v>0</v>
      </c>
    </row>
    <row r="91" spans="1:40" x14ac:dyDescent="0.2">
      <c r="A91">
        <f t="shared" si="18"/>
        <v>2</v>
      </c>
      <c r="B91">
        <f t="shared" ca="1" si="19"/>
        <v>2</v>
      </c>
      <c r="C91">
        <f t="shared" ca="1" si="20"/>
        <v>2</v>
      </c>
      <c r="D91">
        <f t="shared" ca="1" si="21"/>
        <v>3</v>
      </c>
      <c r="E91">
        <f ca="1">IF($C91=1,OFFSET(E91,-1,0)+MAX(1,COUNTIF(QCI!$A$13:$A$24,OFFSET(ORÇAMENTO!E91,-1,0))),OFFSET(E91,-1,0))</f>
        <v>7</v>
      </c>
      <c r="F91">
        <f t="shared" ca="1" si="22"/>
        <v>2</v>
      </c>
      <c r="G91">
        <f t="shared" ca="1" si="23"/>
        <v>0</v>
      </c>
      <c r="H91">
        <f t="shared" ca="1" si="24"/>
        <v>0</v>
      </c>
      <c r="I91">
        <f t="shared" ca="1" si="25"/>
        <v>0</v>
      </c>
      <c r="J91">
        <f t="shared" ca="1" si="17"/>
        <v>23</v>
      </c>
      <c r="K91">
        <f ca="1">IF(OR($C91="S",$C91=0),0,MATCH(OFFSET($D91,0,$C91)+IF($C91&lt;&gt;1,1,COUNTIF(QCI!$A$13:$A$24,ORÇAMENTO!E91)),OFFSET($D91,1,$C91,ROW($C$244)-ROW($C91)),0))</f>
        <v>3</v>
      </c>
      <c r="L91" s="114" t="str">
        <f t="shared" ca="1" si="26"/>
        <v>F</v>
      </c>
      <c r="M91" s="115" t="s">
        <v>702</v>
      </c>
      <c r="N91" s="116" t="str">
        <f t="shared" ca="1" si="27"/>
        <v>Nível 2</v>
      </c>
      <c r="O91" s="117" t="str">
        <f t="shared" ca="1" si="28"/>
        <v>7.2.</v>
      </c>
      <c r="P91" s="118" t="s">
        <v>250</v>
      </c>
      <c r="Q91" s="119" t="s">
        <v>250</v>
      </c>
      <c r="R91" s="120" t="s">
        <v>1188</v>
      </c>
      <c r="S91" s="121"/>
      <c r="T91" s="122">
        <f ca="1">OFFSET(CÁLCULO!H$15,ROW($T91)-ROW(T$15),0)</f>
        <v>0</v>
      </c>
      <c r="U91" s="123">
        <f t="shared" ca="1" si="29"/>
        <v>0</v>
      </c>
      <c r="V91" s="124" t="s">
        <v>663</v>
      </c>
      <c r="W91" s="122" cm="1">
        <f t="array" aca="1" ref="W91" ca="1">IF($C91="S",ROUND(IF(TIPOORCAMENTO="Proposto",ORÇAMENTO.CustoUnitario*(1+$AH91),ORÇAMENTO.PrecoUnitarioLicitado),15-13*$AF$10),0)</f>
        <v>0</v>
      </c>
      <c r="X91" s="125" cm="1">
        <f t="array" aca="1" ref="X91" ca="1">IF($C91="S",IF(OR(Import.TipoArredondamento&lt;&gt;"TransfereGOV",ACOMPANHAMENTO="BM"),VTOTAL1,SUM(OFFSET(CÁLCULO!$AQ$15,ROW($X91)-ROW($X$15),1):OFFSET(CÁLCULO!$BR$15,ROW($X91)-ROW($X$15),-1))),IF($C91=0,0,ROUND(SomaAgrup,15-13*$AF$11)))</f>
        <v>0</v>
      </c>
      <c r="Y91" s="126" t="s">
        <v>751</v>
      </c>
      <c r="Z91" t="str">
        <f t="shared" ca="1" si="30"/>
        <v/>
      </c>
      <c r="AA91" s="127" cm="1">
        <f t="array" aca="1" ref="AA91" ca="1">IF($C91="S",IF($Z91="CP",$X91,IF($Z91="RA",(($X91)*QCI!$AA$3),0)),SomaAgrup)</f>
        <v>0</v>
      </c>
      <c r="AB91" s="128" cm="1">
        <f t="array" aca="1" ref="AB91" ca="1">IF($C91="S",IF($Z91="OU",ROUND($X91,2),0),SomaAgrup)</f>
        <v>0</v>
      </c>
      <c r="AC91" s="565" t="str" cm="1">
        <f t="array" aca="1" ref="AC91" ca="1">IF($N91=""," ",
IF(AND($C91&lt;&gt;"S",OR($R91="",$R91="(digite a descrição aqui)")),"DESCRIÇÃO",
IF(AND($C91="S",OR($Q91&lt;&gt;"",$T91&gt;0,$U91&gt;0),$P91=""),"FONTE",
IF(AND($C91="S",$P91&lt;&gt;"",OR($T91&gt;0,$U91&gt;0),$Q91=""),"CÓDIGO",
IF(AND($C91="S",$P91&lt;&gt;"",$Q91&lt;&gt;"",$R91="(Código não identificado nas referências)"),"CÓDIGO N/ID",
IF(AND($C91="S",OR($R91="",$R91="(digite a descrição aqui)"),OR($Q91&lt;&gt;"",$T91&gt;0,$U91&gt;0)),"DESCRIÇÃO",
IF(AND($C91="S",$P91&lt;&gt;"",$Q91&lt;&gt;"",$S91=""),"UNIDADE",
IF(AND($C91="S",$P91&lt;&gt;"",$Q91&lt;&gt;"",$U91=0),"SEM CUSTO",
IF(AND(TIPOORCAMENTO="Licitado",$AL91=0,$AN91&gt;0),"SEM PREÇO",
IF(AND($C91="S",$P91&lt;&gt;"",$Q91&lt;&gt;"",$U91&gt;0,AND($V91&lt;&gt;"BDI 1",$V91&lt;&gt;"BDI 2",$V91&lt;&gt;"BDI 3")),IF(ISNUMBER($V91),"JUSTIFICAR BDI","BDI"),
IF(OR(AND(import.recurso="OGU",TIPOORCAMENTO="Proposto",LEFT($O$8,5)&lt;&gt;"(N/D:",$AG91&lt;&gt;"",ORÇAMENTO.CustoUnitario&gt;$AG91),AND(TIPOORCAMENTO="LICITADO",ORÇAMENTO.PrecoUnitarioLicitado&gt;$AN91)),"ACIMA REF.",
IF(AND($C91="S",$P91&lt;&gt;"",$Q91&lt;&gt;"",$T91=0,$U91&gt;0),"QUANT.",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 xml:space="preserve"> </v>
      </c>
      <c r="AD91">
        <f ca="1">IF(C91&lt;=CRONO.NivelExibicao,MAX($AD$15:OFFSET(AD91,-1,0))+IF($C91&lt;&gt;1,1,MAX(1,COUNTIF(QCI!$A$13:$A$24,OFFSET($E91,-1,0)))),"")</f>
        <v>20</v>
      </c>
      <c r="AE91" s="7" t="b" cm="1">
        <f t="array" aca="1" ref="AE91" ca="1">IF(AND($C91="S",ORÇAMENTO.CodBarra&lt;&gt;""),IF(ORÇAMENTO.Fonte="",ORÇAMENTO.CodBarra,CONCATENATE(ORÇAMENTO.Fonte," ",ORÇAMENTO.CodBarra)))</f>
        <v>0</v>
      </c>
      <c r="AF91" s="12" t="str" cm="1">
        <f t="array" aca="1" ref="AF91" ca="1">IF(ISERROR(ORÇAMENTO.BancoRef),"(abra o arquivo 'Referência "&amp;Excel_BuiltIn_Database&amp;".xlsm)",IF(OR($C91&lt;&gt;"S",ORÇAMENTO.CodBarra=""),"(Sem Código)",IF(ISERROR(MATCH($AE91,INDIRECT(ORÇAMENTO.BancoRef),0)),"(Código não identificado nas referências)",MATCH($AE91,INDIRECT(ORÇAMENTO.BancoRef),0))))</f>
        <v>(Sem Código)</v>
      </c>
      <c r="AG91" s="428" cm="1">
        <f t="array" aca="1" ref="AG91" ca="1">ROUND(IF(DESONERACAO="sim",REFERENCIA.Desonerado,REFERENCIA.NaoDesonerado),2)</f>
        <v>0</v>
      </c>
      <c r="AH91" s="429">
        <f t="shared" ca="1" si="31"/>
        <v>0.2223</v>
      </c>
      <c r="AJ91" s="431"/>
      <c r="AL91" s="439"/>
      <c r="AM91" s="336">
        <f t="shared" ca="1" si="0"/>
        <v>0</v>
      </c>
      <c r="AN91" s="470" cm="1">
        <f t="array" aca="1" ref="AN91" ca="1">ROUND(ORÇAMENTO.CustoUnitario*(1+$AH91),2)</f>
        <v>0</v>
      </c>
    </row>
    <row r="92" spans="1:40" ht="38.25" x14ac:dyDescent="0.2">
      <c r="A92" t="str">
        <f t="shared" si="18"/>
        <v>S</v>
      </c>
      <c r="B92">
        <f t="shared" ca="1" si="19"/>
        <v>2</v>
      </c>
      <c r="C92" t="str">
        <f t="shared" ca="1" si="20"/>
        <v>S</v>
      </c>
      <c r="D92">
        <f t="shared" ca="1" si="21"/>
        <v>0</v>
      </c>
      <c r="E92">
        <f ca="1">IF($C92=1,OFFSET(E92,-1,0)+MAX(1,COUNTIF(QCI!$A$13:$A$24,OFFSET(ORÇAMENTO!E92,-1,0))),OFFSET(E92,-1,0))</f>
        <v>7</v>
      </c>
      <c r="F92">
        <f t="shared" ca="1" si="22"/>
        <v>2</v>
      </c>
      <c r="G92">
        <f t="shared" ca="1" si="23"/>
        <v>0</v>
      </c>
      <c r="H92">
        <f t="shared" ca="1" si="24"/>
        <v>0</v>
      </c>
      <c r="I92">
        <f t="shared" ca="1" si="25"/>
        <v>0</v>
      </c>
      <c r="J92">
        <f t="shared" ca="1" si="17"/>
        <v>0</v>
      </c>
      <c r="K92">
        <f ca="1">IF(OR($C92="S",$C92=0),0,MATCH(OFFSET($D92,0,$C92)+IF($C92&lt;&gt;1,1,COUNTIF(QCI!$A$13:$A$24,ORÇAMENTO!E92)),OFFSET($D92,1,$C92,ROW($C$244)-ROW($C92)),0))</f>
        <v>0</v>
      </c>
      <c r="L92" s="114" t="str">
        <f t="shared" ca="1" si="26"/>
        <v/>
      </c>
      <c r="M92" s="115" t="s">
        <v>705</v>
      </c>
      <c r="N92" s="116" t="str">
        <f t="shared" ca="1" si="27"/>
        <v>Serviço</v>
      </c>
      <c r="O92" s="117" t="str">
        <f t="shared" ca="1" si="28"/>
        <v>-</v>
      </c>
      <c r="P92" s="118" t="s">
        <v>750</v>
      </c>
      <c r="Q92" s="119" t="s">
        <v>1056</v>
      </c>
      <c r="R92" s="120" t="str" cm="1">
        <f t="array" aca="1" ref="R92" ca="1">IF($C92="S",REFERENCIA.Descricao,"(digite a descrição aqui)")</f>
        <v>(Código não identificado nas referências)</v>
      </c>
      <c r="S92" s="121" t="str" cm="1">
        <f t="array" aca="1" ref="S92" ca="1">REFERENCIA.Unidade</f>
        <v>-</v>
      </c>
      <c r="T92" s="122">
        <f ca="1">OFFSET(CÁLCULO!H$15,ROW($T92)-ROW(T$15),0)</f>
        <v>392.99999999999989</v>
      </c>
      <c r="U92" s="123">
        <f t="shared" ca="1" si="29"/>
        <v>0</v>
      </c>
      <c r="V92" s="124" t="s">
        <v>663</v>
      </c>
      <c r="W92" s="122" cm="1">
        <f t="array" aca="1" ref="W92" ca="1">IF($C92="S",ROUND(IF(TIPOORCAMENTO="Proposto",ORÇAMENTO.CustoUnitario*(1+$AH92),ORÇAMENTO.PrecoUnitarioLicitado),15-13*$AF$10),0)</f>
        <v>0</v>
      </c>
      <c r="X92" s="125" cm="1">
        <f t="array" aca="1" ref="X92" ca="1">IF($C92="S",IF(OR(Import.TipoArredondamento&lt;&gt;"TransfereGOV",ACOMPANHAMENTO="BM"),VTOTAL1,SUM(OFFSET(CÁLCULO!$AQ$15,ROW($X92)-ROW($X$15),1):OFFSET(CÁLCULO!$BR$15,ROW($X92)-ROW($X$15),-1))),IF($C92=0,0,ROUND(SomaAgrup,15-13*$AF$11)))</f>
        <v>0</v>
      </c>
      <c r="Y92" s="126" t="s">
        <v>751</v>
      </c>
      <c r="Z92" t="str">
        <f t="shared" ca="1" si="30"/>
        <v/>
      </c>
      <c r="AA92" s="127" cm="1">
        <f t="array" aca="1" ref="AA92" ca="1">IF($C92="S",IF($Z92="CP",$X92,IF($Z92="RA",(($X92)*QCI!$AA$3),0)),SomaAgrup)</f>
        <v>0</v>
      </c>
      <c r="AB92" s="128" cm="1">
        <f t="array" aca="1" ref="AB92" ca="1">IF($C92="S",IF($Z92="OU",ROUND($X92,2),0),SomaAgrup)</f>
        <v>0</v>
      </c>
      <c r="AC92" s="565" t="str" cm="1">
        <f t="array" aca="1" ref="AC92" ca="1">IF($N92=""," ",
IF(AND($C92&lt;&gt;"S",OR($R92="",$R92="(digite a descrição aqui)")),"DESCRIÇÃO",
IF(AND($C92="S",OR($Q92&lt;&gt;"",$T92&gt;0,$U92&gt;0),$P92=""),"FONTE",
IF(AND($C92="S",$P92&lt;&gt;"",OR($T92&gt;0,$U92&gt;0),$Q92=""),"CÓDIGO",
IF(AND($C92="S",$P92&lt;&gt;"",$Q92&lt;&gt;"",$R92="(Código não identificado nas referências)"),"CÓDIGO N/ID",
IF(AND($C92="S",OR($R92="",$R92="(digite a descrição aqui)"),OR($Q92&lt;&gt;"",$T92&gt;0,$U92&gt;0)),"DESCRIÇÃO",
IF(AND($C92="S",$P92&lt;&gt;"",$Q92&lt;&gt;"",$S92=""),"UNIDADE",
IF(AND($C92="S",$P92&lt;&gt;"",$Q92&lt;&gt;"",$U92=0),"SEM CUSTO",
IF(AND(TIPOORCAMENTO="Licitado",$AL92=0,$AN92&gt;0),"SEM PREÇO",
IF(AND($C92="S",$P92&lt;&gt;"",$Q92&lt;&gt;"",$U92&gt;0,AND($V92&lt;&gt;"BDI 1",$V92&lt;&gt;"BDI 2",$V92&lt;&gt;"BDI 3")),IF(ISNUMBER($V92),"JUSTIFICAR BDI","BDI"),
IF(OR(AND(import.recurso="OGU",TIPOORCAMENTO="Proposto",LEFT($O$8,5)&lt;&gt;"(N/D:",$AG92&lt;&gt;"",ORÇAMENTO.CustoUnitario&gt;$AG92),AND(TIPOORCAMENTO="LICITADO",ORÇAMENTO.PrecoUnitarioLicitado&gt;$AN92)),"ACIMA REF.",
IF(AND($C92="S",$P92&lt;&gt;"",$Q92&lt;&gt;"",$T92=0,$U92&gt;0),"QUANT.",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CÓDIGO N/ID</v>
      </c>
      <c r="AD92" t="str">
        <f ca="1">IF(C92&lt;=CRONO.NivelExibicao,MAX($AD$15:OFFSET(AD92,-1,0))+IF($C92&lt;&gt;1,1,MAX(1,COUNTIF(QCI!$A$13:$A$24,OFFSET($E92,-1,0)))),"")</f>
        <v/>
      </c>
      <c r="AE92" s="7" t="str" cm="1">
        <f t="array" aca="1" ref="AE92" ca="1">IF(AND($C92="S",ORÇAMENTO.CodBarra&lt;&gt;""),IF(ORÇAMENTO.Fonte="",ORÇAMENTO.CodBarra,CONCATENATE(ORÇAMENTO.Fonte," ",ORÇAMENTO.CodBarra)))</f>
        <v>SINAPI 87267</v>
      </c>
      <c r="AF92" s="12" t="str" cm="1">
        <f t="array" aca="1" ref="AF92" ca="1">IF(ISERROR(ORÇAMENTO.BancoRef),"(abra o arquivo 'Referência "&amp;Excel_BuiltIn_Database&amp;".xlsm)",IF(OR($C92&lt;&gt;"S",ORÇAMENTO.CodBarra=""),"(Sem Código)",IF(ISERROR(MATCH($AE92,INDIRECT(ORÇAMENTO.BancoRef),0)),"(Código não identificado nas referências)",MATCH($AE92,INDIRECT(ORÇAMENTO.BancoRef),0))))</f>
        <v>(Código não identificado nas referências)</v>
      </c>
      <c r="AG92" s="428" cm="1">
        <f t="array" aca="1" ref="AG92" ca="1">ROUND(IF(DESONERACAO="sim",REFERENCIA.Desonerado,REFERENCIA.NaoDesonerado),2)</f>
        <v>0</v>
      </c>
      <c r="AH92" s="429">
        <f t="shared" ca="1" si="31"/>
        <v>0.2223</v>
      </c>
      <c r="AJ92" s="431"/>
      <c r="AL92" s="439"/>
      <c r="AM92" s="336">
        <f t="shared" ca="1" si="0"/>
        <v>0</v>
      </c>
      <c r="AN92" s="470" cm="1">
        <f t="array" aca="1" ref="AN92" ca="1">ROUND(ORÇAMENTO.CustoUnitario*(1+$AH92),2)</f>
        <v>0</v>
      </c>
    </row>
    <row r="93" spans="1:40" ht="38.25" x14ac:dyDescent="0.2">
      <c r="A93" t="str">
        <f t="shared" si="18"/>
        <v>S</v>
      </c>
      <c r="B93">
        <f t="shared" ca="1" si="19"/>
        <v>2</v>
      </c>
      <c r="C93" t="str">
        <f t="shared" ca="1" si="20"/>
        <v>S</v>
      </c>
      <c r="D93">
        <f t="shared" ca="1" si="21"/>
        <v>0</v>
      </c>
      <c r="E93">
        <f ca="1">IF($C93=1,OFFSET(E93,-1,0)+MAX(1,COUNTIF(QCI!$A$13:$A$24,OFFSET(ORÇAMENTO!E93,-1,0))),OFFSET(E93,-1,0))</f>
        <v>7</v>
      </c>
      <c r="F93">
        <f t="shared" ca="1" si="22"/>
        <v>2</v>
      </c>
      <c r="G93">
        <f t="shared" ca="1" si="23"/>
        <v>0</v>
      </c>
      <c r="H93">
        <f t="shared" ca="1" si="24"/>
        <v>0</v>
      </c>
      <c r="I93">
        <f t="shared" ca="1" si="25"/>
        <v>0</v>
      </c>
      <c r="J93">
        <f t="shared" ca="1" si="17"/>
        <v>0</v>
      </c>
      <c r="K93">
        <f ca="1">IF(OR($C93="S",$C93=0),0,MATCH(OFFSET($D93,0,$C93)+IF($C93&lt;&gt;1,1,COUNTIF(QCI!$A$13:$A$24,ORÇAMENTO!E93)),OFFSET($D93,1,$C93,ROW($C$244)-ROW($C93)),0))</f>
        <v>0</v>
      </c>
      <c r="L93" s="114" t="str">
        <f t="shared" ca="1" si="26"/>
        <v/>
      </c>
      <c r="M93" s="115" t="s">
        <v>705</v>
      </c>
      <c r="N93" s="116" t="str">
        <f t="shared" ca="1" si="27"/>
        <v>Serviço</v>
      </c>
      <c r="O93" s="117" t="str">
        <f t="shared" ca="1" si="28"/>
        <v>-</v>
      </c>
      <c r="P93" s="118" t="s">
        <v>750</v>
      </c>
      <c r="Q93" s="119" t="s">
        <v>1057</v>
      </c>
      <c r="R93" s="120" t="str" cm="1">
        <f t="array" aca="1" ref="R93" ca="1">IF($C93="S",REFERENCIA.Descricao,"(digite a descrição aqui)")</f>
        <v>(Código não identificado nas referências)</v>
      </c>
      <c r="S93" s="121" t="str" cm="1">
        <f t="array" aca="1" ref="S93" ca="1">REFERENCIA.Unidade</f>
        <v>-</v>
      </c>
      <c r="T93" s="122">
        <f ca="1">OFFSET(CÁLCULO!H$15,ROW($T93)-ROW(T$15),0)</f>
        <v>76.80000000000004</v>
      </c>
      <c r="U93" s="123">
        <f t="shared" ca="1" si="29"/>
        <v>0</v>
      </c>
      <c r="V93" s="124" t="s">
        <v>663</v>
      </c>
      <c r="W93" s="122" cm="1">
        <f t="array" aca="1" ref="W93" ca="1">IF($C93="S",ROUND(IF(TIPOORCAMENTO="Proposto",ORÇAMENTO.CustoUnitario*(1+$AH93),ORÇAMENTO.PrecoUnitarioLicitado),15-13*$AF$10),0)</f>
        <v>0</v>
      </c>
      <c r="X93" s="125" cm="1">
        <f t="array" aca="1" ref="X93" ca="1">IF($C93="S",IF(OR(Import.TipoArredondamento&lt;&gt;"TransfereGOV",ACOMPANHAMENTO="BM"),VTOTAL1,SUM(OFFSET(CÁLCULO!$AQ$15,ROW($X93)-ROW($X$15),1):OFFSET(CÁLCULO!$BR$15,ROW($X93)-ROW($X$15),-1))),IF($C93=0,0,ROUND(SomaAgrup,15-13*$AF$11)))</f>
        <v>0</v>
      </c>
      <c r="Y93" s="126" t="s">
        <v>751</v>
      </c>
      <c r="Z93" t="str">
        <f t="shared" ca="1" si="30"/>
        <v/>
      </c>
      <c r="AA93" s="127" cm="1">
        <f t="array" aca="1" ref="AA93" ca="1">IF($C93="S",IF($Z93="CP",$X93,IF($Z93="RA",(($X93)*QCI!$AA$3),0)),SomaAgrup)</f>
        <v>0</v>
      </c>
      <c r="AB93" s="128" cm="1">
        <f t="array" aca="1" ref="AB93" ca="1">IF($C93="S",IF($Z93="OU",ROUND($X93,2),0),SomaAgrup)</f>
        <v>0</v>
      </c>
      <c r="AC93" s="565" t="str" cm="1">
        <f t="array" aca="1" ref="AC93" ca="1">IF($N93=""," ",
IF(AND($C93&lt;&gt;"S",OR($R93="",$R93="(digite a descrição aqui)")),"DESCRIÇÃO",
IF(AND($C93="S",OR($Q93&lt;&gt;"",$T93&gt;0,$U93&gt;0),$P93=""),"FONTE",
IF(AND($C93="S",$P93&lt;&gt;"",OR($T93&gt;0,$U93&gt;0),$Q93=""),"CÓDIGO",
IF(AND($C93="S",$P93&lt;&gt;"",$Q93&lt;&gt;"",$R93="(Código não identificado nas referências)"),"CÓDIGO N/ID",
IF(AND($C93="S",OR($R93="",$R93="(digite a descrição aqui)"),OR($Q93&lt;&gt;"",$T93&gt;0,$U93&gt;0)),"DESCRIÇÃO",
IF(AND($C93="S",$P93&lt;&gt;"",$Q93&lt;&gt;"",$S93=""),"UNIDADE",
IF(AND($C93="S",$P93&lt;&gt;"",$Q93&lt;&gt;"",$U93=0),"SEM CUSTO",
IF(AND(TIPOORCAMENTO="Licitado",$AL93=0,$AN93&gt;0),"SEM PREÇO",
IF(AND($C93="S",$P93&lt;&gt;"",$Q93&lt;&gt;"",$U93&gt;0,AND($V93&lt;&gt;"BDI 1",$V93&lt;&gt;"BDI 2",$V93&lt;&gt;"BDI 3")),IF(ISNUMBER($V93),"JUSTIFICAR BDI","BDI"),
IF(OR(AND(import.recurso="OGU",TIPOORCAMENTO="Proposto",LEFT($O$8,5)&lt;&gt;"(N/D:",$AG93&lt;&gt;"",ORÇAMENTO.CustoUnitario&gt;$AG93),AND(TIPOORCAMENTO="LICITADO",ORÇAMENTO.PrecoUnitarioLicitado&gt;$AN93)),"ACIMA REF.",
IF(AND($C93="S",$P93&lt;&gt;"",$Q93&lt;&gt;"",$T93=0,$U93&gt;0),"QUANT.",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CÓDIGO N/ID</v>
      </c>
      <c r="AD93" t="str">
        <f ca="1">IF(C93&lt;=CRONO.NivelExibicao,MAX($AD$15:OFFSET(AD93,-1,0))+IF($C93&lt;&gt;1,1,MAX(1,COUNTIF(QCI!$A$13:$A$24,OFFSET($E93,-1,0)))),"")</f>
        <v/>
      </c>
      <c r="AE93" s="7" t="str" cm="1">
        <f t="array" aca="1" ref="AE93" ca="1">IF(AND($C93="S",ORÇAMENTO.CodBarra&lt;&gt;""),IF(ORÇAMENTO.Fonte="",ORÇAMENTO.CodBarra,CONCATENATE(ORÇAMENTO.Fonte," ",ORÇAMENTO.CodBarra)))</f>
        <v>SINAPI 87265</v>
      </c>
      <c r="AF93" s="12" t="str" cm="1">
        <f t="array" aca="1" ref="AF93" ca="1">IF(ISERROR(ORÇAMENTO.BancoRef),"(abra o arquivo 'Referência "&amp;Excel_BuiltIn_Database&amp;".xlsm)",IF(OR($C93&lt;&gt;"S",ORÇAMENTO.CodBarra=""),"(Sem Código)",IF(ISERROR(MATCH($AE93,INDIRECT(ORÇAMENTO.BancoRef),0)),"(Código não identificado nas referências)",MATCH($AE93,INDIRECT(ORÇAMENTO.BancoRef),0))))</f>
        <v>(Código não identificado nas referências)</v>
      </c>
      <c r="AG93" s="428" cm="1">
        <f t="array" aca="1" ref="AG93" ca="1">ROUND(IF(DESONERACAO="sim",REFERENCIA.Desonerado,REFERENCIA.NaoDesonerado),2)</f>
        <v>0</v>
      </c>
      <c r="AH93" s="429">
        <f t="shared" ca="1" si="31"/>
        <v>0.2223</v>
      </c>
      <c r="AJ93" s="431"/>
      <c r="AL93" s="439"/>
      <c r="AM93" s="336">
        <f t="shared" ca="1" si="0"/>
        <v>0</v>
      </c>
      <c r="AN93" s="470" cm="1">
        <f t="array" aca="1" ref="AN93" ca="1">ROUND(ORÇAMENTO.CustoUnitario*(1+$AH93),2)</f>
        <v>0</v>
      </c>
    </row>
    <row r="94" spans="1:40" x14ac:dyDescent="0.2">
      <c r="A94">
        <f t="shared" si="18"/>
        <v>2</v>
      </c>
      <c r="B94">
        <f t="shared" ca="1" si="19"/>
        <v>2</v>
      </c>
      <c r="C94">
        <f t="shared" ca="1" si="20"/>
        <v>2</v>
      </c>
      <c r="D94">
        <f t="shared" ca="1" si="21"/>
        <v>5</v>
      </c>
      <c r="E94">
        <f ca="1">IF($C94=1,OFFSET(E94,-1,0)+MAX(1,COUNTIF(QCI!$A$13:$A$24,OFFSET(ORÇAMENTO!E94,-1,0))),OFFSET(E94,-1,0))</f>
        <v>7</v>
      </c>
      <c r="F94">
        <f t="shared" ca="1" si="22"/>
        <v>3</v>
      </c>
      <c r="G94">
        <f t="shared" ca="1" si="23"/>
        <v>0</v>
      </c>
      <c r="H94">
        <f t="shared" ca="1" si="24"/>
        <v>0</v>
      </c>
      <c r="I94">
        <f t="shared" ca="1" si="25"/>
        <v>0</v>
      </c>
      <c r="J94">
        <f t="shared" ca="1" si="17"/>
        <v>20</v>
      </c>
      <c r="K94">
        <f ca="1">IF(OR($C94="S",$C94=0),0,MATCH(OFFSET($D94,0,$C94)+IF($C94&lt;&gt;1,1,COUNTIF(QCI!$A$13:$A$24,ORÇAMENTO!E94)),OFFSET($D94,1,$C94,ROW($C$244)-ROW($C94)),0))</f>
        <v>5</v>
      </c>
      <c r="L94" s="114" t="str">
        <f t="shared" ca="1" si="26"/>
        <v>F</v>
      </c>
      <c r="M94" s="115" t="s">
        <v>702</v>
      </c>
      <c r="N94" s="116" t="str">
        <f t="shared" ca="1" si="27"/>
        <v>Nível 2</v>
      </c>
      <c r="O94" s="117" t="str">
        <f t="shared" ca="1" si="28"/>
        <v>7.3.</v>
      </c>
      <c r="P94" s="118" t="s">
        <v>250</v>
      </c>
      <c r="Q94" s="119" t="s">
        <v>250</v>
      </c>
      <c r="R94" s="120" t="s">
        <v>1189</v>
      </c>
      <c r="S94" s="121"/>
      <c r="T94" s="122">
        <f ca="1">OFFSET(CÁLCULO!H$15,ROW($T94)-ROW(T$15),0)</f>
        <v>0</v>
      </c>
      <c r="U94" s="123">
        <f t="shared" ca="1" si="29"/>
        <v>0</v>
      </c>
      <c r="V94" s="124" t="s">
        <v>663</v>
      </c>
      <c r="W94" s="122" cm="1">
        <f t="array" aca="1" ref="W94" ca="1">IF($C94="S",ROUND(IF(TIPOORCAMENTO="Proposto",ORÇAMENTO.CustoUnitario*(1+$AH94),ORÇAMENTO.PrecoUnitarioLicitado),15-13*$AF$10),0)</f>
        <v>0</v>
      </c>
      <c r="X94" s="125" cm="1">
        <f t="array" aca="1" ref="X94" ca="1">IF($C94="S",IF(OR(Import.TipoArredondamento&lt;&gt;"TransfereGOV",ACOMPANHAMENTO="BM"),VTOTAL1,SUM(OFFSET(CÁLCULO!$AQ$15,ROW($X94)-ROW($X$15),1):OFFSET(CÁLCULO!$BR$15,ROW($X94)-ROW($X$15),-1))),IF($C94=0,0,ROUND(SomaAgrup,15-13*$AF$11)))</f>
        <v>0</v>
      </c>
      <c r="Y94" s="126" t="s">
        <v>751</v>
      </c>
      <c r="Z94" t="str">
        <f t="shared" ca="1" si="30"/>
        <v/>
      </c>
      <c r="AA94" s="127" cm="1">
        <f t="array" aca="1" ref="AA94" ca="1">IF($C94="S",IF($Z94="CP",$X94,IF($Z94="RA",(($X94)*QCI!$AA$3),0)),SomaAgrup)</f>
        <v>0</v>
      </c>
      <c r="AB94" s="128" cm="1">
        <f t="array" aca="1" ref="AB94" ca="1">IF($C94="S",IF($Z94="OU",ROUND($X94,2),0),SomaAgrup)</f>
        <v>0</v>
      </c>
      <c r="AC94" s="565" t="str" cm="1">
        <f t="array" aca="1" ref="AC94" ca="1">IF($N94=""," ",
IF(AND($C94&lt;&gt;"S",OR($R94="",$R94="(digite a descrição aqui)")),"DESCRIÇÃO",
IF(AND($C94="S",OR($Q94&lt;&gt;"",$T94&gt;0,$U94&gt;0),$P94=""),"FONTE",
IF(AND($C94="S",$P94&lt;&gt;"",OR($T94&gt;0,$U94&gt;0),$Q94=""),"CÓDIGO",
IF(AND($C94="S",$P94&lt;&gt;"",$Q94&lt;&gt;"",$R94="(Código não identificado nas referências)"),"CÓDIGO N/ID",
IF(AND($C94="S",OR($R94="",$R94="(digite a descrição aqui)"),OR($Q94&lt;&gt;"",$T94&gt;0,$U94&gt;0)),"DESCRIÇÃO",
IF(AND($C94="S",$P94&lt;&gt;"",$Q94&lt;&gt;"",$S94=""),"UNIDADE",
IF(AND($C94="S",$P94&lt;&gt;"",$Q94&lt;&gt;"",$U94=0),"SEM CUSTO",
IF(AND(TIPOORCAMENTO="Licitado",$AL94=0,$AN94&gt;0),"SEM PREÇO",
IF(AND($C94="S",$P94&lt;&gt;"",$Q94&lt;&gt;"",$U94&gt;0,AND($V94&lt;&gt;"BDI 1",$V94&lt;&gt;"BDI 2",$V94&lt;&gt;"BDI 3")),IF(ISNUMBER($V94),"JUSTIFICAR BDI","BDI"),
IF(OR(AND(import.recurso="OGU",TIPOORCAMENTO="Proposto",LEFT($O$8,5)&lt;&gt;"(N/D:",$AG94&lt;&gt;"",ORÇAMENTO.CustoUnitario&gt;$AG94),AND(TIPOORCAMENTO="LICITADO",ORÇAMENTO.PrecoUnitarioLicitado&gt;$AN94)),"ACIMA REF.",
IF(AND($C94="S",$P94&lt;&gt;"",$Q94&lt;&gt;"",$T94=0,$U94&gt;0),"QUANT.",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 xml:space="preserve"> </v>
      </c>
      <c r="AD94">
        <f ca="1">IF(C94&lt;=CRONO.NivelExibicao,MAX($AD$15:OFFSET(AD94,-1,0))+IF($C94&lt;&gt;1,1,MAX(1,COUNTIF(QCI!$A$13:$A$24,OFFSET($E94,-1,0)))),"")</f>
        <v>21</v>
      </c>
      <c r="AE94" s="7" t="b" cm="1">
        <f t="array" aca="1" ref="AE94" ca="1">IF(AND($C94="S",ORÇAMENTO.CodBarra&lt;&gt;""),IF(ORÇAMENTO.Fonte="",ORÇAMENTO.CodBarra,CONCATENATE(ORÇAMENTO.Fonte," ",ORÇAMENTO.CodBarra)))</f>
        <v>0</v>
      </c>
      <c r="AF94" s="12" t="str" cm="1">
        <f t="array" aca="1" ref="AF94" ca="1">IF(ISERROR(ORÇAMENTO.BancoRef),"(abra o arquivo 'Referência "&amp;Excel_BuiltIn_Database&amp;".xlsm)",IF(OR($C94&lt;&gt;"S",ORÇAMENTO.CodBarra=""),"(Sem Código)",IF(ISERROR(MATCH($AE94,INDIRECT(ORÇAMENTO.BancoRef),0)),"(Código não identificado nas referências)",MATCH($AE94,INDIRECT(ORÇAMENTO.BancoRef),0))))</f>
        <v>(Sem Código)</v>
      </c>
      <c r="AG94" s="428" cm="1">
        <f t="array" aca="1" ref="AG94" ca="1">ROUND(IF(DESONERACAO="sim",REFERENCIA.Desonerado,REFERENCIA.NaoDesonerado),2)</f>
        <v>0</v>
      </c>
      <c r="AH94" s="429">
        <f t="shared" ca="1" si="31"/>
        <v>0.2223</v>
      </c>
      <c r="AJ94" s="431"/>
      <c r="AL94" s="439"/>
      <c r="AM94" s="336">
        <f t="shared" ca="1" si="0"/>
        <v>0</v>
      </c>
      <c r="AN94" s="470" cm="1">
        <f t="array" aca="1" ref="AN94" ca="1">ROUND(ORÇAMENTO.CustoUnitario*(1+$AH94),2)</f>
        <v>0</v>
      </c>
    </row>
    <row r="95" spans="1:40" ht="51" x14ac:dyDescent="0.2">
      <c r="A95" t="str">
        <f t="shared" si="18"/>
        <v>S</v>
      </c>
      <c r="B95">
        <f t="shared" ca="1" si="19"/>
        <v>2</v>
      </c>
      <c r="C95" t="str">
        <f t="shared" ca="1" si="20"/>
        <v>S</v>
      </c>
      <c r="D95">
        <f t="shared" ca="1" si="21"/>
        <v>0</v>
      </c>
      <c r="E95">
        <f ca="1">IF($C95=1,OFFSET(E95,-1,0)+MAX(1,COUNTIF(QCI!$A$13:$A$24,OFFSET(ORÇAMENTO!E95,-1,0))),OFFSET(E95,-1,0))</f>
        <v>7</v>
      </c>
      <c r="F95">
        <f t="shared" ca="1" si="22"/>
        <v>3</v>
      </c>
      <c r="G95">
        <f t="shared" ca="1" si="23"/>
        <v>0</v>
      </c>
      <c r="H95">
        <f t="shared" ca="1" si="24"/>
        <v>0</v>
      </c>
      <c r="I95">
        <f t="shared" ca="1" si="25"/>
        <v>0</v>
      </c>
      <c r="J95">
        <f t="shared" ca="1" si="17"/>
        <v>0</v>
      </c>
      <c r="K95">
        <f ca="1">IF(OR($C95="S",$C95=0),0,MATCH(OFFSET($D95,0,$C95)+IF($C95&lt;&gt;1,1,COUNTIF(QCI!$A$13:$A$24,ORÇAMENTO!E95)),OFFSET($D95,1,$C95,ROW($C$244)-ROW($C95)),0))</f>
        <v>0</v>
      </c>
      <c r="L95" s="114" t="str">
        <f t="shared" ca="1" si="26"/>
        <v/>
      </c>
      <c r="M95" s="115" t="s">
        <v>705</v>
      </c>
      <c r="N95" s="116" t="str">
        <f t="shared" ca="1" si="27"/>
        <v>Serviço</v>
      </c>
      <c r="O95" s="117" t="str">
        <f t="shared" ca="1" si="28"/>
        <v>-</v>
      </c>
      <c r="P95" s="118" t="s">
        <v>750</v>
      </c>
      <c r="Q95" s="119" t="s">
        <v>1058</v>
      </c>
      <c r="R95" s="120" t="str" cm="1">
        <f t="array" aca="1" ref="R95" ca="1">IF($C95="S",REFERENCIA.Descricao,"(digite a descrição aqui)")</f>
        <v>(Código não identificado nas referências)</v>
      </c>
      <c r="S95" s="121" t="str" cm="1">
        <f t="array" aca="1" ref="S95" ca="1">REFERENCIA.Unidade</f>
        <v>-</v>
      </c>
      <c r="T95" s="122">
        <f ca="1">OFFSET(CÁLCULO!H$15,ROW($T95)-ROW(T$15),0)</f>
        <v>607.00000000000023</v>
      </c>
      <c r="U95" s="123">
        <f t="shared" ca="1" si="29"/>
        <v>0</v>
      </c>
      <c r="V95" s="124" t="s">
        <v>663</v>
      </c>
      <c r="W95" s="122" cm="1">
        <f t="array" aca="1" ref="W95" ca="1">IF($C95="S",ROUND(IF(TIPOORCAMENTO="Proposto",ORÇAMENTO.CustoUnitario*(1+$AH95),ORÇAMENTO.PrecoUnitarioLicitado),15-13*$AF$10),0)</f>
        <v>0</v>
      </c>
      <c r="X95" s="125" cm="1">
        <f t="array" aca="1" ref="X95" ca="1">IF($C95="S",IF(OR(Import.TipoArredondamento&lt;&gt;"TransfereGOV",ACOMPANHAMENTO="BM"),VTOTAL1,SUM(OFFSET(CÁLCULO!$AQ$15,ROW($X95)-ROW($X$15),1):OFFSET(CÁLCULO!$BR$15,ROW($X95)-ROW($X$15),-1))),IF($C95=0,0,ROUND(SomaAgrup,15-13*$AF$11)))</f>
        <v>0</v>
      </c>
      <c r="Y95" s="126" t="s">
        <v>751</v>
      </c>
      <c r="Z95" t="str">
        <f t="shared" ca="1" si="30"/>
        <v/>
      </c>
      <c r="AA95" s="127" cm="1">
        <f t="array" aca="1" ref="AA95" ca="1">IF($C95="S",IF($Z95="CP",$X95,IF($Z95="RA",(($X95)*QCI!$AA$3),0)),SomaAgrup)</f>
        <v>0</v>
      </c>
      <c r="AB95" s="128" cm="1">
        <f t="array" aca="1" ref="AB95" ca="1">IF($C95="S",IF($Z95="OU",ROUND($X95,2),0),SomaAgrup)</f>
        <v>0</v>
      </c>
      <c r="AC95" s="565" t="str" cm="1">
        <f t="array" aca="1" ref="AC95" ca="1">IF($N95=""," ",
IF(AND($C95&lt;&gt;"S",OR($R95="",$R95="(digite a descrição aqui)")),"DESCRIÇÃO",
IF(AND($C95="S",OR($Q95&lt;&gt;"",$T95&gt;0,$U95&gt;0),$P95=""),"FONTE",
IF(AND($C95="S",$P95&lt;&gt;"",OR($T95&gt;0,$U95&gt;0),$Q95=""),"CÓDIGO",
IF(AND($C95="S",$P95&lt;&gt;"",$Q95&lt;&gt;"",$R95="(Código não identificado nas referências)"),"CÓDIGO N/ID",
IF(AND($C95="S",OR($R95="",$R95="(digite a descrição aqui)"),OR($Q95&lt;&gt;"",$T95&gt;0,$U95&gt;0)),"DESCRIÇÃO",
IF(AND($C95="S",$P95&lt;&gt;"",$Q95&lt;&gt;"",$S95=""),"UNIDADE",
IF(AND($C95="S",$P95&lt;&gt;"",$Q95&lt;&gt;"",$U95=0),"SEM CUSTO",
IF(AND(TIPOORCAMENTO="Licitado",$AL95=0,$AN95&gt;0),"SEM PREÇO",
IF(AND($C95="S",$P95&lt;&gt;"",$Q95&lt;&gt;"",$U95&gt;0,AND($V95&lt;&gt;"BDI 1",$V95&lt;&gt;"BDI 2",$V95&lt;&gt;"BDI 3")),IF(ISNUMBER($V95),"JUSTIFICAR BDI","BDI"),
IF(OR(AND(import.recurso="OGU",TIPOORCAMENTO="Proposto",LEFT($O$8,5)&lt;&gt;"(N/D:",$AG95&lt;&gt;"",ORÇAMENTO.CustoUnitario&gt;$AG95),AND(TIPOORCAMENTO="LICITADO",ORÇAMENTO.PrecoUnitarioLicitado&gt;$AN95)),"ACIMA REF.",
IF(AND($C95="S",$P95&lt;&gt;"",$Q95&lt;&gt;"",$T95=0,$U95&gt;0),"QUANT.",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CÓDIGO N/ID</v>
      </c>
      <c r="AD95" t="str">
        <f ca="1">IF(C95&lt;=CRONO.NivelExibicao,MAX($AD$15:OFFSET(AD95,-1,0))+IF($C95&lt;&gt;1,1,MAX(1,COUNTIF(QCI!$A$13:$A$24,OFFSET($E95,-1,0)))),"")</f>
        <v/>
      </c>
      <c r="AE95" s="7" t="str" cm="1">
        <f t="array" aca="1" ref="AE95" ca="1">IF(AND($C95="S",ORÇAMENTO.CodBarra&lt;&gt;""),IF(ORÇAMENTO.Fonte="",ORÇAMENTO.CodBarra,CONCATENATE(ORÇAMENTO.Fonte," ",ORÇAMENTO.CodBarra)))</f>
        <v>SINAPI 87905</v>
      </c>
      <c r="AF95" s="12" t="str" cm="1">
        <f t="array" aca="1" ref="AF95" ca="1">IF(ISERROR(ORÇAMENTO.BancoRef),"(abra o arquivo 'Referência "&amp;Excel_BuiltIn_Database&amp;".xlsm)",IF(OR($C95&lt;&gt;"S",ORÇAMENTO.CodBarra=""),"(Sem Código)",IF(ISERROR(MATCH($AE95,INDIRECT(ORÇAMENTO.BancoRef),0)),"(Código não identificado nas referências)",MATCH($AE95,INDIRECT(ORÇAMENTO.BancoRef),0))))</f>
        <v>(Código não identificado nas referências)</v>
      </c>
      <c r="AG95" s="428" cm="1">
        <f t="array" aca="1" ref="AG95" ca="1">ROUND(IF(DESONERACAO="sim",REFERENCIA.Desonerado,REFERENCIA.NaoDesonerado),2)</f>
        <v>0</v>
      </c>
      <c r="AH95" s="429">
        <f t="shared" ca="1" si="31"/>
        <v>0.2223</v>
      </c>
      <c r="AJ95" s="431"/>
      <c r="AL95" s="439"/>
      <c r="AM95" s="336">
        <f t="shared" ca="1" si="0"/>
        <v>0</v>
      </c>
      <c r="AN95" s="470" cm="1">
        <f t="array" aca="1" ref="AN95" ca="1">ROUND(ORÇAMENTO.CustoUnitario*(1+$AH95),2)</f>
        <v>0</v>
      </c>
    </row>
    <row r="96" spans="1:40" ht="51" x14ac:dyDescent="0.2">
      <c r="A96" t="str">
        <f t="shared" si="18"/>
        <v>S</v>
      </c>
      <c r="B96">
        <f t="shared" ca="1" si="19"/>
        <v>2</v>
      </c>
      <c r="C96" t="str">
        <f t="shared" ca="1" si="20"/>
        <v>S</v>
      </c>
      <c r="D96">
        <f t="shared" ca="1" si="21"/>
        <v>0</v>
      </c>
      <c r="E96">
        <f ca="1">IF($C96=1,OFFSET(E96,-1,0)+MAX(1,COUNTIF(QCI!$A$13:$A$24,OFFSET(ORÇAMENTO!E96,-1,0))),OFFSET(E96,-1,0))</f>
        <v>7</v>
      </c>
      <c r="F96">
        <f t="shared" ca="1" si="22"/>
        <v>3</v>
      </c>
      <c r="G96">
        <f t="shared" ca="1" si="23"/>
        <v>0</v>
      </c>
      <c r="H96">
        <f t="shared" ca="1" si="24"/>
        <v>0</v>
      </c>
      <c r="I96">
        <f t="shared" ca="1" si="25"/>
        <v>0</v>
      </c>
      <c r="J96">
        <f t="shared" ca="1" si="17"/>
        <v>0</v>
      </c>
      <c r="K96">
        <f ca="1">IF(OR($C96="S",$C96=0),0,MATCH(OFFSET($D96,0,$C96)+IF($C96&lt;&gt;1,1,COUNTIF(QCI!$A$13:$A$24,ORÇAMENTO!E96)),OFFSET($D96,1,$C96,ROW($C$244)-ROW($C96)),0))</f>
        <v>0</v>
      </c>
      <c r="L96" s="114" t="str">
        <f t="shared" ca="1" si="26"/>
        <v/>
      </c>
      <c r="M96" s="115" t="s">
        <v>705</v>
      </c>
      <c r="N96" s="116" t="str">
        <f t="shared" ca="1" si="27"/>
        <v>Serviço</v>
      </c>
      <c r="O96" s="117" t="str">
        <f t="shared" ca="1" si="28"/>
        <v>-</v>
      </c>
      <c r="P96" s="118" t="s">
        <v>750</v>
      </c>
      <c r="Q96" s="119" t="s">
        <v>1059</v>
      </c>
      <c r="R96" s="120" t="str" cm="1">
        <f t="array" aca="1" ref="R96" ca="1">IF($C96="S",REFERENCIA.Descricao,"(digite a descrição aqui)")</f>
        <v>(Código não identificado nas referências)</v>
      </c>
      <c r="S96" s="121" t="str" cm="1">
        <f t="array" aca="1" ref="S96" ca="1">REFERENCIA.Unidade</f>
        <v>-</v>
      </c>
      <c r="T96" s="122">
        <f ca="1">OFFSET(CÁLCULO!H$15,ROW($T96)-ROW(T$15),0)</f>
        <v>609</v>
      </c>
      <c r="U96" s="123">
        <f t="shared" ca="1" si="29"/>
        <v>0</v>
      </c>
      <c r="V96" s="124" t="s">
        <v>663</v>
      </c>
      <c r="W96" s="122" cm="1">
        <f t="array" aca="1" ref="W96" ca="1">IF($C96="S",ROUND(IF(TIPOORCAMENTO="Proposto",ORÇAMENTO.CustoUnitario*(1+$AH96),ORÇAMENTO.PrecoUnitarioLicitado),15-13*$AF$10),0)</f>
        <v>0</v>
      </c>
      <c r="X96" s="125" cm="1">
        <f t="array" aca="1" ref="X96" ca="1">IF($C96="S",IF(OR(Import.TipoArredondamento&lt;&gt;"TransfereGOV",ACOMPANHAMENTO="BM"),VTOTAL1,SUM(OFFSET(CÁLCULO!$AQ$15,ROW($X96)-ROW($X$15),1):OFFSET(CÁLCULO!$BR$15,ROW($X96)-ROW($X$15),-1))),IF($C96=0,0,ROUND(SomaAgrup,15-13*$AF$11)))</f>
        <v>0</v>
      </c>
      <c r="Y96" s="126" t="s">
        <v>751</v>
      </c>
      <c r="Z96" t="str">
        <f t="shared" ca="1" si="30"/>
        <v/>
      </c>
      <c r="AA96" s="127" cm="1">
        <f t="array" aca="1" ref="AA96" ca="1">IF($C96="S",IF($Z96="CP",$X96,IF($Z96="RA",(($X96)*QCI!$AA$3),0)),SomaAgrup)</f>
        <v>0</v>
      </c>
      <c r="AB96" s="128" cm="1">
        <f t="array" aca="1" ref="AB96" ca="1">IF($C96="S",IF($Z96="OU",ROUND($X96,2),0),SomaAgrup)</f>
        <v>0</v>
      </c>
      <c r="AC96" s="565" t="str" cm="1">
        <f t="array" aca="1" ref="AC96" ca="1">IF($N96=""," ",
IF(AND($C96&lt;&gt;"S",OR($R96="",$R96="(digite a descrição aqui)")),"DESCRIÇÃO",
IF(AND($C96="S",OR($Q96&lt;&gt;"",$T96&gt;0,$U96&gt;0),$P96=""),"FONTE",
IF(AND($C96="S",$P96&lt;&gt;"",OR($T96&gt;0,$U96&gt;0),$Q96=""),"CÓDIGO",
IF(AND($C96="S",$P96&lt;&gt;"",$Q96&lt;&gt;"",$R96="(Código não identificado nas referências)"),"CÓDIGO N/ID",
IF(AND($C96="S",OR($R96="",$R96="(digite a descrição aqui)"),OR($Q96&lt;&gt;"",$T96&gt;0,$U96&gt;0)),"DESCRIÇÃO",
IF(AND($C96="S",$P96&lt;&gt;"",$Q96&lt;&gt;"",$S96=""),"UNIDADE",
IF(AND($C96="S",$P96&lt;&gt;"",$Q96&lt;&gt;"",$U96=0),"SEM CUSTO",
IF(AND(TIPOORCAMENTO="Licitado",$AL96=0,$AN96&gt;0),"SEM PREÇO",
IF(AND($C96="S",$P96&lt;&gt;"",$Q96&lt;&gt;"",$U96&gt;0,AND($V96&lt;&gt;"BDI 1",$V96&lt;&gt;"BDI 2",$V96&lt;&gt;"BDI 3")),IF(ISNUMBER($V96),"JUSTIFICAR BDI","BDI"),
IF(OR(AND(import.recurso="OGU",TIPOORCAMENTO="Proposto",LEFT($O$8,5)&lt;&gt;"(N/D:",$AG96&lt;&gt;"",ORÇAMENTO.CustoUnitario&gt;$AG96),AND(TIPOORCAMENTO="LICITADO",ORÇAMENTO.PrecoUnitarioLicitado&gt;$AN96)),"ACIMA REF.",
IF(AND($C96="S",$P96&lt;&gt;"",$Q96&lt;&gt;"",$T96=0,$U96&gt;0),"QUANT.",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CÓDIGO N/ID</v>
      </c>
      <c r="AD96" t="str">
        <f ca="1">IF(C96&lt;=CRONO.NivelExibicao,MAX($AD$15:OFFSET(AD96,-1,0))+IF($C96&lt;&gt;1,1,MAX(1,COUNTIF(QCI!$A$13:$A$24,OFFSET($E96,-1,0)))),"")</f>
        <v/>
      </c>
      <c r="AE96" s="7" t="str" cm="1">
        <f t="array" aca="1" ref="AE96" ca="1">IF(AND($C96="S",ORÇAMENTO.CodBarra&lt;&gt;""),IF(ORÇAMENTO.Fonte="",ORÇAMENTO.CodBarra,CONCATENATE(ORÇAMENTO.Fonte," ",ORÇAMENTO.CodBarra)))</f>
        <v>SINAPI 87894</v>
      </c>
      <c r="AF96" s="12" t="str" cm="1">
        <f t="array" aca="1" ref="AF96" ca="1">IF(ISERROR(ORÇAMENTO.BancoRef),"(abra o arquivo 'Referência "&amp;Excel_BuiltIn_Database&amp;".xlsm)",IF(OR($C96&lt;&gt;"S",ORÇAMENTO.CodBarra=""),"(Sem Código)",IF(ISERROR(MATCH($AE96,INDIRECT(ORÇAMENTO.BancoRef),0)),"(Código não identificado nas referências)",MATCH($AE96,INDIRECT(ORÇAMENTO.BancoRef),0))))</f>
        <v>(Código não identificado nas referências)</v>
      </c>
      <c r="AG96" s="428" cm="1">
        <f t="array" aca="1" ref="AG96" ca="1">ROUND(IF(DESONERACAO="sim",REFERENCIA.Desonerado,REFERENCIA.NaoDesonerado),2)</f>
        <v>0</v>
      </c>
      <c r="AH96" s="429">
        <f t="shared" ca="1" si="31"/>
        <v>0.2223</v>
      </c>
      <c r="AJ96" s="431"/>
      <c r="AL96" s="439"/>
      <c r="AM96" s="336">
        <f t="shared" ca="1" si="0"/>
        <v>0</v>
      </c>
      <c r="AN96" s="470" cm="1">
        <f t="array" aca="1" ref="AN96" ca="1">ROUND(ORÇAMENTO.CustoUnitario*(1+$AH96),2)</f>
        <v>0</v>
      </c>
    </row>
    <row r="97" spans="1:40" ht="51" x14ac:dyDescent="0.2">
      <c r="A97" t="str">
        <f t="shared" si="18"/>
        <v>S</v>
      </c>
      <c r="B97">
        <f t="shared" ca="1" si="19"/>
        <v>2</v>
      </c>
      <c r="C97" t="str">
        <f t="shared" ca="1" si="20"/>
        <v>S</v>
      </c>
      <c r="D97">
        <f t="shared" ca="1" si="21"/>
        <v>0</v>
      </c>
      <c r="E97">
        <f ca="1">IF($C97=1,OFFSET(E97,-1,0)+MAX(1,COUNTIF(QCI!$A$13:$A$24,OFFSET(ORÇAMENTO!E97,-1,0))),OFFSET(E97,-1,0))</f>
        <v>7</v>
      </c>
      <c r="F97">
        <f t="shared" ca="1" si="22"/>
        <v>3</v>
      </c>
      <c r="G97">
        <f t="shared" ca="1" si="23"/>
        <v>0</v>
      </c>
      <c r="H97">
        <f t="shared" ca="1" si="24"/>
        <v>0</v>
      </c>
      <c r="I97">
        <f t="shared" ca="1" si="25"/>
        <v>0</v>
      </c>
      <c r="J97">
        <f t="shared" ca="1" si="17"/>
        <v>0</v>
      </c>
      <c r="K97">
        <f ca="1">IF(OR($C97="S",$C97=0),0,MATCH(OFFSET($D97,0,$C97)+IF($C97&lt;&gt;1,1,COUNTIF(QCI!$A$13:$A$24,ORÇAMENTO!E97)),OFFSET($D97,1,$C97,ROW($C$244)-ROW($C97)),0))</f>
        <v>0</v>
      </c>
      <c r="L97" s="114" t="str">
        <f t="shared" ca="1" si="26"/>
        <v/>
      </c>
      <c r="M97" s="115" t="s">
        <v>705</v>
      </c>
      <c r="N97" s="116" t="str">
        <f t="shared" ca="1" si="27"/>
        <v>Serviço</v>
      </c>
      <c r="O97" s="117" t="str">
        <f t="shared" ca="1" si="28"/>
        <v>-</v>
      </c>
      <c r="P97" s="118" t="s">
        <v>750</v>
      </c>
      <c r="Q97" s="119" t="s">
        <v>1060</v>
      </c>
      <c r="R97" s="120" t="str" cm="1">
        <f t="array" aca="1" ref="R97" ca="1">IF($C97="S",REFERENCIA.Descricao,"(digite a descrição aqui)")</f>
        <v>(Código não identificado nas referências)</v>
      </c>
      <c r="S97" s="121" t="str" cm="1">
        <f t="array" aca="1" ref="S97" ca="1">REFERENCIA.Unidade</f>
        <v>-</v>
      </c>
      <c r="T97" s="122">
        <f ca="1">OFFSET(CÁLCULO!H$15,ROW($T97)-ROW(T$15),0)</f>
        <v>609</v>
      </c>
      <c r="U97" s="123">
        <f t="shared" ca="1" si="29"/>
        <v>0</v>
      </c>
      <c r="V97" s="124" t="s">
        <v>663</v>
      </c>
      <c r="W97" s="122" cm="1">
        <f t="array" aca="1" ref="W97" ca="1">IF($C97="S",ROUND(IF(TIPOORCAMENTO="Proposto",ORÇAMENTO.CustoUnitario*(1+$AH97),ORÇAMENTO.PrecoUnitarioLicitado),15-13*$AF$10),0)</f>
        <v>0</v>
      </c>
      <c r="X97" s="125" cm="1">
        <f t="array" aca="1" ref="X97" ca="1">IF($C97="S",IF(OR(Import.TipoArredondamento&lt;&gt;"TransfereGOV",ACOMPANHAMENTO="BM"),VTOTAL1,SUM(OFFSET(CÁLCULO!$AQ$15,ROW($X97)-ROW($X$15),1):OFFSET(CÁLCULO!$BR$15,ROW($X97)-ROW($X$15),-1))),IF($C97=0,0,ROUND(SomaAgrup,15-13*$AF$11)))</f>
        <v>0</v>
      </c>
      <c r="Y97" s="126" t="s">
        <v>751</v>
      </c>
      <c r="Z97" t="str">
        <f t="shared" ca="1" si="30"/>
        <v/>
      </c>
      <c r="AA97" s="127" cm="1">
        <f t="array" aca="1" ref="AA97" ca="1">IF($C97="S",IF($Z97="CP",$X97,IF($Z97="RA",(($X97)*QCI!$AA$3),0)),SomaAgrup)</f>
        <v>0</v>
      </c>
      <c r="AB97" s="128" cm="1">
        <f t="array" aca="1" ref="AB97" ca="1">IF($C97="S",IF($Z97="OU",ROUND($X97,2),0),SomaAgrup)</f>
        <v>0</v>
      </c>
      <c r="AC97" s="565" t="str" cm="1">
        <f t="array" aca="1" ref="AC97" ca="1">IF($N97=""," ",
IF(AND($C97&lt;&gt;"S",OR($R97="",$R97="(digite a descrição aqui)")),"DESCRIÇÃO",
IF(AND($C97="S",OR($Q97&lt;&gt;"",$T97&gt;0,$U97&gt;0),$P97=""),"FONTE",
IF(AND($C97="S",$P97&lt;&gt;"",OR($T97&gt;0,$U97&gt;0),$Q97=""),"CÓDIGO",
IF(AND($C97="S",$P97&lt;&gt;"",$Q97&lt;&gt;"",$R97="(Código não identificado nas referências)"),"CÓDIGO N/ID",
IF(AND($C97="S",OR($R97="",$R97="(digite a descrição aqui)"),OR($Q97&lt;&gt;"",$T97&gt;0,$U97&gt;0)),"DESCRIÇÃO",
IF(AND($C97="S",$P97&lt;&gt;"",$Q97&lt;&gt;"",$S97=""),"UNIDADE",
IF(AND($C97="S",$P97&lt;&gt;"",$Q97&lt;&gt;"",$U97=0),"SEM CUSTO",
IF(AND(TIPOORCAMENTO="Licitado",$AL97=0,$AN97&gt;0),"SEM PREÇO",
IF(AND($C97="S",$P97&lt;&gt;"",$Q97&lt;&gt;"",$U97&gt;0,AND($V97&lt;&gt;"BDI 1",$V97&lt;&gt;"BDI 2",$V97&lt;&gt;"BDI 3")),IF(ISNUMBER($V97),"JUSTIFICAR BDI","BDI"),
IF(OR(AND(import.recurso="OGU",TIPOORCAMENTO="Proposto",LEFT($O$8,5)&lt;&gt;"(N/D:",$AG97&lt;&gt;"",ORÇAMENTO.CustoUnitario&gt;$AG97),AND(TIPOORCAMENTO="LICITADO",ORÇAMENTO.PrecoUnitarioLicitado&gt;$AN97)),"ACIMA REF.",
IF(AND($C97="S",$P97&lt;&gt;"",$Q97&lt;&gt;"",$T97=0,$U97&gt;0),"QUANT.",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CÓDIGO N/ID</v>
      </c>
      <c r="AD97" t="str">
        <f ca="1">IF(C97&lt;=CRONO.NivelExibicao,MAX($AD$15:OFFSET(AD97,-1,0))+IF($C97&lt;&gt;1,1,MAX(1,COUNTIF(QCI!$A$13:$A$24,OFFSET($E97,-1,0)))),"")</f>
        <v/>
      </c>
      <c r="AE97" s="7" t="str" cm="1">
        <f t="array" aca="1" ref="AE97" ca="1">IF(AND($C97="S",ORÇAMENTO.CodBarra&lt;&gt;""),IF(ORÇAMENTO.Fonte="",ORÇAMENTO.CodBarra,CONCATENATE(ORÇAMENTO.Fonte," ",ORÇAMENTO.CodBarra)))</f>
        <v>SINAPI 87792</v>
      </c>
      <c r="AF97" s="12" t="str" cm="1">
        <f t="array" aca="1" ref="AF97" ca="1">IF(ISERROR(ORÇAMENTO.BancoRef),"(abra o arquivo 'Referência "&amp;Excel_BuiltIn_Database&amp;".xlsm)",IF(OR($C97&lt;&gt;"S",ORÇAMENTO.CodBarra=""),"(Sem Código)",IF(ISERROR(MATCH($AE97,INDIRECT(ORÇAMENTO.BancoRef),0)),"(Código não identificado nas referências)",MATCH($AE97,INDIRECT(ORÇAMENTO.BancoRef),0))))</f>
        <v>(Código não identificado nas referências)</v>
      </c>
      <c r="AG97" s="428" cm="1">
        <f t="array" aca="1" ref="AG97" ca="1">ROUND(IF(DESONERACAO="sim",REFERENCIA.Desonerado,REFERENCIA.NaoDesonerado),2)</f>
        <v>0</v>
      </c>
      <c r="AH97" s="429">
        <f t="shared" ca="1" si="31"/>
        <v>0.2223</v>
      </c>
      <c r="AJ97" s="431"/>
      <c r="AL97" s="439"/>
      <c r="AM97" s="336">
        <f t="shared" ca="1" si="0"/>
        <v>0</v>
      </c>
      <c r="AN97" s="470" cm="1">
        <f t="array" aca="1" ref="AN97" ca="1">ROUND(ORÇAMENTO.CustoUnitario*(1+$AH97),2)</f>
        <v>0</v>
      </c>
    </row>
    <row r="98" spans="1:40" ht="51" x14ac:dyDescent="0.2">
      <c r="A98" t="str">
        <f t="shared" si="18"/>
        <v>S</v>
      </c>
      <c r="B98">
        <f t="shared" ca="1" si="19"/>
        <v>2</v>
      </c>
      <c r="C98" t="str">
        <f t="shared" ca="1" si="20"/>
        <v>S</v>
      </c>
      <c r="D98">
        <f t="shared" ca="1" si="21"/>
        <v>0</v>
      </c>
      <c r="E98">
        <f ca="1">IF($C98=1,OFFSET(E98,-1,0)+MAX(1,COUNTIF(QCI!$A$13:$A$24,OFFSET(ORÇAMENTO!E98,-1,0))),OFFSET(E98,-1,0))</f>
        <v>7</v>
      </c>
      <c r="F98">
        <f t="shared" ca="1" si="22"/>
        <v>3</v>
      </c>
      <c r="G98">
        <f t="shared" ca="1" si="23"/>
        <v>0</v>
      </c>
      <c r="H98">
        <f t="shared" ca="1" si="24"/>
        <v>0</v>
      </c>
      <c r="I98">
        <f t="shared" ca="1" si="25"/>
        <v>0</v>
      </c>
      <c r="J98">
        <f t="shared" ca="1" si="17"/>
        <v>0</v>
      </c>
      <c r="K98">
        <f ca="1">IF(OR($C98="S",$C98=0),0,MATCH(OFFSET($D98,0,$C98)+IF($C98&lt;&gt;1,1,COUNTIF(QCI!$A$13:$A$24,ORÇAMENTO!E98)),OFFSET($D98,1,$C98,ROW($C$244)-ROW($C98)),0))</f>
        <v>0</v>
      </c>
      <c r="L98" s="114" t="str">
        <f t="shared" ca="1" si="26"/>
        <v/>
      </c>
      <c r="M98" s="115" t="s">
        <v>705</v>
      </c>
      <c r="N98" s="116" t="str">
        <f t="shared" ca="1" si="27"/>
        <v>Serviço</v>
      </c>
      <c r="O98" s="117" t="str">
        <f t="shared" ca="1" si="28"/>
        <v>-</v>
      </c>
      <c r="P98" s="118" t="s">
        <v>750</v>
      </c>
      <c r="Q98" s="119" t="s">
        <v>1061</v>
      </c>
      <c r="R98" s="120" t="str" cm="1">
        <f t="array" aca="1" ref="R98" ca="1">IF($C98="S",REFERENCIA.Descricao,"(digite a descrição aqui)")</f>
        <v>(Código não identificado nas referências)</v>
      </c>
      <c r="S98" s="121" t="str" cm="1">
        <f t="array" aca="1" ref="S98" ca="1">REFERENCIA.Unidade</f>
        <v>-</v>
      </c>
      <c r="T98" s="122">
        <f ca="1">OFFSET(CÁLCULO!H$15,ROW($T98)-ROW(T$15),0)</f>
        <v>607.00000000000023</v>
      </c>
      <c r="U98" s="123">
        <f t="shared" ca="1" si="29"/>
        <v>0</v>
      </c>
      <c r="V98" s="124" t="s">
        <v>663</v>
      </c>
      <c r="W98" s="122" cm="1">
        <f t="array" aca="1" ref="W98" ca="1">IF($C98="S",ROUND(IF(TIPOORCAMENTO="Proposto",ORÇAMENTO.CustoUnitario*(1+$AH98),ORÇAMENTO.PrecoUnitarioLicitado),15-13*$AF$10),0)</f>
        <v>0</v>
      </c>
      <c r="X98" s="125" cm="1">
        <f t="array" aca="1" ref="X98" ca="1">IF($C98="S",IF(OR(Import.TipoArredondamento&lt;&gt;"TransfereGOV",ACOMPANHAMENTO="BM"),VTOTAL1,SUM(OFFSET(CÁLCULO!$AQ$15,ROW($X98)-ROW($X$15),1):OFFSET(CÁLCULO!$BR$15,ROW($X98)-ROW($X$15),-1))),IF($C98=0,0,ROUND(SomaAgrup,15-13*$AF$11)))</f>
        <v>0</v>
      </c>
      <c r="Y98" s="126" t="s">
        <v>751</v>
      </c>
      <c r="Z98" t="str">
        <f t="shared" ca="1" si="30"/>
        <v/>
      </c>
      <c r="AA98" s="127" cm="1">
        <f t="array" aca="1" ref="AA98" ca="1">IF($C98="S",IF($Z98="CP",$X98,IF($Z98="RA",(($X98)*QCI!$AA$3),0)),SomaAgrup)</f>
        <v>0</v>
      </c>
      <c r="AB98" s="128" cm="1">
        <f t="array" aca="1" ref="AB98" ca="1">IF($C98="S",IF($Z98="OU",ROUND($X98,2),0),SomaAgrup)</f>
        <v>0</v>
      </c>
      <c r="AC98" s="565" t="str" cm="1">
        <f t="array" aca="1" ref="AC98" ca="1">IF($N98=""," ",
IF(AND($C98&lt;&gt;"S",OR($R98="",$R98="(digite a descrição aqui)")),"DESCRIÇÃO",
IF(AND($C98="S",OR($Q98&lt;&gt;"",$T98&gt;0,$U98&gt;0),$P98=""),"FONTE",
IF(AND($C98="S",$P98&lt;&gt;"",OR($T98&gt;0,$U98&gt;0),$Q98=""),"CÓDIGO",
IF(AND($C98="S",$P98&lt;&gt;"",$Q98&lt;&gt;"",$R98="(Código não identificado nas referências)"),"CÓDIGO N/ID",
IF(AND($C98="S",OR($R98="",$R98="(digite a descrição aqui)"),OR($Q98&lt;&gt;"",$T98&gt;0,$U98&gt;0)),"DESCRIÇÃO",
IF(AND($C98="S",$P98&lt;&gt;"",$Q98&lt;&gt;"",$S98=""),"UNIDADE",
IF(AND($C98="S",$P98&lt;&gt;"",$Q98&lt;&gt;"",$U98=0),"SEM CUSTO",
IF(AND(TIPOORCAMENTO="Licitado",$AL98=0,$AN98&gt;0),"SEM PREÇO",
IF(AND($C98="S",$P98&lt;&gt;"",$Q98&lt;&gt;"",$U98&gt;0,AND($V98&lt;&gt;"BDI 1",$V98&lt;&gt;"BDI 2",$V98&lt;&gt;"BDI 3")),IF(ISNUMBER($V98),"JUSTIFICAR BDI","BDI"),
IF(OR(AND(import.recurso="OGU",TIPOORCAMENTO="Proposto",LEFT($O$8,5)&lt;&gt;"(N/D:",$AG98&lt;&gt;"",ORÇAMENTO.CustoUnitario&gt;$AG98),AND(TIPOORCAMENTO="LICITADO",ORÇAMENTO.PrecoUnitarioLicitado&gt;$AN98)),"ACIMA REF.",
IF(AND($C98="S",$P98&lt;&gt;"",$Q98&lt;&gt;"",$T98=0,$U98&gt;0),"QUANT.",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CÓDIGO N/ID</v>
      </c>
      <c r="AD98" t="str">
        <f ca="1">IF(C98&lt;=CRONO.NivelExibicao,MAX($AD$15:OFFSET(AD98,-1,0))+IF($C98&lt;&gt;1,1,MAX(1,COUNTIF(QCI!$A$13:$A$24,OFFSET($E98,-1,0)))),"")</f>
        <v/>
      </c>
      <c r="AE98" s="7" t="str" cm="1">
        <f t="array" aca="1" ref="AE98" ca="1">IF(AND($C98="S",ORÇAMENTO.CodBarra&lt;&gt;""),IF(ORÇAMENTO.Fonte="",ORÇAMENTO.CodBarra,CONCATENATE(ORÇAMENTO.Fonte," ",ORÇAMENTO.CodBarra)))</f>
        <v>SINAPI 87775</v>
      </c>
      <c r="AF98" s="12" t="str" cm="1">
        <f t="array" aca="1" ref="AF98" ca="1">IF(ISERROR(ORÇAMENTO.BancoRef),"(abra o arquivo 'Referência "&amp;Excel_BuiltIn_Database&amp;".xlsm)",IF(OR($C98&lt;&gt;"S",ORÇAMENTO.CodBarra=""),"(Sem Código)",IF(ISERROR(MATCH($AE98,INDIRECT(ORÇAMENTO.BancoRef),0)),"(Código não identificado nas referências)",MATCH($AE98,INDIRECT(ORÇAMENTO.BancoRef),0))))</f>
        <v>(Código não identificado nas referências)</v>
      </c>
      <c r="AG98" s="428" cm="1">
        <f t="array" aca="1" ref="AG98" ca="1">ROUND(IF(DESONERACAO="sim",REFERENCIA.Desonerado,REFERENCIA.NaoDesonerado),2)</f>
        <v>0</v>
      </c>
      <c r="AH98" s="429">
        <f t="shared" ca="1" si="31"/>
        <v>0.2223</v>
      </c>
      <c r="AJ98" s="431"/>
      <c r="AL98" s="439"/>
      <c r="AM98" s="336">
        <f t="shared" ca="1" si="0"/>
        <v>0</v>
      </c>
      <c r="AN98" s="470" cm="1">
        <f t="array" aca="1" ref="AN98" ca="1">ROUND(ORÇAMENTO.CustoUnitario*(1+$AH98),2)</f>
        <v>0</v>
      </c>
    </row>
    <row r="99" spans="1:40" x14ac:dyDescent="0.2">
      <c r="A99">
        <f t="shared" si="18"/>
        <v>2</v>
      </c>
      <c r="B99">
        <f t="shared" ca="1" si="19"/>
        <v>2</v>
      </c>
      <c r="C99">
        <f t="shared" ca="1" si="20"/>
        <v>2</v>
      </c>
      <c r="D99">
        <f t="shared" ca="1" si="21"/>
        <v>2</v>
      </c>
      <c r="E99">
        <f ca="1">IF($C99=1,OFFSET(E99,-1,0)+MAX(1,COUNTIF(QCI!$A$13:$A$24,OFFSET(ORÇAMENTO!E99,-1,0))),OFFSET(E99,-1,0))</f>
        <v>7</v>
      </c>
      <c r="F99">
        <f t="shared" ca="1" si="22"/>
        <v>4</v>
      </c>
      <c r="G99">
        <f t="shared" ca="1" si="23"/>
        <v>0</v>
      </c>
      <c r="H99">
        <f t="shared" ca="1" si="24"/>
        <v>0</v>
      </c>
      <c r="I99">
        <f t="shared" ca="1" si="25"/>
        <v>0</v>
      </c>
      <c r="J99">
        <f t="shared" ca="1" si="17"/>
        <v>15</v>
      </c>
      <c r="K99">
        <f ca="1">IF(OR($C99="S",$C99=0),0,MATCH(OFFSET($D99,0,$C99)+IF($C99&lt;&gt;1,1,COUNTIF(QCI!$A$13:$A$24,ORÇAMENTO!E99)),OFFSET($D99,1,$C99,ROW($C$244)-ROW($C99)),0))</f>
        <v>2</v>
      </c>
      <c r="L99" s="114" t="str">
        <f t="shared" ca="1" si="26"/>
        <v>F</v>
      </c>
      <c r="M99" s="115" t="s">
        <v>702</v>
      </c>
      <c r="N99" s="116" t="str">
        <f t="shared" ca="1" si="27"/>
        <v>Nível 2</v>
      </c>
      <c r="O99" s="117" t="str">
        <f t="shared" ca="1" si="28"/>
        <v>7.4.</v>
      </c>
      <c r="P99" s="118" t="s">
        <v>250</v>
      </c>
      <c r="Q99" s="119" t="s">
        <v>250</v>
      </c>
      <c r="R99" s="120" t="s">
        <v>1190</v>
      </c>
      <c r="S99" s="121"/>
      <c r="T99" s="122">
        <f ca="1">OFFSET(CÁLCULO!H$15,ROW($T99)-ROW(T$15),0)</f>
        <v>0</v>
      </c>
      <c r="U99" s="123">
        <f t="shared" ca="1" si="29"/>
        <v>0</v>
      </c>
      <c r="V99" s="124" t="s">
        <v>663</v>
      </c>
      <c r="W99" s="122" cm="1">
        <f t="array" aca="1" ref="W99" ca="1">IF($C99="S",ROUND(IF(TIPOORCAMENTO="Proposto",ORÇAMENTO.CustoUnitario*(1+$AH99),ORÇAMENTO.PrecoUnitarioLicitado),15-13*$AF$10),0)</f>
        <v>0</v>
      </c>
      <c r="X99" s="125" cm="1">
        <f t="array" aca="1" ref="X99" ca="1">IF($C99="S",IF(OR(Import.TipoArredondamento&lt;&gt;"TransfereGOV",ACOMPANHAMENTO="BM"),VTOTAL1,SUM(OFFSET(CÁLCULO!$AQ$15,ROW($X99)-ROW($X$15),1):OFFSET(CÁLCULO!$BR$15,ROW($X99)-ROW($X$15),-1))),IF($C99=0,0,ROUND(SomaAgrup,15-13*$AF$11)))</f>
        <v>0</v>
      </c>
      <c r="Y99" s="126" t="s">
        <v>751</v>
      </c>
      <c r="Z99" t="str">
        <f t="shared" ca="1" si="30"/>
        <v/>
      </c>
      <c r="AA99" s="127" cm="1">
        <f t="array" aca="1" ref="AA99" ca="1">IF($C99="S",IF($Z99="CP",$X99,IF($Z99="RA",(($X99)*QCI!$AA$3),0)),SomaAgrup)</f>
        <v>0</v>
      </c>
      <c r="AB99" s="128" cm="1">
        <f t="array" aca="1" ref="AB99" ca="1">IF($C99="S",IF($Z99="OU",ROUND($X99,2),0),SomaAgrup)</f>
        <v>0</v>
      </c>
      <c r="AC99" s="565" t="str" cm="1">
        <f t="array" aca="1" ref="AC99" ca="1">IF($N99=""," ",
IF(AND($C99&lt;&gt;"S",OR($R99="",$R99="(digite a descrição aqui)")),"DESCRIÇÃO",
IF(AND($C99="S",OR($Q99&lt;&gt;"",$T99&gt;0,$U99&gt;0),$P99=""),"FONTE",
IF(AND($C99="S",$P99&lt;&gt;"",OR($T99&gt;0,$U99&gt;0),$Q99=""),"CÓDIGO",
IF(AND($C99="S",$P99&lt;&gt;"",$Q99&lt;&gt;"",$R99="(Código não identificado nas referências)"),"CÓDIGO N/ID",
IF(AND($C99="S",OR($R99="",$R99="(digite a descrição aqui)"),OR($Q99&lt;&gt;"",$T99&gt;0,$U99&gt;0)),"DESCRIÇÃO",
IF(AND($C99="S",$P99&lt;&gt;"",$Q99&lt;&gt;"",$S99=""),"UNIDADE",
IF(AND($C99="S",$P99&lt;&gt;"",$Q99&lt;&gt;"",$U99=0),"SEM CUSTO",
IF(AND(TIPOORCAMENTO="Licitado",$AL99=0,$AN99&gt;0),"SEM PREÇO",
IF(AND($C99="S",$P99&lt;&gt;"",$Q99&lt;&gt;"",$U99&gt;0,AND($V99&lt;&gt;"BDI 1",$V99&lt;&gt;"BDI 2",$V99&lt;&gt;"BDI 3")),IF(ISNUMBER($V99),"JUSTIFICAR BDI","BDI"),
IF(OR(AND(import.recurso="OGU",TIPOORCAMENTO="Proposto",LEFT($O$8,5)&lt;&gt;"(N/D:",$AG99&lt;&gt;"",ORÇAMENTO.CustoUnitario&gt;$AG99),AND(TIPOORCAMENTO="LICITADO",ORÇAMENTO.PrecoUnitarioLicitado&gt;$AN99)),"ACIMA REF.",
IF(AND($C99="S",$P99&lt;&gt;"",$Q99&lt;&gt;"",$T99=0,$U99&gt;0),"QUANT.",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 xml:space="preserve"> </v>
      </c>
      <c r="AD99">
        <f ca="1">IF(C99&lt;=CRONO.NivelExibicao,MAX($AD$15:OFFSET(AD99,-1,0))+IF($C99&lt;&gt;1,1,MAX(1,COUNTIF(QCI!$A$13:$A$24,OFFSET($E99,-1,0)))),"")</f>
        <v>22</v>
      </c>
      <c r="AE99" s="7" t="b" cm="1">
        <f t="array" aca="1" ref="AE99" ca="1">IF(AND($C99="S",ORÇAMENTO.CodBarra&lt;&gt;""),IF(ORÇAMENTO.Fonte="",ORÇAMENTO.CodBarra,CONCATENATE(ORÇAMENTO.Fonte," ",ORÇAMENTO.CodBarra)))</f>
        <v>0</v>
      </c>
      <c r="AF99" s="12" t="str" cm="1">
        <f t="array" aca="1" ref="AF99" ca="1">IF(ISERROR(ORÇAMENTO.BancoRef),"(abra o arquivo 'Referência "&amp;Excel_BuiltIn_Database&amp;".xlsm)",IF(OR($C99&lt;&gt;"S",ORÇAMENTO.CodBarra=""),"(Sem Código)",IF(ISERROR(MATCH($AE99,INDIRECT(ORÇAMENTO.BancoRef),0)),"(Código não identificado nas referências)",MATCH($AE99,INDIRECT(ORÇAMENTO.BancoRef),0))))</f>
        <v>(Sem Código)</v>
      </c>
      <c r="AG99" s="428" cm="1">
        <f t="array" aca="1" ref="AG99" ca="1">ROUND(IF(DESONERACAO="sim",REFERENCIA.Desonerado,REFERENCIA.NaoDesonerado),2)</f>
        <v>0</v>
      </c>
      <c r="AH99" s="429">
        <f t="shared" ca="1" si="31"/>
        <v>0.2223</v>
      </c>
      <c r="AJ99" s="431"/>
      <c r="AL99" s="439"/>
      <c r="AM99" s="336">
        <f t="shared" ca="1" si="0"/>
        <v>0</v>
      </c>
      <c r="AN99" s="470" cm="1">
        <f t="array" aca="1" ref="AN99" ca="1">ROUND(ORÇAMENTO.CustoUnitario*(1+$AH99),2)</f>
        <v>0</v>
      </c>
    </row>
    <row r="100" spans="1:40" ht="38.25" x14ac:dyDescent="0.2">
      <c r="A100" t="str">
        <f t="shared" si="18"/>
        <v>S</v>
      </c>
      <c r="B100">
        <f t="shared" ca="1" si="19"/>
        <v>2</v>
      </c>
      <c r="C100" t="str">
        <f t="shared" ca="1" si="20"/>
        <v>S</v>
      </c>
      <c r="D100">
        <f t="shared" ca="1" si="21"/>
        <v>0</v>
      </c>
      <c r="E100">
        <f ca="1">IF($C100=1,OFFSET(E100,-1,0)+MAX(1,COUNTIF(QCI!$A$13:$A$24,OFFSET(ORÇAMENTO!E100,-1,0))),OFFSET(E100,-1,0))</f>
        <v>7</v>
      </c>
      <c r="F100">
        <f t="shared" ca="1" si="22"/>
        <v>4</v>
      </c>
      <c r="G100">
        <f t="shared" ca="1" si="23"/>
        <v>0</v>
      </c>
      <c r="H100">
        <f t="shared" ca="1" si="24"/>
        <v>0</v>
      </c>
      <c r="I100">
        <f t="shared" ca="1" si="25"/>
        <v>0</v>
      </c>
      <c r="J100">
        <f t="shared" ca="1" si="17"/>
        <v>0</v>
      </c>
      <c r="K100">
        <f ca="1">IF(OR($C100="S",$C100=0),0,MATCH(OFFSET($D100,0,$C100)+IF($C100&lt;&gt;1,1,COUNTIF(QCI!$A$13:$A$24,ORÇAMENTO!E100)),OFFSET($D100,1,$C100,ROW($C$244)-ROW($C100)),0))</f>
        <v>0</v>
      </c>
      <c r="L100" s="114" t="str">
        <f t="shared" ca="1" si="26"/>
        <v/>
      </c>
      <c r="M100" s="115" t="s">
        <v>705</v>
      </c>
      <c r="N100" s="116" t="str">
        <f t="shared" ca="1" si="27"/>
        <v>Serviço</v>
      </c>
      <c r="O100" s="117" t="str">
        <f t="shared" ca="1" si="28"/>
        <v>-</v>
      </c>
      <c r="P100" s="118" t="s">
        <v>750</v>
      </c>
      <c r="Q100" s="119" t="s">
        <v>1062</v>
      </c>
      <c r="R100" s="120" t="str" cm="1">
        <f t="array" aca="1" ref="R100" ca="1">IF($C100="S",REFERENCIA.Descricao,"(digite a descrição aqui)")</f>
        <v>(Código não identificado nas referências)</v>
      </c>
      <c r="S100" s="121" t="str" cm="1">
        <f t="array" aca="1" ref="S100" ca="1">REFERENCIA.Unidade</f>
        <v>-</v>
      </c>
      <c r="T100" s="122">
        <f ca="1">OFFSET(CÁLCULO!H$15,ROW($T100)-ROW(T$15),0)</f>
        <v>717.99999999999977</v>
      </c>
      <c r="U100" s="123">
        <f t="shared" ca="1" si="29"/>
        <v>0</v>
      </c>
      <c r="V100" s="124" t="s">
        <v>663</v>
      </c>
      <c r="W100" s="122" cm="1">
        <f t="array" aca="1" ref="W100" ca="1">IF($C100="S",ROUND(IF(TIPOORCAMENTO="Proposto",ORÇAMENTO.CustoUnitario*(1+$AH100),ORÇAMENTO.PrecoUnitarioLicitado),15-13*$AF$10),0)</f>
        <v>0</v>
      </c>
      <c r="X100" s="125" cm="1">
        <f t="array" aca="1" ref="X100" ca="1">IF($C100="S",IF(OR(Import.TipoArredondamento&lt;&gt;"TransfereGOV",ACOMPANHAMENTO="BM"),VTOTAL1,SUM(OFFSET(CÁLCULO!$AQ$15,ROW($X100)-ROW($X$15),1):OFFSET(CÁLCULO!$BR$15,ROW($X100)-ROW($X$15),-1))),IF($C100=0,0,ROUND(SomaAgrup,15-13*$AF$11)))</f>
        <v>0</v>
      </c>
      <c r="Y100" s="126" t="s">
        <v>751</v>
      </c>
      <c r="Z100" t="str">
        <f t="shared" ca="1" si="30"/>
        <v/>
      </c>
      <c r="AA100" s="127" cm="1">
        <f t="array" aca="1" ref="AA100" ca="1">IF($C100="S",IF($Z100="CP",$X100,IF($Z100="RA",(($X100)*QCI!$AA$3),0)),SomaAgrup)</f>
        <v>0</v>
      </c>
      <c r="AB100" s="128" cm="1">
        <f t="array" aca="1" ref="AB100" ca="1">IF($C100="S",IF($Z100="OU",ROUND($X100,2),0),SomaAgrup)</f>
        <v>0</v>
      </c>
      <c r="AC100" s="565" t="str" cm="1">
        <f t="array" aca="1" ref="AC100" ca="1">IF($N100=""," ",
IF(AND($C100&lt;&gt;"S",OR($R100="",$R100="(digite a descrição aqui)")),"DESCRIÇÃO",
IF(AND($C100="S",OR($Q100&lt;&gt;"",$T100&gt;0,$U100&gt;0),$P100=""),"FONTE",
IF(AND($C100="S",$P100&lt;&gt;"",OR($T100&gt;0,$U100&gt;0),$Q100=""),"CÓDIGO",
IF(AND($C100="S",$P100&lt;&gt;"",$Q100&lt;&gt;"",$R100="(Código não identificado nas referências)"),"CÓDIGO N/ID",
IF(AND($C100="S",OR($R100="",$R100="(digite a descrição aqui)"),OR($Q100&lt;&gt;"",$T100&gt;0,$U100&gt;0)),"DESCRIÇÃO",
IF(AND($C100="S",$P100&lt;&gt;"",$Q100&lt;&gt;"",$S100=""),"UNIDADE",
IF(AND($C100="S",$P100&lt;&gt;"",$Q100&lt;&gt;"",$U100=0),"SEM CUSTO",
IF(AND(TIPOORCAMENTO="Licitado",$AL100=0,$AN100&gt;0),"SEM PREÇO",
IF(AND($C100="S",$P100&lt;&gt;"",$Q100&lt;&gt;"",$U100&gt;0,AND($V100&lt;&gt;"BDI 1",$V100&lt;&gt;"BDI 2",$V100&lt;&gt;"BDI 3")),IF(ISNUMBER($V100),"JUSTIFICAR BDI","BDI"),
IF(OR(AND(import.recurso="OGU",TIPOORCAMENTO="Proposto",LEFT($O$8,5)&lt;&gt;"(N/D:",$AG100&lt;&gt;"",ORÇAMENTO.CustoUnitario&gt;$AG100),AND(TIPOORCAMENTO="LICITADO",ORÇAMENTO.PrecoUnitarioLicitado&gt;$AN100)),"ACIMA REF.",
IF(AND($C100="S",$P100&lt;&gt;"",$Q100&lt;&gt;"",$T100=0,$U100&gt;0),"QUANT.",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CÓDIGO N/ID</v>
      </c>
      <c r="AD100" t="str">
        <f ca="1">IF(C100&lt;=CRONO.NivelExibicao,MAX($AD$15:OFFSET(AD100,-1,0))+IF($C100&lt;&gt;1,1,MAX(1,COUNTIF(QCI!$A$13:$A$24,OFFSET($E100,-1,0)))),"")</f>
        <v/>
      </c>
      <c r="AE100" s="7" t="str" cm="1">
        <f t="array" aca="1" ref="AE100" ca="1">IF(AND($C100="S",ORÇAMENTO.CodBarra&lt;&gt;""),IF(ORÇAMENTO.Fonte="",ORÇAMENTO.CodBarra,CONCATENATE(ORÇAMENTO.Fonte," ",ORÇAMENTO.CodBarra)))</f>
        <v>SINAPI 96111</v>
      </c>
      <c r="AF100" s="12" t="str" cm="1">
        <f t="array" aca="1" ref="AF100" ca="1">IF(ISERROR(ORÇAMENTO.BancoRef),"(abra o arquivo 'Referência "&amp;Excel_BuiltIn_Database&amp;".xlsm)",IF(OR($C100&lt;&gt;"S",ORÇAMENTO.CodBarra=""),"(Sem Código)",IF(ISERROR(MATCH($AE100,INDIRECT(ORÇAMENTO.BancoRef),0)),"(Código não identificado nas referências)",MATCH($AE100,INDIRECT(ORÇAMENTO.BancoRef),0))))</f>
        <v>(Código não identificado nas referências)</v>
      </c>
      <c r="AG100" s="428" cm="1">
        <f t="array" aca="1" ref="AG100" ca="1">ROUND(IF(DESONERACAO="sim",REFERENCIA.Desonerado,REFERENCIA.NaoDesonerado),2)</f>
        <v>0</v>
      </c>
      <c r="AH100" s="429">
        <f t="shared" ca="1" si="31"/>
        <v>0.2223</v>
      </c>
      <c r="AJ100" s="431"/>
      <c r="AL100" s="439"/>
      <c r="AM100" s="336">
        <f t="shared" ca="1" si="0"/>
        <v>0</v>
      </c>
      <c r="AN100" s="470" cm="1">
        <f t="array" aca="1" ref="AN100" ca="1">ROUND(ORÇAMENTO.CustoUnitario*(1+$AH100),2)</f>
        <v>0</v>
      </c>
    </row>
    <row r="101" spans="1:40" x14ac:dyDescent="0.2">
      <c r="A101">
        <f t="shared" si="18"/>
        <v>2</v>
      </c>
      <c r="B101">
        <f t="shared" ca="1" si="19"/>
        <v>2</v>
      </c>
      <c r="C101">
        <f t="shared" ca="1" si="20"/>
        <v>2</v>
      </c>
      <c r="D101">
        <f t="shared" ca="1" si="21"/>
        <v>13</v>
      </c>
      <c r="E101">
        <f ca="1">IF($C101=1,OFFSET(E101,-1,0)+MAX(1,COUNTIF(QCI!$A$13:$A$24,OFFSET(ORÇAMENTO!E101,-1,0))),OFFSET(E101,-1,0))</f>
        <v>7</v>
      </c>
      <c r="F101">
        <f t="shared" ca="1" si="22"/>
        <v>5</v>
      </c>
      <c r="G101">
        <f t="shared" ca="1" si="23"/>
        <v>0</v>
      </c>
      <c r="H101">
        <f t="shared" ca="1" si="24"/>
        <v>0</v>
      </c>
      <c r="I101">
        <f t="shared" ca="1" si="25"/>
        <v>0</v>
      </c>
      <c r="J101">
        <f t="shared" ca="1" si="17"/>
        <v>13</v>
      </c>
      <c r="K101" t="e">
        <f ca="1">IF(OR($C101="S",$C101=0),0,MATCH(OFFSET($D101,0,$C101)+IF($C101&lt;&gt;1,1,COUNTIF(QCI!$A$13:$A$24,ORÇAMENTO!E101)),OFFSET($D101,1,$C101,ROW($C$244)-ROW($C101)),0))</f>
        <v>#N/A</v>
      </c>
      <c r="L101" s="114" t="str">
        <f t="shared" ca="1" si="26"/>
        <v>F</v>
      </c>
      <c r="M101" s="115" t="s">
        <v>702</v>
      </c>
      <c r="N101" s="116" t="str">
        <f t="shared" ca="1" si="27"/>
        <v>Nível 2</v>
      </c>
      <c r="O101" s="117" t="str">
        <f t="shared" ca="1" si="28"/>
        <v>7.5.</v>
      </c>
      <c r="P101" s="118" t="s">
        <v>250</v>
      </c>
      <c r="Q101" s="119" t="s">
        <v>250</v>
      </c>
      <c r="R101" s="120" t="s">
        <v>1191</v>
      </c>
      <c r="S101" s="121"/>
      <c r="T101" s="122">
        <f ca="1">OFFSET(CÁLCULO!H$15,ROW($T101)-ROW(T$15),0)</f>
        <v>0</v>
      </c>
      <c r="U101" s="123">
        <f t="shared" ca="1" si="29"/>
        <v>0</v>
      </c>
      <c r="V101" s="124" t="s">
        <v>663</v>
      </c>
      <c r="W101" s="122" cm="1">
        <f t="array" aca="1" ref="W101" ca="1">IF($C101="S",ROUND(IF(TIPOORCAMENTO="Proposto",ORÇAMENTO.CustoUnitario*(1+$AH101),ORÇAMENTO.PrecoUnitarioLicitado),15-13*$AF$10),0)</f>
        <v>0</v>
      </c>
      <c r="X101" s="125" cm="1">
        <f t="array" aca="1" ref="X101" ca="1">IF($C101="S",IF(OR(Import.TipoArredondamento&lt;&gt;"TransfereGOV",ACOMPANHAMENTO="BM"),VTOTAL1,SUM(OFFSET(CÁLCULO!$AQ$15,ROW($X101)-ROW($X$15),1):OFFSET(CÁLCULO!$BR$15,ROW($X101)-ROW($X$15),-1))),IF($C101=0,0,ROUND(SomaAgrup,15-13*$AF$11)))</f>
        <v>0</v>
      </c>
      <c r="Y101" s="126" t="s">
        <v>751</v>
      </c>
      <c r="Z101" t="str">
        <f t="shared" ca="1" si="30"/>
        <v/>
      </c>
      <c r="AA101" s="127" cm="1">
        <f t="array" aca="1" ref="AA101" ca="1">IF($C101="S",IF($Z101="CP",$X101,IF($Z101="RA",(($X101)*QCI!$AA$3),0)),SomaAgrup)</f>
        <v>0</v>
      </c>
      <c r="AB101" s="128" cm="1">
        <f t="array" aca="1" ref="AB101" ca="1">IF($C101="S",IF($Z101="OU",ROUND($X101,2),0),SomaAgrup)</f>
        <v>0</v>
      </c>
      <c r="AC101" s="565" t="str" cm="1">
        <f t="array" aca="1" ref="AC101" ca="1">IF($N101=""," ",
IF(AND($C101&lt;&gt;"S",OR($R101="",$R101="(digite a descrição aqui)")),"DESCRIÇÃO",
IF(AND($C101="S",OR($Q101&lt;&gt;"",$T101&gt;0,$U101&gt;0),$P101=""),"FONTE",
IF(AND($C101="S",$P101&lt;&gt;"",OR($T101&gt;0,$U101&gt;0),$Q101=""),"CÓDIGO",
IF(AND($C101="S",$P101&lt;&gt;"",$Q101&lt;&gt;"",$R101="(Código não identificado nas referências)"),"CÓDIGO N/ID",
IF(AND($C101="S",OR($R101="",$R101="(digite a descrição aqui)"),OR($Q101&lt;&gt;"",$T101&gt;0,$U101&gt;0)),"DESCRIÇÃO",
IF(AND($C101="S",$P101&lt;&gt;"",$Q101&lt;&gt;"",$S101=""),"UNIDADE",
IF(AND($C101="S",$P101&lt;&gt;"",$Q101&lt;&gt;"",$U101=0),"SEM CUSTO",
IF(AND(TIPOORCAMENTO="Licitado",$AL101=0,$AN101&gt;0),"SEM PREÇO",
IF(AND($C101="S",$P101&lt;&gt;"",$Q101&lt;&gt;"",$U101&gt;0,AND($V101&lt;&gt;"BDI 1",$V101&lt;&gt;"BDI 2",$V101&lt;&gt;"BDI 3")),IF(ISNUMBER($V101),"JUSTIFICAR BDI","BDI"),
IF(OR(AND(import.recurso="OGU",TIPOORCAMENTO="Proposto",LEFT($O$8,5)&lt;&gt;"(N/D:",$AG101&lt;&gt;"",ORÇAMENTO.CustoUnitario&gt;$AG101),AND(TIPOORCAMENTO="LICITADO",ORÇAMENTO.PrecoUnitarioLicitado&gt;$AN101)),"ACIMA REF.",
IF(AND($C101="S",$P101&lt;&gt;"",$Q101&lt;&gt;"",$T101=0,$U101&gt;0),"QUANT.",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 xml:space="preserve"> </v>
      </c>
      <c r="AD101">
        <f ca="1">IF(C101&lt;=CRONO.NivelExibicao,MAX($AD$15:OFFSET(AD101,-1,0))+IF($C101&lt;&gt;1,1,MAX(1,COUNTIF(QCI!$A$13:$A$24,OFFSET($E101,-1,0)))),"")</f>
        <v>23</v>
      </c>
      <c r="AE101" s="7" t="b" cm="1">
        <f t="array" aca="1" ref="AE101" ca="1">IF(AND($C101="S",ORÇAMENTO.CodBarra&lt;&gt;""),IF(ORÇAMENTO.Fonte="",ORÇAMENTO.CodBarra,CONCATENATE(ORÇAMENTO.Fonte," ",ORÇAMENTO.CodBarra)))</f>
        <v>0</v>
      </c>
      <c r="AF101" s="12" t="str" cm="1">
        <f t="array" aca="1" ref="AF101" ca="1">IF(ISERROR(ORÇAMENTO.BancoRef),"(abra o arquivo 'Referência "&amp;Excel_BuiltIn_Database&amp;".xlsm)",IF(OR($C101&lt;&gt;"S",ORÇAMENTO.CodBarra=""),"(Sem Código)",IF(ISERROR(MATCH($AE101,INDIRECT(ORÇAMENTO.BancoRef),0)),"(Código não identificado nas referências)",MATCH($AE101,INDIRECT(ORÇAMENTO.BancoRef),0))))</f>
        <v>(Sem Código)</v>
      </c>
      <c r="AG101" s="428" cm="1">
        <f t="array" aca="1" ref="AG101" ca="1">ROUND(IF(DESONERACAO="sim",REFERENCIA.Desonerado,REFERENCIA.NaoDesonerado),2)</f>
        <v>0</v>
      </c>
      <c r="AH101" s="429">
        <f t="shared" ca="1" si="31"/>
        <v>0.2223</v>
      </c>
      <c r="AJ101" s="431"/>
      <c r="AL101" s="439"/>
      <c r="AM101" s="336">
        <f t="shared" ca="1" si="0"/>
        <v>0</v>
      </c>
      <c r="AN101" s="470" cm="1">
        <f t="array" aca="1" ref="AN101" ca="1">ROUND(ORÇAMENTO.CustoUnitario*(1+$AH101),2)</f>
        <v>0</v>
      </c>
    </row>
    <row r="102" spans="1:40" x14ac:dyDescent="0.2">
      <c r="A102">
        <f t="shared" si="18"/>
        <v>3</v>
      </c>
      <c r="B102">
        <f t="shared" ca="1" si="19"/>
        <v>3</v>
      </c>
      <c r="C102">
        <f t="shared" ca="1" si="20"/>
        <v>3</v>
      </c>
      <c r="D102">
        <f t="shared" ca="1" si="21"/>
        <v>5</v>
      </c>
      <c r="E102">
        <f ca="1">IF($C102=1,OFFSET(E102,-1,0)+MAX(1,COUNTIF(QCI!$A$13:$A$24,OFFSET(ORÇAMENTO!E102,-1,0))),OFFSET(E102,-1,0))</f>
        <v>7</v>
      </c>
      <c r="F102">
        <f t="shared" ca="1" si="22"/>
        <v>5</v>
      </c>
      <c r="G102">
        <f t="shared" ca="1" si="23"/>
        <v>1</v>
      </c>
      <c r="H102">
        <f t="shared" ca="1" si="24"/>
        <v>0</v>
      </c>
      <c r="I102">
        <f t="shared" ca="1" si="25"/>
        <v>0</v>
      </c>
      <c r="J102">
        <f t="shared" ca="1" si="17"/>
        <v>12</v>
      </c>
      <c r="K102">
        <f ca="1">IF(OR($C102="S",$C102=0),0,MATCH(OFFSET($D102,0,$C102)+IF($C102&lt;&gt;1,1,COUNTIF(QCI!$A$13:$A$24,ORÇAMENTO!E102)),OFFSET($D102,1,$C102,ROW($C$244)-ROW($C102)),0))</f>
        <v>5</v>
      </c>
      <c r="L102" s="114" t="str">
        <f t="shared" ca="1" si="26"/>
        <v>F</v>
      </c>
      <c r="M102" s="115" t="s">
        <v>703</v>
      </c>
      <c r="N102" s="116" t="str">
        <f t="shared" ca="1" si="27"/>
        <v>Nível 3</v>
      </c>
      <c r="O102" s="117" t="str">
        <f t="shared" ca="1" si="28"/>
        <v>7.5.1.</v>
      </c>
      <c r="P102" s="118" t="s">
        <v>250</v>
      </c>
      <c r="Q102" s="119" t="s">
        <v>250</v>
      </c>
      <c r="R102" s="120" t="s">
        <v>1192</v>
      </c>
      <c r="S102" s="121"/>
      <c r="T102" s="122">
        <f ca="1">OFFSET(CÁLCULO!H$15,ROW($T102)-ROW(T$15),0)</f>
        <v>0</v>
      </c>
      <c r="U102" s="123">
        <f t="shared" ca="1" si="29"/>
        <v>0</v>
      </c>
      <c r="V102" s="124" t="s">
        <v>663</v>
      </c>
      <c r="W102" s="122" cm="1">
        <f t="array" aca="1" ref="W102" ca="1">IF($C102="S",ROUND(IF(TIPOORCAMENTO="Proposto",ORÇAMENTO.CustoUnitario*(1+$AH102),ORÇAMENTO.PrecoUnitarioLicitado),15-13*$AF$10),0)</f>
        <v>0</v>
      </c>
      <c r="X102" s="125" cm="1">
        <f t="array" aca="1" ref="X102" ca="1">IF($C102="S",IF(OR(Import.TipoArredondamento&lt;&gt;"TransfereGOV",ACOMPANHAMENTO="BM"),VTOTAL1,SUM(OFFSET(CÁLCULO!$AQ$15,ROW($X102)-ROW($X$15),1):OFFSET(CÁLCULO!$BR$15,ROW($X102)-ROW($X$15),-1))),IF($C102=0,0,ROUND(SomaAgrup,15-13*$AF$11)))</f>
        <v>0</v>
      </c>
      <c r="Y102" s="126" t="s">
        <v>751</v>
      </c>
      <c r="Z102" t="str">
        <f t="shared" ca="1" si="30"/>
        <v/>
      </c>
      <c r="AA102" s="127" cm="1">
        <f t="array" aca="1" ref="AA102" ca="1">IF($C102="S",IF($Z102="CP",$X102,IF($Z102="RA",(($X102)*QCI!$AA$3),0)),SomaAgrup)</f>
        <v>0</v>
      </c>
      <c r="AB102" s="128" cm="1">
        <f t="array" aca="1" ref="AB102" ca="1">IF($C102="S",IF($Z102="OU",ROUND($X102,2),0),SomaAgrup)</f>
        <v>0</v>
      </c>
      <c r="AC102" s="565" t="str" cm="1">
        <f t="array" aca="1" ref="AC102" ca="1">IF($N102=""," ",
IF(AND($C102&lt;&gt;"S",OR($R102="",$R102="(digite a descrição aqui)")),"DESCRIÇÃO",
IF(AND($C102="S",OR($Q102&lt;&gt;"",$T102&gt;0,$U102&gt;0),$P102=""),"FONTE",
IF(AND($C102="S",$P102&lt;&gt;"",OR($T102&gt;0,$U102&gt;0),$Q102=""),"CÓDIGO",
IF(AND($C102="S",$P102&lt;&gt;"",$Q102&lt;&gt;"",$R102="(Código não identificado nas referências)"),"CÓDIGO N/ID",
IF(AND($C102="S",OR($R102="",$R102="(digite a descrição aqui)"),OR($Q102&lt;&gt;"",$T102&gt;0,$U102&gt;0)),"DESCRIÇÃO",
IF(AND($C102="S",$P102&lt;&gt;"",$Q102&lt;&gt;"",$S102=""),"UNIDADE",
IF(AND($C102="S",$P102&lt;&gt;"",$Q102&lt;&gt;"",$U102=0),"SEM CUSTO",
IF(AND(TIPOORCAMENTO="Licitado",$AL102=0,$AN102&gt;0),"SEM PREÇO",
IF(AND($C102="S",$P102&lt;&gt;"",$Q102&lt;&gt;"",$U102&gt;0,AND($V102&lt;&gt;"BDI 1",$V102&lt;&gt;"BDI 2",$V102&lt;&gt;"BDI 3")),IF(ISNUMBER($V102),"JUSTIFICAR BDI","BDI"),
IF(OR(AND(import.recurso="OGU",TIPOORCAMENTO="Proposto",LEFT($O$8,5)&lt;&gt;"(N/D:",$AG102&lt;&gt;"",ORÇAMENTO.CustoUnitario&gt;$AG102),AND(TIPOORCAMENTO="LICITADO",ORÇAMENTO.PrecoUnitarioLicitado&gt;$AN102)),"ACIMA REF.",
IF(AND($C102="S",$P102&lt;&gt;"",$Q102&lt;&gt;"",$T102=0,$U102&gt;0),"QUANT.",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 xml:space="preserve"> </v>
      </c>
      <c r="AD102">
        <f ca="1">IF(C102&lt;=CRONO.NivelExibicao,MAX($AD$15:OFFSET(AD102,-1,0))+IF($C102&lt;&gt;1,1,MAX(1,COUNTIF(QCI!$A$13:$A$24,OFFSET($E102,-1,0)))),"")</f>
        <v>24</v>
      </c>
      <c r="AE102" s="7" t="b" cm="1">
        <f t="array" aca="1" ref="AE102" ca="1">IF(AND($C102="S",ORÇAMENTO.CodBarra&lt;&gt;""),IF(ORÇAMENTO.Fonte="",ORÇAMENTO.CodBarra,CONCATENATE(ORÇAMENTO.Fonte," ",ORÇAMENTO.CodBarra)))</f>
        <v>0</v>
      </c>
      <c r="AF102" s="12" t="str" cm="1">
        <f t="array" aca="1" ref="AF102" ca="1">IF(ISERROR(ORÇAMENTO.BancoRef),"(abra o arquivo 'Referência "&amp;Excel_BuiltIn_Database&amp;".xlsm)",IF(OR($C102&lt;&gt;"S",ORÇAMENTO.CodBarra=""),"(Sem Código)",IF(ISERROR(MATCH($AE102,INDIRECT(ORÇAMENTO.BancoRef),0)),"(Código não identificado nas referências)",MATCH($AE102,INDIRECT(ORÇAMENTO.BancoRef),0))))</f>
        <v>(Sem Código)</v>
      </c>
      <c r="AG102" s="428" cm="1">
        <f t="array" aca="1" ref="AG102" ca="1">ROUND(IF(DESONERACAO="sim",REFERENCIA.Desonerado,REFERENCIA.NaoDesonerado),2)</f>
        <v>0</v>
      </c>
      <c r="AH102" s="429">
        <f t="shared" ca="1" si="31"/>
        <v>0.2223</v>
      </c>
      <c r="AJ102" s="431"/>
      <c r="AL102" s="439"/>
      <c r="AM102" s="336">
        <f t="shared" ca="1" si="0"/>
        <v>0</v>
      </c>
      <c r="AN102" s="470" cm="1">
        <f t="array" aca="1" ref="AN102" ca="1">ROUND(ORÇAMENTO.CustoUnitario*(1+$AH102),2)</f>
        <v>0</v>
      </c>
    </row>
    <row r="103" spans="1:40" ht="25.5" x14ac:dyDescent="0.2">
      <c r="A103" t="str">
        <f t="shared" si="18"/>
        <v>S</v>
      </c>
      <c r="B103">
        <f t="shared" ca="1" si="19"/>
        <v>3</v>
      </c>
      <c r="C103" t="str">
        <f t="shared" ca="1" si="20"/>
        <v>S</v>
      </c>
      <c r="D103">
        <f t="shared" ca="1" si="21"/>
        <v>0</v>
      </c>
      <c r="E103">
        <f ca="1">IF($C103=1,OFFSET(E103,-1,0)+MAX(1,COUNTIF(QCI!$A$13:$A$24,OFFSET(ORÇAMENTO!E103,-1,0))),OFFSET(E103,-1,0))</f>
        <v>7</v>
      </c>
      <c r="F103">
        <f t="shared" ca="1" si="22"/>
        <v>5</v>
      </c>
      <c r="G103">
        <f t="shared" ca="1" si="23"/>
        <v>1</v>
      </c>
      <c r="H103">
        <f t="shared" ca="1" si="24"/>
        <v>0</v>
      </c>
      <c r="I103">
        <f t="shared" ca="1" si="25"/>
        <v>0</v>
      </c>
      <c r="J103">
        <f t="shared" ca="1" si="17"/>
        <v>0</v>
      </c>
      <c r="K103">
        <f ca="1">IF(OR($C103="S",$C103=0),0,MATCH(OFFSET($D103,0,$C103)+IF($C103&lt;&gt;1,1,COUNTIF(QCI!$A$13:$A$24,ORÇAMENTO!E103)),OFFSET($D103,1,$C103,ROW($C$244)-ROW($C103)),0))</f>
        <v>0</v>
      </c>
      <c r="L103" s="114" t="str">
        <f t="shared" ca="1" si="26"/>
        <v/>
      </c>
      <c r="M103" s="115" t="s">
        <v>705</v>
      </c>
      <c r="N103" s="116" t="str">
        <f t="shared" ca="1" si="27"/>
        <v>Serviço</v>
      </c>
      <c r="O103" s="117" t="str">
        <f t="shared" ca="1" si="28"/>
        <v>-</v>
      </c>
      <c r="P103" s="118" t="s">
        <v>750</v>
      </c>
      <c r="Q103" s="119" t="s">
        <v>1063</v>
      </c>
      <c r="R103" s="120" t="str" cm="1">
        <f t="array" aca="1" ref="R103" ca="1">IF($C103="S",REFERENCIA.Descricao,"(digite a descrição aqui)")</f>
        <v>(Código não identificado nas referências)</v>
      </c>
      <c r="S103" s="121" t="str" cm="1">
        <f t="array" aca="1" ref="S103" ca="1">REFERENCIA.Unidade</f>
        <v>-</v>
      </c>
      <c r="T103" s="122">
        <f ca="1">OFFSET(CÁLCULO!H$15,ROW($T103)-ROW(T$15),0)</f>
        <v>2252.1999999999994</v>
      </c>
      <c r="U103" s="123">
        <f t="shared" ca="1" si="29"/>
        <v>0</v>
      </c>
      <c r="V103" s="124" t="s">
        <v>663</v>
      </c>
      <c r="W103" s="122" cm="1">
        <f t="array" aca="1" ref="W103" ca="1">IF($C103="S",ROUND(IF(TIPOORCAMENTO="Proposto",ORÇAMENTO.CustoUnitario*(1+$AH103),ORÇAMENTO.PrecoUnitarioLicitado),15-13*$AF$10),0)</f>
        <v>0</v>
      </c>
      <c r="X103" s="125" cm="1">
        <f t="array" aca="1" ref="X103" ca="1">IF($C103="S",IF(OR(Import.TipoArredondamento&lt;&gt;"TransfereGOV",ACOMPANHAMENTO="BM"),VTOTAL1,SUM(OFFSET(CÁLCULO!$AQ$15,ROW($X103)-ROW($X$15),1):OFFSET(CÁLCULO!$BR$15,ROW($X103)-ROW($X$15),-1))),IF($C103=0,0,ROUND(SomaAgrup,15-13*$AF$11)))</f>
        <v>0</v>
      </c>
      <c r="Y103" s="126" t="s">
        <v>751</v>
      </c>
      <c r="Z103" t="str">
        <f t="shared" ca="1" si="30"/>
        <v/>
      </c>
      <c r="AA103" s="127" cm="1">
        <f t="array" aca="1" ref="AA103" ca="1">IF($C103="S",IF($Z103="CP",$X103,IF($Z103="RA",(($X103)*QCI!$AA$3),0)),SomaAgrup)</f>
        <v>0</v>
      </c>
      <c r="AB103" s="128" cm="1">
        <f t="array" aca="1" ref="AB103" ca="1">IF($C103="S",IF($Z103="OU",ROUND($X103,2),0),SomaAgrup)</f>
        <v>0</v>
      </c>
      <c r="AC103" s="565" t="str" cm="1">
        <f t="array" aca="1" ref="AC103" ca="1">IF($N103=""," ",
IF(AND($C103&lt;&gt;"S",OR($R103="",$R103="(digite a descrição aqui)")),"DESCRIÇÃO",
IF(AND($C103="S",OR($Q103&lt;&gt;"",$T103&gt;0,$U103&gt;0),$P103=""),"FONTE",
IF(AND($C103="S",$P103&lt;&gt;"",OR($T103&gt;0,$U103&gt;0),$Q103=""),"CÓDIGO",
IF(AND($C103="S",$P103&lt;&gt;"",$Q103&lt;&gt;"",$R103="(Código não identificado nas referências)"),"CÓDIGO N/ID",
IF(AND($C103="S",OR($R103="",$R103="(digite a descrição aqui)"),OR($Q103&lt;&gt;"",$T103&gt;0,$U103&gt;0)),"DESCRIÇÃO",
IF(AND($C103="S",$P103&lt;&gt;"",$Q103&lt;&gt;"",$S103=""),"UNIDADE",
IF(AND($C103="S",$P103&lt;&gt;"",$Q103&lt;&gt;"",$U103=0),"SEM CUSTO",
IF(AND(TIPOORCAMENTO="Licitado",$AL103=0,$AN103&gt;0),"SEM PREÇO",
IF(AND($C103="S",$P103&lt;&gt;"",$Q103&lt;&gt;"",$U103&gt;0,AND($V103&lt;&gt;"BDI 1",$V103&lt;&gt;"BDI 2",$V103&lt;&gt;"BDI 3")),IF(ISNUMBER($V103),"JUSTIFICAR BDI","BDI"),
IF(OR(AND(import.recurso="OGU",TIPOORCAMENTO="Proposto",LEFT($O$8,5)&lt;&gt;"(N/D:",$AG103&lt;&gt;"",ORÇAMENTO.CustoUnitario&gt;$AG103),AND(TIPOORCAMENTO="LICITADO",ORÇAMENTO.PrecoUnitarioLicitado&gt;$AN103)),"ACIMA REF.",
IF(AND($C103="S",$P103&lt;&gt;"",$Q103&lt;&gt;"",$T103=0,$U103&gt;0),"QUANT.",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CÓDIGO N/ID</v>
      </c>
      <c r="AD103" t="str">
        <f ca="1">IF(C103&lt;=CRONO.NivelExibicao,MAX($AD$15:OFFSET(AD103,-1,0))+IF($C103&lt;&gt;1,1,MAX(1,COUNTIF(QCI!$A$13:$A$24,OFFSET($E103,-1,0)))),"")</f>
        <v/>
      </c>
      <c r="AE103" s="7" t="str" cm="1">
        <f t="array" aca="1" ref="AE103" ca="1">IF(AND($C103="S",ORÇAMENTO.CodBarra&lt;&gt;""),IF(ORÇAMENTO.Fonte="",ORÇAMENTO.CodBarra,CONCATENATE(ORÇAMENTO.Fonte," ",ORÇAMENTO.CodBarra)))</f>
        <v>SINAPI 88485</v>
      </c>
      <c r="AF103" s="12" t="str" cm="1">
        <f t="array" aca="1" ref="AF103" ca="1">IF(ISERROR(ORÇAMENTO.BancoRef),"(abra o arquivo 'Referência "&amp;Excel_BuiltIn_Database&amp;".xlsm)",IF(OR($C103&lt;&gt;"S",ORÇAMENTO.CodBarra=""),"(Sem Código)",IF(ISERROR(MATCH($AE103,INDIRECT(ORÇAMENTO.BancoRef),0)),"(Código não identificado nas referências)",MATCH($AE103,INDIRECT(ORÇAMENTO.BancoRef),0))))</f>
        <v>(Código não identificado nas referências)</v>
      </c>
      <c r="AG103" s="428" cm="1">
        <f t="array" aca="1" ref="AG103" ca="1">ROUND(IF(DESONERACAO="sim",REFERENCIA.Desonerado,REFERENCIA.NaoDesonerado),2)</f>
        <v>0</v>
      </c>
      <c r="AH103" s="429">
        <f t="shared" ca="1" si="31"/>
        <v>0.2223</v>
      </c>
      <c r="AJ103" s="431"/>
      <c r="AL103" s="439"/>
      <c r="AM103" s="336">
        <f t="shared" ca="1" si="0"/>
        <v>0</v>
      </c>
      <c r="AN103" s="470" cm="1">
        <f t="array" aca="1" ref="AN103" ca="1">ROUND(ORÇAMENTO.CustoUnitario*(1+$AH103),2)</f>
        <v>0</v>
      </c>
    </row>
    <row r="104" spans="1:40" ht="25.5" x14ac:dyDescent="0.2">
      <c r="A104" t="str">
        <f t="shared" si="18"/>
        <v>S</v>
      </c>
      <c r="B104">
        <f t="shared" ca="1" si="19"/>
        <v>3</v>
      </c>
      <c r="C104" t="str">
        <f t="shared" ca="1" si="20"/>
        <v>S</v>
      </c>
      <c r="D104">
        <f t="shared" ca="1" si="21"/>
        <v>0</v>
      </c>
      <c r="E104">
        <f ca="1">IF($C104=1,OFFSET(E104,-1,0)+MAX(1,COUNTIF(QCI!$A$13:$A$24,OFFSET(ORÇAMENTO!E104,-1,0))),OFFSET(E104,-1,0))</f>
        <v>7</v>
      </c>
      <c r="F104">
        <f t="shared" ca="1" si="22"/>
        <v>5</v>
      </c>
      <c r="G104">
        <f t="shared" ca="1" si="23"/>
        <v>1</v>
      </c>
      <c r="H104">
        <f t="shared" ca="1" si="24"/>
        <v>0</v>
      </c>
      <c r="I104">
        <f t="shared" ca="1" si="25"/>
        <v>0</v>
      </c>
      <c r="J104">
        <f t="shared" ca="1" si="17"/>
        <v>0</v>
      </c>
      <c r="K104">
        <f ca="1">IF(OR($C104="S",$C104=0),0,MATCH(OFFSET($D104,0,$C104)+IF($C104&lt;&gt;1,1,COUNTIF(QCI!$A$13:$A$24,ORÇAMENTO!E104)),OFFSET($D104,1,$C104,ROW($C$244)-ROW($C104)),0))</f>
        <v>0</v>
      </c>
      <c r="L104" s="114" t="str">
        <f t="shared" ca="1" si="26"/>
        <v/>
      </c>
      <c r="M104" s="115" t="s">
        <v>705</v>
      </c>
      <c r="N104" s="116" t="str">
        <f t="shared" ca="1" si="27"/>
        <v>Serviço</v>
      </c>
      <c r="O104" s="117" t="str">
        <f t="shared" ca="1" si="28"/>
        <v>-</v>
      </c>
      <c r="P104" s="118" t="s">
        <v>750</v>
      </c>
      <c r="Q104" s="119" t="s">
        <v>1064</v>
      </c>
      <c r="R104" s="120" t="str" cm="1">
        <f t="array" aca="1" ref="R104" ca="1">IF($C104="S",REFERENCIA.Descricao,"(digite a descrição aqui)")</f>
        <v>(Código não identificado nas referências)</v>
      </c>
      <c r="S104" s="121" t="str" cm="1">
        <f t="array" aca="1" ref="S104" ca="1">REFERENCIA.Unidade</f>
        <v>-</v>
      </c>
      <c r="T104" s="122">
        <f ca="1">OFFSET(CÁLCULO!H$15,ROW($T104)-ROW(T$15),0)</f>
        <v>88.799999999999983</v>
      </c>
      <c r="U104" s="123">
        <f t="shared" ca="1" si="29"/>
        <v>0</v>
      </c>
      <c r="V104" s="124" t="s">
        <v>663</v>
      </c>
      <c r="W104" s="122" cm="1">
        <f t="array" aca="1" ref="W104" ca="1">IF($C104="S",ROUND(IF(TIPOORCAMENTO="Proposto",ORÇAMENTO.CustoUnitario*(1+$AH104),ORÇAMENTO.PrecoUnitarioLicitado),15-13*$AF$10),0)</f>
        <v>0</v>
      </c>
      <c r="X104" s="125" cm="1">
        <f t="array" aca="1" ref="X104" ca="1">IF($C104="S",IF(OR(Import.TipoArredondamento&lt;&gt;"TransfereGOV",ACOMPANHAMENTO="BM"),VTOTAL1,SUM(OFFSET(CÁLCULO!$AQ$15,ROW($X104)-ROW($X$15),1):OFFSET(CÁLCULO!$BR$15,ROW($X104)-ROW($X$15),-1))),IF($C104=0,0,ROUND(SomaAgrup,15-13*$AF$11)))</f>
        <v>0</v>
      </c>
      <c r="Y104" s="126" t="s">
        <v>751</v>
      </c>
      <c r="Z104" t="str">
        <f t="shared" ca="1" si="30"/>
        <v/>
      </c>
      <c r="AA104" s="127" cm="1">
        <f t="array" aca="1" ref="AA104" ca="1">IF($C104="S",IF($Z104="CP",$X104,IF($Z104="RA",(($X104)*QCI!$AA$3),0)),SomaAgrup)</f>
        <v>0</v>
      </c>
      <c r="AB104" s="128" cm="1">
        <f t="array" aca="1" ref="AB104" ca="1">IF($C104="S",IF($Z104="OU",ROUND($X104,2),0),SomaAgrup)</f>
        <v>0</v>
      </c>
      <c r="AC104" s="565" t="str" cm="1">
        <f t="array" aca="1" ref="AC104" ca="1">IF($N104=""," ",
IF(AND($C104&lt;&gt;"S",OR($R104="",$R104="(digite a descrição aqui)")),"DESCRIÇÃO",
IF(AND($C104="S",OR($Q104&lt;&gt;"",$T104&gt;0,$U104&gt;0),$P104=""),"FONTE",
IF(AND($C104="S",$P104&lt;&gt;"",OR($T104&gt;0,$U104&gt;0),$Q104=""),"CÓDIGO",
IF(AND($C104="S",$P104&lt;&gt;"",$Q104&lt;&gt;"",$R104="(Código não identificado nas referências)"),"CÓDIGO N/ID",
IF(AND($C104="S",OR($R104="",$R104="(digite a descrição aqui)"),OR($Q104&lt;&gt;"",$T104&gt;0,$U104&gt;0)),"DESCRIÇÃO",
IF(AND($C104="S",$P104&lt;&gt;"",$Q104&lt;&gt;"",$S104=""),"UNIDADE",
IF(AND($C104="S",$P104&lt;&gt;"",$Q104&lt;&gt;"",$U104=0),"SEM CUSTO",
IF(AND(TIPOORCAMENTO="Licitado",$AL104=0,$AN104&gt;0),"SEM PREÇO",
IF(AND($C104="S",$P104&lt;&gt;"",$Q104&lt;&gt;"",$U104&gt;0,AND($V104&lt;&gt;"BDI 1",$V104&lt;&gt;"BDI 2",$V104&lt;&gt;"BDI 3")),IF(ISNUMBER($V104),"JUSTIFICAR BDI","BDI"),
IF(OR(AND(import.recurso="OGU",TIPOORCAMENTO="Proposto",LEFT($O$8,5)&lt;&gt;"(N/D:",$AG104&lt;&gt;"",ORÇAMENTO.CustoUnitario&gt;$AG104),AND(TIPOORCAMENTO="LICITADO",ORÇAMENTO.PrecoUnitarioLicitado&gt;$AN104)),"ACIMA REF.",
IF(AND($C104="S",$P104&lt;&gt;"",$Q104&lt;&gt;"",$T104=0,$U104&gt;0),"QUANT.",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CÓDIGO N/ID</v>
      </c>
      <c r="AD104" t="str">
        <f ca="1">IF(C104&lt;=CRONO.NivelExibicao,MAX($AD$15:OFFSET(AD104,-1,0))+IF($C104&lt;&gt;1,1,MAX(1,COUNTIF(QCI!$A$13:$A$24,OFFSET($E104,-1,0)))),"")</f>
        <v/>
      </c>
      <c r="AE104" s="7" t="str" cm="1">
        <f t="array" aca="1" ref="AE104" ca="1">IF(AND($C104="S",ORÇAMENTO.CodBarra&lt;&gt;""),IF(ORÇAMENTO.Fonte="",ORÇAMENTO.CodBarra,CONCATENATE(ORÇAMENTO.Fonte," ",ORÇAMENTO.CodBarra)))</f>
        <v>SINAPI 88484</v>
      </c>
      <c r="AF104" s="12" t="str" cm="1">
        <f t="array" aca="1" ref="AF104" ca="1">IF(ISERROR(ORÇAMENTO.BancoRef),"(abra o arquivo 'Referência "&amp;Excel_BuiltIn_Database&amp;".xlsm)",IF(OR($C104&lt;&gt;"S",ORÇAMENTO.CodBarra=""),"(Sem Código)",IF(ISERROR(MATCH($AE104,INDIRECT(ORÇAMENTO.BancoRef),0)),"(Código não identificado nas referências)",MATCH($AE104,INDIRECT(ORÇAMENTO.BancoRef),0))))</f>
        <v>(Código não identificado nas referências)</v>
      </c>
      <c r="AG104" s="428" cm="1">
        <f t="array" aca="1" ref="AG104" ca="1">ROUND(IF(DESONERACAO="sim",REFERENCIA.Desonerado,REFERENCIA.NaoDesonerado),2)</f>
        <v>0</v>
      </c>
      <c r="AH104" s="429">
        <f t="shared" ca="1" si="31"/>
        <v>0.2223</v>
      </c>
      <c r="AJ104" s="431"/>
      <c r="AL104" s="439"/>
      <c r="AM104" s="336">
        <f t="shared" ca="1" si="0"/>
        <v>0</v>
      </c>
      <c r="AN104" s="470" cm="1">
        <f t="array" aca="1" ref="AN104" ca="1">ROUND(ORÇAMENTO.CustoUnitario*(1+$AH104),2)</f>
        <v>0</v>
      </c>
    </row>
    <row r="105" spans="1:40" ht="25.5" x14ac:dyDescent="0.2">
      <c r="A105" t="str">
        <f t="shared" si="18"/>
        <v>S</v>
      </c>
      <c r="B105">
        <f t="shared" ca="1" si="19"/>
        <v>3</v>
      </c>
      <c r="C105" t="str">
        <f t="shared" ca="1" si="20"/>
        <v>S</v>
      </c>
      <c r="D105">
        <f t="shared" ca="1" si="21"/>
        <v>0</v>
      </c>
      <c r="E105">
        <f ca="1">IF($C105=1,OFFSET(E105,-1,0)+MAX(1,COUNTIF(QCI!$A$13:$A$24,OFFSET(ORÇAMENTO!E105,-1,0))),OFFSET(E105,-1,0))</f>
        <v>7</v>
      </c>
      <c r="F105">
        <f t="shared" ca="1" si="22"/>
        <v>5</v>
      </c>
      <c r="G105">
        <f t="shared" ca="1" si="23"/>
        <v>1</v>
      </c>
      <c r="H105">
        <f t="shared" ca="1" si="24"/>
        <v>0</v>
      </c>
      <c r="I105">
        <f t="shared" ca="1" si="25"/>
        <v>0</v>
      </c>
      <c r="J105">
        <f t="shared" ca="1" si="17"/>
        <v>0</v>
      </c>
      <c r="K105">
        <f ca="1">IF(OR($C105="S",$C105=0),0,MATCH(OFFSET($D105,0,$C105)+IF($C105&lt;&gt;1,1,COUNTIF(QCI!$A$13:$A$24,ORÇAMENTO!E105)),OFFSET($D105,1,$C105,ROW($C$244)-ROW($C105)),0))</f>
        <v>0</v>
      </c>
      <c r="L105" s="114" t="str">
        <f t="shared" ca="1" si="26"/>
        <v/>
      </c>
      <c r="M105" s="115" t="s">
        <v>705</v>
      </c>
      <c r="N105" s="116" t="str">
        <f t="shared" ca="1" si="27"/>
        <v>Serviço</v>
      </c>
      <c r="O105" s="117" t="str">
        <f t="shared" ca="1" si="28"/>
        <v>-</v>
      </c>
      <c r="P105" s="118" t="s">
        <v>750</v>
      </c>
      <c r="Q105" s="119" t="s">
        <v>1065</v>
      </c>
      <c r="R105" s="120" t="str" cm="1">
        <f t="array" aca="1" ref="R105" ca="1">IF($C105="S",REFERENCIA.Descricao,"(digite a descrição aqui)")</f>
        <v>(Código não identificado nas referências)</v>
      </c>
      <c r="S105" s="121" t="str" cm="1">
        <f t="array" aca="1" ref="S105" ca="1">REFERENCIA.Unidade</f>
        <v>-</v>
      </c>
      <c r="T105" s="122">
        <f ca="1">OFFSET(CÁLCULO!H$15,ROW($T105)-ROW(T$15),0)</f>
        <v>88.799999999999983</v>
      </c>
      <c r="U105" s="123">
        <f t="shared" ca="1" si="29"/>
        <v>0</v>
      </c>
      <c r="V105" s="124" t="s">
        <v>663</v>
      </c>
      <c r="W105" s="122" cm="1">
        <f t="array" aca="1" ref="W105" ca="1">IF($C105="S",ROUND(IF(TIPOORCAMENTO="Proposto",ORÇAMENTO.CustoUnitario*(1+$AH105),ORÇAMENTO.PrecoUnitarioLicitado),15-13*$AF$10),0)</f>
        <v>0</v>
      </c>
      <c r="X105" s="125" cm="1">
        <f t="array" aca="1" ref="X105" ca="1">IF($C105="S",IF(OR(Import.TipoArredondamento&lt;&gt;"TransfereGOV",ACOMPANHAMENTO="BM"),VTOTAL1,SUM(OFFSET(CÁLCULO!$AQ$15,ROW($X105)-ROW($X$15),1):OFFSET(CÁLCULO!$BR$15,ROW($X105)-ROW($X$15),-1))),IF($C105=0,0,ROUND(SomaAgrup,15-13*$AF$11)))</f>
        <v>0</v>
      </c>
      <c r="Y105" s="126" t="s">
        <v>751</v>
      </c>
      <c r="Z105" t="str">
        <f t="shared" ca="1" si="30"/>
        <v/>
      </c>
      <c r="AA105" s="127" cm="1">
        <f t="array" aca="1" ref="AA105" ca="1">IF($C105="S",IF($Z105="CP",$X105,IF($Z105="RA",(($X105)*QCI!$AA$3),0)),SomaAgrup)</f>
        <v>0</v>
      </c>
      <c r="AB105" s="128" cm="1">
        <f t="array" aca="1" ref="AB105" ca="1">IF($C105="S",IF($Z105="OU",ROUND($X105,2),0),SomaAgrup)</f>
        <v>0</v>
      </c>
      <c r="AC105" s="565" t="str" cm="1">
        <f t="array" aca="1" ref="AC105" ca="1">IF($N105=""," ",
IF(AND($C105&lt;&gt;"S",OR($R105="",$R105="(digite a descrição aqui)")),"DESCRIÇÃO",
IF(AND($C105="S",OR($Q105&lt;&gt;"",$T105&gt;0,$U105&gt;0),$P105=""),"FONTE",
IF(AND($C105="S",$P105&lt;&gt;"",OR($T105&gt;0,$U105&gt;0),$Q105=""),"CÓDIGO",
IF(AND($C105="S",$P105&lt;&gt;"",$Q105&lt;&gt;"",$R105="(Código não identificado nas referências)"),"CÓDIGO N/ID",
IF(AND($C105="S",OR($R105="",$R105="(digite a descrição aqui)"),OR($Q105&lt;&gt;"",$T105&gt;0,$U105&gt;0)),"DESCRIÇÃO",
IF(AND($C105="S",$P105&lt;&gt;"",$Q105&lt;&gt;"",$S105=""),"UNIDADE",
IF(AND($C105="S",$P105&lt;&gt;"",$Q105&lt;&gt;"",$U105=0),"SEM CUSTO",
IF(AND(TIPOORCAMENTO="Licitado",$AL105=0,$AN105&gt;0),"SEM PREÇO",
IF(AND($C105="S",$P105&lt;&gt;"",$Q105&lt;&gt;"",$U105&gt;0,AND($V105&lt;&gt;"BDI 1",$V105&lt;&gt;"BDI 2",$V105&lt;&gt;"BDI 3")),IF(ISNUMBER($V105),"JUSTIFICAR BDI","BDI"),
IF(OR(AND(import.recurso="OGU",TIPOORCAMENTO="Proposto",LEFT($O$8,5)&lt;&gt;"(N/D:",$AG105&lt;&gt;"",ORÇAMENTO.CustoUnitario&gt;$AG105),AND(TIPOORCAMENTO="LICITADO",ORÇAMENTO.PrecoUnitarioLicitado&gt;$AN105)),"ACIMA REF.",
IF(AND($C105="S",$P105&lt;&gt;"",$Q105&lt;&gt;"",$T105=0,$U105&gt;0),"QUANT.",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CÓDIGO N/ID</v>
      </c>
      <c r="AD105" t="str">
        <f ca="1">IF(C105&lt;=CRONO.NivelExibicao,MAX($AD$15:OFFSET(AD105,-1,0))+IF($C105&lt;&gt;1,1,MAX(1,COUNTIF(QCI!$A$13:$A$24,OFFSET($E105,-1,0)))),"")</f>
        <v/>
      </c>
      <c r="AE105" s="7" t="str" cm="1">
        <f t="array" aca="1" ref="AE105" ca="1">IF(AND($C105="S",ORÇAMENTO.CodBarra&lt;&gt;""),IF(ORÇAMENTO.Fonte="",ORÇAMENTO.CodBarra,CONCATENATE(ORÇAMENTO.Fonte," ",ORÇAMENTO.CodBarra)))</f>
        <v>SINAPI 104640</v>
      </c>
      <c r="AF105" s="12" t="str" cm="1">
        <f t="array" aca="1" ref="AF105" ca="1">IF(ISERROR(ORÇAMENTO.BancoRef),"(abra o arquivo 'Referência "&amp;Excel_BuiltIn_Database&amp;".xlsm)",IF(OR($C105&lt;&gt;"S",ORÇAMENTO.CodBarra=""),"(Sem Código)",IF(ISERROR(MATCH($AE105,INDIRECT(ORÇAMENTO.BancoRef),0)),"(Código não identificado nas referências)",MATCH($AE105,INDIRECT(ORÇAMENTO.BancoRef),0))))</f>
        <v>(Código não identificado nas referências)</v>
      </c>
      <c r="AG105" s="428" cm="1">
        <f t="array" aca="1" ref="AG105" ca="1">ROUND(IF(DESONERACAO="sim",REFERENCIA.Desonerado,REFERENCIA.NaoDesonerado),2)</f>
        <v>0</v>
      </c>
      <c r="AH105" s="429">
        <f t="shared" ca="1" si="31"/>
        <v>0.2223</v>
      </c>
      <c r="AJ105" s="431"/>
      <c r="AL105" s="439"/>
      <c r="AM105" s="336">
        <f t="shared" ca="1" si="0"/>
        <v>0</v>
      </c>
      <c r="AN105" s="470" cm="1">
        <f t="array" aca="1" ref="AN105" ca="1">ROUND(ORÇAMENTO.CustoUnitario*(1+$AH105),2)</f>
        <v>0</v>
      </c>
    </row>
    <row r="106" spans="1:40" ht="25.5" x14ac:dyDescent="0.2">
      <c r="A106" t="str">
        <f t="shared" si="18"/>
        <v>S</v>
      </c>
      <c r="B106">
        <f t="shared" ca="1" si="19"/>
        <v>3</v>
      </c>
      <c r="C106" t="str">
        <f t="shared" ca="1" si="20"/>
        <v>S</v>
      </c>
      <c r="D106">
        <f t="shared" ca="1" si="21"/>
        <v>0</v>
      </c>
      <c r="E106">
        <f ca="1">IF($C106=1,OFFSET(E106,-1,0)+MAX(1,COUNTIF(QCI!$A$13:$A$24,OFFSET(ORÇAMENTO!E106,-1,0))),OFFSET(E106,-1,0))</f>
        <v>7</v>
      </c>
      <c r="F106">
        <f t="shared" ca="1" si="22"/>
        <v>5</v>
      </c>
      <c r="G106">
        <f t="shared" ca="1" si="23"/>
        <v>1</v>
      </c>
      <c r="H106">
        <f t="shared" ca="1" si="24"/>
        <v>0</v>
      </c>
      <c r="I106">
        <f t="shared" ca="1" si="25"/>
        <v>0</v>
      </c>
      <c r="J106">
        <f t="shared" ca="1" si="17"/>
        <v>0</v>
      </c>
      <c r="K106">
        <f ca="1">IF(OR($C106="S",$C106=0),0,MATCH(OFFSET($D106,0,$C106)+IF($C106&lt;&gt;1,1,COUNTIF(QCI!$A$13:$A$24,ORÇAMENTO!E106)),OFFSET($D106,1,$C106,ROW($C$244)-ROW($C106)),0))</f>
        <v>0</v>
      </c>
      <c r="L106" s="114" t="str">
        <f t="shared" ca="1" si="26"/>
        <v/>
      </c>
      <c r="M106" s="115" t="s">
        <v>705</v>
      </c>
      <c r="N106" s="116" t="str">
        <f t="shared" ca="1" si="27"/>
        <v>Serviço</v>
      </c>
      <c r="O106" s="117" t="str">
        <f t="shared" ca="1" si="28"/>
        <v>-</v>
      </c>
      <c r="P106" s="118" t="s">
        <v>750</v>
      </c>
      <c r="Q106" s="119" t="s">
        <v>1066</v>
      </c>
      <c r="R106" s="120" t="str" cm="1">
        <f t="array" aca="1" ref="R106" ca="1">IF($C106="S",REFERENCIA.Descricao,"(digite a descrição aqui)")</f>
        <v>(Código não identificado nas referências)</v>
      </c>
      <c r="S106" s="121" t="str" cm="1">
        <f t="array" aca="1" ref="S106" ca="1">REFERENCIA.Unidade</f>
        <v>-</v>
      </c>
      <c r="T106" s="122">
        <f ca="1">OFFSET(CÁLCULO!H$15,ROW($T106)-ROW(T$15),0)</f>
        <v>2252.1999999999994</v>
      </c>
      <c r="U106" s="123">
        <f t="shared" ca="1" si="29"/>
        <v>0</v>
      </c>
      <c r="V106" s="124" t="s">
        <v>663</v>
      </c>
      <c r="W106" s="122" cm="1">
        <f t="array" aca="1" ref="W106" ca="1">IF($C106="S",ROUND(IF(TIPOORCAMENTO="Proposto",ORÇAMENTO.CustoUnitario*(1+$AH106),ORÇAMENTO.PrecoUnitarioLicitado),15-13*$AF$10),0)</f>
        <v>0</v>
      </c>
      <c r="X106" s="125" cm="1">
        <f t="array" aca="1" ref="X106" ca="1">IF($C106="S",IF(OR(Import.TipoArredondamento&lt;&gt;"TransfereGOV",ACOMPANHAMENTO="BM"),VTOTAL1,SUM(OFFSET(CÁLCULO!$AQ$15,ROW($X106)-ROW($X$15),1):OFFSET(CÁLCULO!$BR$15,ROW($X106)-ROW($X$15),-1))),IF($C106=0,0,ROUND(SomaAgrup,15-13*$AF$11)))</f>
        <v>0</v>
      </c>
      <c r="Y106" s="126" t="s">
        <v>751</v>
      </c>
      <c r="Z106" t="str">
        <f t="shared" ca="1" si="30"/>
        <v/>
      </c>
      <c r="AA106" s="127" cm="1">
        <f t="array" aca="1" ref="AA106" ca="1">IF($C106="S",IF($Z106="CP",$X106,IF($Z106="RA",(($X106)*QCI!$AA$3),0)),SomaAgrup)</f>
        <v>0</v>
      </c>
      <c r="AB106" s="128" cm="1">
        <f t="array" aca="1" ref="AB106" ca="1">IF($C106="S",IF($Z106="OU",ROUND($X106,2),0),SomaAgrup)</f>
        <v>0</v>
      </c>
      <c r="AC106" s="565" t="str" cm="1">
        <f t="array" aca="1" ref="AC106" ca="1">IF($N106=""," ",
IF(AND($C106&lt;&gt;"S",OR($R106="",$R106="(digite a descrição aqui)")),"DESCRIÇÃO",
IF(AND($C106="S",OR($Q106&lt;&gt;"",$T106&gt;0,$U106&gt;0),$P106=""),"FONTE",
IF(AND($C106="S",$P106&lt;&gt;"",OR($T106&gt;0,$U106&gt;0),$Q106=""),"CÓDIGO",
IF(AND($C106="S",$P106&lt;&gt;"",$Q106&lt;&gt;"",$R106="(Código não identificado nas referências)"),"CÓDIGO N/ID",
IF(AND($C106="S",OR($R106="",$R106="(digite a descrição aqui)"),OR($Q106&lt;&gt;"",$T106&gt;0,$U106&gt;0)),"DESCRIÇÃO",
IF(AND($C106="S",$P106&lt;&gt;"",$Q106&lt;&gt;"",$S106=""),"UNIDADE",
IF(AND($C106="S",$P106&lt;&gt;"",$Q106&lt;&gt;"",$U106=0),"SEM CUSTO",
IF(AND(TIPOORCAMENTO="Licitado",$AL106=0,$AN106&gt;0),"SEM PREÇO",
IF(AND($C106="S",$P106&lt;&gt;"",$Q106&lt;&gt;"",$U106&gt;0,AND($V106&lt;&gt;"BDI 1",$V106&lt;&gt;"BDI 2",$V106&lt;&gt;"BDI 3")),IF(ISNUMBER($V106),"JUSTIFICAR BDI","BDI"),
IF(OR(AND(import.recurso="OGU",TIPOORCAMENTO="Proposto",LEFT($O$8,5)&lt;&gt;"(N/D:",$AG106&lt;&gt;"",ORÇAMENTO.CustoUnitario&gt;$AG106),AND(TIPOORCAMENTO="LICITADO",ORÇAMENTO.PrecoUnitarioLicitado&gt;$AN106)),"ACIMA REF.",
IF(AND($C106="S",$P106&lt;&gt;"",$Q106&lt;&gt;"",$T106=0,$U106&gt;0),"QUANT.",
IF(AND(Import.TipoArredondamento="TransfereGOV",$L106="F",$C106="S",LEN($Q106)&gt;13),"Código &gt;13",
IF(AND(Import.TipoArredondamento="TransfereGOV",$L106="F",$C106&lt;&gt;"S",LEN($R106)&gt;100),"Descrição &gt;100",
IF(AND(Import.TipoArredondamento="TransfereGOV",$L106="F",$C106="S",LEN($R106)&gt;500),"Descrição &gt;500",
IF(AND(Import.TipoArredondamento="TransfereGOV",$L106="F",$C106="S",LEFT(TRIM(UPPER($P106)),6)&lt;&gt;"SINAPI",ISNA(VLOOKUP(TRIM(UPPER($S106)),ListaTgov.Unidades,1,FALSE))),"Unid. Não Disp",
" "))))))))))))))))</f>
        <v>CÓDIGO N/ID</v>
      </c>
      <c r="AD106" t="str">
        <f ca="1">IF(C106&lt;=CRONO.NivelExibicao,MAX($AD$15:OFFSET(AD106,-1,0))+IF($C106&lt;&gt;1,1,MAX(1,COUNTIF(QCI!$A$13:$A$24,OFFSET($E106,-1,0)))),"")</f>
        <v/>
      </c>
      <c r="AE106" s="7" t="str" cm="1">
        <f t="array" aca="1" ref="AE106" ca="1">IF(AND($C106="S",ORÇAMENTO.CodBarra&lt;&gt;""),IF(ORÇAMENTO.Fonte="",ORÇAMENTO.CodBarra,CONCATENATE(ORÇAMENTO.Fonte," ",ORÇAMENTO.CodBarra)))</f>
        <v>SINAPI 104642</v>
      </c>
      <c r="AF106" s="12" t="str" cm="1">
        <f t="array" aca="1" ref="AF106" ca="1">IF(ISERROR(ORÇAMENTO.BancoRef),"(abra o arquivo 'Referência "&amp;Excel_BuiltIn_Database&amp;".xlsm)",IF(OR($C106&lt;&gt;"S",ORÇAMENTO.CodBarra=""),"(Sem Código)",IF(ISERROR(MATCH($AE106,INDIRECT(ORÇAMENTO.BancoRef),0)),"(Código não identificado nas referências)",MATCH($AE106,INDIRECT(ORÇAMENTO.BancoRef),0))))</f>
        <v>(Código não identificado nas referências)</v>
      </c>
      <c r="AG106" s="428" cm="1">
        <f t="array" aca="1" ref="AG106" ca="1">ROUND(IF(DESONERACAO="sim",REFERENCIA.Desonerado,REFERENCIA.NaoDesonerado),2)</f>
        <v>0</v>
      </c>
      <c r="AH106" s="429">
        <f t="shared" ca="1" si="31"/>
        <v>0.2223</v>
      </c>
      <c r="AJ106" s="431"/>
      <c r="AL106" s="439"/>
      <c r="AM106" s="336">
        <f t="shared" ca="1" si="0"/>
        <v>0</v>
      </c>
      <c r="AN106" s="470" cm="1">
        <f t="array" aca="1" ref="AN106" ca="1">ROUND(ORÇAMENTO.CustoUnitario*(1+$AH106),2)</f>
        <v>0</v>
      </c>
    </row>
    <row r="107" spans="1:40" x14ac:dyDescent="0.2">
      <c r="A107">
        <f t="shared" si="18"/>
        <v>3</v>
      </c>
      <c r="B107">
        <f t="shared" ca="1" si="19"/>
        <v>3</v>
      </c>
      <c r="C107">
        <f t="shared" ca="1" si="20"/>
        <v>3</v>
      </c>
      <c r="D107">
        <f t="shared" ca="1" si="21"/>
        <v>3</v>
      </c>
      <c r="E107">
        <f ca="1">IF($C107=1,OFFSET(E107,-1,0)+MAX(1,COUNTIF(QCI!$A$13:$A$24,OFFSET(ORÇAMENTO!E107,-1,0))),OFFSET(E107,-1,0))</f>
        <v>7</v>
      </c>
      <c r="F107">
        <f t="shared" ca="1" si="22"/>
        <v>5</v>
      </c>
      <c r="G107">
        <f t="shared" ca="1" si="23"/>
        <v>2</v>
      </c>
      <c r="H107">
        <f t="shared" ca="1" si="24"/>
        <v>0</v>
      </c>
      <c r="I107">
        <f t="shared" ca="1" si="25"/>
        <v>0</v>
      </c>
      <c r="J107">
        <f t="shared" ca="1" si="17"/>
        <v>7</v>
      </c>
      <c r="K107">
        <f ca="1">IF(OR($C107="S",$C107=0),0,MATCH(OFFSET($D107,0,$C107)+IF($C107&lt;&gt;1,1,COUNTIF(QCI!$A$13:$A$24,ORÇAMENTO!E107)),OFFSET($D107,1,$C107,ROW($C$244)-ROW($C107)),0))</f>
        <v>3</v>
      </c>
      <c r="L107" s="114" t="str">
        <f t="shared" ca="1" si="26"/>
        <v>F</v>
      </c>
      <c r="M107" s="115" t="s">
        <v>703</v>
      </c>
      <c r="N107" s="116" t="str">
        <f t="shared" ca="1" si="27"/>
        <v>Nível 3</v>
      </c>
      <c r="O107" s="117" t="str">
        <f t="shared" ca="1" si="28"/>
        <v>7.5.2.</v>
      </c>
      <c r="P107" s="118" t="s">
        <v>250</v>
      </c>
      <c r="Q107" s="119" t="s">
        <v>250</v>
      </c>
      <c r="R107" s="120" t="s">
        <v>1193</v>
      </c>
      <c r="S107" s="121"/>
      <c r="T107" s="122">
        <f ca="1">OFFSET(CÁLCULO!H$15,ROW($T107)-ROW(T$15),0)</f>
        <v>0</v>
      </c>
      <c r="U107" s="123">
        <f t="shared" ca="1" si="29"/>
        <v>0</v>
      </c>
      <c r="V107" s="124" t="s">
        <v>663</v>
      </c>
      <c r="W107" s="122" cm="1">
        <f t="array" aca="1" ref="W107" ca="1">IF($C107="S",ROUND(IF(TIPOORCAMENTO="Proposto",ORÇAMENTO.CustoUnitario*(1+$AH107),ORÇAMENTO.PrecoUnitarioLicitado),15-13*$AF$10),0)</f>
        <v>0</v>
      </c>
      <c r="X107" s="125" cm="1">
        <f t="array" aca="1" ref="X107" ca="1">IF($C107="S",IF(OR(Import.TipoArredondamento&lt;&gt;"TransfereGOV",ACOMPANHAMENTO="BM"),VTOTAL1,SUM(OFFSET(CÁLCULO!$AQ$15,ROW($X107)-ROW($X$15),1):OFFSET(CÁLCULO!$BR$15,ROW($X107)-ROW($X$15),-1))),IF($C107=0,0,ROUND(SomaAgrup,15-13*$AF$11)))</f>
        <v>0</v>
      </c>
      <c r="Y107" s="126" t="s">
        <v>751</v>
      </c>
      <c r="Z107" t="str">
        <f t="shared" ca="1" si="30"/>
        <v/>
      </c>
      <c r="AA107" s="127" cm="1">
        <f t="array" aca="1" ref="AA107" ca="1">IF($C107="S",IF($Z107="CP",$X107,IF($Z107="RA",(($X107)*QCI!$AA$3),0)),SomaAgrup)</f>
        <v>0</v>
      </c>
      <c r="AB107" s="128" cm="1">
        <f t="array" aca="1" ref="AB107" ca="1">IF($C107="S",IF($Z107="OU",ROUND($X107,2),0),SomaAgrup)</f>
        <v>0</v>
      </c>
      <c r="AC107" s="565" t="str" cm="1">
        <f t="array" aca="1" ref="AC107" ca="1">IF($N107=""," ",
IF(AND($C107&lt;&gt;"S",OR($R107="",$R107="(digite a descrição aqui)")),"DESCRIÇÃO",
IF(AND($C107="S",OR($Q107&lt;&gt;"",$T107&gt;0,$U107&gt;0),$P107=""),"FONTE",
IF(AND($C107="S",$P107&lt;&gt;"",OR($T107&gt;0,$U107&gt;0),$Q107=""),"CÓDIGO",
IF(AND($C107="S",$P107&lt;&gt;"",$Q107&lt;&gt;"",$R107="(Código não identificado nas referências)"),"CÓDIGO N/ID",
IF(AND($C107="S",OR($R107="",$R107="(digite a descrição aqui)"),OR($Q107&lt;&gt;"",$T107&gt;0,$U107&gt;0)),"DESCRIÇÃO",
IF(AND($C107="S",$P107&lt;&gt;"",$Q107&lt;&gt;"",$S107=""),"UNIDADE",
IF(AND($C107="S",$P107&lt;&gt;"",$Q107&lt;&gt;"",$U107=0),"SEM CUSTO",
IF(AND(TIPOORCAMENTO="Licitado",$AL107=0,$AN107&gt;0),"SEM PREÇO",
IF(AND($C107="S",$P107&lt;&gt;"",$Q107&lt;&gt;"",$U107&gt;0,AND($V107&lt;&gt;"BDI 1",$V107&lt;&gt;"BDI 2",$V107&lt;&gt;"BDI 3")),IF(ISNUMBER($V107),"JUSTIFICAR BDI","BDI"),
IF(OR(AND(import.recurso="OGU",TIPOORCAMENTO="Proposto",LEFT($O$8,5)&lt;&gt;"(N/D:",$AG107&lt;&gt;"",ORÇAMENTO.CustoUnitario&gt;$AG107),AND(TIPOORCAMENTO="LICITADO",ORÇAMENTO.PrecoUnitarioLicitado&gt;$AN107)),"ACIMA REF.",
IF(AND($C107="S",$P107&lt;&gt;"",$Q107&lt;&gt;"",$T107=0,$U107&gt;0),"QUANT.",
IF(AND(Import.TipoArredondamento="TransfereGOV",$L107="F",$C107="S",LEN($Q107)&gt;13),"Código &gt;13",
IF(AND(Import.TipoArredondamento="TransfereGOV",$L107="F",$C107&lt;&gt;"S",LEN($R107)&gt;100),"Descrição &gt;100",
IF(AND(Import.TipoArredondamento="TransfereGOV",$L107="F",$C107="S",LEN($R107)&gt;500),"Descrição &gt;500",
IF(AND(Import.TipoArredondamento="TransfereGOV",$L107="F",$C107="S",LEFT(TRIM(UPPER($P107)),6)&lt;&gt;"SINAPI",ISNA(VLOOKUP(TRIM(UPPER($S107)),ListaTgov.Unidades,1,FALSE))),"Unid. Não Disp",
" "))))))))))))))))</f>
        <v xml:space="preserve"> </v>
      </c>
      <c r="AD107">
        <f ca="1">IF(C107&lt;=CRONO.NivelExibicao,MAX($AD$15:OFFSET(AD107,-1,0))+IF($C107&lt;&gt;1,1,MAX(1,COUNTIF(QCI!$A$13:$A$24,OFFSET($E107,-1,0)))),"")</f>
        <v>25</v>
      </c>
      <c r="AE107" s="7" t="b" cm="1">
        <f t="array" aca="1" ref="AE107" ca="1">IF(AND($C107="S",ORÇAMENTO.CodBarra&lt;&gt;""),IF(ORÇAMENTO.Fonte="",ORÇAMENTO.CodBarra,CONCATENATE(ORÇAMENTO.Fonte," ",ORÇAMENTO.CodBarra)))</f>
        <v>0</v>
      </c>
      <c r="AF107" s="12" t="str" cm="1">
        <f t="array" aca="1" ref="AF107" ca="1">IF(ISERROR(ORÇAMENTO.BancoRef),"(abra o arquivo 'Referência "&amp;Excel_BuiltIn_Database&amp;".xlsm)",IF(OR($C107&lt;&gt;"S",ORÇAMENTO.CodBarra=""),"(Sem Código)",IF(ISERROR(MATCH($AE107,INDIRECT(ORÇAMENTO.BancoRef),0)),"(Código não identificado nas referências)",MATCH($AE107,INDIRECT(ORÇAMENTO.BancoRef),0))))</f>
        <v>(Sem Código)</v>
      </c>
      <c r="AG107" s="428" cm="1">
        <f t="array" aca="1" ref="AG107" ca="1">ROUND(IF(DESONERACAO="sim",REFERENCIA.Desonerado,REFERENCIA.NaoDesonerado),2)</f>
        <v>0</v>
      </c>
      <c r="AH107" s="429">
        <f t="shared" ca="1" si="31"/>
        <v>0.2223</v>
      </c>
      <c r="AJ107" s="431"/>
      <c r="AL107" s="439"/>
      <c r="AM107" s="336">
        <f t="shared" ca="1" si="0"/>
        <v>0</v>
      </c>
      <c r="AN107" s="470" cm="1">
        <f t="array" aca="1" ref="AN107" ca="1">ROUND(ORÇAMENTO.CustoUnitario*(1+$AH107),2)</f>
        <v>0</v>
      </c>
    </row>
    <row r="108" spans="1:40" ht="25.5" x14ac:dyDescent="0.2">
      <c r="A108" t="str">
        <f t="shared" si="18"/>
        <v>S</v>
      </c>
      <c r="B108">
        <f t="shared" ca="1" si="19"/>
        <v>3</v>
      </c>
      <c r="C108" t="str">
        <f t="shared" ca="1" si="20"/>
        <v>S</v>
      </c>
      <c r="D108">
        <f t="shared" ca="1" si="21"/>
        <v>0</v>
      </c>
      <c r="E108">
        <f ca="1">IF($C108=1,OFFSET(E108,-1,0)+MAX(1,COUNTIF(QCI!$A$13:$A$24,OFFSET(ORÇAMENTO!E108,-1,0))),OFFSET(E108,-1,0))</f>
        <v>7</v>
      </c>
      <c r="F108">
        <f t="shared" ca="1" si="22"/>
        <v>5</v>
      </c>
      <c r="G108">
        <f t="shared" ca="1" si="23"/>
        <v>2</v>
      </c>
      <c r="H108">
        <f t="shared" ca="1" si="24"/>
        <v>0</v>
      </c>
      <c r="I108">
        <f t="shared" ca="1" si="25"/>
        <v>0</v>
      </c>
      <c r="J108">
        <f t="shared" ca="1" si="17"/>
        <v>0</v>
      </c>
      <c r="K108">
        <f ca="1">IF(OR($C108="S",$C108=0),0,MATCH(OFFSET($D108,0,$C108)+IF($C108&lt;&gt;1,1,COUNTIF(QCI!$A$13:$A$24,ORÇAMENTO!E108)),OFFSET($D108,1,$C108,ROW($C$244)-ROW($C108)),0))</f>
        <v>0</v>
      </c>
      <c r="L108" s="114" t="str">
        <f t="shared" ca="1" si="26"/>
        <v/>
      </c>
      <c r="M108" s="115" t="s">
        <v>705</v>
      </c>
      <c r="N108" s="116" t="str">
        <f t="shared" ca="1" si="27"/>
        <v>Serviço</v>
      </c>
      <c r="O108" s="117" t="str">
        <f t="shared" ca="1" si="28"/>
        <v>-</v>
      </c>
      <c r="P108" s="118" t="s">
        <v>750</v>
      </c>
      <c r="Q108" s="119" t="s">
        <v>1067</v>
      </c>
      <c r="R108" s="120" t="str" cm="1">
        <f t="array" aca="1" ref="R108" ca="1">IF($C108="S",REFERENCIA.Descricao,"(digite a descrição aqui)")</f>
        <v>(Código não identificado nas referências)</v>
      </c>
      <c r="S108" s="121" t="str" cm="1">
        <f t="array" aca="1" ref="S108" ca="1">REFERENCIA.Unidade</f>
        <v>-</v>
      </c>
      <c r="T108" s="122">
        <f ca="1">OFFSET(CÁLCULO!H$15,ROW($T108)-ROW(T$15),0)</f>
        <v>1215.9999999999995</v>
      </c>
      <c r="U108" s="123">
        <f t="shared" ca="1" si="29"/>
        <v>0</v>
      </c>
      <c r="V108" s="124" t="s">
        <v>663</v>
      </c>
      <c r="W108" s="122" cm="1">
        <f t="array" aca="1" ref="W108" ca="1">IF($C108="S",ROUND(IF(TIPOORCAMENTO="Proposto",ORÇAMENTO.CustoUnitario*(1+$AH108),ORÇAMENTO.PrecoUnitarioLicitado),15-13*$AF$10),0)</f>
        <v>0</v>
      </c>
      <c r="X108" s="125" cm="1">
        <f t="array" aca="1" ref="X108" ca="1">IF($C108="S",IF(OR(Import.TipoArredondamento&lt;&gt;"TransfereGOV",ACOMPANHAMENTO="BM"),VTOTAL1,SUM(OFFSET(CÁLCULO!$AQ$15,ROW($X108)-ROW($X$15),1):OFFSET(CÁLCULO!$BR$15,ROW($X108)-ROW($X$15),-1))),IF($C108=0,0,ROUND(SomaAgrup,15-13*$AF$11)))</f>
        <v>0</v>
      </c>
      <c r="Y108" s="126" t="s">
        <v>751</v>
      </c>
      <c r="Z108" t="str">
        <f t="shared" ca="1" si="30"/>
        <v/>
      </c>
      <c r="AA108" s="127" cm="1">
        <f t="array" aca="1" ref="AA108" ca="1">IF($C108="S",IF($Z108="CP",$X108,IF($Z108="RA",(($X108)*QCI!$AA$3),0)),SomaAgrup)</f>
        <v>0</v>
      </c>
      <c r="AB108" s="128" cm="1">
        <f t="array" aca="1" ref="AB108" ca="1">IF($C108="S",IF($Z108="OU",ROUND($X108,2),0),SomaAgrup)</f>
        <v>0</v>
      </c>
      <c r="AC108" s="565" t="str" cm="1">
        <f t="array" aca="1" ref="AC108" ca="1">IF($N108=""," ",
IF(AND($C108&lt;&gt;"S",OR($R108="",$R108="(digite a descrição aqui)")),"DESCRIÇÃO",
IF(AND($C108="S",OR($Q108&lt;&gt;"",$T108&gt;0,$U108&gt;0),$P108=""),"FONTE",
IF(AND($C108="S",$P108&lt;&gt;"",OR($T108&gt;0,$U108&gt;0),$Q108=""),"CÓDIGO",
IF(AND($C108="S",$P108&lt;&gt;"",$Q108&lt;&gt;"",$R108="(Código não identificado nas referências)"),"CÓDIGO N/ID",
IF(AND($C108="S",OR($R108="",$R108="(digite a descrição aqui)"),OR($Q108&lt;&gt;"",$T108&gt;0,$U108&gt;0)),"DESCRIÇÃO",
IF(AND($C108="S",$P108&lt;&gt;"",$Q108&lt;&gt;"",$S108=""),"UNIDADE",
IF(AND($C108="S",$P108&lt;&gt;"",$Q108&lt;&gt;"",$U108=0),"SEM CUSTO",
IF(AND(TIPOORCAMENTO="Licitado",$AL108=0,$AN108&gt;0),"SEM PREÇO",
IF(AND($C108="S",$P108&lt;&gt;"",$Q108&lt;&gt;"",$U108&gt;0,AND($V108&lt;&gt;"BDI 1",$V108&lt;&gt;"BDI 2",$V108&lt;&gt;"BDI 3")),IF(ISNUMBER($V108),"JUSTIFICAR BDI","BDI"),
IF(OR(AND(import.recurso="OGU",TIPOORCAMENTO="Proposto",LEFT($O$8,5)&lt;&gt;"(N/D:",$AG108&lt;&gt;"",ORÇAMENTO.CustoUnitario&gt;$AG108),AND(TIPOORCAMENTO="LICITADO",ORÇAMENTO.PrecoUnitarioLicitado&gt;$AN108)),"ACIMA REF.",
IF(AND($C108="S",$P108&lt;&gt;"",$Q108&lt;&gt;"",$T108=0,$U108&gt;0),"QUANT.",
IF(AND(Import.TipoArredondamento="TransfereGOV",$L108="F",$C108="S",LEN($Q108)&gt;13),"Código &gt;13",
IF(AND(Import.TipoArredondamento="TransfereGOV",$L108="F",$C108&lt;&gt;"S",LEN($R108)&gt;100),"Descrição &gt;100",
IF(AND(Import.TipoArredondamento="TransfereGOV",$L108="F",$C108="S",LEN($R108)&gt;500),"Descrição &gt;500",
IF(AND(Import.TipoArredondamento="TransfereGOV",$L108="F",$C108="S",LEFT(TRIM(UPPER($P108)),6)&lt;&gt;"SINAPI",ISNA(VLOOKUP(TRIM(UPPER($S108)),ListaTgov.Unidades,1,FALSE))),"Unid. Não Disp",
" "))))))))))))))))</f>
        <v>CÓDIGO N/ID</v>
      </c>
      <c r="AD108" t="str">
        <f ca="1">IF(C108&lt;=CRONO.NivelExibicao,MAX($AD$15:OFFSET(AD108,-1,0))+IF($C108&lt;&gt;1,1,MAX(1,COUNTIF(QCI!$A$13:$A$24,OFFSET($E108,-1,0)))),"")</f>
        <v/>
      </c>
      <c r="AE108" s="7" t="str" cm="1">
        <f t="array" aca="1" ref="AE108" ca="1">IF(AND($C108="S",ORÇAMENTO.CodBarra&lt;&gt;""),IF(ORÇAMENTO.Fonte="",ORÇAMENTO.CodBarra,CONCATENATE(ORÇAMENTO.Fonte," ",ORÇAMENTO.CodBarra)))</f>
        <v>SINAPI 88415</v>
      </c>
      <c r="AF108" s="12" t="str" cm="1">
        <f t="array" aca="1" ref="AF108" ca="1">IF(ISERROR(ORÇAMENTO.BancoRef),"(abra o arquivo 'Referência "&amp;Excel_BuiltIn_Database&amp;".xlsm)",IF(OR($C108&lt;&gt;"S",ORÇAMENTO.CodBarra=""),"(Sem Código)",IF(ISERROR(MATCH($AE108,INDIRECT(ORÇAMENTO.BancoRef),0)),"(Código não identificado nas referências)",MATCH($AE108,INDIRECT(ORÇAMENTO.BancoRef),0))))</f>
        <v>(Código não identificado nas referências)</v>
      </c>
      <c r="AG108" s="428" cm="1">
        <f t="array" aca="1" ref="AG108" ca="1">ROUND(IF(DESONERACAO="sim",REFERENCIA.Desonerado,REFERENCIA.NaoDesonerado),2)</f>
        <v>0</v>
      </c>
      <c r="AH108" s="429">
        <f t="shared" ca="1" si="31"/>
        <v>0.2223</v>
      </c>
      <c r="AJ108" s="431"/>
      <c r="AL108" s="439"/>
      <c r="AM108" s="336">
        <f t="shared" ca="1" si="0"/>
        <v>0</v>
      </c>
      <c r="AN108" s="470" cm="1">
        <f t="array" aca="1" ref="AN108" ca="1">ROUND(ORÇAMENTO.CustoUnitario*(1+$AH108),2)</f>
        <v>0</v>
      </c>
    </row>
    <row r="109" spans="1:40" ht="25.5" x14ac:dyDescent="0.2">
      <c r="A109" t="str">
        <f t="shared" si="18"/>
        <v>S</v>
      </c>
      <c r="B109">
        <f t="shared" ca="1" si="19"/>
        <v>3</v>
      </c>
      <c r="C109" t="str">
        <f t="shared" ca="1" si="20"/>
        <v>S</v>
      </c>
      <c r="D109">
        <f t="shared" ca="1" si="21"/>
        <v>0</v>
      </c>
      <c r="E109">
        <f ca="1">IF($C109=1,OFFSET(E109,-1,0)+MAX(1,COUNTIF(QCI!$A$13:$A$24,OFFSET(ORÇAMENTO!E109,-1,0))),OFFSET(E109,-1,0))</f>
        <v>7</v>
      </c>
      <c r="F109">
        <f t="shared" ca="1" si="22"/>
        <v>5</v>
      </c>
      <c r="G109">
        <f t="shared" ca="1" si="23"/>
        <v>2</v>
      </c>
      <c r="H109">
        <f t="shared" ca="1" si="24"/>
        <v>0</v>
      </c>
      <c r="I109">
        <f t="shared" ca="1" si="25"/>
        <v>0</v>
      </c>
      <c r="J109">
        <f t="shared" ca="1" si="17"/>
        <v>0</v>
      </c>
      <c r="K109">
        <f ca="1">IF(OR($C109="S",$C109=0),0,MATCH(OFFSET($D109,0,$C109)+IF($C109&lt;&gt;1,1,COUNTIF(QCI!$A$13:$A$24,ORÇAMENTO!E109)),OFFSET($D109,1,$C109,ROW($C$244)-ROW($C109)),0))</f>
        <v>0</v>
      </c>
      <c r="L109" s="114" t="str">
        <f t="shared" ca="1" si="26"/>
        <v/>
      </c>
      <c r="M109" s="115" t="s">
        <v>705</v>
      </c>
      <c r="N109" s="116" t="str">
        <f t="shared" ca="1" si="27"/>
        <v>Serviço</v>
      </c>
      <c r="O109" s="117" t="str">
        <f t="shared" ca="1" si="28"/>
        <v>-</v>
      </c>
      <c r="P109" s="118" t="s">
        <v>750</v>
      </c>
      <c r="Q109" s="119" t="s">
        <v>1066</v>
      </c>
      <c r="R109" s="120" t="str" cm="1">
        <f t="array" aca="1" ref="R109" ca="1">IF($C109="S",REFERENCIA.Descricao,"(digite a descrição aqui)")</f>
        <v>(Código não identificado nas referências)</v>
      </c>
      <c r="S109" s="121" t="str" cm="1">
        <f t="array" aca="1" ref="S109" ca="1">REFERENCIA.Unidade</f>
        <v>-</v>
      </c>
      <c r="T109" s="122">
        <f ca="1">OFFSET(CÁLCULO!H$15,ROW($T109)-ROW(T$15),0)</f>
        <v>1215.9999999999995</v>
      </c>
      <c r="U109" s="123">
        <f t="shared" ca="1" si="29"/>
        <v>0</v>
      </c>
      <c r="V109" s="124" t="s">
        <v>663</v>
      </c>
      <c r="W109" s="122" cm="1">
        <f t="array" aca="1" ref="W109" ca="1">IF($C109="S",ROUND(IF(TIPOORCAMENTO="Proposto",ORÇAMENTO.CustoUnitario*(1+$AH109),ORÇAMENTO.PrecoUnitarioLicitado),15-13*$AF$10),0)</f>
        <v>0</v>
      </c>
      <c r="X109" s="125" cm="1">
        <f t="array" aca="1" ref="X109" ca="1">IF($C109="S",IF(OR(Import.TipoArredondamento&lt;&gt;"TransfereGOV",ACOMPANHAMENTO="BM"),VTOTAL1,SUM(OFFSET(CÁLCULO!$AQ$15,ROW($X109)-ROW($X$15),1):OFFSET(CÁLCULO!$BR$15,ROW($X109)-ROW($X$15),-1))),IF($C109=0,0,ROUND(SomaAgrup,15-13*$AF$11)))</f>
        <v>0</v>
      </c>
      <c r="Y109" s="126" t="s">
        <v>751</v>
      </c>
      <c r="Z109" t="str">
        <f t="shared" ca="1" si="30"/>
        <v/>
      </c>
      <c r="AA109" s="127" cm="1">
        <f t="array" aca="1" ref="AA109" ca="1">IF($C109="S",IF($Z109="CP",$X109,IF($Z109="RA",(($X109)*QCI!$AA$3),0)),SomaAgrup)</f>
        <v>0</v>
      </c>
      <c r="AB109" s="128" cm="1">
        <f t="array" aca="1" ref="AB109" ca="1">IF($C109="S",IF($Z109="OU",ROUND($X109,2),0),SomaAgrup)</f>
        <v>0</v>
      </c>
      <c r="AC109" s="565" t="str" cm="1">
        <f t="array" aca="1" ref="AC109" ca="1">IF($N109=""," ",
IF(AND($C109&lt;&gt;"S",OR($R109="",$R109="(digite a descrição aqui)")),"DESCRIÇÃO",
IF(AND($C109="S",OR($Q109&lt;&gt;"",$T109&gt;0,$U109&gt;0),$P109=""),"FONTE",
IF(AND($C109="S",$P109&lt;&gt;"",OR($T109&gt;0,$U109&gt;0),$Q109=""),"CÓDIGO",
IF(AND($C109="S",$P109&lt;&gt;"",$Q109&lt;&gt;"",$R109="(Código não identificado nas referências)"),"CÓDIGO N/ID",
IF(AND($C109="S",OR($R109="",$R109="(digite a descrição aqui)"),OR($Q109&lt;&gt;"",$T109&gt;0,$U109&gt;0)),"DESCRIÇÃO",
IF(AND($C109="S",$P109&lt;&gt;"",$Q109&lt;&gt;"",$S109=""),"UNIDADE",
IF(AND($C109="S",$P109&lt;&gt;"",$Q109&lt;&gt;"",$U109=0),"SEM CUSTO",
IF(AND(TIPOORCAMENTO="Licitado",$AL109=0,$AN109&gt;0),"SEM PREÇO",
IF(AND($C109="S",$P109&lt;&gt;"",$Q109&lt;&gt;"",$U109&gt;0,AND($V109&lt;&gt;"BDI 1",$V109&lt;&gt;"BDI 2",$V109&lt;&gt;"BDI 3")),IF(ISNUMBER($V109),"JUSTIFICAR BDI","BDI"),
IF(OR(AND(import.recurso="OGU",TIPOORCAMENTO="Proposto",LEFT($O$8,5)&lt;&gt;"(N/D:",$AG109&lt;&gt;"",ORÇAMENTO.CustoUnitario&gt;$AG109),AND(TIPOORCAMENTO="LICITADO",ORÇAMENTO.PrecoUnitarioLicitado&gt;$AN109)),"ACIMA REF.",
IF(AND($C109="S",$P109&lt;&gt;"",$Q109&lt;&gt;"",$T109=0,$U109&gt;0),"QUANT.",
IF(AND(Import.TipoArredondamento="TransfereGOV",$L109="F",$C109="S",LEN($Q109)&gt;13),"Código &gt;13",
IF(AND(Import.TipoArredondamento="TransfereGOV",$L109="F",$C109&lt;&gt;"S",LEN($R109)&gt;100),"Descrição &gt;100",
IF(AND(Import.TipoArredondamento="TransfereGOV",$L109="F",$C109="S",LEN($R109)&gt;500),"Descrição &gt;500",
IF(AND(Import.TipoArredondamento="TransfereGOV",$L109="F",$C109="S",LEFT(TRIM(UPPER($P109)),6)&lt;&gt;"SINAPI",ISNA(VLOOKUP(TRIM(UPPER($S109)),ListaTgov.Unidades,1,FALSE))),"Unid. Não Disp",
" "))))))))))))))))</f>
        <v>CÓDIGO N/ID</v>
      </c>
      <c r="AD109" t="str">
        <f ca="1">IF(C109&lt;=CRONO.NivelExibicao,MAX($AD$15:OFFSET(AD109,-1,0))+IF($C109&lt;&gt;1,1,MAX(1,COUNTIF(QCI!$A$13:$A$24,OFFSET($E109,-1,0)))),"")</f>
        <v/>
      </c>
      <c r="AE109" s="7" t="str" cm="1">
        <f t="array" aca="1" ref="AE109" ca="1">IF(AND($C109="S",ORÇAMENTO.CodBarra&lt;&gt;""),IF(ORÇAMENTO.Fonte="",ORÇAMENTO.CodBarra,CONCATENATE(ORÇAMENTO.Fonte," ",ORÇAMENTO.CodBarra)))</f>
        <v>SINAPI 104642</v>
      </c>
      <c r="AF109" s="12" t="str" cm="1">
        <f t="array" aca="1" ref="AF109" ca="1">IF(ISERROR(ORÇAMENTO.BancoRef),"(abra o arquivo 'Referência "&amp;Excel_BuiltIn_Database&amp;".xlsm)",IF(OR($C109&lt;&gt;"S",ORÇAMENTO.CodBarra=""),"(Sem Código)",IF(ISERROR(MATCH($AE109,INDIRECT(ORÇAMENTO.BancoRef),0)),"(Código não identificado nas referências)",MATCH($AE109,INDIRECT(ORÇAMENTO.BancoRef),0))))</f>
        <v>(Código não identificado nas referências)</v>
      </c>
      <c r="AG109" s="428" cm="1">
        <f t="array" aca="1" ref="AG109" ca="1">ROUND(IF(DESONERACAO="sim",REFERENCIA.Desonerado,REFERENCIA.NaoDesonerado),2)</f>
        <v>0</v>
      </c>
      <c r="AH109" s="429">
        <f t="shared" ca="1" si="31"/>
        <v>0.2223</v>
      </c>
      <c r="AJ109" s="431"/>
      <c r="AL109" s="439"/>
      <c r="AM109" s="336">
        <f t="shared" ca="1" si="0"/>
        <v>0</v>
      </c>
      <c r="AN109" s="470" cm="1">
        <f t="array" aca="1" ref="AN109" ca="1">ROUND(ORÇAMENTO.CustoUnitario*(1+$AH109),2)</f>
        <v>0</v>
      </c>
    </row>
    <row r="110" spans="1:40" x14ac:dyDescent="0.2">
      <c r="A110">
        <f t="shared" si="18"/>
        <v>3</v>
      </c>
      <c r="B110">
        <f t="shared" ca="1" si="19"/>
        <v>3</v>
      </c>
      <c r="C110">
        <f t="shared" ca="1" si="20"/>
        <v>3</v>
      </c>
      <c r="D110">
        <f t="shared" ca="1" si="21"/>
        <v>4</v>
      </c>
      <c r="E110">
        <f ca="1">IF($C110=1,OFFSET(E110,-1,0)+MAX(1,COUNTIF(QCI!$A$13:$A$24,OFFSET(ORÇAMENTO!E110,-1,0))),OFFSET(E110,-1,0))</f>
        <v>7</v>
      </c>
      <c r="F110">
        <f t="shared" ca="1" si="22"/>
        <v>5</v>
      </c>
      <c r="G110">
        <f t="shared" ca="1" si="23"/>
        <v>3</v>
      </c>
      <c r="H110">
        <f t="shared" ca="1" si="24"/>
        <v>0</v>
      </c>
      <c r="I110">
        <f t="shared" ca="1" si="25"/>
        <v>0</v>
      </c>
      <c r="J110">
        <f t="shared" ca="1" si="17"/>
        <v>4</v>
      </c>
      <c r="K110">
        <f ca="1">IF(OR($C110="S",$C110=0),0,MATCH(OFFSET($D110,0,$C110)+IF($C110&lt;&gt;1,1,COUNTIF(QCI!$A$13:$A$24,ORÇAMENTO!E110)),OFFSET($D110,1,$C110,ROW($C$244)-ROW($C110)),0))</f>
        <v>78</v>
      </c>
      <c r="L110" s="114" t="str">
        <f t="shared" ca="1" si="26"/>
        <v>F</v>
      </c>
      <c r="M110" s="115" t="s">
        <v>703</v>
      </c>
      <c r="N110" s="116" t="str">
        <f t="shared" ca="1" si="27"/>
        <v>Nível 3</v>
      </c>
      <c r="O110" s="117" t="str">
        <f t="shared" ca="1" si="28"/>
        <v>7.5.3.</v>
      </c>
      <c r="P110" s="118" t="s">
        <v>250</v>
      </c>
      <c r="Q110" s="119" t="s">
        <v>250</v>
      </c>
      <c r="R110" s="120" t="s">
        <v>1194</v>
      </c>
      <c r="S110" s="121"/>
      <c r="T110" s="122">
        <f ca="1">OFFSET(CÁLCULO!H$15,ROW($T110)-ROW(T$15),0)</f>
        <v>0</v>
      </c>
      <c r="U110" s="123">
        <f t="shared" ca="1" si="29"/>
        <v>0</v>
      </c>
      <c r="V110" s="124" t="s">
        <v>663</v>
      </c>
      <c r="W110" s="122" cm="1">
        <f t="array" aca="1" ref="W110" ca="1">IF($C110="S",ROUND(IF(TIPOORCAMENTO="Proposto",ORÇAMENTO.CustoUnitario*(1+$AH110),ORÇAMENTO.PrecoUnitarioLicitado),15-13*$AF$10),0)</f>
        <v>0</v>
      </c>
      <c r="X110" s="125" cm="1">
        <f t="array" aca="1" ref="X110" ca="1">IF($C110="S",IF(OR(Import.TipoArredondamento&lt;&gt;"TransfereGOV",ACOMPANHAMENTO="BM"),VTOTAL1,SUM(OFFSET(CÁLCULO!$AQ$15,ROW($X110)-ROW($X$15),1):OFFSET(CÁLCULO!$BR$15,ROW($X110)-ROW($X$15),-1))),IF($C110=0,0,ROUND(SomaAgrup,15-13*$AF$11)))</f>
        <v>0</v>
      </c>
      <c r="Y110" s="126" t="s">
        <v>751</v>
      </c>
      <c r="Z110" t="str">
        <f t="shared" ca="1" si="30"/>
        <v/>
      </c>
      <c r="AA110" s="127" cm="1">
        <f t="array" aca="1" ref="AA110" ca="1">IF($C110="S",IF($Z110="CP",$X110,IF($Z110="RA",(($X110)*QCI!$AA$3),0)),SomaAgrup)</f>
        <v>0</v>
      </c>
      <c r="AB110" s="128" cm="1">
        <f t="array" aca="1" ref="AB110" ca="1">IF($C110="S",IF($Z110="OU",ROUND($X110,2),0),SomaAgrup)</f>
        <v>0</v>
      </c>
      <c r="AC110" s="565" t="str" cm="1">
        <f t="array" aca="1" ref="AC110" ca="1">IF($N110=""," ",
IF(AND($C110&lt;&gt;"S",OR($R110="",$R110="(digite a descrição aqui)")),"DESCRIÇÃO",
IF(AND($C110="S",OR($Q110&lt;&gt;"",$T110&gt;0,$U110&gt;0),$P110=""),"FONTE",
IF(AND($C110="S",$P110&lt;&gt;"",OR($T110&gt;0,$U110&gt;0),$Q110=""),"CÓDIGO",
IF(AND($C110="S",$P110&lt;&gt;"",$Q110&lt;&gt;"",$R110="(Código não identificado nas referências)"),"CÓDIGO N/ID",
IF(AND($C110="S",OR($R110="",$R110="(digite a descrição aqui)"),OR($Q110&lt;&gt;"",$T110&gt;0,$U110&gt;0)),"DESCRIÇÃO",
IF(AND($C110="S",$P110&lt;&gt;"",$Q110&lt;&gt;"",$S110=""),"UNIDADE",
IF(AND($C110="S",$P110&lt;&gt;"",$Q110&lt;&gt;"",$U110=0),"SEM CUSTO",
IF(AND(TIPOORCAMENTO="Licitado",$AL110=0,$AN110&gt;0),"SEM PREÇO",
IF(AND($C110="S",$P110&lt;&gt;"",$Q110&lt;&gt;"",$U110&gt;0,AND($V110&lt;&gt;"BDI 1",$V110&lt;&gt;"BDI 2",$V110&lt;&gt;"BDI 3")),IF(ISNUMBER($V110),"JUSTIFICAR BDI","BDI"),
IF(OR(AND(import.recurso="OGU",TIPOORCAMENTO="Proposto",LEFT($O$8,5)&lt;&gt;"(N/D:",$AG110&lt;&gt;"",ORÇAMENTO.CustoUnitario&gt;$AG110),AND(TIPOORCAMENTO="LICITADO",ORÇAMENTO.PrecoUnitarioLicitado&gt;$AN110)),"ACIMA REF.",
IF(AND($C110="S",$P110&lt;&gt;"",$Q110&lt;&gt;"",$T110=0,$U110&gt;0),"QUANT.",
IF(AND(Import.TipoArredondamento="TransfereGOV",$L110="F",$C110="S",LEN($Q110)&gt;13),"Código &gt;13",
IF(AND(Import.TipoArredondamento="TransfereGOV",$L110="F",$C110&lt;&gt;"S",LEN($R110)&gt;100),"Descrição &gt;100",
IF(AND(Import.TipoArredondamento="TransfereGOV",$L110="F",$C110="S",LEN($R110)&gt;500),"Descrição &gt;500",
IF(AND(Import.TipoArredondamento="TransfereGOV",$L110="F",$C110="S",LEFT(TRIM(UPPER($P110)),6)&lt;&gt;"SINAPI",ISNA(VLOOKUP(TRIM(UPPER($S110)),ListaTgov.Unidades,1,FALSE))),"Unid. Não Disp",
" "))))))))))))))))</f>
        <v xml:space="preserve"> </v>
      </c>
      <c r="AD110">
        <f ca="1">IF(C110&lt;=CRONO.NivelExibicao,MAX($AD$15:OFFSET(AD110,-1,0))+IF($C110&lt;&gt;1,1,MAX(1,COUNTIF(QCI!$A$13:$A$24,OFFSET($E110,-1,0)))),"")</f>
        <v>26</v>
      </c>
      <c r="AE110" s="7" t="b" cm="1">
        <f t="array" aca="1" ref="AE110" ca="1">IF(AND($C110="S",ORÇAMENTO.CodBarra&lt;&gt;""),IF(ORÇAMENTO.Fonte="",ORÇAMENTO.CodBarra,CONCATENATE(ORÇAMENTO.Fonte," ",ORÇAMENTO.CodBarra)))</f>
        <v>0</v>
      </c>
      <c r="AF110" s="12" t="str" cm="1">
        <f t="array" aca="1" ref="AF110" ca="1">IF(ISERROR(ORÇAMENTO.BancoRef),"(abra o arquivo 'Referência "&amp;Excel_BuiltIn_Database&amp;".xlsm)",IF(OR($C110&lt;&gt;"S",ORÇAMENTO.CodBarra=""),"(Sem Código)",IF(ISERROR(MATCH($AE110,INDIRECT(ORÇAMENTO.BancoRef),0)),"(Código não identificado nas referências)",MATCH($AE110,INDIRECT(ORÇAMENTO.BancoRef),0))))</f>
        <v>(Sem Código)</v>
      </c>
      <c r="AG110" s="428" cm="1">
        <f t="array" aca="1" ref="AG110" ca="1">ROUND(IF(DESONERACAO="sim",REFERENCIA.Desonerado,REFERENCIA.NaoDesonerado),2)</f>
        <v>0</v>
      </c>
      <c r="AH110" s="429">
        <f t="shared" ca="1" si="31"/>
        <v>0.2223</v>
      </c>
      <c r="AJ110" s="431"/>
      <c r="AL110" s="439"/>
      <c r="AM110" s="336">
        <f t="shared" ca="1" si="0"/>
        <v>0</v>
      </c>
      <c r="AN110" s="470" cm="1">
        <f t="array" aca="1" ref="AN110" ca="1">ROUND(ORÇAMENTO.CustoUnitario*(1+$AH110),2)</f>
        <v>0</v>
      </c>
    </row>
    <row r="111" spans="1:40" ht="25.5" x14ac:dyDescent="0.2">
      <c r="A111" t="str">
        <f t="shared" si="18"/>
        <v>S</v>
      </c>
      <c r="B111">
        <f t="shared" ca="1" si="19"/>
        <v>3</v>
      </c>
      <c r="C111" t="str">
        <f t="shared" ca="1" si="20"/>
        <v>S</v>
      </c>
      <c r="D111">
        <f t="shared" ca="1" si="21"/>
        <v>0</v>
      </c>
      <c r="E111">
        <f ca="1">IF($C111=1,OFFSET(E111,-1,0)+MAX(1,COUNTIF(QCI!$A$13:$A$24,OFFSET(ORÇAMENTO!E111,-1,0))),OFFSET(E111,-1,0))</f>
        <v>7</v>
      </c>
      <c r="F111">
        <f t="shared" ca="1" si="22"/>
        <v>5</v>
      </c>
      <c r="G111">
        <f t="shared" ca="1" si="23"/>
        <v>3</v>
      </c>
      <c r="H111">
        <f t="shared" ca="1" si="24"/>
        <v>0</v>
      </c>
      <c r="I111">
        <f t="shared" ca="1" si="25"/>
        <v>0</v>
      </c>
      <c r="J111">
        <f t="shared" ca="1" si="17"/>
        <v>0</v>
      </c>
      <c r="K111">
        <f ca="1">IF(OR($C111="S",$C111=0),0,MATCH(OFFSET($D111,0,$C111)+IF($C111&lt;&gt;1,1,COUNTIF(QCI!$A$13:$A$24,ORÇAMENTO!E111)),OFFSET($D111,1,$C111,ROW($C$244)-ROW($C111)),0))</f>
        <v>0</v>
      </c>
      <c r="L111" s="114" t="str">
        <f t="shared" ca="1" si="26"/>
        <v/>
      </c>
      <c r="M111" s="115" t="s">
        <v>705</v>
      </c>
      <c r="N111" s="116" t="str">
        <f t="shared" ca="1" si="27"/>
        <v>Serviço</v>
      </c>
      <c r="O111" s="117" t="str">
        <f t="shared" ca="1" si="28"/>
        <v>-</v>
      </c>
      <c r="P111" s="118" t="s">
        <v>750</v>
      </c>
      <c r="Q111" s="119" t="s">
        <v>1068</v>
      </c>
      <c r="R111" s="120" t="str" cm="1">
        <f t="array" aca="1" ref="R111" ca="1">IF($C111="S",REFERENCIA.Descricao,"(digite a descrição aqui)")</f>
        <v>(Código não identificado nas referências)</v>
      </c>
      <c r="S111" s="121" t="str" cm="1">
        <f t="array" aca="1" ref="S111" ca="1">REFERENCIA.Unidade</f>
        <v>-</v>
      </c>
      <c r="T111" s="122">
        <f ca="1">OFFSET(CÁLCULO!H$15,ROW($T111)-ROW(T$15),0)</f>
        <v>420</v>
      </c>
      <c r="U111" s="123">
        <f t="shared" ca="1" si="29"/>
        <v>0</v>
      </c>
      <c r="V111" s="124" t="s">
        <v>663</v>
      </c>
      <c r="W111" s="122" cm="1">
        <f t="array" aca="1" ref="W111" ca="1">IF($C111="S",ROUND(IF(TIPOORCAMENTO="Proposto",ORÇAMENTO.CustoUnitario*(1+$AH111),ORÇAMENTO.PrecoUnitarioLicitado),15-13*$AF$10),0)</f>
        <v>0</v>
      </c>
      <c r="X111" s="125" cm="1">
        <f t="array" aca="1" ref="X111" ca="1">IF($C111="S",IF(OR(Import.TipoArredondamento&lt;&gt;"TransfereGOV",ACOMPANHAMENTO="BM"),VTOTAL1,SUM(OFFSET(CÁLCULO!$AQ$15,ROW($X111)-ROW($X$15),1):OFFSET(CÁLCULO!$BR$15,ROW($X111)-ROW($X$15),-1))),IF($C111=0,0,ROUND(SomaAgrup,15-13*$AF$11)))</f>
        <v>0</v>
      </c>
      <c r="Y111" s="126" t="s">
        <v>751</v>
      </c>
      <c r="Z111" t="str">
        <f t="shared" ca="1" si="30"/>
        <v/>
      </c>
      <c r="AA111" s="127" cm="1">
        <f t="array" aca="1" ref="AA111" ca="1">IF($C111="S",IF($Z111="CP",$X111,IF($Z111="RA",(($X111)*QCI!$AA$3),0)),SomaAgrup)</f>
        <v>0</v>
      </c>
      <c r="AB111" s="128" cm="1">
        <f t="array" aca="1" ref="AB111" ca="1">IF($C111="S",IF($Z111="OU",ROUND($X111,2),0),SomaAgrup)</f>
        <v>0</v>
      </c>
      <c r="AC111" s="565" t="str" cm="1">
        <f t="array" aca="1" ref="AC111" ca="1">IF($N111=""," ",
IF(AND($C111&lt;&gt;"S",OR($R111="",$R111="(digite a descrição aqui)")),"DESCRIÇÃO",
IF(AND($C111="S",OR($Q111&lt;&gt;"",$T111&gt;0,$U111&gt;0),$P111=""),"FONTE",
IF(AND($C111="S",$P111&lt;&gt;"",OR($T111&gt;0,$U111&gt;0),$Q111=""),"CÓDIGO",
IF(AND($C111="S",$P111&lt;&gt;"",$Q111&lt;&gt;"",$R111="(Código não identificado nas referências)"),"CÓDIGO N/ID",
IF(AND($C111="S",OR($R111="",$R111="(digite a descrição aqui)"),OR($Q111&lt;&gt;"",$T111&gt;0,$U111&gt;0)),"DESCRIÇÃO",
IF(AND($C111="S",$P111&lt;&gt;"",$Q111&lt;&gt;"",$S111=""),"UNIDADE",
IF(AND($C111="S",$P111&lt;&gt;"",$Q111&lt;&gt;"",$U111=0),"SEM CUSTO",
IF(AND(TIPOORCAMENTO="Licitado",$AL111=0,$AN111&gt;0),"SEM PREÇO",
IF(AND($C111="S",$P111&lt;&gt;"",$Q111&lt;&gt;"",$U111&gt;0,AND($V111&lt;&gt;"BDI 1",$V111&lt;&gt;"BDI 2",$V111&lt;&gt;"BDI 3")),IF(ISNUMBER($V111),"JUSTIFICAR BDI","BDI"),
IF(OR(AND(import.recurso="OGU",TIPOORCAMENTO="Proposto",LEFT($O$8,5)&lt;&gt;"(N/D:",$AG111&lt;&gt;"",ORÇAMENTO.CustoUnitario&gt;$AG111),AND(TIPOORCAMENTO="LICITADO",ORÇAMENTO.PrecoUnitarioLicitado&gt;$AN111)),"ACIMA REF.",
IF(AND($C111="S",$P111&lt;&gt;"",$Q111&lt;&gt;"",$T111=0,$U111&gt;0),"QUANT.",
IF(AND(Import.TipoArredondamento="TransfereGOV",$L111="F",$C111="S",LEN($Q111)&gt;13),"Código &gt;13",
IF(AND(Import.TipoArredondamento="TransfereGOV",$L111="F",$C111&lt;&gt;"S",LEN($R111)&gt;100),"Descrição &gt;100",
IF(AND(Import.TipoArredondamento="TransfereGOV",$L111="F",$C111="S",LEN($R111)&gt;500),"Descrição &gt;500",
IF(AND(Import.TipoArredondamento="TransfereGOV",$L111="F",$C111="S",LEFT(TRIM(UPPER($P111)),6)&lt;&gt;"SINAPI",ISNA(VLOOKUP(TRIM(UPPER($S111)),ListaTgov.Unidades,1,FALSE))),"Unid. Não Disp",
" "))))))))))))))))</f>
        <v>CÓDIGO N/ID</v>
      </c>
      <c r="AD111" t="str">
        <f ca="1">IF(C111&lt;=CRONO.NivelExibicao,MAX($AD$15:OFFSET(AD111,-1,0))+IF($C111&lt;&gt;1,1,MAX(1,COUNTIF(QCI!$A$13:$A$24,OFFSET($E111,-1,0)))),"")</f>
        <v/>
      </c>
      <c r="AE111" s="7" t="str" cm="1">
        <f t="array" aca="1" ref="AE111" ca="1">IF(AND($C111="S",ORÇAMENTO.CodBarra&lt;&gt;""),IF(ORÇAMENTO.Fonte="",ORÇAMENTO.CodBarra,CONCATENATE(ORÇAMENTO.Fonte," ",ORÇAMENTO.CodBarra)))</f>
        <v>SINAPI 102193</v>
      </c>
      <c r="AF111" s="12" t="str" cm="1">
        <f t="array" aca="1" ref="AF111" ca="1">IF(ISERROR(ORÇAMENTO.BancoRef),"(abra o arquivo 'Referência "&amp;Excel_BuiltIn_Database&amp;".xlsm)",IF(OR($C111&lt;&gt;"S",ORÇAMENTO.CodBarra=""),"(Sem Código)",IF(ISERROR(MATCH($AE111,INDIRECT(ORÇAMENTO.BancoRef),0)),"(Código não identificado nas referências)",MATCH($AE111,INDIRECT(ORÇAMENTO.BancoRef),0))))</f>
        <v>(Código não identificado nas referências)</v>
      </c>
      <c r="AG111" s="428" cm="1">
        <f t="array" aca="1" ref="AG111" ca="1">ROUND(IF(DESONERACAO="sim",REFERENCIA.Desonerado,REFERENCIA.NaoDesonerado),2)</f>
        <v>0</v>
      </c>
      <c r="AH111" s="429">
        <f t="shared" ca="1" si="31"/>
        <v>0.2223</v>
      </c>
      <c r="AJ111" s="431"/>
      <c r="AL111" s="439"/>
      <c r="AM111" s="336">
        <f t="shared" ca="1" si="0"/>
        <v>0</v>
      </c>
      <c r="AN111" s="470" cm="1">
        <f t="array" aca="1" ref="AN111" ca="1">ROUND(ORÇAMENTO.CustoUnitario*(1+$AH111),2)</f>
        <v>0</v>
      </c>
    </row>
    <row r="112" spans="1:40" ht="25.5" x14ac:dyDescent="0.2">
      <c r="A112" t="str">
        <f t="shared" si="18"/>
        <v>S</v>
      </c>
      <c r="B112">
        <f t="shared" ca="1" si="19"/>
        <v>3</v>
      </c>
      <c r="C112" t="str">
        <f t="shared" ca="1" si="20"/>
        <v>S</v>
      </c>
      <c r="D112">
        <f t="shared" ca="1" si="21"/>
        <v>0</v>
      </c>
      <c r="E112">
        <f ca="1">IF($C112=1,OFFSET(E112,-1,0)+MAX(1,COUNTIF(QCI!$A$13:$A$24,OFFSET(ORÇAMENTO!E112,-1,0))),OFFSET(E112,-1,0))</f>
        <v>7</v>
      </c>
      <c r="F112">
        <f t="shared" ca="1" si="22"/>
        <v>5</v>
      </c>
      <c r="G112">
        <f t="shared" ca="1" si="23"/>
        <v>3</v>
      </c>
      <c r="H112">
        <f t="shared" ca="1" si="24"/>
        <v>0</v>
      </c>
      <c r="I112">
        <f t="shared" ca="1" si="25"/>
        <v>0</v>
      </c>
      <c r="J112">
        <f t="shared" ca="1" si="17"/>
        <v>0</v>
      </c>
      <c r="K112">
        <f ca="1">IF(OR($C112="S",$C112=0),0,MATCH(OFFSET($D112,0,$C112)+IF($C112&lt;&gt;1,1,COUNTIF(QCI!$A$13:$A$24,ORÇAMENTO!E112)),OFFSET($D112,1,$C112,ROW($C$244)-ROW($C112)),0))</f>
        <v>0</v>
      </c>
      <c r="L112" s="114" t="str">
        <f t="shared" ca="1" si="26"/>
        <v/>
      </c>
      <c r="M112" s="115" t="s">
        <v>705</v>
      </c>
      <c r="N112" s="116" t="str">
        <f t="shared" ca="1" si="27"/>
        <v>Serviço</v>
      </c>
      <c r="O112" s="117" t="str">
        <f t="shared" ca="1" si="28"/>
        <v>-</v>
      </c>
      <c r="P112" s="118" t="s">
        <v>750</v>
      </c>
      <c r="Q112" s="119" t="s">
        <v>1069</v>
      </c>
      <c r="R112" s="120" t="str" cm="1">
        <f t="array" aca="1" ref="R112" ca="1">IF($C112="S",REFERENCIA.Descricao,"(digite a descrição aqui)")</f>
        <v>(Código não identificado nas referências)</v>
      </c>
      <c r="S112" s="121" t="str" cm="1">
        <f t="array" aca="1" ref="S112" ca="1">REFERENCIA.Unidade</f>
        <v>-</v>
      </c>
      <c r="T112" s="122">
        <f ca="1">OFFSET(CÁLCULO!H$15,ROW($T112)-ROW(T$15),0)</f>
        <v>420</v>
      </c>
      <c r="U112" s="123">
        <f t="shared" ca="1" si="29"/>
        <v>0</v>
      </c>
      <c r="V112" s="124" t="s">
        <v>663</v>
      </c>
      <c r="W112" s="122" cm="1">
        <f t="array" aca="1" ref="W112" ca="1">IF($C112="S",ROUND(IF(TIPOORCAMENTO="Proposto",ORÇAMENTO.CustoUnitario*(1+$AH112),ORÇAMENTO.PrecoUnitarioLicitado),15-13*$AF$10),0)</f>
        <v>0</v>
      </c>
      <c r="X112" s="125" cm="1">
        <f t="array" aca="1" ref="X112" ca="1">IF($C112="S",IF(OR(Import.TipoArredondamento&lt;&gt;"TransfereGOV",ACOMPANHAMENTO="BM"),VTOTAL1,SUM(OFFSET(CÁLCULO!$AQ$15,ROW($X112)-ROW($X$15),1):OFFSET(CÁLCULO!$BR$15,ROW($X112)-ROW($X$15),-1))),IF($C112=0,0,ROUND(SomaAgrup,15-13*$AF$11)))</f>
        <v>0</v>
      </c>
      <c r="Y112" s="126" t="s">
        <v>751</v>
      </c>
      <c r="Z112" t="str">
        <f t="shared" ca="1" si="30"/>
        <v/>
      </c>
      <c r="AA112" s="127" cm="1">
        <f t="array" aca="1" ref="AA112" ca="1">IF($C112="S",IF($Z112="CP",$X112,IF($Z112="RA",(($X112)*QCI!$AA$3),0)),SomaAgrup)</f>
        <v>0</v>
      </c>
      <c r="AB112" s="128" cm="1">
        <f t="array" aca="1" ref="AB112" ca="1">IF($C112="S",IF($Z112="OU",ROUND($X112,2),0),SomaAgrup)</f>
        <v>0</v>
      </c>
      <c r="AC112" s="565" t="str" cm="1">
        <f t="array" aca="1" ref="AC112" ca="1">IF($N112=""," ",
IF(AND($C112&lt;&gt;"S",OR($R112="",$R112="(digite a descrição aqui)")),"DESCRIÇÃO",
IF(AND($C112="S",OR($Q112&lt;&gt;"",$T112&gt;0,$U112&gt;0),$P112=""),"FONTE",
IF(AND($C112="S",$P112&lt;&gt;"",OR($T112&gt;0,$U112&gt;0),$Q112=""),"CÓDIGO",
IF(AND($C112="S",$P112&lt;&gt;"",$Q112&lt;&gt;"",$R112="(Código não identificado nas referências)"),"CÓDIGO N/ID",
IF(AND($C112="S",OR($R112="",$R112="(digite a descrição aqui)"),OR($Q112&lt;&gt;"",$T112&gt;0,$U112&gt;0)),"DESCRIÇÃO",
IF(AND($C112="S",$P112&lt;&gt;"",$Q112&lt;&gt;"",$S112=""),"UNIDADE",
IF(AND($C112="S",$P112&lt;&gt;"",$Q112&lt;&gt;"",$U112=0),"SEM CUSTO",
IF(AND(TIPOORCAMENTO="Licitado",$AL112=0,$AN112&gt;0),"SEM PREÇO",
IF(AND($C112="S",$P112&lt;&gt;"",$Q112&lt;&gt;"",$U112&gt;0,AND($V112&lt;&gt;"BDI 1",$V112&lt;&gt;"BDI 2",$V112&lt;&gt;"BDI 3")),IF(ISNUMBER($V112),"JUSTIFICAR BDI","BDI"),
IF(OR(AND(import.recurso="OGU",TIPOORCAMENTO="Proposto",LEFT($O$8,5)&lt;&gt;"(N/D:",$AG112&lt;&gt;"",ORÇAMENTO.CustoUnitario&gt;$AG112),AND(TIPOORCAMENTO="LICITADO",ORÇAMENTO.PrecoUnitarioLicitado&gt;$AN112)),"ACIMA REF.",
IF(AND($C112="S",$P112&lt;&gt;"",$Q112&lt;&gt;"",$T112=0,$U112&gt;0),"QUANT.",
IF(AND(Import.TipoArredondamento="TransfereGOV",$L112="F",$C112="S",LEN($Q112)&gt;13),"Código &gt;13",
IF(AND(Import.TipoArredondamento="TransfereGOV",$L112="F",$C112&lt;&gt;"S",LEN($R112)&gt;100),"Descrição &gt;100",
IF(AND(Import.TipoArredondamento="TransfereGOV",$L112="F",$C112="S",LEN($R112)&gt;500),"Descrição &gt;500",
IF(AND(Import.TipoArredondamento="TransfereGOV",$L112="F",$C112="S",LEFT(TRIM(UPPER($P112)),6)&lt;&gt;"SINAPI",ISNA(VLOOKUP(TRIM(UPPER($S112)),ListaTgov.Unidades,1,FALSE))),"Unid. Não Disp",
" "))))))))))))))))</f>
        <v>CÓDIGO N/ID</v>
      </c>
      <c r="AD112" t="str">
        <f ca="1">IF(C112&lt;=CRONO.NivelExibicao,MAX($AD$15:OFFSET(AD112,-1,0))+IF($C112&lt;&gt;1,1,MAX(1,COUNTIF(QCI!$A$13:$A$24,OFFSET($E112,-1,0)))),"")</f>
        <v/>
      </c>
      <c r="AE112" s="7" t="str" cm="1">
        <f t="array" aca="1" ref="AE112" ca="1">IF(AND($C112="S",ORÇAMENTO.CodBarra&lt;&gt;""),IF(ORÇAMENTO.Fonte="",ORÇAMENTO.CodBarra,CONCATENATE(ORÇAMENTO.Fonte," ",ORÇAMENTO.CodBarra)))</f>
        <v>SINAPI 102197</v>
      </c>
      <c r="AF112" s="12" t="str" cm="1">
        <f t="array" aca="1" ref="AF112" ca="1">IF(ISERROR(ORÇAMENTO.BancoRef),"(abra o arquivo 'Referência "&amp;Excel_BuiltIn_Database&amp;".xlsm)",IF(OR($C112&lt;&gt;"S",ORÇAMENTO.CodBarra=""),"(Sem Código)",IF(ISERROR(MATCH($AE112,INDIRECT(ORÇAMENTO.BancoRef),0)),"(Código não identificado nas referências)",MATCH($AE112,INDIRECT(ORÇAMENTO.BancoRef),0))))</f>
        <v>(Código não identificado nas referências)</v>
      </c>
      <c r="AG112" s="428" cm="1">
        <f t="array" aca="1" ref="AG112" ca="1">ROUND(IF(DESONERACAO="sim",REFERENCIA.Desonerado,REFERENCIA.NaoDesonerado),2)</f>
        <v>0</v>
      </c>
      <c r="AH112" s="429">
        <f t="shared" ca="1" si="31"/>
        <v>0.2223</v>
      </c>
      <c r="AJ112" s="431"/>
      <c r="AL112" s="439"/>
      <c r="AM112" s="336">
        <f t="shared" ca="1" si="0"/>
        <v>0</v>
      </c>
      <c r="AN112" s="470" cm="1">
        <f t="array" aca="1" ref="AN112" ca="1">ROUND(ORÇAMENTO.CustoUnitario*(1+$AH112),2)</f>
        <v>0</v>
      </c>
    </row>
    <row r="113" spans="1:40" ht="25.5" x14ac:dyDescent="0.2">
      <c r="A113" t="str">
        <f t="shared" si="18"/>
        <v>S</v>
      </c>
      <c r="B113">
        <f t="shared" ca="1" si="19"/>
        <v>3</v>
      </c>
      <c r="C113" t="str">
        <f t="shared" ca="1" si="20"/>
        <v>S</v>
      </c>
      <c r="D113">
        <f t="shared" ca="1" si="21"/>
        <v>0</v>
      </c>
      <c r="E113">
        <f ca="1">IF($C113=1,OFFSET(E113,-1,0)+MAX(1,COUNTIF(QCI!$A$13:$A$24,OFFSET(ORÇAMENTO!E113,-1,0))),OFFSET(E113,-1,0))</f>
        <v>7</v>
      </c>
      <c r="F113">
        <f t="shared" ca="1" si="22"/>
        <v>5</v>
      </c>
      <c r="G113">
        <f t="shared" ca="1" si="23"/>
        <v>3</v>
      </c>
      <c r="H113">
        <f t="shared" ca="1" si="24"/>
        <v>0</v>
      </c>
      <c r="I113">
        <f t="shared" ca="1" si="25"/>
        <v>0</v>
      </c>
      <c r="J113">
        <f t="shared" ca="1" si="17"/>
        <v>0</v>
      </c>
      <c r="K113">
        <f ca="1">IF(OR($C113="S",$C113=0),0,MATCH(OFFSET($D113,0,$C113)+IF($C113&lt;&gt;1,1,COUNTIF(QCI!$A$13:$A$24,ORÇAMENTO!E113)),OFFSET($D113,1,$C113,ROW($C$244)-ROW($C113)),0))</f>
        <v>0</v>
      </c>
      <c r="L113" s="114" t="str">
        <f t="shared" ca="1" si="26"/>
        <v/>
      </c>
      <c r="M113" s="115" t="s">
        <v>705</v>
      </c>
      <c r="N113" s="116" t="str">
        <f t="shared" ca="1" si="27"/>
        <v>Serviço</v>
      </c>
      <c r="O113" s="117" t="str">
        <f t="shared" ca="1" si="28"/>
        <v>-</v>
      </c>
      <c r="P113" s="118" t="s">
        <v>750</v>
      </c>
      <c r="Q113" s="119" t="s">
        <v>1070</v>
      </c>
      <c r="R113" s="120" t="str" cm="1">
        <f t="array" aca="1" ref="R113" ca="1">IF($C113="S",REFERENCIA.Descricao,"(digite a descrição aqui)")</f>
        <v>(Código não identificado nas referências)</v>
      </c>
      <c r="S113" s="121" t="str" cm="1">
        <f t="array" aca="1" ref="S113" ca="1">REFERENCIA.Unidade</f>
        <v>-</v>
      </c>
      <c r="T113" s="122">
        <f ca="1">OFFSET(CÁLCULO!H$15,ROW($T113)-ROW(T$15),0)</f>
        <v>420</v>
      </c>
      <c r="U113" s="123">
        <f t="shared" ca="1" si="29"/>
        <v>0</v>
      </c>
      <c r="V113" s="124" t="s">
        <v>663</v>
      </c>
      <c r="W113" s="122" cm="1">
        <f t="array" aca="1" ref="W113" ca="1">IF($C113="S",ROUND(IF(TIPOORCAMENTO="Proposto",ORÇAMENTO.CustoUnitario*(1+$AH113),ORÇAMENTO.PrecoUnitarioLicitado),15-13*$AF$10),0)</f>
        <v>0</v>
      </c>
      <c r="X113" s="125" cm="1">
        <f t="array" aca="1" ref="X113" ca="1">IF($C113="S",IF(OR(Import.TipoArredondamento&lt;&gt;"TransfereGOV",ACOMPANHAMENTO="BM"),VTOTAL1,SUM(OFFSET(CÁLCULO!$AQ$15,ROW($X113)-ROW($X$15),1):OFFSET(CÁLCULO!$BR$15,ROW($X113)-ROW($X$15),-1))),IF($C113=0,0,ROUND(SomaAgrup,15-13*$AF$11)))</f>
        <v>0</v>
      </c>
      <c r="Y113" s="126" t="s">
        <v>751</v>
      </c>
      <c r="Z113" t="str">
        <f t="shared" ca="1" si="30"/>
        <v/>
      </c>
      <c r="AA113" s="127" cm="1">
        <f t="array" aca="1" ref="AA113" ca="1">IF($C113="S",IF($Z113="CP",$X113,IF($Z113="RA",(($X113)*QCI!$AA$3),0)),SomaAgrup)</f>
        <v>0</v>
      </c>
      <c r="AB113" s="128" cm="1">
        <f t="array" aca="1" ref="AB113" ca="1">IF($C113="S",IF($Z113="OU",ROUND($X113,2),0),SomaAgrup)</f>
        <v>0</v>
      </c>
      <c r="AC113" s="565" t="str" cm="1">
        <f t="array" aca="1" ref="AC113" ca="1">IF($N113=""," ",
IF(AND($C113&lt;&gt;"S",OR($R113="",$R113="(digite a descrição aqui)")),"DESCRIÇÃO",
IF(AND($C113="S",OR($Q113&lt;&gt;"",$T113&gt;0,$U113&gt;0),$P113=""),"FONTE",
IF(AND($C113="S",$P113&lt;&gt;"",OR($T113&gt;0,$U113&gt;0),$Q113=""),"CÓDIGO",
IF(AND($C113="S",$P113&lt;&gt;"",$Q113&lt;&gt;"",$R113="(Código não identificado nas referências)"),"CÓDIGO N/ID",
IF(AND($C113="S",OR($R113="",$R113="(digite a descrição aqui)"),OR($Q113&lt;&gt;"",$T113&gt;0,$U113&gt;0)),"DESCRIÇÃO",
IF(AND($C113="S",$P113&lt;&gt;"",$Q113&lt;&gt;"",$S113=""),"UNIDADE",
IF(AND($C113="S",$P113&lt;&gt;"",$Q113&lt;&gt;"",$U113=0),"SEM CUSTO",
IF(AND(TIPOORCAMENTO="Licitado",$AL113=0,$AN113&gt;0),"SEM PREÇO",
IF(AND($C113="S",$P113&lt;&gt;"",$Q113&lt;&gt;"",$U113&gt;0,AND($V113&lt;&gt;"BDI 1",$V113&lt;&gt;"BDI 2",$V113&lt;&gt;"BDI 3")),IF(ISNUMBER($V113),"JUSTIFICAR BDI","BDI"),
IF(OR(AND(import.recurso="OGU",TIPOORCAMENTO="Proposto",LEFT($O$8,5)&lt;&gt;"(N/D:",$AG113&lt;&gt;"",ORÇAMENTO.CustoUnitario&gt;$AG113),AND(TIPOORCAMENTO="LICITADO",ORÇAMENTO.PrecoUnitarioLicitado&gt;$AN113)),"ACIMA REF.",
IF(AND($C113="S",$P113&lt;&gt;"",$Q113&lt;&gt;"",$T113=0,$U113&gt;0),"QUANT.",
IF(AND(Import.TipoArredondamento="TransfereGOV",$L113="F",$C113="S",LEN($Q113)&gt;13),"Código &gt;13",
IF(AND(Import.TipoArredondamento="TransfereGOV",$L113="F",$C113&lt;&gt;"S",LEN($R113)&gt;100),"Descrição &gt;100",
IF(AND(Import.TipoArredondamento="TransfereGOV",$L113="F",$C113="S",LEN($R113)&gt;500),"Descrição &gt;500",
IF(AND(Import.TipoArredondamento="TransfereGOV",$L113="F",$C113="S",LEFT(TRIM(UPPER($P113)),6)&lt;&gt;"SINAPI",ISNA(VLOOKUP(TRIM(UPPER($S113)),ListaTgov.Unidades,1,FALSE))),"Unid. Não Disp",
" "))))))))))))))))</f>
        <v>CÓDIGO N/ID</v>
      </c>
      <c r="AD113" t="str">
        <f ca="1">IF(C113&lt;=CRONO.NivelExibicao,MAX($AD$15:OFFSET(AD113,-1,0))+IF($C113&lt;&gt;1,1,MAX(1,COUNTIF(QCI!$A$13:$A$24,OFFSET($E113,-1,0)))),"")</f>
        <v/>
      </c>
      <c r="AE113" s="7" t="str" cm="1">
        <f t="array" aca="1" ref="AE113" ca="1">IF(AND($C113="S",ORÇAMENTO.CodBarra&lt;&gt;""),IF(ORÇAMENTO.Fonte="",ORÇAMENTO.CodBarra,CONCATENATE(ORÇAMENTO.Fonte," ",ORÇAMENTO.CodBarra)))</f>
        <v>SINAPI 102219</v>
      </c>
      <c r="AF113" s="12" t="str" cm="1">
        <f t="array" aca="1" ref="AF113" ca="1">IF(ISERROR(ORÇAMENTO.BancoRef),"(abra o arquivo 'Referência "&amp;Excel_BuiltIn_Database&amp;".xlsm)",IF(OR($C113&lt;&gt;"S",ORÇAMENTO.CodBarra=""),"(Sem Código)",IF(ISERROR(MATCH($AE113,INDIRECT(ORÇAMENTO.BancoRef),0)),"(Código não identificado nas referências)",MATCH($AE113,INDIRECT(ORÇAMENTO.BancoRef),0))))</f>
        <v>(Código não identificado nas referências)</v>
      </c>
      <c r="AG113" s="428" cm="1">
        <f t="array" aca="1" ref="AG113" ca="1">ROUND(IF(DESONERACAO="sim",REFERENCIA.Desonerado,REFERENCIA.NaoDesonerado),2)</f>
        <v>0</v>
      </c>
      <c r="AH113" s="429">
        <f t="shared" ca="1" si="31"/>
        <v>0.2223</v>
      </c>
      <c r="AJ113" s="431"/>
      <c r="AL113" s="439"/>
      <c r="AM113" s="336">
        <f t="shared" ca="1" si="0"/>
        <v>0</v>
      </c>
      <c r="AN113" s="470" cm="1">
        <f t="array" aca="1" ref="AN113" ca="1">ROUND(ORÇAMENTO.CustoUnitario*(1+$AH113),2)</f>
        <v>0</v>
      </c>
    </row>
    <row r="114" spans="1:40" x14ac:dyDescent="0.2">
      <c r="A114">
        <f t="shared" si="18"/>
        <v>1</v>
      </c>
      <c r="B114">
        <f t="shared" ca="1" si="19"/>
        <v>1</v>
      </c>
      <c r="C114">
        <f t="shared" ca="1" si="20"/>
        <v>1</v>
      </c>
      <c r="D114">
        <f t="shared" ca="1" si="21"/>
        <v>18</v>
      </c>
      <c r="E114">
        <f ca="1">IF($C114=1,OFFSET(E114,-1,0)+MAX(1,COUNTIF(QCI!$A$13:$A$24,OFFSET(ORÇAMENTO!E114,-1,0))),OFFSET(E114,-1,0))</f>
        <v>8</v>
      </c>
      <c r="F114">
        <f t="shared" ca="1" si="22"/>
        <v>0</v>
      </c>
      <c r="G114">
        <f t="shared" ca="1" si="23"/>
        <v>0</v>
      </c>
      <c r="H114">
        <f t="shared" ca="1" si="24"/>
        <v>0</v>
      </c>
      <c r="I114">
        <f t="shared" ca="1" si="25"/>
        <v>0</v>
      </c>
      <c r="J114">
        <f t="shared" ca="1" si="17"/>
        <v>130</v>
      </c>
      <c r="K114">
        <f ca="1">IF(OR($C114="S",$C114=0),0,MATCH(OFFSET($D114,0,$C114)+IF($C114&lt;&gt;1,1,COUNTIF(QCI!$A$13:$A$24,ORÇAMENTO!E114)),OFFSET($D114,1,$C114,ROW($C$244)-ROW($C114)),0))</f>
        <v>18</v>
      </c>
      <c r="L114" s="114" t="str">
        <f t="shared" ca="1" si="26"/>
        <v>F</v>
      </c>
      <c r="M114" s="115" t="s">
        <v>701</v>
      </c>
      <c r="N114" s="116" t="str">
        <f t="shared" ca="1" si="27"/>
        <v>Meta</v>
      </c>
      <c r="O114" s="117" t="str">
        <f t="shared" ca="1" si="28"/>
        <v>8.</v>
      </c>
      <c r="P114" s="118" t="s">
        <v>250</v>
      </c>
      <c r="Q114" s="119" t="s">
        <v>250</v>
      </c>
      <c r="R114" s="120" t="s">
        <v>1195</v>
      </c>
      <c r="S114" s="121"/>
      <c r="T114" s="122">
        <f ca="1">OFFSET(CÁLCULO!H$15,ROW($T114)-ROW(T$15),0)</f>
        <v>0</v>
      </c>
      <c r="U114" s="123">
        <f t="shared" ca="1" si="29"/>
        <v>0</v>
      </c>
      <c r="V114" s="124" t="s">
        <v>663</v>
      </c>
      <c r="W114" s="122" cm="1">
        <f t="array" aca="1" ref="W114" ca="1">IF($C114="S",ROUND(IF(TIPOORCAMENTO="Proposto",ORÇAMENTO.CustoUnitario*(1+$AH114),ORÇAMENTO.PrecoUnitarioLicitado),15-13*$AF$10),0)</f>
        <v>0</v>
      </c>
      <c r="X114" s="125" cm="1">
        <f t="array" aca="1" ref="X114" ca="1">IF($C114="S",IF(OR(Import.TipoArredondamento&lt;&gt;"TransfereGOV",ACOMPANHAMENTO="BM"),VTOTAL1,SUM(OFFSET(CÁLCULO!$AQ$15,ROW($X114)-ROW($X$15),1):OFFSET(CÁLCULO!$BR$15,ROW($X114)-ROW($X$15),-1))),IF($C114=0,0,ROUND(SomaAgrup,15-13*$AF$11)))</f>
        <v>0</v>
      </c>
      <c r="Y114" s="126" t="s">
        <v>751</v>
      </c>
      <c r="Z114" t="str">
        <f t="shared" ca="1" si="30"/>
        <v/>
      </c>
      <c r="AA114" s="127" cm="1">
        <f t="array" aca="1" ref="AA114" ca="1">IF($C114="S",IF($Z114="CP",$X114,IF($Z114="RA",(($X114)*QCI!$AA$3),0)),SomaAgrup)</f>
        <v>0</v>
      </c>
      <c r="AB114" s="128" cm="1">
        <f t="array" aca="1" ref="AB114" ca="1">IF($C114="S",IF($Z114="OU",ROUND($X114,2),0),SomaAgrup)</f>
        <v>0</v>
      </c>
      <c r="AC114" s="565" t="str" cm="1">
        <f t="array" aca="1" ref="AC114" ca="1">IF($N114=""," ",
IF(AND($C114&lt;&gt;"S",OR($R114="",$R114="(digite a descrição aqui)")),"DESCRIÇÃO",
IF(AND($C114="S",OR($Q114&lt;&gt;"",$T114&gt;0,$U114&gt;0),$P114=""),"FONTE",
IF(AND($C114="S",$P114&lt;&gt;"",OR($T114&gt;0,$U114&gt;0),$Q114=""),"CÓDIGO",
IF(AND($C114="S",$P114&lt;&gt;"",$Q114&lt;&gt;"",$R114="(Código não identificado nas referências)"),"CÓDIGO N/ID",
IF(AND($C114="S",OR($R114="",$R114="(digite a descrição aqui)"),OR($Q114&lt;&gt;"",$T114&gt;0,$U114&gt;0)),"DESCRIÇÃO",
IF(AND($C114="S",$P114&lt;&gt;"",$Q114&lt;&gt;"",$S114=""),"UNIDADE",
IF(AND($C114="S",$P114&lt;&gt;"",$Q114&lt;&gt;"",$U114=0),"SEM CUSTO",
IF(AND(TIPOORCAMENTO="Licitado",$AL114=0,$AN114&gt;0),"SEM PREÇO",
IF(AND($C114="S",$P114&lt;&gt;"",$Q114&lt;&gt;"",$U114&gt;0,AND($V114&lt;&gt;"BDI 1",$V114&lt;&gt;"BDI 2",$V114&lt;&gt;"BDI 3")),IF(ISNUMBER($V114),"JUSTIFICAR BDI","BDI"),
IF(OR(AND(import.recurso="OGU",TIPOORCAMENTO="Proposto",LEFT($O$8,5)&lt;&gt;"(N/D:",$AG114&lt;&gt;"",ORÇAMENTO.CustoUnitario&gt;$AG114),AND(TIPOORCAMENTO="LICITADO",ORÇAMENTO.PrecoUnitarioLicitado&gt;$AN114)),"ACIMA REF.",
IF(AND($C114="S",$P114&lt;&gt;"",$Q114&lt;&gt;"",$T114=0,$U114&gt;0),"QUANT.",
IF(AND(Import.TipoArredondamento="TransfereGOV",$L114="F",$C114="S",LEN($Q114)&gt;13),"Código &gt;13",
IF(AND(Import.TipoArredondamento="TransfereGOV",$L114="F",$C114&lt;&gt;"S",LEN($R114)&gt;100),"Descrição &gt;100",
IF(AND(Import.TipoArredondamento="TransfereGOV",$L114="F",$C114="S",LEN($R114)&gt;500),"Descrição &gt;500",
IF(AND(Import.TipoArredondamento="TransfereGOV",$L114="F",$C114="S",LEFT(TRIM(UPPER($P114)),6)&lt;&gt;"SINAPI",ISNA(VLOOKUP(TRIM(UPPER($S114)),ListaTgov.Unidades,1,FALSE))),"Unid. Não Disp",
" "))))))))))))))))</f>
        <v xml:space="preserve"> </v>
      </c>
      <c r="AD114">
        <f ca="1">IF(C114&lt;=CRONO.NivelExibicao,MAX($AD$15:OFFSET(AD114,-1,0))+IF($C114&lt;&gt;1,1,MAX(1,COUNTIF(QCI!$A$13:$A$24,OFFSET($E114,-1,0)))),"")</f>
        <v>27</v>
      </c>
      <c r="AE114" s="7" t="b" cm="1">
        <f t="array" aca="1" ref="AE114" ca="1">IF(AND($C114="S",ORÇAMENTO.CodBarra&lt;&gt;""),IF(ORÇAMENTO.Fonte="",ORÇAMENTO.CodBarra,CONCATENATE(ORÇAMENTO.Fonte," ",ORÇAMENTO.CodBarra)))</f>
        <v>0</v>
      </c>
      <c r="AF114" s="12" t="str" cm="1">
        <f t="array" aca="1" ref="AF114" ca="1">IF(ISERROR(ORÇAMENTO.BancoRef),"(abra o arquivo 'Referência "&amp;Excel_BuiltIn_Database&amp;".xlsm)",IF(OR($C114&lt;&gt;"S",ORÇAMENTO.CodBarra=""),"(Sem Código)",IF(ISERROR(MATCH($AE114,INDIRECT(ORÇAMENTO.BancoRef),0)),"(Código não identificado nas referências)",MATCH($AE114,INDIRECT(ORÇAMENTO.BancoRef),0))))</f>
        <v>(Sem Código)</v>
      </c>
      <c r="AG114" s="428" cm="1">
        <f t="array" aca="1" ref="AG114" ca="1">ROUND(IF(DESONERACAO="sim",REFERENCIA.Desonerado,REFERENCIA.NaoDesonerado),2)</f>
        <v>0</v>
      </c>
      <c r="AH114" s="429">
        <f t="shared" ca="1" si="31"/>
        <v>0.2223</v>
      </c>
      <c r="AJ114" s="431"/>
      <c r="AL114" s="439"/>
      <c r="AM114" s="336">
        <f t="shared" ca="1" si="0"/>
        <v>0</v>
      </c>
      <c r="AN114" s="470" cm="1">
        <f t="array" aca="1" ref="AN114" ca="1">ROUND(ORÇAMENTO.CustoUnitario*(1+$AH114),2)</f>
        <v>0</v>
      </c>
    </row>
    <row r="115" spans="1:40" x14ac:dyDescent="0.2">
      <c r="A115">
        <f t="shared" si="18"/>
        <v>2</v>
      </c>
      <c r="B115">
        <f t="shared" ca="1" si="19"/>
        <v>2</v>
      </c>
      <c r="C115">
        <f t="shared" ca="1" si="20"/>
        <v>2</v>
      </c>
      <c r="D115">
        <f t="shared" ca="1" si="21"/>
        <v>10</v>
      </c>
      <c r="E115">
        <f ca="1">IF($C115=1,OFFSET(E115,-1,0)+MAX(1,COUNTIF(QCI!$A$13:$A$24,OFFSET(ORÇAMENTO!E115,-1,0))),OFFSET(E115,-1,0))</f>
        <v>8</v>
      </c>
      <c r="F115">
        <f t="shared" ca="1" si="22"/>
        <v>1</v>
      </c>
      <c r="G115">
        <f t="shared" ca="1" si="23"/>
        <v>0</v>
      </c>
      <c r="H115">
        <f t="shared" ca="1" si="24"/>
        <v>0</v>
      </c>
      <c r="I115">
        <f t="shared" ca="1" si="25"/>
        <v>0</v>
      </c>
      <c r="J115">
        <f t="shared" ca="1" si="17"/>
        <v>17</v>
      </c>
      <c r="K115">
        <f ca="1">IF(OR($C115="S",$C115=0),0,MATCH(OFFSET($D115,0,$C115)+IF($C115&lt;&gt;1,1,COUNTIF(QCI!$A$13:$A$24,ORÇAMENTO!E115)),OFFSET($D115,1,$C115,ROW($C$244)-ROW($C115)),0))</f>
        <v>10</v>
      </c>
      <c r="L115" s="114" t="str">
        <f t="shared" ca="1" si="26"/>
        <v>F</v>
      </c>
      <c r="M115" s="115" t="s">
        <v>702</v>
      </c>
      <c r="N115" s="116" t="str">
        <f t="shared" ca="1" si="27"/>
        <v>Nível 2</v>
      </c>
      <c r="O115" s="117" t="str">
        <f t="shared" ca="1" si="28"/>
        <v>8.1.</v>
      </c>
      <c r="P115" s="118" t="s">
        <v>250</v>
      </c>
      <c r="Q115" s="119" t="s">
        <v>250</v>
      </c>
      <c r="R115" s="120" t="s">
        <v>1196</v>
      </c>
      <c r="S115" s="121"/>
      <c r="T115" s="122">
        <f ca="1">OFFSET(CÁLCULO!H$15,ROW($T115)-ROW(T$15),0)</f>
        <v>0</v>
      </c>
      <c r="U115" s="123">
        <f t="shared" ca="1" si="29"/>
        <v>0</v>
      </c>
      <c r="V115" s="124" t="s">
        <v>663</v>
      </c>
      <c r="W115" s="122" cm="1">
        <f t="array" aca="1" ref="W115" ca="1">IF($C115="S",ROUND(IF(TIPOORCAMENTO="Proposto",ORÇAMENTO.CustoUnitario*(1+$AH115),ORÇAMENTO.PrecoUnitarioLicitado),15-13*$AF$10),0)</f>
        <v>0</v>
      </c>
      <c r="X115" s="125" cm="1">
        <f t="array" aca="1" ref="X115" ca="1">IF($C115="S",IF(OR(Import.TipoArredondamento&lt;&gt;"TransfereGOV",ACOMPANHAMENTO="BM"),VTOTAL1,SUM(OFFSET(CÁLCULO!$AQ$15,ROW($X115)-ROW($X$15),1):OFFSET(CÁLCULO!$BR$15,ROW($X115)-ROW($X$15),-1))),IF($C115=0,0,ROUND(SomaAgrup,15-13*$AF$11)))</f>
        <v>0</v>
      </c>
      <c r="Y115" s="126" t="s">
        <v>751</v>
      </c>
      <c r="Z115" t="str">
        <f t="shared" ca="1" si="30"/>
        <v/>
      </c>
      <c r="AA115" s="127" cm="1">
        <f t="array" aca="1" ref="AA115" ca="1">IF($C115="S",IF($Z115="CP",$X115,IF($Z115="RA",(($X115)*QCI!$AA$3),0)),SomaAgrup)</f>
        <v>0</v>
      </c>
      <c r="AB115" s="128" cm="1">
        <f t="array" aca="1" ref="AB115" ca="1">IF($C115="S",IF($Z115="OU",ROUND($X115,2),0),SomaAgrup)</f>
        <v>0</v>
      </c>
      <c r="AC115" s="565" t="str" cm="1">
        <f t="array" aca="1" ref="AC115" ca="1">IF($N115=""," ",
IF(AND($C115&lt;&gt;"S",OR($R115="",$R115="(digite a descrição aqui)")),"DESCRIÇÃO",
IF(AND($C115="S",OR($Q115&lt;&gt;"",$T115&gt;0,$U115&gt;0),$P115=""),"FONTE",
IF(AND($C115="S",$P115&lt;&gt;"",OR($T115&gt;0,$U115&gt;0),$Q115=""),"CÓDIGO",
IF(AND($C115="S",$P115&lt;&gt;"",$Q115&lt;&gt;"",$R115="(Código não identificado nas referências)"),"CÓDIGO N/ID",
IF(AND($C115="S",OR($R115="",$R115="(digite a descrição aqui)"),OR($Q115&lt;&gt;"",$T115&gt;0,$U115&gt;0)),"DESCRIÇÃO",
IF(AND($C115="S",$P115&lt;&gt;"",$Q115&lt;&gt;"",$S115=""),"UNIDADE",
IF(AND($C115="S",$P115&lt;&gt;"",$Q115&lt;&gt;"",$U115=0),"SEM CUSTO",
IF(AND(TIPOORCAMENTO="Licitado",$AL115=0,$AN115&gt;0),"SEM PREÇO",
IF(AND($C115="S",$P115&lt;&gt;"",$Q115&lt;&gt;"",$U115&gt;0,AND($V115&lt;&gt;"BDI 1",$V115&lt;&gt;"BDI 2",$V115&lt;&gt;"BDI 3")),IF(ISNUMBER($V115),"JUSTIFICAR BDI","BDI"),
IF(OR(AND(import.recurso="OGU",TIPOORCAMENTO="Proposto",LEFT($O$8,5)&lt;&gt;"(N/D:",$AG115&lt;&gt;"",ORÇAMENTO.CustoUnitario&gt;$AG115),AND(TIPOORCAMENTO="LICITADO",ORÇAMENTO.PrecoUnitarioLicitado&gt;$AN115)),"ACIMA REF.",
IF(AND($C115="S",$P115&lt;&gt;"",$Q115&lt;&gt;"",$T115=0,$U115&gt;0),"QUANT.",
IF(AND(Import.TipoArredondamento="TransfereGOV",$L115="F",$C115="S",LEN($Q115)&gt;13),"Código &gt;13",
IF(AND(Import.TipoArredondamento="TransfereGOV",$L115="F",$C115&lt;&gt;"S",LEN($R115)&gt;100),"Descrição &gt;100",
IF(AND(Import.TipoArredondamento="TransfereGOV",$L115="F",$C115="S",LEN($R115)&gt;500),"Descrição &gt;500",
IF(AND(Import.TipoArredondamento="TransfereGOV",$L115="F",$C115="S",LEFT(TRIM(UPPER($P115)),6)&lt;&gt;"SINAPI",ISNA(VLOOKUP(TRIM(UPPER($S115)),ListaTgov.Unidades,1,FALSE))),"Unid. Não Disp",
" "))))))))))))))))</f>
        <v xml:space="preserve"> </v>
      </c>
      <c r="AD115">
        <f ca="1">IF(C115&lt;=CRONO.NivelExibicao,MAX($AD$15:OFFSET(AD115,-1,0))+IF($C115&lt;&gt;1,1,MAX(1,COUNTIF(QCI!$A$13:$A$24,OFFSET($E115,-1,0)))),"")</f>
        <v>28</v>
      </c>
      <c r="AE115" s="7" t="b" cm="1">
        <f t="array" aca="1" ref="AE115" ca="1">IF(AND($C115="S",ORÇAMENTO.CodBarra&lt;&gt;""),IF(ORÇAMENTO.Fonte="",ORÇAMENTO.CodBarra,CONCATENATE(ORÇAMENTO.Fonte," ",ORÇAMENTO.CodBarra)))</f>
        <v>0</v>
      </c>
      <c r="AF115" s="12" t="str" cm="1">
        <f t="array" aca="1" ref="AF115" ca="1">IF(ISERROR(ORÇAMENTO.BancoRef),"(abra o arquivo 'Referência "&amp;Excel_BuiltIn_Database&amp;".xlsm)",IF(OR($C115&lt;&gt;"S",ORÇAMENTO.CodBarra=""),"(Sem Código)",IF(ISERROR(MATCH($AE115,INDIRECT(ORÇAMENTO.BancoRef),0)),"(Código não identificado nas referências)",MATCH($AE115,INDIRECT(ORÇAMENTO.BancoRef),0))))</f>
        <v>(Sem Código)</v>
      </c>
      <c r="AG115" s="428" cm="1">
        <f t="array" aca="1" ref="AG115" ca="1">ROUND(IF(DESONERACAO="sim",REFERENCIA.Desonerado,REFERENCIA.NaoDesonerado),2)</f>
        <v>0</v>
      </c>
      <c r="AH115" s="429">
        <f t="shared" ca="1" si="31"/>
        <v>0.2223</v>
      </c>
      <c r="AJ115" s="431"/>
      <c r="AL115" s="439"/>
      <c r="AM115" s="336">
        <f t="shared" ca="1" si="0"/>
        <v>0</v>
      </c>
      <c r="AN115" s="470" cm="1">
        <f t="array" aca="1" ref="AN115" ca="1">ROUND(ORÇAMENTO.CustoUnitario*(1+$AH115),2)</f>
        <v>0</v>
      </c>
    </row>
    <row r="116" spans="1:40" ht="38.25" x14ac:dyDescent="0.2">
      <c r="A116" t="str">
        <f t="shared" si="18"/>
        <v>S</v>
      </c>
      <c r="B116">
        <f t="shared" ca="1" si="19"/>
        <v>2</v>
      </c>
      <c r="C116" t="str">
        <f t="shared" ca="1" si="20"/>
        <v>S</v>
      </c>
      <c r="D116">
        <f t="shared" ca="1" si="21"/>
        <v>0</v>
      </c>
      <c r="E116">
        <f ca="1">IF($C116=1,OFFSET(E116,-1,0)+MAX(1,COUNTIF(QCI!$A$13:$A$24,OFFSET(ORÇAMENTO!E116,-1,0))),OFFSET(E116,-1,0))</f>
        <v>8</v>
      </c>
      <c r="F116">
        <f t="shared" ca="1" si="22"/>
        <v>1</v>
      </c>
      <c r="G116">
        <f t="shared" ca="1" si="23"/>
        <v>0</v>
      </c>
      <c r="H116">
        <f t="shared" ca="1" si="24"/>
        <v>0</v>
      </c>
      <c r="I116">
        <f t="shared" ca="1" si="25"/>
        <v>0</v>
      </c>
      <c r="J116">
        <f t="shared" ca="1" si="17"/>
        <v>0</v>
      </c>
      <c r="K116">
        <f ca="1">IF(OR($C116="S",$C116=0),0,MATCH(OFFSET($D116,0,$C116)+IF($C116&lt;&gt;1,1,COUNTIF(QCI!$A$13:$A$24,ORÇAMENTO!E116)),OFFSET($D116,1,$C116,ROW($C$244)-ROW($C116)),0))</f>
        <v>0</v>
      </c>
      <c r="L116" s="114" t="str">
        <f t="shared" ca="1" si="26"/>
        <v/>
      </c>
      <c r="M116" s="115" t="s">
        <v>705</v>
      </c>
      <c r="N116" s="116" t="str">
        <f t="shared" ca="1" si="27"/>
        <v>Serviço</v>
      </c>
      <c r="O116" s="117" t="str">
        <f t="shared" ca="1" si="28"/>
        <v>-</v>
      </c>
      <c r="P116" s="118" t="s">
        <v>750</v>
      </c>
      <c r="Q116" s="119" t="s">
        <v>1071</v>
      </c>
      <c r="R116" s="120" t="str" cm="1">
        <f t="array" aca="1" ref="R116" ca="1">IF($C116="S",REFERENCIA.Descricao,"(digite a descrição aqui)")</f>
        <v>(Código não identificado nas referências)</v>
      </c>
      <c r="S116" s="121" t="str" cm="1">
        <f t="array" aca="1" ref="S116" ca="1">REFERENCIA.Unidade</f>
        <v>-</v>
      </c>
      <c r="T116" s="122">
        <f ca="1">OFFSET(CÁLCULO!H$15,ROW($T116)-ROW(T$15),0)</f>
        <v>1077.3999999999999</v>
      </c>
      <c r="U116" s="123">
        <f t="shared" ca="1" si="29"/>
        <v>0</v>
      </c>
      <c r="V116" s="124" t="s">
        <v>663</v>
      </c>
      <c r="W116" s="122" cm="1">
        <f t="array" aca="1" ref="W116" ca="1">IF($C116="S",ROUND(IF(TIPOORCAMENTO="Proposto",ORÇAMENTO.CustoUnitario*(1+$AH116),ORÇAMENTO.PrecoUnitarioLicitado),15-13*$AF$10),0)</f>
        <v>0</v>
      </c>
      <c r="X116" s="125" cm="1">
        <f t="array" aca="1" ref="X116" ca="1">IF($C116="S",IF(OR(Import.TipoArredondamento&lt;&gt;"TransfereGOV",ACOMPANHAMENTO="BM"),VTOTAL1,SUM(OFFSET(CÁLCULO!$AQ$15,ROW($X116)-ROW($X$15),1):OFFSET(CÁLCULO!$BR$15,ROW($X116)-ROW($X$15),-1))),IF($C116=0,0,ROUND(SomaAgrup,15-13*$AF$11)))</f>
        <v>0</v>
      </c>
      <c r="Y116" s="126" t="s">
        <v>751</v>
      </c>
      <c r="Z116" t="str">
        <f t="shared" ca="1" si="30"/>
        <v/>
      </c>
      <c r="AA116" s="127" cm="1">
        <f t="array" aca="1" ref="AA116" ca="1">IF($C116="S",IF($Z116="CP",$X116,IF($Z116="RA",(($X116)*QCI!$AA$3),0)),SomaAgrup)</f>
        <v>0</v>
      </c>
      <c r="AB116" s="128" cm="1">
        <f t="array" aca="1" ref="AB116" ca="1">IF($C116="S",IF($Z116="OU",ROUND($X116,2),0),SomaAgrup)</f>
        <v>0</v>
      </c>
      <c r="AC116" s="565" t="str" cm="1">
        <f t="array" aca="1" ref="AC116" ca="1">IF($N116=""," ",
IF(AND($C116&lt;&gt;"S",OR($R116="",$R116="(digite a descrição aqui)")),"DESCRIÇÃO",
IF(AND($C116="S",OR($Q116&lt;&gt;"",$T116&gt;0,$U116&gt;0),$P116=""),"FONTE",
IF(AND($C116="S",$P116&lt;&gt;"",OR($T116&gt;0,$U116&gt;0),$Q116=""),"CÓDIGO",
IF(AND($C116="S",$P116&lt;&gt;"",$Q116&lt;&gt;"",$R116="(Código não identificado nas referências)"),"CÓDIGO N/ID",
IF(AND($C116="S",OR($R116="",$R116="(digite a descrição aqui)"),OR($Q116&lt;&gt;"",$T116&gt;0,$U116&gt;0)),"DESCRIÇÃO",
IF(AND($C116="S",$P116&lt;&gt;"",$Q116&lt;&gt;"",$S116=""),"UNIDADE",
IF(AND($C116="S",$P116&lt;&gt;"",$Q116&lt;&gt;"",$U116=0),"SEM CUSTO",
IF(AND(TIPOORCAMENTO="Licitado",$AL116=0,$AN116&gt;0),"SEM PREÇO",
IF(AND($C116="S",$P116&lt;&gt;"",$Q116&lt;&gt;"",$U116&gt;0,AND($V116&lt;&gt;"BDI 1",$V116&lt;&gt;"BDI 2",$V116&lt;&gt;"BDI 3")),IF(ISNUMBER($V116),"JUSTIFICAR BDI","BDI"),
IF(OR(AND(import.recurso="OGU",TIPOORCAMENTO="Proposto",LEFT($O$8,5)&lt;&gt;"(N/D:",$AG116&lt;&gt;"",ORÇAMENTO.CustoUnitario&gt;$AG116),AND(TIPOORCAMENTO="LICITADO",ORÇAMENTO.PrecoUnitarioLicitado&gt;$AN116)),"ACIMA REF.",
IF(AND($C116="S",$P116&lt;&gt;"",$Q116&lt;&gt;"",$T116=0,$U116&gt;0),"QUANT.",
IF(AND(Import.TipoArredondamento="TransfereGOV",$L116="F",$C116="S",LEN($Q116)&gt;13),"Código &gt;13",
IF(AND(Import.TipoArredondamento="TransfereGOV",$L116="F",$C116&lt;&gt;"S",LEN($R116)&gt;100),"Descrição &gt;100",
IF(AND(Import.TipoArredondamento="TransfereGOV",$L116="F",$C116="S",LEN($R116)&gt;500),"Descrição &gt;500",
IF(AND(Import.TipoArredondamento="TransfereGOV",$L116="F",$C116="S",LEFT(TRIM(UPPER($P116)),6)&lt;&gt;"SINAPI",ISNA(VLOOKUP(TRIM(UPPER($S116)),ListaTgov.Unidades,1,FALSE))),"Unid. Não Disp",
" "))))))))))))))))</f>
        <v>CÓDIGO N/ID</v>
      </c>
      <c r="AD116" t="str">
        <f ca="1">IF(C116&lt;=CRONO.NivelExibicao,MAX($AD$15:OFFSET(AD116,-1,0))+IF($C116&lt;&gt;1,1,MAX(1,COUNTIF(QCI!$A$13:$A$24,OFFSET($E116,-1,0)))),"")</f>
        <v/>
      </c>
      <c r="AE116" s="7" t="str" cm="1">
        <f t="array" aca="1" ref="AE116" ca="1">IF(AND($C116="S",ORÇAMENTO.CodBarra&lt;&gt;""),IF(ORÇAMENTO.Fonte="",ORÇAMENTO.CodBarra,CONCATENATE(ORÇAMENTO.Fonte," ",ORÇAMENTO.CodBarra)))</f>
        <v>SINAPI 97084</v>
      </c>
      <c r="AF116" s="12" t="str" cm="1">
        <f t="array" aca="1" ref="AF116" ca="1">IF(ISERROR(ORÇAMENTO.BancoRef),"(abra o arquivo 'Referência "&amp;Excel_BuiltIn_Database&amp;".xlsm)",IF(OR($C116&lt;&gt;"S",ORÇAMENTO.CodBarra=""),"(Sem Código)",IF(ISERROR(MATCH($AE116,INDIRECT(ORÇAMENTO.BancoRef),0)),"(Código não identificado nas referências)",MATCH($AE116,INDIRECT(ORÇAMENTO.BancoRef),0))))</f>
        <v>(Código não identificado nas referências)</v>
      </c>
      <c r="AG116" s="428" cm="1">
        <f t="array" aca="1" ref="AG116" ca="1">ROUND(IF(DESONERACAO="sim",REFERENCIA.Desonerado,REFERENCIA.NaoDesonerado),2)</f>
        <v>0</v>
      </c>
      <c r="AH116" s="429">
        <f t="shared" ca="1" si="31"/>
        <v>0.2223</v>
      </c>
      <c r="AJ116" s="431"/>
      <c r="AL116" s="439"/>
      <c r="AM116" s="336">
        <f t="shared" ca="1" si="0"/>
        <v>0</v>
      </c>
      <c r="AN116" s="470" cm="1">
        <f t="array" aca="1" ref="AN116" ca="1">ROUND(ORÇAMENTO.CustoUnitario*(1+$AH116),2)</f>
        <v>0</v>
      </c>
    </row>
    <row r="117" spans="1:40" ht="38.25" x14ac:dyDescent="0.2">
      <c r="A117" t="str">
        <f t="shared" ref="A117:A148" si="32">CHOOSE(1+LOG(1+2*(ORÇAMENTO.Nivel="Meta")+4*(ORÇAMENTO.Nivel="Nível 2")+8*(ORÇAMENTO.Nivel="Nível 3")+16*(ORÇAMENTO.Nivel="Nível 4")+32*(ORÇAMENTO.Nivel="Serviço"),2),0,1,2,3,4,"S")</f>
        <v>S</v>
      </c>
      <c r="B117">
        <f t="shared" ca="1" si="19"/>
        <v>2</v>
      </c>
      <c r="C117" t="str">
        <f t="shared" ca="1" si="20"/>
        <v>S</v>
      </c>
      <c r="D117">
        <f t="shared" ca="1" si="21"/>
        <v>0</v>
      </c>
      <c r="E117">
        <f ca="1">IF($C117=1,OFFSET(E117,-1,0)+MAX(1,COUNTIF(QCI!$A$13:$A$24,OFFSET(ORÇAMENTO!E117,-1,0))),OFFSET(E117,-1,0))</f>
        <v>8</v>
      </c>
      <c r="F117">
        <f t="shared" ca="1" si="22"/>
        <v>1</v>
      </c>
      <c r="G117">
        <f t="shared" ca="1" si="23"/>
        <v>0</v>
      </c>
      <c r="H117">
        <f t="shared" ca="1" si="24"/>
        <v>0</v>
      </c>
      <c r="I117">
        <f t="shared" ca="1" si="25"/>
        <v>0</v>
      </c>
      <c r="J117">
        <f t="shared" ca="1" si="17"/>
        <v>0</v>
      </c>
      <c r="K117">
        <f ca="1">IF(OR($C117="S",$C117=0),0,MATCH(OFFSET($D117,0,$C117)+IF($C117&lt;&gt;1,1,COUNTIF(QCI!$A$13:$A$24,ORÇAMENTO!E117)),OFFSET($D117,1,$C117,ROW($C$244)-ROW($C117)),0))</f>
        <v>0</v>
      </c>
      <c r="L117" s="114" t="str">
        <f t="shared" ca="1" si="26"/>
        <v/>
      </c>
      <c r="M117" s="115" t="s">
        <v>705</v>
      </c>
      <c r="N117" s="116" t="str">
        <f t="shared" ca="1" si="27"/>
        <v>Serviço</v>
      </c>
      <c r="O117" s="117" t="str">
        <f t="shared" ca="1" si="28"/>
        <v>-</v>
      </c>
      <c r="P117" s="118" t="s">
        <v>750</v>
      </c>
      <c r="Q117" s="119" t="s">
        <v>1072</v>
      </c>
      <c r="R117" s="120" t="str" cm="1">
        <f t="array" aca="1" ref="R117" ca="1">IF($C117="S",REFERENCIA.Descricao,"(digite a descrição aqui)")</f>
        <v>(Código não identificado nas referências)</v>
      </c>
      <c r="S117" s="121" t="str" cm="1">
        <f t="array" aca="1" ref="S117" ca="1">REFERENCIA.Unidade</f>
        <v>-</v>
      </c>
      <c r="T117" s="122">
        <f ca="1">OFFSET(CÁLCULO!H$15,ROW($T117)-ROW(T$15),0)</f>
        <v>107.8</v>
      </c>
      <c r="U117" s="123">
        <f t="shared" ca="1" si="29"/>
        <v>0</v>
      </c>
      <c r="V117" s="124" t="s">
        <v>663</v>
      </c>
      <c r="W117" s="122" cm="1">
        <f t="array" aca="1" ref="W117" ca="1">IF($C117="S",ROUND(IF(TIPOORCAMENTO="Proposto",ORÇAMENTO.CustoUnitario*(1+$AH117),ORÇAMENTO.PrecoUnitarioLicitado),15-13*$AF$10),0)</f>
        <v>0</v>
      </c>
      <c r="X117" s="125" cm="1">
        <f t="array" aca="1" ref="X117" ca="1">IF($C117="S",IF(OR(Import.TipoArredondamento&lt;&gt;"TransfereGOV",ACOMPANHAMENTO="BM"),VTOTAL1,SUM(OFFSET(CÁLCULO!$AQ$15,ROW($X117)-ROW($X$15),1):OFFSET(CÁLCULO!$BR$15,ROW($X117)-ROW($X$15),-1))),IF($C117=0,0,ROUND(SomaAgrup,15-13*$AF$11)))</f>
        <v>0</v>
      </c>
      <c r="Y117" s="126" t="s">
        <v>751</v>
      </c>
      <c r="Z117" t="str">
        <f t="shared" ca="1" si="30"/>
        <v/>
      </c>
      <c r="AA117" s="127" cm="1">
        <f t="array" aca="1" ref="AA117" ca="1">IF($C117="S",IF($Z117="CP",$X117,IF($Z117="RA",(($X117)*QCI!$AA$3),0)),SomaAgrup)</f>
        <v>0</v>
      </c>
      <c r="AB117" s="128" cm="1">
        <f t="array" aca="1" ref="AB117" ca="1">IF($C117="S",IF($Z117="OU",ROUND($X117,2),0),SomaAgrup)</f>
        <v>0</v>
      </c>
      <c r="AC117" s="565" t="str" cm="1">
        <f t="array" aca="1" ref="AC117" ca="1">IF($N117=""," ",
IF(AND($C117&lt;&gt;"S",OR($R117="",$R117="(digite a descrição aqui)")),"DESCRIÇÃO",
IF(AND($C117="S",OR($Q117&lt;&gt;"",$T117&gt;0,$U117&gt;0),$P117=""),"FONTE",
IF(AND($C117="S",$P117&lt;&gt;"",OR($T117&gt;0,$U117&gt;0),$Q117=""),"CÓDIGO",
IF(AND($C117="S",$P117&lt;&gt;"",$Q117&lt;&gt;"",$R117="(Código não identificado nas referências)"),"CÓDIGO N/ID",
IF(AND($C117="S",OR($R117="",$R117="(digite a descrição aqui)"),OR($Q117&lt;&gt;"",$T117&gt;0,$U117&gt;0)),"DESCRIÇÃO",
IF(AND($C117="S",$P117&lt;&gt;"",$Q117&lt;&gt;"",$S117=""),"UNIDADE",
IF(AND($C117="S",$P117&lt;&gt;"",$Q117&lt;&gt;"",$U117=0),"SEM CUSTO",
IF(AND(TIPOORCAMENTO="Licitado",$AL117=0,$AN117&gt;0),"SEM PREÇO",
IF(AND($C117="S",$P117&lt;&gt;"",$Q117&lt;&gt;"",$U117&gt;0,AND($V117&lt;&gt;"BDI 1",$V117&lt;&gt;"BDI 2",$V117&lt;&gt;"BDI 3")),IF(ISNUMBER($V117),"JUSTIFICAR BDI","BDI"),
IF(OR(AND(import.recurso="OGU",TIPOORCAMENTO="Proposto",LEFT($O$8,5)&lt;&gt;"(N/D:",$AG117&lt;&gt;"",ORÇAMENTO.CustoUnitario&gt;$AG117),AND(TIPOORCAMENTO="LICITADO",ORÇAMENTO.PrecoUnitarioLicitado&gt;$AN117)),"ACIMA REF.",
IF(AND($C117="S",$P117&lt;&gt;"",$Q117&lt;&gt;"",$T117=0,$U117&gt;0),"QUANT.",
IF(AND(Import.TipoArredondamento="TransfereGOV",$L117="F",$C117="S",LEN($Q117)&gt;13),"Código &gt;13",
IF(AND(Import.TipoArredondamento="TransfereGOV",$L117="F",$C117&lt;&gt;"S",LEN($R117)&gt;100),"Descrição &gt;100",
IF(AND(Import.TipoArredondamento="TransfereGOV",$L117="F",$C117="S",LEN($R117)&gt;500),"Descrição &gt;500",
IF(AND(Import.TipoArredondamento="TransfereGOV",$L117="F",$C117="S",LEFT(TRIM(UPPER($P117)),6)&lt;&gt;"SINAPI",ISNA(VLOOKUP(TRIM(UPPER($S117)),ListaTgov.Unidades,1,FALSE))),"Unid. Não Disp",
" "))))))))))))))))</f>
        <v>CÓDIGO N/ID</v>
      </c>
      <c r="AD117" t="str">
        <f ca="1">IF(C117&lt;=CRONO.NivelExibicao,MAX($AD$15:OFFSET(AD117,-1,0))+IF($C117&lt;&gt;1,1,MAX(1,COUNTIF(QCI!$A$13:$A$24,OFFSET($E117,-1,0)))),"")</f>
        <v/>
      </c>
      <c r="AE117" s="7" t="str" cm="1">
        <f t="array" aca="1" ref="AE117" ca="1">IF(AND($C117="S",ORÇAMENTO.CodBarra&lt;&gt;""),IF(ORÇAMENTO.Fonte="",ORÇAMENTO.CodBarra,CONCATENATE(ORÇAMENTO.Fonte," ",ORÇAMENTO.CodBarra)))</f>
        <v>SINAPI 100322</v>
      </c>
      <c r="AF117" s="12" t="str" cm="1">
        <f t="array" aca="1" ref="AF117" ca="1">IF(ISERROR(ORÇAMENTO.BancoRef),"(abra o arquivo 'Referência "&amp;Excel_BuiltIn_Database&amp;".xlsm)",IF(OR($C117&lt;&gt;"S",ORÇAMENTO.CodBarra=""),"(Sem Código)",IF(ISERROR(MATCH($AE117,INDIRECT(ORÇAMENTO.BancoRef),0)),"(Código não identificado nas referências)",MATCH($AE117,INDIRECT(ORÇAMENTO.BancoRef),0))))</f>
        <v>(Código não identificado nas referências)</v>
      </c>
      <c r="AG117" s="428" cm="1">
        <f t="array" aca="1" ref="AG117" ca="1">ROUND(IF(DESONERACAO="sim",REFERENCIA.Desonerado,REFERENCIA.NaoDesonerado),2)</f>
        <v>0</v>
      </c>
      <c r="AH117" s="429">
        <f t="shared" ref="AH117:AH148" ca="1" si="33">ROUND(IF(ISNUMBER(ORÇAMENTO.OpcaoBDI),ORÇAMENTO.OpcaoBDI,IF(LEFT(ORÇAMENTO.OpcaoBDI,3)="BDI",HLOOKUP(ORÇAMENTO.OpcaoBDI,$F$4:$H$5,2,FALSE),0)),15-11*$AF$9)</f>
        <v>0.2223</v>
      </c>
      <c r="AJ117" s="431"/>
      <c r="AL117" s="439"/>
      <c r="AM117" s="336">
        <f t="shared" ca="1" si="0"/>
        <v>0</v>
      </c>
      <c r="AN117" s="470" cm="1">
        <f t="array" aca="1" ref="AN117" ca="1">ROUND(ORÇAMENTO.CustoUnitario*(1+$AH117),2)</f>
        <v>0</v>
      </c>
    </row>
    <row r="118" spans="1:40" ht="25.5" x14ac:dyDescent="0.2">
      <c r="A118" t="str">
        <f t="shared" si="32"/>
        <v>S</v>
      </c>
      <c r="B118">
        <f t="shared" ca="1" si="19"/>
        <v>2</v>
      </c>
      <c r="C118" t="str">
        <f t="shared" ca="1" si="20"/>
        <v>S</v>
      </c>
      <c r="D118">
        <f t="shared" ca="1" si="21"/>
        <v>0</v>
      </c>
      <c r="E118">
        <f ca="1">IF($C118=1,OFFSET(E118,-1,0)+MAX(1,COUNTIF(QCI!$A$13:$A$24,OFFSET(ORÇAMENTO!E118,-1,0))),OFFSET(E118,-1,0))</f>
        <v>8</v>
      </c>
      <c r="F118">
        <f t="shared" ca="1" si="22"/>
        <v>1</v>
      </c>
      <c r="G118">
        <f t="shared" ca="1" si="23"/>
        <v>0</v>
      </c>
      <c r="H118">
        <f t="shared" ca="1" si="24"/>
        <v>0</v>
      </c>
      <c r="I118">
        <f t="shared" ca="1" si="25"/>
        <v>0</v>
      </c>
      <c r="J118">
        <f t="shared" ca="1" si="17"/>
        <v>0</v>
      </c>
      <c r="K118">
        <f ca="1">IF(OR($C118="S",$C118=0),0,MATCH(OFFSET($D118,0,$C118)+IF($C118&lt;&gt;1,1,COUNTIF(QCI!$A$13:$A$24,ORÇAMENTO!E118)),OFFSET($D118,1,$C118,ROW($C$244)-ROW($C118)),0))</f>
        <v>0</v>
      </c>
      <c r="L118" s="114" t="str">
        <f t="shared" ca="1" si="26"/>
        <v/>
      </c>
      <c r="M118" s="115" t="s">
        <v>705</v>
      </c>
      <c r="N118" s="116" t="str">
        <f t="shared" ca="1" si="27"/>
        <v>Serviço</v>
      </c>
      <c r="O118" s="117" t="str">
        <f t="shared" ca="1" si="28"/>
        <v>-</v>
      </c>
      <c r="P118" s="118" t="s">
        <v>750</v>
      </c>
      <c r="Q118" s="119" t="s">
        <v>1073</v>
      </c>
      <c r="R118" s="120" t="str" cm="1">
        <f t="array" aca="1" ref="R118" ca="1">IF($C118="S",REFERENCIA.Descricao,"(digite a descrição aqui)")</f>
        <v>(Código não identificado nas referências)</v>
      </c>
      <c r="S118" s="121" t="str" cm="1">
        <f t="array" aca="1" ref="S118" ca="1">REFERENCIA.Unidade</f>
        <v>-</v>
      </c>
      <c r="T118" s="122">
        <f ca="1">OFFSET(CÁLCULO!H$15,ROW($T118)-ROW(T$15),0)</f>
        <v>1077.3999999999999</v>
      </c>
      <c r="U118" s="123">
        <f t="shared" ca="1" si="29"/>
        <v>0</v>
      </c>
      <c r="V118" s="124" t="s">
        <v>663</v>
      </c>
      <c r="W118" s="122" cm="1">
        <f t="array" aca="1" ref="W118" ca="1">IF($C118="S",ROUND(IF(TIPOORCAMENTO="Proposto",ORÇAMENTO.CustoUnitario*(1+$AH118),ORÇAMENTO.PrecoUnitarioLicitado),15-13*$AF$10),0)</f>
        <v>0</v>
      </c>
      <c r="X118" s="125" cm="1">
        <f t="array" aca="1" ref="X118" ca="1">IF($C118="S",IF(OR(Import.TipoArredondamento&lt;&gt;"TransfereGOV",ACOMPANHAMENTO="BM"),VTOTAL1,SUM(OFFSET(CÁLCULO!$AQ$15,ROW($X118)-ROW($X$15),1):OFFSET(CÁLCULO!$BR$15,ROW($X118)-ROW($X$15),-1))),IF($C118=0,0,ROUND(SomaAgrup,15-13*$AF$11)))</f>
        <v>0</v>
      </c>
      <c r="Y118" s="126" t="s">
        <v>751</v>
      </c>
      <c r="Z118" t="str">
        <f t="shared" ca="1" si="30"/>
        <v/>
      </c>
      <c r="AA118" s="127" cm="1">
        <f t="array" aca="1" ref="AA118" ca="1">IF($C118="S",IF($Z118="CP",$X118,IF($Z118="RA",(($X118)*QCI!$AA$3),0)),SomaAgrup)</f>
        <v>0</v>
      </c>
      <c r="AB118" s="128" cm="1">
        <f t="array" aca="1" ref="AB118" ca="1">IF($C118="S",IF($Z118="OU",ROUND($X118,2),0),SomaAgrup)</f>
        <v>0</v>
      </c>
      <c r="AC118" s="565" t="str" cm="1">
        <f t="array" aca="1" ref="AC118" ca="1">IF($N118=""," ",
IF(AND($C118&lt;&gt;"S",OR($R118="",$R118="(digite a descrição aqui)")),"DESCRIÇÃO",
IF(AND($C118="S",OR($Q118&lt;&gt;"",$T118&gt;0,$U118&gt;0),$P118=""),"FONTE",
IF(AND($C118="S",$P118&lt;&gt;"",OR($T118&gt;0,$U118&gt;0),$Q118=""),"CÓDIGO",
IF(AND($C118="S",$P118&lt;&gt;"",$Q118&lt;&gt;"",$R118="(Código não identificado nas referências)"),"CÓDIGO N/ID",
IF(AND($C118="S",OR($R118="",$R118="(digite a descrição aqui)"),OR($Q118&lt;&gt;"",$T118&gt;0,$U118&gt;0)),"DESCRIÇÃO",
IF(AND($C118="S",$P118&lt;&gt;"",$Q118&lt;&gt;"",$S118=""),"UNIDADE",
IF(AND($C118="S",$P118&lt;&gt;"",$Q118&lt;&gt;"",$U118=0),"SEM CUSTO",
IF(AND(TIPOORCAMENTO="Licitado",$AL118=0,$AN118&gt;0),"SEM PREÇO",
IF(AND($C118="S",$P118&lt;&gt;"",$Q118&lt;&gt;"",$U118&gt;0,AND($V118&lt;&gt;"BDI 1",$V118&lt;&gt;"BDI 2",$V118&lt;&gt;"BDI 3")),IF(ISNUMBER($V118),"JUSTIFICAR BDI","BDI"),
IF(OR(AND(import.recurso="OGU",TIPOORCAMENTO="Proposto",LEFT($O$8,5)&lt;&gt;"(N/D:",$AG118&lt;&gt;"",ORÇAMENTO.CustoUnitario&gt;$AG118),AND(TIPOORCAMENTO="LICITADO",ORÇAMENTO.PrecoUnitarioLicitado&gt;$AN118)),"ACIMA REF.",
IF(AND($C118="S",$P118&lt;&gt;"",$Q118&lt;&gt;"",$T118=0,$U118&gt;0),"QUANT.",
IF(AND(Import.TipoArredondamento="TransfereGOV",$L118="F",$C118="S",LEN($Q118)&gt;13),"Código &gt;13",
IF(AND(Import.TipoArredondamento="TransfereGOV",$L118="F",$C118&lt;&gt;"S",LEN($R118)&gt;100),"Descrição &gt;100",
IF(AND(Import.TipoArredondamento="TransfereGOV",$L118="F",$C118="S",LEN($R118)&gt;500),"Descrição &gt;500",
IF(AND(Import.TipoArredondamento="TransfereGOV",$L118="F",$C118="S",LEFT(TRIM(UPPER($P118)),6)&lt;&gt;"SINAPI",ISNA(VLOOKUP(TRIM(UPPER($S118)),ListaTgov.Unidades,1,FALSE))),"Unid. Não Disp",
" "))))))))))))))))</f>
        <v>CÓDIGO N/ID</v>
      </c>
      <c r="AD118" t="str">
        <f ca="1">IF(C118&lt;=CRONO.NivelExibicao,MAX($AD$15:OFFSET(AD118,-1,0))+IF($C118&lt;&gt;1,1,MAX(1,COUNTIF(QCI!$A$13:$A$24,OFFSET($E118,-1,0)))),"")</f>
        <v/>
      </c>
      <c r="AE118" s="7" t="str" cm="1">
        <f t="array" aca="1" ref="AE118" ca="1">IF(AND($C118="S",ORÇAMENTO.CodBarra&lt;&gt;""),IF(ORÇAMENTO.Fonte="",ORÇAMENTO.CodBarra,CONCATENATE(ORÇAMENTO.Fonte," ",ORÇAMENTO.CodBarra)))</f>
        <v>SINAPI 97087</v>
      </c>
      <c r="AF118" s="12" t="str" cm="1">
        <f t="array" aca="1" ref="AF118" ca="1">IF(ISERROR(ORÇAMENTO.BancoRef),"(abra o arquivo 'Referência "&amp;Excel_BuiltIn_Database&amp;".xlsm)",IF(OR($C118&lt;&gt;"S",ORÇAMENTO.CodBarra=""),"(Sem Código)",IF(ISERROR(MATCH($AE118,INDIRECT(ORÇAMENTO.BancoRef),0)),"(Código não identificado nas referências)",MATCH($AE118,INDIRECT(ORÇAMENTO.BancoRef),0))))</f>
        <v>(Código não identificado nas referências)</v>
      </c>
      <c r="AG118" s="428" cm="1">
        <f t="array" aca="1" ref="AG118" ca="1">ROUND(IF(DESONERACAO="sim",REFERENCIA.Desonerado,REFERENCIA.NaoDesonerado),2)</f>
        <v>0</v>
      </c>
      <c r="AH118" s="429">
        <f t="shared" ca="1" si="33"/>
        <v>0.2223</v>
      </c>
      <c r="AJ118" s="431"/>
      <c r="AL118" s="439"/>
      <c r="AM118" s="336">
        <f t="shared" ca="1" si="0"/>
        <v>0</v>
      </c>
      <c r="AN118" s="470" cm="1">
        <f t="array" aca="1" ref="AN118" ca="1">ROUND(ORÇAMENTO.CustoUnitario*(1+$AH118),2)</f>
        <v>0</v>
      </c>
    </row>
    <row r="119" spans="1:40" ht="25.5" x14ac:dyDescent="0.2">
      <c r="A119" t="str">
        <f t="shared" si="32"/>
        <v>S</v>
      </c>
      <c r="B119">
        <f t="shared" ca="1" si="19"/>
        <v>2</v>
      </c>
      <c r="C119" t="str">
        <f t="shared" ca="1" si="20"/>
        <v>S</v>
      </c>
      <c r="D119">
        <f t="shared" ca="1" si="21"/>
        <v>0</v>
      </c>
      <c r="E119">
        <f ca="1">IF($C119=1,OFFSET(E119,-1,0)+MAX(1,COUNTIF(QCI!$A$13:$A$24,OFFSET(ORÇAMENTO!E119,-1,0))),OFFSET(E119,-1,0))</f>
        <v>8</v>
      </c>
      <c r="F119">
        <f t="shared" ca="1" si="22"/>
        <v>1</v>
      </c>
      <c r="G119">
        <f t="shared" ca="1" si="23"/>
        <v>0</v>
      </c>
      <c r="H119">
        <f t="shared" ca="1" si="24"/>
        <v>0</v>
      </c>
      <c r="I119">
        <f t="shared" ca="1" si="25"/>
        <v>0</v>
      </c>
      <c r="J119">
        <f t="shared" ca="1" si="17"/>
        <v>0</v>
      </c>
      <c r="K119">
        <f ca="1">IF(OR($C119="S",$C119=0),0,MATCH(OFFSET($D119,0,$C119)+IF($C119&lt;&gt;1,1,COUNTIF(QCI!$A$13:$A$24,ORÇAMENTO!E119)),OFFSET($D119,1,$C119,ROW($C$244)-ROW($C119)),0))</f>
        <v>0</v>
      </c>
      <c r="L119" s="114" t="str">
        <f t="shared" ca="1" si="26"/>
        <v/>
      </c>
      <c r="M119" s="115" t="s">
        <v>705</v>
      </c>
      <c r="N119" s="116" t="str">
        <f t="shared" ca="1" si="27"/>
        <v>Serviço</v>
      </c>
      <c r="O119" s="117" t="str">
        <f t="shared" ca="1" si="28"/>
        <v>-</v>
      </c>
      <c r="P119" s="118" t="s">
        <v>750</v>
      </c>
      <c r="Q119" s="119" t="s">
        <v>1074</v>
      </c>
      <c r="R119" s="120" t="str" cm="1">
        <f t="array" aca="1" ref="R119" ca="1">IF($C119="S",REFERENCIA.Descricao,"(digite a descrição aqui)")</f>
        <v>(Código não identificado nas referências)</v>
      </c>
      <c r="S119" s="121" t="str" cm="1">
        <f t="array" aca="1" ref="S119" ca="1">REFERENCIA.Unidade</f>
        <v>-</v>
      </c>
      <c r="T119" s="122">
        <f ca="1">OFFSET(CÁLCULO!H$15,ROW($T119)-ROW(T$15),0)</f>
        <v>1077.3999999999999</v>
      </c>
      <c r="U119" s="123">
        <f t="shared" ca="1" si="29"/>
        <v>0</v>
      </c>
      <c r="V119" s="124" t="s">
        <v>663</v>
      </c>
      <c r="W119" s="122" cm="1">
        <f t="array" aca="1" ref="W119" ca="1">IF($C119="S",ROUND(IF(TIPOORCAMENTO="Proposto",ORÇAMENTO.CustoUnitario*(1+$AH119),ORÇAMENTO.PrecoUnitarioLicitado),15-13*$AF$10),0)</f>
        <v>0</v>
      </c>
      <c r="X119" s="125" cm="1">
        <f t="array" aca="1" ref="X119" ca="1">IF($C119="S",IF(OR(Import.TipoArredondamento&lt;&gt;"TransfereGOV",ACOMPANHAMENTO="BM"),VTOTAL1,SUM(OFFSET(CÁLCULO!$AQ$15,ROW($X119)-ROW($X$15),1):OFFSET(CÁLCULO!$BR$15,ROW($X119)-ROW($X$15),-1))),IF($C119=0,0,ROUND(SomaAgrup,15-13*$AF$11)))</f>
        <v>0</v>
      </c>
      <c r="Y119" s="126" t="s">
        <v>751</v>
      </c>
      <c r="Z119" t="str">
        <f t="shared" ca="1" si="30"/>
        <v/>
      </c>
      <c r="AA119" s="127" cm="1">
        <f t="array" aca="1" ref="AA119" ca="1">IF($C119="S",IF($Z119="CP",$X119,IF($Z119="RA",(($X119)*QCI!$AA$3),0)),SomaAgrup)</f>
        <v>0</v>
      </c>
      <c r="AB119" s="128" cm="1">
        <f t="array" aca="1" ref="AB119" ca="1">IF($C119="S",IF($Z119="OU",ROUND($X119,2),0),SomaAgrup)</f>
        <v>0</v>
      </c>
      <c r="AC119" s="565" t="str" cm="1">
        <f t="array" aca="1" ref="AC119" ca="1">IF($N119=""," ",
IF(AND($C119&lt;&gt;"S",OR($R119="",$R119="(digite a descrição aqui)")),"DESCRIÇÃO",
IF(AND($C119="S",OR($Q119&lt;&gt;"",$T119&gt;0,$U119&gt;0),$P119=""),"FONTE",
IF(AND($C119="S",$P119&lt;&gt;"",OR($T119&gt;0,$U119&gt;0),$Q119=""),"CÓDIGO",
IF(AND($C119="S",$P119&lt;&gt;"",$Q119&lt;&gt;"",$R119="(Código não identificado nas referências)"),"CÓDIGO N/ID",
IF(AND($C119="S",OR($R119="",$R119="(digite a descrição aqui)"),OR($Q119&lt;&gt;"",$T119&gt;0,$U119&gt;0)),"DESCRIÇÃO",
IF(AND($C119="S",$P119&lt;&gt;"",$Q119&lt;&gt;"",$S119=""),"UNIDADE",
IF(AND($C119="S",$P119&lt;&gt;"",$Q119&lt;&gt;"",$U119=0),"SEM CUSTO",
IF(AND(TIPOORCAMENTO="Licitado",$AL119=0,$AN119&gt;0),"SEM PREÇO",
IF(AND($C119="S",$P119&lt;&gt;"",$Q119&lt;&gt;"",$U119&gt;0,AND($V119&lt;&gt;"BDI 1",$V119&lt;&gt;"BDI 2",$V119&lt;&gt;"BDI 3")),IF(ISNUMBER($V119),"JUSTIFICAR BDI","BDI"),
IF(OR(AND(import.recurso="OGU",TIPOORCAMENTO="Proposto",LEFT($O$8,5)&lt;&gt;"(N/D:",$AG119&lt;&gt;"",ORÇAMENTO.CustoUnitario&gt;$AG119),AND(TIPOORCAMENTO="LICITADO",ORÇAMENTO.PrecoUnitarioLicitado&gt;$AN119)),"ACIMA REF.",
IF(AND($C119="S",$P119&lt;&gt;"",$Q119&lt;&gt;"",$T119=0,$U119&gt;0),"QUANT.",
IF(AND(Import.TipoArredondamento="TransfereGOV",$L119="F",$C119="S",LEN($Q119)&gt;13),"Código &gt;13",
IF(AND(Import.TipoArredondamento="TransfereGOV",$L119="F",$C119&lt;&gt;"S",LEN($R119)&gt;100),"Descrição &gt;100",
IF(AND(Import.TipoArredondamento="TransfereGOV",$L119="F",$C119="S",LEN($R119)&gt;500),"Descrição &gt;500",
IF(AND(Import.TipoArredondamento="TransfereGOV",$L119="F",$C119="S",LEFT(TRIM(UPPER($P119)),6)&lt;&gt;"SINAPI",ISNA(VLOOKUP(TRIM(UPPER($S119)),ListaTgov.Unidades,1,FALSE))),"Unid. Não Disp",
" "))))))))))))))))</f>
        <v>CÓDIGO N/ID</v>
      </c>
      <c r="AD119" t="str">
        <f ca="1">IF(C119&lt;=CRONO.NivelExibicao,MAX($AD$15:OFFSET(AD119,-1,0))+IF($C119&lt;&gt;1,1,MAX(1,COUNTIF(QCI!$A$13:$A$24,OFFSET($E119,-1,0)))),"")</f>
        <v/>
      </c>
      <c r="AE119" s="7" t="str" cm="1">
        <f t="array" aca="1" ref="AE119" ca="1">IF(AND($C119="S",ORÇAMENTO.CodBarra&lt;&gt;""),IF(ORÇAMENTO.Fonte="",ORÇAMENTO.CodBarra,CONCATENATE(ORÇAMENTO.Fonte," ",ORÇAMENTO.CodBarra)))</f>
        <v>SINAPI 95241</v>
      </c>
      <c r="AF119" s="12" t="str" cm="1">
        <f t="array" aca="1" ref="AF119" ca="1">IF(ISERROR(ORÇAMENTO.BancoRef),"(abra o arquivo 'Referência "&amp;Excel_BuiltIn_Database&amp;".xlsm)",IF(OR($C119&lt;&gt;"S",ORÇAMENTO.CodBarra=""),"(Sem Código)",IF(ISERROR(MATCH($AE119,INDIRECT(ORÇAMENTO.BancoRef),0)),"(Código não identificado nas referências)",MATCH($AE119,INDIRECT(ORÇAMENTO.BancoRef),0))))</f>
        <v>(Código não identificado nas referências)</v>
      </c>
      <c r="AG119" s="428" cm="1">
        <f t="array" aca="1" ref="AG119" ca="1">ROUND(IF(DESONERACAO="sim",REFERENCIA.Desonerado,REFERENCIA.NaoDesonerado),2)</f>
        <v>0</v>
      </c>
      <c r="AH119" s="429">
        <f t="shared" ca="1" si="33"/>
        <v>0.2223</v>
      </c>
      <c r="AJ119" s="431"/>
      <c r="AL119" s="439"/>
      <c r="AM119" s="336">
        <f t="shared" ca="1" si="0"/>
        <v>0</v>
      </c>
      <c r="AN119" s="470" cm="1">
        <f t="array" aca="1" ref="AN119" ca="1">ROUND(ORÇAMENTO.CustoUnitario*(1+$AH119),2)</f>
        <v>0</v>
      </c>
    </row>
    <row r="120" spans="1:40" ht="51" x14ac:dyDescent="0.2">
      <c r="A120" t="str">
        <f t="shared" si="32"/>
        <v>S</v>
      </c>
      <c r="B120">
        <f t="shared" ca="1" si="19"/>
        <v>2</v>
      </c>
      <c r="C120" t="str">
        <f t="shared" ca="1" si="20"/>
        <v>S</v>
      </c>
      <c r="D120">
        <f t="shared" ca="1" si="21"/>
        <v>0</v>
      </c>
      <c r="E120">
        <f ca="1">IF($C120=1,OFFSET(E120,-1,0)+MAX(1,COUNTIF(QCI!$A$13:$A$24,OFFSET(ORÇAMENTO!E120,-1,0))),OFFSET(E120,-1,0))</f>
        <v>8</v>
      </c>
      <c r="F120">
        <f t="shared" ca="1" si="22"/>
        <v>1</v>
      </c>
      <c r="G120">
        <f t="shared" ca="1" si="23"/>
        <v>0</v>
      </c>
      <c r="H120">
        <f t="shared" ca="1" si="24"/>
        <v>0</v>
      </c>
      <c r="I120">
        <f t="shared" ca="1" si="25"/>
        <v>0</v>
      </c>
      <c r="J120">
        <f t="shared" ca="1" si="17"/>
        <v>0</v>
      </c>
      <c r="K120">
        <f ca="1">IF(OR($C120="S",$C120=0),0,MATCH(OFFSET($D120,0,$C120)+IF($C120&lt;&gt;1,1,COUNTIF(QCI!$A$13:$A$24,ORÇAMENTO!E120)),OFFSET($D120,1,$C120,ROW($C$244)-ROW($C120)),0))</f>
        <v>0</v>
      </c>
      <c r="L120" s="114" t="str">
        <f t="shared" ca="1" si="26"/>
        <v/>
      </c>
      <c r="M120" s="115" t="s">
        <v>705</v>
      </c>
      <c r="N120" s="116" t="str">
        <f t="shared" ca="1" si="27"/>
        <v>Serviço</v>
      </c>
      <c r="O120" s="117" t="str">
        <f t="shared" ca="1" si="28"/>
        <v>-</v>
      </c>
      <c r="P120" s="118" t="s">
        <v>750</v>
      </c>
      <c r="Q120" s="119" t="s">
        <v>1075</v>
      </c>
      <c r="R120" s="120" t="str" cm="1">
        <f t="array" aca="1" ref="R120" ca="1">IF($C120="S",REFERENCIA.Descricao,"(digite a descrição aqui)")</f>
        <v>(Código não identificado nas referências)</v>
      </c>
      <c r="S120" s="121" t="str" cm="1">
        <f t="array" aca="1" ref="S120" ca="1">REFERENCIA.Unidade</f>
        <v>-</v>
      </c>
      <c r="T120" s="122">
        <f ca="1">OFFSET(CÁLCULO!H$15,ROW($T120)-ROW(T$15),0)</f>
        <v>302.59999999999997</v>
      </c>
      <c r="U120" s="123">
        <f t="shared" ca="1" si="29"/>
        <v>0</v>
      </c>
      <c r="V120" s="124" t="s">
        <v>663</v>
      </c>
      <c r="W120" s="122" cm="1">
        <f t="array" aca="1" ref="W120" ca="1">IF($C120="S",ROUND(IF(TIPOORCAMENTO="Proposto",ORÇAMENTO.CustoUnitario*(1+$AH120),ORÇAMENTO.PrecoUnitarioLicitado),15-13*$AF$10),0)</f>
        <v>0</v>
      </c>
      <c r="X120" s="125" cm="1">
        <f t="array" aca="1" ref="X120" ca="1">IF($C120="S",IF(OR(Import.TipoArredondamento&lt;&gt;"TransfereGOV",ACOMPANHAMENTO="BM"),VTOTAL1,SUM(OFFSET(CÁLCULO!$AQ$15,ROW($X120)-ROW($X$15),1):OFFSET(CÁLCULO!$BR$15,ROW($X120)-ROW($X$15),-1))),IF($C120=0,0,ROUND(SomaAgrup,15-13*$AF$11)))</f>
        <v>0</v>
      </c>
      <c r="Y120" s="126" t="s">
        <v>751</v>
      </c>
      <c r="Z120" t="str">
        <f t="shared" ca="1" si="30"/>
        <v/>
      </c>
      <c r="AA120" s="127" cm="1">
        <f t="array" aca="1" ref="AA120" ca="1">IF($C120="S",IF($Z120="CP",$X120,IF($Z120="RA",(($X120)*QCI!$AA$3),0)),SomaAgrup)</f>
        <v>0</v>
      </c>
      <c r="AB120" s="128" cm="1">
        <f t="array" aca="1" ref="AB120" ca="1">IF($C120="S",IF($Z120="OU",ROUND($X120,2),0),SomaAgrup)</f>
        <v>0</v>
      </c>
      <c r="AC120" s="565" t="str" cm="1">
        <f t="array" aca="1" ref="AC120" ca="1">IF($N120=""," ",
IF(AND($C120&lt;&gt;"S",OR($R120="",$R120="(digite a descrição aqui)")),"DESCRIÇÃO",
IF(AND($C120="S",OR($Q120&lt;&gt;"",$T120&gt;0,$U120&gt;0),$P120=""),"FONTE",
IF(AND($C120="S",$P120&lt;&gt;"",OR($T120&gt;0,$U120&gt;0),$Q120=""),"CÓDIGO",
IF(AND($C120="S",$P120&lt;&gt;"",$Q120&lt;&gt;"",$R120="(Código não identificado nas referências)"),"CÓDIGO N/ID",
IF(AND($C120="S",OR($R120="",$R120="(digite a descrição aqui)"),OR($Q120&lt;&gt;"",$T120&gt;0,$U120&gt;0)),"DESCRIÇÃO",
IF(AND($C120="S",$P120&lt;&gt;"",$Q120&lt;&gt;"",$S120=""),"UNIDADE",
IF(AND($C120="S",$P120&lt;&gt;"",$Q120&lt;&gt;"",$U120=0),"SEM CUSTO",
IF(AND(TIPOORCAMENTO="Licitado",$AL120=0,$AN120&gt;0),"SEM PREÇO",
IF(AND($C120="S",$P120&lt;&gt;"",$Q120&lt;&gt;"",$U120&gt;0,AND($V120&lt;&gt;"BDI 1",$V120&lt;&gt;"BDI 2",$V120&lt;&gt;"BDI 3")),IF(ISNUMBER($V120),"JUSTIFICAR BDI","BDI"),
IF(OR(AND(import.recurso="OGU",TIPOORCAMENTO="Proposto",LEFT($O$8,5)&lt;&gt;"(N/D:",$AG120&lt;&gt;"",ORÇAMENTO.CustoUnitario&gt;$AG120),AND(TIPOORCAMENTO="LICITADO",ORÇAMENTO.PrecoUnitarioLicitado&gt;$AN120)),"ACIMA REF.",
IF(AND($C120="S",$P120&lt;&gt;"",$Q120&lt;&gt;"",$T120=0,$U120&gt;0),"QUANT.",
IF(AND(Import.TipoArredondamento="TransfereGOV",$L120="F",$C120="S",LEN($Q120)&gt;13),"Código &gt;13",
IF(AND(Import.TipoArredondamento="TransfereGOV",$L120="F",$C120&lt;&gt;"S",LEN($R120)&gt;100),"Descrição &gt;100",
IF(AND(Import.TipoArredondamento="TransfereGOV",$L120="F",$C120="S",LEN($R120)&gt;500),"Descrição &gt;500",
IF(AND(Import.TipoArredondamento="TransfereGOV",$L120="F",$C120="S",LEFT(TRIM(UPPER($P120)),6)&lt;&gt;"SINAPI",ISNA(VLOOKUP(TRIM(UPPER($S120)),ListaTgov.Unidades,1,FALSE))),"Unid. Não Disp",
" "))))))))))))))))</f>
        <v>CÓDIGO N/ID</v>
      </c>
      <c r="AD120" t="str">
        <f ca="1">IF(C120&lt;=CRONO.NivelExibicao,MAX($AD$15:OFFSET(AD120,-1,0))+IF($C120&lt;&gt;1,1,MAX(1,COUNTIF(QCI!$A$13:$A$24,OFFSET($E120,-1,0)))),"")</f>
        <v/>
      </c>
      <c r="AE120" s="7" t="str" cm="1">
        <f t="array" aca="1" ref="AE120" ca="1">IF(AND($C120="S",ORÇAMENTO.CodBarra&lt;&gt;""),IF(ORÇAMENTO.Fonte="",ORÇAMENTO.CodBarra,CONCATENATE(ORÇAMENTO.Fonte," ",ORÇAMENTO.CodBarra)))</f>
        <v>SINAPI 87745</v>
      </c>
      <c r="AF120" s="12" t="str" cm="1">
        <f t="array" aca="1" ref="AF120" ca="1">IF(ISERROR(ORÇAMENTO.BancoRef),"(abra o arquivo 'Referência "&amp;Excel_BuiltIn_Database&amp;".xlsm)",IF(OR($C120&lt;&gt;"S",ORÇAMENTO.CodBarra=""),"(Sem Código)",IF(ISERROR(MATCH($AE120,INDIRECT(ORÇAMENTO.BancoRef),0)),"(Código não identificado nas referências)",MATCH($AE120,INDIRECT(ORÇAMENTO.BancoRef),0))))</f>
        <v>(Código não identificado nas referências)</v>
      </c>
      <c r="AG120" s="428" cm="1">
        <f t="array" aca="1" ref="AG120" ca="1">ROUND(IF(DESONERACAO="sim",REFERENCIA.Desonerado,REFERENCIA.NaoDesonerado),2)</f>
        <v>0</v>
      </c>
      <c r="AH120" s="429">
        <f t="shared" ca="1" si="33"/>
        <v>0.2223</v>
      </c>
      <c r="AJ120" s="431"/>
      <c r="AL120" s="439"/>
      <c r="AM120" s="336">
        <f t="shared" ca="1" si="0"/>
        <v>0</v>
      </c>
      <c r="AN120" s="470" cm="1">
        <f t="array" aca="1" ref="AN120" ca="1">ROUND(ORÇAMENTO.CustoUnitario*(1+$AH120),2)</f>
        <v>0</v>
      </c>
    </row>
    <row r="121" spans="1:40" ht="51" x14ac:dyDescent="0.2">
      <c r="A121" t="str">
        <f t="shared" si="32"/>
        <v>S</v>
      </c>
      <c r="B121">
        <f t="shared" ca="1" si="19"/>
        <v>2</v>
      </c>
      <c r="C121" t="str">
        <f t="shared" ca="1" si="20"/>
        <v>S</v>
      </c>
      <c r="D121">
        <f t="shared" ca="1" si="21"/>
        <v>0</v>
      </c>
      <c r="E121">
        <f ca="1">IF($C121=1,OFFSET(E121,-1,0)+MAX(1,COUNTIF(QCI!$A$13:$A$24,OFFSET(ORÇAMENTO!E121,-1,0))),OFFSET(E121,-1,0))</f>
        <v>8</v>
      </c>
      <c r="F121">
        <f t="shared" ca="1" si="22"/>
        <v>1</v>
      </c>
      <c r="G121">
        <f t="shared" ca="1" si="23"/>
        <v>0</v>
      </c>
      <c r="H121">
        <f t="shared" ca="1" si="24"/>
        <v>0</v>
      </c>
      <c r="I121">
        <f t="shared" ca="1" si="25"/>
        <v>0</v>
      </c>
      <c r="J121">
        <f t="shared" ca="1" si="17"/>
        <v>0</v>
      </c>
      <c r="K121">
        <f ca="1">IF(OR($C121="S",$C121=0),0,MATCH(OFFSET($D121,0,$C121)+IF($C121&lt;&gt;1,1,COUNTIF(QCI!$A$13:$A$24,ORÇAMENTO!E121)),OFFSET($D121,1,$C121,ROW($C$244)-ROW($C121)),0))</f>
        <v>0</v>
      </c>
      <c r="L121" s="114" t="str">
        <f t="shared" ca="1" si="26"/>
        <v/>
      </c>
      <c r="M121" s="115" t="s">
        <v>705</v>
      </c>
      <c r="N121" s="116" t="str">
        <f t="shared" ca="1" si="27"/>
        <v>Serviço</v>
      </c>
      <c r="O121" s="117" t="str">
        <f t="shared" ca="1" si="28"/>
        <v>-</v>
      </c>
      <c r="P121" s="118" t="s">
        <v>750</v>
      </c>
      <c r="Q121" s="119" t="s">
        <v>1076</v>
      </c>
      <c r="R121" s="120" t="str" cm="1">
        <f t="array" aca="1" ref="R121" ca="1">IF($C121="S",REFERENCIA.Descricao,"(digite a descrição aqui)")</f>
        <v>(Código não identificado nas referências)</v>
      </c>
      <c r="S121" s="121" t="str" cm="1">
        <f t="array" aca="1" ref="S121" ca="1">REFERENCIA.Unidade</f>
        <v>-</v>
      </c>
      <c r="T121" s="122">
        <f ca="1">OFFSET(CÁLCULO!H$15,ROW($T121)-ROW(T$15),0)</f>
        <v>643.80000000000018</v>
      </c>
      <c r="U121" s="123">
        <f t="shared" ca="1" si="29"/>
        <v>0</v>
      </c>
      <c r="V121" s="124" t="s">
        <v>663</v>
      </c>
      <c r="W121" s="122" cm="1">
        <f t="array" aca="1" ref="W121" ca="1">IF($C121="S",ROUND(IF(TIPOORCAMENTO="Proposto",ORÇAMENTO.CustoUnitario*(1+$AH121),ORÇAMENTO.PrecoUnitarioLicitado),15-13*$AF$10),0)</f>
        <v>0</v>
      </c>
      <c r="X121" s="125" cm="1">
        <f t="array" aca="1" ref="X121" ca="1">IF($C121="S",IF(OR(Import.TipoArredondamento&lt;&gt;"TransfereGOV",ACOMPANHAMENTO="BM"),VTOTAL1,SUM(OFFSET(CÁLCULO!$AQ$15,ROW($X121)-ROW($X$15),1):OFFSET(CÁLCULO!$BR$15,ROW($X121)-ROW($X$15),-1))),IF($C121=0,0,ROUND(SomaAgrup,15-13*$AF$11)))</f>
        <v>0</v>
      </c>
      <c r="Y121" s="126" t="s">
        <v>751</v>
      </c>
      <c r="Z121" t="str">
        <f t="shared" ca="1" si="30"/>
        <v/>
      </c>
      <c r="AA121" s="127" cm="1">
        <f t="array" aca="1" ref="AA121" ca="1">IF($C121="S",IF($Z121="CP",$X121,IF($Z121="RA",(($X121)*QCI!$AA$3),0)),SomaAgrup)</f>
        <v>0</v>
      </c>
      <c r="AB121" s="128" cm="1">
        <f t="array" aca="1" ref="AB121" ca="1">IF($C121="S",IF($Z121="OU",ROUND($X121,2),0),SomaAgrup)</f>
        <v>0</v>
      </c>
      <c r="AC121" s="565" t="str" cm="1">
        <f t="array" aca="1" ref="AC121" ca="1">IF($N121=""," ",
IF(AND($C121&lt;&gt;"S",OR($R121="",$R121="(digite a descrição aqui)")),"DESCRIÇÃO",
IF(AND($C121="S",OR($Q121&lt;&gt;"",$T121&gt;0,$U121&gt;0),$P121=""),"FONTE",
IF(AND($C121="S",$P121&lt;&gt;"",OR($T121&gt;0,$U121&gt;0),$Q121=""),"CÓDIGO",
IF(AND($C121="S",$P121&lt;&gt;"",$Q121&lt;&gt;"",$R121="(Código não identificado nas referências)"),"CÓDIGO N/ID",
IF(AND($C121="S",OR($R121="",$R121="(digite a descrição aqui)"),OR($Q121&lt;&gt;"",$T121&gt;0,$U121&gt;0)),"DESCRIÇÃO",
IF(AND($C121="S",$P121&lt;&gt;"",$Q121&lt;&gt;"",$S121=""),"UNIDADE",
IF(AND($C121="S",$P121&lt;&gt;"",$Q121&lt;&gt;"",$U121=0),"SEM CUSTO",
IF(AND(TIPOORCAMENTO="Licitado",$AL121=0,$AN121&gt;0),"SEM PREÇO",
IF(AND($C121="S",$P121&lt;&gt;"",$Q121&lt;&gt;"",$U121&gt;0,AND($V121&lt;&gt;"BDI 1",$V121&lt;&gt;"BDI 2",$V121&lt;&gt;"BDI 3")),IF(ISNUMBER($V121),"JUSTIFICAR BDI","BDI"),
IF(OR(AND(import.recurso="OGU",TIPOORCAMENTO="Proposto",LEFT($O$8,5)&lt;&gt;"(N/D:",$AG121&lt;&gt;"",ORÇAMENTO.CustoUnitario&gt;$AG121),AND(TIPOORCAMENTO="LICITADO",ORÇAMENTO.PrecoUnitarioLicitado&gt;$AN121)),"ACIMA REF.",
IF(AND($C121="S",$P121&lt;&gt;"",$Q121&lt;&gt;"",$T121=0,$U121&gt;0),"QUANT.",
IF(AND(Import.TipoArredondamento="TransfereGOV",$L121="F",$C121="S",LEN($Q121)&gt;13),"Código &gt;13",
IF(AND(Import.TipoArredondamento="TransfereGOV",$L121="F",$C121&lt;&gt;"S",LEN($R121)&gt;100),"Descrição &gt;100",
IF(AND(Import.TipoArredondamento="TransfereGOV",$L121="F",$C121="S",LEN($R121)&gt;500),"Descrição &gt;500",
IF(AND(Import.TipoArredondamento="TransfereGOV",$L121="F",$C121="S",LEFT(TRIM(UPPER($P121)),6)&lt;&gt;"SINAPI",ISNA(VLOOKUP(TRIM(UPPER($S121)),ListaTgov.Unidades,1,FALSE))),"Unid. Não Disp",
" "))))))))))))))))</f>
        <v>CÓDIGO N/ID</v>
      </c>
      <c r="AD121" t="str">
        <f ca="1">IF(C121&lt;=CRONO.NivelExibicao,MAX($AD$15:OFFSET(AD121,-1,0))+IF($C121&lt;&gt;1,1,MAX(1,COUNTIF(QCI!$A$13:$A$24,OFFSET($E121,-1,0)))),"")</f>
        <v/>
      </c>
      <c r="AE121" s="7" t="str" cm="1">
        <f t="array" aca="1" ref="AE121" ca="1">IF(AND($C121="S",ORÇAMENTO.CodBarra&lt;&gt;""),IF(ORÇAMENTO.Fonte="",ORÇAMENTO.CodBarra,CONCATENATE(ORÇAMENTO.Fonte," ",ORÇAMENTO.CodBarra)))</f>
        <v>SINAPI 87630</v>
      </c>
      <c r="AF121" s="12" t="str" cm="1">
        <f t="array" aca="1" ref="AF121" ca="1">IF(ISERROR(ORÇAMENTO.BancoRef),"(abra o arquivo 'Referência "&amp;Excel_BuiltIn_Database&amp;".xlsm)",IF(OR($C121&lt;&gt;"S",ORÇAMENTO.CodBarra=""),"(Sem Código)",IF(ISERROR(MATCH($AE121,INDIRECT(ORÇAMENTO.BancoRef),0)),"(Código não identificado nas referências)",MATCH($AE121,INDIRECT(ORÇAMENTO.BancoRef),0))))</f>
        <v>(Código não identificado nas referências)</v>
      </c>
      <c r="AG121" s="428" cm="1">
        <f t="array" aca="1" ref="AG121" ca="1">ROUND(IF(DESONERACAO="sim",REFERENCIA.Desonerado,REFERENCIA.NaoDesonerado),2)</f>
        <v>0</v>
      </c>
      <c r="AH121" s="429">
        <f t="shared" ca="1" si="33"/>
        <v>0.2223</v>
      </c>
      <c r="AJ121" s="431"/>
      <c r="AL121" s="439"/>
      <c r="AM121" s="336">
        <f t="shared" ca="1" si="0"/>
        <v>0</v>
      </c>
      <c r="AN121" s="470" cm="1">
        <f t="array" aca="1" ref="AN121" ca="1">ROUND(ORÇAMENTO.CustoUnitario*(1+$AH121),2)</f>
        <v>0</v>
      </c>
    </row>
    <row r="122" spans="1:40" ht="38.25" x14ac:dyDescent="0.2">
      <c r="A122" t="str">
        <f t="shared" si="32"/>
        <v>S</v>
      </c>
      <c r="B122">
        <f t="shared" ca="1" si="19"/>
        <v>2</v>
      </c>
      <c r="C122" t="str">
        <f t="shared" ca="1" si="20"/>
        <v>S</v>
      </c>
      <c r="D122">
        <f t="shared" ca="1" si="21"/>
        <v>0</v>
      </c>
      <c r="E122">
        <f ca="1">IF($C122=1,OFFSET(E122,-1,0)+MAX(1,COUNTIF(QCI!$A$13:$A$24,OFFSET(ORÇAMENTO!E122,-1,0))),OFFSET(E122,-1,0))</f>
        <v>8</v>
      </c>
      <c r="F122">
        <f t="shared" ca="1" si="22"/>
        <v>1</v>
      </c>
      <c r="G122">
        <f t="shared" ca="1" si="23"/>
        <v>0</v>
      </c>
      <c r="H122">
        <f t="shared" ca="1" si="24"/>
        <v>0</v>
      </c>
      <c r="I122">
        <f t="shared" ca="1" si="25"/>
        <v>0</v>
      </c>
      <c r="J122">
        <f t="shared" ca="1" si="17"/>
        <v>0</v>
      </c>
      <c r="K122">
        <f ca="1">IF(OR($C122="S",$C122=0),0,MATCH(OFFSET($D122,0,$C122)+IF($C122&lt;&gt;1,1,COUNTIF(QCI!$A$13:$A$24,ORÇAMENTO!E122)),OFFSET($D122,1,$C122,ROW($C$244)-ROW($C122)),0))</f>
        <v>0</v>
      </c>
      <c r="L122" s="114" t="str">
        <f t="shared" ca="1" si="26"/>
        <v/>
      </c>
      <c r="M122" s="115" t="s">
        <v>705</v>
      </c>
      <c r="N122" s="116" t="str">
        <f t="shared" ca="1" si="27"/>
        <v>Serviço</v>
      </c>
      <c r="O122" s="117" t="str">
        <f t="shared" ca="1" si="28"/>
        <v>-</v>
      </c>
      <c r="P122" s="118" t="s">
        <v>750</v>
      </c>
      <c r="Q122" s="119" t="s">
        <v>1077</v>
      </c>
      <c r="R122" s="120" t="str" cm="1">
        <f t="array" aca="1" ref="R122" ca="1">IF($C122="S",REFERENCIA.Descricao,"(digite a descrição aqui)")</f>
        <v>(Código não identificado nas referências)</v>
      </c>
      <c r="S122" s="121" t="str" cm="1">
        <f t="array" aca="1" ref="S122" ca="1">REFERENCIA.Unidade</f>
        <v>-</v>
      </c>
      <c r="T122" s="122">
        <f ca="1">OFFSET(CÁLCULO!H$15,ROW($T122)-ROW(T$15),0)</f>
        <v>336.00000000000011</v>
      </c>
      <c r="U122" s="123">
        <f t="shared" ca="1" si="29"/>
        <v>0</v>
      </c>
      <c r="V122" s="124" t="s">
        <v>663</v>
      </c>
      <c r="W122" s="122" cm="1">
        <f t="array" aca="1" ref="W122" ca="1">IF($C122="S",ROUND(IF(TIPOORCAMENTO="Proposto",ORÇAMENTO.CustoUnitario*(1+$AH122),ORÇAMENTO.PrecoUnitarioLicitado),15-13*$AF$10),0)</f>
        <v>0</v>
      </c>
      <c r="X122" s="125" cm="1">
        <f t="array" aca="1" ref="X122" ca="1">IF($C122="S",IF(OR(Import.TipoArredondamento&lt;&gt;"TransfereGOV",ACOMPANHAMENTO="BM"),VTOTAL1,SUM(OFFSET(CÁLCULO!$AQ$15,ROW($X122)-ROW($X$15),1):OFFSET(CÁLCULO!$BR$15,ROW($X122)-ROW($X$15),-1))),IF($C122=0,0,ROUND(SomaAgrup,15-13*$AF$11)))</f>
        <v>0</v>
      </c>
      <c r="Y122" s="126" t="s">
        <v>751</v>
      </c>
      <c r="Z122" t="str">
        <f t="shared" ca="1" si="30"/>
        <v/>
      </c>
      <c r="AA122" s="127" cm="1">
        <f t="array" aca="1" ref="AA122" ca="1">IF($C122="S",IF($Z122="CP",$X122,IF($Z122="RA",(($X122)*QCI!$AA$3),0)),SomaAgrup)</f>
        <v>0</v>
      </c>
      <c r="AB122" s="128" cm="1">
        <f t="array" aca="1" ref="AB122" ca="1">IF($C122="S",IF($Z122="OU",ROUND($X122,2),0),SomaAgrup)</f>
        <v>0</v>
      </c>
      <c r="AC122" s="565" t="str" cm="1">
        <f t="array" aca="1" ref="AC122" ca="1">IF($N122=""," ",
IF(AND($C122&lt;&gt;"S",OR($R122="",$R122="(digite a descrição aqui)")),"DESCRIÇÃO",
IF(AND($C122="S",OR($Q122&lt;&gt;"",$T122&gt;0,$U122&gt;0),$P122=""),"FONTE",
IF(AND($C122="S",$P122&lt;&gt;"",OR($T122&gt;0,$U122&gt;0),$Q122=""),"CÓDIGO",
IF(AND($C122="S",$P122&lt;&gt;"",$Q122&lt;&gt;"",$R122="(Código não identificado nas referências)"),"CÓDIGO N/ID",
IF(AND($C122="S",OR($R122="",$R122="(digite a descrição aqui)"),OR($Q122&lt;&gt;"",$T122&gt;0,$U122&gt;0)),"DESCRIÇÃO",
IF(AND($C122="S",$P122&lt;&gt;"",$Q122&lt;&gt;"",$S122=""),"UNIDADE",
IF(AND($C122="S",$P122&lt;&gt;"",$Q122&lt;&gt;"",$U122=0),"SEM CUSTO",
IF(AND(TIPOORCAMENTO="Licitado",$AL122=0,$AN122&gt;0),"SEM PREÇO",
IF(AND($C122="S",$P122&lt;&gt;"",$Q122&lt;&gt;"",$U122&gt;0,AND($V122&lt;&gt;"BDI 1",$V122&lt;&gt;"BDI 2",$V122&lt;&gt;"BDI 3")),IF(ISNUMBER($V122),"JUSTIFICAR BDI","BDI"),
IF(OR(AND(import.recurso="OGU",TIPOORCAMENTO="Proposto",LEFT($O$8,5)&lt;&gt;"(N/D:",$AG122&lt;&gt;"",ORÇAMENTO.CustoUnitario&gt;$AG122),AND(TIPOORCAMENTO="LICITADO",ORÇAMENTO.PrecoUnitarioLicitado&gt;$AN122)),"ACIMA REF.",
IF(AND($C122="S",$P122&lt;&gt;"",$Q122&lt;&gt;"",$T122=0,$U122&gt;0),"QUANT.",
IF(AND(Import.TipoArredondamento="TransfereGOV",$L122="F",$C122="S",LEN($Q122)&gt;13),"Código &gt;13",
IF(AND(Import.TipoArredondamento="TransfereGOV",$L122="F",$C122&lt;&gt;"S",LEN($R122)&gt;100),"Descrição &gt;100",
IF(AND(Import.TipoArredondamento="TransfereGOV",$L122="F",$C122="S",LEN($R122)&gt;500),"Descrição &gt;500",
IF(AND(Import.TipoArredondamento="TransfereGOV",$L122="F",$C122="S",LEFT(TRIM(UPPER($P122)),6)&lt;&gt;"SINAPI",ISNA(VLOOKUP(TRIM(UPPER($S122)),ListaTgov.Unidades,1,FALSE))),"Unid. Não Disp",
" "))))))))))))))))</f>
        <v>CÓDIGO N/ID</v>
      </c>
      <c r="AD122" t="str">
        <f ca="1">IF(C122&lt;=CRONO.NivelExibicao,MAX($AD$15:OFFSET(AD122,-1,0))+IF($C122&lt;&gt;1,1,MAX(1,COUNTIF(QCI!$A$13:$A$24,OFFSET($E122,-1,0)))),"")</f>
        <v/>
      </c>
      <c r="AE122" s="7" t="str" cm="1">
        <f t="array" aca="1" ref="AE122" ca="1">IF(AND($C122="S",ORÇAMENTO.CodBarra&lt;&gt;""),IF(ORÇAMENTO.Fonte="",ORÇAMENTO.CodBarra,CONCATENATE(ORÇAMENTO.Fonte," ",ORÇAMENTO.CodBarra)))</f>
        <v>SINAPI 87247</v>
      </c>
      <c r="AF122" s="12" t="str" cm="1">
        <f t="array" aca="1" ref="AF122" ca="1">IF(ISERROR(ORÇAMENTO.BancoRef),"(abra o arquivo 'Referência "&amp;Excel_BuiltIn_Database&amp;".xlsm)",IF(OR($C122&lt;&gt;"S",ORÇAMENTO.CodBarra=""),"(Sem Código)",IF(ISERROR(MATCH($AE122,INDIRECT(ORÇAMENTO.BancoRef),0)),"(Código não identificado nas referências)",MATCH($AE122,INDIRECT(ORÇAMENTO.BancoRef),0))))</f>
        <v>(Código não identificado nas referências)</v>
      </c>
      <c r="AG122" s="428" cm="1">
        <f t="array" aca="1" ref="AG122" ca="1">ROUND(IF(DESONERACAO="sim",REFERENCIA.Desonerado,REFERENCIA.NaoDesonerado),2)</f>
        <v>0</v>
      </c>
      <c r="AH122" s="429">
        <f t="shared" ca="1" si="33"/>
        <v>0.2223</v>
      </c>
      <c r="AJ122" s="431"/>
      <c r="AL122" s="439"/>
      <c r="AM122" s="336">
        <f t="shared" ca="1" si="0"/>
        <v>0</v>
      </c>
      <c r="AN122" s="470" cm="1">
        <f t="array" aca="1" ref="AN122" ca="1">ROUND(ORÇAMENTO.CustoUnitario*(1+$AH122),2)</f>
        <v>0</v>
      </c>
    </row>
    <row r="123" spans="1:40" ht="38.25" x14ac:dyDescent="0.2">
      <c r="A123" t="str">
        <f t="shared" si="32"/>
        <v>S</v>
      </c>
      <c r="B123">
        <f t="shared" ca="1" si="19"/>
        <v>2</v>
      </c>
      <c r="C123" t="str">
        <f t="shared" ca="1" si="20"/>
        <v>S</v>
      </c>
      <c r="D123">
        <f t="shared" ca="1" si="21"/>
        <v>0</v>
      </c>
      <c r="E123">
        <f ca="1">IF($C123=1,OFFSET(E123,-1,0)+MAX(1,COUNTIF(QCI!$A$13:$A$24,OFFSET(ORÇAMENTO!E123,-1,0))),OFFSET(E123,-1,0))</f>
        <v>8</v>
      </c>
      <c r="F123">
        <f t="shared" ca="1" si="22"/>
        <v>1</v>
      </c>
      <c r="G123">
        <f t="shared" ca="1" si="23"/>
        <v>0</v>
      </c>
      <c r="H123">
        <f t="shared" ca="1" si="24"/>
        <v>0</v>
      </c>
      <c r="I123">
        <f t="shared" ca="1" si="25"/>
        <v>0</v>
      </c>
      <c r="J123">
        <f t="shared" ca="1" si="17"/>
        <v>0</v>
      </c>
      <c r="K123">
        <f ca="1">IF(OR($C123="S",$C123=0),0,MATCH(OFFSET($D123,0,$C123)+IF($C123&lt;&gt;1,1,COUNTIF(QCI!$A$13:$A$24,ORÇAMENTO!E123)),OFFSET($D123,1,$C123,ROW($C$244)-ROW($C123)),0))</f>
        <v>0</v>
      </c>
      <c r="L123" s="114" t="str">
        <f t="shared" ca="1" si="26"/>
        <v/>
      </c>
      <c r="M123" s="115" t="s">
        <v>705</v>
      </c>
      <c r="N123" s="116" t="str">
        <f t="shared" ca="1" si="27"/>
        <v>Serviço</v>
      </c>
      <c r="O123" s="117" t="str">
        <f t="shared" ca="1" si="28"/>
        <v>-</v>
      </c>
      <c r="P123" s="118" t="s">
        <v>750</v>
      </c>
      <c r="Q123" s="119" t="s">
        <v>1078</v>
      </c>
      <c r="R123" s="120" t="str" cm="1">
        <f t="array" aca="1" ref="R123" ca="1">IF($C123="S",REFERENCIA.Descricao,"(digite a descrição aqui)")</f>
        <v>(Código não identificado nas referências)</v>
      </c>
      <c r="S123" s="121" t="str" cm="1">
        <f t="array" aca="1" ref="S123" ca="1">REFERENCIA.Unidade</f>
        <v>-</v>
      </c>
      <c r="T123" s="122">
        <f ca="1">OFFSET(CÁLCULO!H$15,ROW($T123)-ROW(T$15),0)</f>
        <v>382.00000000000011</v>
      </c>
      <c r="U123" s="123">
        <f t="shared" ca="1" si="29"/>
        <v>0</v>
      </c>
      <c r="V123" s="124" t="s">
        <v>663</v>
      </c>
      <c r="W123" s="122" cm="1">
        <f t="array" aca="1" ref="W123" ca="1">IF($C123="S",ROUND(IF(TIPOORCAMENTO="Proposto",ORÇAMENTO.CustoUnitario*(1+$AH123),ORÇAMENTO.PrecoUnitarioLicitado),15-13*$AF$10),0)</f>
        <v>0</v>
      </c>
      <c r="X123" s="125" cm="1">
        <f t="array" aca="1" ref="X123" ca="1">IF($C123="S",IF(OR(Import.TipoArredondamento&lt;&gt;"TransfereGOV",ACOMPANHAMENTO="BM"),VTOTAL1,SUM(OFFSET(CÁLCULO!$AQ$15,ROW($X123)-ROW($X$15),1):OFFSET(CÁLCULO!$BR$15,ROW($X123)-ROW($X$15),-1))),IF($C123=0,0,ROUND(SomaAgrup,15-13*$AF$11)))</f>
        <v>0</v>
      </c>
      <c r="Y123" s="126" t="s">
        <v>751</v>
      </c>
      <c r="Z123" t="str">
        <f t="shared" ca="1" si="30"/>
        <v/>
      </c>
      <c r="AA123" s="127" cm="1">
        <f t="array" aca="1" ref="AA123" ca="1">IF($C123="S",IF($Z123="CP",$X123,IF($Z123="RA",(($X123)*QCI!$AA$3),0)),SomaAgrup)</f>
        <v>0</v>
      </c>
      <c r="AB123" s="128" cm="1">
        <f t="array" aca="1" ref="AB123" ca="1">IF($C123="S",IF($Z123="OU",ROUND($X123,2),0),SomaAgrup)</f>
        <v>0</v>
      </c>
      <c r="AC123" s="565" t="str" cm="1">
        <f t="array" aca="1" ref="AC123" ca="1">IF($N123=""," ",
IF(AND($C123&lt;&gt;"S",OR($R123="",$R123="(digite a descrição aqui)")),"DESCRIÇÃO",
IF(AND($C123="S",OR($Q123&lt;&gt;"",$T123&gt;0,$U123&gt;0),$P123=""),"FONTE",
IF(AND($C123="S",$P123&lt;&gt;"",OR($T123&gt;0,$U123&gt;0),$Q123=""),"CÓDIGO",
IF(AND($C123="S",$P123&lt;&gt;"",$Q123&lt;&gt;"",$R123="(Código não identificado nas referências)"),"CÓDIGO N/ID",
IF(AND($C123="S",OR($R123="",$R123="(digite a descrição aqui)"),OR($Q123&lt;&gt;"",$T123&gt;0,$U123&gt;0)),"DESCRIÇÃO",
IF(AND($C123="S",$P123&lt;&gt;"",$Q123&lt;&gt;"",$S123=""),"UNIDADE",
IF(AND($C123="S",$P123&lt;&gt;"",$Q123&lt;&gt;"",$U123=0),"SEM CUSTO",
IF(AND(TIPOORCAMENTO="Licitado",$AL123=0,$AN123&gt;0),"SEM PREÇO",
IF(AND($C123="S",$P123&lt;&gt;"",$Q123&lt;&gt;"",$U123&gt;0,AND($V123&lt;&gt;"BDI 1",$V123&lt;&gt;"BDI 2",$V123&lt;&gt;"BDI 3")),IF(ISNUMBER($V123),"JUSTIFICAR BDI","BDI"),
IF(OR(AND(import.recurso="OGU",TIPOORCAMENTO="Proposto",LEFT($O$8,5)&lt;&gt;"(N/D:",$AG123&lt;&gt;"",ORÇAMENTO.CustoUnitario&gt;$AG123),AND(TIPOORCAMENTO="LICITADO",ORÇAMENTO.PrecoUnitarioLicitado&gt;$AN123)),"ACIMA REF.",
IF(AND($C123="S",$P123&lt;&gt;"",$Q123&lt;&gt;"",$T123=0,$U123&gt;0),"QUANT.",
IF(AND(Import.TipoArredondamento="TransfereGOV",$L123="F",$C123="S",LEN($Q123)&gt;13),"Código &gt;13",
IF(AND(Import.TipoArredondamento="TransfereGOV",$L123="F",$C123&lt;&gt;"S",LEN($R123)&gt;100),"Descrição &gt;100",
IF(AND(Import.TipoArredondamento="TransfereGOV",$L123="F",$C123="S",LEN($R123)&gt;500),"Descrição &gt;500",
IF(AND(Import.TipoArredondamento="TransfereGOV",$L123="F",$C123="S",LEFT(TRIM(UPPER($P123)),6)&lt;&gt;"SINAPI",ISNA(VLOOKUP(TRIM(UPPER($S123)),ListaTgov.Unidades,1,FALSE))),"Unid. Não Disp",
" "))))))))))))))))</f>
        <v>CÓDIGO N/ID</v>
      </c>
      <c r="AD123" t="str">
        <f ca="1">IF(C123&lt;=CRONO.NivelExibicao,MAX($AD$15:OFFSET(AD123,-1,0))+IF($C123&lt;&gt;1,1,MAX(1,COUNTIF(QCI!$A$13:$A$24,OFFSET($E123,-1,0)))),"")</f>
        <v/>
      </c>
      <c r="AE123" s="7" t="str" cm="1">
        <f t="array" aca="1" ref="AE123" ca="1">IF(AND($C123="S",ORÇAMENTO.CodBarra&lt;&gt;""),IF(ORÇAMENTO.Fonte="",ORÇAMENTO.CodBarra,CONCATENATE(ORÇAMENTO.Fonte," ",ORÇAMENTO.CodBarra)))</f>
        <v>SINAPI 87248</v>
      </c>
      <c r="AF123" s="12" t="str" cm="1">
        <f t="array" aca="1" ref="AF123" ca="1">IF(ISERROR(ORÇAMENTO.BancoRef),"(abra o arquivo 'Referência "&amp;Excel_BuiltIn_Database&amp;".xlsm)",IF(OR($C123&lt;&gt;"S",ORÇAMENTO.CodBarra=""),"(Sem Código)",IF(ISERROR(MATCH($AE123,INDIRECT(ORÇAMENTO.BancoRef),0)),"(Código não identificado nas referências)",MATCH($AE123,INDIRECT(ORÇAMENTO.BancoRef),0))))</f>
        <v>(Código não identificado nas referências)</v>
      </c>
      <c r="AG123" s="428" cm="1">
        <f t="array" aca="1" ref="AG123" ca="1">ROUND(IF(DESONERACAO="sim",REFERENCIA.Desonerado,REFERENCIA.NaoDesonerado),2)</f>
        <v>0</v>
      </c>
      <c r="AH123" s="429">
        <f t="shared" ca="1" si="33"/>
        <v>0.2223</v>
      </c>
      <c r="AJ123" s="431"/>
      <c r="AL123" s="439"/>
      <c r="AM123" s="336">
        <f t="shared" ca="1" si="0"/>
        <v>0</v>
      </c>
      <c r="AN123" s="470" cm="1">
        <f t="array" aca="1" ref="AN123" ca="1">ROUND(ORÇAMENTO.CustoUnitario*(1+$AH123),2)</f>
        <v>0</v>
      </c>
    </row>
    <row r="124" spans="1:40" ht="38.25" x14ac:dyDescent="0.2">
      <c r="A124" t="str">
        <f t="shared" si="32"/>
        <v>S</v>
      </c>
      <c r="B124">
        <f t="shared" ca="1" si="19"/>
        <v>2</v>
      </c>
      <c r="C124" t="str">
        <f t="shared" ca="1" si="20"/>
        <v>S</v>
      </c>
      <c r="D124">
        <f t="shared" ca="1" si="21"/>
        <v>0</v>
      </c>
      <c r="E124">
        <f ca="1">IF($C124=1,OFFSET(E124,-1,0)+MAX(1,COUNTIF(QCI!$A$13:$A$24,OFFSET(ORÇAMENTO!E124,-1,0))),OFFSET(E124,-1,0))</f>
        <v>8</v>
      </c>
      <c r="F124">
        <f t="shared" ca="1" si="22"/>
        <v>1</v>
      </c>
      <c r="G124">
        <f t="shared" ca="1" si="23"/>
        <v>0</v>
      </c>
      <c r="H124">
        <f t="shared" ca="1" si="24"/>
        <v>0</v>
      </c>
      <c r="I124">
        <f t="shared" ca="1" si="25"/>
        <v>0</v>
      </c>
      <c r="J124">
        <f t="shared" ca="1" si="17"/>
        <v>0</v>
      </c>
      <c r="K124">
        <f ca="1">IF(OR($C124="S",$C124=0),0,MATCH(OFFSET($D124,0,$C124)+IF($C124&lt;&gt;1,1,COUNTIF(QCI!$A$13:$A$24,ORÇAMENTO!E124)),OFFSET($D124,1,$C124,ROW($C$244)-ROW($C124)),0))</f>
        <v>0</v>
      </c>
      <c r="L124" s="114" t="str">
        <f t="shared" ca="1" si="26"/>
        <v/>
      </c>
      <c r="M124" s="115" t="s">
        <v>705</v>
      </c>
      <c r="N124" s="116" t="str">
        <f t="shared" ca="1" si="27"/>
        <v>Serviço</v>
      </c>
      <c r="O124" s="117" t="str">
        <f t="shared" ca="1" si="28"/>
        <v>-</v>
      </c>
      <c r="P124" s="118" t="s">
        <v>750</v>
      </c>
      <c r="Q124" s="119" t="s">
        <v>1079</v>
      </c>
      <c r="R124" s="120" t="str" cm="1">
        <f t="array" aca="1" ref="R124" ca="1">IF($C124="S",REFERENCIA.Descricao,"(digite a descrição aqui)")</f>
        <v>(Código não identificado nas referências)</v>
      </c>
      <c r="S124" s="121" t="str" cm="1">
        <f t="array" aca="1" ref="S124" ca="1">REFERENCIA.Unidade</f>
        <v>-</v>
      </c>
      <c r="T124" s="122">
        <f ca="1">OFFSET(CÁLCULO!H$15,ROW($T124)-ROW(T$15),0)</f>
        <v>259.59999999999991</v>
      </c>
      <c r="U124" s="123">
        <f t="shared" ca="1" si="29"/>
        <v>0</v>
      </c>
      <c r="V124" s="124" t="s">
        <v>663</v>
      </c>
      <c r="W124" s="122" cm="1">
        <f t="array" aca="1" ref="W124" ca="1">IF($C124="S",ROUND(IF(TIPOORCAMENTO="Proposto",ORÇAMENTO.CustoUnitario*(1+$AH124),ORÇAMENTO.PrecoUnitarioLicitado),15-13*$AF$10),0)</f>
        <v>0</v>
      </c>
      <c r="X124" s="125" cm="1">
        <f t="array" aca="1" ref="X124" ca="1">IF($C124="S",IF(OR(Import.TipoArredondamento&lt;&gt;"TransfereGOV",ACOMPANHAMENTO="BM"),VTOTAL1,SUM(OFFSET(CÁLCULO!$AQ$15,ROW($X124)-ROW($X$15),1):OFFSET(CÁLCULO!$BR$15,ROW($X124)-ROW($X$15),-1))),IF($C124=0,0,ROUND(SomaAgrup,15-13*$AF$11)))</f>
        <v>0</v>
      </c>
      <c r="Y124" s="126" t="s">
        <v>751</v>
      </c>
      <c r="Z124" t="str">
        <f t="shared" ca="1" si="30"/>
        <v/>
      </c>
      <c r="AA124" s="127" cm="1">
        <f t="array" aca="1" ref="AA124" ca="1">IF($C124="S",IF($Z124="CP",$X124,IF($Z124="RA",(($X124)*QCI!$AA$3),0)),SomaAgrup)</f>
        <v>0</v>
      </c>
      <c r="AB124" s="128" cm="1">
        <f t="array" aca="1" ref="AB124" ca="1">IF($C124="S",IF($Z124="OU",ROUND($X124,2),0),SomaAgrup)</f>
        <v>0</v>
      </c>
      <c r="AC124" s="565" t="str" cm="1">
        <f t="array" aca="1" ref="AC124" ca="1">IF($N124=""," ",
IF(AND($C124&lt;&gt;"S",OR($R124="",$R124="(digite a descrição aqui)")),"DESCRIÇÃO",
IF(AND($C124="S",OR($Q124&lt;&gt;"",$T124&gt;0,$U124&gt;0),$P124=""),"FONTE",
IF(AND($C124="S",$P124&lt;&gt;"",OR($T124&gt;0,$U124&gt;0),$Q124=""),"CÓDIGO",
IF(AND($C124="S",$P124&lt;&gt;"",$Q124&lt;&gt;"",$R124="(Código não identificado nas referências)"),"CÓDIGO N/ID",
IF(AND($C124="S",OR($R124="",$R124="(digite a descrição aqui)"),OR($Q124&lt;&gt;"",$T124&gt;0,$U124&gt;0)),"DESCRIÇÃO",
IF(AND($C124="S",$P124&lt;&gt;"",$Q124&lt;&gt;"",$S124=""),"UNIDADE",
IF(AND($C124="S",$P124&lt;&gt;"",$Q124&lt;&gt;"",$U124=0),"SEM CUSTO",
IF(AND(TIPOORCAMENTO="Licitado",$AL124=0,$AN124&gt;0),"SEM PREÇO",
IF(AND($C124="S",$P124&lt;&gt;"",$Q124&lt;&gt;"",$U124&gt;0,AND($V124&lt;&gt;"BDI 1",$V124&lt;&gt;"BDI 2",$V124&lt;&gt;"BDI 3")),IF(ISNUMBER($V124),"JUSTIFICAR BDI","BDI"),
IF(OR(AND(import.recurso="OGU",TIPOORCAMENTO="Proposto",LEFT($O$8,5)&lt;&gt;"(N/D:",$AG124&lt;&gt;"",ORÇAMENTO.CustoUnitario&gt;$AG124),AND(TIPOORCAMENTO="LICITADO",ORÇAMENTO.PrecoUnitarioLicitado&gt;$AN124)),"ACIMA REF.",
IF(AND($C124="S",$P124&lt;&gt;"",$Q124&lt;&gt;"",$T124=0,$U124&gt;0),"QUANT.",
IF(AND(Import.TipoArredondamento="TransfereGOV",$L124="F",$C124="S",LEN($Q124)&gt;13),"Código &gt;13",
IF(AND(Import.TipoArredondamento="TransfereGOV",$L124="F",$C124&lt;&gt;"S",LEN($R124)&gt;100),"Descrição &gt;100",
IF(AND(Import.TipoArredondamento="TransfereGOV",$L124="F",$C124="S",LEN($R124)&gt;500),"Descrição &gt;500",
IF(AND(Import.TipoArredondamento="TransfereGOV",$L124="F",$C124="S",LEFT(TRIM(UPPER($P124)),6)&lt;&gt;"SINAPI",ISNA(VLOOKUP(TRIM(UPPER($S124)),ListaTgov.Unidades,1,FALSE))),"Unid. Não Disp",
" "))))))))))))))))</f>
        <v>CÓDIGO N/ID</v>
      </c>
      <c r="AD124" t="str">
        <f ca="1">IF(C124&lt;=CRONO.NivelExibicao,MAX($AD$15:OFFSET(AD124,-1,0))+IF($C124&lt;&gt;1,1,MAX(1,COUNTIF(QCI!$A$13:$A$24,OFFSET($E124,-1,0)))),"")</f>
        <v/>
      </c>
      <c r="AE124" s="7" t="str" cm="1">
        <f t="array" aca="1" ref="AE124" ca="1">IF(AND($C124="S",ORÇAMENTO.CodBarra&lt;&gt;""),IF(ORÇAMENTO.Fonte="",ORÇAMENTO.CodBarra,CONCATENATE(ORÇAMENTO.Fonte," ",ORÇAMENTO.CodBarra)))</f>
        <v>SINAPI 87246</v>
      </c>
      <c r="AF124" s="12" t="str" cm="1">
        <f t="array" aca="1" ref="AF124" ca="1">IF(ISERROR(ORÇAMENTO.BancoRef),"(abra o arquivo 'Referência "&amp;Excel_BuiltIn_Database&amp;".xlsm)",IF(OR($C124&lt;&gt;"S",ORÇAMENTO.CodBarra=""),"(Sem Código)",IF(ISERROR(MATCH($AE124,INDIRECT(ORÇAMENTO.BancoRef),0)),"(Código não identificado nas referências)",MATCH($AE124,INDIRECT(ORÇAMENTO.BancoRef),0))))</f>
        <v>(Código não identificado nas referências)</v>
      </c>
      <c r="AG124" s="428" cm="1">
        <f t="array" aca="1" ref="AG124" ca="1">ROUND(IF(DESONERACAO="sim",REFERENCIA.Desonerado,REFERENCIA.NaoDesonerado),2)</f>
        <v>0</v>
      </c>
      <c r="AH124" s="429">
        <f t="shared" ca="1" si="33"/>
        <v>0.2223</v>
      </c>
      <c r="AJ124" s="431"/>
      <c r="AL124" s="439"/>
      <c r="AM124" s="336">
        <f t="shared" ca="1" si="0"/>
        <v>0</v>
      </c>
      <c r="AN124" s="470" cm="1">
        <f t="array" aca="1" ref="AN124" ca="1">ROUND(ORÇAMENTO.CustoUnitario*(1+$AH124),2)</f>
        <v>0</v>
      </c>
    </row>
    <row r="125" spans="1:40" x14ac:dyDescent="0.2">
      <c r="A125">
        <f t="shared" si="32"/>
        <v>2</v>
      </c>
      <c r="B125">
        <f t="shared" ca="1" si="19"/>
        <v>2</v>
      </c>
      <c r="C125">
        <f t="shared" ca="1" si="20"/>
        <v>2</v>
      </c>
      <c r="D125">
        <f t="shared" ca="1" si="21"/>
        <v>3</v>
      </c>
      <c r="E125">
        <f ca="1">IF($C125=1,OFFSET(E125,-1,0)+MAX(1,COUNTIF(QCI!$A$13:$A$24,OFFSET(ORÇAMENTO!E125,-1,0))),OFFSET(E125,-1,0))</f>
        <v>8</v>
      </c>
      <c r="F125">
        <f t="shared" ca="1" si="22"/>
        <v>2</v>
      </c>
      <c r="G125">
        <f t="shared" ca="1" si="23"/>
        <v>0</v>
      </c>
      <c r="H125">
        <f t="shared" ca="1" si="24"/>
        <v>0</v>
      </c>
      <c r="I125">
        <f t="shared" ca="1" si="25"/>
        <v>0</v>
      </c>
      <c r="J125">
        <f t="shared" ca="1" si="17"/>
        <v>7</v>
      </c>
      <c r="K125">
        <f ca="1">IF(OR($C125="S",$C125=0),0,MATCH(OFFSET($D125,0,$C125)+IF($C125&lt;&gt;1,1,COUNTIF(QCI!$A$13:$A$24,ORÇAMENTO!E125)),OFFSET($D125,1,$C125,ROW($C$244)-ROW($C125)),0))</f>
        <v>3</v>
      </c>
      <c r="L125" s="114" t="str">
        <f t="shared" ca="1" si="26"/>
        <v>F</v>
      </c>
      <c r="M125" s="115" t="s">
        <v>702</v>
      </c>
      <c r="N125" s="116" t="str">
        <f t="shared" ca="1" si="27"/>
        <v>Nível 2</v>
      </c>
      <c r="O125" s="117" t="str">
        <f t="shared" ca="1" si="28"/>
        <v>8.2.</v>
      </c>
      <c r="P125" s="118" t="s">
        <v>250</v>
      </c>
      <c r="Q125" s="119" t="s">
        <v>250</v>
      </c>
      <c r="R125" s="120" t="s">
        <v>1197</v>
      </c>
      <c r="S125" s="121"/>
      <c r="T125" s="122">
        <f ca="1">OFFSET(CÁLCULO!H$15,ROW($T125)-ROW(T$15),0)</f>
        <v>0</v>
      </c>
      <c r="U125" s="123">
        <f t="shared" ca="1" si="29"/>
        <v>0</v>
      </c>
      <c r="V125" s="124" t="s">
        <v>663</v>
      </c>
      <c r="W125" s="122" cm="1">
        <f t="array" aca="1" ref="W125" ca="1">IF($C125="S",ROUND(IF(TIPOORCAMENTO="Proposto",ORÇAMENTO.CustoUnitario*(1+$AH125),ORÇAMENTO.PrecoUnitarioLicitado),15-13*$AF$10),0)</f>
        <v>0</v>
      </c>
      <c r="X125" s="125" cm="1">
        <f t="array" aca="1" ref="X125" ca="1">IF($C125="S",IF(OR(Import.TipoArredondamento&lt;&gt;"TransfereGOV",ACOMPANHAMENTO="BM"),VTOTAL1,SUM(OFFSET(CÁLCULO!$AQ$15,ROW($X125)-ROW($X$15),1):OFFSET(CÁLCULO!$BR$15,ROW($X125)-ROW($X$15),-1))),IF($C125=0,0,ROUND(SomaAgrup,15-13*$AF$11)))</f>
        <v>0</v>
      </c>
      <c r="Y125" s="126" t="s">
        <v>751</v>
      </c>
      <c r="Z125" t="str">
        <f t="shared" ca="1" si="30"/>
        <v/>
      </c>
      <c r="AA125" s="127" cm="1">
        <f t="array" aca="1" ref="AA125" ca="1">IF($C125="S",IF($Z125="CP",$X125,IF($Z125="RA",(($X125)*QCI!$AA$3),0)),SomaAgrup)</f>
        <v>0</v>
      </c>
      <c r="AB125" s="128" cm="1">
        <f t="array" aca="1" ref="AB125" ca="1">IF($C125="S",IF($Z125="OU",ROUND($X125,2),0),SomaAgrup)</f>
        <v>0</v>
      </c>
      <c r="AC125" s="565" t="str" cm="1">
        <f t="array" aca="1" ref="AC125" ca="1">IF($N125=""," ",
IF(AND($C125&lt;&gt;"S",OR($R125="",$R125="(digite a descrição aqui)")),"DESCRIÇÃO",
IF(AND($C125="S",OR($Q125&lt;&gt;"",$T125&gt;0,$U125&gt;0),$P125=""),"FONTE",
IF(AND($C125="S",$P125&lt;&gt;"",OR($T125&gt;0,$U125&gt;0),$Q125=""),"CÓDIGO",
IF(AND($C125="S",$P125&lt;&gt;"",$Q125&lt;&gt;"",$R125="(Código não identificado nas referências)"),"CÓDIGO N/ID",
IF(AND($C125="S",OR($R125="",$R125="(digite a descrição aqui)"),OR($Q125&lt;&gt;"",$T125&gt;0,$U125&gt;0)),"DESCRIÇÃO",
IF(AND($C125="S",$P125&lt;&gt;"",$Q125&lt;&gt;"",$S125=""),"UNIDADE",
IF(AND($C125="S",$P125&lt;&gt;"",$Q125&lt;&gt;"",$U125=0),"SEM CUSTO",
IF(AND(TIPOORCAMENTO="Licitado",$AL125=0,$AN125&gt;0),"SEM PREÇO",
IF(AND($C125="S",$P125&lt;&gt;"",$Q125&lt;&gt;"",$U125&gt;0,AND($V125&lt;&gt;"BDI 1",$V125&lt;&gt;"BDI 2",$V125&lt;&gt;"BDI 3")),IF(ISNUMBER($V125),"JUSTIFICAR BDI","BDI"),
IF(OR(AND(import.recurso="OGU",TIPOORCAMENTO="Proposto",LEFT($O$8,5)&lt;&gt;"(N/D:",$AG125&lt;&gt;"",ORÇAMENTO.CustoUnitario&gt;$AG125),AND(TIPOORCAMENTO="LICITADO",ORÇAMENTO.PrecoUnitarioLicitado&gt;$AN125)),"ACIMA REF.",
IF(AND($C125="S",$P125&lt;&gt;"",$Q125&lt;&gt;"",$T125=0,$U125&gt;0),"QUANT.",
IF(AND(Import.TipoArredondamento="TransfereGOV",$L125="F",$C125="S",LEN($Q125)&gt;13),"Código &gt;13",
IF(AND(Import.TipoArredondamento="TransfereGOV",$L125="F",$C125&lt;&gt;"S",LEN($R125)&gt;100),"Descrição &gt;100",
IF(AND(Import.TipoArredondamento="TransfereGOV",$L125="F",$C125="S",LEN($R125)&gt;500),"Descrição &gt;500",
IF(AND(Import.TipoArredondamento="TransfereGOV",$L125="F",$C125="S",LEFT(TRIM(UPPER($P125)),6)&lt;&gt;"SINAPI",ISNA(VLOOKUP(TRIM(UPPER($S125)),ListaTgov.Unidades,1,FALSE))),"Unid. Não Disp",
" "))))))))))))))))</f>
        <v xml:space="preserve"> </v>
      </c>
      <c r="AD125">
        <f ca="1">IF(C125&lt;=CRONO.NivelExibicao,MAX($AD$15:OFFSET(AD125,-1,0))+IF($C125&lt;&gt;1,1,MAX(1,COUNTIF(QCI!$A$13:$A$24,OFFSET($E125,-1,0)))),"")</f>
        <v>29</v>
      </c>
      <c r="AE125" s="7" t="b" cm="1">
        <f t="array" aca="1" ref="AE125" ca="1">IF(AND($C125="S",ORÇAMENTO.CodBarra&lt;&gt;""),IF(ORÇAMENTO.Fonte="",ORÇAMENTO.CodBarra,CONCATENATE(ORÇAMENTO.Fonte," ",ORÇAMENTO.CodBarra)))</f>
        <v>0</v>
      </c>
      <c r="AF125" s="12" t="str" cm="1">
        <f t="array" aca="1" ref="AF125" ca="1">IF(ISERROR(ORÇAMENTO.BancoRef),"(abra o arquivo 'Referência "&amp;Excel_BuiltIn_Database&amp;".xlsm)",IF(OR($C125&lt;&gt;"S",ORÇAMENTO.CodBarra=""),"(Sem Código)",IF(ISERROR(MATCH($AE125,INDIRECT(ORÇAMENTO.BancoRef),0)),"(Código não identificado nas referências)",MATCH($AE125,INDIRECT(ORÇAMENTO.BancoRef),0))))</f>
        <v>(Sem Código)</v>
      </c>
      <c r="AG125" s="428" cm="1">
        <f t="array" aca="1" ref="AG125" ca="1">ROUND(IF(DESONERACAO="sim",REFERENCIA.Desonerado,REFERENCIA.NaoDesonerado),2)</f>
        <v>0</v>
      </c>
      <c r="AH125" s="429">
        <f t="shared" ca="1" si="33"/>
        <v>0.2223</v>
      </c>
      <c r="AJ125" s="431"/>
      <c r="AL125" s="439"/>
      <c r="AM125" s="336">
        <f t="shared" ca="1" si="0"/>
        <v>0</v>
      </c>
      <c r="AN125" s="470" cm="1">
        <f t="array" aca="1" ref="AN125" ca="1">ROUND(ORÇAMENTO.CustoUnitario*(1+$AH125),2)</f>
        <v>0</v>
      </c>
    </row>
    <row r="126" spans="1:40" ht="38.25" x14ac:dyDescent="0.2">
      <c r="A126" t="str">
        <f t="shared" si="32"/>
        <v>S</v>
      </c>
      <c r="B126">
        <f t="shared" ca="1" si="19"/>
        <v>2</v>
      </c>
      <c r="C126" t="str">
        <f t="shared" ca="1" si="20"/>
        <v>S</v>
      </c>
      <c r="D126">
        <f t="shared" ca="1" si="21"/>
        <v>0</v>
      </c>
      <c r="E126">
        <f ca="1">IF($C126=1,OFFSET(E126,-1,0)+MAX(1,COUNTIF(QCI!$A$13:$A$24,OFFSET(ORÇAMENTO!E126,-1,0))),OFFSET(E126,-1,0))</f>
        <v>8</v>
      </c>
      <c r="F126">
        <f t="shared" ca="1" si="22"/>
        <v>2</v>
      </c>
      <c r="G126">
        <f t="shared" ca="1" si="23"/>
        <v>0</v>
      </c>
      <c r="H126">
        <f t="shared" ca="1" si="24"/>
        <v>0</v>
      </c>
      <c r="I126">
        <f t="shared" ca="1" si="25"/>
        <v>0</v>
      </c>
      <c r="J126">
        <f t="shared" ca="1" si="17"/>
        <v>0</v>
      </c>
      <c r="K126">
        <f ca="1">IF(OR($C126="S",$C126=0),0,MATCH(OFFSET($D126,0,$C126)+IF($C126&lt;&gt;1,1,COUNTIF(QCI!$A$13:$A$24,ORÇAMENTO!E126)),OFFSET($D126,1,$C126,ROW($C$244)-ROW($C126)),0))</f>
        <v>0</v>
      </c>
      <c r="L126" s="114" t="str">
        <f t="shared" ca="1" si="26"/>
        <v/>
      </c>
      <c r="M126" s="115" t="s">
        <v>705</v>
      </c>
      <c r="N126" s="116" t="str">
        <f t="shared" ca="1" si="27"/>
        <v>Serviço</v>
      </c>
      <c r="O126" s="117" t="str">
        <f t="shared" ca="1" si="28"/>
        <v>-</v>
      </c>
      <c r="P126" s="118" t="s">
        <v>750</v>
      </c>
      <c r="Q126" s="119" t="s">
        <v>1071</v>
      </c>
      <c r="R126" s="120" t="str" cm="1">
        <f t="array" aca="1" ref="R126" ca="1">IF($C126="S",REFERENCIA.Descricao,"(digite a descrição aqui)")</f>
        <v>(Código não identificado nas referências)</v>
      </c>
      <c r="S126" s="121" t="str" cm="1">
        <f t="array" aca="1" ref="S126" ca="1">REFERENCIA.Unidade</f>
        <v>-</v>
      </c>
      <c r="T126" s="122">
        <f ca="1">OFFSET(CÁLCULO!H$15,ROW($T126)-ROW(T$15),0)</f>
        <v>322.99999999999994</v>
      </c>
      <c r="U126" s="123">
        <f t="shared" ca="1" si="29"/>
        <v>0</v>
      </c>
      <c r="V126" s="124" t="s">
        <v>663</v>
      </c>
      <c r="W126" s="122" cm="1">
        <f t="array" aca="1" ref="W126" ca="1">IF($C126="S",ROUND(IF(TIPOORCAMENTO="Proposto",ORÇAMENTO.CustoUnitario*(1+$AH126),ORÇAMENTO.PrecoUnitarioLicitado),15-13*$AF$10),0)</f>
        <v>0</v>
      </c>
      <c r="X126" s="125" cm="1">
        <f t="array" aca="1" ref="X126" ca="1">IF($C126="S",IF(OR(Import.TipoArredondamento&lt;&gt;"TransfereGOV",ACOMPANHAMENTO="BM"),VTOTAL1,SUM(OFFSET(CÁLCULO!$AQ$15,ROW($X126)-ROW($X$15),1):OFFSET(CÁLCULO!$BR$15,ROW($X126)-ROW($X$15),-1))),IF($C126=0,0,ROUND(SomaAgrup,15-13*$AF$11)))</f>
        <v>0</v>
      </c>
      <c r="Y126" s="126" t="s">
        <v>751</v>
      </c>
      <c r="Z126" t="str">
        <f t="shared" ca="1" si="30"/>
        <v/>
      </c>
      <c r="AA126" s="127" cm="1">
        <f t="array" aca="1" ref="AA126" ca="1">IF($C126="S",IF($Z126="CP",$X126,IF($Z126="RA",(($X126)*QCI!$AA$3),0)),SomaAgrup)</f>
        <v>0</v>
      </c>
      <c r="AB126" s="128" cm="1">
        <f t="array" aca="1" ref="AB126" ca="1">IF($C126="S",IF($Z126="OU",ROUND($X126,2),0),SomaAgrup)</f>
        <v>0</v>
      </c>
      <c r="AC126" s="565" t="str" cm="1">
        <f t="array" aca="1" ref="AC126" ca="1">IF($N126=""," ",
IF(AND($C126&lt;&gt;"S",OR($R126="",$R126="(digite a descrição aqui)")),"DESCRIÇÃO",
IF(AND($C126="S",OR($Q126&lt;&gt;"",$T126&gt;0,$U126&gt;0),$P126=""),"FONTE",
IF(AND($C126="S",$P126&lt;&gt;"",OR($T126&gt;0,$U126&gt;0),$Q126=""),"CÓDIGO",
IF(AND($C126="S",$P126&lt;&gt;"",$Q126&lt;&gt;"",$R126="(Código não identificado nas referências)"),"CÓDIGO N/ID",
IF(AND($C126="S",OR($R126="",$R126="(digite a descrição aqui)"),OR($Q126&lt;&gt;"",$T126&gt;0,$U126&gt;0)),"DESCRIÇÃO",
IF(AND($C126="S",$P126&lt;&gt;"",$Q126&lt;&gt;"",$S126=""),"UNIDADE",
IF(AND($C126="S",$P126&lt;&gt;"",$Q126&lt;&gt;"",$U126=0),"SEM CUSTO",
IF(AND(TIPOORCAMENTO="Licitado",$AL126=0,$AN126&gt;0),"SEM PREÇO",
IF(AND($C126="S",$P126&lt;&gt;"",$Q126&lt;&gt;"",$U126&gt;0,AND($V126&lt;&gt;"BDI 1",$V126&lt;&gt;"BDI 2",$V126&lt;&gt;"BDI 3")),IF(ISNUMBER($V126),"JUSTIFICAR BDI","BDI"),
IF(OR(AND(import.recurso="OGU",TIPOORCAMENTO="Proposto",LEFT($O$8,5)&lt;&gt;"(N/D:",$AG126&lt;&gt;"",ORÇAMENTO.CustoUnitario&gt;$AG126),AND(TIPOORCAMENTO="LICITADO",ORÇAMENTO.PrecoUnitarioLicitado&gt;$AN126)),"ACIMA REF.",
IF(AND($C126="S",$P126&lt;&gt;"",$Q126&lt;&gt;"",$T126=0,$U126&gt;0),"QUANT.",
IF(AND(Import.TipoArredondamento="TransfereGOV",$L126="F",$C126="S",LEN($Q126)&gt;13),"Código &gt;13",
IF(AND(Import.TipoArredondamento="TransfereGOV",$L126="F",$C126&lt;&gt;"S",LEN($R126)&gt;100),"Descrição &gt;100",
IF(AND(Import.TipoArredondamento="TransfereGOV",$L126="F",$C126="S",LEN($R126)&gt;500),"Descrição &gt;500",
IF(AND(Import.TipoArredondamento="TransfereGOV",$L126="F",$C126="S",LEFT(TRIM(UPPER($P126)),6)&lt;&gt;"SINAPI",ISNA(VLOOKUP(TRIM(UPPER($S126)),ListaTgov.Unidades,1,FALSE))),"Unid. Não Disp",
" "))))))))))))))))</f>
        <v>CÓDIGO N/ID</v>
      </c>
      <c r="AD126" t="str">
        <f ca="1">IF(C126&lt;=CRONO.NivelExibicao,MAX($AD$15:OFFSET(AD126,-1,0))+IF($C126&lt;&gt;1,1,MAX(1,COUNTIF(QCI!$A$13:$A$24,OFFSET($E126,-1,0)))),"")</f>
        <v/>
      </c>
      <c r="AE126" s="7" t="str" cm="1">
        <f t="array" aca="1" ref="AE126" ca="1">IF(AND($C126="S",ORÇAMENTO.CodBarra&lt;&gt;""),IF(ORÇAMENTO.Fonte="",ORÇAMENTO.CodBarra,CONCATENATE(ORÇAMENTO.Fonte," ",ORÇAMENTO.CodBarra)))</f>
        <v>SINAPI 97084</v>
      </c>
      <c r="AF126" s="12" t="str" cm="1">
        <f t="array" aca="1" ref="AF126" ca="1">IF(ISERROR(ORÇAMENTO.BancoRef),"(abra o arquivo 'Referência "&amp;Excel_BuiltIn_Database&amp;".xlsm)",IF(OR($C126&lt;&gt;"S",ORÇAMENTO.CodBarra=""),"(Sem Código)",IF(ISERROR(MATCH($AE126,INDIRECT(ORÇAMENTO.BancoRef),0)),"(Código não identificado nas referências)",MATCH($AE126,INDIRECT(ORÇAMENTO.BancoRef),0))))</f>
        <v>(Código não identificado nas referências)</v>
      </c>
      <c r="AG126" s="428" cm="1">
        <f t="array" aca="1" ref="AG126" ca="1">ROUND(IF(DESONERACAO="sim",REFERENCIA.Desonerado,REFERENCIA.NaoDesonerado),2)</f>
        <v>0</v>
      </c>
      <c r="AH126" s="429">
        <f t="shared" ca="1" si="33"/>
        <v>0.2223</v>
      </c>
      <c r="AJ126" s="431"/>
      <c r="AL126" s="439"/>
      <c r="AM126" s="336">
        <f t="shared" ca="1" si="0"/>
        <v>0</v>
      </c>
      <c r="AN126" s="470" cm="1">
        <f t="array" aca="1" ref="AN126" ca="1">ROUND(ORÇAMENTO.CustoUnitario*(1+$AH126),2)</f>
        <v>0</v>
      </c>
    </row>
    <row r="127" spans="1:40" ht="38.25" x14ac:dyDescent="0.2">
      <c r="A127" t="str">
        <f t="shared" si="32"/>
        <v>S</v>
      </c>
      <c r="B127">
        <f t="shared" ca="1" si="19"/>
        <v>2</v>
      </c>
      <c r="C127" t="str">
        <f t="shared" ca="1" si="20"/>
        <v>S</v>
      </c>
      <c r="D127">
        <f t="shared" ca="1" si="21"/>
        <v>0</v>
      </c>
      <c r="E127">
        <f ca="1">IF($C127=1,OFFSET(E127,-1,0)+MAX(1,COUNTIF(QCI!$A$13:$A$24,OFFSET(ORÇAMENTO!E127,-1,0))),OFFSET(E127,-1,0))</f>
        <v>8</v>
      </c>
      <c r="F127">
        <f t="shared" ca="1" si="22"/>
        <v>2</v>
      </c>
      <c r="G127">
        <f t="shared" ca="1" si="23"/>
        <v>0</v>
      </c>
      <c r="H127">
        <f t="shared" ca="1" si="24"/>
        <v>0</v>
      </c>
      <c r="I127">
        <f t="shared" ca="1" si="25"/>
        <v>0</v>
      </c>
      <c r="J127">
        <f t="shared" ca="1" si="17"/>
        <v>0</v>
      </c>
      <c r="K127">
        <f ca="1">IF(OR($C127="S",$C127=0),0,MATCH(OFFSET($D127,0,$C127)+IF($C127&lt;&gt;1,1,COUNTIF(QCI!$A$13:$A$24,ORÇAMENTO!E127)),OFFSET($D127,1,$C127,ROW($C$244)-ROW($C127)),0))</f>
        <v>0</v>
      </c>
      <c r="L127" s="114" t="str">
        <f t="shared" ca="1" si="26"/>
        <v/>
      </c>
      <c r="M127" s="115" t="s">
        <v>705</v>
      </c>
      <c r="N127" s="116" t="str">
        <f t="shared" ca="1" si="27"/>
        <v>Serviço</v>
      </c>
      <c r="O127" s="117" t="str">
        <f t="shared" ca="1" si="28"/>
        <v>-</v>
      </c>
      <c r="P127" s="118" t="s">
        <v>750</v>
      </c>
      <c r="Q127" s="119" t="s">
        <v>1080</v>
      </c>
      <c r="R127" s="120" t="str" cm="1">
        <f t="array" aca="1" ref="R127" ca="1">IF($C127="S",REFERENCIA.Descricao,"(digite a descrição aqui)")</f>
        <v>(Código não identificado nas referências)</v>
      </c>
      <c r="S127" s="121" t="str" cm="1">
        <f t="array" aca="1" ref="S127" ca="1">REFERENCIA.Unidade</f>
        <v>-</v>
      </c>
      <c r="T127" s="122">
        <f ca="1">OFFSET(CÁLCULO!H$15,ROW($T127)-ROW(T$15),0)</f>
        <v>22.599999999999987</v>
      </c>
      <c r="U127" s="123">
        <f t="shared" ca="1" si="29"/>
        <v>0</v>
      </c>
      <c r="V127" s="124" t="s">
        <v>663</v>
      </c>
      <c r="W127" s="122" cm="1">
        <f t="array" aca="1" ref="W127" ca="1">IF($C127="S",ROUND(IF(TIPOORCAMENTO="Proposto",ORÇAMENTO.CustoUnitario*(1+$AH127),ORÇAMENTO.PrecoUnitarioLicitado),15-13*$AF$10),0)</f>
        <v>0</v>
      </c>
      <c r="X127" s="125" cm="1">
        <f t="array" aca="1" ref="X127" ca="1">IF($C127="S",IF(OR(Import.TipoArredondamento&lt;&gt;"TransfereGOV",ACOMPANHAMENTO="BM"),VTOTAL1,SUM(OFFSET(CÁLCULO!$AQ$15,ROW($X127)-ROW($X$15),1):OFFSET(CÁLCULO!$BR$15,ROW($X127)-ROW($X$15),-1))),IF($C127=0,0,ROUND(SomaAgrup,15-13*$AF$11)))</f>
        <v>0</v>
      </c>
      <c r="Y127" s="126" t="s">
        <v>751</v>
      </c>
      <c r="Z127" t="str">
        <f t="shared" ca="1" si="30"/>
        <v/>
      </c>
      <c r="AA127" s="127" cm="1">
        <f t="array" aca="1" ref="AA127" ca="1">IF($C127="S",IF($Z127="CP",$X127,IF($Z127="RA",(($X127)*QCI!$AA$3),0)),SomaAgrup)</f>
        <v>0</v>
      </c>
      <c r="AB127" s="128" cm="1">
        <f t="array" aca="1" ref="AB127" ca="1">IF($C127="S",IF($Z127="OU",ROUND($X127,2),0),SomaAgrup)</f>
        <v>0</v>
      </c>
      <c r="AC127" s="565" t="str" cm="1">
        <f t="array" aca="1" ref="AC127" ca="1">IF($N127=""," ",
IF(AND($C127&lt;&gt;"S",OR($R127="",$R127="(digite a descrição aqui)")),"DESCRIÇÃO",
IF(AND($C127="S",OR($Q127&lt;&gt;"",$T127&gt;0,$U127&gt;0),$P127=""),"FONTE",
IF(AND($C127="S",$P127&lt;&gt;"",OR($T127&gt;0,$U127&gt;0),$Q127=""),"CÓDIGO",
IF(AND($C127="S",$P127&lt;&gt;"",$Q127&lt;&gt;"",$R127="(Código não identificado nas referências)"),"CÓDIGO N/ID",
IF(AND($C127="S",OR($R127="",$R127="(digite a descrição aqui)"),OR($Q127&lt;&gt;"",$T127&gt;0,$U127&gt;0)),"DESCRIÇÃO",
IF(AND($C127="S",$P127&lt;&gt;"",$Q127&lt;&gt;"",$S127=""),"UNIDADE",
IF(AND($C127="S",$P127&lt;&gt;"",$Q127&lt;&gt;"",$U127=0),"SEM CUSTO",
IF(AND(TIPOORCAMENTO="Licitado",$AL127=0,$AN127&gt;0),"SEM PREÇO",
IF(AND($C127="S",$P127&lt;&gt;"",$Q127&lt;&gt;"",$U127&gt;0,AND($V127&lt;&gt;"BDI 1",$V127&lt;&gt;"BDI 2",$V127&lt;&gt;"BDI 3")),IF(ISNUMBER($V127),"JUSTIFICAR BDI","BDI"),
IF(OR(AND(import.recurso="OGU",TIPOORCAMENTO="Proposto",LEFT($O$8,5)&lt;&gt;"(N/D:",$AG127&lt;&gt;"",ORÇAMENTO.CustoUnitario&gt;$AG127),AND(TIPOORCAMENTO="LICITADO",ORÇAMENTO.PrecoUnitarioLicitado&gt;$AN127)),"ACIMA REF.",
IF(AND($C127="S",$P127&lt;&gt;"",$Q127&lt;&gt;"",$T127=0,$U127&gt;0),"QUANT.",
IF(AND(Import.TipoArredondamento="TransfereGOV",$L127="F",$C127="S",LEN($Q127)&gt;13),"Código &gt;13",
IF(AND(Import.TipoArredondamento="TransfereGOV",$L127="F",$C127&lt;&gt;"S",LEN($R127)&gt;100),"Descrição &gt;100",
IF(AND(Import.TipoArredondamento="TransfereGOV",$L127="F",$C127="S",LEN($R127)&gt;500),"Descrição &gt;500",
IF(AND(Import.TipoArredondamento="TransfereGOV",$L127="F",$C127="S",LEFT(TRIM(UPPER($P127)),6)&lt;&gt;"SINAPI",ISNA(VLOOKUP(TRIM(UPPER($S127)),ListaTgov.Unidades,1,FALSE))),"Unid. Não Disp",
" "))))))))))))))))</f>
        <v>CÓDIGO N/ID</v>
      </c>
      <c r="AD127" t="str">
        <f ca="1">IF(C127&lt;=CRONO.NivelExibicao,MAX($AD$15:OFFSET(AD127,-1,0))+IF($C127&lt;&gt;1,1,MAX(1,COUNTIF(QCI!$A$13:$A$24,OFFSET($E127,-1,0)))),"")</f>
        <v/>
      </c>
      <c r="AE127" s="7" t="str" cm="1">
        <f t="array" aca="1" ref="AE127" ca="1">IF(AND($C127="S",ORÇAMENTO.CodBarra&lt;&gt;""),IF(ORÇAMENTO.Fonte="",ORÇAMENTO.CodBarra,CONCATENATE(ORÇAMENTO.Fonte," ",ORÇAMENTO.CodBarra)))</f>
        <v>SINAPI 94990</v>
      </c>
      <c r="AF127" s="12" t="str" cm="1">
        <f t="array" aca="1" ref="AF127" ca="1">IF(ISERROR(ORÇAMENTO.BancoRef),"(abra o arquivo 'Referência "&amp;Excel_BuiltIn_Database&amp;".xlsm)",IF(OR($C127&lt;&gt;"S",ORÇAMENTO.CodBarra=""),"(Sem Código)",IF(ISERROR(MATCH($AE127,INDIRECT(ORÇAMENTO.BancoRef),0)),"(Código não identificado nas referências)",MATCH($AE127,INDIRECT(ORÇAMENTO.BancoRef),0))))</f>
        <v>(Código não identificado nas referências)</v>
      </c>
      <c r="AG127" s="428" cm="1">
        <f t="array" aca="1" ref="AG127" ca="1">ROUND(IF(DESONERACAO="sim",REFERENCIA.Desonerado,REFERENCIA.NaoDesonerado),2)</f>
        <v>0</v>
      </c>
      <c r="AH127" s="429">
        <f t="shared" ca="1" si="33"/>
        <v>0.2223</v>
      </c>
      <c r="AJ127" s="431"/>
      <c r="AL127" s="439"/>
      <c r="AM127" s="336">
        <f t="shared" ca="1" si="0"/>
        <v>0</v>
      </c>
      <c r="AN127" s="470" cm="1">
        <f t="array" aca="1" ref="AN127" ca="1">ROUND(ORÇAMENTO.CustoUnitario*(1+$AH127),2)</f>
        <v>0</v>
      </c>
    </row>
    <row r="128" spans="1:40" x14ac:dyDescent="0.2">
      <c r="A128">
        <f t="shared" si="32"/>
        <v>2</v>
      </c>
      <c r="B128">
        <f t="shared" ca="1" si="19"/>
        <v>2</v>
      </c>
      <c r="C128">
        <f t="shared" ca="1" si="20"/>
        <v>2</v>
      </c>
      <c r="D128">
        <f t="shared" ca="1" si="21"/>
        <v>4</v>
      </c>
      <c r="E128">
        <f ca="1">IF($C128=1,OFFSET(E128,-1,0)+MAX(1,COUNTIF(QCI!$A$13:$A$24,OFFSET(ORÇAMENTO!E128,-1,0))),OFFSET(E128,-1,0))</f>
        <v>8</v>
      </c>
      <c r="F128">
        <f t="shared" ca="1" si="22"/>
        <v>3</v>
      </c>
      <c r="G128">
        <f t="shared" ca="1" si="23"/>
        <v>0</v>
      </c>
      <c r="H128">
        <f t="shared" ca="1" si="24"/>
        <v>0</v>
      </c>
      <c r="I128">
        <f t="shared" ca="1" si="25"/>
        <v>0</v>
      </c>
      <c r="J128">
        <f t="shared" ca="1" si="17"/>
        <v>4</v>
      </c>
      <c r="K128" t="e">
        <f ca="1">IF(OR($C128="S",$C128=0),0,MATCH(OFFSET($D128,0,$C128)+IF($C128&lt;&gt;1,1,COUNTIF(QCI!$A$13:$A$24,ORÇAMENTO!E128)),OFFSET($D128,1,$C128,ROW($C$244)-ROW($C128)),0))</f>
        <v>#N/A</v>
      </c>
      <c r="L128" s="114" t="str">
        <f t="shared" ca="1" si="26"/>
        <v>F</v>
      </c>
      <c r="M128" s="115" t="s">
        <v>702</v>
      </c>
      <c r="N128" s="116" t="str">
        <f t="shared" ca="1" si="27"/>
        <v>Nível 2</v>
      </c>
      <c r="O128" s="117" t="str">
        <f t="shared" ca="1" si="28"/>
        <v>8.3.</v>
      </c>
      <c r="P128" s="118" t="s">
        <v>250</v>
      </c>
      <c r="Q128" s="119" t="s">
        <v>250</v>
      </c>
      <c r="R128" s="120" t="s">
        <v>1198</v>
      </c>
      <c r="S128" s="121"/>
      <c r="T128" s="122">
        <f ca="1">OFFSET(CÁLCULO!H$15,ROW($T128)-ROW(T$15),0)</f>
        <v>0</v>
      </c>
      <c r="U128" s="123">
        <f t="shared" ca="1" si="29"/>
        <v>0</v>
      </c>
      <c r="V128" s="124" t="s">
        <v>663</v>
      </c>
      <c r="W128" s="122" cm="1">
        <f t="array" aca="1" ref="W128" ca="1">IF($C128="S",ROUND(IF(TIPOORCAMENTO="Proposto",ORÇAMENTO.CustoUnitario*(1+$AH128),ORÇAMENTO.PrecoUnitarioLicitado),15-13*$AF$10),0)</f>
        <v>0</v>
      </c>
      <c r="X128" s="125" cm="1">
        <f t="array" aca="1" ref="X128" ca="1">IF($C128="S",IF(OR(Import.TipoArredondamento&lt;&gt;"TransfereGOV",ACOMPANHAMENTO="BM"),VTOTAL1,SUM(OFFSET(CÁLCULO!$AQ$15,ROW($X128)-ROW($X$15),1):OFFSET(CÁLCULO!$BR$15,ROW($X128)-ROW($X$15),-1))),IF($C128=0,0,ROUND(SomaAgrup,15-13*$AF$11)))</f>
        <v>0</v>
      </c>
      <c r="Y128" s="126" t="s">
        <v>751</v>
      </c>
      <c r="Z128" t="str">
        <f t="shared" ca="1" si="30"/>
        <v/>
      </c>
      <c r="AA128" s="127" cm="1">
        <f t="array" aca="1" ref="AA128" ca="1">IF($C128="S",IF($Z128="CP",$X128,IF($Z128="RA",(($X128)*QCI!$AA$3),0)),SomaAgrup)</f>
        <v>0</v>
      </c>
      <c r="AB128" s="128" cm="1">
        <f t="array" aca="1" ref="AB128" ca="1">IF($C128="S",IF($Z128="OU",ROUND($X128,2),0),SomaAgrup)</f>
        <v>0</v>
      </c>
      <c r="AC128" s="565" t="str" cm="1">
        <f t="array" aca="1" ref="AC128" ca="1">IF($N128=""," ",
IF(AND($C128&lt;&gt;"S",OR($R128="",$R128="(digite a descrição aqui)")),"DESCRIÇÃO",
IF(AND($C128="S",OR($Q128&lt;&gt;"",$T128&gt;0,$U128&gt;0),$P128=""),"FONTE",
IF(AND($C128="S",$P128&lt;&gt;"",OR($T128&gt;0,$U128&gt;0),$Q128=""),"CÓDIGO",
IF(AND($C128="S",$P128&lt;&gt;"",$Q128&lt;&gt;"",$R128="(Código não identificado nas referências)"),"CÓDIGO N/ID",
IF(AND($C128="S",OR($R128="",$R128="(digite a descrição aqui)"),OR($Q128&lt;&gt;"",$T128&gt;0,$U128&gt;0)),"DESCRIÇÃO",
IF(AND($C128="S",$P128&lt;&gt;"",$Q128&lt;&gt;"",$S128=""),"UNIDADE",
IF(AND($C128="S",$P128&lt;&gt;"",$Q128&lt;&gt;"",$U128=0),"SEM CUSTO",
IF(AND(TIPOORCAMENTO="Licitado",$AL128=0,$AN128&gt;0),"SEM PREÇO",
IF(AND($C128="S",$P128&lt;&gt;"",$Q128&lt;&gt;"",$U128&gt;0,AND($V128&lt;&gt;"BDI 1",$V128&lt;&gt;"BDI 2",$V128&lt;&gt;"BDI 3")),IF(ISNUMBER($V128),"JUSTIFICAR BDI","BDI"),
IF(OR(AND(import.recurso="OGU",TIPOORCAMENTO="Proposto",LEFT($O$8,5)&lt;&gt;"(N/D:",$AG128&lt;&gt;"",ORÇAMENTO.CustoUnitario&gt;$AG128),AND(TIPOORCAMENTO="LICITADO",ORÇAMENTO.PrecoUnitarioLicitado&gt;$AN128)),"ACIMA REF.",
IF(AND($C128="S",$P128&lt;&gt;"",$Q128&lt;&gt;"",$T128=0,$U128&gt;0),"QUANT.",
IF(AND(Import.TipoArredondamento="TransfereGOV",$L128="F",$C128="S",LEN($Q128)&gt;13),"Código &gt;13",
IF(AND(Import.TipoArredondamento="TransfereGOV",$L128="F",$C128&lt;&gt;"S",LEN($R128)&gt;100),"Descrição &gt;100",
IF(AND(Import.TipoArredondamento="TransfereGOV",$L128="F",$C128="S",LEN($R128)&gt;500),"Descrição &gt;500",
IF(AND(Import.TipoArredondamento="TransfereGOV",$L128="F",$C128="S",LEFT(TRIM(UPPER($P128)),6)&lt;&gt;"SINAPI",ISNA(VLOOKUP(TRIM(UPPER($S128)),ListaTgov.Unidades,1,FALSE))),"Unid. Não Disp",
" "))))))))))))))))</f>
        <v xml:space="preserve"> </v>
      </c>
      <c r="AD128">
        <f ca="1">IF(C128&lt;=CRONO.NivelExibicao,MAX($AD$15:OFFSET(AD128,-1,0))+IF($C128&lt;&gt;1,1,MAX(1,COUNTIF(QCI!$A$13:$A$24,OFFSET($E128,-1,0)))),"")</f>
        <v>30</v>
      </c>
      <c r="AE128" s="7" t="b" cm="1">
        <f t="array" aca="1" ref="AE128" ca="1">IF(AND($C128="S",ORÇAMENTO.CodBarra&lt;&gt;""),IF(ORÇAMENTO.Fonte="",ORÇAMENTO.CodBarra,CONCATENATE(ORÇAMENTO.Fonte," ",ORÇAMENTO.CodBarra)))</f>
        <v>0</v>
      </c>
      <c r="AF128" s="12" t="str" cm="1">
        <f t="array" aca="1" ref="AF128" ca="1">IF(ISERROR(ORÇAMENTO.BancoRef),"(abra o arquivo 'Referência "&amp;Excel_BuiltIn_Database&amp;".xlsm)",IF(OR($C128&lt;&gt;"S",ORÇAMENTO.CodBarra=""),"(Sem Código)",IF(ISERROR(MATCH($AE128,INDIRECT(ORÇAMENTO.BancoRef),0)),"(Código não identificado nas referências)",MATCH($AE128,INDIRECT(ORÇAMENTO.BancoRef),0))))</f>
        <v>(Sem Código)</v>
      </c>
      <c r="AG128" s="428" cm="1">
        <f t="array" aca="1" ref="AG128" ca="1">ROUND(IF(DESONERACAO="sim",REFERENCIA.Desonerado,REFERENCIA.NaoDesonerado),2)</f>
        <v>0</v>
      </c>
      <c r="AH128" s="429">
        <f t="shared" ca="1" si="33"/>
        <v>0.2223</v>
      </c>
      <c r="AJ128" s="431"/>
      <c r="AL128" s="439"/>
      <c r="AM128" s="336">
        <f t="shared" ca="1" si="0"/>
        <v>0</v>
      </c>
      <c r="AN128" s="470" cm="1">
        <f t="array" aca="1" ref="AN128" ca="1">ROUND(ORÇAMENTO.CustoUnitario*(1+$AH128),2)</f>
        <v>0</v>
      </c>
    </row>
    <row r="129" spans="1:40" ht="25.5" x14ac:dyDescent="0.2">
      <c r="A129" t="str">
        <f t="shared" si="32"/>
        <v>S</v>
      </c>
      <c r="B129">
        <f t="shared" ca="1" si="19"/>
        <v>2</v>
      </c>
      <c r="C129" t="str">
        <f t="shared" ca="1" si="20"/>
        <v>S</v>
      </c>
      <c r="D129">
        <f t="shared" ca="1" si="21"/>
        <v>0</v>
      </c>
      <c r="E129">
        <f ca="1">IF($C129=1,OFFSET(E129,-1,0)+MAX(1,COUNTIF(QCI!$A$13:$A$24,OFFSET(ORÇAMENTO!E129,-1,0))),OFFSET(E129,-1,0))</f>
        <v>8</v>
      </c>
      <c r="F129">
        <f t="shared" ca="1" si="22"/>
        <v>3</v>
      </c>
      <c r="G129">
        <f t="shared" ca="1" si="23"/>
        <v>0</v>
      </c>
      <c r="H129">
        <f t="shared" ca="1" si="24"/>
        <v>0</v>
      </c>
      <c r="I129">
        <f t="shared" ca="1" si="25"/>
        <v>0</v>
      </c>
      <c r="J129">
        <f t="shared" ca="1" si="17"/>
        <v>0</v>
      </c>
      <c r="K129">
        <f ca="1">IF(OR($C129="S",$C129=0),0,MATCH(OFFSET($D129,0,$C129)+IF($C129&lt;&gt;1,1,COUNTIF(QCI!$A$13:$A$24,ORÇAMENTO!E129)),OFFSET($D129,1,$C129,ROW($C$244)-ROW($C129)),0))</f>
        <v>0</v>
      </c>
      <c r="L129" s="114" t="str">
        <f t="shared" ca="1" si="26"/>
        <v/>
      </c>
      <c r="M129" s="115" t="s">
        <v>705</v>
      </c>
      <c r="N129" s="116" t="str">
        <f t="shared" ca="1" si="27"/>
        <v>Serviço</v>
      </c>
      <c r="O129" s="117" t="str">
        <f t="shared" ca="1" si="28"/>
        <v>-</v>
      </c>
      <c r="P129" s="118" t="s">
        <v>750</v>
      </c>
      <c r="Q129" s="119" t="s">
        <v>1081</v>
      </c>
      <c r="R129" s="120" t="str" cm="1">
        <f t="array" aca="1" ref="R129" ca="1">IF($C129="S",REFERENCIA.Descricao,"(digite a descrição aqui)")</f>
        <v>(Código não identificado nas referências)</v>
      </c>
      <c r="S129" s="121" t="str" cm="1">
        <f t="array" aca="1" ref="S129" ca="1">REFERENCIA.Unidade</f>
        <v>-</v>
      </c>
      <c r="T129" s="122">
        <f ca="1">OFFSET(CÁLCULO!H$15,ROW($T129)-ROW(T$15),0)</f>
        <v>50.40000000000002</v>
      </c>
      <c r="U129" s="123">
        <f t="shared" ca="1" si="29"/>
        <v>0</v>
      </c>
      <c r="V129" s="124" t="s">
        <v>663</v>
      </c>
      <c r="W129" s="122" cm="1">
        <f t="array" aca="1" ref="W129" ca="1">IF($C129="S",ROUND(IF(TIPOORCAMENTO="Proposto",ORÇAMENTO.CustoUnitario*(1+$AH129),ORÇAMENTO.PrecoUnitarioLicitado),15-13*$AF$10),0)</f>
        <v>0</v>
      </c>
      <c r="X129" s="125" cm="1">
        <f t="array" aca="1" ref="X129" ca="1">IF($C129="S",IF(OR(Import.TipoArredondamento&lt;&gt;"TransfereGOV",ACOMPANHAMENTO="BM"),VTOTAL1,SUM(OFFSET(CÁLCULO!$AQ$15,ROW($X129)-ROW($X$15),1):OFFSET(CÁLCULO!$BR$15,ROW($X129)-ROW($X$15),-1))),IF($C129=0,0,ROUND(SomaAgrup,15-13*$AF$11)))</f>
        <v>0</v>
      </c>
      <c r="Y129" s="126" t="s">
        <v>751</v>
      </c>
      <c r="Z129" t="str">
        <f t="shared" ca="1" si="30"/>
        <v/>
      </c>
      <c r="AA129" s="127" cm="1">
        <f t="array" aca="1" ref="AA129" ca="1">IF($C129="S",IF($Z129="CP",$X129,IF($Z129="RA",(($X129)*QCI!$AA$3),0)),SomaAgrup)</f>
        <v>0</v>
      </c>
      <c r="AB129" s="128" cm="1">
        <f t="array" aca="1" ref="AB129" ca="1">IF($C129="S",IF($Z129="OU",ROUND($X129,2),0),SomaAgrup)</f>
        <v>0</v>
      </c>
      <c r="AC129" s="565" t="str" cm="1">
        <f t="array" aca="1" ref="AC129" ca="1">IF($N129=""," ",
IF(AND($C129&lt;&gt;"S",OR($R129="",$R129="(digite a descrição aqui)")),"DESCRIÇÃO",
IF(AND($C129="S",OR($Q129&lt;&gt;"",$T129&gt;0,$U129&gt;0),$P129=""),"FONTE",
IF(AND($C129="S",$P129&lt;&gt;"",OR($T129&gt;0,$U129&gt;0),$Q129=""),"CÓDIGO",
IF(AND($C129="S",$P129&lt;&gt;"",$Q129&lt;&gt;"",$R129="(Código não identificado nas referências)"),"CÓDIGO N/ID",
IF(AND($C129="S",OR($R129="",$R129="(digite a descrição aqui)"),OR($Q129&lt;&gt;"",$T129&gt;0,$U129&gt;0)),"DESCRIÇÃO",
IF(AND($C129="S",$P129&lt;&gt;"",$Q129&lt;&gt;"",$S129=""),"UNIDADE",
IF(AND($C129="S",$P129&lt;&gt;"",$Q129&lt;&gt;"",$U129=0),"SEM CUSTO",
IF(AND(TIPOORCAMENTO="Licitado",$AL129=0,$AN129&gt;0),"SEM PREÇO",
IF(AND($C129="S",$P129&lt;&gt;"",$Q129&lt;&gt;"",$U129&gt;0,AND($V129&lt;&gt;"BDI 1",$V129&lt;&gt;"BDI 2",$V129&lt;&gt;"BDI 3")),IF(ISNUMBER($V129),"JUSTIFICAR BDI","BDI"),
IF(OR(AND(import.recurso="OGU",TIPOORCAMENTO="Proposto",LEFT($O$8,5)&lt;&gt;"(N/D:",$AG129&lt;&gt;"",ORÇAMENTO.CustoUnitario&gt;$AG129),AND(TIPOORCAMENTO="LICITADO",ORÇAMENTO.PrecoUnitarioLicitado&gt;$AN129)),"ACIMA REF.",
IF(AND($C129="S",$P129&lt;&gt;"",$Q129&lt;&gt;"",$T129=0,$U129&gt;0),"QUANT.",
IF(AND(Import.TipoArredondamento="TransfereGOV",$L129="F",$C129="S",LEN($Q129)&gt;13),"Código &gt;13",
IF(AND(Import.TipoArredondamento="TransfereGOV",$L129="F",$C129&lt;&gt;"S",LEN($R129)&gt;100),"Descrição &gt;100",
IF(AND(Import.TipoArredondamento="TransfereGOV",$L129="F",$C129="S",LEN($R129)&gt;500),"Descrição &gt;500",
IF(AND(Import.TipoArredondamento="TransfereGOV",$L129="F",$C129="S",LEFT(TRIM(UPPER($P129)),6)&lt;&gt;"SINAPI",ISNA(VLOOKUP(TRIM(UPPER($S129)),ListaTgov.Unidades,1,FALSE))),"Unid. Não Disp",
" "))))))))))))))))</f>
        <v>CÓDIGO N/ID</v>
      </c>
      <c r="AD129" t="str">
        <f ca="1">IF(C129&lt;=CRONO.NivelExibicao,MAX($AD$15:OFFSET(AD129,-1,0))+IF($C129&lt;&gt;1,1,MAX(1,COUNTIF(QCI!$A$13:$A$24,OFFSET($E129,-1,0)))),"")</f>
        <v/>
      </c>
      <c r="AE129" s="7" t="str" cm="1">
        <f t="array" aca="1" ref="AE129" ca="1">IF(AND($C129="S",ORÇAMENTO.CodBarra&lt;&gt;""),IF(ORÇAMENTO.Fonte="",ORÇAMENTO.CodBarra,CONCATENATE(ORÇAMENTO.Fonte," ",ORÇAMENTO.CodBarra)))</f>
        <v>SINAPI 98695</v>
      </c>
      <c r="AF129" s="12" t="str" cm="1">
        <f t="array" aca="1" ref="AF129" ca="1">IF(ISERROR(ORÇAMENTO.BancoRef),"(abra o arquivo 'Referência "&amp;Excel_BuiltIn_Database&amp;".xlsm)",IF(OR($C129&lt;&gt;"S",ORÇAMENTO.CodBarra=""),"(Sem Código)",IF(ISERROR(MATCH($AE129,INDIRECT(ORÇAMENTO.BancoRef),0)),"(Código não identificado nas referências)",MATCH($AE129,INDIRECT(ORÇAMENTO.BancoRef),0))))</f>
        <v>(Código não identificado nas referências)</v>
      </c>
      <c r="AG129" s="428" cm="1">
        <f t="array" aca="1" ref="AG129" ca="1">ROUND(IF(DESONERACAO="sim",REFERENCIA.Desonerado,REFERENCIA.NaoDesonerado),2)</f>
        <v>0</v>
      </c>
      <c r="AH129" s="429">
        <f t="shared" ca="1" si="33"/>
        <v>0.2223</v>
      </c>
      <c r="AJ129" s="431"/>
      <c r="AL129" s="439"/>
      <c r="AM129" s="336">
        <f t="shared" ca="1" si="0"/>
        <v>0</v>
      </c>
      <c r="AN129" s="470" cm="1">
        <f t="array" aca="1" ref="AN129" ca="1">ROUND(ORÇAMENTO.CustoUnitario*(1+$AH129),2)</f>
        <v>0</v>
      </c>
    </row>
    <row r="130" spans="1:40" ht="25.5" x14ac:dyDescent="0.2">
      <c r="A130" t="str">
        <f t="shared" si="32"/>
        <v>S</v>
      </c>
      <c r="B130">
        <f t="shared" ca="1" si="19"/>
        <v>2</v>
      </c>
      <c r="C130" t="str">
        <f t="shared" ca="1" si="20"/>
        <v>S</v>
      </c>
      <c r="D130">
        <f t="shared" ca="1" si="21"/>
        <v>0</v>
      </c>
      <c r="E130">
        <f ca="1">IF($C130=1,OFFSET(E130,-1,0)+MAX(1,COUNTIF(QCI!$A$13:$A$24,OFFSET(ORÇAMENTO!E130,-1,0))),OFFSET(E130,-1,0))</f>
        <v>8</v>
      </c>
      <c r="F130">
        <f t="shared" ca="1" si="22"/>
        <v>3</v>
      </c>
      <c r="G130">
        <f t="shared" ca="1" si="23"/>
        <v>0</v>
      </c>
      <c r="H130">
        <f t="shared" ca="1" si="24"/>
        <v>0</v>
      </c>
      <c r="I130">
        <f t="shared" ca="1" si="25"/>
        <v>0</v>
      </c>
      <c r="J130">
        <f t="shared" ca="1" si="17"/>
        <v>0</v>
      </c>
      <c r="K130">
        <f ca="1">IF(OR($C130="S",$C130=0),0,MATCH(OFFSET($D130,0,$C130)+IF($C130&lt;&gt;1,1,COUNTIF(QCI!$A$13:$A$24,ORÇAMENTO!E130)),OFFSET($D130,1,$C130,ROW($C$244)-ROW($C130)),0))</f>
        <v>0</v>
      </c>
      <c r="L130" s="114" t="str">
        <f t="shared" ca="1" si="26"/>
        <v/>
      </c>
      <c r="M130" s="115" t="s">
        <v>705</v>
      </c>
      <c r="N130" s="116" t="str">
        <f t="shared" ca="1" si="27"/>
        <v>Serviço</v>
      </c>
      <c r="O130" s="117" t="str">
        <f t="shared" ca="1" si="28"/>
        <v>-</v>
      </c>
      <c r="P130" s="118" t="s">
        <v>750</v>
      </c>
      <c r="Q130" s="119" t="s">
        <v>1082</v>
      </c>
      <c r="R130" s="120" t="str" cm="1">
        <f t="array" aca="1" ref="R130" ca="1">IF($C130="S",REFERENCIA.Descricao,"(digite a descrição aqui)")</f>
        <v>(Código não identificado nas referências)</v>
      </c>
      <c r="S130" s="121" t="str" cm="1">
        <f t="array" aca="1" ref="S130" ca="1">REFERENCIA.Unidade</f>
        <v>-</v>
      </c>
      <c r="T130" s="122">
        <f ca="1">OFFSET(CÁLCULO!H$15,ROW($T130)-ROW(T$15),0)</f>
        <v>774.00000000000023</v>
      </c>
      <c r="U130" s="123">
        <f t="shared" ca="1" si="29"/>
        <v>0</v>
      </c>
      <c r="V130" s="124" t="s">
        <v>663</v>
      </c>
      <c r="W130" s="122" cm="1">
        <f t="array" aca="1" ref="W130" ca="1">IF($C130="S",ROUND(IF(TIPOORCAMENTO="Proposto",ORÇAMENTO.CustoUnitario*(1+$AH130),ORÇAMENTO.PrecoUnitarioLicitado),15-13*$AF$10),0)</f>
        <v>0</v>
      </c>
      <c r="X130" s="125" cm="1">
        <f t="array" aca="1" ref="X130" ca="1">IF($C130="S",IF(OR(Import.TipoArredondamento&lt;&gt;"TransfereGOV",ACOMPANHAMENTO="BM"),VTOTAL1,SUM(OFFSET(CÁLCULO!$AQ$15,ROW($X130)-ROW($X$15),1):OFFSET(CÁLCULO!$BR$15,ROW($X130)-ROW($X$15),-1))),IF($C130=0,0,ROUND(SomaAgrup,15-13*$AF$11)))</f>
        <v>0</v>
      </c>
      <c r="Y130" s="126" t="s">
        <v>751</v>
      </c>
      <c r="Z130" t="str">
        <f t="shared" ca="1" si="30"/>
        <v/>
      </c>
      <c r="AA130" s="127" cm="1">
        <f t="array" aca="1" ref="AA130" ca="1">IF($C130="S",IF($Z130="CP",$X130,IF($Z130="RA",(($X130)*QCI!$AA$3),0)),SomaAgrup)</f>
        <v>0</v>
      </c>
      <c r="AB130" s="128" cm="1">
        <f t="array" aca="1" ref="AB130" ca="1">IF($C130="S",IF($Z130="OU",ROUND($X130,2),0),SomaAgrup)</f>
        <v>0</v>
      </c>
      <c r="AC130" s="565" t="str" cm="1">
        <f t="array" aca="1" ref="AC130" ca="1">IF($N130=""," ",
IF(AND($C130&lt;&gt;"S",OR($R130="",$R130="(digite a descrição aqui)")),"DESCRIÇÃO",
IF(AND($C130="S",OR($Q130&lt;&gt;"",$T130&gt;0,$U130&gt;0),$P130=""),"FONTE",
IF(AND($C130="S",$P130&lt;&gt;"",OR($T130&gt;0,$U130&gt;0),$Q130=""),"CÓDIGO",
IF(AND($C130="S",$P130&lt;&gt;"",$Q130&lt;&gt;"",$R130="(Código não identificado nas referências)"),"CÓDIGO N/ID",
IF(AND($C130="S",OR($R130="",$R130="(digite a descrição aqui)"),OR($Q130&lt;&gt;"",$T130&gt;0,$U130&gt;0)),"DESCRIÇÃO",
IF(AND($C130="S",$P130&lt;&gt;"",$Q130&lt;&gt;"",$S130=""),"UNIDADE",
IF(AND($C130="S",$P130&lt;&gt;"",$Q130&lt;&gt;"",$U130=0),"SEM CUSTO",
IF(AND(TIPOORCAMENTO="Licitado",$AL130=0,$AN130&gt;0),"SEM PREÇO",
IF(AND($C130="S",$P130&lt;&gt;"",$Q130&lt;&gt;"",$U130&gt;0,AND($V130&lt;&gt;"BDI 1",$V130&lt;&gt;"BDI 2",$V130&lt;&gt;"BDI 3")),IF(ISNUMBER($V130),"JUSTIFICAR BDI","BDI"),
IF(OR(AND(import.recurso="OGU",TIPOORCAMENTO="Proposto",LEFT($O$8,5)&lt;&gt;"(N/D:",$AG130&lt;&gt;"",ORÇAMENTO.CustoUnitario&gt;$AG130),AND(TIPOORCAMENTO="LICITADO",ORÇAMENTO.PrecoUnitarioLicitado&gt;$AN130)),"ACIMA REF.",
IF(AND($C130="S",$P130&lt;&gt;"",$Q130&lt;&gt;"",$T130=0,$U130&gt;0),"QUANT.",
IF(AND(Import.TipoArredondamento="TransfereGOV",$L130="F",$C130="S",LEN($Q130)&gt;13),"Código &gt;13",
IF(AND(Import.TipoArredondamento="TransfereGOV",$L130="F",$C130&lt;&gt;"S",LEN($R130)&gt;100),"Descrição &gt;100",
IF(AND(Import.TipoArredondamento="TransfereGOV",$L130="F",$C130="S",LEN($R130)&gt;500),"Descrição &gt;500",
IF(AND(Import.TipoArredondamento="TransfereGOV",$L130="F",$C130="S",LEFT(TRIM(UPPER($P130)),6)&lt;&gt;"SINAPI",ISNA(VLOOKUP(TRIM(UPPER($S130)),ListaTgov.Unidades,1,FALSE))),"Unid. Não Disp",
" "))))))))))))))))</f>
        <v>CÓDIGO N/ID</v>
      </c>
      <c r="AD130" t="str">
        <f ca="1">IF(C130&lt;=CRONO.NivelExibicao,MAX($AD$15:OFFSET(AD130,-1,0))+IF($C130&lt;&gt;1,1,MAX(1,COUNTIF(QCI!$A$13:$A$24,OFFSET($E130,-1,0)))),"")</f>
        <v/>
      </c>
      <c r="AE130" s="7" t="str" cm="1">
        <f t="array" aca="1" ref="AE130" ca="1">IF(AND($C130="S",ORÇAMENTO.CodBarra&lt;&gt;""),IF(ORÇAMENTO.Fonte="",ORÇAMENTO.CodBarra,CONCATENATE(ORÇAMENTO.Fonte," ",ORÇAMENTO.CodBarra)))</f>
        <v>SINAPI 88648</v>
      </c>
      <c r="AF130" s="12" t="str" cm="1">
        <f t="array" aca="1" ref="AF130" ca="1">IF(ISERROR(ORÇAMENTO.BancoRef),"(abra o arquivo 'Referência "&amp;Excel_BuiltIn_Database&amp;".xlsm)",IF(OR($C130&lt;&gt;"S",ORÇAMENTO.CodBarra=""),"(Sem Código)",IF(ISERROR(MATCH($AE130,INDIRECT(ORÇAMENTO.BancoRef),0)),"(Código não identificado nas referências)",MATCH($AE130,INDIRECT(ORÇAMENTO.BancoRef),0))))</f>
        <v>(Código não identificado nas referências)</v>
      </c>
      <c r="AG130" s="428" cm="1">
        <f t="array" aca="1" ref="AG130" ca="1">ROUND(IF(DESONERACAO="sim",REFERENCIA.Desonerado,REFERENCIA.NaoDesonerado),2)</f>
        <v>0</v>
      </c>
      <c r="AH130" s="429">
        <f t="shared" ca="1" si="33"/>
        <v>0.2223</v>
      </c>
      <c r="AJ130" s="431"/>
      <c r="AL130" s="439"/>
      <c r="AM130" s="336">
        <f t="shared" ca="1" si="0"/>
        <v>0</v>
      </c>
      <c r="AN130" s="470" cm="1">
        <f t="array" aca="1" ref="AN130" ca="1">ROUND(ORÇAMENTO.CustoUnitario*(1+$AH130),2)</f>
        <v>0</v>
      </c>
    </row>
    <row r="131" spans="1:40" ht="25.5" x14ac:dyDescent="0.2">
      <c r="A131" t="str">
        <f t="shared" si="32"/>
        <v>S</v>
      </c>
      <c r="B131">
        <f t="shared" ca="1" si="19"/>
        <v>2</v>
      </c>
      <c r="C131" t="str">
        <f t="shared" ca="1" si="20"/>
        <v>S</v>
      </c>
      <c r="D131">
        <f t="shared" ca="1" si="21"/>
        <v>0</v>
      </c>
      <c r="E131">
        <f ca="1">IF($C131=1,OFFSET(E131,-1,0)+MAX(1,COUNTIF(QCI!$A$13:$A$24,OFFSET(ORÇAMENTO!E131,-1,0))),OFFSET(E131,-1,0))</f>
        <v>8</v>
      </c>
      <c r="F131">
        <f t="shared" ca="1" si="22"/>
        <v>3</v>
      </c>
      <c r="G131">
        <f t="shared" ca="1" si="23"/>
        <v>0</v>
      </c>
      <c r="H131">
        <f t="shared" ca="1" si="24"/>
        <v>0</v>
      </c>
      <c r="I131">
        <f t="shared" ca="1" si="25"/>
        <v>0</v>
      </c>
      <c r="J131">
        <f t="shared" ca="1" si="17"/>
        <v>0</v>
      </c>
      <c r="K131">
        <f ca="1">IF(OR($C131="S",$C131=0),0,MATCH(OFFSET($D131,0,$C131)+IF($C131&lt;&gt;1,1,COUNTIF(QCI!$A$13:$A$24,ORÇAMENTO!E131)),OFFSET($D131,1,$C131,ROW($C$244)-ROW($C131)),0))</f>
        <v>0</v>
      </c>
      <c r="L131" s="114" t="str">
        <f t="shared" ca="1" si="26"/>
        <v/>
      </c>
      <c r="M131" s="115" t="s">
        <v>705</v>
      </c>
      <c r="N131" s="116" t="str">
        <f t="shared" ca="1" si="27"/>
        <v>Serviço</v>
      </c>
      <c r="O131" s="117" t="str">
        <f t="shared" ca="1" si="28"/>
        <v>-</v>
      </c>
      <c r="P131" s="118" t="s">
        <v>750</v>
      </c>
      <c r="Q131" s="119" t="s">
        <v>1083</v>
      </c>
      <c r="R131" s="120" t="str" cm="1">
        <f t="array" aca="1" ref="R131" ca="1">IF($C131="S",REFERENCIA.Descricao,"(digite a descrição aqui)")</f>
        <v>(Código não identificado nas referências)</v>
      </c>
      <c r="S131" s="121" t="str" cm="1">
        <f t="array" aca="1" ref="S131" ca="1">REFERENCIA.Unidade</f>
        <v>-</v>
      </c>
      <c r="T131" s="122">
        <f ca="1">OFFSET(CÁLCULO!H$15,ROW($T131)-ROW(T$15),0)</f>
        <v>130</v>
      </c>
      <c r="U131" s="123">
        <f t="shared" ca="1" si="29"/>
        <v>0</v>
      </c>
      <c r="V131" s="124" t="s">
        <v>663</v>
      </c>
      <c r="W131" s="122" cm="1">
        <f t="array" aca="1" ref="W131" ca="1">IF($C131="S",ROUND(IF(TIPOORCAMENTO="Proposto",ORÇAMENTO.CustoUnitario*(1+$AH131),ORÇAMENTO.PrecoUnitarioLicitado),15-13*$AF$10),0)</f>
        <v>0</v>
      </c>
      <c r="X131" s="125" cm="1">
        <f t="array" aca="1" ref="X131" ca="1">IF($C131="S",IF(OR(Import.TipoArredondamento&lt;&gt;"TransfereGOV",ACOMPANHAMENTO="BM"),VTOTAL1,SUM(OFFSET(CÁLCULO!$AQ$15,ROW($X131)-ROW($X$15),1):OFFSET(CÁLCULO!$BR$15,ROW($X131)-ROW($X$15),-1))),IF($C131=0,0,ROUND(SomaAgrup,15-13*$AF$11)))</f>
        <v>0</v>
      </c>
      <c r="Y131" s="126" t="s">
        <v>751</v>
      </c>
      <c r="Z131" t="str">
        <f t="shared" ca="1" si="30"/>
        <v/>
      </c>
      <c r="AA131" s="127" cm="1">
        <f t="array" aca="1" ref="AA131" ca="1">IF($C131="S",IF($Z131="CP",$X131,IF($Z131="RA",(($X131)*QCI!$AA$3),0)),SomaAgrup)</f>
        <v>0</v>
      </c>
      <c r="AB131" s="128" cm="1">
        <f t="array" aca="1" ref="AB131" ca="1">IF($C131="S",IF($Z131="OU",ROUND($X131,2),0),SomaAgrup)</f>
        <v>0</v>
      </c>
      <c r="AC131" s="565" t="str" cm="1">
        <f t="array" aca="1" ref="AC131" ca="1">IF($N131=""," ",
IF(AND($C131&lt;&gt;"S",OR($R131="",$R131="(digite a descrição aqui)")),"DESCRIÇÃO",
IF(AND($C131="S",OR($Q131&lt;&gt;"",$T131&gt;0,$U131&gt;0),$P131=""),"FONTE",
IF(AND($C131="S",$P131&lt;&gt;"",OR($T131&gt;0,$U131&gt;0),$Q131=""),"CÓDIGO",
IF(AND($C131="S",$P131&lt;&gt;"",$Q131&lt;&gt;"",$R131="(Código não identificado nas referências)"),"CÓDIGO N/ID",
IF(AND($C131="S",OR($R131="",$R131="(digite a descrição aqui)"),OR($Q131&lt;&gt;"",$T131&gt;0,$U131&gt;0)),"DESCRIÇÃO",
IF(AND($C131="S",$P131&lt;&gt;"",$Q131&lt;&gt;"",$S131=""),"UNIDADE",
IF(AND($C131="S",$P131&lt;&gt;"",$Q131&lt;&gt;"",$U131=0),"SEM CUSTO",
IF(AND(TIPOORCAMENTO="Licitado",$AL131=0,$AN131&gt;0),"SEM PREÇO",
IF(AND($C131="S",$P131&lt;&gt;"",$Q131&lt;&gt;"",$U131&gt;0,AND($V131&lt;&gt;"BDI 1",$V131&lt;&gt;"BDI 2",$V131&lt;&gt;"BDI 3")),IF(ISNUMBER($V131),"JUSTIFICAR BDI","BDI"),
IF(OR(AND(import.recurso="OGU",TIPOORCAMENTO="Proposto",LEFT($O$8,5)&lt;&gt;"(N/D:",$AG131&lt;&gt;"",ORÇAMENTO.CustoUnitario&gt;$AG131),AND(TIPOORCAMENTO="LICITADO",ORÇAMENTO.PrecoUnitarioLicitado&gt;$AN131)),"ACIMA REF.",
IF(AND($C131="S",$P131&lt;&gt;"",$Q131&lt;&gt;"",$T131=0,$U131&gt;0),"QUANT.",
IF(AND(Import.TipoArredondamento="TransfereGOV",$L131="F",$C131="S",LEN($Q131)&gt;13),"Código &gt;13",
IF(AND(Import.TipoArredondamento="TransfereGOV",$L131="F",$C131&lt;&gt;"S",LEN($R131)&gt;100),"Descrição &gt;100",
IF(AND(Import.TipoArredondamento="TransfereGOV",$L131="F",$C131="S",LEN($R131)&gt;500),"Descrição &gt;500",
IF(AND(Import.TipoArredondamento="TransfereGOV",$L131="F",$C131="S",LEFT(TRIM(UPPER($P131)),6)&lt;&gt;"SINAPI",ISNA(VLOOKUP(TRIM(UPPER($S131)),ListaTgov.Unidades,1,FALSE))),"Unid. Não Disp",
" "))))))))))))))))</f>
        <v>CÓDIGO N/ID</v>
      </c>
      <c r="AD131" t="str">
        <f ca="1">IF(C131&lt;=CRONO.NivelExibicao,MAX($AD$15:OFFSET(AD131,-1,0))+IF($C131&lt;&gt;1,1,MAX(1,COUNTIF(QCI!$A$13:$A$24,OFFSET($E131,-1,0)))),"")</f>
        <v/>
      </c>
      <c r="AE131" s="7" t="str" cm="1">
        <f t="array" aca="1" ref="AE131" ca="1">IF(AND($C131="S",ORÇAMENTO.CodBarra&lt;&gt;""),IF(ORÇAMENTO.Fonte="",ORÇAMENTO.CodBarra,CONCATENATE(ORÇAMENTO.Fonte," ",ORÇAMENTO.CodBarra)))</f>
        <v>SINAPI 101965</v>
      </c>
      <c r="AF131" s="12" t="str" cm="1">
        <f t="array" aca="1" ref="AF131" ca="1">IF(ISERROR(ORÇAMENTO.BancoRef),"(abra o arquivo 'Referência "&amp;Excel_BuiltIn_Database&amp;".xlsm)",IF(OR($C131&lt;&gt;"S",ORÇAMENTO.CodBarra=""),"(Sem Código)",IF(ISERROR(MATCH($AE131,INDIRECT(ORÇAMENTO.BancoRef),0)),"(Código não identificado nas referências)",MATCH($AE131,INDIRECT(ORÇAMENTO.BancoRef),0))))</f>
        <v>(Código não identificado nas referências)</v>
      </c>
      <c r="AG131" s="428" cm="1">
        <f t="array" aca="1" ref="AG131" ca="1">ROUND(IF(DESONERACAO="sim",REFERENCIA.Desonerado,REFERENCIA.NaoDesonerado),2)</f>
        <v>0</v>
      </c>
      <c r="AH131" s="429">
        <f t="shared" ca="1" si="33"/>
        <v>0.2223</v>
      </c>
      <c r="AJ131" s="431"/>
      <c r="AL131" s="439"/>
      <c r="AM131" s="336">
        <f t="shared" ca="1" si="0"/>
        <v>0</v>
      </c>
      <c r="AN131" s="470" cm="1">
        <f t="array" aca="1" ref="AN131" ca="1">ROUND(ORÇAMENTO.CustoUnitario*(1+$AH131),2)</f>
        <v>0</v>
      </c>
    </row>
    <row r="132" spans="1:40" x14ac:dyDescent="0.2">
      <c r="A132">
        <f t="shared" si="32"/>
        <v>1</v>
      </c>
      <c r="B132">
        <f t="shared" ca="1" si="19"/>
        <v>1</v>
      </c>
      <c r="C132">
        <f t="shared" ca="1" si="20"/>
        <v>1</v>
      </c>
      <c r="D132">
        <f t="shared" ca="1" si="21"/>
        <v>101</v>
      </c>
      <c r="E132">
        <f ca="1">IF($C132=1,OFFSET(E132,-1,0)+MAX(1,COUNTIF(QCI!$A$13:$A$24,OFFSET(ORÇAMENTO!E132,-1,0))),OFFSET(E132,-1,0))</f>
        <v>9</v>
      </c>
      <c r="F132">
        <f t="shared" ca="1" si="22"/>
        <v>0</v>
      </c>
      <c r="G132">
        <f t="shared" ca="1" si="23"/>
        <v>0</v>
      </c>
      <c r="H132">
        <f t="shared" ca="1" si="24"/>
        <v>0</v>
      </c>
      <c r="I132">
        <f t="shared" ca="1" si="25"/>
        <v>0</v>
      </c>
      <c r="J132">
        <f t="shared" ca="1" si="17"/>
        <v>112</v>
      </c>
      <c r="K132">
        <f ca="1">IF(OR($C132="S",$C132=0),0,MATCH(OFFSET($D132,0,$C132)+IF($C132&lt;&gt;1,1,COUNTIF(QCI!$A$13:$A$24,ORÇAMENTO!E132)),OFFSET($D132,1,$C132,ROW($C$244)-ROW($C132)),0))</f>
        <v>101</v>
      </c>
      <c r="L132" s="114" t="str">
        <f t="shared" ca="1" si="26"/>
        <v>F</v>
      </c>
      <c r="M132" s="115" t="s">
        <v>701</v>
      </c>
      <c r="N132" s="116" t="str">
        <f t="shared" ca="1" si="27"/>
        <v>Meta</v>
      </c>
      <c r="O132" s="117" t="str">
        <f t="shared" ca="1" si="28"/>
        <v>9.</v>
      </c>
      <c r="P132" s="118" t="s">
        <v>250</v>
      </c>
      <c r="Q132" s="119" t="s">
        <v>250</v>
      </c>
      <c r="R132" s="120" t="s">
        <v>1199</v>
      </c>
      <c r="S132" s="121"/>
      <c r="T132" s="122">
        <f ca="1">OFFSET(CÁLCULO!H$15,ROW($T132)-ROW(T$15),0)</f>
        <v>0</v>
      </c>
      <c r="U132" s="123">
        <f t="shared" ca="1" si="29"/>
        <v>0</v>
      </c>
      <c r="V132" s="124" t="s">
        <v>663</v>
      </c>
      <c r="W132" s="122" cm="1">
        <f t="array" aca="1" ref="W132" ca="1">IF($C132="S",ROUND(IF(TIPOORCAMENTO="Proposto",ORÇAMENTO.CustoUnitario*(1+$AH132),ORÇAMENTO.PrecoUnitarioLicitado),15-13*$AF$10),0)</f>
        <v>0</v>
      </c>
      <c r="X132" s="125" cm="1">
        <f t="array" aca="1" ref="X132" ca="1">IF($C132="S",IF(OR(Import.TipoArredondamento&lt;&gt;"TransfereGOV",ACOMPANHAMENTO="BM"),VTOTAL1,SUM(OFFSET(CÁLCULO!$AQ$15,ROW($X132)-ROW($X$15),1):OFFSET(CÁLCULO!$BR$15,ROW($X132)-ROW($X$15),-1))),IF($C132=0,0,ROUND(SomaAgrup,15-13*$AF$11)))</f>
        <v>0</v>
      </c>
      <c r="Y132" s="126" t="s">
        <v>751</v>
      </c>
      <c r="Z132" t="str">
        <f t="shared" ca="1" si="30"/>
        <v/>
      </c>
      <c r="AA132" s="127" cm="1">
        <f t="array" aca="1" ref="AA132" ca="1">IF($C132="S",IF($Z132="CP",$X132,IF($Z132="RA",(($X132)*QCI!$AA$3),0)),SomaAgrup)</f>
        <v>0</v>
      </c>
      <c r="AB132" s="128" cm="1">
        <f t="array" aca="1" ref="AB132" ca="1">IF($C132="S",IF($Z132="OU",ROUND($X132,2),0),SomaAgrup)</f>
        <v>0</v>
      </c>
      <c r="AC132" s="565" t="str" cm="1">
        <f t="array" aca="1" ref="AC132" ca="1">IF($N132=""," ",
IF(AND($C132&lt;&gt;"S",OR($R132="",$R132="(digite a descrição aqui)")),"DESCRIÇÃO",
IF(AND($C132="S",OR($Q132&lt;&gt;"",$T132&gt;0,$U132&gt;0),$P132=""),"FONTE",
IF(AND($C132="S",$P132&lt;&gt;"",OR($T132&gt;0,$U132&gt;0),$Q132=""),"CÓDIGO",
IF(AND($C132="S",$P132&lt;&gt;"",$Q132&lt;&gt;"",$R132="(Código não identificado nas referências)"),"CÓDIGO N/ID",
IF(AND($C132="S",OR($R132="",$R132="(digite a descrição aqui)"),OR($Q132&lt;&gt;"",$T132&gt;0,$U132&gt;0)),"DESCRIÇÃO",
IF(AND($C132="S",$P132&lt;&gt;"",$Q132&lt;&gt;"",$S132=""),"UNIDADE",
IF(AND($C132="S",$P132&lt;&gt;"",$Q132&lt;&gt;"",$U132=0),"SEM CUSTO",
IF(AND(TIPOORCAMENTO="Licitado",$AL132=0,$AN132&gt;0),"SEM PREÇO",
IF(AND($C132="S",$P132&lt;&gt;"",$Q132&lt;&gt;"",$U132&gt;0,AND($V132&lt;&gt;"BDI 1",$V132&lt;&gt;"BDI 2",$V132&lt;&gt;"BDI 3")),IF(ISNUMBER($V132),"JUSTIFICAR BDI","BDI"),
IF(OR(AND(import.recurso="OGU",TIPOORCAMENTO="Proposto",LEFT($O$8,5)&lt;&gt;"(N/D:",$AG132&lt;&gt;"",ORÇAMENTO.CustoUnitario&gt;$AG132),AND(TIPOORCAMENTO="LICITADO",ORÇAMENTO.PrecoUnitarioLicitado&gt;$AN132)),"ACIMA REF.",
IF(AND($C132="S",$P132&lt;&gt;"",$Q132&lt;&gt;"",$T132=0,$U132&gt;0),"QUANT.",
IF(AND(Import.TipoArredondamento="TransfereGOV",$L132="F",$C132="S",LEN($Q132)&gt;13),"Código &gt;13",
IF(AND(Import.TipoArredondamento="TransfereGOV",$L132="F",$C132&lt;&gt;"S",LEN($R132)&gt;100),"Descrição &gt;100",
IF(AND(Import.TipoArredondamento="TransfereGOV",$L132="F",$C132="S",LEN($R132)&gt;500),"Descrição &gt;500",
IF(AND(Import.TipoArredondamento="TransfereGOV",$L132="F",$C132="S",LEFT(TRIM(UPPER($P132)),6)&lt;&gt;"SINAPI",ISNA(VLOOKUP(TRIM(UPPER($S132)),ListaTgov.Unidades,1,FALSE))),"Unid. Não Disp",
" "))))))))))))))))</f>
        <v xml:space="preserve"> </v>
      </c>
      <c r="AD132">
        <f ca="1">IF(C132&lt;=CRONO.NivelExibicao,MAX($AD$15:OFFSET(AD132,-1,0))+IF($C132&lt;&gt;1,1,MAX(1,COUNTIF(QCI!$A$13:$A$24,OFFSET($E132,-1,0)))),"")</f>
        <v>31</v>
      </c>
      <c r="AE132" s="7" t="b" cm="1">
        <f t="array" aca="1" ref="AE132" ca="1">IF(AND($C132="S",ORÇAMENTO.CodBarra&lt;&gt;""),IF(ORÇAMENTO.Fonte="",ORÇAMENTO.CodBarra,CONCATENATE(ORÇAMENTO.Fonte," ",ORÇAMENTO.CodBarra)))</f>
        <v>0</v>
      </c>
      <c r="AF132" s="12" t="str" cm="1">
        <f t="array" aca="1" ref="AF132" ca="1">IF(ISERROR(ORÇAMENTO.BancoRef),"(abra o arquivo 'Referência "&amp;Excel_BuiltIn_Database&amp;".xlsm)",IF(OR($C132&lt;&gt;"S",ORÇAMENTO.CodBarra=""),"(Sem Código)",IF(ISERROR(MATCH($AE132,INDIRECT(ORÇAMENTO.BancoRef),0)),"(Código não identificado nas referências)",MATCH($AE132,INDIRECT(ORÇAMENTO.BancoRef),0))))</f>
        <v>(Sem Código)</v>
      </c>
      <c r="AG132" s="428" cm="1">
        <f t="array" aca="1" ref="AG132" ca="1">ROUND(IF(DESONERACAO="sim",REFERENCIA.Desonerado,REFERENCIA.NaoDesonerado),2)</f>
        <v>0</v>
      </c>
      <c r="AH132" s="429">
        <f t="shared" ca="1" si="33"/>
        <v>0.2223</v>
      </c>
      <c r="AJ132" s="431"/>
      <c r="AL132" s="439"/>
      <c r="AM132" s="336">
        <f t="shared" ca="1" si="0"/>
        <v>0</v>
      </c>
      <c r="AN132" s="470" cm="1">
        <f t="array" aca="1" ref="AN132" ca="1">ROUND(ORÇAMENTO.CustoUnitario*(1+$AH132),2)</f>
        <v>0</v>
      </c>
    </row>
    <row r="133" spans="1:40" x14ac:dyDescent="0.2">
      <c r="A133">
        <f t="shared" si="32"/>
        <v>2</v>
      </c>
      <c r="B133">
        <f t="shared" ca="1" si="19"/>
        <v>2</v>
      </c>
      <c r="C133">
        <f t="shared" ca="1" si="20"/>
        <v>2</v>
      </c>
      <c r="D133">
        <f t="shared" ca="1" si="21"/>
        <v>33</v>
      </c>
      <c r="E133">
        <f ca="1">IF($C133=1,OFFSET(E133,-1,0)+MAX(1,COUNTIF(QCI!$A$13:$A$24,OFFSET(ORÇAMENTO!E133,-1,0))),OFFSET(E133,-1,0))</f>
        <v>9</v>
      </c>
      <c r="F133">
        <f t="shared" ca="1" si="22"/>
        <v>1</v>
      </c>
      <c r="G133">
        <f t="shared" ca="1" si="23"/>
        <v>0</v>
      </c>
      <c r="H133">
        <f t="shared" ca="1" si="24"/>
        <v>0</v>
      </c>
      <c r="I133">
        <f t="shared" ca="1" si="25"/>
        <v>0</v>
      </c>
      <c r="J133">
        <f t="shared" ca="1" si="17"/>
        <v>100</v>
      </c>
      <c r="K133">
        <f ca="1">IF(OR($C133="S",$C133=0),0,MATCH(OFFSET($D133,0,$C133)+IF($C133&lt;&gt;1,1,COUNTIF(QCI!$A$13:$A$24,ORÇAMENTO!E133)),OFFSET($D133,1,$C133,ROW($C$244)-ROW($C133)),0))</f>
        <v>33</v>
      </c>
      <c r="L133" s="114" t="str">
        <f t="shared" ca="1" si="26"/>
        <v>F</v>
      </c>
      <c r="M133" s="115" t="s">
        <v>702</v>
      </c>
      <c r="N133" s="116" t="str">
        <f t="shared" ca="1" si="27"/>
        <v>Nível 2</v>
      </c>
      <c r="O133" s="117" t="str">
        <f t="shared" ca="1" si="28"/>
        <v>9.1.</v>
      </c>
      <c r="P133" s="118" t="s">
        <v>250</v>
      </c>
      <c r="Q133" s="119" t="s">
        <v>250</v>
      </c>
      <c r="R133" s="120" t="s">
        <v>1200</v>
      </c>
      <c r="S133" s="121"/>
      <c r="T133" s="122">
        <f ca="1">OFFSET(CÁLCULO!H$15,ROW($T133)-ROW(T$15),0)</f>
        <v>0</v>
      </c>
      <c r="U133" s="123">
        <f t="shared" ca="1" si="29"/>
        <v>0</v>
      </c>
      <c r="V133" s="124" t="s">
        <v>663</v>
      </c>
      <c r="W133" s="122" cm="1">
        <f t="array" aca="1" ref="W133" ca="1">IF($C133="S",ROUND(IF(TIPOORCAMENTO="Proposto",ORÇAMENTO.CustoUnitario*(1+$AH133),ORÇAMENTO.PrecoUnitarioLicitado),15-13*$AF$10),0)</f>
        <v>0</v>
      </c>
      <c r="X133" s="125" cm="1">
        <f t="array" aca="1" ref="X133" ca="1">IF($C133="S",IF(OR(Import.TipoArredondamento&lt;&gt;"TransfereGOV",ACOMPANHAMENTO="BM"),VTOTAL1,SUM(OFFSET(CÁLCULO!$AQ$15,ROW($X133)-ROW($X$15),1):OFFSET(CÁLCULO!$BR$15,ROW($X133)-ROW($X$15),-1))),IF($C133=0,0,ROUND(SomaAgrup,15-13*$AF$11)))</f>
        <v>0</v>
      </c>
      <c r="Y133" s="126" t="s">
        <v>751</v>
      </c>
      <c r="Z133" t="str">
        <f t="shared" ca="1" si="30"/>
        <v/>
      </c>
      <c r="AA133" s="127" cm="1">
        <f t="array" aca="1" ref="AA133" ca="1">IF($C133="S",IF($Z133="CP",$X133,IF($Z133="RA",(($X133)*QCI!$AA$3),0)),SomaAgrup)</f>
        <v>0</v>
      </c>
      <c r="AB133" s="128" cm="1">
        <f t="array" aca="1" ref="AB133" ca="1">IF($C133="S",IF($Z133="OU",ROUND($X133,2),0),SomaAgrup)</f>
        <v>0</v>
      </c>
      <c r="AC133" s="565" t="str" cm="1">
        <f t="array" aca="1" ref="AC133" ca="1">IF($N133=""," ",
IF(AND($C133&lt;&gt;"S",OR($R133="",$R133="(digite a descrição aqui)")),"DESCRIÇÃO",
IF(AND($C133="S",OR($Q133&lt;&gt;"",$T133&gt;0,$U133&gt;0),$P133=""),"FONTE",
IF(AND($C133="S",$P133&lt;&gt;"",OR($T133&gt;0,$U133&gt;0),$Q133=""),"CÓDIGO",
IF(AND($C133="S",$P133&lt;&gt;"",$Q133&lt;&gt;"",$R133="(Código não identificado nas referências)"),"CÓDIGO N/ID",
IF(AND($C133="S",OR($R133="",$R133="(digite a descrição aqui)"),OR($Q133&lt;&gt;"",$T133&gt;0,$U133&gt;0)),"DESCRIÇÃO",
IF(AND($C133="S",$P133&lt;&gt;"",$Q133&lt;&gt;"",$S133=""),"UNIDADE",
IF(AND($C133="S",$P133&lt;&gt;"",$Q133&lt;&gt;"",$U133=0),"SEM CUSTO",
IF(AND(TIPOORCAMENTO="Licitado",$AL133=0,$AN133&gt;0),"SEM PREÇO",
IF(AND($C133="S",$P133&lt;&gt;"",$Q133&lt;&gt;"",$U133&gt;0,AND($V133&lt;&gt;"BDI 1",$V133&lt;&gt;"BDI 2",$V133&lt;&gt;"BDI 3")),IF(ISNUMBER($V133),"JUSTIFICAR BDI","BDI"),
IF(OR(AND(import.recurso="OGU",TIPOORCAMENTO="Proposto",LEFT($O$8,5)&lt;&gt;"(N/D:",$AG133&lt;&gt;"",ORÇAMENTO.CustoUnitario&gt;$AG133),AND(TIPOORCAMENTO="LICITADO",ORÇAMENTO.PrecoUnitarioLicitado&gt;$AN133)),"ACIMA REF.",
IF(AND($C133="S",$P133&lt;&gt;"",$Q133&lt;&gt;"",$T133=0,$U133&gt;0),"QUANT.",
IF(AND(Import.TipoArredondamento="TransfereGOV",$L133="F",$C133="S",LEN($Q133)&gt;13),"Código &gt;13",
IF(AND(Import.TipoArredondamento="TransfereGOV",$L133="F",$C133&lt;&gt;"S",LEN($R133)&gt;100),"Descrição &gt;100",
IF(AND(Import.TipoArredondamento="TransfereGOV",$L133="F",$C133="S",LEN($R133)&gt;500),"Descrição &gt;500",
IF(AND(Import.TipoArredondamento="TransfereGOV",$L133="F",$C133="S",LEFT(TRIM(UPPER($P133)),6)&lt;&gt;"SINAPI",ISNA(VLOOKUP(TRIM(UPPER($S133)),ListaTgov.Unidades,1,FALSE))),"Unid. Não Disp",
" "))))))))))))))))</f>
        <v xml:space="preserve"> </v>
      </c>
      <c r="AD133">
        <f ca="1">IF(C133&lt;=CRONO.NivelExibicao,MAX($AD$15:OFFSET(AD133,-1,0))+IF($C133&lt;&gt;1,1,MAX(1,COUNTIF(QCI!$A$13:$A$24,OFFSET($E133,-1,0)))),"")</f>
        <v>32</v>
      </c>
      <c r="AE133" s="7" t="b" cm="1">
        <f t="array" aca="1" ref="AE133" ca="1">IF(AND($C133="S",ORÇAMENTO.CodBarra&lt;&gt;""),IF(ORÇAMENTO.Fonte="",ORÇAMENTO.CodBarra,CONCATENATE(ORÇAMENTO.Fonte," ",ORÇAMENTO.CodBarra)))</f>
        <v>0</v>
      </c>
      <c r="AF133" s="12" t="str" cm="1">
        <f t="array" aca="1" ref="AF133" ca="1">IF(ISERROR(ORÇAMENTO.BancoRef),"(abra o arquivo 'Referência "&amp;Excel_BuiltIn_Database&amp;".xlsm)",IF(OR($C133&lt;&gt;"S",ORÇAMENTO.CodBarra=""),"(Sem Código)",IF(ISERROR(MATCH($AE133,INDIRECT(ORÇAMENTO.BancoRef),0)),"(Código não identificado nas referências)",MATCH($AE133,INDIRECT(ORÇAMENTO.BancoRef),0))))</f>
        <v>(Sem Código)</v>
      </c>
      <c r="AG133" s="428" cm="1">
        <f t="array" aca="1" ref="AG133" ca="1">ROUND(IF(DESONERACAO="sim",REFERENCIA.Desonerado,REFERENCIA.NaoDesonerado),2)</f>
        <v>0</v>
      </c>
      <c r="AH133" s="429">
        <f t="shared" ca="1" si="33"/>
        <v>0.2223</v>
      </c>
      <c r="AJ133" s="431"/>
      <c r="AL133" s="439"/>
      <c r="AM133" s="336">
        <f t="shared" ca="1" si="0"/>
        <v>0</v>
      </c>
      <c r="AN133" s="470" cm="1">
        <f t="array" aca="1" ref="AN133" ca="1">ROUND(ORÇAMENTO.CustoUnitario*(1+$AH133),2)</f>
        <v>0</v>
      </c>
    </row>
    <row r="134" spans="1:40" x14ac:dyDescent="0.2">
      <c r="A134">
        <f t="shared" si="32"/>
        <v>3</v>
      </c>
      <c r="B134">
        <f t="shared" ca="1" si="19"/>
        <v>3</v>
      </c>
      <c r="C134">
        <f t="shared" ca="1" si="20"/>
        <v>3</v>
      </c>
      <c r="D134">
        <f t="shared" ca="1" si="21"/>
        <v>8</v>
      </c>
      <c r="E134">
        <f ca="1">IF($C134=1,OFFSET(E134,-1,0)+MAX(1,COUNTIF(QCI!$A$13:$A$24,OFFSET(ORÇAMENTO!E134,-1,0))),OFFSET(E134,-1,0))</f>
        <v>9</v>
      </c>
      <c r="F134">
        <f t="shared" ca="1" si="22"/>
        <v>1</v>
      </c>
      <c r="G134">
        <f t="shared" ca="1" si="23"/>
        <v>1</v>
      </c>
      <c r="H134">
        <f t="shared" ca="1" si="24"/>
        <v>0</v>
      </c>
      <c r="I134">
        <f t="shared" ca="1" si="25"/>
        <v>0</v>
      </c>
      <c r="J134">
        <f t="shared" ca="1" si="17"/>
        <v>32</v>
      </c>
      <c r="K134">
        <f ca="1">IF(OR($C134="S",$C134=0),0,MATCH(OFFSET($D134,0,$C134)+IF($C134&lt;&gt;1,1,COUNTIF(QCI!$A$13:$A$24,ORÇAMENTO!E134)),OFFSET($D134,1,$C134,ROW($C$244)-ROW($C134)),0))</f>
        <v>8</v>
      </c>
      <c r="L134" s="114" t="str">
        <f t="shared" ca="1" si="26"/>
        <v>F</v>
      </c>
      <c r="M134" s="115" t="s">
        <v>703</v>
      </c>
      <c r="N134" s="116" t="str">
        <f t="shared" ca="1" si="27"/>
        <v>Nível 3</v>
      </c>
      <c r="O134" s="117" t="str">
        <f t="shared" ca="1" si="28"/>
        <v>9.1.1.</v>
      </c>
      <c r="P134" s="118" t="s">
        <v>250</v>
      </c>
      <c r="Q134" s="119" t="s">
        <v>250</v>
      </c>
      <c r="R134" s="120" t="s">
        <v>1201</v>
      </c>
      <c r="S134" s="121"/>
      <c r="T134" s="122">
        <f ca="1">OFFSET(CÁLCULO!H$15,ROW($T134)-ROW(T$15),0)</f>
        <v>0</v>
      </c>
      <c r="U134" s="123">
        <f t="shared" ca="1" si="29"/>
        <v>0</v>
      </c>
      <c r="V134" s="124" t="s">
        <v>663</v>
      </c>
      <c r="W134" s="122" cm="1">
        <f t="array" aca="1" ref="W134" ca="1">IF($C134="S",ROUND(IF(TIPOORCAMENTO="Proposto",ORÇAMENTO.CustoUnitario*(1+$AH134),ORÇAMENTO.PrecoUnitarioLicitado),15-13*$AF$10),0)</f>
        <v>0</v>
      </c>
      <c r="X134" s="125" cm="1">
        <f t="array" aca="1" ref="X134" ca="1">IF($C134="S",IF(OR(Import.TipoArredondamento&lt;&gt;"TransfereGOV",ACOMPANHAMENTO="BM"),VTOTAL1,SUM(OFFSET(CÁLCULO!$AQ$15,ROW($X134)-ROW($X$15),1):OFFSET(CÁLCULO!$BR$15,ROW($X134)-ROW($X$15),-1))),IF($C134=0,0,ROUND(SomaAgrup,15-13*$AF$11)))</f>
        <v>0</v>
      </c>
      <c r="Y134" s="126" t="s">
        <v>751</v>
      </c>
      <c r="Z134" t="str">
        <f t="shared" ca="1" si="30"/>
        <v/>
      </c>
      <c r="AA134" s="127" cm="1">
        <f t="array" aca="1" ref="AA134" ca="1">IF($C134="S",IF($Z134="CP",$X134,IF($Z134="RA",(($X134)*QCI!$AA$3),0)),SomaAgrup)</f>
        <v>0</v>
      </c>
      <c r="AB134" s="128" cm="1">
        <f t="array" aca="1" ref="AB134" ca="1">IF($C134="S",IF($Z134="OU",ROUND($X134,2),0),SomaAgrup)</f>
        <v>0</v>
      </c>
      <c r="AC134" s="565" t="str" cm="1">
        <f t="array" aca="1" ref="AC134" ca="1">IF($N134=""," ",
IF(AND($C134&lt;&gt;"S",OR($R134="",$R134="(digite a descrição aqui)")),"DESCRIÇÃO",
IF(AND($C134="S",OR($Q134&lt;&gt;"",$T134&gt;0,$U134&gt;0),$P134=""),"FONTE",
IF(AND($C134="S",$P134&lt;&gt;"",OR($T134&gt;0,$U134&gt;0),$Q134=""),"CÓDIGO",
IF(AND($C134="S",$P134&lt;&gt;"",$Q134&lt;&gt;"",$R134="(Código não identificado nas referências)"),"CÓDIGO N/ID",
IF(AND($C134="S",OR($R134="",$R134="(digite a descrição aqui)"),OR($Q134&lt;&gt;"",$T134&gt;0,$U134&gt;0)),"DESCRIÇÃO",
IF(AND($C134="S",$P134&lt;&gt;"",$Q134&lt;&gt;"",$S134=""),"UNIDADE",
IF(AND($C134="S",$P134&lt;&gt;"",$Q134&lt;&gt;"",$U134=0),"SEM CUSTO",
IF(AND(TIPOORCAMENTO="Licitado",$AL134=0,$AN134&gt;0),"SEM PREÇO",
IF(AND($C134="S",$P134&lt;&gt;"",$Q134&lt;&gt;"",$U134&gt;0,AND($V134&lt;&gt;"BDI 1",$V134&lt;&gt;"BDI 2",$V134&lt;&gt;"BDI 3")),IF(ISNUMBER($V134),"JUSTIFICAR BDI","BDI"),
IF(OR(AND(import.recurso="OGU",TIPOORCAMENTO="Proposto",LEFT($O$8,5)&lt;&gt;"(N/D:",$AG134&lt;&gt;"",ORÇAMENTO.CustoUnitario&gt;$AG134),AND(TIPOORCAMENTO="LICITADO",ORÇAMENTO.PrecoUnitarioLicitado&gt;$AN134)),"ACIMA REF.",
IF(AND($C134="S",$P134&lt;&gt;"",$Q134&lt;&gt;"",$T134=0,$U134&gt;0),"QUANT.",
IF(AND(Import.TipoArredondamento="TransfereGOV",$L134="F",$C134="S",LEN($Q134)&gt;13),"Código &gt;13",
IF(AND(Import.TipoArredondamento="TransfereGOV",$L134="F",$C134&lt;&gt;"S",LEN($R134)&gt;100),"Descrição &gt;100",
IF(AND(Import.TipoArredondamento="TransfereGOV",$L134="F",$C134="S",LEN($R134)&gt;500),"Descrição &gt;500",
IF(AND(Import.TipoArredondamento="TransfereGOV",$L134="F",$C134="S",LEFT(TRIM(UPPER($P134)),6)&lt;&gt;"SINAPI",ISNA(VLOOKUP(TRIM(UPPER($S134)),ListaTgov.Unidades,1,FALSE))),"Unid. Não Disp",
" "))))))))))))))))</f>
        <v xml:space="preserve"> </v>
      </c>
      <c r="AD134">
        <f ca="1">IF(C134&lt;=CRONO.NivelExibicao,MAX($AD$15:OFFSET(AD134,-1,0))+IF($C134&lt;&gt;1,1,MAX(1,COUNTIF(QCI!$A$13:$A$24,OFFSET($E134,-1,0)))),"")</f>
        <v>33</v>
      </c>
      <c r="AE134" s="7" t="b" cm="1">
        <f t="array" aca="1" ref="AE134" ca="1">IF(AND($C134="S",ORÇAMENTO.CodBarra&lt;&gt;""),IF(ORÇAMENTO.Fonte="",ORÇAMENTO.CodBarra,CONCATENATE(ORÇAMENTO.Fonte," ",ORÇAMENTO.CodBarra)))</f>
        <v>0</v>
      </c>
      <c r="AF134" s="12" t="str" cm="1">
        <f t="array" aca="1" ref="AF134" ca="1">IF(ISERROR(ORÇAMENTO.BancoRef),"(abra o arquivo 'Referência "&amp;Excel_BuiltIn_Database&amp;".xlsm)",IF(OR($C134&lt;&gt;"S",ORÇAMENTO.CodBarra=""),"(Sem Código)",IF(ISERROR(MATCH($AE134,INDIRECT(ORÇAMENTO.BancoRef),0)),"(Código não identificado nas referências)",MATCH($AE134,INDIRECT(ORÇAMENTO.BancoRef),0))))</f>
        <v>(Sem Código)</v>
      </c>
      <c r="AG134" s="428" cm="1">
        <f t="array" aca="1" ref="AG134" ca="1">ROUND(IF(DESONERACAO="sim",REFERENCIA.Desonerado,REFERENCIA.NaoDesonerado),2)</f>
        <v>0</v>
      </c>
      <c r="AH134" s="429">
        <f t="shared" ca="1" si="33"/>
        <v>0.2223</v>
      </c>
      <c r="AJ134" s="431"/>
      <c r="AL134" s="439"/>
      <c r="AM134" s="336">
        <f t="shared" ca="1" si="0"/>
        <v>0</v>
      </c>
      <c r="AN134" s="470" cm="1">
        <f t="array" aca="1" ref="AN134" ca="1">ROUND(ORÇAMENTO.CustoUnitario*(1+$AH134),2)</f>
        <v>0</v>
      </c>
    </row>
    <row r="135" spans="1:40" ht="25.5" x14ac:dyDescent="0.2">
      <c r="A135" t="str">
        <f t="shared" si="32"/>
        <v>S</v>
      </c>
      <c r="B135">
        <f t="shared" ca="1" si="19"/>
        <v>3</v>
      </c>
      <c r="C135" t="str">
        <f t="shared" ca="1" si="20"/>
        <v>S</v>
      </c>
      <c r="D135">
        <f t="shared" ca="1" si="21"/>
        <v>0</v>
      </c>
      <c r="E135">
        <f ca="1">IF($C135=1,OFFSET(E135,-1,0)+MAX(1,COUNTIF(QCI!$A$13:$A$24,OFFSET(ORÇAMENTO!E135,-1,0))),OFFSET(E135,-1,0))</f>
        <v>9</v>
      </c>
      <c r="F135">
        <f t="shared" ca="1" si="22"/>
        <v>1</v>
      </c>
      <c r="G135">
        <f t="shared" ca="1" si="23"/>
        <v>1</v>
      </c>
      <c r="H135">
        <f t="shared" ca="1" si="24"/>
        <v>0</v>
      </c>
      <c r="I135">
        <f t="shared" ca="1" si="25"/>
        <v>0</v>
      </c>
      <c r="J135">
        <f t="shared" ca="1" si="17"/>
        <v>0</v>
      </c>
      <c r="K135">
        <f ca="1">IF(OR($C135="S",$C135=0),0,MATCH(OFFSET($D135,0,$C135)+IF($C135&lt;&gt;1,1,COUNTIF(QCI!$A$13:$A$24,ORÇAMENTO!E135)),OFFSET($D135,1,$C135,ROW($C$244)-ROW($C135)),0))</f>
        <v>0</v>
      </c>
      <c r="L135" s="114" t="str">
        <f t="shared" ca="1" si="26"/>
        <v/>
      </c>
      <c r="M135" s="115" t="s">
        <v>705</v>
      </c>
      <c r="N135" s="116" t="str">
        <f t="shared" ca="1" si="27"/>
        <v>Serviço</v>
      </c>
      <c r="O135" s="117" t="str">
        <f t="shared" ca="1" si="28"/>
        <v>-</v>
      </c>
      <c r="P135" s="118" t="s">
        <v>750</v>
      </c>
      <c r="Q135" s="119" t="s">
        <v>1084</v>
      </c>
      <c r="R135" s="120" t="str" cm="1">
        <f t="array" aca="1" ref="R135" ca="1">IF($C135="S",REFERENCIA.Descricao,"(digite a descrição aqui)")</f>
        <v>(Código não identificado nas referências)</v>
      </c>
      <c r="S135" s="121" t="str" cm="1">
        <f t="array" aca="1" ref="S135" ca="1">REFERENCIA.Unidade</f>
        <v>-</v>
      </c>
      <c r="T135" s="122">
        <f ca="1">OFFSET(CÁLCULO!H$15,ROW($T135)-ROW(T$15),0)</f>
        <v>40</v>
      </c>
      <c r="U135" s="123">
        <f t="shared" ca="1" si="29"/>
        <v>0</v>
      </c>
      <c r="V135" s="124" t="s">
        <v>663</v>
      </c>
      <c r="W135" s="122" cm="1">
        <f t="array" aca="1" ref="W135" ca="1">IF($C135="S",ROUND(IF(TIPOORCAMENTO="Proposto",ORÇAMENTO.CustoUnitario*(1+$AH135),ORÇAMENTO.PrecoUnitarioLicitado),15-13*$AF$10),0)</f>
        <v>0</v>
      </c>
      <c r="X135" s="125" cm="1">
        <f t="array" aca="1" ref="X135" ca="1">IF($C135="S",IF(OR(Import.TipoArredondamento&lt;&gt;"TransfereGOV",ACOMPANHAMENTO="BM"),VTOTAL1,SUM(OFFSET(CÁLCULO!$AQ$15,ROW($X135)-ROW($X$15),1):OFFSET(CÁLCULO!$BR$15,ROW($X135)-ROW($X$15),-1))),IF($C135=0,0,ROUND(SomaAgrup,15-13*$AF$11)))</f>
        <v>0</v>
      </c>
      <c r="Y135" s="126" t="s">
        <v>751</v>
      </c>
      <c r="Z135" t="str">
        <f t="shared" ca="1" si="30"/>
        <v/>
      </c>
      <c r="AA135" s="127" cm="1">
        <f t="array" aca="1" ref="AA135" ca="1">IF($C135="S",IF($Z135="CP",$X135,IF($Z135="RA",(($X135)*QCI!$AA$3),0)),SomaAgrup)</f>
        <v>0</v>
      </c>
      <c r="AB135" s="128" cm="1">
        <f t="array" aca="1" ref="AB135" ca="1">IF($C135="S",IF($Z135="OU",ROUND($X135,2),0),SomaAgrup)</f>
        <v>0</v>
      </c>
      <c r="AC135" s="565" t="str" cm="1">
        <f t="array" aca="1" ref="AC135" ca="1">IF($N135=""," ",
IF(AND($C135&lt;&gt;"S",OR($R135="",$R135="(digite a descrição aqui)")),"DESCRIÇÃO",
IF(AND($C135="S",OR($Q135&lt;&gt;"",$T135&gt;0,$U135&gt;0),$P135=""),"FONTE",
IF(AND($C135="S",$P135&lt;&gt;"",OR($T135&gt;0,$U135&gt;0),$Q135=""),"CÓDIGO",
IF(AND($C135="S",$P135&lt;&gt;"",$Q135&lt;&gt;"",$R135="(Código não identificado nas referências)"),"CÓDIGO N/ID",
IF(AND($C135="S",OR($R135="",$R135="(digite a descrição aqui)"),OR($Q135&lt;&gt;"",$T135&gt;0,$U135&gt;0)),"DESCRIÇÃO",
IF(AND($C135="S",$P135&lt;&gt;"",$Q135&lt;&gt;"",$S135=""),"UNIDADE",
IF(AND($C135="S",$P135&lt;&gt;"",$Q135&lt;&gt;"",$U135=0),"SEM CUSTO",
IF(AND(TIPOORCAMENTO="Licitado",$AL135=0,$AN135&gt;0),"SEM PREÇO",
IF(AND($C135="S",$P135&lt;&gt;"",$Q135&lt;&gt;"",$U135&gt;0,AND($V135&lt;&gt;"BDI 1",$V135&lt;&gt;"BDI 2",$V135&lt;&gt;"BDI 3")),IF(ISNUMBER($V135),"JUSTIFICAR BDI","BDI"),
IF(OR(AND(import.recurso="OGU",TIPOORCAMENTO="Proposto",LEFT($O$8,5)&lt;&gt;"(N/D:",$AG135&lt;&gt;"",ORÇAMENTO.CustoUnitario&gt;$AG135),AND(TIPOORCAMENTO="LICITADO",ORÇAMENTO.PrecoUnitarioLicitado&gt;$AN135)),"ACIMA REF.",
IF(AND($C135="S",$P135&lt;&gt;"",$Q135&lt;&gt;"",$T135=0,$U135&gt;0),"QUANT.",
IF(AND(Import.TipoArredondamento="TransfereGOV",$L135="F",$C135="S",LEN($Q135)&gt;13),"Código &gt;13",
IF(AND(Import.TipoArredondamento="TransfereGOV",$L135="F",$C135&lt;&gt;"S",LEN($R135)&gt;100),"Descrição &gt;100",
IF(AND(Import.TipoArredondamento="TransfereGOV",$L135="F",$C135="S",LEN($R135)&gt;500),"Descrição &gt;500",
IF(AND(Import.TipoArredondamento="TransfereGOV",$L135="F",$C135="S",LEFT(TRIM(UPPER($P135)),6)&lt;&gt;"SINAPI",ISNA(VLOOKUP(TRIM(UPPER($S135)),ListaTgov.Unidades,1,FALSE))),"Unid. Não Disp",
" "))))))))))))))))</f>
        <v>CÓDIGO N/ID</v>
      </c>
      <c r="AD135" t="str">
        <f ca="1">IF(C135&lt;=CRONO.NivelExibicao,MAX($AD$15:OFFSET(AD135,-1,0))+IF($C135&lt;&gt;1,1,MAX(1,COUNTIF(QCI!$A$13:$A$24,OFFSET($E135,-1,0)))),"")</f>
        <v/>
      </c>
      <c r="AE135" s="7" t="str" cm="1">
        <f t="array" aca="1" ref="AE135" ca="1">IF(AND($C135="S",ORÇAMENTO.CodBarra&lt;&gt;""),IF(ORÇAMENTO.Fonte="",ORÇAMENTO.CodBarra,CONCATENATE(ORÇAMENTO.Fonte," ",ORÇAMENTO.CodBarra)))</f>
        <v>SINAPI 93653</v>
      </c>
      <c r="AF135" s="12" t="str" cm="1">
        <f t="array" aca="1" ref="AF135" ca="1">IF(ISERROR(ORÇAMENTO.BancoRef),"(abra o arquivo 'Referência "&amp;Excel_BuiltIn_Database&amp;".xlsm)",IF(OR($C135&lt;&gt;"S",ORÇAMENTO.CodBarra=""),"(Sem Código)",IF(ISERROR(MATCH($AE135,INDIRECT(ORÇAMENTO.BancoRef),0)),"(Código não identificado nas referências)",MATCH($AE135,INDIRECT(ORÇAMENTO.BancoRef),0))))</f>
        <v>(Código não identificado nas referências)</v>
      </c>
      <c r="AG135" s="428" cm="1">
        <f t="array" aca="1" ref="AG135" ca="1">ROUND(IF(DESONERACAO="sim",REFERENCIA.Desonerado,REFERENCIA.NaoDesonerado),2)</f>
        <v>0</v>
      </c>
      <c r="AH135" s="429">
        <f t="shared" ca="1" si="33"/>
        <v>0.2223</v>
      </c>
      <c r="AJ135" s="431"/>
      <c r="AL135" s="439"/>
      <c r="AM135" s="336">
        <f t="shared" ca="1" si="0"/>
        <v>0</v>
      </c>
      <c r="AN135" s="470" cm="1">
        <f t="array" aca="1" ref="AN135" ca="1">ROUND(ORÇAMENTO.CustoUnitario*(1+$AH135),2)</f>
        <v>0</v>
      </c>
    </row>
    <row r="136" spans="1:40" ht="25.5" x14ac:dyDescent="0.2">
      <c r="A136" t="str">
        <f t="shared" si="32"/>
        <v>S</v>
      </c>
      <c r="B136">
        <f t="shared" ca="1" si="19"/>
        <v>3</v>
      </c>
      <c r="C136" t="str">
        <f t="shared" ca="1" si="20"/>
        <v>S</v>
      </c>
      <c r="D136">
        <f t="shared" ca="1" si="21"/>
        <v>0</v>
      </c>
      <c r="E136">
        <f ca="1">IF($C136=1,OFFSET(E136,-1,0)+MAX(1,COUNTIF(QCI!$A$13:$A$24,OFFSET(ORÇAMENTO!E136,-1,0))),OFFSET(E136,-1,0))</f>
        <v>9</v>
      </c>
      <c r="F136">
        <f t="shared" ca="1" si="22"/>
        <v>1</v>
      </c>
      <c r="G136">
        <f t="shared" ca="1" si="23"/>
        <v>1</v>
      </c>
      <c r="H136">
        <f t="shared" ca="1" si="24"/>
        <v>0</v>
      </c>
      <c r="I136">
        <f t="shared" ca="1" si="25"/>
        <v>0</v>
      </c>
      <c r="J136">
        <f t="shared" ca="1" si="17"/>
        <v>0</v>
      </c>
      <c r="K136">
        <f ca="1">IF(OR($C136="S",$C136=0),0,MATCH(OFFSET($D136,0,$C136)+IF($C136&lt;&gt;1,1,COUNTIF(QCI!$A$13:$A$24,ORÇAMENTO!E136)),OFFSET($D136,1,$C136,ROW($C$244)-ROW($C136)),0))</f>
        <v>0</v>
      </c>
      <c r="L136" s="114" t="str">
        <f t="shared" ca="1" si="26"/>
        <v/>
      </c>
      <c r="M136" s="115" t="s">
        <v>705</v>
      </c>
      <c r="N136" s="116" t="str">
        <f t="shared" ca="1" si="27"/>
        <v>Serviço</v>
      </c>
      <c r="O136" s="117" t="str">
        <f t="shared" ca="1" si="28"/>
        <v>-</v>
      </c>
      <c r="P136" s="118" t="s">
        <v>750</v>
      </c>
      <c r="Q136" s="119" t="s">
        <v>1085</v>
      </c>
      <c r="R136" s="120" t="str" cm="1">
        <f t="array" aca="1" ref="R136" ca="1">IF($C136="S",REFERENCIA.Descricao,"(digite a descrição aqui)")</f>
        <v>(Código não identificado nas referências)</v>
      </c>
      <c r="S136" s="121" t="str" cm="1">
        <f t="array" aca="1" ref="S136" ca="1">REFERENCIA.Unidade</f>
        <v>-</v>
      </c>
      <c r="T136" s="122">
        <f ca="1">OFFSET(CÁLCULO!H$15,ROW($T136)-ROW(T$15),0)</f>
        <v>20</v>
      </c>
      <c r="U136" s="123">
        <f t="shared" ca="1" si="29"/>
        <v>0</v>
      </c>
      <c r="V136" s="124" t="s">
        <v>663</v>
      </c>
      <c r="W136" s="122" cm="1">
        <f t="array" aca="1" ref="W136" ca="1">IF($C136="S",ROUND(IF(TIPOORCAMENTO="Proposto",ORÇAMENTO.CustoUnitario*(1+$AH136),ORÇAMENTO.PrecoUnitarioLicitado),15-13*$AF$10),0)</f>
        <v>0</v>
      </c>
      <c r="X136" s="125" cm="1">
        <f t="array" aca="1" ref="X136" ca="1">IF($C136="S",IF(OR(Import.TipoArredondamento&lt;&gt;"TransfereGOV",ACOMPANHAMENTO="BM"),VTOTAL1,SUM(OFFSET(CÁLCULO!$AQ$15,ROW($X136)-ROW($X$15),1):OFFSET(CÁLCULO!$BR$15,ROW($X136)-ROW($X$15),-1))),IF($C136=0,0,ROUND(SomaAgrup,15-13*$AF$11)))</f>
        <v>0</v>
      </c>
      <c r="Y136" s="126" t="s">
        <v>751</v>
      </c>
      <c r="Z136" t="str">
        <f t="shared" ca="1" si="30"/>
        <v/>
      </c>
      <c r="AA136" s="127" cm="1">
        <f t="array" aca="1" ref="AA136" ca="1">IF($C136="S",IF($Z136="CP",$X136,IF($Z136="RA",(($X136)*QCI!$AA$3),0)),SomaAgrup)</f>
        <v>0</v>
      </c>
      <c r="AB136" s="128" cm="1">
        <f t="array" aca="1" ref="AB136" ca="1">IF($C136="S",IF($Z136="OU",ROUND($X136,2),0),SomaAgrup)</f>
        <v>0</v>
      </c>
      <c r="AC136" s="565" t="str" cm="1">
        <f t="array" aca="1" ref="AC136" ca="1">IF($N136=""," ",
IF(AND($C136&lt;&gt;"S",OR($R136="",$R136="(digite a descrição aqui)")),"DESCRIÇÃO",
IF(AND($C136="S",OR($Q136&lt;&gt;"",$T136&gt;0,$U136&gt;0),$P136=""),"FONTE",
IF(AND($C136="S",$P136&lt;&gt;"",OR($T136&gt;0,$U136&gt;0),$Q136=""),"CÓDIGO",
IF(AND($C136="S",$P136&lt;&gt;"",$Q136&lt;&gt;"",$R136="(Código não identificado nas referências)"),"CÓDIGO N/ID",
IF(AND($C136="S",OR($R136="",$R136="(digite a descrição aqui)"),OR($Q136&lt;&gt;"",$T136&gt;0,$U136&gt;0)),"DESCRIÇÃO",
IF(AND($C136="S",$P136&lt;&gt;"",$Q136&lt;&gt;"",$S136=""),"UNIDADE",
IF(AND($C136="S",$P136&lt;&gt;"",$Q136&lt;&gt;"",$U136=0),"SEM CUSTO",
IF(AND(TIPOORCAMENTO="Licitado",$AL136=0,$AN136&gt;0),"SEM PREÇO",
IF(AND($C136="S",$P136&lt;&gt;"",$Q136&lt;&gt;"",$U136&gt;0,AND($V136&lt;&gt;"BDI 1",$V136&lt;&gt;"BDI 2",$V136&lt;&gt;"BDI 3")),IF(ISNUMBER($V136),"JUSTIFICAR BDI","BDI"),
IF(OR(AND(import.recurso="OGU",TIPOORCAMENTO="Proposto",LEFT($O$8,5)&lt;&gt;"(N/D:",$AG136&lt;&gt;"",ORÇAMENTO.CustoUnitario&gt;$AG136),AND(TIPOORCAMENTO="LICITADO",ORÇAMENTO.PrecoUnitarioLicitado&gt;$AN136)),"ACIMA REF.",
IF(AND($C136="S",$P136&lt;&gt;"",$Q136&lt;&gt;"",$T136=0,$U136&gt;0),"QUANT.",
IF(AND(Import.TipoArredondamento="TransfereGOV",$L136="F",$C136="S",LEN($Q136)&gt;13),"Código &gt;13",
IF(AND(Import.TipoArredondamento="TransfereGOV",$L136="F",$C136&lt;&gt;"S",LEN($R136)&gt;100),"Descrição &gt;100",
IF(AND(Import.TipoArredondamento="TransfereGOV",$L136="F",$C136="S",LEN($R136)&gt;500),"Descrição &gt;500",
IF(AND(Import.TipoArredondamento="TransfereGOV",$L136="F",$C136="S",LEFT(TRIM(UPPER($P136)),6)&lt;&gt;"SINAPI",ISNA(VLOOKUP(TRIM(UPPER($S136)),ListaTgov.Unidades,1,FALSE))),"Unid. Não Disp",
" "))))))))))))))))</f>
        <v>CÓDIGO N/ID</v>
      </c>
      <c r="AD136" t="str">
        <f ca="1">IF(C136&lt;=CRONO.NivelExibicao,MAX($AD$15:OFFSET(AD136,-1,0))+IF($C136&lt;&gt;1,1,MAX(1,COUNTIF(QCI!$A$13:$A$24,OFFSET($E136,-1,0)))),"")</f>
        <v/>
      </c>
      <c r="AE136" s="7" t="str" cm="1">
        <f t="array" aca="1" ref="AE136" ca="1">IF(AND($C136="S",ORÇAMENTO.CodBarra&lt;&gt;""),IF(ORÇAMENTO.Fonte="",ORÇAMENTO.CodBarra,CONCATENATE(ORÇAMENTO.Fonte," ",ORÇAMENTO.CodBarra)))</f>
        <v>SINAPI 93654</v>
      </c>
      <c r="AF136" s="12" t="str" cm="1">
        <f t="array" aca="1" ref="AF136" ca="1">IF(ISERROR(ORÇAMENTO.BancoRef),"(abra o arquivo 'Referência "&amp;Excel_BuiltIn_Database&amp;".xlsm)",IF(OR($C136&lt;&gt;"S",ORÇAMENTO.CodBarra=""),"(Sem Código)",IF(ISERROR(MATCH($AE136,INDIRECT(ORÇAMENTO.BancoRef),0)),"(Código não identificado nas referências)",MATCH($AE136,INDIRECT(ORÇAMENTO.BancoRef),0))))</f>
        <v>(Código não identificado nas referências)</v>
      </c>
      <c r="AG136" s="428" cm="1">
        <f t="array" aca="1" ref="AG136" ca="1">ROUND(IF(DESONERACAO="sim",REFERENCIA.Desonerado,REFERENCIA.NaoDesonerado),2)</f>
        <v>0</v>
      </c>
      <c r="AH136" s="429">
        <f t="shared" ca="1" si="33"/>
        <v>0.2223</v>
      </c>
      <c r="AJ136" s="431"/>
      <c r="AL136" s="439"/>
      <c r="AM136" s="336">
        <f t="shared" ca="1" si="0"/>
        <v>0</v>
      </c>
      <c r="AN136" s="470" cm="1">
        <f t="array" aca="1" ref="AN136" ca="1">ROUND(ORÇAMENTO.CustoUnitario*(1+$AH136),2)</f>
        <v>0</v>
      </c>
    </row>
    <row r="137" spans="1:40" ht="25.5" x14ac:dyDescent="0.2">
      <c r="A137" t="str">
        <f t="shared" si="32"/>
        <v>S</v>
      </c>
      <c r="B137">
        <f t="shared" ca="1" si="19"/>
        <v>3</v>
      </c>
      <c r="C137" t="str">
        <f t="shared" ca="1" si="20"/>
        <v>S</v>
      </c>
      <c r="D137">
        <f t="shared" ca="1" si="21"/>
        <v>0</v>
      </c>
      <c r="E137">
        <f ca="1">IF($C137=1,OFFSET(E137,-1,0)+MAX(1,COUNTIF(QCI!$A$13:$A$24,OFFSET(ORÇAMENTO!E137,-1,0))),OFFSET(E137,-1,0))</f>
        <v>9</v>
      </c>
      <c r="F137">
        <f t="shared" ca="1" si="22"/>
        <v>1</v>
      </c>
      <c r="G137">
        <f t="shared" ca="1" si="23"/>
        <v>1</v>
      </c>
      <c r="H137">
        <f t="shared" ca="1" si="24"/>
        <v>0</v>
      </c>
      <c r="I137">
        <f t="shared" ca="1" si="25"/>
        <v>0</v>
      </c>
      <c r="J137">
        <f t="shared" ca="1" si="17"/>
        <v>0</v>
      </c>
      <c r="K137">
        <f ca="1">IF(OR($C137="S",$C137=0),0,MATCH(OFFSET($D137,0,$C137)+IF($C137&lt;&gt;1,1,COUNTIF(QCI!$A$13:$A$24,ORÇAMENTO!E137)),OFFSET($D137,1,$C137,ROW($C$244)-ROW($C137)),0))</f>
        <v>0</v>
      </c>
      <c r="L137" s="114" t="str">
        <f t="shared" ca="1" si="26"/>
        <v/>
      </c>
      <c r="M137" s="115" t="s">
        <v>705</v>
      </c>
      <c r="N137" s="116" t="str">
        <f t="shared" ca="1" si="27"/>
        <v>Serviço</v>
      </c>
      <c r="O137" s="117" t="str">
        <f t="shared" ca="1" si="28"/>
        <v>-</v>
      </c>
      <c r="P137" s="118" t="s">
        <v>750</v>
      </c>
      <c r="Q137" s="119" t="s">
        <v>1086</v>
      </c>
      <c r="R137" s="120" t="str" cm="1">
        <f t="array" aca="1" ref="R137" ca="1">IF($C137="S",REFERENCIA.Descricao,"(digite a descrição aqui)")</f>
        <v>(Código não identificado nas referências)</v>
      </c>
      <c r="S137" s="121" t="str" cm="1">
        <f t="array" aca="1" ref="S137" ca="1">REFERENCIA.Unidade</f>
        <v>-</v>
      </c>
      <c r="T137" s="122">
        <f ca="1">OFFSET(CÁLCULO!H$15,ROW($T137)-ROW(T$15),0)</f>
        <v>20</v>
      </c>
      <c r="U137" s="123">
        <f t="shared" ca="1" si="29"/>
        <v>0</v>
      </c>
      <c r="V137" s="124" t="s">
        <v>663</v>
      </c>
      <c r="W137" s="122" cm="1">
        <f t="array" aca="1" ref="W137" ca="1">IF($C137="S",ROUND(IF(TIPOORCAMENTO="Proposto",ORÇAMENTO.CustoUnitario*(1+$AH137),ORÇAMENTO.PrecoUnitarioLicitado),15-13*$AF$10),0)</f>
        <v>0</v>
      </c>
      <c r="X137" s="125" cm="1">
        <f t="array" aca="1" ref="X137" ca="1">IF($C137="S",IF(OR(Import.TipoArredondamento&lt;&gt;"TransfereGOV",ACOMPANHAMENTO="BM"),VTOTAL1,SUM(OFFSET(CÁLCULO!$AQ$15,ROW($X137)-ROW($X$15),1):OFFSET(CÁLCULO!$BR$15,ROW($X137)-ROW($X$15),-1))),IF($C137=0,0,ROUND(SomaAgrup,15-13*$AF$11)))</f>
        <v>0</v>
      </c>
      <c r="Y137" s="126" t="s">
        <v>751</v>
      </c>
      <c r="Z137" t="str">
        <f t="shared" ca="1" si="30"/>
        <v/>
      </c>
      <c r="AA137" s="127" cm="1">
        <f t="array" aca="1" ref="AA137" ca="1">IF($C137="S",IF($Z137="CP",$X137,IF($Z137="RA",(($X137)*QCI!$AA$3),0)),SomaAgrup)</f>
        <v>0</v>
      </c>
      <c r="AB137" s="128" cm="1">
        <f t="array" aca="1" ref="AB137" ca="1">IF($C137="S",IF($Z137="OU",ROUND($X137,2),0),SomaAgrup)</f>
        <v>0</v>
      </c>
      <c r="AC137" s="565" t="str" cm="1">
        <f t="array" aca="1" ref="AC137" ca="1">IF($N137=""," ",
IF(AND($C137&lt;&gt;"S",OR($R137="",$R137="(digite a descrição aqui)")),"DESCRIÇÃO",
IF(AND($C137="S",OR($Q137&lt;&gt;"",$T137&gt;0,$U137&gt;0),$P137=""),"FONTE",
IF(AND($C137="S",$P137&lt;&gt;"",OR($T137&gt;0,$U137&gt;0),$Q137=""),"CÓDIGO",
IF(AND($C137="S",$P137&lt;&gt;"",$Q137&lt;&gt;"",$R137="(Código não identificado nas referências)"),"CÓDIGO N/ID",
IF(AND($C137="S",OR($R137="",$R137="(digite a descrição aqui)"),OR($Q137&lt;&gt;"",$T137&gt;0,$U137&gt;0)),"DESCRIÇÃO",
IF(AND($C137="S",$P137&lt;&gt;"",$Q137&lt;&gt;"",$S137=""),"UNIDADE",
IF(AND($C137="S",$P137&lt;&gt;"",$Q137&lt;&gt;"",$U137=0),"SEM CUSTO",
IF(AND(TIPOORCAMENTO="Licitado",$AL137=0,$AN137&gt;0),"SEM PREÇO",
IF(AND($C137="S",$P137&lt;&gt;"",$Q137&lt;&gt;"",$U137&gt;0,AND($V137&lt;&gt;"BDI 1",$V137&lt;&gt;"BDI 2",$V137&lt;&gt;"BDI 3")),IF(ISNUMBER($V137),"JUSTIFICAR BDI","BDI"),
IF(OR(AND(import.recurso="OGU",TIPOORCAMENTO="Proposto",LEFT($O$8,5)&lt;&gt;"(N/D:",$AG137&lt;&gt;"",ORÇAMENTO.CustoUnitario&gt;$AG137),AND(TIPOORCAMENTO="LICITADO",ORÇAMENTO.PrecoUnitarioLicitado&gt;$AN137)),"ACIMA REF.",
IF(AND($C137="S",$P137&lt;&gt;"",$Q137&lt;&gt;"",$T137=0,$U137&gt;0),"QUANT.",
IF(AND(Import.TipoArredondamento="TransfereGOV",$L137="F",$C137="S",LEN($Q137)&gt;13),"Código &gt;13",
IF(AND(Import.TipoArredondamento="TransfereGOV",$L137="F",$C137&lt;&gt;"S",LEN($R137)&gt;100),"Descrição &gt;100",
IF(AND(Import.TipoArredondamento="TransfereGOV",$L137="F",$C137="S",LEN($R137)&gt;500),"Descrição &gt;500",
IF(AND(Import.TipoArredondamento="TransfereGOV",$L137="F",$C137="S",LEFT(TRIM(UPPER($P137)),6)&lt;&gt;"SINAPI",ISNA(VLOOKUP(TRIM(UPPER($S137)),ListaTgov.Unidades,1,FALSE))),"Unid. Não Disp",
" "))))))))))))))))</f>
        <v>CÓDIGO N/ID</v>
      </c>
      <c r="AD137" t="str">
        <f ca="1">IF(C137&lt;=CRONO.NivelExibicao,MAX($AD$15:OFFSET(AD137,-1,0))+IF($C137&lt;&gt;1,1,MAX(1,COUNTIF(QCI!$A$13:$A$24,OFFSET($E137,-1,0)))),"")</f>
        <v/>
      </c>
      <c r="AE137" s="7" t="str" cm="1">
        <f t="array" aca="1" ref="AE137" ca="1">IF(AND($C137="S",ORÇAMENTO.CodBarra&lt;&gt;""),IF(ORÇAMENTO.Fonte="",ORÇAMENTO.CodBarra,CONCATENATE(ORÇAMENTO.Fonte," ",ORÇAMENTO.CodBarra)))</f>
        <v>SINAPI 93656</v>
      </c>
      <c r="AF137" s="12" t="str" cm="1">
        <f t="array" aca="1" ref="AF137" ca="1">IF(ISERROR(ORÇAMENTO.BancoRef),"(abra o arquivo 'Referência "&amp;Excel_BuiltIn_Database&amp;".xlsm)",IF(OR($C137&lt;&gt;"S",ORÇAMENTO.CodBarra=""),"(Sem Código)",IF(ISERROR(MATCH($AE137,INDIRECT(ORÇAMENTO.BancoRef),0)),"(Código não identificado nas referências)",MATCH($AE137,INDIRECT(ORÇAMENTO.BancoRef),0))))</f>
        <v>(Código não identificado nas referências)</v>
      </c>
      <c r="AG137" s="428" cm="1">
        <f t="array" aca="1" ref="AG137" ca="1">ROUND(IF(DESONERACAO="sim",REFERENCIA.Desonerado,REFERENCIA.NaoDesonerado),2)</f>
        <v>0</v>
      </c>
      <c r="AH137" s="429">
        <f t="shared" ca="1" si="33"/>
        <v>0.2223</v>
      </c>
      <c r="AJ137" s="431"/>
      <c r="AL137" s="439"/>
      <c r="AM137" s="336">
        <f t="shared" ca="1" si="0"/>
        <v>0</v>
      </c>
      <c r="AN137" s="470" cm="1">
        <f t="array" aca="1" ref="AN137" ca="1">ROUND(ORÇAMENTO.CustoUnitario*(1+$AH137),2)</f>
        <v>0</v>
      </c>
    </row>
    <row r="138" spans="1:40" ht="25.5" x14ac:dyDescent="0.2">
      <c r="A138" t="str">
        <f t="shared" si="32"/>
        <v>S</v>
      </c>
      <c r="B138">
        <f t="shared" ca="1" si="19"/>
        <v>3</v>
      </c>
      <c r="C138" t="str">
        <f t="shared" ca="1" si="20"/>
        <v>S</v>
      </c>
      <c r="D138">
        <f t="shared" ca="1" si="21"/>
        <v>0</v>
      </c>
      <c r="E138">
        <f ca="1">IF($C138=1,OFFSET(E138,-1,0)+MAX(1,COUNTIF(QCI!$A$13:$A$24,OFFSET(ORÇAMENTO!E138,-1,0))),OFFSET(E138,-1,0))</f>
        <v>9</v>
      </c>
      <c r="F138">
        <f t="shared" ca="1" si="22"/>
        <v>1</v>
      </c>
      <c r="G138">
        <f t="shared" ca="1" si="23"/>
        <v>1</v>
      </c>
      <c r="H138">
        <f t="shared" ca="1" si="24"/>
        <v>0</v>
      </c>
      <c r="I138">
        <f t="shared" ca="1" si="25"/>
        <v>0</v>
      </c>
      <c r="J138">
        <f t="shared" ca="1" si="17"/>
        <v>0</v>
      </c>
      <c r="K138">
        <f ca="1">IF(OR($C138="S",$C138=0),0,MATCH(OFFSET($D138,0,$C138)+IF($C138&lt;&gt;1,1,COUNTIF(QCI!$A$13:$A$24,ORÇAMENTO!E138)),OFFSET($D138,1,$C138,ROW($C$244)-ROW($C138)),0))</f>
        <v>0</v>
      </c>
      <c r="L138" s="114" t="str">
        <f t="shared" ca="1" si="26"/>
        <v/>
      </c>
      <c r="M138" s="115" t="s">
        <v>705</v>
      </c>
      <c r="N138" s="116" t="str">
        <f t="shared" ca="1" si="27"/>
        <v>Serviço</v>
      </c>
      <c r="O138" s="117" t="str">
        <f t="shared" ca="1" si="28"/>
        <v>-</v>
      </c>
      <c r="P138" s="118" t="s">
        <v>750</v>
      </c>
      <c r="Q138" s="119" t="s">
        <v>1087</v>
      </c>
      <c r="R138" s="120" t="str" cm="1">
        <f t="array" aca="1" ref="R138" ca="1">IF($C138="S",REFERENCIA.Descricao,"(digite a descrição aqui)")</f>
        <v>(Código não identificado nas referências)</v>
      </c>
      <c r="S138" s="121" t="str" cm="1">
        <f t="array" aca="1" ref="S138" ca="1">REFERENCIA.Unidade</f>
        <v>-</v>
      </c>
      <c r="T138" s="122">
        <f ca="1">OFFSET(CÁLCULO!H$15,ROW($T138)-ROW(T$15),0)</f>
        <v>20</v>
      </c>
      <c r="U138" s="123">
        <f t="shared" ca="1" si="29"/>
        <v>0</v>
      </c>
      <c r="V138" s="124" t="s">
        <v>663</v>
      </c>
      <c r="W138" s="122" cm="1">
        <f t="array" aca="1" ref="W138" ca="1">IF($C138="S",ROUND(IF(TIPOORCAMENTO="Proposto",ORÇAMENTO.CustoUnitario*(1+$AH138),ORÇAMENTO.PrecoUnitarioLicitado),15-13*$AF$10),0)</f>
        <v>0</v>
      </c>
      <c r="X138" s="125" cm="1">
        <f t="array" aca="1" ref="X138" ca="1">IF($C138="S",IF(OR(Import.TipoArredondamento&lt;&gt;"TransfereGOV",ACOMPANHAMENTO="BM"),VTOTAL1,SUM(OFFSET(CÁLCULO!$AQ$15,ROW($X138)-ROW($X$15),1):OFFSET(CÁLCULO!$BR$15,ROW($X138)-ROW($X$15),-1))),IF($C138=0,0,ROUND(SomaAgrup,15-13*$AF$11)))</f>
        <v>0</v>
      </c>
      <c r="Y138" s="126" t="s">
        <v>751</v>
      </c>
      <c r="Z138" t="str">
        <f t="shared" ca="1" si="30"/>
        <v/>
      </c>
      <c r="AA138" s="127" cm="1">
        <f t="array" aca="1" ref="AA138" ca="1">IF($C138="S",IF($Z138="CP",$X138,IF($Z138="RA",(($X138)*QCI!$AA$3),0)),SomaAgrup)</f>
        <v>0</v>
      </c>
      <c r="AB138" s="128" cm="1">
        <f t="array" aca="1" ref="AB138" ca="1">IF($C138="S",IF($Z138="OU",ROUND($X138,2),0),SomaAgrup)</f>
        <v>0</v>
      </c>
      <c r="AC138" s="565" t="str" cm="1">
        <f t="array" aca="1" ref="AC138" ca="1">IF($N138=""," ",
IF(AND($C138&lt;&gt;"S",OR($R138="",$R138="(digite a descrição aqui)")),"DESCRIÇÃO",
IF(AND($C138="S",OR($Q138&lt;&gt;"",$T138&gt;0,$U138&gt;0),$P138=""),"FONTE",
IF(AND($C138="S",$P138&lt;&gt;"",OR($T138&gt;0,$U138&gt;0),$Q138=""),"CÓDIGO",
IF(AND($C138="S",$P138&lt;&gt;"",$Q138&lt;&gt;"",$R138="(Código não identificado nas referências)"),"CÓDIGO N/ID",
IF(AND($C138="S",OR($R138="",$R138="(digite a descrição aqui)"),OR($Q138&lt;&gt;"",$T138&gt;0,$U138&gt;0)),"DESCRIÇÃO",
IF(AND($C138="S",$P138&lt;&gt;"",$Q138&lt;&gt;"",$S138=""),"UNIDADE",
IF(AND($C138="S",$P138&lt;&gt;"",$Q138&lt;&gt;"",$U138=0),"SEM CUSTO",
IF(AND(TIPOORCAMENTO="Licitado",$AL138=0,$AN138&gt;0),"SEM PREÇO",
IF(AND($C138="S",$P138&lt;&gt;"",$Q138&lt;&gt;"",$U138&gt;0,AND($V138&lt;&gt;"BDI 1",$V138&lt;&gt;"BDI 2",$V138&lt;&gt;"BDI 3")),IF(ISNUMBER($V138),"JUSTIFICAR BDI","BDI"),
IF(OR(AND(import.recurso="OGU",TIPOORCAMENTO="Proposto",LEFT($O$8,5)&lt;&gt;"(N/D:",$AG138&lt;&gt;"",ORÇAMENTO.CustoUnitario&gt;$AG138),AND(TIPOORCAMENTO="LICITADO",ORÇAMENTO.PrecoUnitarioLicitado&gt;$AN138)),"ACIMA REF.",
IF(AND($C138="S",$P138&lt;&gt;"",$Q138&lt;&gt;"",$T138=0,$U138&gt;0),"QUANT.",
IF(AND(Import.TipoArredondamento="TransfereGOV",$L138="F",$C138="S",LEN($Q138)&gt;13),"Código &gt;13",
IF(AND(Import.TipoArredondamento="TransfereGOV",$L138="F",$C138&lt;&gt;"S",LEN($R138)&gt;100),"Descrição &gt;100",
IF(AND(Import.TipoArredondamento="TransfereGOV",$L138="F",$C138="S",LEN($R138)&gt;500),"Descrição &gt;500",
IF(AND(Import.TipoArredondamento="TransfereGOV",$L138="F",$C138="S",LEFT(TRIM(UPPER($P138)),6)&lt;&gt;"SINAPI",ISNA(VLOOKUP(TRIM(UPPER($S138)),ListaTgov.Unidades,1,FALSE))),"Unid. Não Disp",
" "))))))))))))))))</f>
        <v>CÓDIGO N/ID</v>
      </c>
      <c r="AD138" t="str">
        <f ca="1">IF(C138&lt;=CRONO.NivelExibicao,MAX($AD$15:OFFSET(AD138,-1,0))+IF($C138&lt;&gt;1,1,MAX(1,COUNTIF(QCI!$A$13:$A$24,OFFSET($E138,-1,0)))),"")</f>
        <v/>
      </c>
      <c r="AE138" s="7" t="str" cm="1">
        <f t="array" aca="1" ref="AE138" ca="1">IF(AND($C138="S",ORÇAMENTO.CodBarra&lt;&gt;""),IF(ORÇAMENTO.Fonte="",ORÇAMENTO.CodBarra,CONCATENATE(ORÇAMENTO.Fonte," ",ORÇAMENTO.CodBarra)))</f>
        <v>SINAPI 93659</v>
      </c>
      <c r="AF138" s="12" t="str" cm="1">
        <f t="array" aca="1" ref="AF138" ca="1">IF(ISERROR(ORÇAMENTO.BancoRef),"(abra o arquivo 'Referência "&amp;Excel_BuiltIn_Database&amp;".xlsm)",IF(OR($C138&lt;&gt;"S",ORÇAMENTO.CodBarra=""),"(Sem Código)",IF(ISERROR(MATCH($AE138,INDIRECT(ORÇAMENTO.BancoRef),0)),"(Código não identificado nas referências)",MATCH($AE138,INDIRECT(ORÇAMENTO.BancoRef),0))))</f>
        <v>(Código não identificado nas referências)</v>
      </c>
      <c r="AG138" s="428" cm="1">
        <f t="array" aca="1" ref="AG138" ca="1">ROUND(IF(DESONERACAO="sim",REFERENCIA.Desonerado,REFERENCIA.NaoDesonerado),2)</f>
        <v>0</v>
      </c>
      <c r="AH138" s="429">
        <f t="shared" ca="1" si="33"/>
        <v>0.2223</v>
      </c>
      <c r="AJ138" s="431"/>
      <c r="AL138" s="439"/>
      <c r="AM138" s="336">
        <f t="shared" ca="1" si="0"/>
        <v>0</v>
      </c>
      <c r="AN138" s="470" cm="1">
        <f t="array" aca="1" ref="AN138" ca="1">ROUND(ORÇAMENTO.CustoUnitario*(1+$AH138),2)</f>
        <v>0</v>
      </c>
    </row>
    <row r="139" spans="1:40" ht="25.5" x14ac:dyDescent="0.2">
      <c r="A139" t="str">
        <f t="shared" si="32"/>
        <v>S</v>
      </c>
      <c r="B139">
        <f t="shared" ca="1" si="19"/>
        <v>3</v>
      </c>
      <c r="C139" t="str">
        <f t="shared" ca="1" si="20"/>
        <v>S</v>
      </c>
      <c r="D139">
        <f t="shared" ca="1" si="21"/>
        <v>0</v>
      </c>
      <c r="E139">
        <f ca="1">IF($C139=1,OFFSET(E139,-1,0)+MAX(1,COUNTIF(QCI!$A$13:$A$24,OFFSET(ORÇAMENTO!E139,-1,0))),OFFSET(E139,-1,0))</f>
        <v>9</v>
      </c>
      <c r="F139">
        <f t="shared" ca="1" si="22"/>
        <v>1</v>
      </c>
      <c r="G139">
        <f t="shared" ca="1" si="23"/>
        <v>1</v>
      </c>
      <c r="H139">
        <f t="shared" ca="1" si="24"/>
        <v>0</v>
      </c>
      <c r="I139">
        <f t="shared" ca="1" si="25"/>
        <v>0</v>
      </c>
      <c r="J139">
        <f t="shared" ca="1" si="17"/>
        <v>0</v>
      </c>
      <c r="K139">
        <f ca="1">IF(OR($C139="S",$C139=0),0,MATCH(OFFSET($D139,0,$C139)+IF($C139&lt;&gt;1,1,COUNTIF(QCI!$A$13:$A$24,ORÇAMENTO!E139)),OFFSET($D139,1,$C139,ROW($C$244)-ROW($C139)),0))</f>
        <v>0</v>
      </c>
      <c r="L139" s="114" t="str">
        <f t="shared" ca="1" si="26"/>
        <v/>
      </c>
      <c r="M139" s="115" t="s">
        <v>705</v>
      </c>
      <c r="N139" s="116" t="str">
        <f t="shared" ca="1" si="27"/>
        <v>Serviço</v>
      </c>
      <c r="O139" s="117" t="str">
        <f t="shared" ca="1" si="28"/>
        <v>-</v>
      </c>
      <c r="P139" s="118" t="s">
        <v>956</v>
      </c>
      <c r="Q139" s="119" t="s">
        <v>1088</v>
      </c>
      <c r="R139" s="120" t="str" cm="1">
        <f t="array" aca="1" ref="R139" ca="1">IF($C139="S",REFERENCIA.Descricao,"(digite a descrição aqui)")</f>
        <v>(Código não identificado nas referências)</v>
      </c>
      <c r="S139" s="121" t="str" cm="1">
        <f t="array" aca="1" ref="S139" ca="1">REFERENCIA.Unidade</f>
        <v>-</v>
      </c>
      <c r="T139" s="122">
        <f ca="1">OFFSET(CÁLCULO!H$15,ROW($T139)-ROW(T$15),0)</f>
        <v>40</v>
      </c>
      <c r="U139" s="123">
        <f t="shared" ca="1" si="29"/>
        <v>0</v>
      </c>
      <c r="V139" s="124" t="s">
        <v>663</v>
      </c>
      <c r="W139" s="122" cm="1">
        <f t="array" aca="1" ref="W139" ca="1">IF($C139="S",ROUND(IF(TIPOORCAMENTO="Proposto",ORÇAMENTO.CustoUnitario*(1+$AH139),ORÇAMENTO.PrecoUnitarioLicitado),15-13*$AF$10),0)</f>
        <v>0</v>
      </c>
      <c r="X139" s="125" cm="1">
        <f t="array" aca="1" ref="X139" ca="1">IF($C139="S",IF(OR(Import.TipoArredondamento&lt;&gt;"TransfereGOV",ACOMPANHAMENTO="BM"),VTOTAL1,SUM(OFFSET(CÁLCULO!$AQ$15,ROW($X139)-ROW($X$15),1):OFFSET(CÁLCULO!$BR$15,ROW($X139)-ROW($X$15),-1))),IF($C139=0,0,ROUND(SomaAgrup,15-13*$AF$11)))</f>
        <v>0</v>
      </c>
      <c r="Y139" s="126" t="s">
        <v>751</v>
      </c>
      <c r="Z139" t="str">
        <f t="shared" ca="1" si="30"/>
        <v/>
      </c>
      <c r="AA139" s="127" cm="1">
        <f t="array" aca="1" ref="AA139" ca="1">IF($C139="S",IF($Z139="CP",$X139,IF($Z139="RA",(($X139)*QCI!$AA$3),0)),SomaAgrup)</f>
        <v>0</v>
      </c>
      <c r="AB139" s="128" cm="1">
        <f t="array" aca="1" ref="AB139" ca="1">IF($C139="S",IF($Z139="OU",ROUND($X139,2),0),SomaAgrup)</f>
        <v>0</v>
      </c>
      <c r="AC139" s="565" t="str" cm="1">
        <f t="array" aca="1" ref="AC139" ca="1">IF($N139=""," ",
IF(AND($C139&lt;&gt;"S",OR($R139="",$R139="(digite a descrição aqui)")),"DESCRIÇÃO",
IF(AND($C139="S",OR($Q139&lt;&gt;"",$T139&gt;0,$U139&gt;0),$P139=""),"FONTE",
IF(AND($C139="S",$P139&lt;&gt;"",OR($T139&gt;0,$U139&gt;0),$Q139=""),"CÓDIGO",
IF(AND($C139="S",$P139&lt;&gt;"",$Q139&lt;&gt;"",$R139="(Código não identificado nas referências)"),"CÓDIGO N/ID",
IF(AND($C139="S",OR($R139="",$R139="(digite a descrição aqui)"),OR($Q139&lt;&gt;"",$T139&gt;0,$U139&gt;0)),"DESCRIÇÃO",
IF(AND($C139="S",$P139&lt;&gt;"",$Q139&lt;&gt;"",$S139=""),"UNIDADE",
IF(AND($C139="S",$P139&lt;&gt;"",$Q139&lt;&gt;"",$U139=0),"SEM CUSTO",
IF(AND(TIPOORCAMENTO="Licitado",$AL139=0,$AN139&gt;0),"SEM PREÇO",
IF(AND($C139="S",$P139&lt;&gt;"",$Q139&lt;&gt;"",$U139&gt;0,AND($V139&lt;&gt;"BDI 1",$V139&lt;&gt;"BDI 2",$V139&lt;&gt;"BDI 3")),IF(ISNUMBER($V139),"JUSTIFICAR BDI","BDI"),
IF(OR(AND(import.recurso="OGU",TIPOORCAMENTO="Proposto",LEFT($O$8,5)&lt;&gt;"(N/D:",$AG139&lt;&gt;"",ORÇAMENTO.CustoUnitario&gt;$AG139),AND(TIPOORCAMENTO="LICITADO",ORÇAMENTO.PrecoUnitarioLicitado&gt;$AN139)),"ACIMA REF.",
IF(AND($C139="S",$P139&lt;&gt;"",$Q139&lt;&gt;"",$T139=0,$U139&gt;0),"QUANT.",
IF(AND(Import.TipoArredondamento="TransfereGOV",$L139="F",$C139="S",LEN($Q139)&gt;13),"Código &gt;13",
IF(AND(Import.TipoArredondamento="TransfereGOV",$L139="F",$C139&lt;&gt;"S",LEN($R139)&gt;100),"Descrição &gt;100",
IF(AND(Import.TipoArredondamento="TransfereGOV",$L139="F",$C139="S",LEN($R139)&gt;500),"Descrição &gt;500",
IF(AND(Import.TipoArredondamento="TransfereGOV",$L139="F",$C139="S",LEFT(TRIM(UPPER($P139)),6)&lt;&gt;"SINAPI",ISNA(VLOOKUP(TRIM(UPPER($S139)),ListaTgov.Unidades,1,FALSE))),"Unid. Não Disp",
" "))))))))))))))))</f>
        <v>CÓDIGO N/ID</v>
      </c>
      <c r="AD139" t="str">
        <f ca="1">IF(C139&lt;=CRONO.NivelExibicao,MAX($AD$15:OFFSET(AD139,-1,0))+IF($C139&lt;&gt;1,1,MAX(1,COUNTIF(QCI!$A$13:$A$24,OFFSET($E139,-1,0)))),"")</f>
        <v/>
      </c>
      <c r="AE139" s="7" t="str" cm="1">
        <f t="array" aca="1" ref="AE139" ca="1">IF(AND($C139="S",ORÇAMENTO.CodBarra&lt;&gt;""),IF(ORÇAMENTO.Fonte="",ORÇAMENTO.CodBarra,CONCATENATE(ORÇAMENTO.Fonte," ",ORÇAMENTO.CodBarra)))</f>
        <v>Composição 93674_ADP-01</v>
      </c>
      <c r="AF139" s="12" t="str" cm="1">
        <f t="array" aca="1" ref="AF139" ca="1">IF(ISERROR(ORÇAMENTO.BancoRef),"(abra o arquivo 'Referência "&amp;Excel_BuiltIn_Database&amp;".xlsm)",IF(OR($C139&lt;&gt;"S",ORÇAMENTO.CodBarra=""),"(Sem Código)",IF(ISERROR(MATCH($AE139,INDIRECT(ORÇAMENTO.BancoRef),0)),"(Código não identificado nas referências)",MATCH($AE139,INDIRECT(ORÇAMENTO.BancoRef),0))))</f>
        <v>(Código não identificado nas referências)</v>
      </c>
      <c r="AG139" s="428" cm="1">
        <f t="array" aca="1" ref="AG139" ca="1">ROUND(IF(DESONERACAO="sim",REFERENCIA.Desonerado,REFERENCIA.NaoDesonerado),2)</f>
        <v>0</v>
      </c>
      <c r="AH139" s="429">
        <f t="shared" ca="1" si="33"/>
        <v>0.2223</v>
      </c>
      <c r="AJ139" s="431"/>
      <c r="AL139" s="439"/>
      <c r="AM139" s="336">
        <f t="shared" ca="1" si="0"/>
        <v>0</v>
      </c>
      <c r="AN139" s="470" cm="1">
        <f t="array" aca="1" ref="AN139" ca="1">ROUND(ORÇAMENTO.CustoUnitario*(1+$AH139),2)</f>
        <v>0</v>
      </c>
    </row>
    <row r="140" spans="1:40" ht="38.25" x14ac:dyDescent="0.2">
      <c r="A140" t="str">
        <f t="shared" si="32"/>
        <v>S</v>
      </c>
      <c r="B140">
        <f t="shared" ca="1" si="19"/>
        <v>3</v>
      </c>
      <c r="C140" t="str">
        <f t="shared" ca="1" si="20"/>
        <v>S</v>
      </c>
      <c r="D140">
        <f t="shared" ca="1" si="21"/>
        <v>0</v>
      </c>
      <c r="E140">
        <f ca="1">IF($C140=1,OFFSET(E140,-1,0)+MAX(1,COUNTIF(QCI!$A$13:$A$24,OFFSET(ORÇAMENTO!E140,-1,0))),OFFSET(E140,-1,0))</f>
        <v>9</v>
      </c>
      <c r="F140">
        <f t="shared" ca="1" si="22"/>
        <v>1</v>
      </c>
      <c r="G140">
        <f t="shared" ca="1" si="23"/>
        <v>1</v>
      </c>
      <c r="H140">
        <f t="shared" ca="1" si="24"/>
        <v>0</v>
      </c>
      <c r="I140">
        <f t="shared" ca="1" si="25"/>
        <v>0</v>
      </c>
      <c r="J140">
        <f t="shared" ca="1" si="17"/>
        <v>0</v>
      </c>
      <c r="K140">
        <f ca="1">IF(OR($C140="S",$C140=0),0,MATCH(OFFSET($D140,0,$C140)+IF($C140&lt;&gt;1,1,COUNTIF(QCI!$A$13:$A$24,ORÇAMENTO!E140)),OFFSET($D140,1,$C140,ROW($C$244)-ROW($C140)),0))</f>
        <v>0</v>
      </c>
      <c r="L140" s="114" t="str">
        <f t="shared" ca="1" si="26"/>
        <v/>
      </c>
      <c r="M140" s="115" t="s">
        <v>705</v>
      </c>
      <c r="N140" s="116" t="str">
        <f t="shared" ca="1" si="27"/>
        <v>Serviço</v>
      </c>
      <c r="O140" s="117" t="str">
        <f t="shared" ca="1" si="28"/>
        <v>-</v>
      </c>
      <c r="P140" s="118" t="s">
        <v>750</v>
      </c>
      <c r="Q140" s="119" t="s">
        <v>1089</v>
      </c>
      <c r="R140" s="120" t="str" cm="1">
        <f t="array" aca="1" ref="R140" ca="1">IF($C140="S",REFERENCIA.Descricao,"(digite a descrição aqui)")</f>
        <v>(Código não identificado nas referências)</v>
      </c>
      <c r="S140" s="121" t="str" cm="1">
        <f t="array" aca="1" ref="S140" ca="1">REFERENCIA.Unidade</f>
        <v>-</v>
      </c>
      <c r="T140" s="122">
        <f ca="1">OFFSET(CÁLCULO!H$15,ROW($T140)-ROW(T$15),0)</f>
        <v>20</v>
      </c>
      <c r="U140" s="123">
        <f t="shared" ca="1" si="29"/>
        <v>0</v>
      </c>
      <c r="V140" s="124" t="s">
        <v>663</v>
      </c>
      <c r="W140" s="122" cm="1">
        <f t="array" aca="1" ref="W140" ca="1">IF($C140="S",ROUND(IF(TIPOORCAMENTO="Proposto",ORÇAMENTO.CustoUnitario*(1+$AH140),ORÇAMENTO.PrecoUnitarioLicitado),15-13*$AF$10),0)</f>
        <v>0</v>
      </c>
      <c r="X140" s="125" cm="1">
        <f t="array" aca="1" ref="X140" ca="1">IF($C140="S",IF(OR(Import.TipoArredondamento&lt;&gt;"TransfereGOV",ACOMPANHAMENTO="BM"),VTOTAL1,SUM(OFFSET(CÁLCULO!$AQ$15,ROW($X140)-ROW($X$15),1):OFFSET(CÁLCULO!$BR$15,ROW($X140)-ROW($X$15),-1))),IF($C140=0,0,ROUND(SomaAgrup,15-13*$AF$11)))</f>
        <v>0</v>
      </c>
      <c r="Y140" s="126" t="s">
        <v>751</v>
      </c>
      <c r="Z140" t="str">
        <f t="shared" ca="1" si="30"/>
        <v/>
      </c>
      <c r="AA140" s="127" cm="1">
        <f t="array" aca="1" ref="AA140" ca="1">IF($C140="S",IF($Z140="CP",$X140,IF($Z140="RA",(($X140)*QCI!$AA$3),0)),SomaAgrup)</f>
        <v>0</v>
      </c>
      <c r="AB140" s="128" cm="1">
        <f t="array" aca="1" ref="AB140" ca="1">IF($C140="S",IF($Z140="OU",ROUND($X140,2),0),SomaAgrup)</f>
        <v>0</v>
      </c>
      <c r="AC140" s="565" t="str" cm="1">
        <f t="array" aca="1" ref="AC140" ca="1">IF($N140=""," ",
IF(AND($C140&lt;&gt;"S",OR($R140="",$R140="(digite a descrição aqui)")),"DESCRIÇÃO",
IF(AND($C140="S",OR($Q140&lt;&gt;"",$T140&gt;0,$U140&gt;0),$P140=""),"FONTE",
IF(AND($C140="S",$P140&lt;&gt;"",OR($T140&gt;0,$U140&gt;0),$Q140=""),"CÓDIGO",
IF(AND($C140="S",$P140&lt;&gt;"",$Q140&lt;&gt;"",$R140="(Código não identificado nas referências)"),"CÓDIGO N/ID",
IF(AND($C140="S",OR($R140="",$R140="(digite a descrição aqui)"),OR($Q140&lt;&gt;"",$T140&gt;0,$U140&gt;0)),"DESCRIÇÃO",
IF(AND($C140="S",$P140&lt;&gt;"",$Q140&lt;&gt;"",$S140=""),"UNIDADE",
IF(AND($C140="S",$P140&lt;&gt;"",$Q140&lt;&gt;"",$U140=0),"SEM CUSTO",
IF(AND(TIPOORCAMENTO="Licitado",$AL140=0,$AN140&gt;0),"SEM PREÇO",
IF(AND($C140="S",$P140&lt;&gt;"",$Q140&lt;&gt;"",$U140&gt;0,AND($V140&lt;&gt;"BDI 1",$V140&lt;&gt;"BDI 2",$V140&lt;&gt;"BDI 3")),IF(ISNUMBER($V140),"JUSTIFICAR BDI","BDI"),
IF(OR(AND(import.recurso="OGU",TIPOORCAMENTO="Proposto",LEFT($O$8,5)&lt;&gt;"(N/D:",$AG140&lt;&gt;"",ORÇAMENTO.CustoUnitario&gt;$AG140),AND(TIPOORCAMENTO="LICITADO",ORÇAMENTO.PrecoUnitarioLicitado&gt;$AN140)),"ACIMA REF.",
IF(AND($C140="S",$P140&lt;&gt;"",$Q140&lt;&gt;"",$T140=0,$U140&gt;0),"QUANT.",
IF(AND(Import.TipoArredondamento="TransfereGOV",$L140="F",$C140="S",LEN($Q140)&gt;13),"Código &gt;13",
IF(AND(Import.TipoArredondamento="TransfereGOV",$L140="F",$C140&lt;&gt;"S",LEN($R140)&gt;100),"Descrição &gt;100",
IF(AND(Import.TipoArredondamento="TransfereGOV",$L140="F",$C140="S",LEN($R140)&gt;500),"Descrição &gt;500",
IF(AND(Import.TipoArredondamento="TransfereGOV",$L140="F",$C140="S",LEFT(TRIM(UPPER($P140)),6)&lt;&gt;"SINAPI",ISNA(VLOOKUP(TRIM(UPPER($S140)),ListaTgov.Unidades,1,FALSE))),"Unid. Não Disp",
" "))))))))))))))))</f>
        <v>CÓDIGO N/ID</v>
      </c>
      <c r="AD140" t="str">
        <f ca="1">IF(C140&lt;=CRONO.NivelExibicao,MAX($AD$15:OFFSET(AD140,-1,0))+IF($C140&lt;&gt;1,1,MAX(1,COUNTIF(QCI!$A$13:$A$24,OFFSET($E140,-1,0)))),"")</f>
        <v/>
      </c>
      <c r="AE140" s="7" t="str" cm="1">
        <f t="array" aca="1" ref="AE140" ca="1">IF(AND($C140="S",ORÇAMENTO.CodBarra&lt;&gt;""),IF(ORÇAMENTO.Fonte="",ORÇAMENTO.CodBarra,CONCATENATE(ORÇAMENTO.Fonte," ",ORÇAMENTO.CodBarra)))</f>
        <v>SINAPI 101493</v>
      </c>
      <c r="AF140" s="12" t="str" cm="1">
        <f t="array" aca="1" ref="AF140" ca="1">IF(ISERROR(ORÇAMENTO.BancoRef),"(abra o arquivo 'Referência "&amp;Excel_BuiltIn_Database&amp;".xlsm)",IF(OR($C140&lt;&gt;"S",ORÇAMENTO.CodBarra=""),"(Sem Código)",IF(ISERROR(MATCH($AE140,INDIRECT(ORÇAMENTO.BancoRef),0)),"(Código não identificado nas referências)",MATCH($AE140,INDIRECT(ORÇAMENTO.BancoRef),0))))</f>
        <v>(Código não identificado nas referências)</v>
      </c>
      <c r="AG140" s="428" cm="1">
        <f t="array" aca="1" ref="AG140" ca="1">ROUND(IF(DESONERACAO="sim",REFERENCIA.Desonerado,REFERENCIA.NaoDesonerado),2)</f>
        <v>0</v>
      </c>
      <c r="AH140" s="429">
        <f t="shared" ca="1" si="33"/>
        <v>0.2223</v>
      </c>
      <c r="AJ140" s="431"/>
      <c r="AL140" s="439"/>
      <c r="AM140" s="336">
        <f t="shared" ca="1" si="0"/>
        <v>0</v>
      </c>
      <c r="AN140" s="470" cm="1">
        <f t="array" aca="1" ref="AN140" ca="1">ROUND(ORÇAMENTO.CustoUnitario*(1+$AH140),2)</f>
        <v>0</v>
      </c>
    </row>
    <row r="141" spans="1:40" ht="25.5" x14ac:dyDescent="0.2">
      <c r="A141" t="str">
        <f t="shared" si="32"/>
        <v>S</v>
      </c>
      <c r="B141">
        <f t="shared" ca="1" si="19"/>
        <v>3</v>
      </c>
      <c r="C141" t="str">
        <f t="shared" ca="1" si="20"/>
        <v>S</v>
      </c>
      <c r="D141">
        <f t="shared" ca="1" si="21"/>
        <v>0</v>
      </c>
      <c r="E141">
        <f ca="1">IF($C141=1,OFFSET(E141,-1,0)+MAX(1,COUNTIF(QCI!$A$13:$A$24,OFFSET(ORÇAMENTO!E141,-1,0))),OFFSET(E141,-1,0))</f>
        <v>9</v>
      </c>
      <c r="F141">
        <f t="shared" ca="1" si="22"/>
        <v>1</v>
      </c>
      <c r="G141">
        <f t="shared" ca="1" si="23"/>
        <v>1</v>
      </c>
      <c r="H141">
        <f t="shared" ca="1" si="24"/>
        <v>0</v>
      </c>
      <c r="I141">
        <f t="shared" ca="1" si="25"/>
        <v>0</v>
      </c>
      <c r="J141">
        <f t="shared" ca="1" si="17"/>
        <v>0</v>
      </c>
      <c r="K141">
        <f ca="1">IF(OR($C141="S",$C141=0),0,MATCH(OFFSET($D141,0,$C141)+IF($C141&lt;&gt;1,1,COUNTIF(QCI!$A$13:$A$24,ORÇAMENTO!E141)),OFFSET($D141,1,$C141,ROW($C$244)-ROW($C141)),0))</f>
        <v>0</v>
      </c>
      <c r="L141" s="114" t="str">
        <f t="shared" ca="1" si="26"/>
        <v/>
      </c>
      <c r="M141" s="115" t="s">
        <v>705</v>
      </c>
      <c r="N141" s="116" t="str">
        <f t="shared" ca="1" si="27"/>
        <v>Serviço</v>
      </c>
      <c r="O141" s="117" t="str">
        <f t="shared" ca="1" si="28"/>
        <v>-</v>
      </c>
      <c r="P141" s="118" t="s">
        <v>956</v>
      </c>
      <c r="Q141" s="119" t="s">
        <v>1090</v>
      </c>
      <c r="R141" s="120" t="str" cm="1">
        <f t="array" aca="1" ref="R141" ca="1">IF($C141="S",REFERENCIA.Descricao,"(digite a descrição aqui)")</f>
        <v>(Código não identificado nas referências)</v>
      </c>
      <c r="S141" s="121" t="str" cm="1">
        <f t="array" aca="1" ref="S141" ca="1">REFERENCIA.Unidade</f>
        <v>-</v>
      </c>
      <c r="T141" s="122">
        <f ca="1">OFFSET(CÁLCULO!H$15,ROW($T141)-ROW(T$15),0)</f>
        <v>20</v>
      </c>
      <c r="U141" s="123">
        <f t="shared" ca="1" si="29"/>
        <v>0</v>
      </c>
      <c r="V141" s="124" t="s">
        <v>663</v>
      </c>
      <c r="W141" s="122" cm="1">
        <f t="array" aca="1" ref="W141" ca="1">IF($C141="S",ROUND(IF(TIPOORCAMENTO="Proposto",ORÇAMENTO.CustoUnitario*(1+$AH141),ORÇAMENTO.PrecoUnitarioLicitado),15-13*$AF$10),0)</f>
        <v>0</v>
      </c>
      <c r="X141" s="125" cm="1">
        <f t="array" aca="1" ref="X141" ca="1">IF($C141="S",IF(OR(Import.TipoArredondamento&lt;&gt;"TransfereGOV",ACOMPANHAMENTO="BM"),VTOTAL1,SUM(OFFSET(CÁLCULO!$AQ$15,ROW($X141)-ROW($X$15),1):OFFSET(CÁLCULO!$BR$15,ROW($X141)-ROW($X$15),-1))),IF($C141=0,0,ROUND(SomaAgrup,15-13*$AF$11)))</f>
        <v>0</v>
      </c>
      <c r="Y141" s="126" t="s">
        <v>751</v>
      </c>
      <c r="Z141" t="str">
        <f t="shared" ca="1" si="30"/>
        <v/>
      </c>
      <c r="AA141" s="127" cm="1">
        <f t="array" aca="1" ref="AA141" ca="1">IF($C141="S",IF($Z141="CP",$X141,IF($Z141="RA",(($X141)*QCI!$AA$3),0)),SomaAgrup)</f>
        <v>0</v>
      </c>
      <c r="AB141" s="128" cm="1">
        <f t="array" aca="1" ref="AB141" ca="1">IF($C141="S",IF($Z141="OU",ROUND($X141,2),0),SomaAgrup)</f>
        <v>0</v>
      </c>
      <c r="AC141" s="565" t="str" cm="1">
        <f t="array" aca="1" ref="AC141" ca="1">IF($N141=""," ",
IF(AND($C141&lt;&gt;"S",OR($R141="",$R141="(digite a descrição aqui)")),"DESCRIÇÃO",
IF(AND($C141="S",OR($Q141&lt;&gt;"",$T141&gt;0,$U141&gt;0),$P141=""),"FONTE",
IF(AND($C141="S",$P141&lt;&gt;"",OR($T141&gt;0,$U141&gt;0),$Q141=""),"CÓDIGO",
IF(AND($C141="S",$P141&lt;&gt;"",$Q141&lt;&gt;"",$R141="(Código não identificado nas referências)"),"CÓDIGO N/ID",
IF(AND($C141="S",OR($R141="",$R141="(digite a descrição aqui)"),OR($Q141&lt;&gt;"",$T141&gt;0,$U141&gt;0)),"DESCRIÇÃO",
IF(AND($C141="S",$P141&lt;&gt;"",$Q141&lt;&gt;"",$S141=""),"UNIDADE",
IF(AND($C141="S",$P141&lt;&gt;"",$Q141&lt;&gt;"",$U141=0),"SEM CUSTO",
IF(AND(TIPOORCAMENTO="Licitado",$AL141=0,$AN141&gt;0),"SEM PREÇO",
IF(AND($C141="S",$P141&lt;&gt;"",$Q141&lt;&gt;"",$U141&gt;0,AND($V141&lt;&gt;"BDI 1",$V141&lt;&gt;"BDI 2",$V141&lt;&gt;"BDI 3")),IF(ISNUMBER($V141),"JUSTIFICAR BDI","BDI"),
IF(OR(AND(import.recurso="OGU",TIPOORCAMENTO="Proposto",LEFT($O$8,5)&lt;&gt;"(N/D:",$AG141&lt;&gt;"",ORÇAMENTO.CustoUnitario&gt;$AG141),AND(TIPOORCAMENTO="LICITADO",ORÇAMENTO.PrecoUnitarioLicitado&gt;$AN141)),"ACIMA REF.",
IF(AND($C141="S",$P141&lt;&gt;"",$Q141&lt;&gt;"",$T141=0,$U141&gt;0),"QUANT.",
IF(AND(Import.TipoArredondamento="TransfereGOV",$L141="F",$C141="S",LEN($Q141)&gt;13),"Código &gt;13",
IF(AND(Import.TipoArredondamento="TransfereGOV",$L141="F",$C141&lt;&gt;"S",LEN($R141)&gt;100),"Descrição &gt;100",
IF(AND(Import.TipoArredondamento="TransfereGOV",$L141="F",$C141="S",LEN($R141)&gt;500),"Descrição &gt;500",
IF(AND(Import.TipoArredondamento="TransfereGOV",$L141="F",$C141="S",LEFT(TRIM(UPPER($P141)),6)&lt;&gt;"SINAPI",ISNA(VLOOKUP(TRIM(UPPER($S141)),ListaTgov.Unidades,1,FALSE))),"Unid. Não Disp",
" "))))))))))))))))</f>
        <v>CÓDIGO N/ID</v>
      </c>
      <c r="AD141" t="str">
        <f ca="1">IF(C141&lt;=CRONO.NivelExibicao,MAX($AD$15:OFFSET(AD141,-1,0))+IF($C141&lt;&gt;1,1,MAX(1,COUNTIF(QCI!$A$13:$A$24,OFFSET($E141,-1,0)))),"")</f>
        <v/>
      </c>
      <c r="AE141" s="7" t="str" cm="1">
        <f t="array" aca="1" ref="AE141" ca="1">IF(AND($C141="S",ORÇAMENTO.CodBarra&lt;&gt;""),IF(ORÇAMENTO.Fonte="",ORÇAMENTO.CodBarra,CONCATENATE(ORÇAMENTO.Fonte," ",ORÇAMENTO.CodBarra)))</f>
        <v>Composição 101873_ADP-01</v>
      </c>
      <c r="AF141" s="12" t="str" cm="1">
        <f t="array" aca="1" ref="AF141" ca="1">IF(ISERROR(ORÇAMENTO.BancoRef),"(abra o arquivo 'Referência "&amp;Excel_BuiltIn_Database&amp;".xlsm)",IF(OR($C141&lt;&gt;"S",ORÇAMENTO.CodBarra=""),"(Sem Código)",IF(ISERROR(MATCH($AE141,INDIRECT(ORÇAMENTO.BancoRef),0)),"(Código não identificado nas referências)",MATCH($AE141,INDIRECT(ORÇAMENTO.BancoRef),0))))</f>
        <v>(Código não identificado nas referências)</v>
      </c>
      <c r="AG141" s="428" cm="1">
        <f t="array" aca="1" ref="AG141" ca="1">ROUND(IF(DESONERACAO="sim",REFERENCIA.Desonerado,REFERENCIA.NaoDesonerado),2)</f>
        <v>0</v>
      </c>
      <c r="AH141" s="429">
        <f t="shared" ca="1" si="33"/>
        <v>0.2223</v>
      </c>
      <c r="AJ141" s="431"/>
      <c r="AL141" s="439"/>
      <c r="AM141" s="336">
        <f t="shared" ca="1" si="0"/>
        <v>0</v>
      </c>
      <c r="AN141" s="470" cm="1">
        <f t="array" aca="1" ref="AN141" ca="1">ROUND(ORÇAMENTO.CustoUnitario*(1+$AH141),2)</f>
        <v>0</v>
      </c>
    </row>
    <row r="142" spans="1:40" x14ac:dyDescent="0.2">
      <c r="A142">
        <f t="shared" si="32"/>
        <v>3</v>
      </c>
      <c r="B142">
        <f t="shared" ca="1" si="19"/>
        <v>3</v>
      </c>
      <c r="C142">
        <f t="shared" ca="1" si="20"/>
        <v>3</v>
      </c>
      <c r="D142">
        <f t="shared" ca="1" si="21"/>
        <v>14</v>
      </c>
      <c r="E142">
        <f ca="1">IF($C142=1,OFFSET(E142,-1,0)+MAX(1,COUNTIF(QCI!$A$13:$A$24,OFFSET(ORÇAMENTO!E142,-1,0))),OFFSET(E142,-1,0))</f>
        <v>9</v>
      </c>
      <c r="F142">
        <f t="shared" ca="1" si="22"/>
        <v>1</v>
      </c>
      <c r="G142">
        <f t="shared" ca="1" si="23"/>
        <v>2</v>
      </c>
      <c r="H142">
        <f t="shared" ca="1" si="24"/>
        <v>0</v>
      </c>
      <c r="I142">
        <f t="shared" ca="1" si="25"/>
        <v>0</v>
      </c>
      <c r="J142">
        <f t="shared" ref="J142:J205" ca="1" si="34">IF(OR($C142="S",$C142=0),0,MATCH(0,OFFSET($D142,1,$C142,ROW($C$244)-ROW($C142)),0))</f>
        <v>24</v>
      </c>
      <c r="K142">
        <f ca="1">IF(OR($C142="S",$C142=0),0,MATCH(OFFSET($D142,0,$C142)+IF($C142&lt;&gt;1,1,COUNTIF(QCI!$A$13:$A$24,ORÇAMENTO!E142)),OFFSET($D142,1,$C142,ROW($C$244)-ROW($C142)),0))</f>
        <v>14</v>
      </c>
      <c r="L142" s="114" t="str">
        <f t="shared" ca="1" si="26"/>
        <v>F</v>
      </c>
      <c r="M142" s="115" t="s">
        <v>703</v>
      </c>
      <c r="N142" s="116" t="str">
        <f t="shared" ca="1" si="27"/>
        <v>Nível 3</v>
      </c>
      <c r="O142" s="117" t="str">
        <f t="shared" ca="1" si="28"/>
        <v>9.1.2.</v>
      </c>
      <c r="P142" s="118" t="s">
        <v>250</v>
      </c>
      <c r="Q142" s="119" t="s">
        <v>250</v>
      </c>
      <c r="R142" s="120" t="s">
        <v>1202</v>
      </c>
      <c r="S142" s="121"/>
      <c r="T142" s="122">
        <f ca="1">OFFSET(CÁLCULO!H$15,ROW($T142)-ROW(T$15),0)</f>
        <v>0</v>
      </c>
      <c r="U142" s="123">
        <f t="shared" ca="1" si="29"/>
        <v>0</v>
      </c>
      <c r="V142" s="124" t="s">
        <v>663</v>
      </c>
      <c r="W142" s="122" cm="1">
        <f t="array" aca="1" ref="W142" ca="1">IF($C142="S",ROUND(IF(TIPOORCAMENTO="Proposto",ORÇAMENTO.CustoUnitario*(1+$AH142),ORÇAMENTO.PrecoUnitarioLicitado),15-13*$AF$10),0)</f>
        <v>0</v>
      </c>
      <c r="X142" s="125" cm="1">
        <f t="array" aca="1" ref="X142" ca="1">IF($C142="S",IF(OR(Import.TipoArredondamento&lt;&gt;"TransfereGOV",ACOMPANHAMENTO="BM"),VTOTAL1,SUM(OFFSET(CÁLCULO!$AQ$15,ROW($X142)-ROW($X$15),1):OFFSET(CÁLCULO!$BR$15,ROW($X142)-ROW($X$15),-1))),IF($C142=0,0,ROUND(SomaAgrup,15-13*$AF$11)))</f>
        <v>0</v>
      </c>
      <c r="Y142" s="126" t="s">
        <v>751</v>
      </c>
      <c r="Z142" t="str">
        <f t="shared" ca="1" si="30"/>
        <v/>
      </c>
      <c r="AA142" s="127" cm="1">
        <f t="array" aca="1" ref="AA142" ca="1">IF($C142="S",IF($Z142="CP",$X142,IF($Z142="RA",(($X142)*QCI!$AA$3),0)),SomaAgrup)</f>
        <v>0</v>
      </c>
      <c r="AB142" s="128" cm="1">
        <f t="array" aca="1" ref="AB142" ca="1">IF($C142="S",IF($Z142="OU",ROUND($X142,2),0),SomaAgrup)</f>
        <v>0</v>
      </c>
      <c r="AC142" s="565" t="str" cm="1">
        <f t="array" aca="1" ref="AC142" ca="1">IF($N142=""," ",
IF(AND($C142&lt;&gt;"S",OR($R142="",$R142="(digite a descrição aqui)")),"DESCRIÇÃO",
IF(AND($C142="S",OR($Q142&lt;&gt;"",$T142&gt;0,$U142&gt;0),$P142=""),"FONTE",
IF(AND($C142="S",$P142&lt;&gt;"",OR($T142&gt;0,$U142&gt;0),$Q142=""),"CÓDIGO",
IF(AND($C142="S",$P142&lt;&gt;"",$Q142&lt;&gt;"",$R142="(Código não identificado nas referências)"),"CÓDIGO N/ID",
IF(AND($C142="S",OR($R142="",$R142="(digite a descrição aqui)"),OR($Q142&lt;&gt;"",$T142&gt;0,$U142&gt;0)),"DESCRIÇÃO",
IF(AND($C142="S",$P142&lt;&gt;"",$Q142&lt;&gt;"",$S142=""),"UNIDADE",
IF(AND($C142="S",$P142&lt;&gt;"",$Q142&lt;&gt;"",$U142=0),"SEM CUSTO",
IF(AND(TIPOORCAMENTO="Licitado",$AL142=0,$AN142&gt;0),"SEM PREÇO",
IF(AND($C142="S",$P142&lt;&gt;"",$Q142&lt;&gt;"",$U142&gt;0,AND($V142&lt;&gt;"BDI 1",$V142&lt;&gt;"BDI 2",$V142&lt;&gt;"BDI 3")),IF(ISNUMBER($V142),"JUSTIFICAR BDI","BDI"),
IF(OR(AND(import.recurso="OGU",TIPOORCAMENTO="Proposto",LEFT($O$8,5)&lt;&gt;"(N/D:",$AG142&lt;&gt;"",ORÇAMENTO.CustoUnitario&gt;$AG142),AND(TIPOORCAMENTO="LICITADO",ORÇAMENTO.PrecoUnitarioLicitado&gt;$AN142)),"ACIMA REF.",
IF(AND($C142="S",$P142&lt;&gt;"",$Q142&lt;&gt;"",$T142=0,$U142&gt;0),"QUANT.",
IF(AND(Import.TipoArredondamento="TransfereGOV",$L142="F",$C142="S",LEN($Q142)&gt;13),"Código &gt;13",
IF(AND(Import.TipoArredondamento="TransfereGOV",$L142="F",$C142&lt;&gt;"S",LEN($R142)&gt;100),"Descrição &gt;100",
IF(AND(Import.TipoArredondamento="TransfereGOV",$L142="F",$C142="S",LEN($R142)&gt;500),"Descrição &gt;500",
IF(AND(Import.TipoArredondamento="TransfereGOV",$L142="F",$C142="S",LEFT(TRIM(UPPER($P142)),6)&lt;&gt;"SINAPI",ISNA(VLOOKUP(TRIM(UPPER($S142)),ListaTgov.Unidades,1,FALSE))),"Unid. Não Disp",
" "))))))))))))))))</f>
        <v xml:space="preserve"> </v>
      </c>
      <c r="AD142">
        <f ca="1">IF(C142&lt;=CRONO.NivelExibicao,MAX($AD$15:OFFSET(AD142,-1,0))+IF($C142&lt;&gt;1,1,MAX(1,COUNTIF(QCI!$A$13:$A$24,OFFSET($E142,-1,0)))),"")</f>
        <v>34</v>
      </c>
      <c r="AE142" s="7" t="b" cm="1">
        <f t="array" aca="1" ref="AE142" ca="1">IF(AND($C142="S",ORÇAMENTO.CodBarra&lt;&gt;""),IF(ORÇAMENTO.Fonte="",ORÇAMENTO.CodBarra,CONCATENATE(ORÇAMENTO.Fonte," ",ORÇAMENTO.CodBarra)))</f>
        <v>0</v>
      </c>
      <c r="AF142" s="12" t="str" cm="1">
        <f t="array" aca="1" ref="AF142" ca="1">IF(ISERROR(ORÇAMENTO.BancoRef),"(abra o arquivo 'Referência "&amp;Excel_BuiltIn_Database&amp;".xlsm)",IF(OR($C142&lt;&gt;"S",ORÇAMENTO.CodBarra=""),"(Sem Código)",IF(ISERROR(MATCH($AE142,INDIRECT(ORÇAMENTO.BancoRef),0)),"(Código não identificado nas referências)",MATCH($AE142,INDIRECT(ORÇAMENTO.BancoRef),0))))</f>
        <v>(Sem Código)</v>
      </c>
      <c r="AG142" s="428" cm="1">
        <f t="array" aca="1" ref="AG142" ca="1">ROUND(IF(DESONERACAO="sim",REFERENCIA.Desonerado,REFERENCIA.NaoDesonerado),2)</f>
        <v>0</v>
      </c>
      <c r="AH142" s="429">
        <f t="shared" ca="1" si="33"/>
        <v>0.2223</v>
      </c>
      <c r="AJ142" s="431"/>
      <c r="AL142" s="439"/>
      <c r="AM142" s="336">
        <f t="shared" ca="1" si="0"/>
        <v>0</v>
      </c>
      <c r="AN142" s="470" cm="1">
        <f t="array" aca="1" ref="AN142" ca="1">ROUND(ORÇAMENTO.CustoUnitario*(1+$AH142),2)</f>
        <v>0</v>
      </c>
    </row>
    <row r="143" spans="1:40" ht="25.5" x14ac:dyDescent="0.2">
      <c r="A143" t="str">
        <f t="shared" si="32"/>
        <v>S</v>
      </c>
      <c r="B143">
        <f t="shared" ca="1" si="19"/>
        <v>3</v>
      </c>
      <c r="C143" t="str">
        <f t="shared" ca="1" si="20"/>
        <v>S</v>
      </c>
      <c r="D143">
        <f t="shared" ca="1" si="21"/>
        <v>0</v>
      </c>
      <c r="E143">
        <f ca="1">IF($C143=1,OFFSET(E143,-1,0)+MAX(1,COUNTIF(QCI!$A$13:$A$24,OFFSET(ORÇAMENTO!E143,-1,0))),OFFSET(E143,-1,0))</f>
        <v>9</v>
      </c>
      <c r="F143">
        <f t="shared" ca="1" si="22"/>
        <v>1</v>
      </c>
      <c r="G143">
        <f t="shared" ca="1" si="23"/>
        <v>2</v>
      </c>
      <c r="H143">
        <f t="shared" ca="1" si="24"/>
        <v>0</v>
      </c>
      <c r="I143">
        <f t="shared" ca="1" si="25"/>
        <v>0</v>
      </c>
      <c r="J143">
        <f t="shared" ca="1" si="34"/>
        <v>0</v>
      </c>
      <c r="K143">
        <f ca="1">IF(OR($C143="S",$C143=0),0,MATCH(OFFSET($D143,0,$C143)+IF($C143&lt;&gt;1,1,COUNTIF(QCI!$A$13:$A$24,ORÇAMENTO!E143)),OFFSET($D143,1,$C143,ROW($C$244)-ROW($C143)),0))</f>
        <v>0</v>
      </c>
      <c r="L143" s="114" t="str">
        <f t="shared" ca="1" si="26"/>
        <v/>
      </c>
      <c r="M143" s="115" t="s">
        <v>705</v>
      </c>
      <c r="N143" s="116" t="str">
        <f t="shared" ca="1" si="27"/>
        <v>Serviço</v>
      </c>
      <c r="O143" s="117" t="str">
        <f t="shared" ca="1" si="28"/>
        <v>-</v>
      </c>
      <c r="P143" s="118" t="s">
        <v>750</v>
      </c>
      <c r="Q143" s="119" t="s">
        <v>1091</v>
      </c>
      <c r="R143" s="120" t="str" cm="1">
        <f t="array" aca="1" ref="R143" ca="1">IF($C143="S",REFERENCIA.Descricao,"(digite a descrição aqui)")</f>
        <v>(Código não identificado nas referências)</v>
      </c>
      <c r="S143" s="121" t="str" cm="1">
        <f t="array" aca="1" ref="S143" ca="1">REFERENCIA.Unidade</f>
        <v>-</v>
      </c>
      <c r="T143" s="122">
        <f ca="1">OFFSET(CÁLCULO!H$15,ROW($T143)-ROW(T$15),0)</f>
        <v>140</v>
      </c>
      <c r="U143" s="123">
        <f t="shared" ca="1" si="29"/>
        <v>0</v>
      </c>
      <c r="V143" s="124" t="s">
        <v>663</v>
      </c>
      <c r="W143" s="122" cm="1">
        <f t="array" aca="1" ref="W143" ca="1">IF($C143="S",ROUND(IF(TIPOORCAMENTO="Proposto",ORÇAMENTO.CustoUnitario*(1+$AH143),ORÇAMENTO.PrecoUnitarioLicitado),15-13*$AF$10),0)</f>
        <v>0</v>
      </c>
      <c r="X143" s="125" cm="1">
        <f t="array" aca="1" ref="X143" ca="1">IF($C143="S",IF(OR(Import.TipoArredondamento&lt;&gt;"TransfereGOV",ACOMPANHAMENTO="BM"),VTOTAL1,SUM(OFFSET(CÁLCULO!$AQ$15,ROW($X143)-ROW($X$15),1):OFFSET(CÁLCULO!$BR$15,ROW($X143)-ROW($X$15),-1))),IF($C143=0,0,ROUND(SomaAgrup,15-13*$AF$11)))</f>
        <v>0</v>
      </c>
      <c r="Y143" s="126" t="s">
        <v>751</v>
      </c>
      <c r="Z143" t="str">
        <f t="shared" ca="1" si="30"/>
        <v/>
      </c>
      <c r="AA143" s="127" cm="1">
        <f t="array" aca="1" ref="AA143" ca="1">IF($C143="S",IF($Z143="CP",$X143,IF($Z143="RA",(($X143)*QCI!$AA$3),0)),SomaAgrup)</f>
        <v>0</v>
      </c>
      <c r="AB143" s="128" cm="1">
        <f t="array" aca="1" ref="AB143" ca="1">IF($C143="S",IF($Z143="OU",ROUND($X143,2),0),SomaAgrup)</f>
        <v>0</v>
      </c>
      <c r="AC143" s="565" t="str" cm="1">
        <f t="array" aca="1" ref="AC143" ca="1">IF($N143=""," ",
IF(AND($C143&lt;&gt;"S",OR($R143="",$R143="(digite a descrição aqui)")),"DESCRIÇÃO",
IF(AND($C143="S",OR($Q143&lt;&gt;"",$T143&gt;0,$U143&gt;0),$P143=""),"FONTE",
IF(AND($C143="S",$P143&lt;&gt;"",OR($T143&gt;0,$U143&gt;0),$Q143=""),"CÓDIGO",
IF(AND($C143="S",$P143&lt;&gt;"",$Q143&lt;&gt;"",$R143="(Código não identificado nas referências)"),"CÓDIGO N/ID",
IF(AND($C143="S",OR($R143="",$R143="(digite a descrição aqui)"),OR($Q143&lt;&gt;"",$T143&gt;0,$U143&gt;0)),"DESCRIÇÃO",
IF(AND($C143="S",$P143&lt;&gt;"",$Q143&lt;&gt;"",$S143=""),"UNIDADE",
IF(AND($C143="S",$P143&lt;&gt;"",$Q143&lt;&gt;"",$U143=0),"SEM CUSTO",
IF(AND(TIPOORCAMENTO="Licitado",$AL143=0,$AN143&gt;0),"SEM PREÇO",
IF(AND($C143="S",$P143&lt;&gt;"",$Q143&lt;&gt;"",$U143&gt;0,AND($V143&lt;&gt;"BDI 1",$V143&lt;&gt;"BDI 2",$V143&lt;&gt;"BDI 3")),IF(ISNUMBER($V143),"JUSTIFICAR BDI","BDI"),
IF(OR(AND(import.recurso="OGU",TIPOORCAMENTO="Proposto",LEFT($O$8,5)&lt;&gt;"(N/D:",$AG143&lt;&gt;"",ORÇAMENTO.CustoUnitario&gt;$AG143),AND(TIPOORCAMENTO="LICITADO",ORÇAMENTO.PrecoUnitarioLicitado&gt;$AN143)),"ACIMA REF.",
IF(AND($C143="S",$P143&lt;&gt;"",$Q143&lt;&gt;"",$T143=0,$U143&gt;0),"QUANT.",
IF(AND(Import.TipoArredondamento="TransfereGOV",$L143="F",$C143="S",LEN($Q143)&gt;13),"Código &gt;13",
IF(AND(Import.TipoArredondamento="TransfereGOV",$L143="F",$C143&lt;&gt;"S",LEN($R143)&gt;100),"Descrição &gt;100",
IF(AND(Import.TipoArredondamento="TransfereGOV",$L143="F",$C143="S",LEN($R143)&gt;500),"Descrição &gt;500",
IF(AND(Import.TipoArredondamento="TransfereGOV",$L143="F",$C143="S",LEFT(TRIM(UPPER($P143)),6)&lt;&gt;"SINAPI",ISNA(VLOOKUP(TRIM(UPPER($S143)),ListaTgov.Unidades,1,FALSE))),"Unid. Não Disp",
" "))))))))))))))))</f>
        <v>CÓDIGO N/ID</v>
      </c>
      <c r="AD143" t="str">
        <f ca="1">IF(C143&lt;=CRONO.NivelExibicao,MAX($AD$15:OFFSET(AD143,-1,0))+IF($C143&lt;&gt;1,1,MAX(1,COUNTIF(QCI!$A$13:$A$24,OFFSET($E143,-1,0)))),"")</f>
        <v/>
      </c>
      <c r="AE143" s="7" t="str" cm="1">
        <f t="array" aca="1" ref="AE143" ca="1">IF(AND($C143="S",ORÇAMENTO.CodBarra&lt;&gt;""),IF(ORÇAMENTO.Fonte="",ORÇAMENTO.CodBarra,CONCATENATE(ORÇAMENTO.Fonte," ",ORÇAMENTO.CodBarra)))</f>
        <v>SINAPI 103782</v>
      </c>
      <c r="AF143" s="12" t="str" cm="1">
        <f t="array" aca="1" ref="AF143" ca="1">IF(ISERROR(ORÇAMENTO.BancoRef),"(abra o arquivo 'Referência "&amp;Excel_BuiltIn_Database&amp;".xlsm)",IF(OR($C143&lt;&gt;"S",ORÇAMENTO.CodBarra=""),"(Sem Código)",IF(ISERROR(MATCH($AE143,INDIRECT(ORÇAMENTO.BancoRef),0)),"(Código não identificado nas referências)",MATCH($AE143,INDIRECT(ORÇAMENTO.BancoRef),0))))</f>
        <v>(Código não identificado nas referências)</v>
      </c>
      <c r="AG143" s="428" cm="1">
        <f t="array" aca="1" ref="AG143" ca="1">ROUND(IF(DESONERACAO="sim",REFERENCIA.Desonerado,REFERENCIA.NaoDesonerado),2)</f>
        <v>0</v>
      </c>
      <c r="AH143" s="429">
        <f t="shared" ca="1" si="33"/>
        <v>0.2223</v>
      </c>
      <c r="AJ143" s="431"/>
      <c r="AL143" s="439"/>
      <c r="AM143" s="336">
        <f t="shared" ca="1" si="0"/>
        <v>0</v>
      </c>
      <c r="AN143" s="470" cm="1">
        <f t="array" aca="1" ref="AN143" ca="1">ROUND(ORÇAMENTO.CustoUnitario*(1+$AH143),2)</f>
        <v>0</v>
      </c>
    </row>
    <row r="144" spans="1:40" ht="25.5" x14ac:dyDescent="0.2">
      <c r="A144" t="str">
        <f t="shared" si="32"/>
        <v>S</v>
      </c>
      <c r="B144">
        <f t="shared" ca="1" si="19"/>
        <v>3</v>
      </c>
      <c r="C144" t="str">
        <f t="shared" ca="1" si="20"/>
        <v>S</v>
      </c>
      <c r="D144">
        <f t="shared" ca="1" si="21"/>
        <v>0</v>
      </c>
      <c r="E144">
        <f ca="1">IF($C144=1,OFFSET(E144,-1,0)+MAX(1,COUNTIF(QCI!$A$13:$A$24,OFFSET(ORÇAMENTO!E144,-1,0))),OFFSET(E144,-1,0))</f>
        <v>9</v>
      </c>
      <c r="F144">
        <f t="shared" ca="1" si="22"/>
        <v>1</v>
      </c>
      <c r="G144">
        <f t="shared" ca="1" si="23"/>
        <v>2</v>
      </c>
      <c r="H144">
        <f t="shared" ca="1" si="24"/>
        <v>0</v>
      </c>
      <c r="I144">
        <f t="shared" ca="1" si="25"/>
        <v>0</v>
      </c>
      <c r="J144">
        <f t="shared" ca="1" si="34"/>
        <v>0</v>
      </c>
      <c r="K144">
        <f ca="1">IF(OR($C144="S",$C144=0),0,MATCH(OFFSET($D144,0,$C144)+IF($C144&lt;&gt;1,1,COUNTIF(QCI!$A$13:$A$24,ORÇAMENTO!E144)),OFFSET($D144,1,$C144,ROW($C$244)-ROW($C144)),0))</f>
        <v>0</v>
      </c>
      <c r="L144" s="114" t="str">
        <f t="shared" ca="1" si="26"/>
        <v/>
      </c>
      <c r="M144" s="115" t="s">
        <v>705</v>
      </c>
      <c r="N144" s="116" t="str">
        <f t="shared" ca="1" si="27"/>
        <v>Serviço</v>
      </c>
      <c r="O144" s="117" t="str">
        <f t="shared" ca="1" si="28"/>
        <v>-</v>
      </c>
      <c r="P144" s="118" t="s">
        <v>750</v>
      </c>
      <c r="Q144" s="119" t="s">
        <v>1092</v>
      </c>
      <c r="R144" s="120" t="str" cm="1">
        <f t="array" aca="1" ref="R144" ca="1">IF($C144="S",REFERENCIA.Descricao,"(digite a descrição aqui)")</f>
        <v>(Código não identificado nas referências)</v>
      </c>
      <c r="S144" s="121" t="str" cm="1">
        <f t="array" aca="1" ref="S144" ca="1">REFERENCIA.Unidade</f>
        <v>-</v>
      </c>
      <c r="T144" s="122">
        <f ca="1">OFFSET(CÁLCULO!H$15,ROW($T144)-ROW(T$15),0)</f>
        <v>100</v>
      </c>
      <c r="U144" s="123">
        <f t="shared" ca="1" si="29"/>
        <v>0</v>
      </c>
      <c r="V144" s="124" t="s">
        <v>663</v>
      </c>
      <c r="W144" s="122" cm="1">
        <f t="array" aca="1" ref="W144" ca="1">IF($C144="S",ROUND(IF(TIPOORCAMENTO="Proposto",ORÇAMENTO.CustoUnitario*(1+$AH144),ORÇAMENTO.PrecoUnitarioLicitado),15-13*$AF$10),0)</f>
        <v>0</v>
      </c>
      <c r="X144" s="125" cm="1">
        <f t="array" aca="1" ref="X144" ca="1">IF($C144="S",IF(OR(Import.TipoArredondamento&lt;&gt;"TransfereGOV",ACOMPANHAMENTO="BM"),VTOTAL1,SUM(OFFSET(CÁLCULO!$AQ$15,ROW($X144)-ROW($X$15),1):OFFSET(CÁLCULO!$BR$15,ROW($X144)-ROW($X$15),-1))),IF($C144=0,0,ROUND(SomaAgrup,15-13*$AF$11)))</f>
        <v>0</v>
      </c>
      <c r="Y144" s="126" t="s">
        <v>751</v>
      </c>
      <c r="Z144" t="str">
        <f t="shared" ca="1" si="30"/>
        <v/>
      </c>
      <c r="AA144" s="127" cm="1">
        <f t="array" aca="1" ref="AA144" ca="1">IF($C144="S",IF($Z144="CP",$X144,IF($Z144="RA",(($X144)*QCI!$AA$3),0)),SomaAgrup)</f>
        <v>0</v>
      </c>
      <c r="AB144" s="128" cm="1">
        <f t="array" aca="1" ref="AB144" ca="1">IF($C144="S",IF($Z144="OU",ROUND($X144,2),0),SomaAgrup)</f>
        <v>0</v>
      </c>
      <c r="AC144" s="565" t="str" cm="1">
        <f t="array" aca="1" ref="AC144" ca="1">IF($N144=""," ",
IF(AND($C144&lt;&gt;"S",OR($R144="",$R144="(digite a descrição aqui)")),"DESCRIÇÃO",
IF(AND($C144="S",OR($Q144&lt;&gt;"",$T144&gt;0,$U144&gt;0),$P144=""),"FONTE",
IF(AND($C144="S",$P144&lt;&gt;"",OR($T144&gt;0,$U144&gt;0),$Q144=""),"CÓDIGO",
IF(AND($C144="S",$P144&lt;&gt;"",$Q144&lt;&gt;"",$R144="(Código não identificado nas referências)"),"CÓDIGO N/ID",
IF(AND($C144="S",OR($R144="",$R144="(digite a descrição aqui)"),OR($Q144&lt;&gt;"",$T144&gt;0,$U144&gt;0)),"DESCRIÇÃO",
IF(AND($C144="S",$P144&lt;&gt;"",$Q144&lt;&gt;"",$S144=""),"UNIDADE",
IF(AND($C144="S",$P144&lt;&gt;"",$Q144&lt;&gt;"",$U144=0),"SEM CUSTO",
IF(AND(TIPOORCAMENTO="Licitado",$AL144=0,$AN144&gt;0),"SEM PREÇO",
IF(AND($C144="S",$P144&lt;&gt;"",$Q144&lt;&gt;"",$U144&gt;0,AND($V144&lt;&gt;"BDI 1",$V144&lt;&gt;"BDI 2",$V144&lt;&gt;"BDI 3")),IF(ISNUMBER($V144),"JUSTIFICAR BDI","BDI"),
IF(OR(AND(import.recurso="OGU",TIPOORCAMENTO="Proposto",LEFT($O$8,5)&lt;&gt;"(N/D:",$AG144&lt;&gt;"",ORÇAMENTO.CustoUnitario&gt;$AG144),AND(TIPOORCAMENTO="LICITADO",ORÇAMENTO.PrecoUnitarioLicitado&gt;$AN144)),"ACIMA REF.",
IF(AND($C144="S",$P144&lt;&gt;"",$Q144&lt;&gt;"",$T144=0,$U144&gt;0),"QUANT.",
IF(AND(Import.TipoArredondamento="TransfereGOV",$L144="F",$C144="S",LEN($Q144)&gt;13),"Código &gt;13",
IF(AND(Import.TipoArredondamento="TransfereGOV",$L144="F",$C144&lt;&gt;"S",LEN($R144)&gt;100),"Descrição &gt;100",
IF(AND(Import.TipoArredondamento="TransfereGOV",$L144="F",$C144="S",LEN($R144)&gt;500),"Descrição &gt;500",
IF(AND(Import.TipoArredondamento="TransfereGOV",$L144="F",$C144="S",LEFT(TRIM(UPPER($P144)),6)&lt;&gt;"SINAPI",ISNA(VLOOKUP(TRIM(UPPER($S144)),ListaTgov.Unidades,1,FALSE))),"Unid. Não Disp",
" "))))))))))))))))</f>
        <v>CÓDIGO N/ID</v>
      </c>
      <c r="AD144" t="str">
        <f ca="1">IF(C144&lt;=CRONO.NivelExibicao,MAX($AD$15:OFFSET(AD144,-1,0))+IF($C144&lt;&gt;1,1,MAX(1,COUNTIF(QCI!$A$13:$A$24,OFFSET($E144,-1,0)))),"")</f>
        <v/>
      </c>
      <c r="AE144" s="7" t="str" cm="1">
        <f t="array" aca="1" ref="AE144" ca="1">IF(AND($C144="S",ORÇAMENTO.CodBarra&lt;&gt;""),IF(ORÇAMENTO.Fonte="",ORÇAMENTO.CodBarra,CONCATENATE(ORÇAMENTO.Fonte," ",ORÇAMENTO.CodBarra)))</f>
        <v>SINAPI 91953</v>
      </c>
      <c r="AF144" s="12" t="str" cm="1">
        <f t="array" aca="1" ref="AF144" ca="1">IF(ISERROR(ORÇAMENTO.BancoRef),"(abra o arquivo 'Referência "&amp;Excel_BuiltIn_Database&amp;".xlsm)",IF(OR($C144&lt;&gt;"S",ORÇAMENTO.CodBarra=""),"(Sem Código)",IF(ISERROR(MATCH($AE144,INDIRECT(ORÇAMENTO.BancoRef),0)),"(Código não identificado nas referências)",MATCH($AE144,INDIRECT(ORÇAMENTO.BancoRef),0))))</f>
        <v>(Código não identificado nas referências)</v>
      </c>
      <c r="AG144" s="428" cm="1">
        <f t="array" aca="1" ref="AG144" ca="1">ROUND(IF(DESONERACAO="sim",REFERENCIA.Desonerado,REFERENCIA.NaoDesonerado),2)</f>
        <v>0</v>
      </c>
      <c r="AH144" s="429">
        <f t="shared" ca="1" si="33"/>
        <v>0.2223</v>
      </c>
      <c r="AJ144" s="431"/>
      <c r="AL144" s="439"/>
      <c r="AM144" s="336">
        <f t="shared" ca="1" si="0"/>
        <v>0</v>
      </c>
      <c r="AN144" s="470" cm="1">
        <f t="array" aca="1" ref="AN144" ca="1">ROUND(ORÇAMENTO.CustoUnitario*(1+$AH144),2)</f>
        <v>0</v>
      </c>
    </row>
    <row r="145" spans="1:40" ht="25.5" x14ac:dyDescent="0.2">
      <c r="A145" t="str">
        <f t="shared" si="32"/>
        <v>S</v>
      </c>
      <c r="B145">
        <f t="shared" ca="1" si="19"/>
        <v>3</v>
      </c>
      <c r="C145" t="str">
        <f t="shared" ca="1" si="20"/>
        <v>S</v>
      </c>
      <c r="D145">
        <f t="shared" ca="1" si="21"/>
        <v>0</v>
      </c>
      <c r="E145">
        <f ca="1">IF($C145=1,OFFSET(E145,-1,0)+MAX(1,COUNTIF(QCI!$A$13:$A$24,OFFSET(ORÇAMENTO!E145,-1,0))),OFFSET(E145,-1,0))</f>
        <v>9</v>
      </c>
      <c r="F145">
        <f t="shared" ca="1" si="22"/>
        <v>1</v>
      </c>
      <c r="G145">
        <f t="shared" ca="1" si="23"/>
        <v>2</v>
      </c>
      <c r="H145">
        <f t="shared" ca="1" si="24"/>
        <v>0</v>
      </c>
      <c r="I145">
        <f t="shared" ca="1" si="25"/>
        <v>0</v>
      </c>
      <c r="J145">
        <f t="shared" ca="1" si="34"/>
        <v>0</v>
      </c>
      <c r="K145">
        <f ca="1">IF(OR($C145="S",$C145=0),0,MATCH(OFFSET($D145,0,$C145)+IF($C145&lt;&gt;1,1,COUNTIF(QCI!$A$13:$A$24,ORÇAMENTO!E145)),OFFSET($D145,1,$C145,ROW($C$244)-ROW($C145)),0))</f>
        <v>0</v>
      </c>
      <c r="L145" s="114" t="str">
        <f t="shared" ca="1" si="26"/>
        <v/>
      </c>
      <c r="M145" s="115" t="s">
        <v>705</v>
      </c>
      <c r="N145" s="116" t="str">
        <f t="shared" ca="1" si="27"/>
        <v>Serviço</v>
      </c>
      <c r="O145" s="117" t="str">
        <f t="shared" ca="1" si="28"/>
        <v>-</v>
      </c>
      <c r="P145" s="118" t="s">
        <v>750</v>
      </c>
      <c r="Q145" s="119" t="s">
        <v>1093</v>
      </c>
      <c r="R145" s="120" t="str" cm="1">
        <f t="array" aca="1" ref="R145" ca="1">IF($C145="S",REFERENCIA.Descricao,"(digite a descrição aqui)")</f>
        <v>(Código não identificado nas referências)</v>
      </c>
      <c r="S145" s="121" t="str" cm="1">
        <f t="array" aca="1" ref="S145" ca="1">REFERENCIA.Unidade</f>
        <v>-</v>
      </c>
      <c r="T145" s="122">
        <f ca="1">OFFSET(CÁLCULO!H$15,ROW($T145)-ROW(T$15),0)</f>
        <v>20</v>
      </c>
      <c r="U145" s="123">
        <f t="shared" ca="1" si="29"/>
        <v>0</v>
      </c>
      <c r="V145" s="124" t="s">
        <v>663</v>
      </c>
      <c r="W145" s="122" cm="1">
        <f t="array" aca="1" ref="W145" ca="1">IF($C145="S",ROUND(IF(TIPOORCAMENTO="Proposto",ORÇAMENTO.CustoUnitario*(1+$AH145),ORÇAMENTO.PrecoUnitarioLicitado),15-13*$AF$10),0)</f>
        <v>0</v>
      </c>
      <c r="X145" s="125" cm="1">
        <f t="array" aca="1" ref="X145" ca="1">IF($C145="S",IF(OR(Import.TipoArredondamento&lt;&gt;"TransfereGOV",ACOMPANHAMENTO="BM"),VTOTAL1,SUM(OFFSET(CÁLCULO!$AQ$15,ROW($X145)-ROW($X$15),1):OFFSET(CÁLCULO!$BR$15,ROW($X145)-ROW($X$15),-1))),IF($C145=0,0,ROUND(SomaAgrup,15-13*$AF$11)))</f>
        <v>0</v>
      </c>
      <c r="Y145" s="126" t="s">
        <v>751</v>
      </c>
      <c r="Z145" t="str">
        <f t="shared" ca="1" si="30"/>
        <v/>
      </c>
      <c r="AA145" s="127" cm="1">
        <f t="array" aca="1" ref="AA145" ca="1">IF($C145="S",IF($Z145="CP",$X145,IF($Z145="RA",(($X145)*QCI!$AA$3),0)),SomaAgrup)</f>
        <v>0</v>
      </c>
      <c r="AB145" s="128" cm="1">
        <f t="array" aca="1" ref="AB145" ca="1">IF($C145="S",IF($Z145="OU",ROUND($X145,2),0),SomaAgrup)</f>
        <v>0</v>
      </c>
      <c r="AC145" s="565" t="str" cm="1">
        <f t="array" aca="1" ref="AC145" ca="1">IF($N145=""," ",
IF(AND($C145&lt;&gt;"S",OR($R145="",$R145="(digite a descrição aqui)")),"DESCRIÇÃO",
IF(AND($C145="S",OR($Q145&lt;&gt;"",$T145&gt;0,$U145&gt;0),$P145=""),"FONTE",
IF(AND($C145="S",$P145&lt;&gt;"",OR($T145&gt;0,$U145&gt;0),$Q145=""),"CÓDIGO",
IF(AND($C145="S",$P145&lt;&gt;"",$Q145&lt;&gt;"",$R145="(Código não identificado nas referências)"),"CÓDIGO N/ID",
IF(AND($C145="S",OR($R145="",$R145="(digite a descrição aqui)"),OR($Q145&lt;&gt;"",$T145&gt;0,$U145&gt;0)),"DESCRIÇÃO",
IF(AND($C145="S",$P145&lt;&gt;"",$Q145&lt;&gt;"",$S145=""),"UNIDADE",
IF(AND($C145="S",$P145&lt;&gt;"",$Q145&lt;&gt;"",$U145=0),"SEM CUSTO",
IF(AND(TIPOORCAMENTO="Licitado",$AL145=0,$AN145&gt;0),"SEM PREÇO",
IF(AND($C145="S",$P145&lt;&gt;"",$Q145&lt;&gt;"",$U145&gt;0,AND($V145&lt;&gt;"BDI 1",$V145&lt;&gt;"BDI 2",$V145&lt;&gt;"BDI 3")),IF(ISNUMBER($V145),"JUSTIFICAR BDI","BDI"),
IF(OR(AND(import.recurso="OGU",TIPOORCAMENTO="Proposto",LEFT($O$8,5)&lt;&gt;"(N/D:",$AG145&lt;&gt;"",ORÇAMENTO.CustoUnitario&gt;$AG145),AND(TIPOORCAMENTO="LICITADO",ORÇAMENTO.PrecoUnitarioLicitado&gt;$AN145)),"ACIMA REF.",
IF(AND($C145="S",$P145&lt;&gt;"",$Q145&lt;&gt;"",$T145=0,$U145&gt;0),"QUANT.",
IF(AND(Import.TipoArredondamento="TransfereGOV",$L145="F",$C145="S",LEN($Q145)&gt;13),"Código &gt;13",
IF(AND(Import.TipoArredondamento="TransfereGOV",$L145="F",$C145&lt;&gt;"S",LEN($R145)&gt;100),"Descrição &gt;100",
IF(AND(Import.TipoArredondamento="TransfereGOV",$L145="F",$C145="S",LEN($R145)&gt;500),"Descrição &gt;500",
IF(AND(Import.TipoArredondamento="TransfereGOV",$L145="F",$C145="S",LEFT(TRIM(UPPER($P145)),6)&lt;&gt;"SINAPI",ISNA(VLOOKUP(TRIM(UPPER($S145)),ListaTgov.Unidades,1,FALSE))),"Unid. Não Disp",
" "))))))))))))))))</f>
        <v>CÓDIGO N/ID</v>
      </c>
      <c r="AD145" t="str">
        <f ca="1">IF(C145&lt;=CRONO.NivelExibicao,MAX($AD$15:OFFSET(AD145,-1,0))+IF($C145&lt;&gt;1,1,MAX(1,COUNTIF(QCI!$A$13:$A$24,OFFSET($E145,-1,0)))),"")</f>
        <v/>
      </c>
      <c r="AE145" s="7" t="str" cm="1">
        <f t="array" aca="1" ref="AE145" ca="1">IF(AND($C145="S",ORÇAMENTO.CodBarra&lt;&gt;""),IF(ORÇAMENTO.Fonte="",ORÇAMENTO.CodBarra,CONCATENATE(ORÇAMENTO.Fonte," ",ORÇAMENTO.CodBarra)))</f>
        <v>SINAPI 91959</v>
      </c>
      <c r="AF145" s="12" t="str" cm="1">
        <f t="array" aca="1" ref="AF145" ca="1">IF(ISERROR(ORÇAMENTO.BancoRef),"(abra o arquivo 'Referência "&amp;Excel_BuiltIn_Database&amp;".xlsm)",IF(OR($C145&lt;&gt;"S",ORÇAMENTO.CodBarra=""),"(Sem Código)",IF(ISERROR(MATCH($AE145,INDIRECT(ORÇAMENTO.BancoRef),0)),"(Código não identificado nas referências)",MATCH($AE145,INDIRECT(ORÇAMENTO.BancoRef),0))))</f>
        <v>(Código não identificado nas referências)</v>
      </c>
      <c r="AG145" s="428" cm="1">
        <f t="array" aca="1" ref="AG145" ca="1">ROUND(IF(DESONERACAO="sim",REFERENCIA.Desonerado,REFERENCIA.NaoDesonerado),2)</f>
        <v>0</v>
      </c>
      <c r="AH145" s="429">
        <f t="shared" ca="1" si="33"/>
        <v>0.2223</v>
      </c>
      <c r="AJ145" s="431"/>
      <c r="AL145" s="439"/>
      <c r="AM145" s="336">
        <f t="shared" ca="1" si="0"/>
        <v>0</v>
      </c>
      <c r="AN145" s="470" cm="1">
        <f t="array" aca="1" ref="AN145" ca="1">ROUND(ORÇAMENTO.CustoUnitario*(1+$AH145),2)</f>
        <v>0</v>
      </c>
    </row>
    <row r="146" spans="1:40" ht="25.5" x14ac:dyDescent="0.2">
      <c r="A146" t="str">
        <f t="shared" si="32"/>
        <v>S</v>
      </c>
      <c r="B146">
        <f t="shared" ca="1" si="19"/>
        <v>3</v>
      </c>
      <c r="C146" t="str">
        <f t="shared" ca="1" si="20"/>
        <v>S</v>
      </c>
      <c r="D146">
        <f t="shared" ca="1" si="21"/>
        <v>0</v>
      </c>
      <c r="E146">
        <f ca="1">IF($C146=1,OFFSET(E146,-1,0)+MAX(1,COUNTIF(QCI!$A$13:$A$24,OFFSET(ORÇAMENTO!E146,-1,0))),OFFSET(E146,-1,0))</f>
        <v>9</v>
      </c>
      <c r="F146">
        <f t="shared" ca="1" si="22"/>
        <v>1</v>
      </c>
      <c r="G146">
        <f t="shared" ca="1" si="23"/>
        <v>2</v>
      </c>
      <c r="H146">
        <f t="shared" ca="1" si="24"/>
        <v>0</v>
      </c>
      <c r="I146">
        <f t="shared" ca="1" si="25"/>
        <v>0</v>
      </c>
      <c r="J146">
        <f t="shared" ca="1" si="34"/>
        <v>0</v>
      </c>
      <c r="K146">
        <f ca="1">IF(OR($C146="S",$C146=0),0,MATCH(OFFSET($D146,0,$C146)+IF($C146&lt;&gt;1,1,COUNTIF(QCI!$A$13:$A$24,ORÇAMENTO!E146)),OFFSET($D146,1,$C146,ROW($C$244)-ROW($C146)),0))</f>
        <v>0</v>
      </c>
      <c r="L146" s="114" t="str">
        <f t="shared" ca="1" si="26"/>
        <v/>
      </c>
      <c r="M146" s="115" t="s">
        <v>705</v>
      </c>
      <c r="N146" s="116" t="str">
        <f t="shared" ca="1" si="27"/>
        <v>Serviço</v>
      </c>
      <c r="O146" s="117" t="str">
        <f t="shared" ca="1" si="28"/>
        <v>-</v>
      </c>
      <c r="P146" s="118" t="s">
        <v>750</v>
      </c>
      <c r="Q146" s="119" t="s">
        <v>1094</v>
      </c>
      <c r="R146" s="120" t="str" cm="1">
        <f t="array" aca="1" ref="R146" ca="1">IF($C146="S",REFERENCIA.Descricao,"(digite a descrição aqui)")</f>
        <v>(Código não identificado nas referências)</v>
      </c>
      <c r="S146" s="121" t="str" cm="1">
        <f t="array" aca="1" ref="S146" ca="1">REFERENCIA.Unidade</f>
        <v>-</v>
      </c>
      <c r="T146" s="122">
        <f ca="1">OFFSET(CÁLCULO!H$15,ROW($T146)-ROW(T$15),0)</f>
        <v>200</v>
      </c>
      <c r="U146" s="123">
        <f t="shared" ca="1" si="29"/>
        <v>0</v>
      </c>
      <c r="V146" s="124" t="s">
        <v>663</v>
      </c>
      <c r="W146" s="122" cm="1">
        <f t="array" aca="1" ref="W146" ca="1">IF($C146="S",ROUND(IF(TIPOORCAMENTO="Proposto",ORÇAMENTO.CustoUnitario*(1+$AH146),ORÇAMENTO.PrecoUnitarioLicitado),15-13*$AF$10),0)</f>
        <v>0</v>
      </c>
      <c r="X146" s="125" cm="1">
        <f t="array" aca="1" ref="X146" ca="1">IF($C146="S",IF(OR(Import.TipoArredondamento&lt;&gt;"TransfereGOV",ACOMPANHAMENTO="BM"),VTOTAL1,SUM(OFFSET(CÁLCULO!$AQ$15,ROW($X146)-ROW($X$15),1):OFFSET(CÁLCULO!$BR$15,ROW($X146)-ROW($X$15),-1))),IF($C146=0,0,ROUND(SomaAgrup,15-13*$AF$11)))</f>
        <v>0</v>
      </c>
      <c r="Y146" s="126" t="s">
        <v>751</v>
      </c>
      <c r="Z146" t="str">
        <f t="shared" ca="1" si="30"/>
        <v/>
      </c>
      <c r="AA146" s="127" cm="1">
        <f t="array" aca="1" ref="AA146" ca="1">IF($C146="S",IF($Z146="CP",$X146,IF($Z146="RA",(($X146)*QCI!$AA$3),0)),SomaAgrup)</f>
        <v>0</v>
      </c>
      <c r="AB146" s="128" cm="1">
        <f t="array" aca="1" ref="AB146" ca="1">IF($C146="S",IF($Z146="OU",ROUND($X146,2),0),SomaAgrup)</f>
        <v>0</v>
      </c>
      <c r="AC146" s="565" t="str" cm="1">
        <f t="array" aca="1" ref="AC146" ca="1">IF($N146=""," ",
IF(AND($C146&lt;&gt;"S",OR($R146="",$R146="(digite a descrição aqui)")),"DESCRIÇÃO",
IF(AND($C146="S",OR($Q146&lt;&gt;"",$T146&gt;0,$U146&gt;0),$P146=""),"FONTE",
IF(AND($C146="S",$P146&lt;&gt;"",OR($T146&gt;0,$U146&gt;0),$Q146=""),"CÓDIGO",
IF(AND($C146="S",$P146&lt;&gt;"",$Q146&lt;&gt;"",$R146="(Código não identificado nas referências)"),"CÓDIGO N/ID",
IF(AND($C146="S",OR($R146="",$R146="(digite a descrição aqui)"),OR($Q146&lt;&gt;"",$T146&gt;0,$U146&gt;0)),"DESCRIÇÃO",
IF(AND($C146="S",$P146&lt;&gt;"",$Q146&lt;&gt;"",$S146=""),"UNIDADE",
IF(AND($C146="S",$P146&lt;&gt;"",$Q146&lt;&gt;"",$U146=0),"SEM CUSTO",
IF(AND(TIPOORCAMENTO="Licitado",$AL146=0,$AN146&gt;0),"SEM PREÇO",
IF(AND($C146="S",$P146&lt;&gt;"",$Q146&lt;&gt;"",$U146&gt;0,AND($V146&lt;&gt;"BDI 1",$V146&lt;&gt;"BDI 2",$V146&lt;&gt;"BDI 3")),IF(ISNUMBER($V146),"JUSTIFICAR BDI","BDI"),
IF(OR(AND(import.recurso="OGU",TIPOORCAMENTO="Proposto",LEFT($O$8,5)&lt;&gt;"(N/D:",$AG146&lt;&gt;"",ORÇAMENTO.CustoUnitario&gt;$AG146),AND(TIPOORCAMENTO="LICITADO",ORÇAMENTO.PrecoUnitarioLicitado&gt;$AN146)),"ACIMA REF.",
IF(AND($C146="S",$P146&lt;&gt;"",$Q146&lt;&gt;"",$T146=0,$U146&gt;0),"QUANT.",
IF(AND(Import.TipoArredondamento="TransfereGOV",$L146="F",$C146="S",LEN($Q146)&gt;13),"Código &gt;13",
IF(AND(Import.TipoArredondamento="TransfereGOV",$L146="F",$C146&lt;&gt;"S",LEN($R146)&gt;100),"Descrição &gt;100",
IF(AND(Import.TipoArredondamento="TransfereGOV",$L146="F",$C146="S",LEN($R146)&gt;500),"Descrição &gt;500",
IF(AND(Import.TipoArredondamento="TransfereGOV",$L146="F",$C146="S",LEFT(TRIM(UPPER($P146)),6)&lt;&gt;"SINAPI",ISNA(VLOOKUP(TRIM(UPPER($S146)),ListaTgov.Unidades,1,FALSE))),"Unid. Não Disp",
" "))))))))))))))))</f>
        <v>CÓDIGO N/ID</v>
      </c>
      <c r="AD146" t="str">
        <f ca="1">IF(C146&lt;=CRONO.NivelExibicao,MAX($AD$15:OFFSET(AD146,-1,0))+IF($C146&lt;&gt;1,1,MAX(1,COUNTIF(QCI!$A$13:$A$24,OFFSET($E146,-1,0)))),"")</f>
        <v/>
      </c>
      <c r="AE146" s="7" t="str" cm="1">
        <f t="array" aca="1" ref="AE146" ca="1">IF(AND($C146="S",ORÇAMENTO.CodBarra&lt;&gt;""),IF(ORÇAMENTO.Fonte="",ORÇAMENTO.CodBarra,CONCATENATE(ORÇAMENTO.Fonte," ",ORÇAMENTO.CodBarra)))</f>
        <v>SINAPI 92000</v>
      </c>
      <c r="AF146" s="12" t="str" cm="1">
        <f t="array" aca="1" ref="AF146" ca="1">IF(ISERROR(ORÇAMENTO.BancoRef),"(abra o arquivo 'Referência "&amp;Excel_BuiltIn_Database&amp;".xlsm)",IF(OR($C146&lt;&gt;"S",ORÇAMENTO.CodBarra=""),"(Sem Código)",IF(ISERROR(MATCH($AE146,INDIRECT(ORÇAMENTO.BancoRef),0)),"(Código não identificado nas referências)",MATCH($AE146,INDIRECT(ORÇAMENTO.BancoRef),0))))</f>
        <v>(Código não identificado nas referências)</v>
      </c>
      <c r="AG146" s="428" cm="1">
        <f t="array" aca="1" ref="AG146" ca="1">ROUND(IF(DESONERACAO="sim",REFERENCIA.Desonerado,REFERENCIA.NaoDesonerado),2)</f>
        <v>0</v>
      </c>
      <c r="AH146" s="429">
        <f t="shared" ca="1" si="33"/>
        <v>0.2223</v>
      </c>
      <c r="AJ146" s="431"/>
      <c r="AL146" s="439"/>
      <c r="AM146" s="336">
        <f t="shared" ca="1" si="0"/>
        <v>0</v>
      </c>
      <c r="AN146" s="470" cm="1">
        <f t="array" aca="1" ref="AN146" ca="1">ROUND(ORÇAMENTO.CustoUnitario*(1+$AH146),2)</f>
        <v>0</v>
      </c>
    </row>
    <row r="147" spans="1:40" ht="25.5" x14ac:dyDescent="0.2">
      <c r="A147" t="str">
        <f t="shared" si="32"/>
        <v>S</v>
      </c>
      <c r="B147">
        <f t="shared" ca="1" si="19"/>
        <v>3</v>
      </c>
      <c r="C147" t="str">
        <f t="shared" ca="1" si="20"/>
        <v>S</v>
      </c>
      <c r="D147">
        <f t="shared" ca="1" si="21"/>
        <v>0</v>
      </c>
      <c r="E147">
        <f ca="1">IF($C147=1,OFFSET(E147,-1,0)+MAX(1,COUNTIF(QCI!$A$13:$A$24,OFFSET(ORÇAMENTO!E147,-1,0))),OFFSET(E147,-1,0))</f>
        <v>9</v>
      </c>
      <c r="F147">
        <f t="shared" ca="1" si="22"/>
        <v>1</v>
      </c>
      <c r="G147">
        <f t="shared" ca="1" si="23"/>
        <v>2</v>
      </c>
      <c r="H147">
        <f t="shared" ca="1" si="24"/>
        <v>0</v>
      </c>
      <c r="I147">
        <f t="shared" ca="1" si="25"/>
        <v>0</v>
      </c>
      <c r="J147">
        <f t="shared" ca="1" si="34"/>
        <v>0</v>
      </c>
      <c r="K147">
        <f ca="1">IF(OR($C147="S",$C147=0),0,MATCH(OFFSET($D147,0,$C147)+IF($C147&lt;&gt;1,1,COUNTIF(QCI!$A$13:$A$24,ORÇAMENTO!E147)),OFFSET($D147,1,$C147,ROW($C$244)-ROW($C147)),0))</f>
        <v>0</v>
      </c>
      <c r="L147" s="114" t="str">
        <f t="shared" ca="1" si="26"/>
        <v/>
      </c>
      <c r="M147" s="115" t="s">
        <v>705</v>
      </c>
      <c r="N147" s="116" t="str">
        <f t="shared" ca="1" si="27"/>
        <v>Serviço</v>
      </c>
      <c r="O147" s="117" t="str">
        <f t="shared" ca="1" si="28"/>
        <v>-</v>
      </c>
      <c r="P147" s="118" t="s">
        <v>750</v>
      </c>
      <c r="Q147" s="119" t="s">
        <v>1095</v>
      </c>
      <c r="R147" s="120" t="str" cm="1">
        <f t="array" aca="1" ref="R147" ca="1">IF($C147="S",REFERENCIA.Descricao,"(digite a descrição aqui)")</f>
        <v>(Código não identificado nas referências)</v>
      </c>
      <c r="S147" s="121" t="str" cm="1">
        <f t="array" aca="1" ref="S147" ca="1">REFERENCIA.Unidade</f>
        <v>-</v>
      </c>
      <c r="T147" s="122">
        <f ca="1">OFFSET(CÁLCULO!H$15,ROW($T147)-ROW(T$15),0)</f>
        <v>120</v>
      </c>
      <c r="U147" s="123">
        <f t="shared" ca="1" si="29"/>
        <v>0</v>
      </c>
      <c r="V147" s="124" t="s">
        <v>663</v>
      </c>
      <c r="W147" s="122" cm="1">
        <f t="array" aca="1" ref="W147" ca="1">IF($C147="S",ROUND(IF(TIPOORCAMENTO="Proposto",ORÇAMENTO.CustoUnitario*(1+$AH147),ORÇAMENTO.PrecoUnitarioLicitado),15-13*$AF$10),0)</f>
        <v>0</v>
      </c>
      <c r="X147" s="125" cm="1">
        <f t="array" aca="1" ref="X147" ca="1">IF($C147="S",IF(OR(Import.TipoArredondamento&lt;&gt;"TransfereGOV",ACOMPANHAMENTO="BM"),VTOTAL1,SUM(OFFSET(CÁLCULO!$AQ$15,ROW($X147)-ROW($X$15),1):OFFSET(CÁLCULO!$BR$15,ROW($X147)-ROW($X$15),-1))),IF($C147=0,0,ROUND(SomaAgrup,15-13*$AF$11)))</f>
        <v>0</v>
      </c>
      <c r="Y147" s="126" t="s">
        <v>751</v>
      </c>
      <c r="Z147" t="str">
        <f t="shared" ca="1" si="30"/>
        <v/>
      </c>
      <c r="AA147" s="127" cm="1">
        <f t="array" aca="1" ref="AA147" ca="1">IF($C147="S",IF($Z147="CP",$X147,IF($Z147="RA",(($X147)*QCI!$AA$3),0)),SomaAgrup)</f>
        <v>0</v>
      </c>
      <c r="AB147" s="128" cm="1">
        <f t="array" aca="1" ref="AB147" ca="1">IF($C147="S",IF($Z147="OU",ROUND($X147,2),0),SomaAgrup)</f>
        <v>0</v>
      </c>
      <c r="AC147" s="565" t="str" cm="1">
        <f t="array" aca="1" ref="AC147" ca="1">IF($N147=""," ",
IF(AND($C147&lt;&gt;"S",OR($R147="",$R147="(digite a descrição aqui)")),"DESCRIÇÃO",
IF(AND($C147="S",OR($Q147&lt;&gt;"",$T147&gt;0,$U147&gt;0),$P147=""),"FONTE",
IF(AND($C147="S",$P147&lt;&gt;"",OR($T147&gt;0,$U147&gt;0),$Q147=""),"CÓDIGO",
IF(AND($C147="S",$P147&lt;&gt;"",$Q147&lt;&gt;"",$R147="(Código não identificado nas referências)"),"CÓDIGO N/ID",
IF(AND($C147="S",OR($R147="",$R147="(digite a descrição aqui)"),OR($Q147&lt;&gt;"",$T147&gt;0,$U147&gt;0)),"DESCRIÇÃO",
IF(AND($C147="S",$P147&lt;&gt;"",$Q147&lt;&gt;"",$S147=""),"UNIDADE",
IF(AND($C147="S",$P147&lt;&gt;"",$Q147&lt;&gt;"",$U147=0),"SEM CUSTO",
IF(AND(TIPOORCAMENTO="Licitado",$AL147=0,$AN147&gt;0),"SEM PREÇO",
IF(AND($C147="S",$P147&lt;&gt;"",$Q147&lt;&gt;"",$U147&gt;0,AND($V147&lt;&gt;"BDI 1",$V147&lt;&gt;"BDI 2",$V147&lt;&gt;"BDI 3")),IF(ISNUMBER($V147),"JUSTIFICAR BDI","BDI"),
IF(OR(AND(import.recurso="OGU",TIPOORCAMENTO="Proposto",LEFT($O$8,5)&lt;&gt;"(N/D:",$AG147&lt;&gt;"",ORÇAMENTO.CustoUnitario&gt;$AG147),AND(TIPOORCAMENTO="LICITADO",ORÇAMENTO.PrecoUnitarioLicitado&gt;$AN147)),"ACIMA REF.",
IF(AND($C147="S",$P147&lt;&gt;"",$Q147&lt;&gt;"",$T147=0,$U147&gt;0),"QUANT.",
IF(AND(Import.TipoArredondamento="TransfereGOV",$L147="F",$C147="S",LEN($Q147)&gt;13),"Código &gt;13",
IF(AND(Import.TipoArredondamento="TransfereGOV",$L147="F",$C147&lt;&gt;"S",LEN($R147)&gt;100),"Descrição &gt;100",
IF(AND(Import.TipoArredondamento="TransfereGOV",$L147="F",$C147="S",LEN($R147)&gt;500),"Descrição &gt;500",
IF(AND(Import.TipoArredondamento="TransfereGOV",$L147="F",$C147="S",LEFT(TRIM(UPPER($P147)),6)&lt;&gt;"SINAPI",ISNA(VLOOKUP(TRIM(UPPER($S147)),ListaTgov.Unidades,1,FALSE))),"Unid. Não Disp",
" "))))))))))))))))</f>
        <v>CÓDIGO N/ID</v>
      </c>
      <c r="AD147" t="str">
        <f ca="1">IF(C147&lt;=CRONO.NivelExibicao,MAX($AD$15:OFFSET(AD147,-1,0))+IF($C147&lt;&gt;1,1,MAX(1,COUNTIF(QCI!$A$13:$A$24,OFFSET($E147,-1,0)))),"")</f>
        <v/>
      </c>
      <c r="AE147" s="7" t="str" cm="1">
        <f t="array" aca="1" ref="AE147" ca="1">IF(AND($C147="S",ORÇAMENTO.CodBarra&lt;&gt;""),IF(ORÇAMENTO.Fonte="",ORÇAMENTO.CodBarra,CONCATENATE(ORÇAMENTO.Fonte," ",ORÇAMENTO.CodBarra)))</f>
        <v>SINAPI 91996</v>
      </c>
      <c r="AF147" s="12" t="str" cm="1">
        <f t="array" aca="1" ref="AF147" ca="1">IF(ISERROR(ORÇAMENTO.BancoRef),"(abra o arquivo 'Referência "&amp;Excel_BuiltIn_Database&amp;".xlsm)",IF(OR($C147&lt;&gt;"S",ORÇAMENTO.CodBarra=""),"(Sem Código)",IF(ISERROR(MATCH($AE147,INDIRECT(ORÇAMENTO.BancoRef),0)),"(Código não identificado nas referências)",MATCH($AE147,INDIRECT(ORÇAMENTO.BancoRef),0))))</f>
        <v>(Código não identificado nas referências)</v>
      </c>
      <c r="AG147" s="428" cm="1">
        <f t="array" aca="1" ref="AG147" ca="1">ROUND(IF(DESONERACAO="sim",REFERENCIA.Desonerado,REFERENCIA.NaoDesonerado),2)</f>
        <v>0</v>
      </c>
      <c r="AH147" s="429">
        <f t="shared" ca="1" si="33"/>
        <v>0.2223</v>
      </c>
      <c r="AJ147" s="431"/>
      <c r="AL147" s="439"/>
      <c r="AM147" s="336">
        <f t="shared" ca="1" si="0"/>
        <v>0</v>
      </c>
      <c r="AN147" s="470" cm="1">
        <f t="array" aca="1" ref="AN147" ca="1">ROUND(ORÇAMENTO.CustoUnitario*(1+$AH147),2)</f>
        <v>0</v>
      </c>
    </row>
    <row r="148" spans="1:40" ht="25.5" x14ac:dyDescent="0.2">
      <c r="A148" t="str">
        <f t="shared" si="32"/>
        <v>S</v>
      </c>
      <c r="B148">
        <f t="shared" ca="1" si="19"/>
        <v>3</v>
      </c>
      <c r="C148" t="str">
        <f t="shared" ca="1" si="20"/>
        <v>S</v>
      </c>
      <c r="D148">
        <f t="shared" ca="1" si="21"/>
        <v>0</v>
      </c>
      <c r="E148">
        <f ca="1">IF($C148=1,OFFSET(E148,-1,0)+MAX(1,COUNTIF(QCI!$A$13:$A$24,OFFSET(ORÇAMENTO!E148,-1,0))),OFFSET(E148,-1,0))</f>
        <v>9</v>
      </c>
      <c r="F148">
        <f t="shared" ca="1" si="22"/>
        <v>1</v>
      </c>
      <c r="G148">
        <f t="shared" ca="1" si="23"/>
        <v>2</v>
      </c>
      <c r="H148">
        <f t="shared" ca="1" si="24"/>
        <v>0</v>
      </c>
      <c r="I148">
        <f t="shared" ca="1" si="25"/>
        <v>0</v>
      </c>
      <c r="J148">
        <f t="shared" ca="1" si="34"/>
        <v>0</v>
      </c>
      <c r="K148">
        <f ca="1">IF(OR($C148="S",$C148=0),0,MATCH(OFFSET($D148,0,$C148)+IF($C148&lt;&gt;1,1,COUNTIF(QCI!$A$13:$A$24,ORÇAMENTO!E148)),OFFSET($D148,1,$C148,ROW($C$244)-ROW($C148)),0))</f>
        <v>0</v>
      </c>
      <c r="L148" s="114" t="str">
        <f t="shared" ca="1" si="26"/>
        <v/>
      </c>
      <c r="M148" s="115" t="s">
        <v>705</v>
      </c>
      <c r="N148" s="116" t="str">
        <f t="shared" ca="1" si="27"/>
        <v>Serviço</v>
      </c>
      <c r="O148" s="117" t="str">
        <f t="shared" ca="1" si="28"/>
        <v>-</v>
      </c>
      <c r="P148" s="118" t="s">
        <v>750</v>
      </c>
      <c r="Q148" s="119" t="s">
        <v>1096</v>
      </c>
      <c r="R148" s="120" t="str" cm="1">
        <f t="array" aca="1" ref="R148" ca="1">IF($C148="S",REFERENCIA.Descricao,"(digite a descrição aqui)")</f>
        <v>(Código não identificado nas referências)</v>
      </c>
      <c r="S148" s="121" t="str" cm="1">
        <f t="array" aca="1" ref="S148" ca="1">REFERENCIA.Unidade</f>
        <v>-</v>
      </c>
      <c r="T148" s="122">
        <f ca="1">OFFSET(CÁLCULO!H$15,ROW($T148)-ROW(T$15),0)</f>
        <v>20</v>
      </c>
      <c r="U148" s="123">
        <f t="shared" ca="1" si="29"/>
        <v>0</v>
      </c>
      <c r="V148" s="124" t="s">
        <v>663</v>
      </c>
      <c r="W148" s="122" cm="1">
        <f t="array" aca="1" ref="W148" ca="1">IF($C148="S",ROUND(IF(TIPOORCAMENTO="Proposto",ORÇAMENTO.CustoUnitario*(1+$AH148),ORÇAMENTO.PrecoUnitarioLicitado),15-13*$AF$10),0)</f>
        <v>0</v>
      </c>
      <c r="X148" s="125" cm="1">
        <f t="array" aca="1" ref="X148" ca="1">IF($C148="S",IF(OR(Import.TipoArredondamento&lt;&gt;"TransfereGOV",ACOMPANHAMENTO="BM"),VTOTAL1,SUM(OFFSET(CÁLCULO!$AQ$15,ROW($X148)-ROW($X$15),1):OFFSET(CÁLCULO!$BR$15,ROW($X148)-ROW($X$15),-1))),IF($C148=0,0,ROUND(SomaAgrup,15-13*$AF$11)))</f>
        <v>0</v>
      </c>
      <c r="Y148" s="126" t="s">
        <v>751</v>
      </c>
      <c r="Z148" t="str">
        <f t="shared" ca="1" si="30"/>
        <v/>
      </c>
      <c r="AA148" s="127" cm="1">
        <f t="array" aca="1" ref="AA148" ca="1">IF($C148="S",IF($Z148="CP",$X148,IF($Z148="RA",(($X148)*QCI!$AA$3),0)),SomaAgrup)</f>
        <v>0</v>
      </c>
      <c r="AB148" s="128" cm="1">
        <f t="array" aca="1" ref="AB148" ca="1">IF($C148="S",IF($Z148="OU",ROUND($X148,2),0),SomaAgrup)</f>
        <v>0</v>
      </c>
      <c r="AC148" s="565" t="str" cm="1">
        <f t="array" aca="1" ref="AC148" ca="1">IF($N148=""," ",
IF(AND($C148&lt;&gt;"S",OR($R148="",$R148="(digite a descrição aqui)")),"DESCRIÇÃO",
IF(AND($C148="S",OR($Q148&lt;&gt;"",$T148&gt;0,$U148&gt;0),$P148=""),"FONTE",
IF(AND($C148="S",$P148&lt;&gt;"",OR($T148&gt;0,$U148&gt;0),$Q148=""),"CÓDIGO",
IF(AND($C148="S",$P148&lt;&gt;"",$Q148&lt;&gt;"",$R148="(Código não identificado nas referências)"),"CÓDIGO N/ID",
IF(AND($C148="S",OR($R148="",$R148="(digite a descrição aqui)"),OR($Q148&lt;&gt;"",$T148&gt;0,$U148&gt;0)),"DESCRIÇÃO",
IF(AND($C148="S",$P148&lt;&gt;"",$Q148&lt;&gt;"",$S148=""),"UNIDADE",
IF(AND($C148="S",$P148&lt;&gt;"",$Q148&lt;&gt;"",$U148=0),"SEM CUSTO",
IF(AND(TIPOORCAMENTO="Licitado",$AL148=0,$AN148&gt;0),"SEM PREÇO",
IF(AND($C148="S",$P148&lt;&gt;"",$Q148&lt;&gt;"",$U148&gt;0,AND($V148&lt;&gt;"BDI 1",$V148&lt;&gt;"BDI 2",$V148&lt;&gt;"BDI 3")),IF(ISNUMBER($V148),"JUSTIFICAR BDI","BDI"),
IF(OR(AND(import.recurso="OGU",TIPOORCAMENTO="Proposto",LEFT($O$8,5)&lt;&gt;"(N/D:",$AG148&lt;&gt;"",ORÇAMENTO.CustoUnitario&gt;$AG148),AND(TIPOORCAMENTO="LICITADO",ORÇAMENTO.PrecoUnitarioLicitado&gt;$AN148)),"ACIMA REF.",
IF(AND($C148="S",$P148&lt;&gt;"",$Q148&lt;&gt;"",$T148=0,$U148&gt;0),"QUANT.",
IF(AND(Import.TipoArredondamento="TransfereGOV",$L148="F",$C148="S",LEN($Q148)&gt;13),"Código &gt;13",
IF(AND(Import.TipoArredondamento="TransfereGOV",$L148="F",$C148&lt;&gt;"S",LEN($R148)&gt;100),"Descrição &gt;100",
IF(AND(Import.TipoArredondamento="TransfereGOV",$L148="F",$C148="S",LEN($R148)&gt;500),"Descrição &gt;500",
IF(AND(Import.TipoArredondamento="TransfereGOV",$L148="F",$C148="S",LEFT(TRIM(UPPER($P148)),6)&lt;&gt;"SINAPI",ISNA(VLOOKUP(TRIM(UPPER($S148)),ListaTgov.Unidades,1,FALSE))),"Unid. Não Disp",
" "))))))))))))))))</f>
        <v>CÓDIGO N/ID</v>
      </c>
      <c r="AD148" t="str">
        <f ca="1">IF(C148&lt;=CRONO.NivelExibicao,MAX($AD$15:OFFSET(AD148,-1,0))+IF($C148&lt;&gt;1,1,MAX(1,COUNTIF(QCI!$A$13:$A$24,OFFSET($E148,-1,0)))),"")</f>
        <v/>
      </c>
      <c r="AE148" s="7" t="str" cm="1">
        <f t="array" aca="1" ref="AE148" ca="1">IF(AND($C148="S",ORÇAMENTO.CodBarra&lt;&gt;""),IF(ORÇAMENTO.Fonte="",ORÇAMENTO.CodBarra,CONCATENATE(ORÇAMENTO.Fonte," ",ORÇAMENTO.CodBarra)))</f>
        <v>SINAPI 91993</v>
      </c>
      <c r="AF148" s="12" t="str" cm="1">
        <f t="array" aca="1" ref="AF148" ca="1">IF(ISERROR(ORÇAMENTO.BancoRef),"(abra o arquivo 'Referência "&amp;Excel_BuiltIn_Database&amp;".xlsm)",IF(OR($C148&lt;&gt;"S",ORÇAMENTO.CodBarra=""),"(Sem Código)",IF(ISERROR(MATCH($AE148,INDIRECT(ORÇAMENTO.BancoRef),0)),"(Código não identificado nas referências)",MATCH($AE148,INDIRECT(ORÇAMENTO.BancoRef),0))))</f>
        <v>(Código não identificado nas referências)</v>
      </c>
      <c r="AG148" s="428" cm="1">
        <f t="array" aca="1" ref="AG148" ca="1">ROUND(IF(DESONERACAO="sim",REFERENCIA.Desonerado,REFERENCIA.NaoDesonerado),2)</f>
        <v>0</v>
      </c>
      <c r="AH148" s="429">
        <f t="shared" ca="1" si="33"/>
        <v>0.2223</v>
      </c>
      <c r="AJ148" s="431"/>
      <c r="AL148" s="439"/>
      <c r="AM148" s="336">
        <f t="shared" ca="1" si="0"/>
        <v>0</v>
      </c>
      <c r="AN148" s="470" cm="1">
        <f t="array" aca="1" ref="AN148" ca="1">ROUND(ORÇAMENTO.CustoUnitario*(1+$AH148),2)</f>
        <v>0</v>
      </c>
    </row>
    <row r="149" spans="1:40" ht="38.25" x14ac:dyDescent="0.2">
      <c r="A149" t="str">
        <f t="shared" ref="A149:A180" si="35">CHOOSE(1+LOG(1+2*(ORÇAMENTO.Nivel="Meta")+4*(ORÇAMENTO.Nivel="Nível 2")+8*(ORÇAMENTO.Nivel="Nível 3")+16*(ORÇAMENTO.Nivel="Nível 4")+32*(ORÇAMENTO.Nivel="Serviço"),2),0,1,2,3,4,"S")</f>
        <v>S</v>
      </c>
      <c r="B149">
        <f t="shared" ref="B149:B212" ca="1" si="36">IF(OR(C149="s",C149=0),OFFSET(B149,-1,0),C149)</f>
        <v>3</v>
      </c>
      <c r="C149" t="str">
        <f t="shared" ref="C149:C212" ca="1" si="37">IF(OFFSET(C149,-1,0)="L",1,IF(OFFSET(C149,-1,0)=1,2,IF(OR(A149="s",A149=0),"S",IF(AND(OFFSET(C149,-1,0)=2,A149=4),3,IF(AND(OR(OFFSET(C149,-1,0)="s",OFFSET(C149,-1,0)=0),A149&lt;&gt;"s",A149&gt;OFFSET(B149,-1,0)),OFFSET(B149,-1,0),A149)))))</f>
        <v>S</v>
      </c>
      <c r="D149">
        <f t="shared" ref="D149:D212" ca="1" si="38">IF(OR(C149="S",C149=0),0,IF(ISERROR(K149),J149,SMALL(J149:K149,1)))</f>
        <v>0</v>
      </c>
      <c r="E149">
        <f ca="1">IF($C149=1,OFFSET(E149,-1,0)+MAX(1,COUNTIF(QCI!$A$13:$A$24,OFFSET(ORÇAMENTO!E149,-1,0))),OFFSET(E149,-1,0))</f>
        <v>9</v>
      </c>
      <c r="F149">
        <f t="shared" ref="F149:F212" ca="1" si="39">IF($C149=1,0,IF($C149=2,OFFSET(F149,-1,0)+1,OFFSET(F149,-1,0)))</f>
        <v>1</v>
      </c>
      <c r="G149">
        <f t="shared" ref="G149:G212" ca="1" si="40">IF(AND($C149&lt;=2,$C149&lt;&gt;0),0,IF($C149=3,OFFSET(G149,-1,0)+1,OFFSET(G149,-1,0)))</f>
        <v>2</v>
      </c>
      <c r="H149">
        <f t="shared" ref="H149:H212" ca="1" si="41">IF(AND($C149&lt;=3,$C149&lt;&gt;0),0,IF($C149=4,OFFSET(H149,-1,0)+1,OFFSET(H149,-1,0)))</f>
        <v>0</v>
      </c>
      <c r="I149">
        <f t="shared" ref="I149:I212" ca="1" si="42">IF(AND($C149&lt;=4,$C149&lt;&gt;0),0,IF(AND($C149="S",$X149&gt;0),OFFSET(I149,-1,0)+1,OFFSET(I149,-1,0)))</f>
        <v>0</v>
      </c>
      <c r="J149">
        <f t="shared" ca="1" si="34"/>
        <v>0</v>
      </c>
      <c r="K149">
        <f ca="1">IF(OR($C149="S",$C149=0),0,MATCH(OFFSET($D149,0,$C149)+IF($C149&lt;&gt;1,1,COUNTIF(QCI!$A$13:$A$24,ORÇAMENTO!E149)),OFFSET($D149,1,$C149,ROW($C$244)-ROW($C149)),0))</f>
        <v>0</v>
      </c>
      <c r="L149" s="114" t="str">
        <f t="shared" ref="L149:L212" ca="1" si="43">IF(OR($X149&gt;0,$C149=1,$C149=2,$C149=3,$C149=4),"F","")</f>
        <v/>
      </c>
      <c r="M149" s="115" t="s">
        <v>705</v>
      </c>
      <c r="N149" s="116" t="str">
        <f t="shared" ref="N149:N212" ca="1" si="44">CHOOSE(1+LOG(1+2*(C149=1)+4*(C149=2)+8*(C149=3)+16*(C149=4)+32*(C149="S"),2),"","Meta","Nível 2","Nível 3","Nível 4","Serviço")</f>
        <v>Serviço</v>
      </c>
      <c r="O149" s="117" t="str">
        <f t="shared" ref="O149:O212" ca="1" si="45">IF(OR($C149=0,$L149=""),"-",CONCATENATE(E149&amp;".",IF(AND($A$5&gt;=2,$C149&gt;=2),F149&amp;".",""),IF(AND($A$5&gt;=3,$C149&gt;=3),G149&amp;".",""),IF(AND($A$5&gt;=4,$C149&gt;=4),H149&amp;".",""),IF($C149="S",I149&amp;".","")))</f>
        <v>-</v>
      </c>
      <c r="P149" s="118" t="s">
        <v>750</v>
      </c>
      <c r="Q149" s="119" t="s">
        <v>1097</v>
      </c>
      <c r="R149" s="120" t="str" cm="1">
        <f t="array" aca="1" ref="R149" ca="1">IF($C149="S",REFERENCIA.Descricao,"(digite a descrição aqui)")</f>
        <v>(Código não identificado nas referências)</v>
      </c>
      <c r="S149" s="121" t="str" cm="1">
        <f t="array" aca="1" ref="S149" ca="1">REFERENCIA.Unidade</f>
        <v>-</v>
      </c>
      <c r="T149" s="122">
        <f ca="1">OFFSET(CÁLCULO!H$15,ROW($T149)-ROW(T$15),0)</f>
        <v>20</v>
      </c>
      <c r="U149" s="123">
        <f t="shared" ref="U149:U212" ca="1" si="46">AG149</f>
        <v>0</v>
      </c>
      <c r="V149" s="124" t="s">
        <v>663</v>
      </c>
      <c r="W149" s="122" cm="1">
        <f t="array" aca="1" ref="W149" ca="1">IF($C149="S",ROUND(IF(TIPOORCAMENTO="Proposto",ORÇAMENTO.CustoUnitario*(1+$AH149),ORÇAMENTO.PrecoUnitarioLicitado),15-13*$AF$10),0)</f>
        <v>0</v>
      </c>
      <c r="X149" s="125" cm="1">
        <f t="array" aca="1" ref="X149" ca="1">IF($C149="S",IF(OR(Import.TipoArredondamento&lt;&gt;"TransfereGOV",ACOMPANHAMENTO="BM"),VTOTAL1,SUM(OFFSET(CÁLCULO!$AQ$15,ROW($X149)-ROW($X$15),1):OFFSET(CÁLCULO!$BR$15,ROW($X149)-ROW($X$15),-1))),IF($C149=0,0,ROUND(SomaAgrup,15-13*$AF$11)))</f>
        <v>0</v>
      </c>
      <c r="Y149" s="126" t="s">
        <v>751</v>
      </c>
      <c r="Z149" t="str">
        <f t="shared" ref="Z149:Z212" ca="1" si="47">IF(AND($C149="S",$X149&gt;0),IF(ISBLANK($Y149),"RA",LEFT($Y149,2)),"")</f>
        <v/>
      </c>
      <c r="AA149" s="127" cm="1">
        <f t="array" aca="1" ref="AA149" ca="1">IF($C149="S",IF($Z149="CP",$X149,IF($Z149="RA",(($X149)*QCI!$AA$3),0)),SomaAgrup)</f>
        <v>0</v>
      </c>
      <c r="AB149" s="128" cm="1">
        <f t="array" aca="1" ref="AB149" ca="1">IF($C149="S",IF($Z149="OU",ROUND($X149,2),0),SomaAgrup)</f>
        <v>0</v>
      </c>
      <c r="AC149" s="565" t="str" cm="1">
        <f t="array" aca="1" ref="AC149" ca="1">IF($N149=""," ",
IF(AND($C149&lt;&gt;"S",OR($R149="",$R149="(digite a descrição aqui)")),"DESCRIÇÃO",
IF(AND($C149="S",OR($Q149&lt;&gt;"",$T149&gt;0,$U149&gt;0),$P149=""),"FONTE",
IF(AND($C149="S",$P149&lt;&gt;"",OR($T149&gt;0,$U149&gt;0),$Q149=""),"CÓDIGO",
IF(AND($C149="S",$P149&lt;&gt;"",$Q149&lt;&gt;"",$R149="(Código não identificado nas referências)"),"CÓDIGO N/ID",
IF(AND($C149="S",OR($R149="",$R149="(digite a descrição aqui)"),OR($Q149&lt;&gt;"",$T149&gt;0,$U149&gt;0)),"DESCRIÇÃO",
IF(AND($C149="S",$P149&lt;&gt;"",$Q149&lt;&gt;"",$S149=""),"UNIDADE",
IF(AND($C149="S",$P149&lt;&gt;"",$Q149&lt;&gt;"",$U149=0),"SEM CUSTO",
IF(AND(TIPOORCAMENTO="Licitado",$AL149=0,$AN149&gt;0),"SEM PREÇO",
IF(AND($C149="S",$P149&lt;&gt;"",$Q149&lt;&gt;"",$U149&gt;0,AND($V149&lt;&gt;"BDI 1",$V149&lt;&gt;"BDI 2",$V149&lt;&gt;"BDI 3")),IF(ISNUMBER($V149),"JUSTIFICAR BDI","BDI"),
IF(OR(AND(import.recurso="OGU",TIPOORCAMENTO="Proposto",LEFT($O$8,5)&lt;&gt;"(N/D:",$AG149&lt;&gt;"",ORÇAMENTO.CustoUnitario&gt;$AG149),AND(TIPOORCAMENTO="LICITADO",ORÇAMENTO.PrecoUnitarioLicitado&gt;$AN149)),"ACIMA REF.",
IF(AND($C149="S",$P149&lt;&gt;"",$Q149&lt;&gt;"",$T149=0,$U149&gt;0),"QUANT.",
IF(AND(Import.TipoArredondamento="TransfereGOV",$L149="F",$C149="S",LEN($Q149)&gt;13),"Código &gt;13",
IF(AND(Import.TipoArredondamento="TransfereGOV",$L149="F",$C149&lt;&gt;"S",LEN($R149)&gt;100),"Descrição &gt;100",
IF(AND(Import.TipoArredondamento="TransfereGOV",$L149="F",$C149="S",LEN($R149)&gt;500),"Descrição &gt;500",
IF(AND(Import.TipoArredondamento="TransfereGOV",$L149="F",$C149="S",LEFT(TRIM(UPPER($P149)),6)&lt;&gt;"SINAPI",ISNA(VLOOKUP(TRIM(UPPER($S149)),ListaTgov.Unidades,1,FALSE))),"Unid. Não Disp",
" "))))))))))))))))</f>
        <v>CÓDIGO N/ID</v>
      </c>
      <c r="AD149" t="str">
        <f ca="1">IF(C149&lt;=CRONO.NivelExibicao,MAX($AD$15:OFFSET(AD149,-1,0))+IF($C149&lt;&gt;1,1,MAX(1,COUNTIF(QCI!$A$13:$A$24,OFFSET($E149,-1,0)))),"")</f>
        <v/>
      </c>
      <c r="AE149" s="7" t="str" cm="1">
        <f t="array" aca="1" ref="AE149" ca="1">IF(AND($C149="S",ORÇAMENTO.CodBarra&lt;&gt;""),IF(ORÇAMENTO.Fonte="",ORÇAMENTO.CodBarra,CONCATENATE(ORÇAMENTO.Fonte," ",ORÇAMENTO.CodBarra)))</f>
        <v>SINAPI 91985</v>
      </c>
      <c r="AF149" s="12" t="str" cm="1">
        <f t="array" aca="1" ref="AF149" ca="1">IF(ISERROR(ORÇAMENTO.BancoRef),"(abra o arquivo 'Referência "&amp;Excel_BuiltIn_Database&amp;".xlsm)",IF(OR($C149&lt;&gt;"S",ORÇAMENTO.CodBarra=""),"(Sem Código)",IF(ISERROR(MATCH($AE149,INDIRECT(ORÇAMENTO.BancoRef),0)),"(Código não identificado nas referências)",MATCH($AE149,INDIRECT(ORÇAMENTO.BancoRef),0))))</f>
        <v>(Código não identificado nas referências)</v>
      </c>
      <c r="AG149" s="428" cm="1">
        <f t="array" aca="1" ref="AG149" ca="1">ROUND(IF(DESONERACAO="sim",REFERENCIA.Desonerado,REFERENCIA.NaoDesonerado),2)</f>
        <v>0</v>
      </c>
      <c r="AH149" s="429">
        <f t="shared" ref="AH149:AH180" ca="1" si="48">ROUND(IF(ISNUMBER(ORÇAMENTO.OpcaoBDI),ORÇAMENTO.OpcaoBDI,IF(LEFT(ORÇAMENTO.OpcaoBDI,3)="BDI",HLOOKUP(ORÇAMENTO.OpcaoBDI,$F$4:$H$5,2,FALSE),0)),15-11*$AF$9)</f>
        <v>0.2223</v>
      </c>
      <c r="AJ149" s="431"/>
      <c r="AL149" s="439"/>
      <c r="AM149" s="336">
        <f t="shared" ca="1" si="0"/>
        <v>0</v>
      </c>
      <c r="AN149" s="470" cm="1">
        <f t="array" aca="1" ref="AN149" ca="1">ROUND(ORÇAMENTO.CustoUnitario*(1+$AH149),2)</f>
        <v>0</v>
      </c>
    </row>
    <row r="150" spans="1:40" ht="25.5" x14ac:dyDescent="0.2">
      <c r="A150" t="str">
        <f t="shared" si="35"/>
        <v>S</v>
      </c>
      <c r="B150">
        <f t="shared" ca="1" si="36"/>
        <v>3</v>
      </c>
      <c r="C150" t="str">
        <f t="shared" ca="1" si="37"/>
        <v>S</v>
      </c>
      <c r="D150">
        <f t="shared" ca="1" si="38"/>
        <v>0</v>
      </c>
      <c r="E150">
        <f ca="1">IF($C150=1,OFFSET(E150,-1,0)+MAX(1,COUNTIF(QCI!$A$13:$A$24,OFFSET(ORÇAMENTO!E150,-1,0))),OFFSET(E150,-1,0))</f>
        <v>9</v>
      </c>
      <c r="F150">
        <f t="shared" ca="1" si="39"/>
        <v>1</v>
      </c>
      <c r="G150">
        <f t="shared" ca="1" si="40"/>
        <v>2</v>
      </c>
      <c r="H150">
        <f t="shared" ca="1" si="41"/>
        <v>0</v>
      </c>
      <c r="I150">
        <f t="shared" ca="1" si="42"/>
        <v>0</v>
      </c>
      <c r="J150">
        <f t="shared" ca="1" si="34"/>
        <v>0</v>
      </c>
      <c r="K150">
        <f ca="1">IF(OR($C150="S",$C150=0),0,MATCH(OFFSET($D150,0,$C150)+IF($C150&lt;&gt;1,1,COUNTIF(QCI!$A$13:$A$24,ORÇAMENTO!E150)),OFFSET($D150,1,$C150,ROW($C$244)-ROW($C150)),0))</f>
        <v>0</v>
      </c>
      <c r="L150" s="114" t="str">
        <f t="shared" ca="1" si="43"/>
        <v/>
      </c>
      <c r="M150" s="115" t="s">
        <v>705</v>
      </c>
      <c r="N150" s="116" t="str">
        <f t="shared" ca="1" si="44"/>
        <v>Serviço</v>
      </c>
      <c r="O150" s="117" t="str">
        <f t="shared" ca="1" si="45"/>
        <v>-</v>
      </c>
      <c r="P150" s="118" t="s">
        <v>750</v>
      </c>
      <c r="Q150" s="119" t="s">
        <v>1098</v>
      </c>
      <c r="R150" s="120" t="str" cm="1">
        <f t="array" aca="1" ref="R150" ca="1">IF($C150="S",REFERENCIA.Descricao,"(digite a descrição aqui)")</f>
        <v>(Código não identificado nas referências)</v>
      </c>
      <c r="S150" s="121" t="str" cm="1">
        <f t="array" aca="1" ref="S150" ca="1">REFERENCIA.Unidade</f>
        <v>-</v>
      </c>
      <c r="T150" s="122">
        <f ca="1">OFFSET(CÁLCULO!H$15,ROW($T150)-ROW(T$15),0)</f>
        <v>20</v>
      </c>
      <c r="U150" s="123">
        <f t="shared" ca="1" si="46"/>
        <v>0</v>
      </c>
      <c r="V150" s="124" t="s">
        <v>663</v>
      </c>
      <c r="W150" s="122" cm="1">
        <f t="array" aca="1" ref="W150" ca="1">IF($C150="S",ROUND(IF(TIPOORCAMENTO="Proposto",ORÇAMENTO.CustoUnitario*(1+$AH150),ORÇAMENTO.PrecoUnitarioLicitado),15-13*$AF$10),0)</f>
        <v>0</v>
      </c>
      <c r="X150" s="125" cm="1">
        <f t="array" aca="1" ref="X150" ca="1">IF($C150="S",IF(OR(Import.TipoArredondamento&lt;&gt;"TransfereGOV",ACOMPANHAMENTO="BM"),VTOTAL1,SUM(OFFSET(CÁLCULO!$AQ$15,ROW($X150)-ROW($X$15),1):OFFSET(CÁLCULO!$BR$15,ROW($X150)-ROW($X$15),-1))),IF($C150=0,0,ROUND(SomaAgrup,15-13*$AF$11)))</f>
        <v>0</v>
      </c>
      <c r="Y150" s="126" t="s">
        <v>751</v>
      </c>
      <c r="Z150" t="str">
        <f t="shared" ca="1" si="47"/>
        <v/>
      </c>
      <c r="AA150" s="127" cm="1">
        <f t="array" aca="1" ref="AA150" ca="1">IF($C150="S",IF($Z150="CP",$X150,IF($Z150="RA",(($X150)*QCI!$AA$3),0)),SomaAgrup)</f>
        <v>0</v>
      </c>
      <c r="AB150" s="128" cm="1">
        <f t="array" aca="1" ref="AB150" ca="1">IF($C150="S",IF($Z150="OU",ROUND($X150,2),0),SomaAgrup)</f>
        <v>0</v>
      </c>
      <c r="AC150" s="565" t="str" cm="1">
        <f t="array" aca="1" ref="AC150" ca="1">IF($N150=""," ",
IF(AND($C150&lt;&gt;"S",OR($R150="",$R150="(digite a descrição aqui)")),"DESCRIÇÃO",
IF(AND($C150="S",OR($Q150&lt;&gt;"",$T150&gt;0,$U150&gt;0),$P150=""),"FONTE",
IF(AND($C150="S",$P150&lt;&gt;"",OR($T150&gt;0,$U150&gt;0),$Q150=""),"CÓDIGO",
IF(AND($C150="S",$P150&lt;&gt;"",$Q150&lt;&gt;"",$R150="(Código não identificado nas referências)"),"CÓDIGO N/ID",
IF(AND($C150="S",OR($R150="",$R150="(digite a descrição aqui)"),OR($Q150&lt;&gt;"",$T150&gt;0,$U150&gt;0)),"DESCRIÇÃO",
IF(AND($C150="S",$P150&lt;&gt;"",$Q150&lt;&gt;"",$S150=""),"UNIDADE",
IF(AND($C150="S",$P150&lt;&gt;"",$Q150&lt;&gt;"",$U150=0),"SEM CUSTO",
IF(AND(TIPOORCAMENTO="Licitado",$AL150=0,$AN150&gt;0),"SEM PREÇO",
IF(AND($C150="S",$P150&lt;&gt;"",$Q150&lt;&gt;"",$U150&gt;0,AND($V150&lt;&gt;"BDI 1",$V150&lt;&gt;"BDI 2",$V150&lt;&gt;"BDI 3")),IF(ISNUMBER($V150),"JUSTIFICAR BDI","BDI"),
IF(OR(AND(import.recurso="OGU",TIPOORCAMENTO="Proposto",LEFT($O$8,5)&lt;&gt;"(N/D:",$AG150&lt;&gt;"",ORÇAMENTO.CustoUnitario&gt;$AG150),AND(TIPOORCAMENTO="LICITADO",ORÇAMENTO.PrecoUnitarioLicitado&gt;$AN150)),"ACIMA REF.",
IF(AND($C150="S",$P150&lt;&gt;"",$Q150&lt;&gt;"",$T150=0,$U150&gt;0),"QUANT.",
IF(AND(Import.TipoArredondamento="TransfereGOV",$L150="F",$C150="S",LEN($Q150)&gt;13),"Código &gt;13",
IF(AND(Import.TipoArredondamento="TransfereGOV",$L150="F",$C150&lt;&gt;"S",LEN($R150)&gt;100),"Descrição &gt;100",
IF(AND(Import.TipoArredondamento="TransfereGOV",$L150="F",$C150="S",LEN($R150)&gt;500),"Descrição &gt;500",
IF(AND(Import.TipoArredondamento="TransfereGOV",$L150="F",$C150="S",LEFT(TRIM(UPPER($P150)),6)&lt;&gt;"SINAPI",ISNA(VLOOKUP(TRIM(UPPER($S150)),ListaTgov.Unidades,1,FALSE))),"Unid. Não Disp",
" "))))))))))))))))</f>
        <v>CÓDIGO N/ID</v>
      </c>
      <c r="AD150" t="str">
        <f ca="1">IF(C150&lt;=CRONO.NivelExibicao,MAX($AD$15:OFFSET(AD150,-1,0))+IF($C150&lt;&gt;1,1,MAX(1,COUNTIF(QCI!$A$13:$A$24,OFFSET($E150,-1,0)))),"")</f>
        <v/>
      </c>
      <c r="AE150" s="7" t="str" cm="1">
        <f t="array" aca="1" ref="AE150" ca="1">IF(AND($C150="S",ORÇAMENTO.CodBarra&lt;&gt;""),IF(ORÇAMENTO.Fonte="",ORÇAMENTO.CodBarra,CONCATENATE(ORÇAMENTO.Fonte," ",ORÇAMENTO.CodBarra)))</f>
        <v>SINAPI 91987</v>
      </c>
      <c r="AF150" s="12" t="str" cm="1">
        <f t="array" aca="1" ref="AF150" ca="1">IF(ISERROR(ORÇAMENTO.BancoRef),"(abra o arquivo 'Referência "&amp;Excel_BuiltIn_Database&amp;".xlsm)",IF(OR($C150&lt;&gt;"S",ORÇAMENTO.CodBarra=""),"(Sem Código)",IF(ISERROR(MATCH($AE150,INDIRECT(ORÇAMENTO.BancoRef),0)),"(Código não identificado nas referências)",MATCH($AE150,INDIRECT(ORÇAMENTO.BancoRef),0))))</f>
        <v>(Código não identificado nas referências)</v>
      </c>
      <c r="AG150" s="428" cm="1">
        <f t="array" aca="1" ref="AG150" ca="1">ROUND(IF(DESONERACAO="sim",REFERENCIA.Desonerado,REFERENCIA.NaoDesonerado),2)</f>
        <v>0</v>
      </c>
      <c r="AH150" s="429">
        <f t="shared" ca="1" si="48"/>
        <v>0.2223</v>
      </c>
      <c r="AJ150" s="431"/>
      <c r="AL150" s="439"/>
      <c r="AM150" s="336">
        <f t="shared" ca="1" si="0"/>
        <v>0</v>
      </c>
      <c r="AN150" s="470" cm="1">
        <f t="array" aca="1" ref="AN150" ca="1">ROUND(ORÇAMENTO.CustoUnitario*(1+$AH150),2)</f>
        <v>0</v>
      </c>
    </row>
    <row r="151" spans="1:40" ht="38.25" x14ac:dyDescent="0.2">
      <c r="A151" t="str">
        <f t="shared" si="35"/>
        <v>S</v>
      </c>
      <c r="B151">
        <f t="shared" ca="1" si="36"/>
        <v>3</v>
      </c>
      <c r="C151" t="str">
        <f t="shared" ca="1" si="37"/>
        <v>S</v>
      </c>
      <c r="D151">
        <f t="shared" ca="1" si="38"/>
        <v>0</v>
      </c>
      <c r="E151">
        <f ca="1">IF($C151=1,OFFSET(E151,-1,0)+MAX(1,COUNTIF(QCI!$A$13:$A$24,OFFSET(ORÇAMENTO!E151,-1,0))),OFFSET(E151,-1,0))</f>
        <v>9</v>
      </c>
      <c r="F151">
        <f t="shared" ca="1" si="39"/>
        <v>1</v>
      </c>
      <c r="G151">
        <f t="shared" ca="1" si="40"/>
        <v>2</v>
      </c>
      <c r="H151">
        <f t="shared" ca="1" si="41"/>
        <v>0</v>
      </c>
      <c r="I151">
        <f t="shared" ca="1" si="42"/>
        <v>0</v>
      </c>
      <c r="J151">
        <f t="shared" ca="1" si="34"/>
        <v>0</v>
      </c>
      <c r="K151">
        <f ca="1">IF(OR($C151="S",$C151=0),0,MATCH(OFFSET($D151,0,$C151)+IF($C151&lt;&gt;1,1,COUNTIF(QCI!$A$13:$A$24,ORÇAMENTO!E151)),OFFSET($D151,1,$C151,ROW($C$244)-ROW($C151)),0))</f>
        <v>0</v>
      </c>
      <c r="L151" s="114" t="str">
        <f t="shared" ca="1" si="43"/>
        <v/>
      </c>
      <c r="M151" s="115" t="s">
        <v>705</v>
      </c>
      <c r="N151" s="116" t="str">
        <f t="shared" ca="1" si="44"/>
        <v>Serviço</v>
      </c>
      <c r="O151" s="117" t="str">
        <f t="shared" ca="1" si="45"/>
        <v>-</v>
      </c>
      <c r="P151" s="118" t="s">
        <v>956</v>
      </c>
      <c r="Q151" s="119" t="s">
        <v>1099</v>
      </c>
      <c r="R151" s="120" t="str" cm="1">
        <f t="array" aca="1" ref="R151" ca="1">IF($C151="S",REFERENCIA.Descricao,"(digite a descrição aqui)")</f>
        <v>(Código não identificado nas referências)</v>
      </c>
      <c r="S151" s="121" t="str" cm="1">
        <f t="array" aca="1" ref="S151" ca="1">REFERENCIA.Unidade</f>
        <v>-</v>
      </c>
      <c r="T151" s="122">
        <f ca="1">OFFSET(CÁLCULO!H$15,ROW($T151)-ROW(T$15),0)</f>
        <v>40</v>
      </c>
      <c r="U151" s="123">
        <f t="shared" ca="1" si="46"/>
        <v>0</v>
      </c>
      <c r="V151" s="124" t="s">
        <v>663</v>
      </c>
      <c r="W151" s="122" cm="1">
        <f t="array" aca="1" ref="W151" ca="1">IF($C151="S",ROUND(IF(TIPOORCAMENTO="Proposto",ORÇAMENTO.CustoUnitario*(1+$AH151),ORÇAMENTO.PrecoUnitarioLicitado),15-13*$AF$10),0)</f>
        <v>0</v>
      </c>
      <c r="X151" s="125" cm="1">
        <f t="array" aca="1" ref="X151" ca="1">IF($C151="S",IF(OR(Import.TipoArredondamento&lt;&gt;"TransfereGOV",ACOMPANHAMENTO="BM"),VTOTAL1,SUM(OFFSET(CÁLCULO!$AQ$15,ROW($X151)-ROW($X$15),1):OFFSET(CÁLCULO!$BR$15,ROW($X151)-ROW($X$15),-1))),IF($C151=0,0,ROUND(SomaAgrup,15-13*$AF$11)))</f>
        <v>0</v>
      </c>
      <c r="Y151" s="126" t="s">
        <v>751</v>
      </c>
      <c r="Z151" t="str">
        <f t="shared" ca="1" si="47"/>
        <v/>
      </c>
      <c r="AA151" s="127" cm="1">
        <f t="array" aca="1" ref="AA151" ca="1">IF($C151="S",IF($Z151="CP",$X151,IF($Z151="RA",(($X151)*QCI!$AA$3),0)),SomaAgrup)</f>
        <v>0</v>
      </c>
      <c r="AB151" s="128" cm="1">
        <f t="array" aca="1" ref="AB151" ca="1">IF($C151="S",IF($Z151="OU",ROUND($X151,2),0),SomaAgrup)</f>
        <v>0</v>
      </c>
      <c r="AC151" s="565" t="str" cm="1">
        <f t="array" aca="1" ref="AC151" ca="1">IF($N151=""," ",
IF(AND($C151&lt;&gt;"S",OR($R151="",$R151="(digite a descrição aqui)")),"DESCRIÇÃO",
IF(AND($C151="S",OR($Q151&lt;&gt;"",$T151&gt;0,$U151&gt;0),$P151=""),"FONTE",
IF(AND($C151="S",$P151&lt;&gt;"",OR($T151&gt;0,$U151&gt;0),$Q151=""),"CÓDIGO",
IF(AND($C151="S",$P151&lt;&gt;"",$Q151&lt;&gt;"",$R151="(Código não identificado nas referências)"),"CÓDIGO N/ID",
IF(AND($C151="S",OR($R151="",$R151="(digite a descrição aqui)"),OR($Q151&lt;&gt;"",$T151&gt;0,$U151&gt;0)),"DESCRIÇÃO",
IF(AND($C151="S",$P151&lt;&gt;"",$Q151&lt;&gt;"",$S151=""),"UNIDADE",
IF(AND($C151="S",$P151&lt;&gt;"",$Q151&lt;&gt;"",$U151=0),"SEM CUSTO",
IF(AND(TIPOORCAMENTO="Licitado",$AL151=0,$AN151&gt;0),"SEM PREÇO",
IF(AND($C151="S",$P151&lt;&gt;"",$Q151&lt;&gt;"",$U151&gt;0,AND($V151&lt;&gt;"BDI 1",$V151&lt;&gt;"BDI 2",$V151&lt;&gt;"BDI 3")),IF(ISNUMBER($V151),"JUSTIFICAR BDI","BDI"),
IF(OR(AND(import.recurso="OGU",TIPOORCAMENTO="Proposto",LEFT($O$8,5)&lt;&gt;"(N/D:",$AG151&lt;&gt;"",ORÇAMENTO.CustoUnitario&gt;$AG151),AND(TIPOORCAMENTO="LICITADO",ORÇAMENTO.PrecoUnitarioLicitado&gt;$AN151)),"ACIMA REF.",
IF(AND($C151="S",$P151&lt;&gt;"",$Q151&lt;&gt;"",$T151=0,$U151&gt;0),"QUANT.",
IF(AND(Import.TipoArredondamento="TransfereGOV",$L151="F",$C151="S",LEN($Q151)&gt;13),"Código &gt;13",
IF(AND(Import.TipoArredondamento="TransfereGOV",$L151="F",$C151&lt;&gt;"S",LEN($R151)&gt;100),"Descrição &gt;100",
IF(AND(Import.TipoArredondamento="TransfereGOV",$L151="F",$C151="S",LEN($R151)&gt;500),"Descrição &gt;500",
IF(AND(Import.TipoArredondamento="TransfereGOV",$L151="F",$C151="S",LEFT(TRIM(UPPER($P151)),6)&lt;&gt;"SINAPI",ISNA(VLOOKUP(TRIM(UPPER($S151)),ListaTgov.Unidades,1,FALSE))),"Unid. Não Disp",
" "))))))))))))))))</f>
        <v>CÓDIGO N/ID</v>
      </c>
      <c r="AD151" t="str">
        <f ca="1">IF(C151&lt;=CRONO.NivelExibicao,MAX($AD$15:OFFSET(AD151,-1,0))+IF($C151&lt;&gt;1,1,MAX(1,COUNTIF(QCI!$A$13:$A$24,OFFSET($E151,-1,0)))),"")</f>
        <v/>
      </c>
      <c r="AE151" s="7" t="str" cm="1">
        <f t="array" aca="1" ref="AE151" ca="1">IF(AND($C151="S",ORÇAMENTO.CodBarra&lt;&gt;""),IF(ORÇAMENTO.Fonte="",ORÇAMENTO.CodBarra,CONCATENATE(ORÇAMENTO.Fonte," ",ORÇAMENTO.CodBarra)))</f>
        <v>Composição 91947_ADP-01</v>
      </c>
      <c r="AF151" s="12" t="str" cm="1">
        <f t="array" aca="1" ref="AF151" ca="1">IF(ISERROR(ORÇAMENTO.BancoRef),"(abra o arquivo 'Referência "&amp;Excel_BuiltIn_Database&amp;".xlsm)",IF(OR($C151&lt;&gt;"S",ORÇAMENTO.CodBarra=""),"(Sem Código)",IF(ISERROR(MATCH($AE151,INDIRECT(ORÇAMENTO.BancoRef),0)),"(Código não identificado nas referências)",MATCH($AE151,INDIRECT(ORÇAMENTO.BancoRef),0))))</f>
        <v>(Código não identificado nas referências)</v>
      </c>
      <c r="AG151" s="428" cm="1">
        <f t="array" aca="1" ref="AG151" ca="1">ROUND(IF(DESONERACAO="sim",REFERENCIA.Desonerado,REFERENCIA.NaoDesonerado),2)</f>
        <v>0</v>
      </c>
      <c r="AH151" s="429">
        <f t="shared" ca="1" si="48"/>
        <v>0.2223</v>
      </c>
      <c r="AJ151" s="431"/>
      <c r="AL151" s="439"/>
      <c r="AM151" s="336">
        <f t="shared" ca="1" si="0"/>
        <v>0</v>
      </c>
      <c r="AN151" s="470" cm="1">
        <f t="array" aca="1" ref="AN151" ca="1">ROUND(ORÇAMENTO.CustoUnitario*(1+$AH151),2)</f>
        <v>0</v>
      </c>
    </row>
    <row r="152" spans="1:40" ht="25.5" x14ac:dyDescent="0.2">
      <c r="A152" t="str">
        <f t="shared" si="35"/>
        <v>S</v>
      </c>
      <c r="B152">
        <f t="shared" ca="1" si="36"/>
        <v>3</v>
      </c>
      <c r="C152" t="str">
        <f t="shared" ca="1" si="37"/>
        <v>S</v>
      </c>
      <c r="D152">
        <f t="shared" ca="1" si="38"/>
        <v>0</v>
      </c>
      <c r="E152">
        <f ca="1">IF($C152=1,OFFSET(E152,-1,0)+MAX(1,COUNTIF(QCI!$A$13:$A$24,OFFSET(ORÇAMENTO!E152,-1,0))),OFFSET(E152,-1,0))</f>
        <v>9</v>
      </c>
      <c r="F152">
        <f t="shared" ca="1" si="39"/>
        <v>1</v>
      </c>
      <c r="G152">
        <f t="shared" ca="1" si="40"/>
        <v>2</v>
      </c>
      <c r="H152">
        <f t="shared" ca="1" si="41"/>
        <v>0</v>
      </c>
      <c r="I152">
        <f t="shared" ca="1" si="42"/>
        <v>0</v>
      </c>
      <c r="J152">
        <f t="shared" ca="1" si="34"/>
        <v>0</v>
      </c>
      <c r="K152">
        <f ca="1">IF(OR($C152="S",$C152=0),0,MATCH(OFFSET($D152,0,$C152)+IF($C152&lt;&gt;1,1,COUNTIF(QCI!$A$13:$A$24,ORÇAMENTO!E152)),OFFSET($D152,1,$C152,ROW($C$244)-ROW($C152)),0))</f>
        <v>0</v>
      </c>
      <c r="L152" s="114" t="str">
        <f t="shared" ca="1" si="43"/>
        <v/>
      </c>
      <c r="M152" s="115" t="s">
        <v>705</v>
      </c>
      <c r="N152" s="116" t="str">
        <f t="shared" ca="1" si="44"/>
        <v>Serviço</v>
      </c>
      <c r="O152" s="117" t="str">
        <f t="shared" ca="1" si="45"/>
        <v>-</v>
      </c>
      <c r="P152" s="118" t="s">
        <v>750</v>
      </c>
      <c r="Q152" s="119" t="s">
        <v>1100</v>
      </c>
      <c r="R152" s="120" t="str" cm="1">
        <f t="array" aca="1" ref="R152" ca="1">IF($C152="S",REFERENCIA.Descricao,"(digite a descrição aqui)")</f>
        <v>(Código não identificado nas referências)</v>
      </c>
      <c r="S152" s="121" t="str" cm="1">
        <f t="array" aca="1" ref="S152" ca="1">REFERENCIA.Unidade</f>
        <v>-</v>
      </c>
      <c r="T152" s="122">
        <f ca="1">OFFSET(CÁLCULO!H$15,ROW($T152)-ROW(T$15),0)</f>
        <v>240</v>
      </c>
      <c r="U152" s="123">
        <f t="shared" ca="1" si="46"/>
        <v>0</v>
      </c>
      <c r="V152" s="124" t="s">
        <v>663</v>
      </c>
      <c r="W152" s="122" cm="1">
        <f t="array" aca="1" ref="W152" ca="1">IF($C152="S",ROUND(IF(TIPOORCAMENTO="Proposto",ORÇAMENTO.CustoUnitario*(1+$AH152),ORÇAMENTO.PrecoUnitarioLicitado),15-13*$AF$10),0)</f>
        <v>0</v>
      </c>
      <c r="X152" s="125" cm="1">
        <f t="array" aca="1" ref="X152" ca="1">IF($C152="S",IF(OR(Import.TipoArredondamento&lt;&gt;"TransfereGOV",ACOMPANHAMENTO="BM"),VTOTAL1,SUM(OFFSET(CÁLCULO!$AQ$15,ROW($X152)-ROW($X$15),1):OFFSET(CÁLCULO!$BR$15,ROW($X152)-ROW($X$15),-1))),IF($C152=0,0,ROUND(SomaAgrup,15-13*$AF$11)))</f>
        <v>0</v>
      </c>
      <c r="Y152" s="126" t="s">
        <v>751</v>
      </c>
      <c r="Z152" t="str">
        <f t="shared" ca="1" si="47"/>
        <v/>
      </c>
      <c r="AA152" s="127" cm="1">
        <f t="array" aca="1" ref="AA152" ca="1">IF($C152="S",IF($Z152="CP",$X152,IF($Z152="RA",(($X152)*QCI!$AA$3),0)),SomaAgrup)</f>
        <v>0</v>
      </c>
      <c r="AB152" s="128" cm="1">
        <f t="array" aca="1" ref="AB152" ca="1">IF($C152="S",IF($Z152="OU",ROUND($X152,2),0),SomaAgrup)</f>
        <v>0</v>
      </c>
      <c r="AC152" s="565" t="str" cm="1">
        <f t="array" aca="1" ref="AC152" ca="1">IF($N152=""," ",
IF(AND($C152&lt;&gt;"S",OR($R152="",$R152="(digite a descrição aqui)")),"DESCRIÇÃO",
IF(AND($C152="S",OR($Q152&lt;&gt;"",$T152&gt;0,$U152&gt;0),$P152=""),"FONTE",
IF(AND($C152="S",$P152&lt;&gt;"",OR($T152&gt;0,$U152&gt;0),$Q152=""),"CÓDIGO",
IF(AND($C152="S",$P152&lt;&gt;"",$Q152&lt;&gt;"",$R152="(Código não identificado nas referências)"),"CÓDIGO N/ID",
IF(AND($C152="S",OR($R152="",$R152="(digite a descrição aqui)"),OR($Q152&lt;&gt;"",$T152&gt;0,$U152&gt;0)),"DESCRIÇÃO",
IF(AND($C152="S",$P152&lt;&gt;"",$Q152&lt;&gt;"",$S152=""),"UNIDADE",
IF(AND($C152="S",$P152&lt;&gt;"",$Q152&lt;&gt;"",$U152=0),"SEM CUSTO",
IF(AND(TIPOORCAMENTO="Licitado",$AL152=0,$AN152&gt;0),"SEM PREÇO",
IF(AND($C152="S",$P152&lt;&gt;"",$Q152&lt;&gt;"",$U152&gt;0,AND($V152&lt;&gt;"BDI 1",$V152&lt;&gt;"BDI 2",$V152&lt;&gt;"BDI 3")),IF(ISNUMBER($V152),"JUSTIFICAR BDI","BDI"),
IF(OR(AND(import.recurso="OGU",TIPOORCAMENTO="Proposto",LEFT($O$8,5)&lt;&gt;"(N/D:",$AG152&lt;&gt;"",ORÇAMENTO.CustoUnitario&gt;$AG152),AND(TIPOORCAMENTO="LICITADO",ORÇAMENTO.PrecoUnitarioLicitado&gt;$AN152)),"ACIMA REF.",
IF(AND($C152="S",$P152&lt;&gt;"",$Q152&lt;&gt;"",$T152=0,$U152&gt;0),"QUANT.",
IF(AND(Import.TipoArredondamento="TransfereGOV",$L152="F",$C152="S",LEN($Q152)&gt;13),"Código &gt;13",
IF(AND(Import.TipoArredondamento="TransfereGOV",$L152="F",$C152&lt;&gt;"S",LEN($R152)&gt;100),"Descrição &gt;100",
IF(AND(Import.TipoArredondamento="TransfereGOV",$L152="F",$C152="S",LEN($R152)&gt;500),"Descrição &gt;500",
IF(AND(Import.TipoArredondamento="TransfereGOV",$L152="F",$C152="S",LEFT(TRIM(UPPER($P152)),6)&lt;&gt;"SINAPI",ISNA(VLOOKUP(TRIM(UPPER($S152)),ListaTgov.Unidades,1,FALSE))),"Unid. Não Disp",
" "))))))))))))))))</f>
        <v>CÓDIGO N/ID</v>
      </c>
      <c r="AD152" t="str">
        <f ca="1">IF(C152&lt;=CRONO.NivelExibicao,MAX($AD$15:OFFSET(AD152,-1,0))+IF($C152&lt;&gt;1,1,MAX(1,COUNTIF(QCI!$A$13:$A$24,OFFSET($E152,-1,0)))),"")</f>
        <v/>
      </c>
      <c r="AE152" s="7" t="str" cm="1">
        <f t="array" aca="1" ref="AE152" ca="1">IF(AND($C152="S",ORÇAMENTO.CodBarra&lt;&gt;""),IF(ORÇAMENTO.Fonte="",ORÇAMENTO.CodBarra,CONCATENATE(ORÇAMENTO.Fonte," ",ORÇAMENTO.CodBarra)))</f>
        <v>SINAPI 91941</v>
      </c>
      <c r="AF152" s="12" t="str" cm="1">
        <f t="array" aca="1" ref="AF152" ca="1">IF(ISERROR(ORÇAMENTO.BancoRef),"(abra o arquivo 'Referência "&amp;Excel_BuiltIn_Database&amp;".xlsm)",IF(OR($C152&lt;&gt;"S",ORÇAMENTO.CodBarra=""),"(Sem Código)",IF(ISERROR(MATCH($AE152,INDIRECT(ORÇAMENTO.BancoRef),0)),"(Código não identificado nas referências)",MATCH($AE152,INDIRECT(ORÇAMENTO.BancoRef),0))))</f>
        <v>(Código não identificado nas referências)</v>
      </c>
      <c r="AG152" s="428" cm="1">
        <f t="array" aca="1" ref="AG152" ca="1">ROUND(IF(DESONERACAO="sim",REFERENCIA.Desonerado,REFERENCIA.NaoDesonerado),2)</f>
        <v>0</v>
      </c>
      <c r="AH152" s="429">
        <f t="shared" ca="1" si="48"/>
        <v>0.2223</v>
      </c>
      <c r="AJ152" s="431"/>
      <c r="AL152" s="439"/>
      <c r="AM152" s="336">
        <f t="shared" ca="1" si="0"/>
        <v>0</v>
      </c>
      <c r="AN152" s="470" cm="1">
        <f t="array" aca="1" ref="AN152" ca="1">ROUND(ORÇAMENTO.CustoUnitario*(1+$AH152),2)</f>
        <v>0</v>
      </c>
    </row>
    <row r="153" spans="1:40" ht="38.25" x14ac:dyDescent="0.2">
      <c r="A153" t="str">
        <f t="shared" si="35"/>
        <v>S</v>
      </c>
      <c r="B153">
        <f t="shared" ca="1" si="36"/>
        <v>3</v>
      </c>
      <c r="C153" t="str">
        <f t="shared" ca="1" si="37"/>
        <v>S</v>
      </c>
      <c r="D153">
        <f t="shared" ca="1" si="38"/>
        <v>0</v>
      </c>
      <c r="E153">
        <f ca="1">IF($C153=1,OFFSET(E153,-1,0)+MAX(1,COUNTIF(QCI!$A$13:$A$24,OFFSET(ORÇAMENTO!E153,-1,0))),OFFSET(E153,-1,0))</f>
        <v>9</v>
      </c>
      <c r="F153">
        <f t="shared" ca="1" si="39"/>
        <v>1</v>
      </c>
      <c r="G153">
        <f t="shared" ca="1" si="40"/>
        <v>2</v>
      </c>
      <c r="H153">
        <f t="shared" ca="1" si="41"/>
        <v>0</v>
      </c>
      <c r="I153">
        <f t="shared" ca="1" si="42"/>
        <v>0</v>
      </c>
      <c r="J153">
        <f t="shared" ca="1" si="34"/>
        <v>0</v>
      </c>
      <c r="K153">
        <f ca="1">IF(OR($C153="S",$C153=0),0,MATCH(OFFSET($D153,0,$C153)+IF($C153&lt;&gt;1,1,COUNTIF(QCI!$A$13:$A$24,ORÇAMENTO!E153)),OFFSET($D153,1,$C153,ROW($C$244)-ROW($C153)),0))</f>
        <v>0</v>
      </c>
      <c r="L153" s="114" t="str">
        <f t="shared" ca="1" si="43"/>
        <v/>
      </c>
      <c r="M153" s="115" t="s">
        <v>705</v>
      </c>
      <c r="N153" s="116" t="str">
        <f t="shared" ca="1" si="44"/>
        <v>Serviço</v>
      </c>
      <c r="O153" s="117" t="str">
        <f t="shared" ca="1" si="45"/>
        <v>-</v>
      </c>
      <c r="P153" s="118" t="s">
        <v>750</v>
      </c>
      <c r="Q153" s="119" t="s">
        <v>1101</v>
      </c>
      <c r="R153" s="120" t="str" cm="1">
        <f t="array" aca="1" ref="R153" ca="1">IF($C153="S",REFERENCIA.Descricao,"(digite a descrição aqui)")</f>
        <v>(Código não identificado nas referências)</v>
      </c>
      <c r="S153" s="121" t="str" cm="1">
        <f t="array" aca="1" ref="S153" ca="1">REFERENCIA.Unidade</f>
        <v>-</v>
      </c>
      <c r="T153" s="122">
        <f ca="1">OFFSET(CÁLCULO!H$15,ROW($T153)-ROW(T$15),0)</f>
        <v>260</v>
      </c>
      <c r="U153" s="123">
        <f t="shared" ca="1" si="46"/>
        <v>0</v>
      </c>
      <c r="V153" s="124" t="s">
        <v>663</v>
      </c>
      <c r="W153" s="122" cm="1">
        <f t="array" aca="1" ref="W153" ca="1">IF($C153="S",ROUND(IF(TIPOORCAMENTO="Proposto",ORÇAMENTO.CustoUnitario*(1+$AH153),ORÇAMENTO.PrecoUnitarioLicitado),15-13*$AF$10),0)</f>
        <v>0</v>
      </c>
      <c r="X153" s="125" cm="1">
        <f t="array" aca="1" ref="X153" ca="1">IF($C153="S",IF(OR(Import.TipoArredondamento&lt;&gt;"TransfereGOV",ACOMPANHAMENTO="BM"),VTOTAL1,SUM(OFFSET(CÁLCULO!$AQ$15,ROW($X153)-ROW($X$15),1):OFFSET(CÁLCULO!$BR$15,ROW($X153)-ROW($X$15),-1))),IF($C153=0,0,ROUND(SomaAgrup,15-13*$AF$11)))</f>
        <v>0</v>
      </c>
      <c r="Y153" s="126" t="s">
        <v>751</v>
      </c>
      <c r="Z153" t="str">
        <f t="shared" ca="1" si="47"/>
        <v/>
      </c>
      <c r="AA153" s="127" cm="1">
        <f t="array" aca="1" ref="AA153" ca="1">IF($C153="S",IF($Z153="CP",$X153,IF($Z153="RA",(($X153)*QCI!$AA$3),0)),SomaAgrup)</f>
        <v>0</v>
      </c>
      <c r="AB153" s="128" cm="1">
        <f t="array" aca="1" ref="AB153" ca="1">IF($C153="S",IF($Z153="OU",ROUND($X153,2),0),SomaAgrup)</f>
        <v>0</v>
      </c>
      <c r="AC153" s="565" t="str" cm="1">
        <f t="array" aca="1" ref="AC153" ca="1">IF($N153=""," ",
IF(AND($C153&lt;&gt;"S",OR($R153="",$R153="(digite a descrição aqui)")),"DESCRIÇÃO",
IF(AND($C153="S",OR($Q153&lt;&gt;"",$T153&gt;0,$U153&gt;0),$P153=""),"FONTE",
IF(AND($C153="S",$P153&lt;&gt;"",OR($T153&gt;0,$U153&gt;0),$Q153=""),"CÓDIGO",
IF(AND($C153="S",$P153&lt;&gt;"",$Q153&lt;&gt;"",$R153="(Código não identificado nas referências)"),"CÓDIGO N/ID",
IF(AND($C153="S",OR($R153="",$R153="(digite a descrição aqui)"),OR($Q153&lt;&gt;"",$T153&gt;0,$U153&gt;0)),"DESCRIÇÃO",
IF(AND($C153="S",$P153&lt;&gt;"",$Q153&lt;&gt;"",$S153=""),"UNIDADE",
IF(AND($C153="S",$P153&lt;&gt;"",$Q153&lt;&gt;"",$U153=0),"SEM CUSTO",
IF(AND(TIPOORCAMENTO="Licitado",$AL153=0,$AN153&gt;0),"SEM PREÇO",
IF(AND($C153="S",$P153&lt;&gt;"",$Q153&lt;&gt;"",$U153&gt;0,AND($V153&lt;&gt;"BDI 1",$V153&lt;&gt;"BDI 2",$V153&lt;&gt;"BDI 3")),IF(ISNUMBER($V153),"JUSTIFICAR BDI","BDI"),
IF(OR(AND(import.recurso="OGU",TIPOORCAMENTO="Proposto",LEFT($O$8,5)&lt;&gt;"(N/D:",$AG153&lt;&gt;"",ORÇAMENTO.CustoUnitario&gt;$AG153),AND(TIPOORCAMENTO="LICITADO",ORÇAMENTO.PrecoUnitarioLicitado&gt;$AN153)),"ACIMA REF.",
IF(AND($C153="S",$P153&lt;&gt;"",$Q153&lt;&gt;"",$T153=0,$U153&gt;0),"QUANT.",
IF(AND(Import.TipoArredondamento="TransfereGOV",$L153="F",$C153="S",LEN($Q153)&gt;13),"Código &gt;13",
IF(AND(Import.TipoArredondamento="TransfereGOV",$L153="F",$C153&lt;&gt;"S",LEN($R153)&gt;100),"Descrição &gt;100",
IF(AND(Import.TipoArredondamento="TransfereGOV",$L153="F",$C153="S",LEN($R153)&gt;500),"Descrição &gt;500",
IF(AND(Import.TipoArredondamento="TransfereGOV",$L153="F",$C153="S",LEFT(TRIM(UPPER($P153)),6)&lt;&gt;"SINAPI",ISNA(VLOOKUP(TRIM(UPPER($S153)),ListaTgov.Unidades,1,FALSE))),"Unid. Não Disp",
" "))))))))))))))))</f>
        <v>CÓDIGO N/ID</v>
      </c>
      <c r="AD153" t="str">
        <f ca="1">IF(C153&lt;=CRONO.NivelExibicao,MAX($AD$15:OFFSET(AD153,-1,0))+IF($C153&lt;&gt;1,1,MAX(1,COUNTIF(QCI!$A$13:$A$24,OFFSET($E153,-1,0)))),"")</f>
        <v/>
      </c>
      <c r="AE153" s="7" t="str" cm="1">
        <f t="array" aca="1" ref="AE153" ca="1">IF(AND($C153="S",ORÇAMENTO.CodBarra&lt;&gt;""),IF(ORÇAMENTO.Fonte="",ORÇAMENTO.CodBarra,CONCATENATE(ORÇAMENTO.Fonte," ",ORÇAMENTO.CodBarra)))</f>
        <v>SINAPI 91940</v>
      </c>
      <c r="AF153" s="12" t="str" cm="1">
        <f t="array" aca="1" ref="AF153" ca="1">IF(ISERROR(ORÇAMENTO.BancoRef),"(abra o arquivo 'Referência "&amp;Excel_BuiltIn_Database&amp;".xlsm)",IF(OR($C153&lt;&gt;"S",ORÇAMENTO.CodBarra=""),"(Sem Código)",IF(ISERROR(MATCH($AE153,INDIRECT(ORÇAMENTO.BancoRef),0)),"(Código não identificado nas referências)",MATCH($AE153,INDIRECT(ORÇAMENTO.BancoRef),0))))</f>
        <v>(Código não identificado nas referências)</v>
      </c>
      <c r="AG153" s="428" cm="1">
        <f t="array" aca="1" ref="AG153" ca="1">ROUND(IF(DESONERACAO="sim",REFERENCIA.Desonerado,REFERENCIA.NaoDesonerado),2)</f>
        <v>0</v>
      </c>
      <c r="AH153" s="429">
        <f t="shared" ca="1" si="48"/>
        <v>0.2223</v>
      </c>
      <c r="AJ153" s="431"/>
      <c r="AL153" s="439"/>
      <c r="AM153" s="336">
        <f t="shared" ca="1" si="0"/>
        <v>0</v>
      </c>
      <c r="AN153" s="470" cm="1">
        <f t="array" aca="1" ref="AN153" ca="1">ROUND(ORÇAMENTO.CustoUnitario*(1+$AH153),2)</f>
        <v>0</v>
      </c>
    </row>
    <row r="154" spans="1:40" ht="25.5" x14ac:dyDescent="0.2">
      <c r="A154" t="str">
        <f t="shared" si="35"/>
        <v>S</v>
      </c>
      <c r="B154">
        <f t="shared" ca="1" si="36"/>
        <v>3</v>
      </c>
      <c r="C154" t="str">
        <f t="shared" ca="1" si="37"/>
        <v>S</v>
      </c>
      <c r="D154">
        <f t="shared" ca="1" si="38"/>
        <v>0</v>
      </c>
      <c r="E154">
        <f ca="1">IF($C154=1,OFFSET(E154,-1,0)+MAX(1,COUNTIF(QCI!$A$13:$A$24,OFFSET(ORÇAMENTO!E154,-1,0))),OFFSET(E154,-1,0))</f>
        <v>9</v>
      </c>
      <c r="F154">
        <f t="shared" ca="1" si="39"/>
        <v>1</v>
      </c>
      <c r="G154">
        <f t="shared" ca="1" si="40"/>
        <v>2</v>
      </c>
      <c r="H154">
        <f t="shared" ca="1" si="41"/>
        <v>0</v>
      </c>
      <c r="I154">
        <f t="shared" ca="1" si="42"/>
        <v>0</v>
      </c>
      <c r="J154">
        <f t="shared" ca="1" si="34"/>
        <v>0</v>
      </c>
      <c r="K154">
        <f ca="1">IF(OR($C154="S",$C154=0),0,MATCH(OFFSET($D154,0,$C154)+IF($C154&lt;&gt;1,1,COUNTIF(QCI!$A$13:$A$24,ORÇAMENTO!E154)),OFFSET($D154,1,$C154,ROW($C$244)-ROW($C154)),0))</f>
        <v>0</v>
      </c>
      <c r="L154" s="114" t="str">
        <f t="shared" ca="1" si="43"/>
        <v/>
      </c>
      <c r="M154" s="115" t="s">
        <v>705</v>
      </c>
      <c r="N154" s="116" t="str">
        <f t="shared" ca="1" si="44"/>
        <v>Serviço</v>
      </c>
      <c r="O154" s="117" t="str">
        <f t="shared" ca="1" si="45"/>
        <v>-</v>
      </c>
      <c r="P154" s="118" t="s">
        <v>750</v>
      </c>
      <c r="Q154" s="119" t="s">
        <v>1102</v>
      </c>
      <c r="R154" s="120" t="str" cm="1">
        <f t="array" aca="1" ref="R154" ca="1">IF($C154="S",REFERENCIA.Descricao,"(digite a descrição aqui)")</f>
        <v>(Código não identificado nas referências)</v>
      </c>
      <c r="S154" s="121" t="str" cm="1">
        <f t="array" aca="1" ref="S154" ca="1">REFERENCIA.Unidade</f>
        <v>-</v>
      </c>
      <c r="T154" s="122">
        <f ca="1">OFFSET(CÁLCULO!H$15,ROW($T154)-ROW(T$15),0)</f>
        <v>40</v>
      </c>
      <c r="U154" s="123">
        <f t="shared" ca="1" si="46"/>
        <v>0</v>
      </c>
      <c r="V154" s="124" t="s">
        <v>663</v>
      </c>
      <c r="W154" s="122" cm="1">
        <f t="array" aca="1" ref="W154" ca="1">IF($C154="S",ROUND(IF(TIPOORCAMENTO="Proposto",ORÇAMENTO.CustoUnitario*(1+$AH154),ORÇAMENTO.PrecoUnitarioLicitado),15-13*$AF$10),0)</f>
        <v>0</v>
      </c>
      <c r="X154" s="125" cm="1">
        <f t="array" aca="1" ref="X154" ca="1">IF($C154="S",IF(OR(Import.TipoArredondamento&lt;&gt;"TransfereGOV",ACOMPANHAMENTO="BM"),VTOTAL1,SUM(OFFSET(CÁLCULO!$AQ$15,ROW($X154)-ROW($X$15),1):OFFSET(CÁLCULO!$BR$15,ROW($X154)-ROW($X$15),-1))),IF($C154=0,0,ROUND(SomaAgrup,15-13*$AF$11)))</f>
        <v>0</v>
      </c>
      <c r="Y154" s="126" t="s">
        <v>751</v>
      </c>
      <c r="Z154" t="str">
        <f t="shared" ca="1" si="47"/>
        <v/>
      </c>
      <c r="AA154" s="127" cm="1">
        <f t="array" aca="1" ref="AA154" ca="1">IF($C154="S",IF($Z154="CP",$X154,IF($Z154="RA",(($X154)*QCI!$AA$3),0)),SomaAgrup)</f>
        <v>0</v>
      </c>
      <c r="AB154" s="128" cm="1">
        <f t="array" aca="1" ref="AB154" ca="1">IF($C154="S",IF($Z154="OU",ROUND($X154,2),0),SomaAgrup)</f>
        <v>0</v>
      </c>
      <c r="AC154" s="565" t="str" cm="1">
        <f t="array" aca="1" ref="AC154" ca="1">IF($N154=""," ",
IF(AND($C154&lt;&gt;"S",OR($R154="",$R154="(digite a descrição aqui)")),"DESCRIÇÃO",
IF(AND($C154="S",OR($Q154&lt;&gt;"",$T154&gt;0,$U154&gt;0),$P154=""),"FONTE",
IF(AND($C154="S",$P154&lt;&gt;"",OR($T154&gt;0,$U154&gt;0),$Q154=""),"CÓDIGO",
IF(AND($C154="S",$P154&lt;&gt;"",$Q154&lt;&gt;"",$R154="(Código não identificado nas referências)"),"CÓDIGO N/ID",
IF(AND($C154="S",OR($R154="",$R154="(digite a descrição aqui)"),OR($Q154&lt;&gt;"",$T154&gt;0,$U154&gt;0)),"DESCRIÇÃO",
IF(AND($C154="S",$P154&lt;&gt;"",$Q154&lt;&gt;"",$S154=""),"UNIDADE",
IF(AND($C154="S",$P154&lt;&gt;"",$Q154&lt;&gt;"",$U154=0),"SEM CUSTO",
IF(AND(TIPOORCAMENTO="Licitado",$AL154=0,$AN154&gt;0),"SEM PREÇO",
IF(AND($C154="S",$P154&lt;&gt;"",$Q154&lt;&gt;"",$U154&gt;0,AND($V154&lt;&gt;"BDI 1",$V154&lt;&gt;"BDI 2",$V154&lt;&gt;"BDI 3")),IF(ISNUMBER($V154),"JUSTIFICAR BDI","BDI"),
IF(OR(AND(import.recurso="OGU",TIPOORCAMENTO="Proposto",LEFT($O$8,5)&lt;&gt;"(N/D:",$AG154&lt;&gt;"",ORÇAMENTO.CustoUnitario&gt;$AG154),AND(TIPOORCAMENTO="LICITADO",ORÇAMENTO.PrecoUnitarioLicitado&gt;$AN154)),"ACIMA REF.",
IF(AND($C154="S",$P154&lt;&gt;"",$Q154&lt;&gt;"",$T154=0,$U154&gt;0),"QUANT.",
IF(AND(Import.TipoArredondamento="TransfereGOV",$L154="F",$C154="S",LEN($Q154)&gt;13),"Código &gt;13",
IF(AND(Import.TipoArredondamento="TransfereGOV",$L154="F",$C154&lt;&gt;"S",LEN($R154)&gt;100),"Descrição &gt;100",
IF(AND(Import.TipoArredondamento="TransfereGOV",$L154="F",$C154="S",LEN($R154)&gt;500),"Descrição &gt;500",
IF(AND(Import.TipoArredondamento="TransfereGOV",$L154="F",$C154="S",LEFT(TRIM(UPPER($P154)),6)&lt;&gt;"SINAPI",ISNA(VLOOKUP(TRIM(UPPER($S154)),ListaTgov.Unidades,1,FALSE))),"Unid. Não Disp",
" "))))))))))))))))</f>
        <v>CÓDIGO N/ID</v>
      </c>
      <c r="AD154" t="str">
        <f ca="1">IF(C154&lt;=CRONO.NivelExibicao,MAX($AD$15:OFFSET(AD154,-1,0))+IF($C154&lt;&gt;1,1,MAX(1,COUNTIF(QCI!$A$13:$A$24,OFFSET($E154,-1,0)))),"")</f>
        <v/>
      </c>
      <c r="AE154" s="7" t="str" cm="1">
        <f t="array" aca="1" ref="AE154" ca="1">IF(AND($C154="S",ORÇAMENTO.CodBarra&lt;&gt;""),IF(ORÇAMENTO.Fonte="",ORÇAMENTO.CodBarra,CONCATENATE(ORÇAMENTO.Fonte," ",ORÇAMENTO.CodBarra)))</f>
        <v>SINAPI 91939</v>
      </c>
      <c r="AF154" s="12" t="str" cm="1">
        <f t="array" aca="1" ref="AF154" ca="1">IF(ISERROR(ORÇAMENTO.BancoRef),"(abra o arquivo 'Referência "&amp;Excel_BuiltIn_Database&amp;".xlsm)",IF(OR($C154&lt;&gt;"S",ORÇAMENTO.CodBarra=""),"(Sem Código)",IF(ISERROR(MATCH($AE154,INDIRECT(ORÇAMENTO.BancoRef),0)),"(Código não identificado nas referências)",MATCH($AE154,INDIRECT(ORÇAMENTO.BancoRef),0))))</f>
        <v>(Código não identificado nas referências)</v>
      </c>
      <c r="AG154" s="428" cm="1">
        <f t="array" aca="1" ref="AG154" ca="1">ROUND(IF(DESONERACAO="sim",REFERENCIA.Desonerado,REFERENCIA.NaoDesonerado),2)</f>
        <v>0</v>
      </c>
      <c r="AH154" s="429">
        <f t="shared" ca="1" si="48"/>
        <v>0.2223</v>
      </c>
      <c r="AJ154" s="431"/>
      <c r="AL154" s="439"/>
      <c r="AM154" s="336">
        <f t="shared" ca="1" si="0"/>
        <v>0</v>
      </c>
      <c r="AN154" s="470" cm="1">
        <f t="array" aca="1" ref="AN154" ca="1">ROUND(ORÇAMENTO.CustoUnitario*(1+$AH154),2)</f>
        <v>0</v>
      </c>
    </row>
    <row r="155" spans="1:40" ht="25.5" x14ac:dyDescent="0.2">
      <c r="A155" t="str">
        <f t="shared" si="35"/>
        <v>S</v>
      </c>
      <c r="B155">
        <f t="shared" ca="1" si="36"/>
        <v>3</v>
      </c>
      <c r="C155" t="str">
        <f t="shared" ca="1" si="37"/>
        <v>S</v>
      </c>
      <c r="D155">
        <f t="shared" ca="1" si="38"/>
        <v>0</v>
      </c>
      <c r="E155">
        <f ca="1">IF($C155=1,OFFSET(E155,-1,0)+MAX(1,COUNTIF(QCI!$A$13:$A$24,OFFSET(ORÇAMENTO!E155,-1,0))),OFFSET(E155,-1,0))</f>
        <v>9</v>
      </c>
      <c r="F155">
        <f t="shared" ca="1" si="39"/>
        <v>1</v>
      </c>
      <c r="G155">
        <f t="shared" ca="1" si="40"/>
        <v>2</v>
      </c>
      <c r="H155">
        <f t="shared" ca="1" si="41"/>
        <v>0</v>
      </c>
      <c r="I155">
        <f t="shared" ca="1" si="42"/>
        <v>0</v>
      </c>
      <c r="J155">
        <f t="shared" ca="1" si="34"/>
        <v>0</v>
      </c>
      <c r="K155">
        <f ca="1">IF(OR($C155="S",$C155=0),0,MATCH(OFFSET($D155,0,$C155)+IF($C155&lt;&gt;1,1,COUNTIF(QCI!$A$13:$A$24,ORÇAMENTO!E155)),OFFSET($D155,1,$C155,ROW($C$244)-ROW($C155)),0))</f>
        <v>0</v>
      </c>
      <c r="L155" s="114" t="str">
        <f t="shared" ca="1" si="43"/>
        <v/>
      </c>
      <c r="M155" s="115" t="s">
        <v>705</v>
      </c>
      <c r="N155" s="116" t="str">
        <f t="shared" ca="1" si="44"/>
        <v>Serviço</v>
      </c>
      <c r="O155" s="117" t="str">
        <f t="shared" ca="1" si="45"/>
        <v>-</v>
      </c>
      <c r="P155" s="118" t="s">
        <v>750</v>
      </c>
      <c r="Q155" s="119" t="s">
        <v>1103</v>
      </c>
      <c r="R155" s="120" t="str" cm="1">
        <f t="array" aca="1" ref="R155" ca="1">IF($C155="S",REFERENCIA.Descricao,"(digite a descrição aqui)")</f>
        <v>(Código não identificado nas referências)</v>
      </c>
      <c r="S155" s="121" t="str" cm="1">
        <f t="array" aca="1" ref="S155" ca="1">REFERENCIA.Unidade</f>
        <v>-</v>
      </c>
      <c r="T155" s="122">
        <f ca="1">OFFSET(CÁLCULO!H$15,ROW($T155)-ROW(T$15),0)</f>
        <v>140</v>
      </c>
      <c r="U155" s="123">
        <f t="shared" ca="1" si="46"/>
        <v>0</v>
      </c>
      <c r="V155" s="124" t="s">
        <v>663</v>
      </c>
      <c r="W155" s="122" cm="1">
        <f t="array" aca="1" ref="W155" ca="1">IF($C155="S",ROUND(IF(TIPOORCAMENTO="Proposto",ORÇAMENTO.CustoUnitario*(1+$AH155),ORÇAMENTO.PrecoUnitarioLicitado),15-13*$AF$10),0)</f>
        <v>0</v>
      </c>
      <c r="X155" s="125" cm="1">
        <f t="array" aca="1" ref="X155" ca="1">IF($C155="S",IF(OR(Import.TipoArredondamento&lt;&gt;"TransfereGOV",ACOMPANHAMENTO="BM"),VTOTAL1,SUM(OFFSET(CÁLCULO!$AQ$15,ROW($X155)-ROW($X$15),1):OFFSET(CÁLCULO!$BR$15,ROW($X155)-ROW($X$15),-1))),IF($C155=0,0,ROUND(SomaAgrup,15-13*$AF$11)))</f>
        <v>0</v>
      </c>
      <c r="Y155" s="126" t="s">
        <v>751</v>
      </c>
      <c r="Z155" t="str">
        <f t="shared" ca="1" si="47"/>
        <v/>
      </c>
      <c r="AA155" s="127" cm="1">
        <f t="array" aca="1" ref="AA155" ca="1">IF($C155="S",IF($Z155="CP",$X155,IF($Z155="RA",(($X155)*QCI!$AA$3),0)),SomaAgrup)</f>
        <v>0</v>
      </c>
      <c r="AB155" s="128" cm="1">
        <f t="array" aca="1" ref="AB155" ca="1">IF($C155="S",IF($Z155="OU",ROUND($X155,2),0),SomaAgrup)</f>
        <v>0</v>
      </c>
      <c r="AC155" s="565" t="str" cm="1">
        <f t="array" aca="1" ref="AC155" ca="1">IF($N155=""," ",
IF(AND($C155&lt;&gt;"S",OR($R155="",$R155="(digite a descrição aqui)")),"DESCRIÇÃO",
IF(AND($C155="S",OR($Q155&lt;&gt;"",$T155&gt;0,$U155&gt;0),$P155=""),"FONTE",
IF(AND($C155="S",$P155&lt;&gt;"",OR($T155&gt;0,$U155&gt;0),$Q155=""),"CÓDIGO",
IF(AND($C155="S",$P155&lt;&gt;"",$Q155&lt;&gt;"",$R155="(Código não identificado nas referências)"),"CÓDIGO N/ID",
IF(AND($C155="S",OR($R155="",$R155="(digite a descrição aqui)"),OR($Q155&lt;&gt;"",$T155&gt;0,$U155&gt;0)),"DESCRIÇÃO",
IF(AND($C155="S",$P155&lt;&gt;"",$Q155&lt;&gt;"",$S155=""),"UNIDADE",
IF(AND($C155="S",$P155&lt;&gt;"",$Q155&lt;&gt;"",$U155=0),"SEM CUSTO",
IF(AND(TIPOORCAMENTO="Licitado",$AL155=0,$AN155&gt;0),"SEM PREÇO",
IF(AND($C155="S",$P155&lt;&gt;"",$Q155&lt;&gt;"",$U155&gt;0,AND($V155&lt;&gt;"BDI 1",$V155&lt;&gt;"BDI 2",$V155&lt;&gt;"BDI 3")),IF(ISNUMBER($V155),"JUSTIFICAR BDI","BDI"),
IF(OR(AND(import.recurso="OGU",TIPOORCAMENTO="Proposto",LEFT($O$8,5)&lt;&gt;"(N/D:",$AG155&lt;&gt;"",ORÇAMENTO.CustoUnitario&gt;$AG155),AND(TIPOORCAMENTO="LICITADO",ORÇAMENTO.PrecoUnitarioLicitado&gt;$AN155)),"ACIMA REF.",
IF(AND($C155="S",$P155&lt;&gt;"",$Q155&lt;&gt;"",$T155=0,$U155&gt;0),"QUANT.",
IF(AND(Import.TipoArredondamento="TransfereGOV",$L155="F",$C155="S",LEN($Q155)&gt;13),"Código &gt;13",
IF(AND(Import.TipoArredondamento="TransfereGOV",$L155="F",$C155&lt;&gt;"S",LEN($R155)&gt;100),"Descrição &gt;100",
IF(AND(Import.TipoArredondamento="TransfereGOV",$L155="F",$C155="S",LEN($R155)&gt;500),"Descrição &gt;500",
IF(AND(Import.TipoArredondamento="TransfereGOV",$L155="F",$C155="S",LEFT(TRIM(UPPER($P155)),6)&lt;&gt;"SINAPI",ISNA(VLOOKUP(TRIM(UPPER($S155)),ListaTgov.Unidades,1,FALSE))),"Unid. Não Disp",
" "))))))))))))))))</f>
        <v>CÓDIGO N/ID</v>
      </c>
      <c r="AD155" t="str">
        <f ca="1">IF(C155&lt;=CRONO.NivelExibicao,MAX($AD$15:OFFSET(AD155,-1,0))+IF($C155&lt;&gt;1,1,MAX(1,COUNTIF(QCI!$A$13:$A$24,OFFSET($E155,-1,0)))),"")</f>
        <v/>
      </c>
      <c r="AE155" s="7" t="str" cm="1">
        <f t="array" aca="1" ref="AE155" ca="1">IF(AND($C155="S",ORÇAMENTO.CodBarra&lt;&gt;""),IF(ORÇAMENTO.Fonte="",ORÇAMENTO.CodBarra,CONCATENATE(ORÇAMENTO.Fonte," ",ORÇAMENTO.CodBarra)))</f>
        <v>SINAPI 91937</v>
      </c>
      <c r="AF155" s="12" t="str" cm="1">
        <f t="array" aca="1" ref="AF155" ca="1">IF(ISERROR(ORÇAMENTO.BancoRef),"(abra o arquivo 'Referência "&amp;Excel_BuiltIn_Database&amp;".xlsm)",IF(OR($C155&lt;&gt;"S",ORÇAMENTO.CodBarra=""),"(Sem Código)",IF(ISERROR(MATCH($AE155,INDIRECT(ORÇAMENTO.BancoRef),0)),"(Código não identificado nas referências)",MATCH($AE155,INDIRECT(ORÇAMENTO.BancoRef),0))))</f>
        <v>(Código não identificado nas referências)</v>
      </c>
      <c r="AG155" s="428" cm="1">
        <f t="array" aca="1" ref="AG155" ca="1">ROUND(IF(DESONERACAO="sim",REFERENCIA.Desonerado,REFERENCIA.NaoDesonerado),2)</f>
        <v>0</v>
      </c>
      <c r="AH155" s="429">
        <f t="shared" ca="1" si="48"/>
        <v>0.2223</v>
      </c>
      <c r="AJ155" s="431"/>
      <c r="AL155" s="439"/>
      <c r="AM155" s="336">
        <f t="shared" ca="1" si="0"/>
        <v>0</v>
      </c>
      <c r="AN155" s="470" cm="1">
        <f t="array" aca="1" ref="AN155" ca="1">ROUND(ORÇAMENTO.CustoUnitario*(1+$AH155),2)</f>
        <v>0</v>
      </c>
    </row>
    <row r="156" spans="1:40" x14ac:dyDescent="0.2">
      <c r="A156">
        <f t="shared" si="35"/>
        <v>3</v>
      </c>
      <c r="B156">
        <f t="shared" ca="1" si="36"/>
        <v>3</v>
      </c>
      <c r="C156">
        <f t="shared" ca="1" si="37"/>
        <v>3</v>
      </c>
      <c r="D156">
        <f t="shared" ca="1" si="38"/>
        <v>10</v>
      </c>
      <c r="E156">
        <f ca="1">IF($C156=1,OFFSET(E156,-1,0)+MAX(1,COUNTIF(QCI!$A$13:$A$24,OFFSET(ORÇAMENTO!E156,-1,0))),OFFSET(E156,-1,0))</f>
        <v>9</v>
      </c>
      <c r="F156">
        <f t="shared" ca="1" si="39"/>
        <v>1</v>
      </c>
      <c r="G156">
        <f t="shared" ca="1" si="40"/>
        <v>3</v>
      </c>
      <c r="H156">
        <f t="shared" ca="1" si="41"/>
        <v>0</v>
      </c>
      <c r="I156">
        <f t="shared" ca="1" si="42"/>
        <v>0</v>
      </c>
      <c r="J156">
        <f t="shared" ca="1" si="34"/>
        <v>10</v>
      </c>
      <c r="K156">
        <f ca="1">IF(OR($C156="S",$C156=0),0,MATCH(OFFSET($D156,0,$C156)+IF($C156&lt;&gt;1,1,COUNTIF(QCI!$A$13:$A$24,ORÇAMENTO!E156)),OFFSET($D156,1,$C156,ROW($C$244)-ROW($C156)),0))</f>
        <v>32</v>
      </c>
      <c r="L156" s="114" t="str">
        <f t="shared" ca="1" si="43"/>
        <v>F</v>
      </c>
      <c r="M156" s="115" t="s">
        <v>703</v>
      </c>
      <c r="N156" s="116" t="str">
        <f t="shared" ca="1" si="44"/>
        <v>Nível 3</v>
      </c>
      <c r="O156" s="117" t="str">
        <f t="shared" ca="1" si="45"/>
        <v>9.1.3.</v>
      </c>
      <c r="P156" s="118" t="s">
        <v>250</v>
      </c>
      <c r="Q156" s="119" t="s">
        <v>250</v>
      </c>
      <c r="R156" s="120" t="s">
        <v>1203</v>
      </c>
      <c r="S156" s="121"/>
      <c r="T156" s="122">
        <f ca="1">OFFSET(CÁLCULO!H$15,ROW($T156)-ROW(T$15),0)</f>
        <v>0</v>
      </c>
      <c r="U156" s="123">
        <f t="shared" ca="1" si="46"/>
        <v>0</v>
      </c>
      <c r="V156" s="124" t="s">
        <v>663</v>
      </c>
      <c r="W156" s="122" cm="1">
        <f t="array" aca="1" ref="W156" ca="1">IF($C156="S",ROUND(IF(TIPOORCAMENTO="Proposto",ORÇAMENTO.CustoUnitario*(1+$AH156),ORÇAMENTO.PrecoUnitarioLicitado),15-13*$AF$10),0)</f>
        <v>0</v>
      </c>
      <c r="X156" s="125" cm="1">
        <f t="array" aca="1" ref="X156" ca="1">IF($C156="S",IF(OR(Import.TipoArredondamento&lt;&gt;"TransfereGOV",ACOMPANHAMENTO="BM"),VTOTAL1,SUM(OFFSET(CÁLCULO!$AQ$15,ROW($X156)-ROW($X$15),1):OFFSET(CÁLCULO!$BR$15,ROW($X156)-ROW($X$15),-1))),IF($C156=0,0,ROUND(SomaAgrup,15-13*$AF$11)))</f>
        <v>0</v>
      </c>
      <c r="Y156" s="126" t="s">
        <v>751</v>
      </c>
      <c r="Z156" t="str">
        <f t="shared" ca="1" si="47"/>
        <v/>
      </c>
      <c r="AA156" s="127" cm="1">
        <f t="array" aca="1" ref="AA156" ca="1">IF($C156="S",IF($Z156="CP",$X156,IF($Z156="RA",(($X156)*QCI!$AA$3),0)),SomaAgrup)</f>
        <v>0</v>
      </c>
      <c r="AB156" s="128" cm="1">
        <f t="array" aca="1" ref="AB156" ca="1">IF($C156="S",IF($Z156="OU",ROUND($X156,2),0),SomaAgrup)</f>
        <v>0</v>
      </c>
      <c r="AC156" s="565" t="str" cm="1">
        <f t="array" aca="1" ref="AC156" ca="1">IF($N156=""," ",
IF(AND($C156&lt;&gt;"S",OR($R156="",$R156="(digite a descrição aqui)")),"DESCRIÇÃO",
IF(AND($C156="S",OR($Q156&lt;&gt;"",$T156&gt;0,$U156&gt;0),$P156=""),"FONTE",
IF(AND($C156="S",$P156&lt;&gt;"",OR($T156&gt;0,$U156&gt;0),$Q156=""),"CÓDIGO",
IF(AND($C156="S",$P156&lt;&gt;"",$Q156&lt;&gt;"",$R156="(Código não identificado nas referências)"),"CÓDIGO N/ID",
IF(AND($C156="S",OR($R156="",$R156="(digite a descrição aqui)"),OR($Q156&lt;&gt;"",$T156&gt;0,$U156&gt;0)),"DESCRIÇÃO",
IF(AND($C156="S",$P156&lt;&gt;"",$Q156&lt;&gt;"",$S156=""),"UNIDADE",
IF(AND($C156="S",$P156&lt;&gt;"",$Q156&lt;&gt;"",$U156=0),"SEM CUSTO",
IF(AND(TIPOORCAMENTO="Licitado",$AL156=0,$AN156&gt;0),"SEM PREÇO",
IF(AND($C156="S",$P156&lt;&gt;"",$Q156&lt;&gt;"",$U156&gt;0,AND($V156&lt;&gt;"BDI 1",$V156&lt;&gt;"BDI 2",$V156&lt;&gt;"BDI 3")),IF(ISNUMBER($V156),"JUSTIFICAR BDI","BDI"),
IF(OR(AND(import.recurso="OGU",TIPOORCAMENTO="Proposto",LEFT($O$8,5)&lt;&gt;"(N/D:",$AG156&lt;&gt;"",ORÇAMENTO.CustoUnitario&gt;$AG156),AND(TIPOORCAMENTO="LICITADO",ORÇAMENTO.PrecoUnitarioLicitado&gt;$AN156)),"ACIMA REF.",
IF(AND($C156="S",$P156&lt;&gt;"",$Q156&lt;&gt;"",$T156=0,$U156&gt;0),"QUANT.",
IF(AND(Import.TipoArredondamento="TransfereGOV",$L156="F",$C156="S",LEN($Q156)&gt;13),"Código &gt;13",
IF(AND(Import.TipoArredondamento="TransfereGOV",$L156="F",$C156&lt;&gt;"S",LEN($R156)&gt;100),"Descrição &gt;100",
IF(AND(Import.TipoArredondamento="TransfereGOV",$L156="F",$C156="S",LEN($R156)&gt;500),"Descrição &gt;500",
IF(AND(Import.TipoArredondamento="TransfereGOV",$L156="F",$C156="S",LEFT(TRIM(UPPER($P156)),6)&lt;&gt;"SINAPI",ISNA(VLOOKUP(TRIM(UPPER($S156)),ListaTgov.Unidades,1,FALSE))),"Unid. Não Disp",
" "))))))))))))))))</f>
        <v xml:space="preserve"> </v>
      </c>
      <c r="AD156">
        <f ca="1">IF(C156&lt;=CRONO.NivelExibicao,MAX($AD$15:OFFSET(AD156,-1,0))+IF($C156&lt;&gt;1,1,MAX(1,COUNTIF(QCI!$A$13:$A$24,OFFSET($E156,-1,0)))),"")</f>
        <v>35</v>
      </c>
      <c r="AE156" s="7" t="b" cm="1">
        <f t="array" aca="1" ref="AE156" ca="1">IF(AND($C156="S",ORÇAMENTO.CodBarra&lt;&gt;""),IF(ORÇAMENTO.Fonte="",ORÇAMENTO.CodBarra,CONCATENATE(ORÇAMENTO.Fonte," ",ORÇAMENTO.CodBarra)))</f>
        <v>0</v>
      </c>
      <c r="AF156" s="12" t="str" cm="1">
        <f t="array" aca="1" ref="AF156" ca="1">IF(ISERROR(ORÇAMENTO.BancoRef),"(abra o arquivo 'Referência "&amp;Excel_BuiltIn_Database&amp;".xlsm)",IF(OR($C156&lt;&gt;"S",ORÇAMENTO.CodBarra=""),"(Sem Código)",IF(ISERROR(MATCH($AE156,INDIRECT(ORÇAMENTO.BancoRef),0)),"(Código não identificado nas referências)",MATCH($AE156,INDIRECT(ORÇAMENTO.BancoRef),0))))</f>
        <v>(Sem Código)</v>
      </c>
      <c r="AG156" s="428" cm="1">
        <f t="array" aca="1" ref="AG156" ca="1">ROUND(IF(DESONERACAO="sim",REFERENCIA.Desonerado,REFERENCIA.NaoDesonerado),2)</f>
        <v>0</v>
      </c>
      <c r="AH156" s="429">
        <f t="shared" ca="1" si="48"/>
        <v>0.2223</v>
      </c>
      <c r="AJ156" s="431"/>
      <c r="AL156" s="439"/>
      <c r="AM156" s="336">
        <f t="shared" ca="1" si="0"/>
        <v>0</v>
      </c>
      <c r="AN156" s="470" cm="1">
        <f t="array" aca="1" ref="AN156" ca="1">ROUND(ORÇAMENTO.CustoUnitario*(1+$AH156),2)</f>
        <v>0</v>
      </c>
    </row>
    <row r="157" spans="1:40" ht="38.25" x14ac:dyDescent="0.2">
      <c r="A157" t="str">
        <f t="shared" si="35"/>
        <v>S</v>
      </c>
      <c r="B157">
        <f t="shared" ca="1" si="36"/>
        <v>3</v>
      </c>
      <c r="C157" t="str">
        <f t="shared" ca="1" si="37"/>
        <v>S</v>
      </c>
      <c r="D157">
        <f t="shared" ca="1" si="38"/>
        <v>0</v>
      </c>
      <c r="E157">
        <f ca="1">IF($C157=1,OFFSET(E157,-1,0)+MAX(1,COUNTIF(QCI!$A$13:$A$24,OFFSET(ORÇAMENTO!E157,-1,0))),OFFSET(E157,-1,0))</f>
        <v>9</v>
      </c>
      <c r="F157">
        <f t="shared" ca="1" si="39"/>
        <v>1</v>
      </c>
      <c r="G157">
        <f t="shared" ca="1" si="40"/>
        <v>3</v>
      </c>
      <c r="H157">
        <f t="shared" ca="1" si="41"/>
        <v>0</v>
      </c>
      <c r="I157">
        <f t="shared" ca="1" si="42"/>
        <v>0</v>
      </c>
      <c r="J157">
        <f t="shared" ca="1" si="34"/>
        <v>0</v>
      </c>
      <c r="K157">
        <f ca="1">IF(OR($C157="S",$C157=0),0,MATCH(OFFSET($D157,0,$C157)+IF($C157&lt;&gt;1,1,COUNTIF(QCI!$A$13:$A$24,ORÇAMENTO!E157)),OFFSET($D157,1,$C157,ROW($C$244)-ROW($C157)),0))</f>
        <v>0</v>
      </c>
      <c r="L157" s="114" t="str">
        <f t="shared" ca="1" si="43"/>
        <v/>
      </c>
      <c r="M157" s="115" t="s">
        <v>705</v>
      </c>
      <c r="N157" s="116" t="str">
        <f t="shared" ca="1" si="44"/>
        <v>Serviço</v>
      </c>
      <c r="O157" s="117" t="str">
        <f t="shared" ca="1" si="45"/>
        <v>-</v>
      </c>
      <c r="P157" s="118" t="s">
        <v>750</v>
      </c>
      <c r="Q157" s="119" t="s">
        <v>1104</v>
      </c>
      <c r="R157" s="120" t="str" cm="1">
        <f t="array" aca="1" ref="R157" ca="1">IF($C157="S",REFERENCIA.Descricao,"(digite a descrição aqui)")</f>
        <v>(Código não identificado nas referências)</v>
      </c>
      <c r="S157" s="121" t="str" cm="1">
        <f t="array" aca="1" ref="S157" ca="1">REFERENCIA.Unidade</f>
        <v>-</v>
      </c>
      <c r="T157" s="122">
        <f ca="1">OFFSET(CÁLCULO!H$15,ROW($T157)-ROW(T$15),0)</f>
        <v>1958.0000000000007</v>
      </c>
      <c r="U157" s="123">
        <f t="shared" ca="1" si="46"/>
        <v>0</v>
      </c>
      <c r="V157" s="124" t="s">
        <v>663</v>
      </c>
      <c r="W157" s="122" cm="1">
        <f t="array" aca="1" ref="W157" ca="1">IF($C157="S",ROUND(IF(TIPOORCAMENTO="Proposto",ORÇAMENTO.CustoUnitario*(1+$AH157),ORÇAMENTO.PrecoUnitarioLicitado),15-13*$AF$10),0)</f>
        <v>0</v>
      </c>
      <c r="X157" s="125" cm="1">
        <f t="array" aca="1" ref="X157" ca="1">IF($C157="S",IF(OR(Import.TipoArredondamento&lt;&gt;"TransfereGOV",ACOMPANHAMENTO="BM"),VTOTAL1,SUM(OFFSET(CÁLCULO!$AQ$15,ROW($X157)-ROW($X$15),1):OFFSET(CÁLCULO!$BR$15,ROW($X157)-ROW($X$15),-1))),IF($C157=0,0,ROUND(SomaAgrup,15-13*$AF$11)))</f>
        <v>0</v>
      </c>
      <c r="Y157" s="126" t="s">
        <v>751</v>
      </c>
      <c r="Z157" t="str">
        <f t="shared" ca="1" si="47"/>
        <v/>
      </c>
      <c r="AA157" s="127" cm="1">
        <f t="array" aca="1" ref="AA157" ca="1">IF($C157="S",IF($Z157="CP",$X157,IF($Z157="RA",(($X157)*QCI!$AA$3),0)),SomaAgrup)</f>
        <v>0</v>
      </c>
      <c r="AB157" s="128" cm="1">
        <f t="array" aca="1" ref="AB157" ca="1">IF($C157="S",IF($Z157="OU",ROUND($X157,2),0),SomaAgrup)</f>
        <v>0</v>
      </c>
      <c r="AC157" s="565" t="str" cm="1">
        <f t="array" aca="1" ref="AC157" ca="1">IF($N157=""," ",
IF(AND($C157&lt;&gt;"S",OR($R157="",$R157="(digite a descrição aqui)")),"DESCRIÇÃO",
IF(AND($C157="S",OR($Q157&lt;&gt;"",$T157&gt;0,$U157&gt;0),$P157=""),"FONTE",
IF(AND($C157="S",$P157&lt;&gt;"",OR($T157&gt;0,$U157&gt;0),$Q157=""),"CÓDIGO",
IF(AND($C157="S",$P157&lt;&gt;"",$Q157&lt;&gt;"",$R157="(Código não identificado nas referências)"),"CÓDIGO N/ID",
IF(AND($C157="S",OR($R157="",$R157="(digite a descrição aqui)"),OR($Q157&lt;&gt;"",$T157&gt;0,$U157&gt;0)),"DESCRIÇÃO",
IF(AND($C157="S",$P157&lt;&gt;"",$Q157&lt;&gt;"",$S157=""),"UNIDADE",
IF(AND($C157="S",$P157&lt;&gt;"",$Q157&lt;&gt;"",$U157=0),"SEM CUSTO",
IF(AND(TIPOORCAMENTO="Licitado",$AL157=0,$AN157&gt;0),"SEM PREÇO",
IF(AND($C157="S",$P157&lt;&gt;"",$Q157&lt;&gt;"",$U157&gt;0,AND($V157&lt;&gt;"BDI 1",$V157&lt;&gt;"BDI 2",$V157&lt;&gt;"BDI 3")),IF(ISNUMBER($V157),"JUSTIFICAR BDI","BDI"),
IF(OR(AND(import.recurso="OGU",TIPOORCAMENTO="Proposto",LEFT($O$8,5)&lt;&gt;"(N/D:",$AG157&lt;&gt;"",ORÇAMENTO.CustoUnitario&gt;$AG157),AND(TIPOORCAMENTO="LICITADO",ORÇAMENTO.PrecoUnitarioLicitado&gt;$AN157)),"ACIMA REF.",
IF(AND($C157="S",$P157&lt;&gt;"",$Q157&lt;&gt;"",$T157=0,$U157&gt;0),"QUANT.",
IF(AND(Import.TipoArredondamento="TransfereGOV",$L157="F",$C157="S",LEN($Q157)&gt;13),"Código &gt;13",
IF(AND(Import.TipoArredondamento="TransfereGOV",$L157="F",$C157&lt;&gt;"S",LEN($R157)&gt;100),"Descrição &gt;100",
IF(AND(Import.TipoArredondamento="TransfereGOV",$L157="F",$C157="S",LEN($R157)&gt;500),"Descrição &gt;500",
IF(AND(Import.TipoArredondamento="TransfereGOV",$L157="F",$C157="S",LEFT(TRIM(UPPER($P157)),6)&lt;&gt;"SINAPI",ISNA(VLOOKUP(TRIM(UPPER($S157)),ListaTgov.Unidades,1,FALSE))),"Unid. Não Disp",
" "))))))))))))))))</f>
        <v>CÓDIGO N/ID</v>
      </c>
      <c r="AD157" t="str">
        <f ca="1">IF(C157&lt;=CRONO.NivelExibicao,MAX($AD$15:OFFSET(AD157,-1,0))+IF($C157&lt;&gt;1,1,MAX(1,COUNTIF(QCI!$A$13:$A$24,OFFSET($E157,-1,0)))),"")</f>
        <v/>
      </c>
      <c r="AE157" s="7" t="str" cm="1">
        <f t="array" aca="1" ref="AE157" ca="1">IF(AND($C157="S",ORÇAMENTO.CodBarra&lt;&gt;""),IF(ORÇAMENTO.Fonte="",ORÇAMENTO.CodBarra,CONCATENATE(ORÇAMENTO.Fonte," ",ORÇAMENTO.CodBarra)))</f>
        <v>SINAPI 91924</v>
      </c>
      <c r="AF157" s="12" t="str" cm="1">
        <f t="array" aca="1" ref="AF157" ca="1">IF(ISERROR(ORÇAMENTO.BancoRef),"(abra o arquivo 'Referência "&amp;Excel_BuiltIn_Database&amp;".xlsm)",IF(OR($C157&lt;&gt;"S",ORÇAMENTO.CodBarra=""),"(Sem Código)",IF(ISERROR(MATCH($AE157,INDIRECT(ORÇAMENTO.BancoRef),0)),"(Código não identificado nas referências)",MATCH($AE157,INDIRECT(ORÇAMENTO.BancoRef),0))))</f>
        <v>(Código não identificado nas referências)</v>
      </c>
      <c r="AG157" s="428" cm="1">
        <f t="array" aca="1" ref="AG157" ca="1">ROUND(IF(DESONERACAO="sim",REFERENCIA.Desonerado,REFERENCIA.NaoDesonerado),2)</f>
        <v>0</v>
      </c>
      <c r="AH157" s="429">
        <f t="shared" ca="1" si="48"/>
        <v>0.2223</v>
      </c>
      <c r="AJ157" s="431"/>
      <c r="AL157" s="439"/>
      <c r="AM157" s="336">
        <f t="shared" ca="1" si="0"/>
        <v>0</v>
      </c>
      <c r="AN157" s="470" cm="1">
        <f t="array" aca="1" ref="AN157" ca="1">ROUND(ORÇAMENTO.CustoUnitario*(1+$AH157),2)</f>
        <v>0</v>
      </c>
    </row>
    <row r="158" spans="1:40" ht="38.25" x14ac:dyDescent="0.2">
      <c r="A158" t="str">
        <f t="shared" si="35"/>
        <v>S</v>
      </c>
      <c r="B158">
        <f t="shared" ca="1" si="36"/>
        <v>3</v>
      </c>
      <c r="C158" t="str">
        <f t="shared" ca="1" si="37"/>
        <v>S</v>
      </c>
      <c r="D158">
        <f t="shared" ca="1" si="38"/>
        <v>0</v>
      </c>
      <c r="E158">
        <f ca="1">IF($C158=1,OFFSET(E158,-1,0)+MAX(1,COUNTIF(QCI!$A$13:$A$24,OFFSET(ORÇAMENTO!E158,-1,0))),OFFSET(E158,-1,0))</f>
        <v>9</v>
      </c>
      <c r="F158">
        <f t="shared" ca="1" si="39"/>
        <v>1</v>
      </c>
      <c r="G158">
        <f t="shared" ca="1" si="40"/>
        <v>3</v>
      </c>
      <c r="H158">
        <f t="shared" ca="1" si="41"/>
        <v>0</v>
      </c>
      <c r="I158">
        <f t="shared" ca="1" si="42"/>
        <v>0</v>
      </c>
      <c r="J158">
        <f t="shared" ca="1" si="34"/>
        <v>0</v>
      </c>
      <c r="K158">
        <f ca="1">IF(OR($C158="S",$C158=0),0,MATCH(OFFSET($D158,0,$C158)+IF($C158&lt;&gt;1,1,COUNTIF(QCI!$A$13:$A$24,ORÇAMENTO!E158)),OFFSET($D158,1,$C158,ROW($C$244)-ROW($C158)),0))</f>
        <v>0</v>
      </c>
      <c r="L158" s="114" t="str">
        <f t="shared" ca="1" si="43"/>
        <v/>
      </c>
      <c r="M158" s="115" t="s">
        <v>705</v>
      </c>
      <c r="N158" s="116" t="str">
        <f t="shared" ca="1" si="44"/>
        <v>Serviço</v>
      </c>
      <c r="O158" s="117" t="str">
        <f t="shared" ca="1" si="45"/>
        <v>-</v>
      </c>
      <c r="P158" s="118" t="s">
        <v>750</v>
      </c>
      <c r="Q158" s="119" t="s">
        <v>1105</v>
      </c>
      <c r="R158" s="120" t="str" cm="1">
        <f t="array" aca="1" ref="R158" ca="1">IF($C158="S",REFERENCIA.Descricao,"(digite a descrição aqui)")</f>
        <v>(Código não identificado nas referências)</v>
      </c>
      <c r="S158" s="121" t="str" cm="1">
        <f t="array" aca="1" ref="S158" ca="1">REFERENCIA.Unidade</f>
        <v>-</v>
      </c>
      <c r="T158" s="122">
        <f ca="1">OFFSET(CÁLCULO!H$15,ROW($T158)-ROW(T$15),0)</f>
        <v>5176.0000000000018</v>
      </c>
      <c r="U158" s="123">
        <f t="shared" ca="1" si="46"/>
        <v>0</v>
      </c>
      <c r="V158" s="124" t="s">
        <v>663</v>
      </c>
      <c r="W158" s="122" cm="1">
        <f t="array" aca="1" ref="W158" ca="1">IF($C158="S",ROUND(IF(TIPOORCAMENTO="Proposto",ORÇAMENTO.CustoUnitario*(1+$AH158),ORÇAMENTO.PrecoUnitarioLicitado),15-13*$AF$10),0)</f>
        <v>0</v>
      </c>
      <c r="X158" s="125" cm="1">
        <f t="array" aca="1" ref="X158" ca="1">IF($C158="S",IF(OR(Import.TipoArredondamento&lt;&gt;"TransfereGOV",ACOMPANHAMENTO="BM"),VTOTAL1,SUM(OFFSET(CÁLCULO!$AQ$15,ROW($X158)-ROW($X$15),1):OFFSET(CÁLCULO!$BR$15,ROW($X158)-ROW($X$15),-1))),IF($C158=0,0,ROUND(SomaAgrup,15-13*$AF$11)))</f>
        <v>0</v>
      </c>
      <c r="Y158" s="126" t="s">
        <v>751</v>
      </c>
      <c r="Z158" t="str">
        <f t="shared" ca="1" si="47"/>
        <v/>
      </c>
      <c r="AA158" s="127" cm="1">
        <f t="array" aca="1" ref="AA158" ca="1">IF($C158="S",IF($Z158="CP",$X158,IF($Z158="RA",(($X158)*QCI!$AA$3),0)),SomaAgrup)</f>
        <v>0</v>
      </c>
      <c r="AB158" s="128" cm="1">
        <f t="array" aca="1" ref="AB158" ca="1">IF($C158="S",IF($Z158="OU",ROUND($X158,2),0),SomaAgrup)</f>
        <v>0</v>
      </c>
      <c r="AC158" s="565" t="str" cm="1">
        <f t="array" aca="1" ref="AC158" ca="1">IF($N158=""," ",
IF(AND($C158&lt;&gt;"S",OR($R158="",$R158="(digite a descrição aqui)")),"DESCRIÇÃO",
IF(AND($C158="S",OR($Q158&lt;&gt;"",$T158&gt;0,$U158&gt;0),$P158=""),"FONTE",
IF(AND($C158="S",$P158&lt;&gt;"",OR($T158&gt;0,$U158&gt;0),$Q158=""),"CÓDIGO",
IF(AND($C158="S",$P158&lt;&gt;"",$Q158&lt;&gt;"",$R158="(Código não identificado nas referências)"),"CÓDIGO N/ID",
IF(AND($C158="S",OR($R158="",$R158="(digite a descrição aqui)"),OR($Q158&lt;&gt;"",$T158&gt;0,$U158&gt;0)),"DESCRIÇÃO",
IF(AND($C158="S",$P158&lt;&gt;"",$Q158&lt;&gt;"",$S158=""),"UNIDADE",
IF(AND($C158="S",$P158&lt;&gt;"",$Q158&lt;&gt;"",$U158=0),"SEM CUSTO",
IF(AND(TIPOORCAMENTO="Licitado",$AL158=0,$AN158&gt;0),"SEM PREÇO",
IF(AND($C158="S",$P158&lt;&gt;"",$Q158&lt;&gt;"",$U158&gt;0,AND($V158&lt;&gt;"BDI 1",$V158&lt;&gt;"BDI 2",$V158&lt;&gt;"BDI 3")),IF(ISNUMBER($V158),"JUSTIFICAR BDI","BDI"),
IF(OR(AND(import.recurso="OGU",TIPOORCAMENTO="Proposto",LEFT($O$8,5)&lt;&gt;"(N/D:",$AG158&lt;&gt;"",ORÇAMENTO.CustoUnitario&gt;$AG158),AND(TIPOORCAMENTO="LICITADO",ORÇAMENTO.PrecoUnitarioLicitado&gt;$AN158)),"ACIMA REF.",
IF(AND($C158="S",$P158&lt;&gt;"",$Q158&lt;&gt;"",$T158=0,$U158&gt;0),"QUANT.",
IF(AND(Import.TipoArredondamento="TransfereGOV",$L158="F",$C158="S",LEN($Q158)&gt;13),"Código &gt;13",
IF(AND(Import.TipoArredondamento="TransfereGOV",$L158="F",$C158&lt;&gt;"S",LEN($R158)&gt;100),"Descrição &gt;100",
IF(AND(Import.TipoArredondamento="TransfereGOV",$L158="F",$C158="S",LEN($R158)&gt;500),"Descrição &gt;500",
IF(AND(Import.TipoArredondamento="TransfereGOV",$L158="F",$C158="S",LEFT(TRIM(UPPER($P158)),6)&lt;&gt;"SINAPI",ISNA(VLOOKUP(TRIM(UPPER($S158)),ListaTgov.Unidades,1,FALSE))),"Unid. Não Disp",
" "))))))))))))))))</f>
        <v>CÓDIGO N/ID</v>
      </c>
      <c r="AD158" t="str">
        <f ca="1">IF(C158&lt;=CRONO.NivelExibicao,MAX($AD$15:OFFSET(AD158,-1,0))+IF($C158&lt;&gt;1,1,MAX(1,COUNTIF(QCI!$A$13:$A$24,OFFSET($E158,-1,0)))),"")</f>
        <v/>
      </c>
      <c r="AE158" s="7" t="str" cm="1">
        <f t="array" aca="1" ref="AE158" ca="1">IF(AND($C158="S",ORÇAMENTO.CodBarra&lt;&gt;""),IF(ORÇAMENTO.Fonte="",ORÇAMENTO.CodBarra,CONCATENATE(ORÇAMENTO.Fonte," ",ORÇAMENTO.CodBarra)))</f>
        <v>SINAPI 91926</v>
      </c>
      <c r="AF158" s="12" t="str" cm="1">
        <f t="array" aca="1" ref="AF158" ca="1">IF(ISERROR(ORÇAMENTO.BancoRef),"(abra o arquivo 'Referência "&amp;Excel_BuiltIn_Database&amp;".xlsm)",IF(OR($C158&lt;&gt;"S",ORÇAMENTO.CodBarra=""),"(Sem Código)",IF(ISERROR(MATCH($AE158,INDIRECT(ORÇAMENTO.BancoRef),0)),"(Código não identificado nas referências)",MATCH($AE158,INDIRECT(ORÇAMENTO.BancoRef),0))))</f>
        <v>(Código não identificado nas referências)</v>
      </c>
      <c r="AG158" s="428" cm="1">
        <f t="array" aca="1" ref="AG158" ca="1">ROUND(IF(DESONERACAO="sim",REFERENCIA.Desonerado,REFERENCIA.NaoDesonerado),2)</f>
        <v>0</v>
      </c>
      <c r="AH158" s="429">
        <f t="shared" ca="1" si="48"/>
        <v>0.2223</v>
      </c>
      <c r="AJ158" s="431"/>
      <c r="AL158" s="439"/>
      <c r="AM158" s="336">
        <f t="shared" ca="1" si="0"/>
        <v>0</v>
      </c>
      <c r="AN158" s="470" cm="1">
        <f t="array" aca="1" ref="AN158" ca="1">ROUND(ORÇAMENTO.CustoUnitario*(1+$AH158),2)</f>
        <v>0</v>
      </c>
    </row>
    <row r="159" spans="1:40" ht="38.25" x14ac:dyDescent="0.2">
      <c r="A159" t="str">
        <f t="shared" si="35"/>
        <v>S</v>
      </c>
      <c r="B159">
        <f t="shared" ca="1" si="36"/>
        <v>3</v>
      </c>
      <c r="C159" t="str">
        <f t="shared" ca="1" si="37"/>
        <v>S</v>
      </c>
      <c r="D159">
        <f t="shared" ca="1" si="38"/>
        <v>0</v>
      </c>
      <c r="E159">
        <f ca="1">IF($C159=1,OFFSET(E159,-1,0)+MAX(1,COUNTIF(QCI!$A$13:$A$24,OFFSET(ORÇAMENTO!E159,-1,0))),OFFSET(E159,-1,0))</f>
        <v>9</v>
      </c>
      <c r="F159">
        <f t="shared" ca="1" si="39"/>
        <v>1</v>
      </c>
      <c r="G159">
        <f t="shared" ca="1" si="40"/>
        <v>3</v>
      </c>
      <c r="H159">
        <f t="shared" ca="1" si="41"/>
        <v>0</v>
      </c>
      <c r="I159">
        <f t="shared" ca="1" si="42"/>
        <v>0</v>
      </c>
      <c r="J159">
        <f t="shared" ca="1" si="34"/>
        <v>0</v>
      </c>
      <c r="K159">
        <f ca="1">IF(OR($C159="S",$C159=0),0,MATCH(OFFSET($D159,0,$C159)+IF($C159&lt;&gt;1,1,COUNTIF(QCI!$A$13:$A$24,ORÇAMENTO!E159)),OFFSET($D159,1,$C159,ROW($C$244)-ROW($C159)),0))</f>
        <v>0</v>
      </c>
      <c r="L159" s="114" t="str">
        <f t="shared" ca="1" si="43"/>
        <v/>
      </c>
      <c r="M159" s="115" t="s">
        <v>705</v>
      </c>
      <c r="N159" s="116" t="str">
        <f t="shared" ca="1" si="44"/>
        <v>Serviço</v>
      </c>
      <c r="O159" s="117" t="str">
        <f t="shared" ca="1" si="45"/>
        <v>-</v>
      </c>
      <c r="P159" s="118" t="s">
        <v>750</v>
      </c>
      <c r="Q159" s="119" t="s">
        <v>1106</v>
      </c>
      <c r="R159" s="120" t="str" cm="1">
        <f t="array" aca="1" ref="R159" ca="1">IF($C159="S",REFERENCIA.Descricao,"(digite a descrição aqui)")</f>
        <v>(Código não identificado nas referências)</v>
      </c>
      <c r="S159" s="121" t="str" cm="1">
        <f t="array" aca="1" ref="S159" ca="1">REFERENCIA.Unidade</f>
        <v>-</v>
      </c>
      <c r="T159" s="122">
        <f ca="1">OFFSET(CÁLCULO!H$15,ROW($T159)-ROW(T$15),0)</f>
        <v>496.00000000000017</v>
      </c>
      <c r="U159" s="123">
        <f t="shared" ca="1" si="46"/>
        <v>0</v>
      </c>
      <c r="V159" s="124" t="s">
        <v>663</v>
      </c>
      <c r="W159" s="122" cm="1">
        <f t="array" aca="1" ref="W159" ca="1">IF($C159="S",ROUND(IF(TIPOORCAMENTO="Proposto",ORÇAMENTO.CustoUnitario*(1+$AH159),ORÇAMENTO.PrecoUnitarioLicitado),15-13*$AF$10),0)</f>
        <v>0</v>
      </c>
      <c r="X159" s="125" cm="1">
        <f t="array" aca="1" ref="X159" ca="1">IF($C159="S",IF(OR(Import.TipoArredondamento&lt;&gt;"TransfereGOV",ACOMPANHAMENTO="BM"),VTOTAL1,SUM(OFFSET(CÁLCULO!$AQ$15,ROW($X159)-ROW($X$15),1):OFFSET(CÁLCULO!$BR$15,ROW($X159)-ROW($X$15),-1))),IF($C159=0,0,ROUND(SomaAgrup,15-13*$AF$11)))</f>
        <v>0</v>
      </c>
      <c r="Y159" s="126" t="s">
        <v>751</v>
      </c>
      <c r="Z159" t="str">
        <f t="shared" ca="1" si="47"/>
        <v/>
      </c>
      <c r="AA159" s="127" cm="1">
        <f t="array" aca="1" ref="AA159" ca="1">IF($C159="S",IF($Z159="CP",$X159,IF($Z159="RA",(($X159)*QCI!$AA$3),0)),SomaAgrup)</f>
        <v>0</v>
      </c>
      <c r="AB159" s="128" cm="1">
        <f t="array" aca="1" ref="AB159" ca="1">IF($C159="S",IF($Z159="OU",ROUND($X159,2),0),SomaAgrup)</f>
        <v>0</v>
      </c>
      <c r="AC159" s="565" t="str" cm="1">
        <f t="array" aca="1" ref="AC159" ca="1">IF($N159=""," ",
IF(AND($C159&lt;&gt;"S",OR($R159="",$R159="(digite a descrição aqui)")),"DESCRIÇÃO",
IF(AND($C159="S",OR($Q159&lt;&gt;"",$T159&gt;0,$U159&gt;0),$P159=""),"FONTE",
IF(AND($C159="S",$P159&lt;&gt;"",OR($T159&gt;0,$U159&gt;0),$Q159=""),"CÓDIGO",
IF(AND($C159="S",$P159&lt;&gt;"",$Q159&lt;&gt;"",$R159="(Código não identificado nas referências)"),"CÓDIGO N/ID",
IF(AND($C159="S",OR($R159="",$R159="(digite a descrição aqui)"),OR($Q159&lt;&gt;"",$T159&gt;0,$U159&gt;0)),"DESCRIÇÃO",
IF(AND($C159="S",$P159&lt;&gt;"",$Q159&lt;&gt;"",$S159=""),"UNIDADE",
IF(AND($C159="S",$P159&lt;&gt;"",$Q159&lt;&gt;"",$U159=0),"SEM CUSTO",
IF(AND(TIPOORCAMENTO="Licitado",$AL159=0,$AN159&gt;0),"SEM PREÇO",
IF(AND($C159="S",$P159&lt;&gt;"",$Q159&lt;&gt;"",$U159&gt;0,AND($V159&lt;&gt;"BDI 1",$V159&lt;&gt;"BDI 2",$V159&lt;&gt;"BDI 3")),IF(ISNUMBER($V159),"JUSTIFICAR BDI","BDI"),
IF(OR(AND(import.recurso="OGU",TIPOORCAMENTO="Proposto",LEFT($O$8,5)&lt;&gt;"(N/D:",$AG159&lt;&gt;"",ORÇAMENTO.CustoUnitario&gt;$AG159),AND(TIPOORCAMENTO="LICITADO",ORÇAMENTO.PrecoUnitarioLicitado&gt;$AN159)),"ACIMA REF.",
IF(AND($C159="S",$P159&lt;&gt;"",$Q159&lt;&gt;"",$T159=0,$U159&gt;0),"QUANT.",
IF(AND(Import.TipoArredondamento="TransfereGOV",$L159="F",$C159="S",LEN($Q159)&gt;13),"Código &gt;13",
IF(AND(Import.TipoArredondamento="TransfereGOV",$L159="F",$C159&lt;&gt;"S",LEN($R159)&gt;100),"Descrição &gt;100",
IF(AND(Import.TipoArredondamento="TransfereGOV",$L159="F",$C159="S",LEN($R159)&gt;500),"Descrição &gt;500",
IF(AND(Import.TipoArredondamento="TransfereGOV",$L159="F",$C159="S",LEFT(TRIM(UPPER($P159)),6)&lt;&gt;"SINAPI",ISNA(VLOOKUP(TRIM(UPPER($S159)),ListaTgov.Unidades,1,FALSE))),"Unid. Não Disp",
" "))))))))))))))))</f>
        <v>CÓDIGO N/ID</v>
      </c>
      <c r="AD159" t="str">
        <f ca="1">IF(C159&lt;=CRONO.NivelExibicao,MAX($AD$15:OFFSET(AD159,-1,0))+IF($C159&lt;&gt;1,1,MAX(1,COUNTIF(QCI!$A$13:$A$24,OFFSET($E159,-1,0)))),"")</f>
        <v/>
      </c>
      <c r="AE159" s="7" t="str" cm="1">
        <f t="array" aca="1" ref="AE159" ca="1">IF(AND($C159="S",ORÇAMENTO.CodBarra&lt;&gt;""),IF(ORÇAMENTO.Fonte="",ORÇAMENTO.CodBarra,CONCATENATE(ORÇAMENTO.Fonte," ",ORÇAMENTO.CodBarra)))</f>
        <v>SINAPI 91928</v>
      </c>
      <c r="AF159" s="12" t="str" cm="1">
        <f t="array" aca="1" ref="AF159" ca="1">IF(ISERROR(ORÇAMENTO.BancoRef),"(abra o arquivo 'Referência "&amp;Excel_BuiltIn_Database&amp;".xlsm)",IF(OR($C159&lt;&gt;"S",ORÇAMENTO.CodBarra=""),"(Sem Código)",IF(ISERROR(MATCH($AE159,INDIRECT(ORÇAMENTO.BancoRef),0)),"(Código não identificado nas referências)",MATCH($AE159,INDIRECT(ORÇAMENTO.BancoRef),0))))</f>
        <v>(Código não identificado nas referências)</v>
      </c>
      <c r="AG159" s="428" cm="1">
        <f t="array" aca="1" ref="AG159" ca="1">ROUND(IF(DESONERACAO="sim",REFERENCIA.Desonerado,REFERENCIA.NaoDesonerado),2)</f>
        <v>0</v>
      </c>
      <c r="AH159" s="429">
        <f t="shared" ca="1" si="48"/>
        <v>0.2223</v>
      </c>
      <c r="AJ159" s="431"/>
      <c r="AL159" s="439"/>
      <c r="AM159" s="336">
        <f t="shared" ca="1" si="0"/>
        <v>0</v>
      </c>
      <c r="AN159" s="470" cm="1">
        <f t="array" aca="1" ref="AN159" ca="1">ROUND(ORÇAMENTO.CustoUnitario*(1+$AH159),2)</f>
        <v>0</v>
      </c>
    </row>
    <row r="160" spans="1:40" ht="38.25" x14ac:dyDescent="0.2">
      <c r="A160" t="str">
        <f t="shared" si="35"/>
        <v>S</v>
      </c>
      <c r="B160">
        <f t="shared" ca="1" si="36"/>
        <v>3</v>
      </c>
      <c r="C160" t="str">
        <f t="shared" ca="1" si="37"/>
        <v>S</v>
      </c>
      <c r="D160">
        <f t="shared" ca="1" si="38"/>
        <v>0</v>
      </c>
      <c r="E160">
        <f ca="1">IF($C160=1,OFFSET(E160,-1,0)+MAX(1,COUNTIF(QCI!$A$13:$A$24,OFFSET(ORÇAMENTO!E160,-1,0))),OFFSET(E160,-1,0))</f>
        <v>9</v>
      </c>
      <c r="F160">
        <f t="shared" ca="1" si="39"/>
        <v>1</v>
      </c>
      <c r="G160">
        <f t="shared" ca="1" si="40"/>
        <v>3</v>
      </c>
      <c r="H160">
        <f t="shared" ca="1" si="41"/>
        <v>0</v>
      </c>
      <c r="I160">
        <f t="shared" ca="1" si="42"/>
        <v>0</v>
      </c>
      <c r="J160">
        <f t="shared" ca="1" si="34"/>
        <v>0</v>
      </c>
      <c r="K160">
        <f ca="1">IF(OR($C160="S",$C160=0),0,MATCH(OFFSET($D160,0,$C160)+IF($C160&lt;&gt;1,1,COUNTIF(QCI!$A$13:$A$24,ORÇAMENTO!E160)),OFFSET($D160,1,$C160,ROW($C$244)-ROW($C160)),0))</f>
        <v>0</v>
      </c>
      <c r="L160" s="114" t="str">
        <f t="shared" ca="1" si="43"/>
        <v/>
      </c>
      <c r="M160" s="115" t="s">
        <v>705</v>
      </c>
      <c r="N160" s="116" t="str">
        <f t="shared" ca="1" si="44"/>
        <v>Serviço</v>
      </c>
      <c r="O160" s="117" t="str">
        <f t="shared" ca="1" si="45"/>
        <v>-</v>
      </c>
      <c r="P160" s="118" t="s">
        <v>750</v>
      </c>
      <c r="Q160" s="119" t="s">
        <v>1107</v>
      </c>
      <c r="R160" s="120" t="str" cm="1">
        <f t="array" aca="1" ref="R160" ca="1">IF($C160="S",REFERENCIA.Descricao,"(digite a descrição aqui)")</f>
        <v>(Código não identificado nas referências)</v>
      </c>
      <c r="S160" s="121" t="str" cm="1">
        <f t="array" aca="1" ref="S160" ca="1">REFERENCIA.Unidade</f>
        <v>-</v>
      </c>
      <c r="T160" s="122">
        <f ca="1">OFFSET(CÁLCULO!H$15,ROW($T160)-ROW(T$15),0)</f>
        <v>517.99999999999977</v>
      </c>
      <c r="U160" s="123">
        <f t="shared" ca="1" si="46"/>
        <v>0</v>
      </c>
      <c r="V160" s="124" t="s">
        <v>663</v>
      </c>
      <c r="W160" s="122" cm="1">
        <f t="array" aca="1" ref="W160" ca="1">IF($C160="S",ROUND(IF(TIPOORCAMENTO="Proposto",ORÇAMENTO.CustoUnitario*(1+$AH160),ORÇAMENTO.PrecoUnitarioLicitado),15-13*$AF$10),0)</f>
        <v>0</v>
      </c>
      <c r="X160" s="125" cm="1">
        <f t="array" aca="1" ref="X160" ca="1">IF($C160="S",IF(OR(Import.TipoArredondamento&lt;&gt;"TransfereGOV",ACOMPANHAMENTO="BM"),VTOTAL1,SUM(OFFSET(CÁLCULO!$AQ$15,ROW($X160)-ROW($X$15),1):OFFSET(CÁLCULO!$BR$15,ROW($X160)-ROW($X$15),-1))),IF($C160=0,0,ROUND(SomaAgrup,15-13*$AF$11)))</f>
        <v>0</v>
      </c>
      <c r="Y160" s="126" t="s">
        <v>751</v>
      </c>
      <c r="Z160" t="str">
        <f t="shared" ca="1" si="47"/>
        <v/>
      </c>
      <c r="AA160" s="127" cm="1">
        <f t="array" aca="1" ref="AA160" ca="1">IF($C160="S",IF($Z160="CP",$X160,IF($Z160="RA",(($X160)*QCI!$AA$3),0)),SomaAgrup)</f>
        <v>0</v>
      </c>
      <c r="AB160" s="128" cm="1">
        <f t="array" aca="1" ref="AB160" ca="1">IF($C160="S",IF($Z160="OU",ROUND($X160,2),0),SomaAgrup)</f>
        <v>0</v>
      </c>
      <c r="AC160" s="565" t="str" cm="1">
        <f t="array" aca="1" ref="AC160" ca="1">IF($N160=""," ",
IF(AND($C160&lt;&gt;"S",OR($R160="",$R160="(digite a descrição aqui)")),"DESCRIÇÃO",
IF(AND($C160="S",OR($Q160&lt;&gt;"",$T160&gt;0,$U160&gt;0),$P160=""),"FONTE",
IF(AND($C160="S",$P160&lt;&gt;"",OR($T160&gt;0,$U160&gt;0),$Q160=""),"CÓDIGO",
IF(AND($C160="S",$P160&lt;&gt;"",$Q160&lt;&gt;"",$R160="(Código não identificado nas referências)"),"CÓDIGO N/ID",
IF(AND($C160="S",OR($R160="",$R160="(digite a descrição aqui)"),OR($Q160&lt;&gt;"",$T160&gt;0,$U160&gt;0)),"DESCRIÇÃO",
IF(AND($C160="S",$P160&lt;&gt;"",$Q160&lt;&gt;"",$S160=""),"UNIDADE",
IF(AND($C160="S",$P160&lt;&gt;"",$Q160&lt;&gt;"",$U160=0),"SEM CUSTO",
IF(AND(TIPOORCAMENTO="Licitado",$AL160=0,$AN160&gt;0),"SEM PREÇO",
IF(AND($C160="S",$P160&lt;&gt;"",$Q160&lt;&gt;"",$U160&gt;0,AND($V160&lt;&gt;"BDI 1",$V160&lt;&gt;"BDI 2",$V160&lt;&gt;"BDI 3")),IF(ISNUMBER($V160),"JUSTIFICAR BDI","BDI"),
IF(OR(AND(import.recurso="OGU",TIPOORCAMENTO="Proposto",LEFT($O$8,5)&lt;&gt;"(N/D:",$AG160&lt;&gt;"",ORÇAMENTO.CustoUnitario&gt;$AG160),AND(TIPOORCAMENTO="LICITADO",ORÇAMENTO.PrecoUnitarioLicitado&gt;$AN160)),"ACIMA REF.",
IF(AND($C160="S",$P160&lt;&gt;"",$Q160&lt;&gt;"",$T160=0,$U160&gt;0),"QUANT.",
IF(AND(Import.TipoArredondamento="TransfereGOV",$L160="F",$C160="S",LEN($Q160)&gt;13),"Código &gt;13",
IF(AND(Import.TipoArredondamento="TransfereGOV",$L160="F",$C160&lt;&gt;"S",LEN($R160)&gt;100),"Descrição &gt;100",
IF(AND(Import.TipoArredondamento="TransfereGOV",$L160="F",$C160="S",LEN($R160)&gt;500),"Descrição &gt;500",
IF(AND(Import.TipoArredondamento="TransfereGOV",$L160="F",$C160="S",LEFT(TRIM(UPPER($P160)),6)&lt;&gt;"SINAPI",ISNA(VLOOKUP(TRIM(UPPER($S160)),ListaTgov.Unidades,1,FALSE))),"Unid. Não Disp",
" "))))))))))))))))</f>
        <v>CÓDIGO N/ID</v>
      </c>
      <c r="AD160" t="str">
        <f ca="1">IF(C160&lt;=CRONO.NivelExibicao,MAX($AD$15:OFFSET(AD160,-1,0))+IF($C160&lt;&gt;1,1,MAX(1,COUNTIF(QCI!$A$13:$A$24,OFFSET($E160,-1,0)))),"")</f>
        <v/>
      </c>
      <c r="AE160" s="7" t="str" cm="1">
        <f t="array" aca="1" ref="AE160" ca="1">IF(AND($C160="S",ORÇAMENTO.CodBarra&lt;&gt;""),IF(ORÇAMENTO.Fonte="",ORÇAMENTO.CodBarra,CONCATENATE(ORÇAMENTO.Fonte," ",ORÇAMENTO.CodBarra)))</f>
        <v>SINAPI 101884</v>
      </c>
      <c r="AF160" s="12" t="str" cm="1">
        <f t="array" aca="1" ref="AF160" ca="1">IF(ISERROR(ORÇAMENTO.BancoRef),"(abra o arquivo 'Referência "&amp;Excel_BuiltIn_Database&amp;".xlsm)",IF(OR($C160&lt;&gt;"S",ORÇAMENTO.CodBarra=""),"(Sem Código)",IF(ISERROR(MATCH($AE160,INDIRECT(ORÇAMENTO.BancoRef),0)),"(Código não identificado nas referências)",MATCH($AE160,INDIRECT(ORÇAMENTO.BancoRef),0))))</f>
        <v>(Código não identificado nas referências)</v>
      </c>
      <c r="AG160" s="428" cm="1">
        <f t="array" aca="1" ref="AG160" ca="1">ROUND(IF(DESONERACAO="sim",REFERENCIA.Desonerado,REFERENCIA.NaoDesonerado),2)</f>
        <v>0</v>
      </c>
      <c r="AH160" s="429">
        <f t="shared" ca="1" si="48"/>
        <v>0.2223</v>
      </c>
      <c r="AJ160" s="431"/>
      <c r="AL160" s="439"/>
      <c r="AM160" s="336">
        <f t="shared" ca="1" si="0"/>
        <v>0</v>
      </c>
      <c r="AN160" s="470" cm="1">
        <f t="array" aca="1" ref="AN160" ca="1">ROUND(ORÇAMENTO.CustoUnitario*(1+$AH160),2)</f>
        <v>0</v>
      </c>
    </row>
    <row r="161" spans="1:40" ht="38.25" x14ac:dyDescent="0.2">
      <c r="A161" t="str">
        <f t="shared" si="35"/>
        <v>S</v>
      </c>
      <c r="B161">
        <f t="shared" ca="1" si="36"/>
        <v>3</v>
      </c>
      <c r="C161" t="str">
        <f t="shared" ca="1" si="37"/>
        <v>S</v>
      </c>
      <c r="D161">
        <f t="shared" ca="1" si="38"/>
        <v>0</v>
      </c>
      <c r="E161">
        <f ca="1">IF($C161=1,OFFSET(E161,-1,0)+MAX(1,COUNTIF(QCI!$A$13:$A$24,OFFSET(ORÇAMENTO!E161,-1,0))),OFFSET(E161,-1,0))</f>
        <v>9</v>
      </c>
      <c r="F161">
        <f t="shared" ca="1" si="39"/>
        <v>1</v>
      </c>
      <c r="G161">
        <f t="shared" ca="1" si="40"/>
        <v>3</v>
      </c>
      <c r="H161">
        <f t="shared" ca="1" si="41"/>
        <v>0</v>
      </c>
      <c r="I161">
        <f t="shared" ca="1" si="42"/>
        <v>0</v>
      </c>
      <c r="J161">
        <f t="shared" ca="1" si="34"/>
        <v>0</v>
      </c>
      <c r="K161">
        <f ca="1">IF(OR($C161="S",$C161=0),0,MATCH(OFFSET($D161,0,$C161)+IF($C161&lt;&gt;1,1,COUNTIF(QCI!$A$13:$A$24,ORÇAMENTO!E161)),OFFSET($D161,1,$C161,ROW($C$244)-ROW($C161)),0))</f>
        <v>0</v>
      </c>
      <c r="L161" s="114" t="str">
        <f t="shared" ca="1" si="43"/>
        <v/>
      </c>
      <c r="M161" s="115" t="s">
        <v>705</v>
      </c>
      <c r="N161" s="116" t="str">
        <f t="shared" ca="1" si="44"/>
        <v>Serviço</v>
      </c>
      <c r="O161" s="117" t="str">
        <f t="shared" ca="1" si="45"/>
        <v>-</v>
      </c>
      <c r="P161" s="118" t="s">
        <v>750</v>
      </c>
      <c r="Q161" s="119" t="s">
        <v>1108</v>
      </c>
      <c r="R161" s="120" t="str" cm="1">
        <f t="array" aca="1" ref="R161" ca="1">IF($C161="S",REFERENCIA.Descricao,"(digite a descrição aqui)")</f>
        <v>(Código não identificado nas referências)</v>
      </c>
      <c r="S161" s="121" t="str" cm="1">
        <f t="array" aca="1" ref="S161" ca="1">REFERENCIA.Unidade</f>
        <v>-</v>
      </c>
      <c r="T161" s="122">
        <f ca="1">OFFSET(CÁLCULO!H$15,ROW($T161)-ROW(T$15),0)</f>
        <v>166.00000000000003</v>
      </c>
      <c r="U161" s="123">
        <f t="shared" ca="1" si="46"/>
        <v>0</v>
      </c>
      <c r="V161" s="124" t="s">
        <v>663</v>
      </c>
      <c r="W161" s="122" cm="1">
        <f t="array" aca="1" ref="W161" ca="1">IF($C161="S",ROUND(IF(TIPOORCAMENTO="Proposto",ORÇAMENTO.CustoUnitario*(1+$AH161),ORÇAMENTO.PrecoUnitarioLicitado),15-13*$AF$10),0)</f>
        <v>0</v>
      </c>
      <c r="X161" s="125" cm="1">
        <f t="array" aca="1" ref="X161" ca="1">IF($C161="S",IF(OR(Import.TipoArredondamento&lt;&gt;"TransfereGOV",ACOMPANHAMENTO="BM"),VTOTAL1,SUM(OFFSET(CÁLCULO!$AQ$15,ROW($X161)-ROW($X$15),1):OFFSET(CÁLCULO!$BR$15,ROW($X161)-ROW($X$15),-1))),IF($C161=0,0,ROUND(SomaAgrup,15-13*$AF$11)))</f>
        <v>0</v>
      </c>
      <c r="Y161" s="126" t="s">
        <v>751</v>
      </c>
      <c r="Z161" t="str">
        <f t="shared" ca="1" si="47"/>
        <v/>
      </c>
      <c r="AA161" s="127" cm="1">
        <f t="array" aca="1" ref="AA161" ca="1">IF($C161="S",IF($Z161="CP",$X161,IF($Z161="RA",(($X161)*QCI!$AA$3),0)),SomaAgrup)</f>
        <v>0</v>
      </c>
      <c r="AB161" s="128" cm="1">
        <f t="array" aca="1" ref="AB161" ca="1">IF($C161="S",IF($Z161="OU",ROUND($X161,2),0),SomaAgrup)</f>
        <v>0</v>
      </c>
      <c r="AC161" s="565" t="str" cm="1">
        <f t="array" aca="1" ref="AC161" ca="1">IF($N161=""," ",
IF(AND($C161&lt;&gt;"S",OR($R161="",$R161="(digite a descrição aqui)")),"DESCRIÇÃO",
IF(AND($C161="S",OR($Q161&lt;&gt;"",$T161&gt;0,$U161&gt;0),$P161=""),"FONTE",
IF(AND($C161="S",$P161&lt;&gt;"",OR($T161&gt;0,$U161&gt;0),$Q161=""),"CÓDIGO",
IF(AND($C161="S",$P161&lt;&gt;"",$Q161&lt;&gt;"",$R161="(Código não identificado nas referências)"),"CÓDIGO N/ID",
IF(AND($C161="S",OR($R161="",$R161="(digite a descrição aqui)"),OR($Q161&lt;&gt;"",$T161&gt;0,$U161&gt;0)),"DESCRIÇÃO",
IF(AND($C161="S",$P161&lt;&gt;"",$Q161&lt;&gt;"",$S161=""),"UNIDADE",
IF(AND($C161="S",$P161&lt;&gt;"",$Q161&lt;&gt;"",$U161=0),"SEM CUSTO",
IF(AND(TIPOORCAMENTO="Licitado",$AL161=0,$AN161&gt;0),"SEM PREÇO",
IF(AND($C161="S",$P161&lt;&gt;"",$Q161&lt;&gt;"",$U161&gt;0,AND($V161&lt;&gt;"BDI 1",$V161&lt;&gt;"BDI 2",$V161&lt;&gt;"BDI 3")),IF(ISNUMBER($V161),"JUSTIFICAR BDI","BDI"),
IF(OR(AND(import.recurso="OGU",TIPOORCAMENTO="Proposto",LEFT($O$8,5)&lt;&gt;"(N/D:",$AG161&lt;&gt;"",ORÇAMENTO.CustoUnitario&gt;$AG161),AND(TIPOORCAMENTO="LICITADO",ORÇAMENTO.PrecoUnitarioLicitado&gt;$AN161)),"ACIMA REF.",
IF(AND($C161="S",$P161&lt;&gt;"",$Q161&lt;&gt;"",$T161=0,$U161&gt;0),"QUANT.",
IF(AND(Import.TipoArredondamento="TransfereGOV",$L161="F",$C161="S",LEN($Q161)&gt;13),"Código &gt;13",
IF(AND(Import.TipoArredondamento="TransfereGOV",$L161="F",$C161&lt;&gt;"S",LEN($R161)&gt;100),"Descrição &gt;100",
IF(AND(Import.TipoArredondamento="TransfereGOV",$L161="F",$C161="S",LEN($R161)&gt;500),"Descrição &gt;500",
IF(AND(Import.TipoArredondamento="TransfereGOV",$L161="F",$C161="S",LEFT(TRIM(UPPER($P161)),6)&lt;&gt;"SINAPI",ISNA(VLOOKUP(TRIM(UPPER($S161)),ListaTgov.Unidades,1,FALSE))),"Unid. Não Disp",
" "))))))))))))))))</f>
        <v>CÓDIGO N/ID</v>
      </c>
      <c r="AD161" t="str">
        <f ca="1">IF(C161&lt;=CRONO.NivelExibicao,MAX($AD$15:OFFSET(AD161,-1,0))+IF($C161&lt;&gt;1,1,MAX(1,COUNTIF(QCI!$A$13:$A$24,OFFSET($E161,-1,0)))),"")</f>
        <v/>
      </c>
      <c r="AE161" s="7" t="str" cm="1">
        <f t="array" aca="1" ref="AE161" ca="1">IF(AND($C161="S",ORÇAMENTO.CodBarra&lt;&gt;""),IF(ORÇAMENTO.Fonte="",ORÇAMENTO.CodBarra,CONCATENATE(ORÇAMENTO.Fonte," ",ORÇAMENTO.CodBarra)))</f>
        <v>SINAPI 101560</v>
      </c>
      <c r="AF161" s="12" t="str" cm="1">
        <f t="array" aca="1" ref="AF161" ca="1">IF(ISERROR(ORÇAMENTO.BancoRef),"(abra o arquivo 'Referência "&amp;Excel_BuiltIn_Database&amp;".xlsm)",IF(OR($C161&lt;&gt;"S",ORÇAMENTO.CodBarra=""),"(Sem Código)",IF(ISERROR(MATCH($AE161,INDIRECT(ORÇAMENTO.BancoRef),0)),"(Código não identificado nas referências)",MATCH($AE161,INDIRECT(ORÇAMENTO.BancoRef),0))))</f>
        <v>(Código não identificado nas referências)</v>
      </c>
      <c r="AG161" s="428" cm="1">
        <f t="array" aca="1" ref="AG161" ca="1">ROUND(IF(DESONERACAO="sim",REFERENCIA.Desonerado,REFERENCIA.NaoDesonerado),2)</f>
        <v>0</v>
      </c>
      <c r="AH161" s="429">
        <f t="shared" ca="1" si="48"/>
        <v>0.2223</v>
      </c>
      <c r="AJ161" s="431"/>
      <c r="AL161" s="439"/>
      <c r="AM161" s="336">
        <f t="shared" ca="1" si="0"/>
        <v>0</v>
      </c>
      <c r="AN161" s="470" cm="1">
        <f t="array" aca="1" ref="AN161" ca="1">ROUND(ORÇAMENTO.CustoUnitario*(1+$AH161),2)</f>
        <v>0</v>
      </c>
    </row>
    <row r="162" spans="1:40" ht="38.25" x14ac:dyDescent="0.2">
      <c r="A162" t="str">
        <f t="shared" si="35"/>
        <v>S</v>
      </c>
      <c r="B162">
        <f t="shared" ca="1" si="36"/>
        <v>3</v>
      </c>
      <c r="C162" t="str">
        <f t="shared" ca="1" si="37"/>
        <v>S</v>
      </c>
      <c r="D162">
        <f t="shared" ca="1" si="38"/>
        <v>0</v>
      </c>
      <c r="E162">
        <f ca="1">IF($C162=1,OFFSET(E162,-1,0)+MAX(1,COUNTIF(QCI!$A$13:$A$24,OFFSET(ORÇAMENTO!E162,-1,0))),OFFSET(E162,-1,0))</f>
        <v>9</v>
      </c>
      <c r="F162">
        <f t="shared" ca="1" si="39"/>
        <v>1</v>
      </c>
      <c r="G162">
        <f t="shared" ca="1" si="40"/>
        <v>3</v>
      </c>
      <c r="H162">
        <f t="shared" ca="1" si="41"/>
        <v>0</v>
      </c>
      <c r="I162">
        <f t="shared" ca="1" si="42"/>
        <v>0</v>
      </c>
      <c r="J162">
        <f t="shared" ca="1" si="34"/>
        <v>0</v>
      </c>
      <c r="K162">
        <f ca="1">IF(OR($C162="S",$C162=0),0,MATCH(OFFSET($D162,0,$C162)+IF($C162&lt;&gt;1,1,COUNTIF(QCI!$A$13:$A$24,ORÇAMENTO!E162)),OFFSET($D162,1,$C162,ROW($C$244)-ROW($C162)),0))</f>
        <v>0</v>
      </c>
      <c r="L162" s="114" t="str">
        <f t="shared" ca="1" si="43"/>
        <v/>
      </c>
      <c r="M162" s="115" t="s">
        <v>705</v>
      </c>
      <c r="N162" s="116" t="str">
        <f t="shared" ca="1" si="44"/>
        <v>Serviço</v>
      </c>
      <c r="O162" s="117" t="str">
        <f t="shared" ca="1" si="45"/>
        <v>-</v>
      </c>
      <c r="P162" s="118" t="s">
        <v>750</v>
      </c>
      <c r="Q162" s="119" t="s">
        <v>1109</v>
      </c>
      <c r="R162" s="120" t="str" cm="1">
        <f t="array" aca="1" ref="R162" ca="1">IF($C162="S",REFERENCIA.Descricao,"(digite a descrição aqui)")</f>
        <v>(Código não identificado nas referências)</v>
      </c>
      <c r="S162" s="121" t="str" cm="1">
        <f t="array" aca="1" ref="S162" ca="1">REFERENCIA.Unidade</f>
        <v>-</v>
      </c>
      <c r="T162" s="122">
        <f ca="1">OFFSET(CÁLCULO!H$15,ROW($T162)-ROW(T$15),0)</f>
        <v>894.00000000000034</v>
      </c>
      <c r="U162" s="123">
        <f t="shared" ca="1" si="46"/>
        <v>0</v>
      </c>
      <c r="V162" s="124" t="s">
        <v>663</v>
      </c>
      <c r="W162" s="122" cm="1">
        <f t="array" aca="1" ref="W162" ca="1">IF($C162="S",ROUND(IF(TIPOORCAMENTO="Proposto",ORÇAMENTO.CustoUnitario*(1+$AH162),ORÇAMENTO.PrecoUnitarioLicitado),15-13*$AF$10),0)</f>
        <v>0</v>
      </c>
      <c r="X162" s="125" cm="1">
        <f t="array" aca="1" ref="X162" ca="1">IF($C162="S",IF(OR(Import.TipoArredondamento&lt;&gt;"TransfereGOV",ACOMPANHAMENTO="BM"),VTOTAL1,SUM(OFFSET(CÁLCULO!$AQ$15,ROW($X162)-ROW($X$15),1):OFFSET(CÁLCULO!$BR$15,ROW($X162)-ROW($X$15),-1))),IF($C162=0,0,ROUND(SomaAgrup,15-13*$AF$11)))</f>
        <v>0</v>
      </c>
      <c r="Y162" s="126" t="s">
        <v>751</v>
      </c>
      <c r="Z162" t="str">
        <f t="shared" ca="1" si="47"/>
        <v/>
      </c>
      <c r="AA162" s="127" cm="1">
        <f t="array" aca="1" ref="AA162" ca="1">IF($C162="S",IF($Z162="CP",$X162,IF($Z162="RA",(($X162)*QCI!$AA$3),0)),SomaAgrup)</f>
        <v>0</v>
      </c>
      <c r="AB162" s="128" cm="1">
        <f t="array" aca="1" ref="AB162" ca="1">IF($C162="S",IF($Z162="OU",ROUND($X162,2),0),SomaAgrup)</f>
        <v>0</v>
      </c>
      <c r="AC162" s="565" t="str" cm="1">
        <f t="array" aca="1" ref="AC162" ca="1">IF($N162=""," ",
IF(AND($C162&lt;&gt;"S",OR($R162="",$R162="(digite a descrição aqui)")),"DESCRIÇÃO",
IF(AND($C162="S",OR($Q162&lt;&gt;"",$T162&gt;0,$U162&gt;0),$P162=""),"FONTE",
IF(AND($C162="S",$P162&lt;&gt;"",OR($T162&gt;0,$U162&gt;0),$Q162=""),"CÓDIGO",
IF(AND($C162="S",$P162&lt;&gt;"",$Q162&lt;&gt;"",$R162="(Código não identificado nas referências)"),"CÓDIGO N/ID",
IF(AND($C162="S",OR($R162="",$R162="(digite a descrição aqui)"),OR($Q162&lt;&gt;"",$T162&gt;0,$U162&gt;0)),"DESCRIÇÃO",
IF(AND($C162="S",$P162&lt;&gt;"",$Q162&lt;&gt;"",$S162=""),"UNIDADE",
IF(AND($C162="S",$P162&lt;&gt;"",$Q162&lt;&gt;"",$U162=0),"SEM CUSTO",
IF(AND(TIPOORCAMENTO="Licitado",$AL162=0,$AN162&gt;0),"SEM PREÇO",
IF(AND($C162="S",$P162&lt;&gt;"",$Q162&lt;&gt;"",$U162&gt;0,AND($V162&lt;&gt;"BDI 1",$V162&lt;&gt;"BDI 2",$V162&lt;&gt;"BDI 3")),IF(ISNUMBER($V162),"JUSTIFICAR BDI","BDI"),
IF(OR(AND(import.recurso="OGU",TIPOORCAMENTO="Proposto",LEFT($O$8,5)&lt;&gt;"(N/D:",$AG162&lt;&gt;"",ORÇAMENTO.CustoUnitario&gt;$AG162),AND(TIPOORCAMENTO="LICITADO",ORÇAMENTO.PrecoUnitarioLicitado&gt;$AN162)),"ACIMA REF.",
IF(AND($C162="S",$P162&lt;&gt;"",$Q162&lt;&gt;"",$T162=0,$U162&gt;0),"QUANT.",
IF(AND(Import.TipoArredondamento="TransfereGOV",$L162="F",$C162="S",LEN($Q162)&gt;13),"Código &gt;13",
IF(AND(Import.TipoArredondamento="TransfereGOV",$L162="F",$C162&lt;&gt;"S",LEN($R162)&gt;100),"Descrição &gt;100",
IF(AND(Import.TipoArredondamento="TransfereGOV",$L162="F",$C162="S",LEN($R162)&gt;500),"Descrição &gt;500",
IF(AND(Import.TipoArredondamento="TransfereGOV",$L162="F",$C162="S",LEFT(TRIM(UPPER($P162)),6)&lt;&gt;"SINAPI",ISNA(VLOOKUP(TRIM(UPPER($S162)),ListaTgov.Unidades,1,FALSE))),"Unid. Não Disp",
" "))))))))))))))))</f>
        <v>CÓDIGO N/ID</v>
      </c>
      <c r="AD162" t="str">
        <f ca="1">IF(C162&lt;=CRONO.NivelExibicao,MAX($AD$15:OFFSET(AD162,-1,0))+IF($C162&lt;&gt;1,1,MAX(1,COUNTIF(QCI!$A$13:$A$24,OFFSET($E162,-1,0)))),"")</f>
        <v/>
      </c>
      <c r="AE162" s="7" t="str" cm="1">
        <f t="array" aca="1" ref="AE162" ca="1">IF(AND($C162="S",ORÇAMENTO.CodBarra&lt;&gt;""),IF(ORÇAMENTO.Fonte="",ORÇAMENTO.CodBarra,CONCATENATE(ORÇAMENTO.Fonte," ",ORÇAMENTO.CodBarra)))</f>
        <v>SINAPI 91834</v>
      </c>
      <c r="AF162" s="12" t="str" cm="1">
        <f t="array" aca="1" ref="AF162" ca="1">IF(ISERROR(ORÇAMENTO.BancoRef),"(abra o arquivo 'Referência "&amp;Excel_BuiltIn_Database&amp;".xlsm)",IF(OR($C162&lt;&gt;"S",ORÇAMENTO.CodBarra=""),"(Sem Código)",IF(ISERROR(MATCH($AE162,INDIRECT(ORÇAMENTO.BancoRef),0)),"(Código não identificado nas referências)",MATCH($AE162,INDIRECT(ORÇAMENTO.BancoRef),0))))</f>
        <v>(Código não identificado nas referências)</v>
      </c>
      <c r="AG162" s="428" cm="1">
        <f t="array" aca="1" ref="AG162" ca="1">ROUND(IF(DESONERACAO="sim",REFERENCIA.Desonerado,REFERENCIA.NaoDesonerado),2)</f>
        <v>0</v>
      </c>
      <c r="AH162" s="429">
        <f t="shared" ca="1" si="48"/>
        <v>0.2223</v>
      </c>
      <c r="AJ162" s="431"/>
      <c r="AL162" s="439"/>
      <c r="AM162" s="336">
        <f t="shared" ca="1" si="0"/>
        <v>0</v>
      </c>
      <c r="AN162" s="470" cm="1">
        <f t="array" aca="1" ref="AN162" ca="1">ROUND(ORÇAMENTO.CustoUnitario*(1+$AH162),2)</f>
        <v>0</v>
      </c>
    </row>
    <row r="163" spans="1:40" ht="38.25" x14ac:dyDescent="0.2">
      <c r="A163" t="str">
        <f t="shared" si="35"/>
        <v>S</v>
      </c>
      <c r="B163">
        <f t="shared" ca="1" si="36"/>
        <v>3</v>
      </c>
      <c r="C163" t="str">
        <f t="shared" ca="1" si="37"/>
        <v>S</v>
      </c>
      <c r="D163">
        <f t="shared" ca="1" si="38"/>
        <v>0</v>
      </c>
      <c r="E163">
        <f ca="1">IF($C163=1,OFFSET(E163,-1,0)+MAX(1,COUNTIF(QCI!$A$13:$A$24,OFFSET(ORÇAMENTO!E163,-1,0))),OFFSET(E163,-1,0))</f>
        <v>9</v>
      </c>
      <c r="F163">
        <f t="shared" ca="1" si="39"/>
        <v>1</v>
      </c>
      <c r="G163">
        <f t="shared" ca="1" si="40"/>
        <v>3</v>
      </c>
      <c r="H163">
        <f t="shared" ca="1" si="41"/>
        <v>0</v>
      </c>
      <c r="I163">
        <f t="shared" ca="1" si="42"/>
        <v>0</v>
      </c>
      <c r="J163">
        <f t="shared" ca="1" si="34"/>
        <v>0</v>
      </c>
      <c r="K163">
        <f ca="1">IF(OR($C163="S",$C163=0),0,MATCH(OFFSET($D163,0,$C163)+IF($C163&lt;&gt;1,1,COUNTIF(QCI!$A$13:$A$24,ORÇAMENTO!E163)),OFFSET($D163,1,$C163,ROW($C$244)-ROW($C163)),0))</f>
        <v>0</v>
      </c>
      <c r="L163" s="114" t="str">
        <f t="shared" ca="1" si="43"/>
        <v/>
      </c>
      <c r="M163" s="115" t="s">
        <v>705</v>
      </c>
      <c r="N163" s="116" t="str">
        <f t="shared" ca="1" si="44"/>
        <v>Serviço</v>
      </c>
      <c r="O163" s="117" t="str">
        <f t="shared" ca="1" si="45"/>
        <v>-</v>
      </c>
      <c r="P163" s="118" t="s">
        <v>750</v>
      </c>
      <c r="Q163" s="119" t="s">
        <v>1110</v>
      </c>
      <c r="R163" s="120" t="str" cm="1">
        <f t="array" aca="1" ref="R163" ca="1">IF($C163="S",REFERENCIA.Descricao,"(digite a descrição aqui)")</f>
        <v>(Código não identificado nas referências)</v>
      </c>
      <c r="S163" s="121" t="str" cm="1">
        <f t="array" aca="1" ref="S163" ca="1">REFERENCIA.Unidade</f>
        <v>-</v>
      </c>
      <c r="T163" s="122">
        <f ca="1">OFFSET(CÁLCULO!H$15,ROW($T163)-ROW(T$15),0)</f>
        <v>1165.9999999999995</v>
      </c>
      <c r="U163" s="123">
        <f t="shared" ca="1" si="46"/>
        <v>0</v>
      </c>
      <c r="V163" s="124" t="s">
        <v>663</v>
      </c>
      <c r="W163" s="122" cm="1">
        <f t="array" aca="1" ref="W163" ca="1">IF($C163="S",ROUND(IF(TIPOORCAMENTO="Proposto",ORÇAMENTO.CustoUnitario*(1+$AH163),ORÇAMENTO.PrecoUnitarioLicitado),15-13*$AF$10),0)</f>
        <v>0</v>
      </c>
      <c r="X163" s="125" cm="1">
        <f t="array" aca="1" ref="X163" ca="1">IF($C163="S",IF(OR(Import.TipoArredondamento&lt;&gt;"TransfereGOV",ACOMPANHAMENTO="BM"),VTOTAL1,SUM(OFFSET(CÁLCULO!$AQ$15,ROW($X163)-ROW($X$15),1):OFFSET(CÁLCULO!$BR$15,ROW($X163)-ROW($X$15),-1))),IF($C163=0,0,ROUND(SomaAgrup,15-13*$AF$11)))</f>
        <v>0</v>
      </c>
      <c r="Y163" s="126" t="s">
        <v>751</v>
      </c>
      <c r="Z163" t="str">
        <f t="shared" ca="1" si="47"/>
        <v/>
      </c>
      <c r="AA163" s="127" cm="1">
        <f t="array" aca="1" ref="AA163" ca="1">IF($C163="S",IF($Z163="CP",$X163,IF($Z163="RA",(($X163)*QCI!$AA$3),0)),SomaAgrup)</f>
        <v>0</v>
      </c>
      <c r="AB163" s="128" cm="1">
        <f t="array" aca="1" ref="AB163" ca="1">IF($C163="S",IF($Z163="OU",ROUND($X163,2),0),SomaAgrup)</f>
        <v>0</v>
      </c>
      <c r="AC163" s="565" t="str" cm="1">
        <f t="array" aca="1" ref="AC163" ca="1">IF($N163=""," ",
IF(AND($C163&lt;&gt;"S",OR($R163="",$R163="(digite a descrição aqui)")),"DESCRIÇÃO",
IF(AND($C163="S",OR($Q163&lt;&gt;"",$T163&gt;0,$U163&gt;0),$P163=""),"FONTE",
IF(AND($C163="S",$P163&lt;&gt;"",OR($T163&gt;0,$U163&gt;0),$Q163=""),"CÓDIGO",
IF(AND($C163="S",$P163&lt;&gt;"",$Q163&lt;&gt;"",$R163="(Código não identificado nas referências)"),"CÓDIGO N/ID",
IF(AND($C163="S",OR($R163="",$R163="(digite a descrição aqui)"),OR($Q163&lt;&gt;"",$T163&gt;0,$U163&gt;0)),"DESCRIÇÃO",
IF(AND($C163="S",$P163&lt;&gt;"",$Q163&lt;&gt;"",$S163=""),"UNIDADE",
IF(AND($C163="S",$P163&lt;&gt;"",$Q163&lt;&gt;"",$U163=0),"SEM CUSTO",
IF(AND(TIPOORCAMENTO="Licitado",$AL163=0,$AN163&gt;0),"SEM PREÇO",
IF(AND($C163="S",$P163&lt;&gt;"",$Q163&lt;&gt;"",$U163&gt;0,AND($V163&lt;&gt;"BDI 1",$V163&lt;&gt;"BDI 2",$V163&lt;&gt;"BDI 3")),IF(ISNUMBER($V163),"JUSTIFICAR BDI","BDI"),
IF(OR(AND(import.recurso="OGU",TIPOORCAMENTO="Proposto",LEFT($O$8,5)&lt;&gt;"(N/D:",$AG163&lt;&gt;"",ORÇAMENTO.CustoUnitario&gt;$AG163),AND(TIPOORCAMENTO="LICITADO",ORÇAMENTO.PrecoUnitarioLicitado&gt;$AN163)),"ACIMA REF.",
IF(AND($C163="S",$P163&lt;&gt;"",$Q163&lt;&gt;"",$T163=0,$U163&gt;0),"QUANT.",
IF(AND(Import.TipoArredondamento="TransfereGOV",$L163="F",$C163="S",LEN($Q163)&gt;13),"Código &gt;13",
IF(AND(Import.TipoArredondamento="TransfereGOV",$L163="F",$C163&lt;&gt;"S",LEN($R163)&gt;100),"Descrição &gt;100",
IF(AND(Import.TipoArredondamento="TransfereGOV",$L163="F",$C163="S",LEN($R163)&gt;500),"Descrição &gt;500",
IF(AND(Import.TipoArredondamento="TransfereGOV",$L163="F",$C163="S",LEFT(TRIM(UPPER($P163)),6)&lt;&gt;"SINAPI",ISNA(VLOOKUP(TRIM(UPPER($S163)),ListaTgov.Unidades,1,FALSE))),"Unid. Não Disp",
" "))))))))))))))))</f>
        <v>CÓDIGO N/ID</v>
      </c>
      <c r="AD163" t="str">
        <f ca="1">IF(C163&lt;=CRONO.NivelExibicao,MAX($AD$15:OFFSET(AD163,-1,0))+IF($C163&lt;&gt;1,1,MAX(1,COUNTIF(QCI!$A$13:$A$24,OFFSET($E163,-1,0)))),"")</f>
        <v/>
      </c>
      <c r="AE163" s="7" t="str" cm="1">
        <f t="array" aca="1" ref="AE163" ca="1">IF(AND($C163="S",ORÇAMENTO.CodBarra&lt;&gt;""),IF(ORÇAMENTO.Fonte="",ORÇAMENTO.CodBarra,CONCATENATE(ORÇAMENTO.Fonte," ",ORÇAMENTO.CodBarra)))</f>
        <v>SINAPI 91854</v>
      </c>
      <c r="AF163" s="12" t="str" cm="1">
        <f t="array" aca="1" ref="AF163" ca="1">IF(ISERROR(ORÇAMENTO.BancoRef),"(abra o arquivo 'Referência "&amp;Excel_BuiltIn_Database&amp;".xlsm)",IF(OR($C163&lt;&gt;"S",ORÇAMENTO.CodBarra=""),"(Sem Código)",IF(ISERROR(MATCH($AE163,INDIRECT(ORÇAMENTO.BancoRef),0)),"(Código não identificado nas referências)",MATCH($AE163,INDIRECT(ORÇAMENTO.BancoRef),0))))</f>
        <v>(Código não identificado nas referências)</v>
      </c>
      <c r="AG163" s="428" cm="1">
        <f t="array" aca="1" ref="AG163" ca="1">ROUND(IF(DESONERACAO="sim",REFERENCIA.Desonerado,REFERENCIA.NaoDesonerado),2)</f>
        <v>0</v>
      </c>
      <c r="AH163" s="429">
        <f t="shared" ca="1" si="48"/>
        <v>0.2223</v>
      </c>
      <c r="AJ163" s="431"/>
      <c r="AL163" s="439"/>
      <c r="AM163" s="336">
        <f t="shared" ca="1" si="0"/>
        <v>0</v>
      </c>
      <c r="AN163" s="470" cm="1">
        <f t="array" aca="1" ref="AN163" ca="1">ROUND(ORÇAMENTO.CustoUnitario*(1+$AH163),2)</f>
        <v>0</v>
      </c>
    </row>
    <row r="164" spans="1:40" ht="38.25" x14ac:dyDescent="0.2">
      <c r="A164" t="str">
        <f t="shared" si="35"/>
        <v>S</v>
      </c>
      <c r="B164">
        <f t="shared" ca="1" si="36"/>
        <v>3</v>
      </c>
      <c r="C164" t="str">
        <f t="shared" ca="1" si="37"/>
        <v>S</v>
      </c>
      <c r="D164">
        <f t="shared" ca="1" si="38"/>
        <v>0</v>
      </c>
      <c r="E164">
        <f ca="1">IF($C164=1,OFFSET(E164,-1,0)+MAX(1,COUNTIF(QCI!$A$13:$A$24,OFFSET(ORÇAMENTO!E164,-1,0))),OFFSET(E164,-1,0))</f>
        <v>9</v>
      </c>
      <c r="F164">
        <f t="shared" ca="1" si="39"/>
        <v>1</v>
      </c>
      <c r="G164">
        <f t="shared" ca="1" si="40"/>
        <v>3</v>
      </c>
      <c r="H164">
        <f t="shared" ca="1" si="41"/>
        <v>0</v>
      </c>
      <c r="I164">
        <f t="shared" ca="1" si="42"/>
        <v>0</v>
      </c>
      <c r="J164">
        <f t="shared" ca="1" si="34"/>
        <v>0</v>
      </c>
      <c r="K164">
        <f ca="1">IF(OR($C164="S",$C164=0),0,MATCH(OFFSET($D164,0,$C164)+IF($C164&lt;&gt;1,1,COUNTIF(QCI!$A$13:$A$24,ORÇAMENTO!E164)),OFFSET($D164,1,$C164,ROW($C$244)-ROW($C164)),0))</f>
        <v>0</v>
      </c>
      <c r="L164" s="114" t="str">
        <f t="shared" ca="1" si="43"/>
        <v/>
      </c>
      <c r="M164" s="115" t="s">
        <v>705</v>
      </c>
      <c r="N164" s="116" t="str">
        <f t="shared" ca="1" si="44"/>
        <v>Serviço</v>
      </c>
      <c r="O164" s="117" t="str">
        <f t="shared" ca="1" si="45"/>
        <v>-</v>
      </c>
      <c r="P164" s="118" t="s">
        <v>750</v>
      </c>
      <c r="Q164" s="119" t="s">
        <v>1111</v>
      </c>
      <c r="R164" s="120" t="str" cm="1">
        <f t="array" aca="1" ref="R164" ca="1">IF($C164="S",REFERENCIA.Descricao,"(digite a descrição aqui)")</f>
        <v>(Código não identificado nas referências)</v>
      </c>
      <c r="S164" s="121" t="str" cm="1">
        <f t="array" aca="1" ref="S164" ca="1">REFERENCIA.Unidade</f>
        <v>-</v>
      </c>
      <c r="T164" s="122">
        <f ca="1">OFFSET(CÁLCULO!H$15,ROW($T164)-ROW(T$15),0)</f>
        <v>441.2</v>
      </c>
      <c r="U164" s="123">
        <f t="shared" ca="1" si="46"/>
        <v>0</v>
      </c>
      <c r="V164" s="124" t="s">
        <v>663</v>
      </c>
      <c r="W164" s="122" cm="1">
        <f t="array" aca="1" ref="W164" ca="1">IF($C164="S",ROUND(IF(TIPOORCAMENTO="Proposto",ORÇAMENTO.CustoUnitario*(1+$AH164),ORÇAMENTO.PrecoUnitarioLicitado),15-13*$AF$10),0)</f>
        <v>0</v>
      </c>
      <c r="X164" s="125" cm="1">
        <f t="array" aca="1" ref="X164" ca="1">IF($C164="S",IF(OR(Import.TipoArredondamento&lt;&gt;"TransfereGOV",ACOMPANHAMENTO="BM"),VTOTAL1,SUM(OFFSET(CÁLCULO!$AQ$15,ROW($X164)-ROW($X$15),1):OFFSET(CÁLCULO!$BR$15,ROW($X164)-ROW($X$15),-1))),IF($C164=0,0,ROUND(SomaAgrup,15-13*$AF$11)))</f>
        <v>0</v>
      </c>
      <c r="Y164" s="126" t="s">
        <v>751</v>
      </c>
      <c r="Z164" t="str">
        <f t="shared" ca="1" si="47"/>
        <v/>
      </c>
      <c r="AA164" s="127" cm="1">
        <f t="array" aca="1" ref="AA164" ca="1">IF($C164="S",IF($Z164="CP",$X164,IF($Z164="RA",(($X164)*QCI!$AA$3),0)),SomaAgrup)</f>
        <v>0</v>
      </c>
      <c r="AB164" s="128" cm="1">
        <f t="array" aca="1" ref="AB164" ca="1">IF($C164="S",IF($Z164="OU",ROUND($X164,2),0),SomaAgrup)</f>
        <v>0</v>
      </c>
      <c r="AC164" s="565" t="str" cm="1">
        <f t="array" aca="1" ref="AC164" ca="1">IF($N164=""," ",
IF(AND($C164&lt;&gt;"S",OR($R164="",$R164="(digite a descrição aqui)")),"DESCRIÇÃO",
IF(AND($C164="S",OR($Q164&lt;&gt;"",$T164&gt;0,$U164&gt;0),$P164=""),"FONTE",
IF(AND($C164="S",$P164&lt;&gt;"",OR($T164&gt;0,$U164&gt;0),$Q164=""),"CÓDIGO",
IF(AND($C164="S",$P164&lt;&gt;"",$Q164&lt;&gt;"",$R164="(Código não identificado nas referências)"),"CÓDIGO N/ID",
IF(AND($C164="S",OR($R164="",$R164="(digite a descrição aqui)"),OR($Q164&lt;&gt;"",$T164&gt;0,$U164&gt;0)),"DESCRIÇÃO",
IF(AND($C164="S",$P164&lt;&gt;"",$Q164&lt;&gt;"",$S164=""),"UNIDADE",
IF(AND($C164="S",$P164&lt;&gt;"",$Q164&lt;&gt;"",$U164=0),"SEM CUSTO",
IF(AND(TIPOORCAMENTO="Licitado",$AL164=0,$AN164&gt;0),"SEM PREÇO",
IF(AND($C164="S",$P164&lt;&gt;"",$Q164&lt;&gt;"",$U164&gt;0,AND($V164&lt;&gt;"BDI 1",$V164&lt;&gt;"BDI 2",$V164&lt;&gt;"BDI 3")),IF(ISNUMBER($V164),"JUSTIFICAR BDI","BDI"),
IF(OR(AND(import.recurso="OGU",TIPOORCAMENTO="Proposto",LEFT($O$8,5)&lt;&gt;"(N/D:",$AG164&lt;&gt;"",ORÇAMENTO.CustoUnitario&gt;$AG164),AND(TIPOORCAMENTO="LICITADO",ORÇAMENTO.PrecoUnitarioLicitado&gt;$AN164)),"ACIMA REF.",
IF(AND($C164="S",$P164&lt;&gt;"",$Q164&lt;&gt;"",$T164=0,$U164&gt;0),"QUANT.",
IF(AND(Import.TipoArredondamento="TransfereGOV",$L164="F",$C164="S",LEN($Q164)&gt;13),"Código &gt;13",
IF(AND(Import.TipoArredondamento="TransfereGOV",$L164="F",$C164&lt;&gt;"S",LEN($R164)&gt;100),"Descrição &gt;100",
IF(AND(Import.TipoArredondamento="TransfereGOV",$L164="F",$C164="S",LEN($R164)&gt;500),"Descrição &gt;500",
IF(AND(Import.TipoArredondamento="TransfereGOV",$L164="F",$C164="S",LEFT(TRIM(UPPER($P164)),6)&lt;&gt;"SINAPI",ISNA(VLOOKUP(TRIM(UPPER($S164)),ListaTgov.Unidades,1,FALSE))),"Unid. Não Disp",
" "))))))))))))))))</f>
        <v>CÓDIGO N/ID</v>
      </c>
      <c r="AD164" t="str">
        <f ca="1">IF(C164&lt;=CRONO.NivelExibicao,MAX($AD$15:OFFSET(AD164,-1,0))+IF($C164&lt;&gt;1,1,MAX(1,COUNTIF(QCI!$A$13:$A$24,OFFSET($E164,-1,0)))),"")</f>
        <v/>
      </c>
      <c r="AE164" s="7" t="str" cm="1">
        <f t="array" aca="1" ref="AE164" ca="1">IF(AND($C164="S",ORÇAMENTO.CodBarra&lt;&gt;""),IF(ORÇAMENTO.Fonte="",ORÇAMENTO.CodBarra,CONCATENATE(ORÇAMENTO.Fonte," ",ORÇAMENTO.CodBarra)))</f>
        <v>SINAPI 91845</v>
      </c>
      <c r="AF164" s="12" t="str" cm="1">
        <f t="array" aca="1" ref="AF164" ca="1">IF(ISERROR(ORÇAMENTO.BancoRef),"(abra o arquivo 'Referência "&amp;Excel_BuiltIn_Database&amp;".xlsm)",IF(OR($C164&lt;&gt;"S",ORÇAMENTO.CodBarra=""),"(Sem Código)",IF(ISERROR(MATCH($AE164,INDIRECT(ORÇAMENTO.BancoRef),0)),"(Código não identificado nas referências)",MATCH($AE164,INDIRECT(ORÇAMENTO.BancoRef),0))))</f>
        <v>(Código não identificado nas referências)</v>
      </c>
      <c r="AG164" s="428" cm="1">
        <f t="array" aca="1" ref="AG164" ca="1">ROUND(IF(DESONERACAO="sim",REFERENCIA.Desonerado,REFERENCIA.NaoDesonerado),2)</f>
        <v>0</v>
      </c>
      <c r="AH164" s="429">
        <f t="shared" ca="1" si="48"/>
        <v>0.2223</v>
      </c>
      <c r="AJ164" s="431"/>
      <c r="AL164" s="439"/>
      <c r="AM164" s="336">
        <f t="shared" ca="1" si="0"/>
        <v>0</v>
      </c>
      <c r="AN164" s="470" cm="1">
        <f t="array" aca="1" ref="AN164" ca="1">ROUND(ORÇAMENTO.CustoUnitario*(1+$AH164),2)</f>
        <v>0</v>
      </c>
    </row>
    <row r="165" spans="1:40" ht="25.5" x14ac:dyDescent="0.2">
      <c r="A165" t="str">
        <f t="shared" si="35"/>
        <v>S</v>
      </c>
      <c r="B165">
        <f t="shared" ca="1" si="36"/>
        <v>3</v>
      </c>
      <c r="C165" t="str">
        <f t="shared" ca="1" si="37"/>
        <v>S</v>
      </c>
      <c r="D165">
        <f t="shared" ca="1" si="38"/>
        <v>0</v>
      </c>
      <c r="E165">
        <f ca="1">IF($C165=1,OFFSET(E165,-1,0)+MAX(1,COUNTIF(QCI!$A$13:$A$24,OFFSET(ORÇAMENTO!E165,-1,0))),OFFSET(E165,-1,0))</f>
        <v>9</v>
      </c>
      <c r="F165">
        <f t="shared" ca="1" si="39"/>
        <v>1</v>
      </c>
      <c r="G165">
        <f t="shared" ca="1" si="40"/>
        <v>3</v>
      </c>
      <c r="H165">
        <f t="shared" ca="1" si="41"/>
        <v>0</v>
      </c>
      <c r="I165">
        <f t="shared" ca="1" si="42"/>
        <v>0</v>
      </c>
      <c r="J165">
        <f t="shared" ca="1" si="34"/>
        <v>0</v>
      </c>
      <c r="K165">
        <f ca="1">IF(OR($C165="S",$C165=0),0,MATCH(OFFSET($D165,0,$C165)+IF($C165&lt;&gt;1,1,COUNTIF(QCI!$A$13:$A$24,ORÇAMENTO!E165)),OFFSET($D165,1,$C165,ROW($C$244)-ROW($C165)),0))</f>
        <v>0</v>
      </c>
      <c r="L165" s="114" t="str">
        <f t="shared" ca="1" si="43"/>
        <v/>
      </c>
      <c r="M165" s="115" t="s">
        <v>705</v>
      </c>
      <c r="N165" s="116" t="str">
        <f t="shared" ca="1" si="44"/>
        <v>Serviço</v>
      </c>
      <c r="O165" s="117" t="str">
        <f t="shared" ca="1" si="45"/>
        <v>-</v>
      </c>
      <c r="P165" s="118" t="s">
        <v>750</v>
      </c>
      <c r="Q165" s="119" t="s">
        <v>1112</v>
      </c>
      <c r="R165" s="120" t="str" cm="1">
        <f t="array" aca="1" ref="R165" ca="1">IF($C165="S",REFERENCIA.Descricao,"(digite a descrição aqui)")</f>
        <v>(Código não identificado nas referências)</v>
      </c>
      <c r="S165" s="121" t="str" cm="1">
        <f t="array" aca="1" ref="S165" ca="1">REFERENCIA.Unidade</f>
        <v>-</v>
      </c>
      <c r="T165" s="122">
        <f ca="1">OFFSET(CÁLCULO!H$15,ROW($T165)-ROW(T$15),0)</f>
        <v>1165.9999999999995</v>
      </c>
      <c r="U165" s="123">
        <f t="shared" ca="1" si="46"/>
        <v>0</v>
      </c>
      <c r="V165" s="124" t="s">
        <v>663</v>
      </c>
      <c r="W165" s="122" cm="1">
        <f t="array" aca="1" ref="W165" ca="1">IF($C165="S",ROUND(IF(TIPOORCAMENTO="Proposto",ORÇAMENTO.CustoUnitario*(1+$AH165),ORÇAMENTO.PrecoUnitarioLicitado),15-13*$AF$10),0)</f>
        <v>0</v>
      </c>
      <c r="X165" s="125" cm="1">
        <f t="array" aca="1" ref="X165" ca="1">IF($C165="S",IF(OR(Import.TipoArredondamento&lt;&gt;"TransfereGOV",ACOMPANHAMENTO="BM"),VTOTAL1,SUM(OFFSET(CÁLCULO!$AQ$15,ROW($X165)-ROW($X$15),1):OFFSET(CÁLCULO!$BR$15,ROW($X165)-ROW($X$15),-1))),IF($C165=0,0,ROUND(SomaAgrup,15-13*$AF$11)))</f>
        <v>0</v>
      </c>
      <c r="Y165" s="126" t="s">
        <v>751</v>
      </c>
      <c r="Z165" t="str">
        <f t="shared" ca="1" si="47"/>
        <v/>
      </c>
      <c r="AA165" s="127" cm="1">
        <f t="array" aca="1" ref="AA165" ca="1">IF($C165="S",IF($Z165="CP",$X165,IF($Z165="RA",(($X165)*QCI!$AA$3),0)),SomaAgrup)</f>
        <v>0</v>
      </c>
      <c r="AB165" s="128" cm="1">
        <f t="array" aca="1" ref="AB165" ca="1">IF($C165="S",IF($Z165="OU",ROUND($X165,2),0),SomaAgrup)</f>
        <v>0</v>
      </c>
      <c r="AC165" s="565" t="str" cm="1">
        <f t="array" aca="1" ref="AC165" ca="1">IF($N165=""," ",
IF(AND($C165&lt;&gt;"S",OR($R165="",$R165="(digite a descrição aqui)")),"DESCRIÇÃO",
IF(AND($C165="S",OR($Q165&lt;&gt;"",$T165&gt;0,$U165&gt;0),$P165=""),"FONTE",
IF(AND($C165="S",$P165&lt;&gt;"",OR($T165&gt;0,$U165&gt;0),$Q165=""),"CÓDIGO",
IF(AND($C165="S",$P165&lt;&gt;"",$Q165&lt;&gt;"",$R165="(Código não identificado nas referências)"),"CÓDIGO N/ID",
IF(AND($C165="S",OR($R165="",$R165="(digite a descrição aqui)"),OR($Q165&lt;&gt;"",$T165&gt;0,$U165&gt;0)),"DESCRIÇÃO",
IF(AND($C165="S",$P165&lt;&gt;"",$Q165&lt;&gt;"",$S165=""),"UNIDADE",
IF(AND($C165="S",$P165&lt;&gt;"",$Q165&lt;&gt;"",$U165=0),"SEM CUSTO",
IF(AND(TIPOORCAMENTO="Licitado",$AL165=0,$AN165&gt;0),"SEM PREÇO",
IF(AND($C165="S",$P165&lt;&gt;"",$Q165&lt;&gt;"",$U165&gt;0,AND($V165&lt;&gt;"BDI 1",$V165&lt;&gt;"BDI 2",$V165&lt;&gt;"BDI 3")),IF(ISNUMBER($V165),"JUSTIFICAR BDI","BDI"),
IF(OR(AND(import.recurso="OGU",TIPOORCAMENTO="Proposto",LEFT($O$8,5)&lt;&gt;"(N/D:",$AG165&lt;&gt;"",ORÇAMENTO.CustoUnitario&gt;$AG165),AND(TIPOORCAMENTO="LICITADO",ORÇAMENTO.PrecoUnitarioLicitado&gt;$AN165)),"ACIMA REF.",
IF(AND($C165="S",$P165&lt;&gt;"",$Q165&lt;&gt;"",$T165=0,$U165&gt;0),"QUANT.",
IF(AND(Import.TipoArredondamento="TransfereGOV",$L165="F",$C165="S",LEN($Q165)&gt;13),"Código &gt;13",
IF(AND(Import.TipoArredondamento="TransfereGOV",$L165="F",$C165&lt;&gt;"S",LEN($R165)&gt;100),"Descrição &gt;100",
IF(AND(Import.TipoArredondamento="TransfereGOV",$L165="F",$C165="S",LEN($R165)&gt;500),"Descrição &gt;500",
IF(AND(Import.TipoArredondamento="TransfereGOV",$L165="F",$C165="S",LEFT(TRIM(UPPER($P165)),6)&lt;&gt;"SINAPI",ISNA(VLOOKUP(TRIM(UPPER($S165)),ListaTgov.Unidades,1,FALSE))),"Unid. Não Disp",
" "))))))))))))))))</f>
        <v>CÓDIGO N/ID</v>
      </c>
      <c r="AD165" t="str">
        <f ca="1">IF(C165&lt;=CRONO.NivelExibicao,MAX($AD$15:OFFSET(AD165,-1,0))+IF($C165&lt;&gt;1,1,MAX(1,COUNTIF(QCI!$A$13:$A$24,OFFSET($E165,-1,0)))),"")</f>
        <v/>
      </c>
      <c r="AE165" s="7" t="str" cm="1">
        <f t="array" aca="1" ref="AE165" ca="1">IF(AND($C165="S",ORÇAMENTO.CodBarra&lt;&gt;""),IF(ORÇAMENTO.Fonte="",ORÇAMENTO.CodBarra,CONCATENATE(ORÇAMENTO.Fonte," ",ORÇAMENTO.CodBarra)))</f>
        <v>SINAPI 90447</v>
      </c>
      <c r="AF165" s="12" t="str" cm="1">
        <f t="array" aca="1" ref="AF165" ca="1">IF(ISERROR(ORÇAMENTO.BancoRef),"(abra o arquivo 'Referência "&amp;Excel_BuiltIn_Database&amp;".xlsm)",IF(OR($C165&lt;&gt;"S",ORÇAMENTO.CodBarra=""),"(Sem Código)",IF(ISERROR(MATCH($AE165,INDIRECT(ORÇAMENTO.BancoRef),0)),"(Código não identificado nas referências)",MATCH($AE165,INDIRECT(ORÇAMENTO.BancoRef),0))))</f>
        <v>(Código não identificado nas referências)</v>
      </c>
      <c r="AG165" s="428" cm="1">
        <f t="array" aca="1" ref="AG165" ca="1">ROUND(IF(DESONERACAO="sim",REFERENCIA.Desonerado,REFERENCIA.NaoDesonerado),2)</f>
        <v>0</v>
      </c>
      <c r="AH165" s="429">
        <f t="shared" ca="1" si="48"/>
        <v>0.2223</v>
      </c>
      <c r="AJ165" s="431"/>
      <c r="AL165" s="439"/>
      <c r="AM165" s="336">
        <f t="shared" ca="1" si="0"/>
        <v>0</v>
      </c>
      <c r="AN165" s="470" cm="1">
        <f t="array" aca="1" ref="AN165" ca="1">ROUND(ORÇAMENTO.CustoUnitario*(1+$AH165),2)</f>
        <v>0</v>
      </c>
    </row>
    <row r="166" spans="1:40" x14ac:dyDescent="0.2">
      <c r="A166">
        <f t="shared" si="35"/>
        <v>2</v>
      </c>
      <c r="B166">
        <f t="shared" ca="1" si="36"/>
        <v>2</v>
      </c>
      <c r="C166">
        <f t="shared" ca="1" si="37"/>
        <v>2</v>
      </c>
      <c r="D166">
        <f t="shared" ca="1" si="38"/>
        <v>37</v>
      </c>
      <c r="E166">
        <f ca="1">IF($C166=1,OFFSET(E166,-1,0)+MAX(1,COUNTIF(QCI!$A$13:$A$24,OFFSET(ORÇAMENTO!E166,-1,0))),OFFSET(E166,-1,0))</f>
        <v>9</v>
      </c>
      <c r="F166">
        <f t="shared" ca="1" si="39"/>
        <v>2</v>
      </c>
      <c r="G166">
        <f t="shared" ca="1" si="40"/>
        <v>0</v>
      </c>
      <c r="H166">
        <f t="shared" ca="1" si="41"/>
        <v>0</v>
      </c>
      <c r="I166">
        <f t="shared" ca="1" si="42"/>
        <v>0</v>
      </c>
      <c r="J166">
        <f t="shared" ca="1" si="34"/>
        <v>67</v>
      </c>
      <c r="K166">
        <f ca="1">IF(OR($C166="S",$C166=0),0,MATCH(OFFSET($D166,0,$C166)+IF($C166&lt;&gt;1,1,COUNTIF(QCI!$A$13:$A$24,ORÇAMENTO!E166)),OFFSET($D166,1,$C166,ROW($C$244)-ROW($C166)),0))</f>
        <v>37</v>
      </c>
      <c r="L166" s="114" t="str">
        <f t="shared" ca="1" si="43"/>
        <v>F</v>
      </c>
      <c r="M166" s="115" t="s">
        <v>702</v>
      </c>
      <c r="N166" s="116" t="str">
        <f t="shared" ca="1" si="44"/>
        <v>Nível 2</v>
      </c>
      <c r="O166" s="117" t="str">
        <f t="shared" ca="1" si="45"/>
        <v>9.2.</v>
      </c>
      <c r="P166" s="118" t="s">
        <v>250</v>
      </c>
      <c r="Q166" s="119" t="s">
        <v>250</v>
      </c>
      <c r="R166" s="120" t="s">
        <v>1204</v>
      </c>
      <c r="S166" s="121"/>
      <c r="T166" s="122">
        <f ca="1">OFFSET(CÁLCULO!H$15,ROW($T166)-ROW(T$15),0)</f>
        <v>0</v>
      </c>
      <c r="U166" s="123">
        <f t="shared" ca="1" si="46"/>
        <v>0</v>
      </c>
      <c r="V166" s="124" t="s">
        <v>663</v>
      </c>
      <c r="W166" s="122" cm="1">
        <f t="array" aca="1" ref="W166" ca="1">IF($C166="S",ROUND(IF(TIPOORCAMENTO="Proposto",ORÇAMENTO.CustoUnitario*(1+$AH166),ORÇAMENTO.PrecoUnitarioLicitado),15-13*$AF$10),0)</f>
        <v>0</v>
      </c>
      <c r="X166" s="125" cm="1">
        <f t="array" aca="1" ref="X166" ca="1">IF($C166="S",IF(OR(Import.TipoArredondamento&lt;&gt;"TransfereGOV",ACOMPANHAMENTO="BM"),VTOTAL1,SUM(OFFSET(CÁLCULO!$AQ$15,ROW($X166)-ROW($X$15),1):OFFSET(CÁLCULO!$BR$15,ROW($X166)-ROW($X$15),-1))),IF($C166=0,0,ROUND(SomaAgrup,15-13*$AF$11)))</f>
        <v>0</v>
      </c>
      <c r="Y166" s="126" t="s">
        <v>751</v>
      </c>
      <c r="Z166" t="str">
        <f t="shared" ca="1" si="47"/>
        <v/>
      </c>
      <c r="AA166" s="127" cm="1">
        <f t="array" aca="1" ref="AA166" ca="1">IF($C166="S",IF($Z166="CP",$X166,IF($Z166="RA",(($X166)*QCI!$AA$3),0)),SomaAgrup)</f>
        <v>0</v>
      </c>
      <c r="AB166" s="128" cm="1">
        <f t="array" aca="1" ref="AB166" ca="1">IF($C166="S",IF($Z166="OU",ROUND($X166,2),0),SomaAgrup)</f>
        <v>0</v>
      </c>
      <c r="AC166" s="565" t="str" cm="1">
        <f t="array" aca="1" ref="AC166" ca="1">IF($N166=""," ",
IF(AND($C166&lt;&gt;"S",OR($R166="",$R166="(digite a descrição aqui)")),"DESCRIÇÃO",
IF(AND($C166="S",OR($Q166&lt;&gt;"",$T166&gt;0,$U166&gt;0),$P166=""),"FONTE",
IF(AND($C166="S",$P166&lt;&gt;"",OR($T166&gt;0,$U166&gt;0),$Q166=""),"CÓDIGO",
IF(AND($C166="S",$P166&lt;&gt;"",$Q166&lt;&gt;"",$R166="(Código não identificado nas referências)"),"CÓDIGO N/ID",
IF(AND($C166="S",OR($R166="",$R166="(digite a descrição aqui)"),OR($Q166&lt;&gt;"",$T166&gt;0,$U166&gt;0)),"DESCRIÇÃO",
IF(AND($C166="S",$P166&lt;&gt;"",$Q166&lt;&gt;"",$S166=""),"UNIDADE",
IF(AND($C166="S",$P166&lt;&gt;"",$Q166&lt;&gt;"",$U166=0),"SEM CUSTO",
IF(AND(TIPOORCAMENTO="Licitado",$AL166=0,$AN166&gt;0),"SEM PREÇO",
IF(AND($C166="S",$P166&lt;&gt;"",$Q166&lt;&gt;"",$U166&gt;0,AND($V166&lt;&gt;"BDI 1",$V166&lt;&gt;"BDI 2",$V166&lt;&gt;"BDI 3")),IF(ISNUMBER($V166),"JUSTIFICAR BDI","BDI"),
IF(OR(AND(import.recurso="OGU",TIPOORCAMENTO="Proposto",LEFT($O$8,5)&lt;&gt;"(N/D:",$AG166&lt;&gt;"",ORÇAMENTO.CustoUnitario&gt;$AG166),AND(TIPOORCAMENTO="LICITADO",ORÇAMENTO.PrecoUnitarioLicitado&gt;$AN166)),"ACIMA REF.",
IF(AND($C166="S",$P166&lt;&gt;"",$Q166&lt;&gt;"",$T166=0,$U166&gt;0),"QUANT.",
IF(AND(Import.TipoArredondamento="TransfereGOV",$L166="F",$C166="S",LEN($Q166)&gt;13),"Código &gt;13",
IF(AND(Import.TipoArredondamento="TransfereGOV",$L166="F",$C166&lt;&gt;"S",LEN($R166)&gt;100),"Descrição &gt;100",
IF(AND(Import.TipoArredondamento="TransfereGOV",$L166="F",$C166="S",LEN($R166)&gt;500),"Descrição &gt;500",
IF(AND(Import.TipoArredondamento="TransfereGOV",$L166="F",$C166="S",LEFT(TRIM(UPPER($P166)),6)&lt;&gt;"SINAPI",ISNA(VLOOKUP(TRIM(UPPER($S166)),ListaTgov.Unidades,1,FALSE))),"Unid. Não Disp",
" "))))))))))))))))</f>
        <v xml:space="preserve"> </v>
      </c>
      <c r="AD166">
        <f ca="1">IF(C166&lt;=CRONO.NivelExibicao,MAX($AD$15:OFFSET(AD166,-1,0))+IF($C166&lt;&gt;1,1,MAX(1,COUNTIF(QCI!$A$13:$A$24,OFFSET($E166,-1,0)))),"")</f>
        <v>36</v>
      </c>
      <c r="AE166" s="7" t="b" cm="1">
        <f t="array" aca="1" ref="AE166" ca="1">IF(AND($C166="S",ORÇAMENTO.CodBarra&lt;&gt;""),IF(ORÇAMENTO.Fonte="",ORÇAMENTO.CodBarra,CONCATENATE(ORÇAMENTO.Fonte," ",ORÇAMENTO.CodBarra)))</f>
        <v>0</v>
      </c>
      <c r="AF166" s="12" t="str" cm="1">
        <f t="array" aca="1" ref="AF166" ca="1">IF(ISERROR(ORÇAMENTO.BancoRef),"(abra o arquivo 'Referência "&amp;Excel_BuiltIn_Database&amp;".xlsm)",IF(OR($C166&lt;&gt;"S",ORÇAMENTO.CodBarra=""),"(Sem Código)",IF(ISERROR(MATCH($AE166,INDIRECT(ORÇAMENTO.BancoRef),0)),"(Código não identificado nas referências)",MATCH($AE166,INDIRECT(ORÇAMENTO.BancoRef),0))))</f>
        <v>(Sem Código)</v>
      </c>
      <c r="AG166" s="428" cm="1">
        <f t="array" aca="1" ref="AG166" ca="1">ROUND(IF(DESONERACAO="sim",REFERENCIA.Desonerado,REFERENCIA.NaoDesonerado),2)</f>
        <v>0</v>
      </c>
      <c r="AH166" s="429">
        <f t="shared" ca="1" si="48"/>
        <v>0.2223</v>
      </c>
      <c r="AJ166" s="431"/>
      <c r="AL166" s="439"/>
      <c r="AM166" s="336">
        <f t="shared" ca="1" si="0"/>
        <v>0</v>
      </c>
      <c r="AN166" s="470" cm="1">
        <f t="array" aca="1" ref="AN166" ca="1">ROUND(ORÇAMENTO.CustoUnitario*(1+$AH166),2)</f>
        <v>0</v>
      </c>
    </row>
    <row r="167" spans="1:40" x14ac:dyDescent="0.2">
      <c r="A167">
        <f t="shared" si="35"/>
        <v>3</v>
      </c>
      <c r="B167">
        <f t="shared" ca="1" si="36"/>
        <v>3</v>
      </c>
      <c r="C167">
        <f t="shared" ca="1" si="37"/>
        <v>3</v>
      </c>
      <c r="D167">
        <f t="shared" ca="1" si="38"/>
        <v>8</v>
      </c>
      <c r="E167">
        <f ca="1">IF($C167=1,OFFSET(E167,-1,0)+MAX(1,COUNTIF(QCI!$A$13:$A$24,OFFSET(ORÇAMENTO!E167,-1,0))),OFFSET(E167,-1,0))</f>
        <v>9</v>
      </c>
      <c r="F167">
        <f t="shared" ca="1" si="39"/>
        <v>2</v>
      </c>
      <c r="G167">
        <f t="shared" ca="1" si="40"/>
        <v>1</v>
      </c>
      <c r="H167">
        <f t="shared" ca="1" si="41"/>
        <v>0</v>
      </c>
      <c r="I167">
        <f t="shared" ca="1" si="42"/>
        <v>0</v>
      </c>
      <c r="J167">
        <f t="shared" ca="1" si="34"/>
        <v>36</v>
      </c>
      <c r="K167">
        <f ca="1">IF(OR($C167="S",$C167=0),0,MATCH(OFFSET($D167,0,$C167)+IF($C167&lt;&gt;1,1,COUNTIF(QCI!$A$13:$A$24,ORÇAMENTO!E167)),OFFSET($D167,1,$C167,ROW($C$244)-ROW($C167)),0))</f>
        <v>8</v>
      </c>
      <c r="L167" s="114" t="str">
        <f t="shared" ca="1" si="43"/>
        <v>F</v>
      </c>
      <c r="M167" s="115" t="s">
        <v>703</v>
      </c>
      <c r="N167" s="116" t="str">
        <f t="shared" ca="1" si="44"/>
        <v>Nível 3</v>
      </c>
      <c r="O167" s="117" t="str">
        <f t="shared" ca="1" si="45"/>
        <v>9.2.1.</v>
      </c>
      <c r="P167" s="118" t="s">
        <v>250</v>
      </c>
      <c r="Q167" s="119" t="s">
        <v>250</v>
      </c>
      <c r="R167" s="120" t="s">
        <v>1205</v>
      </c>
      <c r="S167" s="121"/>
      <c r="T167" s="122">
        <f ca="1">OFFSET(CÁLCULO!H$15,ROW($T167)-ROW(T$15),0)</f>
        <v>0</v>
      </c>
      <c r="U167" s="123">
        <f t="shared" ca="1" si="46"/>
        <v>0</v>
      </c>
      <c r="V167" s="124" t="s">
        <v>663</v>
      </c>
      <c r="W167" s="122" cm="1">
        <f t="array" aca="1" ref="W167" ca="1">IF($C167="S",ROUND(IF(TIPOORCAMENTO="Proposto",ORÇAMENTO.CustoUnitario*(1+$AH167),ORÇAMENTO.PrecoUnitarioLicitado),15-13*$AF$10),0)</f>
        <v>0</v>
      </c>
      <c r="X167" s="125" cm="1">
        <f t="array" aca="1" ref="X167" ca="1">IF($C167="S",IF(OR(Import.TipoArredondamento&lt;&gt;"TransfereGOV",ACOMPANHAMENTO="BM"),VTOTAL1,SUM(OFFSET(CÁLCULO!$AQ$15,ROW($X167)-ROW($X$15),1):OFFSET(CÁLCULO!$BR$15,ROW($X167)-ROW($X$15),-1))),IF($C167=0,0,ROUND(SomaAgrup,15-13*$AF$11)))</f>
        <v>0</v>
      </c>
      <c r="Y167" s="126" t="s">
        <v>751</v>
      </c>
      <c r="Z167" t="str">
        <f t="shared" ca="1" si="47"/>
        <v/>
      </c>
      <c r="AA167" s="127" cm="1">
        <f t="array" aca="1" ref="AA167" ca="1">IF($C167="S",IF($Z167="CP",$X167,IF($Z167="RA",(($X167)*QCI!$AA$3),0)),SomaAgrup)</f>
        <v>0</v>
      </c>
      <c r="AB167" s="128" cm="1">
        <f t="array" aca="1" ref="AB167" ca="1">IF($C167="S",IF($Z167="OU",ROUND($X167,2),0),SomaAgrup)</f>
        <v>0</v>
      </c>
      <c r="AC167" s="565" t="str" cm="1">
        <f t="array" aca="1" ref="AC167" ca="1">IF($N167=""," ",
IF(AND($C167&lt;&gt;"S",OR($R167="",$R167="(digite a descrição aqui)")),"DESCRIÇÃO",
IF(AND($C167="S",OR($Q167&lt;&gt;"",$T167&gt;0,$U167&gt;0),$P167=""),"FONTE",
IF(AND($C167="S",$P167&lt;&gt;"",OR($T167&gt;0,$U167&gt;0),$Q167=""),"CÓDIGO",
IF(AND($C167="S",$P167&lt;&gt;"",$Q167&lt;&gt;"",$R167="(Código não identificado nas referências)"),"CÓDIGO N/ID",
IF(AND($C167="S",OR($R167="",$R167="(digite a descrição aqui)"),OR($Q167&lt;&gt;"",$T167&gt;0,$U167&gt;0)),"DESCRIÇÃO",
IF(AND($C167="S",$P167&lt;&gt;"",$Q167&lt;&gt;"",$S167=""),"UNIDADE",
IF(AND($C167="S",$P167&lt;&gt;"",$Q167&lt;&gt;"",$U167=0),"SEM CUSTO",
IF(AND(TIPOORCAMENTO="Licitado",$AL167=0,$AN167&gt;0),"SEM PREÇO",
IF(AND($C167="S",$P167&lt;&gt;"",$Q167&lt;&gt;"",$U167&gt;0,AND($V167&lt;&gt;"BDI 1",$V167&lt;&gt;"BDI 2",$V167&lt;&gt;"BDI 3")),IF(ISNUMBER($V167),"JUSTIFICAR BDI","BDI"),
IF(OR(AND(import.recurso="OGU",TIPOORCAMENTO="Proposto",LEFT($O$8,5)&lt;&gt;"(N/D:",$AG167&lt;&gt;"",ORÇAMENTO.CustoUnitario&gt;$AG167),AND(TIPOORCAMENTO="LICITADO",ORÇAMENTO.PrecoUnitarioLicitado&gt;$AN167)),"ACIMA REF.",
IF(AND($C167="S",$P167&lt;&gt;"",$Q167&lt;&gt;"",$T167=0,$U167&gt;0),"QUANT.",
IF(AND(Import.TipoArredondamento="TransfereGOV",$L167="F",$C167="S",LEN($Q167)&gt;13),"Código &gt;13",
IF(AND(Import.TipoArredondamento="TransfereGOV",$L167="F",$C167&lt;&gt;"S",LEN($R167)&gt;100),"Descrição &gt;100",
IF(AND(Import.TipoArredondamento="TransfereGOV",$L167="F",$C167="S",LEN($R167)&gt;500),"Descrição &gt;500",
IF(AND(Import.TipoArredondamento="TransfereGOV",$L167="F",$C167="S",LEFT(TRIM(UPPER($P167)),6)&lt;&gt;"SINAPI",ISNA(VLOOKUP(TRIM(UPPER($S167)),ListaTgov.Unidades,1,FALSE))),"Unid. Não Disp",
" "))))))))))))))))</f>
        <v xml:space="preserve"> </v>
      </c>
      <c r="AD167">
        <f ca="1">IF(C167&lt;=CRONO.NivelExibicao,MAX($AD$15:OFFSET(AD167,-1,0))+IF($C167&lt;&gt;1,1,MAX(1,COUNTIF(QCI!$A$13:$A$24,OFFSET($E167,-1,0)))),"")</f>
        <v>37</v>
      </c>
      <c r="AE167" s="7" t="b" cm="1">
        <f t="array" aca="1" ref="AE167" ca="1">IF(AND($C167="S",ORÇAMENTO.CodBarra&lt;&gt;""),IF(ORÇAMENTO.Fonte="",ORÇAMENTO.CodBarra,CONCATENATE(ORÇAMENTO.Fonte," ",ORÇAMENTO.CodBarra)))</f>
        <v>0</v>
      </c>
      <c r="AF167" s="12" t="str" cm="1">
        <f t="array" aca="1" ref="AF167" ca="1">IF(ISERROR(ORÇAMENTO.BancoRef),"(abra o arquivo 'Referência "&amp;Excel_BuiltIn_Database&amp;".xlsm)",IF(OR($C167&lt;&gt;"S",ORÇAMENTO.CodBarra=""),"(Sem Código)",IF(ISERROR(MATCH($AE167,INDIRECT(ORÇAMENTO.BancoRef),0)),"(Código não identificado nas referências)",MATCH($AE167,INDIRECT(ORÇAMENTO.BancoRef),0))))</f>
        <v>(Sem Código)</v>
      </c>
      <c r="AG167" s="428" cm="1">
        <f t="array" aca="1" ref="AG167" ca="1">ROUND(IF(DESONERACAO="sim",REFERENCIA.Desonerado,REFERENCIA.NaoDesonerado),2)</f>
        <v>0</v>
      </c>
      <c r="AH167" s="429">
        <f t="shared" ca="1" si="48"/>
        <v>0.2223</v>
      </c>
      <c r="AJ167" s="431"/>
      <c r="AL167" s="439"/>
      <c r="AM167" s="336">
        <f t="shared" ca="1" si="0"/>
        <v>0</v>
      </c>
      <c r="AN167" s="470" cm="1">
        <f t="array" aca="1" ref="AN167" ca="1">ROUND(ORÇAMENTO.CustoUnitario*(1+$AH167),2)</f>
        <v>0</v>
      </c>
    </row>
    <row r="168" spans="1:40" ht="38.25" x14ac:dyDescent="0.2">
      <c r="A168" t="str">
        <f t="shared" si="35"/>
        <v>S</v>
      </c>
      <c r="B168">
        <f t="shared" ca="1" si="36"/>
        <v>3</v>
      </c>
      <c r="C168" t="str">
        <f t="shared" ca="1" si="37"/>
        <v>S</v>
      </c>
      <c r="D168">
        <f t="shared" ca="1" si="38"/>
        <v>0</v>
      </c>
      <c r="E168">
        <f ca="1">IF($C168=1,OFFSET(E168,-1,0)+MAX(1,COUNTIF(QCI!$A$13:$A$24,OFFSET(ORÇAMENTO!E168,-1,0))),OFFSET(E168,-1,0))</f>
        <v>9</v>
      </c>
      <c r="F168">
        <f t="shared" ca="1" si="39"/>
        <v>2</v>
      </c>
      <c r="G168">
        <f t="shared" ca="1" si="40"/>
        <v>1</v>
      </c>
      <c r="H168">
        <f t="shared" ca="1" si="41"/>
        <v>0</v>
      </c>
      <c r="I168">
        <f t="shared" ca="1" si="42"/>
        <v>0</v>
      </c>
      <c r="J168">
        <f t="shared" ca="1" si="34"/>
        <v>0</v>
      </c>
      <c r="K168">
        <f ca="1">IF(OR($C168="S",$C168=0),0,MATCH(OFFSET($D168,0,$C168)+IF($C168&lt;&gt;1,1,COUNTIF(QCI!$A$13:$A$24,ORÇAMENTO!E168)),OFFSET($D168,1,$C168,ROW($C$244)-ROW($C168)),0))</f>
        <v>0</v>
      </c>
      <c r="L168" s="114" t="str">
        <f t="shared" ca="1" si="43"/>
        <v/>
      </c>
      <c r="M168" s="115" t="s">
        <v>705</v>
      </c>
      <c r="N168" s="116" t="str">
        <f t="shared" ca="1" si="44"/>
        <v>Serviço</v>
      </c>
      <c r="O168" s="117" t="str">
        <f t="shared" ca="1" si="45"/>
        <v>-</v>
      </c>
      <c r="P168" s="118" t="s">
        <v>750</v>
      </c>
      <c r="Q168" s="119" t="s">
        <v>1113</v>
      </c>
      <c r="R168" s="120" t="str" cm="1">
        <f t="array" aca="1" ref="R168" ca="1">IF($C168="S",REFERENCIA.Descricao,"(digite a descrição aqui)")</f>
        <v>(Código não identificado nas referências)</v>
      </c>
      <c r="S168" s="121" t="str" cm="1">
        <f t="array" aca="1" ref="S168" ca="1">REFERENCIA.Unidade</f>
        <v>-</v>
      </c>
      <c r="T168" s="122">
        <f ca="1">OFFSET(CÁLCULO!H$15,ROW($T168)-ROW(T$15),0)</f>
        <v>140</v>
      </c>
      <c r="U168" s="123">
        <f t="shared" ca="1" si="46"/>
        <v>0</v>
      </c>
      <c r="V168" s="124" t="s">
        <v>663</v>
      </c>
      <c r="W168" s="122" cm="1">
        <f t="array" aca="1" ref="W168" ca="1">IF($C168="S",ROUND(IF(TIPOORCAMENTO="Proposto",ORÇAMENTO.CustoUnitario*(1+$AH168),ORÇAMENTO.PrecoUnitarioLicitado),15-13*$AF$10),0)</f>
        <v>0</v>
      </c>
      <c r="X168" s="125" cm="1">
        <f t="array" aca="1" ref="X168" ca="1">IF($C168="S",IF(OR(Import.TipoArredondamento&lt;&gt;"TransfereGOV",ACOMPANHAMENTO="BM"),VTOTAL1,SUM(OFFSET(CÁLCULO!$AQ$15,ROW($X168)-ROW($X$15),1):OFFSET(CÁLCULO!$BR$15,ROW($X168)-ROW($X$15),-1))),IF($C168=0,0,ROUND(SomaAgrup,15-13*$AF$11)))</f>
        <v>0</v>
      </c>
      <c r="Y168" s="126" t="s">
        <v>751</v>
      </c>
      <c r="Z168" t="str">
        <f t="shared" ca="1" si="47"/>
        <v/>
      </c>
      <c r="AA168" s="127" cm="1">
        <f t="array" aca="1" ref="AA168" ca="1">IF($C168="S",IF($Z168="CP",$X168,IF($Z168="RA",(($X168)*QCI!$AA$3),0)),SomaAgrup)</f>
        <v>0</v>
      </c>
      <c r="AB168" s="128" cm="1">
        <f t="array" aca="1" ref="AB168" ca="1">IF($C168="S",IF($Z168="OU",ROUND($X168,2),0),SomaAgrup)</f>
        <v>0</v>
      </c>
      <c r="AC168" s="565" t="str" cm="1">
        <f t="array" aca="1" ref="AC168" ca="1">IF($N168=""," ",
IF(AND($C168&lt;&gt;"S",OR($R168="",$R168="(digite a descrição aqui)")),"DESCRIÇÃO",
IF(AND($C168="S",OR($Q168&lt;&gt;"",$T168&gt;0,$U168&gt;0),$P168=""),"FONTE",
IF(AND($C168="S",$P168&lt;&gt;"",OR($T168&gt;0,$U168&gt;0),$Q168=""),"CÓDIGO",
IF(AND($C168="S",$P168&lt;&gt;"",$Q168&lt;&gt;"",$R168="(Código não identificado nas referências)"),"CÓDIGO N/ID",
IF(AND($C168="S",OR($R168="",$R168="(digite a descrição aqui)"),OR($Q168&lt;&gt;"",$T168&gt;0,$U168&gt;0)),"DESCRIÇÃO",
IF(AND($C168="S",$P168&lt;&gt;"",$Q168&lt;&gt;"",$S168=""),"UNIDADE",
IF(AND($C168="S",$P168&lt;&gt;"",$Q168&lt;&gt;"",$U168=0),"SEM CUSTO",
IF(AND(TIPOORCAMENTO="Licitado",$AL168=0,$AN168&gt;0),"SEM PREÇO",
IF(AND($C168="S",$P168&lt;&gt;"",$Q168&lt;&gt;"",$U168&gt;0,AND($V168&lt;&gt;"BDI 1",$V168&lt;&gt;"BDI 2",$V168&lt;&gt;"BDI 3")),IF(ISNUMBER($V168),"JUSTIFICAR BDI","BDI"),
IF(OR(AND(import.recurso="OGU",TIPOORCAMENTO="Proposto",LEFT($O$8,5)&lt;&gt;"(N/D:",$AG168&lt;&gt;"",ORÇAMENTO.CustoUnitario&gt;$AG168),AND(TIPOORCAMENTO="LICITADO",ORÇAMENTO.PrecoUnitarioLicitado&gt;$AN168)),"ACIMA REF.",
IF(AND($C168="S",$P168&lt;&gt;"",$Q168&lt;&gt;"",$T168=0,$U168&gt;0),"QUANT.",
IF(AND(Import.TipoArredondamento="TransfereGOV",$L168="F",$C168="S",LEN($Q168)&gt;13),"Código &gt;13",
IF(AND(Import.TipoArredondamento="TransfereGOV",$L168="F",$C168&lt;&gt;"S",LEN($R168)&gt;100),"Descrição &gt;100",
IF(AND(Import.TipoArredondamento="TransfereGOV",$L168="F",$C168="S",LEN($R168)&gt;500),"Descrição &gt;500",
IF(AND(Import.TipoArredondamento="TransfereGOV",$L168="F",$C168="S",LEFT(TRIM(UPPER($P168)),6)&lt;&gt;"SINAPI",ISNA(VLOOKUP(TRIM(UPPER($S168)),ListaTgov.Unidades,1,FALSE))),"Unid. Não Disp",
" "))))))))))))))))</f>
        <v>CÓDIGO N/ID</v>
      </c>
      <c r="AD168" t="str">
        <f ca="1">IF(C168&lt;=CRONO.NivelExibicao,MAX($AD$15:OFFSET(AD168,-1,0))+IF($C168&lt;&gt;1,1,MAX(1,COUNTIF(QCI!$A$13:$A$24,OFFSET($E168,-1,0)))),"")</f>
        <v/>
      </c>
      <c r="AE168" s="7" t="str" cm="1">
        <f t="array" aca="1" ref="AE168" ca="1">IF(AND($C168="S",ORÇAMENTO.CodBarra&lt;&gt;""),IF(ORÇAMENTO.Fonte="",ORÇAMENTO.CodBarra,CONCATENATE(ORÇAMENTO.Fonte," ",ORÇAMENTO.CodBarra)))</f>
        <v>SINAPI 90373</v>
      </c>
      <c r="AF168" s="12" t="str" cm="1">
        <f t="array" aca="1" ref="AF168" ca="1">IF(ISERROR(ORÇAMENTO.BancoRef),"(abra o arquivo 'Referência "&amp;Excel_BuiltIn_Database&amp;".xlsm)",IF(OR($C168&lt;&gt;"S",ORÇAMENTO.CodBarra=""),"(Sem Código)",IF(ISERROR(MATCH($AE168,INDIRECT(ORÇAMENTO.BancoRef),0)),"(Código não identificado nas referências)",MATCH($AE168,INDIRECT(ORÇAMENTO.BancoRef),0))))</f>
        <v>(Código não identificado nas referências)</v>
      </c>
      <c r="AG168" s="428" cm="1">
        <f t="array" aca="1" ref="AG168" ca="1">ROUND(IF(DESONERACAO="sim",REFERENCIA.Desonerado,REFERENCIA.NaoDesonerado),2)</f>
        <v>0</v>
      </c>
      <c r="AH168" s="429">
        <f t="shared" ca="1" si="48"/>
        <v>0.2223</v>
      </c>
      <c r="AJ168" s="431"/>
      <c r="AL168" s="439"/>
      <c r="AM168" s="336">
        <f t="shared" ca="1" si="0"/>
        <v>0</v>
      </c>
      <c r="AN168" s="470" cm="1">
        <f t="array" aca="1" ref="AN168" ca="1">ROUND(ORÇAMENTO.CustoUnitario*(1+$AH168),2)</f>
        <v>0</v>
      </c>
    </row>
    <row r="169" spans="1:40" ht="38.25" x14ac:dyDescent="0.2">
      <c r="A169" t="str">
        <f t="shared" si="35"/>
        <v>S</v>
      </c>
      <c r="B169">
        <f t="shared" ca="1" si="36"/>
        <v>3</v>
      </c>
      <c r="C169" t="str">
        <f t="shared" ca="1" si="37"/>
        <v>S</v>
      </c>
      <c r="D169">
        <f t="shared" ca="1" si="38"/>
        <v>0</v>
      </c>
      <c r="E169">
        <f ca="1">IF($C169=1,OFFSET(E169,-1,0)+MAX(1,COUNTIF(QCI!$A$13:$A$24,OFFSET(ORÇAMENTO!E169,-1,0))),OFFSET(E169,-1,0))</f>
        <v>9</v>
      </c>
      <c r="F169">
        <f t="shared" ca="1" si="39"/>
        <v>2</v>
      </c>
      <c r="G169">
        <f t="shared" ca="1" si="40"/>
        <v>1</v>
      </c>
      <c r="H169">
        <f t="shared" ca="1" si="41"/>
        <v>0</v>
      </c>
      <c r="I169">
        <f t="shared" ca="1" si="42"/>
        <v>0</v>
      </c>
      <c r="J169">
        <f t="shared" ca="1" si="34"/>
        <v>0</v>
      </c>
      <c r="K169">
        <f ca="1">IF(OR($C169="S",$C169=0),0,MATCH(OFFSET($D169,0,$C169)+IF($C169&lt;&gt;1,1,COUNTIF(QCI!$A$13:$A$24,ORÇAMENTO!E169)),OFFSET($D169,1,$C169,ROW($C$244)-ROW($C169)),0))</f>
        <v>0</v>
      </c>
      <c r="L169" s="114" t="str">
        <f t="shared" ca="1" si="43"/>
        <v/>
      </c>
      <c r="M169" s="115" t="s">
        <v>705</v>
      </c>
      <c r="N169" s="116" t="str">
        <f t="shared" ca="1" si="44"/>
        <v>Serviço</v>
      </c>
      <c r="O169" s="117" t="str">
        <f t="shared" ca="1" si="45"/>
        <v>-</v>
      </c>
      <c r="P169" s="118" t="s">
        <v>750</v>
      </c>
      <c r="Q169" s="119" t="s">
        <v>1114</v>
      </c>
      <c r="R169" s="120" t="str" cm="1">
        <f t="array" aca="1" ref="R169" ca="1">IF($C169="S",REFERENCIA.Descricao,"(digite a descrição aqui)")</f>
        <v>(Código não identificado nas referências)</v>
      </c>
      <c r="S169" s="121" t="str" cm="1">
        <f t="array" aca="1" ref="S169" ca="1">REFERENCIA.Unidade</f>
        <v>-</v>
      </c>
      <c r="T169" s="122">
        <f ca="1">OFFSET(CÁLCULO!H$15,ROW($T169)-ROW(T$15),0)</f>
        <v>160</v>
      </c>
      <c r="U169" s="123">
        <f t="shared" ca="1" si="46"/>
        <v>0</v>
      </c>
      <c r="V169" s="124" t="s">
        <v>663</v>
      </c>
      <c r="W169" s="122" cm="1">
        <f t="array" aca="1" ref="W169" ca="1">IF($C169="S",ROUND(IF(TIPOORCAMENTO="Proposto",ORÇAMENTO.CustoUnitario*(1+$AH169),ORÇAMENTO.PrecoUnitarioLicitado),15-13*$AF$10),0)</f>
        <v>0</v>
      </c>
      <c r="X169" s="125" cm="1">
        <f t="array" aca="1" ref="X169" ca="1">IF($C169="S",IF(OR(Import.TipoArredondamento&lt;&gt;"TransfereGOV",ACOMPANHAMENTO="BM"),VTOTAL1,SUM(OFFSET(CÁLCULO!$AQ$15,ROW($X169)-ROW($X$15),1):OFFSET(CÁLCULO!$BR$15,ROW($X169)-ROW($X$15),-1))),IF($C169=0,0,ROUND(SomaAgrup,15-13*$AF$11)))</f>
        <v>0</v>
      </c>
      <c r="Y169" s="126" t="s">
        <v>751</v>
      </c>
      <c r="Z169" t="str">
        <f t="shared" ca="1" si="47"/>
        <v/>
      </c>
      <c r="AA169" s="127" cm="1">
        <f t="array" aca="1" ref="AA169" ca="1">IF($C169="S",IF($Z169="CP",$X169,IF($Z169="RA",(($X169)*QCI!$AA$3),0)),SomaAgrup)</f>
        <v>0</v>
      </c>
      <c r="AB169" s="128" cm="1">
        <f t="array" aca="1" ref="AB169" ca="1">IF($C169="S",IF($Z169="OU",ROUND($X169,2),0),SomaAgrup)</f>
        <v>0</v>
      </c>
      <c r="AC169" s="565" t="str" cm="1">
        <f t="array" aca="1" ref="AC169" ca="1">IF($N169=""," ",
IF(AND($C169&lt;&gt;"S",OR($R169="",$R169="(digite a descrição aqui)")),"DESCRIÇÃO",
IF(AND($C169="S",OR($Q169&lt;&gt;"",$T169&gt;0,$U169&gt;0),$P169=""),"FONTE",
IF(AND($C169="S",$P169&lt;&gt;"",OR($T169&gt;0,$U169&gt;0),$Q169=""),"CÓDIGO",
IF(AND($C169="S",$P169&lt;&gt;"",$Q169&lt;&gt;"",$R169="(Código não identificado nas referências)"),"CÓDIGO N/ID",
IF(AND($C169="S",OR($R169="",$R169="(digite a descrição aqui)"),OR($Q169&lt;&gt;"",$T169&gt;0,$U169&gt;0)),"DESCRIÇÃO",
IF(AND($C169="S",$P169&lt;&gt;"",$Q169&lt;&gt;"",$S169=""),"UNIDADE",
IF(AND($C169="S",$P169&lt;&gt;"",$Q169&lt;&gt;"",$U169=0),"SEM CUSTO",
IF(AND(TIPOORCAMENTO="Licitado",$AL169=0,$AN169&gt;0),"SEM PREÇO",
IF(AND($C169="S",$P169&lt;&gt;"",$Q169&lt;&gt;"",$U169&gt;0,AND($V169&lt;&gt;"BDI 1",$V169&lt;&gt;"BDI 2",$V169&lt;&gt;"BDI 3")),IF(ISNUMBER($V169),"JUSTIFICAR BDI","BDI"),
IF(OR(AND(import.recurso="OGU",TIPOORCAMENTO="Proposto",LEFT($O$8,5)&lt;&gt;"(N/D:",$AG169&lt;&gt;"",ORÇAMENTO.CustoUnitario&gt;$AG169),AND(TIPOORCAMENTO="LICITADO",ORÇAMENTO.PrecoUnitarioLicitado&gt;$AN169)),"ACIMA REF.",
IF(AND($C169="S",$P169&lt;&gt;"",$Q169&lt;&gt;"",$T169=0,$U169&gt;0),"QUANT.",
IF(AND(Import.TipoArredondamento="TransfereGOV",$L169="F",$C169="S",LEN($Q169)&gt;13),"Código &gt;13",
IF(AND(Import.TipoArredondamento="TransfereGOV",$L169="F",$C169&lt;&gt;"S",LEN($R169)&gt;100),"Descrição &gt;100",
IF(AND(Import.TipoArredondamento="TransfereGOV",$L169="F",$C169="S",LEN($R169)&gt;500),"Descrição &gt;500",
IF(AND(Import.TipoArredondamento="TransfereGOV",$L169="F",$C169="S",LEFT(TRIM(UPPER($P169)),6)&lt;&gt;"SINAPI",ISNA(VLOOKUP(TRIM(UPPER($S169)),ListaTgov.Unidades,1,FALSE))),"Unid. Não Disp",
" "))))))))))))))))</f>
        <v>CÓDIGO N/ID</v>
      </c>
      <c r="AD169" t="str">
        <f ca="1">IF(C169&lt;=CRONO.NivelExibicao,MAX($AD$15:OFFSET(AD169,-1,0))+IF($C169&lt;&gt;1,1,MAX(1,COUNTIF(QCI!$A$13:$A$24,OFFSET($E169,-1,0)))),"")</f>
        <v/>
      </c>
      <c r="AE169" s="7" t="str" cm="1">
        <f t="array" aca="1" ref="AE169" ca="1">IF(AND($C169="S",ORÇAMENTO.CodBarra&lt;&gt;""),IF(ORÇAMENTO.Fonte="",ORÇAMENTO.CodBarra,CONCATENATE(ORÇAMENTO.Fonte," ",ORÇAMENTO.CodBarra)))</f>
        <v>SINAPI 89408</v>
      </c>
      <c r="AF169" s="12" t="str" cm="1">
        <f t="array" aca="1" ref="AF169" ca="1">IF(ISERROR(ORÇAMENTO.BancoRef),"(abra o arquivo 'Referência "&amp;Excel_BuiltIn_Database&amp;".xlsm)",IF(OR($C169&lt;&gt;"S",ORÇAMENTO.CodBarra=""),"(Sem Código)",IF(ISERROR(MATCH($AE169,INDIRECT(ORÇAMENTO.BancoRef),0)),"(Código não identificado nas referências)",MATCH($AE169,INDIRECT(ORÇAMENTO.BancoRef),0))))</f>
        <v>(Código não identificado nas referências)</v>
      </c>
      <c r="AG169" s="428" cm="1">
        <f t="array" aca="1" ref="AG169" ca="1">ROUND(IF(DESONERACAO="sim",REFERENCIA.Desonerado,REFERENCIA.NaoDesonerado),2)</f>
        <v>0</v>
      </c>
      <c r="AH169" s="429">
        <f t="shared" ca="1" si="48"/>
        <v>0.2223</v>
      </c>
      <c r="AJ169" s="431"/>
      <c r="AL169" s="439"/>
      <c r="AM169" s="336">
        <f t="shared" ca="1" si="0"/>
        <v>0</v>
      </c>
      <c r="AN169" s="470" cm="1">
        <f t="array" aca="1" ref="AN169" ca="1">ROUND(ORÇAMENTO.CustoUnitario*(1+$AH169),2)</f>
        <v>0</v>
      </c>
    </row>
    <row r="170" spans="1:40" ht="25.5" x14ac:dyDescent="0.2">
      <c r="A170" t="str">
        <f t="shared" si="35"/>
        <v>S</v>
      </c>
      <c r="B170">
        <f t="shared" ca="1" si="36"/>
        <v>3</v>
      </c>
      <c r="C170" t="str">
        <f t="shared" ca="1" si="37"/>
        <v>S</v>
      </c>
      <c r="D170">
        <f t="shared" ca="1" si="38"/>
        <v>0</v>
      </c>
      <c r="E170">
        <f ca="1">IF($C170=1,OFFSET(E170,-1,0)+MAX(1,COUNTIF(QCI!$A$13:$A$24,OFFSET(ORÇAMENTO!E170,-1,0))),OFFSET(E170,-1,0))</f>
        <v>9</v>
      </c>
      <c r="F170">
        <f t="shared" ca="1" si="39"/>
        <v>2</v>
      </c>
      <c r="G170">
        <f t="shared" ca="1" si="40"/>
        <v>1</v>
      </c>
      <c r="H170">
        <f t="shared" ca="1" si="41"/>
        <v>0</v>
      </c>
      <c r="I170">
        <f t="shared" ca="1" si="42"/>
        <v>0</v>
      </c>
      <c r="J170">
        <f t="shared" ca="1" si="34"/>
        <v>0</v>
      </c>
      <c r="K170">
        <f ca="1">IF(OR($C170="S",$C170=0),0,MATCH(OFFSET($D170,0,$C170)+IF($C170&lt;&gt;1,1,COUNTIF(QCI!$A$13:$A$24,ORÇAMENTO!E170)),OFFSET($D170,1,$C170,ROW($C$244)-ROW($C170)),0))</f>
        <v>0</v>
      </c>
      <c r="L170" s="114" t="str">
        <f t="shared" ca="1" si="43"/>
        <v/>
      </c>
      <c r="M170" s="115" t="s">
        <v>705</v>
      </c>
      <c r="N170" s="116" t="str">
        <f t="shared" ca="1" si="44"/>
        <v>Serviço</v>
      </c>
      <c r="O170" s="117" t="str">
        <f t="shared" ca="1" si="45"/>
        <v>-</v>
      </c>
      <c r="P170" s="118" t="s">
        <v>750</v>
      </c>
      <c r="Q170" s="119" t="s">
        <v>1115</v>
      </c>
      <c r="R170" s="120" t="str" cm="1">
        <f t="array" aca="1" ref="R170" ca="1">IF($C170="S",REFERENCIA.Descricao,"(digite a descrição aqui)")</f>
        <v>(Código não identificado nas referências)</v>
      </c>
      <c r="S170" s="121" t="str" cm="1">
        <f t="array" aca="1" ref="S170" ca="1">REFERENCIA.Unidade</f>
        <v>-</v>
      </c>
      <c r="T170" s="122">
        <f ca="1">OFFSET(CÁLCULO!H$15,ROW($T170)-ROW(T$15),0)</f>
        <v>80</v>
      </c>
      <c r="U170" s="123">
        <f t="shared" ca="1" si="46"/>
        <v>0</v>
      </c>
      <c r="V170" s="124" t="s">
        <v>663</v>
      </c>
      <c r="W170" s="122" cm="1">
        <f t="array" aca="1" ref="W170" ca="1">IF($C170="S",ROUND(IF(TIPOORCAMENTO="Proposto",ORÇAMENTO.CustoUnitario*(1+$AH170),ORÇAMENTO.PrecoUnitarioLicitado),15-13*$AF$10),0)</f>
        <v>0</v>
      </c>
      <c r="X170" s="125" cm="1">
        <f t="array" aca="1" ref="X170" ca="1">IF($C170="S",IF(OR(Import.TipoArredondamento&lt;&gt;"TransfereGOV",ACOMPANHAMENTO="BM"),VTOTAL1,SUM(OFFSET(CÁLCULO!$AQ$15,ROW($X170)-ROW($X$15),1):OFFSET(CÁLCULO!$BR$15,ROW($X170)-ROW($X$15),-1))),IF($C170=0,0,ROUND(SomaAgrup,15-13*$AF$11)))</f>
        <v>0</v>
      </c>
      <c r="Y170" s="126" t="s">
        <v>751</v>
      </c>
      <c r="Z170" t="str">
        <f t="shared" ca="1" si="47"/>
        <v/>
      </c>
      <c r="AA170" s="127" cm="1">
        <f t="array" aca="1" ref="AA170" ca="1">IF($C170="S",IF($Z170="CP",$X170,IF($Z170="RA",(($X170)*QCI!$AA$3),0)),SomaAgrup)</f>
        <v>0</v>
      </c>
      <c r="AB170" s="128" cm="1">
        <f t="array" aca="1" ref="AB170" ca="1">IF($C170="S",IF($Z170="OU",ROUND($X170,2),0),SomaAgrup)</f>
        <v>0</v>
      </c>
      <c r="AC170" s="565" t="str" cm="1">
        <f t="array" aca="1" ref="AC170" ca="1">IF($N170=""," ",
IF(AND($C170&lt;&gt;"S",OR($R170="",$R170="(digite a descrição aqui)")),"DESCRIÇÃO",
IF(AND($C170="S",OR($Q170&lt;&gt;"",$T170&gt;0,$U170&gt;0),$P170=""),"FONTE",
IF(AND($C170="S",$P170&lt;&gt;"",OR($T170&gt;0,$U170&gt;0),$Q170=""),"CÓDIGO",
IF(AND($C170="S",$P170&lt;&gt;"",$Q170&lt;&gt;"",$R170="(Código não identificado nas referências)"),"CÓDIGO N/ID",
IF(AND($C170="S",OR($R170="",$R170="(digite a descrição aqui)"),OR($Q170&lt;&gt;"",$T170&gt;0,$U170&gt;0)),"DESCRIÇÃO",
IF(AND($C170="S",$P170&lt;&gt;"",$Q170&lt;&gt;"",$S170=""),"UNIDADE",
IF(AND($C170="S",$P170&lt;&gt;"",$Q170&lt;&gt;"",$U170=0),"SEM CUSTO",
IF(AND(TIPOORCAMENTO="Licitado",$AL170=0,$AN170&gt;0),"SEM PREÇO",
IF(AND($C170="S",$P170&lt;&gt;"",$Q170&lt;&gt;"",$U170&gt;0,AND($V170&lt;&gt;"BDI 1",$V170&lt;&gt;"BDI 2",$V170&lt;&gt;"BDI 3")),IF(ISNUMBER($V170),"JUSTIFICAR BDI","BDI"),
IF(OR(AND(import.recurso="OGU",TIPOORCAMENTO="Proposto",LEFT($O$8,5)&lt;&gt;"(N/D:",$AG170&lt;&gt;"",ORÇAMENTO.CustoUnitario&gt;$AG170),AND(TIPOORCAMENTO="LICITADO",ORÇAMENTO.PrecoUnitarioLicitado&gt;$AN170)),"ACIMA REF.",
IF(AND($C170="S",$P170&lt;&gt;"",$Q170&lt;&gt;"",$T170=0,$U170&gt;0),"QUANT.",
IF(AND(Import.TipoArredondamento="TransfereGOV",$L170="F",$C170="S",LEN($Q170)&gt;13),"Código &gt;13",
IF(AND(Import.TipoArredondamento="TransfereGOV",$L170="F",$C170&lt;&gt;"S",LEN($R170)&gt;100),"Descrição &gt;100",
IF(AND(Import.TipoArredondamento="TransfereGOV",$L170="F",$C170="S",LEN($R170)&gt;500),"Descrição &gt;500",
IF(AND(Import.TipoArredondamento="TransfereGOV",$L170="F",$C170="S",LEFT(TRIM(UPPER($P170)),6)&lt;&gt;"SINAPI",ISNA(VLOOKUP(TRIM(UPPER($S170)),ListaTgov.Unidades,1,FALSE))),"Unid. Não Disp",
" "))))))))))))))))</f>
        <v>CÓDIGO N/ID</v>
      </c>
      <c r="AD170" t="str">
        <f ca="1">IF(C170&lt;=CRONO.NivelExibicao,MAX($AD$15:OFFSET(AD170,-1,0))+IF($C170&lt;&gt;1,1,MAX(1,COUNTIF(QCI!$A$13:$A$24,OFFSET($E170,-1,0)))),"")</f>
        <v/>
      </c>
      <c r="AE170" s="7" t="str" cm="1">
        <f t="array" aca="1" ref="AE170" ca="1">IF(AND($C170="S",ORÇAMENTO.CodBarra&lt;&gt;""),IF(ORÇAMENTO.Fonte="",ORÇAMENTO.CodBarra,CONCATENATE(ORÇAMENTO.Fonte," ",ORÇAMENTO.CodBarra)))</f>
        <v>SINAPI 89395</v>
      </c>
      <c r="AF170" s="12" t="str" cm="1">
        <f t="array" aca="1" ref="AF170" ca="1">IF(ISERROR(ORÇAMENTO.BancoRef),"(abra o arquivo 'Referência "&amp;Excel_BuiltIn_Database&amp;".xlsm)",IF(OR($C170&lt;&gt;"S",ORÇAMENTO.CodBarra=""),"(Sem Código)",IF(ISERROR(MATCH($AE170,INDIRECT(ORÇAMENTO.BancoRef),0)),"(Código não identificado nas referências)",MATCH($AE170,INDIRECT(ORÇAMENTO.BancoRef),0))))</f>
        <v>(Código não identificado nas referências)</v>
      </c>
      <c r="AG170" s="428" cm="1">
        <f t="array" aca="1" ref="AG170" ca="1">ROUND(IF(DESONERACAO="sim",REFERENCIA.Desonerado,REFERENCIA.NaoDesonerado),2)</f>
        <v>0</v>
      </c>
      <c r="AH170" s="429">
        <f t="shared" ca="1" si="48"/>
        <v>0.2223</v>
      </c>
      <c r="AJ170" s="431"/>
      <c r="AL170" s="439"/>
      <c r="AM170" s="336">
        <f t="shared" ca="1" si="0"/>
        <v>0</v>
      </c>
      <c r="AN170" s="470" cm="1">
        <f t="array" aca="1" ref="AN170" ca="1">ROUND(ORÇAMENTO.CustoUnitario*(1+$AH170),2)</f>
        <v>0</v>
      </c>
    </row>
    <row r="171" spans="1:40" ht="38.25" x14ac:dyDescent="0.2">
      <c r="A171" t="str">
        <f t="shared" si="35"/>
        <v>S</v>
      </c>
      <c r="B171">
        <f t="shared" ca="1" si="36"/>
        <v>3</v>
      </c>
      <c r="C171" t="str">
        <f t="shared" ca="1" si="37"/>
        <v>S</v>
      </c>
      <c r="D171">
        <f t="shared" ca="1" si="38"/>
        <v>0</v>
      </c>
      <c r="E171">
        <f ca="1">IF($C171=1,OFFSET(E171,-1,0)+MAX(1,COUNTIF(QCI!$A$13:$A$24,OFFSET(ORÇAMENTO!E171,-1,0))),OFFSET(E171,-1,0))</f>
        <v>9</v>
      </c>
      <c r="F171">
        <f t="shared" ca="1" si="39"/>
        <v>2</v>
      </c>
      <c r="G171">
        <f t="shared" ca="1" si="40"/>
        <v>1</v>
      </c>
      <c r="H171">
        <f t="shared" ca="1" si="41"/>
        <v>0</v>
      </c>
      <c r="I171">
        <f t="shared" ca="1" si="42"/>
        <v>0</v>
      </c>
      <c r="J171">
        <f t="shared" ca="1" si="34"/>
        <v>0</v>
      </c>
      <c r="K171">
        <f ca="1">IF(OR($C171="S",$C171=0),0,MATCH(OFFSET($D171,0,$C171)+IF($C171&lt;&gt;1,1,COUNTIF(QCI!$A$13:$A$24,ORÇAMENTO!E171)),OFFSET($D171,1,$C171,ROW($C$244)-ROW($C171)),0))</f>
        <v>0</v>
      </c>
      <c r="L171" s="114" t="str">
        <f t="shared" ca="1" si="43"/>
        <v/>
      </c>
      <c r="M171" s="115" t="s">
        <v>705</v>
      </c>
      <c r="N171" s="116" t="str">
        <f t="shared" ca="1" si="44"/>
        <v>Serviço</v>
      </c>
      <c r="O171" s="117" t="str">
        <f t="shared" ca="1" si="45"/>
        <v>-</v>
      </c>
      <c r="P171" s="118" t="s">
        <v>750</v>
      </c>
      <c r="Q171" s="119" t="s">
        <v>1116</v>
      </c>
      <c r="R171" s="120" t="str" cm="1">
        <f t="array" aca="1" ref="R171" ca="1">IF($C171="S",REFERENCIA.Descricao,"(digite a descrição aqui)")</f>
        <v>(Código não identificado nas referências)</v>
      </c>
      <c r="S171" s="121" t="str" cm="1">
        <f t="array" aca="1" ref="S171" ca="1">REFERENCIA.Unidade</f>
        <v>-</v>
      </c>
      <c r="T171" s="122">
        <f ca="1">OFFSET(CÁLCULO!H$15,ROW($T171)-ROW(T$15),0)</f>
        <v>160</v>
      </c>
      <c r="U171" s="123">
        <f t="shared" ca="1" si="46"/>
        <v>0</v>
      </c>
      <c r="V171" s="124" t="s">
        <v>663</v>
      </c>
      <c r="W171" s="122" cm="1">
        <f t="array" aca="1" ref="W171" ca="1">IF($C171="S",ROUND(IF(TIPOORCAMENTO="Proposto",ORÇAMENTO.CustoUnitario*(1+$AH171),ORÇAMENTO.PrecoUnitarioLicitado),15-13*$AF$10),0)</f>
        <v>0</v>
      </c>
      <c r="X171" s="125" cm="1">
        <f t="array" aca="1" ref="X171" ca="1">IF($C171="S",IF(OR(Import.TipoArredondamento&lt;&gt;"TransfereGOV",ACOMPANHAMENTO="BM"),VTOTAL1,SUM(OFFSET(CÁLCULO!$AQ$15,ROW($X171)-ROW($X$15),1):OFFSET(CÁLCULO!$BR$15,ROW($X171)-ROW($X$15),-1))),IF($C171=0,0,ROUND(SomaAgrup,15-13*$AF$11)))</f>
        <v>0</v>
      </c>
      <c r="Y171" s="126" t="s">
        <v>751</v>
      </c>
      <c r="Z171" t="str">
        <f t="shared" ca="1" si="47"/>
        <v/>
      </c>
      <c r="AA171" s="127" cm="1">
        <f t="array" aca="1" ref="AA171" ca="1">IF($C171="S",IF($Z171="CP",$X171,IF($Z171="RA",(($X171)*QCI!$AA$3),0)),SomaAgrup)</f>
        <v>0</v>
      </c>
      <c r="AB171" s="128" cm="1">
        <f t="array" aca="1" ref="AB171" ca="1">IF($C171="S",IF($Z171="OU",ROUND($X171,2),0),SomaAgrup)</f>
        <v>0</v>
      </c>
      <c r="AC171" s="565" t="str" cm="1">
        <f t="array" aca="1" ref="AC171" ca="1">IF($N171=""," ",
IF(AND($C171&lt;&gt;"S",OR($R171="",$R171="(digite a descrição aqui)")),"DESCRIÇÃO",
IF(AND($C171="S",OR($Q171&lt;&gt;"",$T171&gt;0,$U171&gt;0),$P171=""),"FONTE",
IF(AND($C171="S",$P171&lt;&gt;"",OR($T171&gt;0,$U171&gt;0),$Q171=""),"CÓDIGO",
IF(AND($C171="S",$P171&lt;&gt;"",$Q171&lt;&gt;"",$R171="(Código não identificado nas referências)"),"CÓDIGO N/ID",
IF(AND($C171="S",OR($R171="",$R171="(digite a descrição aqui)"),OR($Q171&lt;&gt;"",$T171&gt;0,$U171&gt;0)),"DESCRIÇÃO",
IF(AND($C171="S",$P171&lt;&gt;"",$Q171&lt;&gt;"",$S171=""),"UNIDADE",
IF(AND($C171="S",$P171&lt;&gt;"",$Q171&lt;&gt;"",$U171=0),"SEM CUSTO",
IF(AND(TIPOORCAMENTO="Licitado",$AL171=0,$AN171&gt;0),"SEM PREÇO",
IF(AND($C171="S",$P171&lt;&gt;"",$Q171&lt;&gt;"",$U171&gt;0,AND($V171&lt;&gt;"BDI 1",$V171&lt;&gt;"BDI 2",$V171&lt;&gt;"BDI 3")),IF(ISNUMBER($V171),"JUSTIFICAR BDI","BDI"),
IF(OR(AND(import.recurso="OGU",TIPOORCAMENTO="Proposto",LEFT($O$8,5)&lt;&gt;"(N/D:",$AG171&lt;&gt;"",ORÇAMENTO.CustoUnitario&gt;$AG171),AND(TIPOORCAMENTO="LICITADO",ORÇAMENTO.PrecoUnitarioLicitado&gt;$AN171)),"ACIMA REF.",
IF(AND($C171="S",$P171&lt;&gt;"",$Q171&lt;&gt;"",$T171=0,$U171&gt;0),"QUANT.",
IF(AND(Import.TipoArredondamento="TransfereGOV",$L171="F",$C171="S",LEN($Q171)&gt;13),"Código &gt;13",
IF(AND(Import.TipoArredondamento="TransfereGOV",$L171="F",$C171&lt;&gt;"S",LEN($R171)&gt;100),"Descrição &gt;100",
IF(AND(Import.TipoArredondamento="TransfereGOV",$L171="F",$C171="S",LEN($R171)&gt;500),"Descrição &gt;500",
IF(AND(Import.TipoArredondamento="TransfereGOV",$L171="F",$C171="S",LEFT(TRIM(UPPER($P171)),6)&lt;&gt;"SINAPI",ISNA(VLOOKUP(TRIM(UPPER($S171)),ListaTgov.Unidades,1,FALSE))),"Unid. Não Disp",
" "))))))))))))))))</f>
        <v>CÓDIGO N/ID</v>
      </c>
      <c r="AD171" t="str">
        <f ca="1">IF(C171&lt;=CRONO.NivelExibicao,MAX($AD$15:OFFSET(AD171,-1,0))+IF($C171&lt;&gt;1,1,MAX(1,COUNTIF(QCI!$A$13:$A$24,OFFSET($E171,-1,0)))),"")</f>
        <v/>
      </c>
      <c r="AE171" s="7" t="str" cm="1">
        <f t="array" aca="1" ref="AE171" ca="1">IF(AND($C171="S",ORÇAMENTO.CodBarra&lt;&gt;""),IF(ORÇAMENTO.Fonte="",ORÇAMENTO.CodBarra,CONCATENATE(ORÇAMENTO.Fonte," ",ORÇAMENTO.CodBarra)))</f>
        <v>SINAPI 89383</v>
      </c>
      <c r="AF171" s="12" t="str" cm="1">
        <f t="array" aca="1" ref="AF171" ca="1">IF(ISERROR(ORÇAMENTO.BancoRef),"(abra o arquivo 'Referência "&amp;Excel_BuiltIn_Database&amp;".xlsm)",IF(OR($C171&lt;&gt;"S",ORÇAMENTO.CodBarra=""),"(Sem Código)",IF(ISERROR(MATCH($AE171,INDIRECT(ORÇAMENTO.BancoRef),0)),"(Código não identificado nas referências)",MATCH($AE171,INDIRECT(ORÇAMENTO.BancoRef),0))))</f>
        <v>(Código não identificado nas referências)</v>
      </c>
      <c r="AG171" s="428" cm="1">
        <f t="array" aca="1" ref="AG171" ca="1">ROUND(IF(DESONERACAO="sim",REFERENCIA.Desonerado,REFERENCIA.NaoDesonerado),2)</f>
        <v>0</v>
      </c>
      <c r="AH171" s="429">
        <f t="shared" ca="1" si="48"/>
        <v>0.2223</v>
      </c>
      <c r="AJ171" s="431"/>
      <c r="AL171" s="439"/>
      <c r="AM171" s="336">
        <f t="shared" ca="1" si="0"/>
        <v>0</v>
      </c>
      <c r="AN171" s="470" cm="1">
        <f t="array" aca="1" ref="AN171" ca="1">ROUND(ORÇAMENTO.CustoUnitario*(1+$AH171),2)</f>
        <v>0</v>
      </c>
    </row>
    <row r="172" spans="1:40" ht="25.5" x14ac:dyDescent="0.2">
      <c r="A172" t="str">
        <f t="shared" si="35"/>
        <v>S</v>
      </c>
      <c r="B172">
        <f t="shared" ca="1" si="36"/>
        <v>3</v>
      </c>
      <c r="C172" t="str">
        <f t="shared" ca="1" si="37"/>
        <v>S</v>
      </c>
      <c r="D172">
        <f t="shared" ca="1" si="38"/>
        <v>0</v>
      </c>
      <c r="E172">
        <f ca="1">IF($C172=1,OFFSET(E172,-1,0)+MAX(1,COUNTIF(QCI!$A$13:$A$24,OFFSET(ORÇAMENTO!E172,-1,0))),OFFSET(E172,-1,0))</f>
        <v>9</v>
      </c>
      <c r="F172">
        <f t="shared" ca="1" si="39"/>
        <v>2</v>
      </c>
      <c r="G172">
        <f t="shared" ca="1" si="40"/>
        <v>1</v>
      </c>
      <c r="H172">
        <f t="shared" ca="1" si="41"/>
        <v>0</v>
      </c>
      <c r="I172">
        <f t="shared" ca="1" si="42"/>
        <v>0</v>
      </c>
      <c r="J172">
        <f t="shared" ca="1" si="34"/>
        <v>0</v>
      </c>
      <c r="K172">
        <f ca="1">IF(OR($C172="S",$C172=0),0,MATCH(OFFSET($D172,0,$C172)+IF($C172&lt;&gt;1,1,COUNTIF(QCI!$A$13:$A$24,ORÇAMENTO!E172)),OFFSET($D172,1,$C172,ROW($C$244)-ROW($C172)),0))</f>
        <v>0</v>
      </c>
      <c r="L172" s="114" t="str">
        <f t="shared" ca="1" si="43"/>
        <v/>
      </c>
      <c r="M172" s="115" t="s">
        <v>705</v>
      </c>
      <c r="N172" s="116" t="str">
        <f t="shared" ca="1" si="44"/>
        <v>Serviço</v>
      </c>
      <c r="O172" s="117" t="str">
        <f t="shared" ca="1" si="45"/>
        <v>-</v>
      </c>
      <c r="P172" s="118" t="s">
        <v>750</v>
      </c>
      <c r="Q172" s="119" t="s">
        <v>1117</v>
      </c>
      <c r="R172" s="120" t="str" cm="1">
        <f t="array" aca="1" ref="R172" ca="1">IF($C172="S",REFERENCIA.Descricao,"(digite a descrição aqui)")</f>
        <v>(Código não identificado nas referências)</v>
      </c>
      <c r="S172" s="121" t="str" cm="1">
        <f t="array" aca="1" ref="S172" ca="1">REFERENCIA.Unidade</f>
        <v>-</v>
      </c>
      <c r="T172" s="122">
        <f ca="1">OFFSET(CÁLCULO!H$15,ROW($T172)-ROW(T$15),0)</f>
        <v>101.99999999999997</v>
      </c>
      <c r="U172" s="123">
        <f t="shared" ca="1" si="46"/>
        <v>0</v>
      </c>
      <c r="V172" s="124" t="s">
        <v>663</v>
      </c>
      <c r="W172" s="122" cm="1">
        <f t="array" aca="1" ref="W172" ca="1">IF($C172="S",ROUND(IF(TIPOORCAMENTO="Proposto",ORÇAMENTO.CustoUnitario*(1+$AH172),ORÇAMENTO.PrecoUnitarioLicitado),15-13*$AF$10),0)</f>
        <v>0</v>
      </c>
      <c r="X172" s="125" cm="1">
        <f t="array" aca="1" ref="X172" ca="1">IF($C172="S",IF(OR(Import.TipoArredondamento&lt;&gt;"TransfereGOV",ACOMPANHAMENTO="BM"),VTOTAL1,SUM(OFFSET(CÁLCULO!$AQ$15,ROW($X172)-ROW($X$15),1):OFFSET(CÁLCULO!$BR$15,ROW($X172)-ROW($X$15),-1))),IF($C172=0,0,ROUND(SomaAgrup,15-13*$AF$11)))</f>
        <v>0</v>
      </c>
      <c r="Y172" s="126" t="s">
        <v>751</v>
      </c>
      <c r="Z172" t="str">
        <f t="shared" ca="1" si="47"/>
        <v/>
      </c>
      <c r="AA172" s="127" cm="1">
        <f t="array" aca="1" ref="AA172" ca="1">IF($C172="S",IF($Z172="CP",$X172,IF($Z172="RA",(($X172)*QCI!$AA$3),0)),SomaAgrup)</f>
        <v>0</v>
      </c>
      <c r="AB172" s="128" cm="1">
        <f t="array" aca="1" ref="AB172" ca="1">IF($C172="S",IF($Z172="OU",ROUND($X172,2),0),SomaAgrup)</f>
        <v>0</v>
      </c>
      <c r="AC172" s="565" t="str" cm="1">
        <f t="array" aca="1" ref="AC172" ca="1">IF($N172=""," ",
IF(AND($C172&lt;&gt;"S",OR($R172="",$R172="(digite a descrição aqui)")),"DESCRIÇÃO",
IF(AND($C172="S",OR($Q172&lt;&gt;"",$T172&gt;0,$U172&gt;0),$P172=""),"FONTE",
IF(AND($C172="S",$P172&lt;&gt;"",OR($T172&gt;0,$U172&gt;0),$Q172=""),"CÓDIGO",
IF(AND($C172="S",$P172&lt;&gt;"",$Q172&lt;&gt;"",$R172="(Código não identificado nas referências)"),"CÓDIGO N/ID",
IF(AND($C172="S",OR($R172="",$R172="(digite a descrição aqui)"),OR($Q172&lt;&gt;"",$T172&gt;0,$U172&gt;0)),"DESCRIÇÃO",
IF(AND($C172="S",$P172&lt;&gt;"",$Q172&lt;&gt;"",$S172=""),"UNIDADE",
IF(AND($C172="S",$P172&lt;&gt;"",$Q172&lt;&gt;"",$U172=0),"SEM CUSTO",
IF(AND(TIPOORCAMENTO="Licitado",$AL172=0,$AN172&gt;0),"SEM PREÇO",
IF(AND($C172="S",$P172&lt;&gt;"",$Q172&lt;&gt;"",$U172&gt;0,AND($V172&lt;&gt;"BDI 1",$V172&lt;&gt;"BDI 2",$V172&lt;&gt;"BDI 3")),IF(ISNUMBER($V172),"JUSTIFICAR BDI","BDI"),
IF(OR(AND(import.recurso="OGU",TIPOORCAMENTO="Proposto",LEFT($O$8,5)&lt;&gt;"(N/D:",$AG172&lt;&gt;"",ORÇAMENTO.CustoUnitario&gt;$AG172),AND(TIPOORCAMENTO="LICITADO",ORÇAMENTO.PrecoUnitarioLicitado&gt;$AN172)),"ACIMA REF.",
IF(AND($C172="S",$P172&lt;&gt;"",$Q172&lt;&gt;"",$T172=0,$U172&gt;0),"QUANT.",
IF(AND(Import.TipoArredondamento="TransfereGOV",$L172="F",$C172="S",LEN($Q172)&gt;13),"Código &gt;13",
IF(AND(Import.TipoArredondamento="TransfereGOV",$L172="F",$C172&lt;&gt;"S",LEN($R172)&gt;100),"Descrição &gt;100",
IF(AND(Import.TipoArredondamento="TransfereGOV",$L172="F",$C172="S",LEN($R172)&gt;500),"Descrição &gt;500",
IF(AND(Import.TipoArredondamento="TransfereGOV",$L172="F",$C172="S",LEFT(TRIM(UPPER($P172)),6)&lt;&gt;"SINAPI",ISNA(VLOOKUP(TRIM(UPPER($S172)),ListaTgov.Unidades,1,FALSE))),"Unid. Não Disp",
" "))))))))))))))))</f>
        <v>CÓDIGO N/ID</v>
      </c>
      <c r="AD172" t="str">
        <f ca="1">IF(C172&lt;=CRONO.NivelExibicao,MAX($AD$15:OFFSET(AD172,-1,0))+IF($C172&lt;&gt;1,1,MAX(1,COUNTIF(QCI!$A$13:$A$24,OFFSET($E172,-1,0)))),"")</f>
        <v/>
      </c>
      <c r="AE172" s="7" t="str" cm="1">
        <f t="array" aca="1" ref="AE172" ca="1">IF(AND($C172="S",ORÇAMENTO.CodBarra&lt;&gt;""),IF(ORÇAMENTO.Fonte="",ORÇAMENTO.CodBarra,CONCATENATE(ORÇAMENTO.Fonte," ",ORÇAMENTO.CodBarra)))</f>
        <v>SINAPI 89446</v>
      </c>
      <c r="AF172" s="12" t="str" cm="1">
        <f t="array" aca="1" ref="AF172" ca="1">IF(ISERROR(ORÇAMENTO.BancoRef),"(abra o arquivo 'Referência "&amp;Excel_BuiltIn_Database&amp;".xlsm)",IF(OR($C172&lt;&gt;"S",ORÇAMENTO.CodBarra=""),"(Sem Código)",IF(ISERROR(MATCH($AE172,INDIRECT(ORÇAMENTO.BancoRef),0)),"(Código não identificado nas referências)",MATCH($AE172,INDIRECT(ORÇAMENTO.BancoRef),0))))</f>
        <v>(Código não identificado nas referências)</v>
      </c>
      <c r="AG172" s="428" cm="1">
        <f t="array" aca="1" ref="AG172" ca="1">ROUND(IF(DESONERACAO="sim",REFERENCIA.Desonerado,REFERENCIA.NaoDesonerado),2)</f>
        <v>0</v>
      </c>
      <c r="AH172" s="429">
        <f t="shared" ca="1" si="48"/>
        <v>0.2223</v>
      </c>
      <c r="AJ172" s="431"/>
      <c r="AL172" s="439"/>
      <c r="AM172" s="336">
        <f t="shared" ca="1" si="0"/>
        <v>0</v>
      </c>
      <c r="AN172" s="470" cm="1">
        <f t="array" aca="1" ref="AN172" ca="1">ROUND(ORÇAMENTO.CustoUnitario*(1+$AH172),2)</f>
        <v>0</v>
      </c>
    </row>
    <row r="173" spans="1:40" ht="25.5" x14ac:dyDescent="0.2">
      <c r="A173" t="str">
        <f t="shared" si="35"/>
        <v>S</v>
      </c>
      <c r="B173">
        <f t="shared" ca="1" si="36"/>
        <v>3</v>
      </c>
      <c r="C173" t="str">
        <f t="shared" ca="1" si="37"/>
        <v>S</v>
      </c>
      <c r="D173">
        <f t="shared" ca="1" si="38"/>
        <v>0</v>
      </c>
      <c r="E173">
        <f ca="1">IF($C173=1,OFFSET(E173,-1,0)+MAX(1,COUNTIF(QCI!$A$13:$A$24,OFFSET(ORÇAMENTO!E173,-1,0))),OFFSET(E173,-1,0))</f>
        <v>9</v>
      </c>
      <c r="F173">
        <f t="shared" ca="1" si="39"/>
        <v>2</v>
      </c>
      <c r="G173">
        <f t="shared" ca="1" si="40"/>
        <v>1</v>
      </c>
      <c r="H173">
        <f t="shared" ca="1" si="41"/>
        <v>0</v>
      </c>
      <c r="I173">
        <f t="shared" ca="1" si="42"/>
        <v>0</v>
      </c>
      <c r="J173">
        <f t="shared" ca="1" si="34"/>
        <v>0</v>
      </c>
      <c r="K173">
        <f ca="1">IF(OR($C173="S",$C173=0),0,MATCH(OFFSET($D173,0,$C173)+IF($C173&lt;&gt;1,1,COUNTIF(QCI!$A$13:$A$24,ORÇAMENTO!E173)),OFFSET($D173,1,$C173,ROW($C$244)-ROW($C173)),0))</f>
        <v>0</v>
      </c>
      <c r="L173" s="114" t="str">
        <f t="shared" ca="1" si="43"/>
        <v/>
      </c>
      <c r="M173" s="115" t="s">
        <v>705</v>
      </c>
      <c r="N173" s="116" t="str">
        <f t="shared" ca="1" si="44"/>
        <v>Serviço</v>
      </c>
      <c r="O173" s="117" t="str">
        <f t="shared" ca="1" si="45"/>
        <v>-</v>
      </c>
      <c r="P173" s="118" t="s">
        <v>750</v>
      </c>
      <c r="Q173" s="119" t="s">
        <v>1118</v>
      </c>
      <c r="R173" s="120" t="str" cm="1">
        <f t="array" aca="1" ref="R173" ca="1">IF($C173="S",REFERENCIA.Descricao,"(digite a descrição aqui)")</f>
        <v>(Código não identificado nas referências)</v>
      </c>
      <c r="S173" s="121" t="str" cm="1">
        <f t="array" aca="1" ref="S173" ca="1">REFERENCIA.Unidade</f>
        <v>-</v>
      </c>
      <c r="T173" s="122">
        <f ca="1">OFFSET(CÁLCULO!H$15,ROW($T173)-ROW(T$15),0)</f>
        <v>173.99999999999997</v>
      </c>
      <c r="U173" s="123">
        <f t="shared" ca="1" si="46"/>
        <v>0</v>
      </c>
      <c r="V173" s="124" t="s">
        <v>663</v>
      </c>
      <c r="W173" s="122" cm="1">
        <f t="array" aca="1" ref="W173" ca="1">IF($C173="S",ROUND(IF(TIPOORCAMENTO="Proposto",ORÇAMENTO.CustoUnitario*(1+$AH173),ORÇAMENTO.PrecoUnitarioLicitado),15-13*$AF$10),0)</f>
        <v>0</v>
      </c>
      <c r="X173" s="125" cm="1">
        <f t="array" aca="1" ref="X173" ca="1">IF($C173="S",IF(OR(Import.TipoArredondamento&lt;&gt;"TransfereGOV",ACOMPANHAMENTO="BM"),VTOTAL1,SUM(OFFSET(CÁLCULO!$AQ$15,ROW($X173)-ROW($X$15),1):OFFSET(CÁLCULO!$BR$15,ROW($X173)-ROW($X$15),-1))),IF($C173=0,0,ROUND(SomaAgrup,15-13*$AF$11)))</f>
        <v>0</v>
      </c>
      <c r="Y173" s="126" t="s">
        <v>751</v>
      </c>
      <c r="Z173" t="str">
        <f t="shared" ca="1" si="47"/>
        <v/>
      </c>
      <c r="AA173" s="127" cm="1">
        <f t="array" aca="1" ref="AA173" ca="1">IF($C173="S",IF($Z173="CP",$X173,IF($Z173="RA",(($X173)*QCI!$AA$3),0)),SomaAgrup)</f>
        <v>0</v>
      </c>
      <c r="AB173" s="128" cm="1">
        <f t="array" aca="1" ref="AB173" ca="1">IF($C173="S",IF($Z173="OU",ROUND($X173,2),0),SomaAgrup)</f>
        <v>0</v>
      </c>
      <c r="AC173" s="565" t="str" cm="1">
        <f t="array" aca="1" ref="AC173" ca="1">IF($N173=""," ",
IF(AND($C173&lt;&gt;"S",OR($R173="",$R173="(digite a descrição aqui)")),"DESCRIÇÃO",
IF(AND($C173="S",OR($Q173&lt;&gt;"",$T173&gt;0,$U173&gt;0),$P173=""),"FONTE",
IF(AND($C173="S",$P173&lt;&gt;"",OR($T173&gt;0,$U173&gt;0),$Q173=""),"CÓDIGO",
IF(AND($C173="S",$P173&lt;&gt;"",$Q173&lt;&gt;"",$R173="(Código não identificado nas referências)"),"CÓDIGO N/ID",
IF(AND($C173="S",OR($R173="",$R173="(digite a descrição aqui)"),OR($Q173&lt;&gt;"",$T173&gt;0,$U173&gt;0)),"DESCRIÇÃO",
IF(AND($C173="S",$P173&lt;&gt;"",$Q173&lt;&gt;"",$S173=""),"UNIDADE",
IF(AND($C173="S",$P173&lt;&gt;"",$Q173&lt;&gt;"",$U173=0),"SEM CUSTO",
IF(AND(TIPOORCAMENTO="Licitado",$AL173=0,$AN173&gt;0),"SEM PREÇO",
IF(AND($C173="S",$P173&lt;&gt;"",$Q173&lt;&gt;"",$U173&gt;0,AND($V173&lt;&gt;"BDI 1",$V173&lt;&gt;"BDI 2",$V173&lt;&gt;"BDI 3")),IF(ISNUMBER($V173),"JUSTIFICAR BDI","BDI"),
IF(OR(AND(import.recurso="OGU",TIPOORCAMENTO="Proposto",LEFT($O$8,5)&lt;&gt;"(N/D:",$AG173&lt;&gt;"",ORÇAMENTO.CustoUnitario&gt;$AG173),AND(TIPOORCAMENTO="LICITADO",ORÇAMENTO.PrecoUnitarioLicitado&gt;$AN173)),"ACIMA REF.",
IF(AND($C173="S",$P173&lt;&gt;"",$Q173&lt;&gt;"",$T173=0,$U173&gt;0),"QUANT.",
IF(AND(Import.TipoArredondamento="TransfereGOV",$L173="F",$C173="S",LEN($Q173)&gt;13),"Código &gt;13",
IF(AND(Import.TipoArredondamento="TransfereGOV",$L173="F",$C173&lt;&gt;"S",LEN($R173)&gt;100),"Descrição &gt;100",
IF(AND(Import.TipoArredondamento="TransfereGOV",$L173="F",$C173="S",LEN($R173)&gt;500),"Descrição &gt;500",
IF(AND(Import.TipoArredondamento="TransfereGOV",$L173="F",$C173="S",LEFT(TRIM(UPPER($P173)),6)&lt;&gt;"SINAPI",ISNA(VLOOKUP(TRIM(UPPER($S173)),ListaTgov.Unidades,1,FALSE))),"Unid. Não Disp",
" "))))))))))))))))</f>
        <v>CÓDIGO N/ID</v>
      </c>
      <c r="AD173" t="str">
        <f ca="1">IF(C173&lt;=CRONO.NivelExibicao,MAX($AD$15:OFFSET(AD173,-1,0))+IF($C173&lt;&gt;1,1,MAX(1,COUNTIF(QCI!$A$13:$A$24,OFFSET($E173,-1,0)))),"")</f>
        <v/>
      </c>
      <c r="AE173" s="7" t="str" cm="1">
        <f t="array" aca="1" ref="AE173" ca="1">IF(AND($C173="S",ORÇAMENTO.CodBarra&lt;&gt;""),IF(ORÇAMENTO.Fonte="",ORÇAMENTO.CodBarra,CONCATENATE(ORÇAMENTO.Fonte," ",ORÇAMENTO.CodBarra)))</f>
        <v>SINAPI 89356</v>
      </c>
      <c r="AF173" s="12" t="str" cm="1">
        <f t="array" aca="1" ref="AF173" ca="1">IF(ISERROR(ORÇAMENTO.BancoRef),"(abra o arquivo 'Referência "&amp;Excel_BuiltIn_Database&amp;".xlsm)",IF(OR($C173&lt;&gt;"S",ORÇAMENTO.CodBarra=""),"(Sem Código)",IF(ISERROR(MATCH($AE173,INDIRECT(ORÇAMENTO.BancoRef),0)),"(Código não identificado nas referências)",MATCH($AE173,INDIRECT(ORÇAMENTO.BancoRef),0))))</f>
        <v>(Código não identificado nas referências)</v>
      </c>
      <c r="AG173" s="428" cm="1">
        <f t="array" aca="1" ref="AG173" ca="1">ROUND(IF(DESONERACAO="sim",REFERENCIA.Desonerado,REFERENCIA.NaoDesonerado),2)</f>
        <v>0</v>
      </c>
      <c r="AH173" s="429">
        <f t="shared" ca="1" si="48"/>
        <v>0.2223</v>
      </c>
      <c r="AJ173" s="431"/>
      <c r="AL173" s="439"/>
      <c r="AM173" s="336">
        <f t="shared" ca="1" si="0"/>
        <v>0</v>
      </c>
      <c r="AN173" s="470" cm="1">
        <f t="array" aca="1" ref="AN173" ca="1">ROUND(ORÇAMENTO.CustoUnitario*(1+$AH173),2)</f>
        <v>0</v>
      </c>
    </row>
    <row r="174" spans="1:40" ht="38.25" x14ac:dyDescent="0.2">
      <c r="A174" t="str">
        <f t="shared" si="35"/>
        <v>S</v>
      </c>
      <c r="B174">
        <f t="shared" ca="1" si="36"/>
        <v>3</v>
      </c>
      <c r="C174" t="str">
        <f t="shared" ca="1" si="37"/>
        <v>S</v>
      </c>
      <c r="D174">
        <f t="shared" ca="1" si="38"/>
        <v>0</v>
      </c>
      <c r="E174">
        <f ca="1">IF($C174=1,OFFSET(E174,-1,0)+MAX(1,COUNTIF(QCI!$A$13:$A$24,OFFSET(ORÇAMENTO!E174,-1,0))),OFFSET(E174,-1,0))</f>
        <v>9</v>
      </c>
      <c r="F174">
        <f t="shared" ca="1" si="39"/>
        <v>2</v>
      </c>
      <c r="G174">
        <f t="shared" ca="1" si="40"/>
        <v>1</v>
      </c>
      <c r="H174">
        <f t="shared" ca="1" si="41"/>
        <v>0</v>
      </c>
      <c r="I174">
        <f t="shared" ca="1" si="42"/>
        <v>0</v>
      </c>
      <c r="J174">
        <f t="shared" ca="1" si="34"/>
        <v>0</v>
      </c>
      <c r="K174">
        <f ca="1">IF(OR($C174="S",$C174=0),0,MATCH(OFFSET($D174,0,$C174)+IF($C174&lt;&gt;1,1,COUNTIF(QCI!$A$13:$A$24,ORÇAMENTO!E174)),OFFSET($D174,1,$C174,ROW($C$244)-ROW($C174)),0))</f>
        <v>0</v>
      </c>
      <c r="L174" s="114" t="str">
        <f t="shared" ca="1" si="43"/>
        <v/>
      </c>
      <c r="M174" s="115" t="s">
        <v>705</v>
      </c>
      <c r="N174" s="116" t="str">
        <f t="shared" ca="1" si="44"/>
        <v>Serviço</v>
      </c>
      <c r="O174" s="117" t="str">
        <f t="shared" ca="1" si="45"/>
        <v>-</v>
      </c>
      <c r="P174" s="118" t="s">
        <v>956</v>
      </c>
      <c r="Q174" s="119" t="s">
        <v>1119</v>
      </c>
      <c r="R174" s="120" t="str" cm="1">
        <f t="array" aca="1" ref="R174" ca="1">IF($C174="S",REFERENCIA.Descricao,"(digite a descrição aqui)")</f>
        <v>(Código não identificado nas referências)</v>
      </c>
      <c r="S174" s="121" t="str" cm="1">
        <f t="array" aca="1" ref="S174" ca="1">REFERENCIA.Unidade</f>
        <v>-</v>
      </c>
      <c r="T174" s="122">
        <f ca="1">OFFSET(CÁLCULO!H$15,ROW($T174)-ROW(T$15),0)</f>
        <v>20</v>
      </c>
      <c r="U174" s="123">
        <f t="shared" ca="1" si="46"/>
        <v>0</v>
      </c>
      <c r="V174" s="124" t="s">
        <v>663</v>
      </c>
      <c r="W174" s="122" cm="1">
        <f t="array" aca="1" ref="W174" ca="1">IF($C174="S",ROUND(IF(TIPOORCAMENTO="Proposto",ORÇAMENTO.CustoUnitario*(1+$AH174),ORÇAMENTO.PrecoUnitarioLicitado),15-13*$AF$10),0)</f>
        <v>0</v>
      </c>
      <c r="X174" s="125" cm="1">
        <f t="array" aca="1" ref="X174" ca="1">IF($C174="S",IF(OR(Import.TipoArredondamento&lt;&gt;"TransfereGOV",ACOMPANHAMENTO="BM"),VTOTAL1,SUM(OFFSET(CÁLCULO!$AQ$15,ROW($X174)-ROW($X$15),1):OFFSET(CÁLCULO!$BR$15,ROW($X174)-ROW($X$15),-1))),IF($C174=0,0,ROUND(SomaAgrup,15-13*$AF$11)))</f>
        <v>0</v>
      </c>
      <c r="Y174" s="126" t="s">
        <v>751</v>
      </c>
      <c r="Z174" t="str">
        <f t="shared" ca="1" si="47"/>
        <v/>
      </c>
      <c r="AA174" s="127" cm="1">
        <f t="array" aca="1" ref="AA174" ca="1">IF($C174="S",IF($Z174="CP",$X174,IF($Z174="RA",(($X174)*QCI!$AA$3),0)),SomaAgrup)</f>
        <v>0</v>
      </c>
      <c r="AB174" s="128" cm="1">
        <f t="array" aca="1" ref="AB174" ca="1">IF($C174="S",IF($Z174="OU",ROUND($X174,2),0),SomaAgrup)</f>
        <v>0</v>
      </c>
      <c r="AC174" s="565" t="str" cm="1">
        <f t="array" aca="1" ref="AC174" ca="1">IF($N174=""," ",
IF(AND($C174&lt;&gt;"S",OR($R174="",$R174="(digite a descrição aqui)")),"DESCRIÇÃO",
IF(AND($C174="S",OR($Q174&lt;&gt;"",$T174&gt;0,$U174&gt;0),$P174=""),"FONTE",
IF(AND($C174="S",$P174&lt;&gt;"",OR($T174&gt;0,$U174&gt;0),$Q174=""),"CÓDIGO",
IF(AND($C174="S",$P174&lt;&gt;"",$Q174&lt;&gt;"",$R174="(Código não identificado nas referências)"),"CÓDIGO N/ID",
IF(AND($C174="S",OR($R174="",$R174="(digite a descrição aqui)"),OR($Q174&lt;&gt;"",$T174&gt;0,$U174&gt;0)),"DESCRIÇÃO",
IF(AND($C174="S",$P174&lt;&gt;"",$Q174&lt;&gt;"",$S174=""),"UNIDADE",
IF(AND($C174="S",$P174&lt;&gt;"",$Q174&lt;&gt;"",$U174=0),"SEM CUSTO",
IF(AND(TIPOORCAMENTO="Licitado",$AL174=0,$AN174&gt;0),"SEM PREÇO",
IF(AND($C174="S",$P174&lt;&gt;"",$Q174&lt;&gt;"",$U174&gt;0,AND($V174&lt;&gt;"BDI 1",$V174&lt;&gt;"BDI 2",$V174&lt;&gt;"BDI 3")),IF(ISNUMBER($V174),"JUSTIFICAR BDI","BDI"),
IF(OR(AND(import.recurso="OGU",TIPOORCAMENTO="Proposto",LEFT($O$8,5)&lt;&gt;"(N/D:",$AG174&lt;&gt;"",ORÇAMENTO.CustoUnitario&gt;$AG174),AND(TIPOORCAMENTO="LICITADO",ORÇAMENTO.PrecoUnitarioLicitado&gt;$AN174)),"ACIMA REF.",
IF(AND($C174="S",$P174&lt;&gt;"",$Q174&lt;&gt;"",$T174=0,$U174&gt;0),"QUANT.",
IF(AND(Import.TipoArredondamento="TransfereGOV",$L174="F",$C174="S",LEN($Q174)&gt;13),"Código &gt;13",
IF(AND(Import.TipoArredondamento="TransfereGOV",$L174="F",$C174&lt;&gt;"S",LEN($R174)&gt;100),"Descrição &gt;100",
IF(AND(Import.TipoArredondamento="TransfereGOV",$L174="F",$C174="S",LEN($R174)&gt;500),"Descrição &gt;500",
IF(AND(Import.TipoArredondamento="TransfereGOV",$L174="F",$C174="S",LEFT(TRIM(UPPER($P174)),6)&lt;&gt;"SINAPI",ISNA(VLOOKUP(TRIM(UPPER($S174)),ListaTgov.Unidades,1,FALSE))),"Unid. Não Disp",
" "))))))))))))))))</f>
        <v>CÓDIGO N/ID</v>
      </c>
      <c r="AD174" t="str">
        <f ca="1">IF(C174&lt;=CRONO.NivelExibicao,MAX($AD$15:OFFSET(AD174,-1,0))+IF($C174&lt;&gt;1,1,MAX(1,COUNTIF(QCI!$A$13:$A$24,OFFSET($E174,-1,0)))),"")</f>
        <v/>
      </c>
      <c r="AE174" s="7" t="str" cm="1">
        <f t="array" aca="1" ref="AE174" ca="1">IF(AND($C174="S",ORÇAMENTO.CodBarra&lt;&gt;""),IF(ORÇAMENTO.Fonte="",ORÇAMENTO.CodBarra,CONCATENATE(ORÇAMENTO.Fonte," ",ORÇAMENTO.CodBarra)))</f>
        <v>Composição CPU-01</v>
      </c>
      <c r="AF174" s="12" t="str" cm="1">
        <f t="array" aca="1" ref="AF174" ca="1">IF(ISERROR(ORÇAMENTO.BancoRef),"(abra o arquivo 'Referência "&amp;Excel_BuiltIn_Database&amp;".xlsm)",IF(OR($C174&lt;&gt;"S",ORÇAMENTO.CodBarra=""),"(Sem Código)",IF(ISERROR(MATCH($AE174,INDIRECT(ORÇAMENTO.BancoRef),0)),"(Código não identificado nas referências)",MATCH($AE174,INDIRECT(ORÇAMENTO.BancoRef),0))))</f>
        <v>(Código não identificado nas referências)</v>
      </c>
      <c r="AG174" s="428" cm="1">
        <f t="array" aca="1" ref="AG174" ca="1">ROUND(IF(DESONERACAO="sim",REFERENCIA.Desonerado,REFERENCIA.NaoDesonerado),2)</f>
        <v>0</v>
      </c>
      <c r="AH174" s="429">
        <f t="shared" ca="1" si="48"/>
        <v>0.2223</v>
      </c>
      <c r="AJ174" s="431"/>
      <c r="AL174" s="439"/>
      <c r="AM174" s="336">
        <f t="shared" ca="1" si="0"/>
        <v>0</v>
      </c>
      <c r="AN174" s="470" cm="1">
        <f t="array" aca="1" ref="AN174" ca="1">ROUND(ORÇAMENTO.CustoUnitario*(1+$AH174),2)</f>
        <v>0</v>
      </c>
    </row>
    <row r="175" spans="1:40" x14ac:dyDescent="0.2">
      <c r="A175">
        <f t="shared" si="35"/>
        <v>3</v>
      </c>
      <c r="B175">
        <f t="shared" ca="1" si="36"/>
        <v>3</v>
      </c>
      <c r="C175">
        <f t="shared" ca="1" si="37"/>
        <v>3</v>
      </c>
      <c r="D175">
        <f t="shared" ca="1" si="38"/>
        <v>5</v>
      </c>
      <c r="E175">
        <f ca="1">IF($C175=1,OFFSET(E175,-1,0)+MAX(1,COUNTIF(QCI!$A$13:$A$24,OFFSET(ORÇAMENTO!E175,-1,0))),OFFSET(E175,-1,0))</f>
        <v>9</v>
      </c>
      <c r="F175">
        <f t="shared" ca="1" si="39"/>
        <v>2</v>
      </c>
      <c r="G175">
        <f t="shared" ca="1" si="40"/>
        <v>2</v>
      </c>
      <c r="H175">
        <f t="shared" ca="1" si="41"/>
        <v>0</v>
      </c>
      <c r="I175">
        <f t="shared" ca="1" si="42"/>
        <v>0</v>
      </c>
      <c r="J175">
        <f t="shared" ca="1" si="34"/>
        <v>28</v>
      </c>
      <c r="K175">
        <f ca="1">IF(OR($C175="S",$C175=0),0,MATCH(OFFSET($D175,0,$C175)+IF($C175&lt;&gt;1,1,COUNTIF(QCI!$A$13:$A$24,ORÇAMENTO!E175)),OFFSET($D175,1,$C175,ROW($C$244)-ROW($C175)),0))</f>
        <v>5</v>
      </c>
      <c r="L175" s="114" t="str">
        <f t="shared" ca="1" si="43"/>
        <v>F</v>
      </c>
      <c r="M175" s="115" t="s">
        <v>703</v>
      </c>
      <c r="N175" s="116" t="str">
        <f t="shared" ca="1" si="44"/>
        <v>Nível 3</v>
      </c>
      <c r="O175" s="117" t="str">
        <f t="shared" ca="1" si="45"/>
        <v>9.2.2.</v>
      </c>
      <c r="P175" s="118" t="s">
        <v>250</v>
      </c>
      <c r="Q175" s="119" t="s">
        <v>250</v>
      </c>
      <c r="R175" s="120" t="s">
        <v>1206</v>
      </c>
      <c r="S175" s="121"/>
      <c r="T175" s="122">
        <f ca="1">OFFSET(CÁLCULO!H$15,ROW($T175)-ROW(T$15),0)</f>
        <v>0</v>
      </c>
      <c r="U175" s="123">
        <f t="shared" ca="1" si="46"/>
        <v>0</v>
      </c>
      <c r="V175" s="124" t="s">
        <v>663</v>
      </c>
      <c r="W175" s="122" cm="1">
        <f t="array" aca="1" ref="W175" ca="1">IF($C175="S",ROUND(IF(TIPOORCAMENTO="Proposto",ORÇAMENTO.CustoUnitario*(1+$AH175),ORÇAMENTO.PrecoUnitarioLicitado),15-13*$AF$10),0)</f>
        <v>0</v>
      </c>
      <c r="X175" s="125" cm="1">
        <f t="array" aca="1" ref="X175" ca="1">IF($C175="S",IF(OR(Import.TipoArredondamento&lt;&gt;"TransfereGOV",ACOMPANHAMENTO="BM"),VTOTAL1,SUM(OFFSET(CÁLCULO!$AQ$15,ROW($X175)-ROW($X$15),1):OFFSET(CÁLCULO!$BR$15,ROW($X175)-ROW($X$15),-1))),IF($C175=0,0,ROUND(SomaAgrup,15-13*$AF$11)))</f>
        <v>0</v>
      </c>
      <c r="Y175" s="126" t="s">
        <v>751</v>
      </c>
      <c r="Z175" t="str">
        <f t="shared" ca="1" si="47"/>
        <v/>
      </c>
      <c r="AA175" s="127" cm="1">
        <f t="array" aca="1" ref="AA175" ca="1">IF($C175="S",IF($Z175="CP",$X175,IF($Z175="RA",(($X175)*QCI!$AA$3),0)),SomaAgrup)</f>
        <v>0</v>
      </c>
      <c r="AB175" s="128" cm="1">
        <f t="array" aca="1" ref="AB175" ca="1">IF($C175="S",IF($Z175="OU",ROUND($X175,2),0),SomaAgrup)</f>
        <v>0</v>
      </c>
      <c r="AC175" s="565" t="str" cm="1">
        <f t="array" aca="1" ref="AC175" ca="1">IF($N175=""," ",
IF(AND($C175&lt;&gt;"S",OR($R175="",$R175="(digite a descrição aqui)")),"DESCRIÇÃO",
IF(AND($C175="S",OR($Q175&lt;&gt;"",$T175&gt;0,$U175&gt;0),$P175=""),"FONTE",
IF(AND($C175="S",$P175&lt;&gt;"",OR($T175&gt;0,$U175&gt;0),$Q175=""),"CÓDIGO",
IF(AND($C175="S",$P175&lt;&gt;"",$Q175&lt;&gt;"",$R175="(Código não identificado nas referências)"),"CÓDIGO N/ID",
IF(AND($C175="S",OR($R175="",$R175="(digite a descrição aqui)"),OR($Q175&lt;&gt;"",$T175&gt;0,$U175&gt;0)),"DESCRIÇÃO",
IF(AND($C175="S",$P175&lt;&gt;"",$Q175&lt;&gt;"",$S175=""),"UNIDADE",
IF(AND($C175="S",$P175&lt;&gt;"",$Q175&lt;&gt;"",$U175=0),"SEM CUSTO",
IF(AND(TIPOORCAMENTO="Licitado",$AL175=0,$AN175&gt;0),"SEM PREÇO",
IF(AND($C175="S",$P175&lt;&gt;"",$Q175&lt;&gt;"",$U175&gt;0,AND($V175&lt;&gt;"BDI 1",$V175&lt;&gt;"BDI 2",$V175&lt;&gt;"BDI 3")),IF(ISNUMBER($V175),"JUSTIFICAR BDI","BDI"),
IF(OR(AND(import.recurso="OGU",TIPOORCAMENTO="Proposto",LEFT($O$8,5)&lt;&gt;"(N/D:",$AG175&lt;&gt;"",ORÇAMENTO.CustoUnitario&gt;$AG175),AND(TIPOORCAMENTO="LICITADO",ORÇAMENTO.PrecoUnitarioLicitado&gt;$AN175)),"ACIMA REF.",
IF(AND($C175="S",$P175&lt;&gt;"",$Q175&lt;&gt;"",$T175=0,$U175&gt;0),"QUANT.",
IF(AND(Import.TipoArredondamento="TransfereGOV",$L175="F",$C175="S",LEN($Q175)&gt;13),"Código &gt;13",
IF(AND(Import.TipoArredondamento="TransfereGOV",$L175="F",$C175&lt;&gt;"S",LEN($R175)&gt;100),"Descrição &gt;100",
IF(AND(Import.TipoArredondamento="TransfereGOV",$L175="F",$C175="S",LEN($R175)&gt;500),"Descrição &gt;500",
IF(AND(Import.TipoArredondamento="TransfereGOV",$L175="F",$C175="S",LEFT(TRIM(UPPER($P175)),6)&lt;&gt;"SINAPI",ISNA(VLOOKUP(TRIM(UPPER($S175)),ListaTgov.Unidades,1,FALSE))),"Unid. Não Disp",
" "))))))))))))))))</f>
        <v xml:space="preserve"> </v>
      </c>
      <c r="AD175">
        <f ca="1">IF(C175&lt;=CRONO.NivelExibicao,MAX($AD$15:OFFSET(AD175,-1,0))+IF($C175&lt;&gt;1,1,MAX(1,COUNTIF(QCI!$A$13:$A$24,OFFSET($E175,-1,0)))),"")</f>
        <v>38</v>
      </c>
      <c r="AE175" s="7" t="b" cm="1">
        <f t="array" aca="1" ref="AE175" ca="1">IF(AND($C175="S",ORÇAMENTO.CodBarra&lt;&gt;""),IF(ORÇAMENTO.Fonte="",ORÇAMENTO.CodBarra,CONCATENATE(ORÇAMENTO.Fonte," ",ORÇAMENTO.CodBarra)))</f>
        <v>0</v>
      </c>
      <c r="AF175" s="12" t="str" cm="1">
        <f t="array" aca="1" ref="AF175" ca="1">IF(ISERROR(ORÇAMENTO.BancoRef),"(abra o arquivo 'Referência "&amp;Excel_BuiltIn_Database&amp;".xlsm)",IF(OR($C175&lt;&gt;"S",ORÇAMENTO.CodBarra=""),"(Sem Código)",IF(ISERROR(MATCH($AE175,INDIRECT(ORÇAMENTO.BancoRef),0)),"(Código não identificado nas referências)",MATCH($AE175,INDIRECT(ORÇAMENTO.BancoRef),0))))</f>
        <v>(Sem Código)</v>
      </c>
      <c r="AG175" s="428" cm="1">
        <f t="array" aca="1" ref="AG175" ca="1">ROUND(IF(DESONERACAO="sim",REFERENCIA.Desonerado,REFERENCIA.NaoDesonerado),2)</f>
        <v>0</v>
      </c>
      <c r="AH175" s="429">
        <f t="shared" ca="1" si="48"/>
        <v>0.2223</v>
      </c>
      <c r="AJ175" s="431"/>
      <c r="AL175" s="439"/>
      <c r="AM175" s="336">
        <f t="shared" ca="1" si="0"/>
        <v>0</v>
      </c>
      <c r="AN175" s="470" cm="1">
        <f t="array" aca="1" ref="AN175" ca="1">ROUND(ORÇAMENTO.CustoUnitario*(1+$AH175),2)</f>
        <v>0</v>
      </c>
    </row>
    <row r="176" spans="1:40" ht="38.25" x14ac:dyDescent="0.2">
      <c r="A176" t="str">
        <f t="shared" si="35"/>
        <v>S</v>
      </c>
      <c r="B176">
        <f t="shared" ca="1" si="36"/>
        <v>3</v>
      </c>
      <c r="C176" t="str">
        <f t="shared" ca="1" si="37"/>
        <v>S</v>
      </c>
      <c r="D176">
        <f t="shared" ca="1" si="38"/>
        <v>0</v>
      </c>
      <c r="E176">
        <f ca="1">IF($C176=1,OFFSET(E176,-1,0)+MAX(1,COUNTIF(QCI!$A$13:$A$24,OFFSET(ORÇAMENTO!E176,-1,0))),OFFSET(E176,-1,0))</f>
        <v>9</v>
      </c>
      <c r="F176">
        <f t="shared" ca="1" si="39"/>
        <v>2</v>
      </c>
      <c r="G176">
        <f t="shared" ca="1" si="40"/>
        <v>2</v>
      </c>
      <c r="H176">
        <f t="shared" ca="1" si="41"/>
        <v>0</v>
      </c>
      <c r="I176">
        <f t="shared" ca="1" si="42"/>
        <v>0</v>
      </c>
      <c r="J176">
        <f t="shared" ca="1" si="34"/>
        <v>0</v>
      </c>
      <c r="K176">
        <f ca="1">IF(OR($C176="S",$C176=0),0,MATCH(OFFSET($D176,0,$C176)+IF($C176&lt;&gt;1,1,COUNTIF(QCI!$A$13:$A$24,ORÇAMENTO!E176)),OFFSET($D176,1,$C176,ROW($C$244)-ROW($C176)),0))</f>
        <v>0</v>
      </c>
      <c r="L176" s="114" t="str">
        <f t="shared" ca="1" si="43"/>
        <v/>
      </c>
      <c r="M176" s="115" t="s">
        <v>705</v>
      </c>
      <c r="N176" s="116" t="str">
        <f t="shared" ca="1" si="44"/>
        <v>Serviço</v>
      </c>
      <c r="O176" s="117" t="str">
        <f t="shared" ca="1" si="45"/>
        <v>-</v>
      </c>
      <c r="P176" s="118" t="s">
        <v>750</v>
      </c>
      <c r="Q176" s="119" t="s">
        <v>1120</v>
      </c>
      <c r="R176" s="120" t="str" cm="1">
        <f t="array" aca="1" ref="R176" ca="1">IF($C176="S",REFERENCIA.Descricao,"(digite a descrição aqui)")</f>
        <v>(Código não identificado nas referências)</v>
      </c>
      <c r="S176" s="121" t="str" cm="1">
        <f t="array" aca="1" ref="S176" ca="1">REFERENCIA.Unidade</f>
        <v>-</v>
      </c>
      <c r="T176" s="122">
        <f ca="1">OFFSET(CÁLCULO!H$15,ROW($T176)-ROW(T$15),0)</f>
        <v>20</v>
      </c>
      <c r="U176" s="123">
        <f t="shared" ca="1" si="46"/>
        <v>0</v>
      </c>
      <c r="V176" s="124" t="s">
        <v>663</v>
      </c>
      <c r="W176" s="122" cm="1">
        <f t="array" aca="1" ref="W176" ca="1">IF($C176="S",ROUND(IF(TIPOORCAMENTO="Proposto",ORÇAMENTO.CustoUnitario*(1+$AH176),ORÇAMENTO.PrecoUnitarioLicitado),15-13*$AF$10),0)</f>
        <v>0</v>
      </c>
      <c r="X176" s="125" cm="1">
        <f t="array" aca="1" ref="X176" ca="1">IF($C176="S",IF(OR(Import.TipoArredondamento&lt;&gt;"TransfereGOV",ACOMPANHAMENTO="BM"),VTOTAL1,SUM(OFFSET(CÁLCULO!$AQ$15,ROW($X176)-ROW($X$15),1):OFFSET(CÁLCULO!$BR$15,ROW($X176)-ROW($X$15),-1))),IF($C176=0,0,ROUND(SomaAgrup,15-13*$AF$11)))</f>
        <v>0</v>
      </c>
      <c r="Y176" s="126" t="s">
        <v>751</v>
      </c>
      <c r="Z176" t="str">
        <f t="shared" ca="1" si="47"/>
        <v/>
      </c>
      <c r="AA176" s="127" cm="1">
        <f t="array" aca="1" ref="AA176" ca="1">IF($C176="S",IF($Z176="CP",$X176,IF($Z176="RA",(($X176)*QCI!$AA$3),0)),SomaAgrup)</f>
        <v>0</v>
      </c>
      <c r="AB176" s="128" cm="1">
        <f t="array" aca="1" ref="AB176" ca="1">IF($C176="S",IF($Z176="OU",ROUND($X176,2),0),SomaAgrup)</f>
        <v>0</v>
      </c>
      <c r="AC176" s="565" t="str" cm="1">
        <f t="array" aca="1" ref="AC176" ca="1">IF($N176=""," ",
IF(AND($C176&lt;&gt;"S",OR($R176="",$R176="(digite a descrição aqui)")),"DESCRIÇÃO",
IF(AND($C176="S",OR($Q176&lt;&gt;"",$T176&gt;0,$U176&gt;0),$P176=""),"FONTE",
IF(AND($C176="S",$P176&lt;&gt;"",OR($T176&gt;0,$U176&gt;0),$Q176=""),"CÓDIGO",
IF(AND($C176="S",$P176&lt;&gt;"",$Q176&lt;&gt;"",$R176="(Código não identificado nas referências)"),"CÓDIGO N/ID",
IF(AND($C176="S",OR($R176="",$R176="(digite a descrição aqui)"),OR($Q176&lt;&gt;"",$T176&gt;0,$U176&gt;0)),"DESCRIÇÃO",
IF(AND($C176="S",$P176&lt;&gt;"",$Q176&lt;&gt;"",$S176=""),"UNIDADE",
IF(AND($C176="S",$P176&lt;&gt;"",$Q176&lt;&gt;"",$U176=0),"SEM CUSTO",
IF(AND(TIPOORCAMENTO="Licitado",$AL176=0,$AN176&gt;0),"SEM PREÇO",
IF(AND($C176="S",$P176&lt;&gt;"",$Q176&lt;&gt;"",$U176&gt;0,AND($V176&lt;&gt;"BDI 1",$V176&lt;&gt;"BDI 2",$V176&lt;&gt;"BDI 3")),IF(ISNUMBER($V176),"JUSTIFICAR BDI","BDI"),
IF(OR(AND(import.recurso="OGU",TIPOORCAMENTO="Proposto",LEFT($O$8,5)&lt;&gt;"(N/D:",$AG176&lt;&gt;"",ORÇAMENTO.CustoUnitario&gt;$AG176),AND(TIPOORCAMENTO="LICITADO",ORÇAMENTO.PrecoUnitarioLicitado&gt;$AN176)),"ACIMA REF.",
IF(AND($C176="S",$P176&lt;&gt;"",$Q176&lt;&gt;"",$T176=0,$U176&gt;0),"QUANT.",
IF(AND(Import.TipoArredondamento="TransfereGOV",$L176="F",$C176="S",LEN($Q176)&gt;13),"Código &gt;13",
IF(AND(Import.TipoArredondamento="TransfereGOV",$L176="F",$C176&lt;&gt;"S",LEN($R176)&gt;100),"Descrição &gt;100",
IF(AND(Import.TipoArredondamento="TransfereGOV",$L176="F",$C176="S",LEN($R176)&gt;500),"Descrição &gt;500",
IF(AND(Import.TipoArredondamento="TransfereGOV",$L176="F",$C176="S",LEFT(TRIM(UPPER($P176)),6)&lt;&gt;"SINAPI",ISNA(VLOOKUP(TRIM(UPPER($S176)),ListaTgov.Unidades,1,FALSE))),"Unid. Não Disp",
" "))))))))))))))))</f>
        <v>CÓDIGO N/ID</v>
      </c>
      <c r="AD176" t="str">
        <f ca="1">IF(C176&lt;=CRONO.NivelExibicao,MAX($AD$15:OFFSET(AD176,-1,0))+IF($C176&lt;&gt;1,1,MAX(1,COUNTIF(QCI!$A$13:$A$24,OFFSET($E176,-1,0)))),"")</f>
        <v/>
      </c>
      <c r="AE176" s="7" t="str" cm="1">
        <f t="array" aca="1" ref="AE176" ca="1">IF(AND($C176="S",ORÇAMENTO.CodBarra&lt;&gt;""),IF(ORÇAMENTO.Fonte="",ORÇAMENTO.CodBarra,CONCATENATE(ORÇAMENTO.Fonte," ",ORÇAMENTO.CodBarra)))</f>
        <v>SINAPI 89985</v>
      </c>
      <c r="AF176" s="12" t="str" cm="1">
        <f t="array" aca="1" ref="AF176" ca="1">IF(ISERROR(ORÇAMENTO.BancoRef),"(abra o arquivo 'Referência "&amp;Excel_BuiltIn_Database&amp;".xlsm)",IF(OR($C176&lt;&gt;"S",ORÇAMENTO.CodBarra=""),"(Sem Código)",IF(ISERROR(MATCH($AE176,INDIRECT(ORÇAMENTO.BancoRef),0)),"(Código não identificado nas referências)",MATCH($AE176,INDIRECT(ORÇAMENTO.BancoRef),0))))</f>
        <v>(Código não identificado nas referências)</v>
      </c>
      <c r="AG176" s="428" cm="1">
        <f t="array" aca="1" ref="AG176" ca="1">ROUND(IF(DESONERACAO="sim",REFERENCIA.Desonerado,REFERENCIA.NaoDesonerado),2)</f>
        <v>0</v>
      </c>
      <c r="AH176" s="429">
        <f t="shared" ca="1" si="48"/>
        <v>0.2223</v>
      </c>
      <c r="AJ176" s="431"/>
      <c r="AL176" s="439"/>
      <c r="AM176" s="336">
        <f t="shared" ca="1" si="0"/>
        <v>0</v>
      </c>
      <c r="AN176" s="470" cm="1">
        <f t="array" aca="1" ref="AN176" ca="1">ROUND(ORÇAMENTO.CustoUnitario*(1+$AH176),2)</f>
        <v>0</v>
      </c>
    </row>
    <row r="177" spans="1:40" ht="38.25" x14ac:dyDescent="0.2">
      <c r="A177" t="str">
        <f t="shared" si="35"/>
        <v>S</v>
      </c>
      <c r="B177">
        <f t="shared" ca="1" si="36"/>
        <v>3</v>
      </c>
      <c r="C177" t="str">
        <f t="shared" ca="1" si="37"/>
        <v>S</v>
      </c>
      <c r="D177">
        <f t="shared" ca="1" si="38"/>
        <v>0</v>
      </c>
      <c r="E177">
        <f ca="1">IF($C177=1,OFFSET(E177,-1,0)+MAX(1,COUNTIF(QCI!$A$13:$A$24,OFFSET(ORÇAMENTO!E177,-1,0))),OFFSET(E177,-1,0))</f>
        <v>9</v>
      </c>
      <c r="F177">
        <f t="shared" ca="1" si="39"/>
        <v>2</v>
      </c>
      <c r="G177">
        <f t="shared" ca="1" si="40"/>
        <v>2</v>
      </c>
      <c r="H177">
        <f t="shared" ca="1" si="41"/>
        <v>0</v>
      </c>
      <c r="I177">
        <f t="shared" ca="1" si="42"/>
        <v>0</v>
      </c>
      <c r="J177">
        <f t="shared" ca="1" si="34"/>
        <v>0</v>
      </c>
      <c r="K177">
        <f ca="1">IF(OR($C177="S",$C177=0),0,MATCH(OFFSET($D177,0,$C177)+IF($C177&lt;&gt;1,1,COUNTIF(QCI!$A$13:$A$24,ORÇAMENTO!E177)),OFFSET($D177,1,$C177,ROW($C$244)-ROW($C177)),0))</f>
        <v>0</v>
      </c>
      <c r="L177" s="114" t="str">
        <f t="shared" ca="1" si="43"/>
        <v/>
      </c>
      <c r="M177" s="115" t="s">
        <v>705</v>
      </c>
      <c r="N177" s="116" t="str">
        <f t="shared" ca="1" si="44"/>
        <v>Serviço</v>
      </c>
      <c r="O177" s="117" t="str">
        <f t="shared" ca="1" si="45"/>
        <v>-</v>
      </c>
      <c r="P177" s="118" t="s">
        <v>750</v>
      </c>
      <c r="Q177" s="119" t="s">
        <v>1121</v>
      </c>
      <c r="R177" s="120" t="str" cm="1">
        <f t="array" aca="1" ref="R177" ca="1">IF($C177="S",REFERENCIA.Descricao,"(digite a descrição aqui)")</f>
        <v>(Código não identificado nas referências)</v>
      </c>
      <c r="S177" s="121" t="str" cm="1">
        <f t="array" aca="1" ref="S177" ca="1">REFERENCIA.Unidade</f>
        <v>-</v>
      </c>
      <c r="T177" s="122">
        <f ca="1">OFFSET(CÁLCULO!H$15,ROW($T177)-ROW(T$15),0)</f>
        <v>60</v>
      </c>
      <c r="U177" s="123">
        <f t="shared" ca="1" si="46"/>
        <v>0</v>
      </c>
      <c r="V177" s="124" t="s">
        <v>663</v>
      </c>
      <c r="W177" s="122" cm="1">
        <f t="array" aca="1" ref="W177" ca="1">IF($C177="S",ROUND(IF(TIPOORCAMENTO="Proposto",ORÇAMENTO.CustoUnitario*(1+$AH177),ORÇAMENTO.PrecoUnitarioLicitado),15-13*$AF$10),0)</f>
        <v>0</v>
      </c>
      <c r="X177" s="125" cm="1">
        <f t="array" aca="1" ref="X177" ca="1">IF($C177="S",IF(OR(Import.TipoArredondamento&lt;&gt;"TransfereGOV",ACOMPANHAMENTO="BM"),VTOTAL1,SUM(OFFSET(CÁLCULO!$AQ$15,ROW($X177)-ROW($X$15),1):OFFSET(CÁLCULO!$BR$15,ROW($X177)-ROW($X$15),-1))),IF($C177=0,0,ROUND(SomaAgrup,15-13*$AF$11)))</f>
        <v>0</v>
      </c>
      <c r="Y177" s="126" t="s">
        <v>751</v>
      </c>
      <c r="Z177" t="str">
        <f t="shared" ca="1" si="47"/>
        <v/>
      </c>
      <c r="AA177" s="127" cm="1">
        <f t="array" aca="1" ref="AA177" ca="1">IF($C177="S",IF($Z177="CP",$X177,IF($Z177="RA",(($X177)*QCI!$AA$3),0)),SomaAgrup)</f>
        <v>0</v>
      </c>
      <c r="AB177" s="128" cm="1">
        <f t="array" aca="1" ref="AB177" ca="1">IF($C177="S",IF($Z177="OU",ROUND($X177,2),0),SomaAgrup)</f>
        <v>0</v>
      </c>
      <c r="AC177" s="565" t="str" cm="1">
        <f t="array" aca="1" ref="AC177" ca="1">IF($N177=""," ",
IF(AND($C177&lt;&gt;"S",OR($R177="",$R177="(digite a descrição aqui)")),"DESCRIÇÃO",
IF(AND($C177="S",OR($Q177&lt;&gt;"",$T177&gt;0,$U177&gt;0),$P177=""),"FONTE",
IF(AND($C177="S",$P177&lt;&gt;"",OR($T177&gt;0,$U177&gt;0),$Q177=""),"CÓDIGO",
IF(AND($C177="S",$P177&lt;&gt;"",$Q177&lt;&gt;"",$R177="(Código não identificado nas referências)"),"CÓDIGO N/ID",
IF(AND($C177="S",OR($R177="",$R177="(digite a descrição aqui)"),OR($Q177&lt;&gt;"",$T177&gt;0,$U177&gt;0)),"DESCRIÇÃO",
IF(AND($C177="S",$P177&lt;&gt;"",$Q177&lt;&gt;"",$S177=""),"UNIDADE",
IF(AND($C177="S",$P177&lt;&gt;"",$Q177&lt;&gt;"",$U177=0),"SEM CUSTO",
IF(AND(TIPOORCAMENTO="Licitado",$AL177=0,$AN177&gt;0),"SEM PREÇO",
IF(AND($C177="S",$P177&lt;&gt;"",$Q177&lt;&gt;"",$U177&gt;0,AND($V177&lt;&gt;"BDI 1",$V177&lt;&gt;"BDI 2",$V177&lt;&gt;"BDI 3")),IF(ISNUMBER($V177),"JUSTIFICAR BDI","BDI"),
IF(OR(AND(import.recurso="OGU",TIPOORCAMENTO="Proposto",LEFT($O$8,5)&lt;&gt;"(N/D:",$AG177&lt;&gt;"",ORÇAMENTO.CustoUnitario&gt;$AG177),AND(TIPOORCAMENTO="LICITADO",ORÇAMENTO.PrecoUnitarioLicitado&gt;$AN177)),"ACIMA REF.",
IF(AND($C177="S",$P177&lt;&gt;"",$Q177&lt;&gt;"",$T177=0,$U177&gt;0),"QUANT.",
IF(AND(Import.TipoArredondamento="TransfereGOV",$L177="F",$C177="S",LEN($Q177)&gt;13),"Código &gt;13",
IF(AND(Import.TipoArredondamento="TransfereGOV",$L177="F",$C177&lt;&gt;"S",LEN($R177)&gt;100),"Descrição &gt;100",
IF(AND(Import.TipoArredondamento="TransfereGOV",$L177="F",$C177="S",LEN($R177)&gt;500),"Descrição &gt;500",
IF(AND(Import.TipoArredondamento="TransfereGOV",$L177="F",$C177="S",LEFT(TRIM(UPPER($P177)),6)&lt;&gt;"SINAPI",ISNA(VLOOKUP(TRIM(UPPER($S177)),ListaTgov.Unidades,1,FALSE))),"Unid. Não Disp",
" "))))))))))))))))</f>
        <v>CÓDIGO N/ID</v>
      </c>
      <c r="AD177" t="str">
        <f ca="1">IF(C177&lt;=CRONO.NivelExibicao,MAX($AD$15:OFFSET(AD177,-1,0))+IF($C177&lt;&gt;1,1,MAX(1,COUNTIF(QCI!$A$13:$A$24,OFFSET($E177,-1,0)))),"")</f>
        <v/>
      </c>
      <c r="AE177" s="7" t="str" cm="1">
        <f t="array" aca="1" ref="AE177" ca="1">IF(AND($C177="S",ORÇAMENTO.CodBarra&lt;&gt;""),IF(ORÇAMENTO.Fonte="",ORÇAMENTO.CodBarra,CONCATENATE(ORÇAMENTO.Fonte," ",ORÇAMENTO.CodBarra)))</f>
        <v>SINAPI 89987</v>
      </c>
      <c r="AF177" s="12" t="str" cm="1">
        <f t="array" aca="1" ref="AF177" ca="1">IF(ISERROR(ORÇAMENTO.BancoRef),"(abra o arquivo 'Referência "&amp;Excel_BuiltIn_Database&amp;".xlsm)",IF(OR($C177&lt;&gt;"S",ORÇAMENTO.CodBarra=""),"(Sem Código)",IF(ISERROR(MATCH($AE177,INDIRECT(ORÇAMENTO.BancoRef),0)),"(Código não identificado nas referências)",MATCH($AE177,INDIRECT(ORÇAMENTO.BancoRef),0))))</f>
        <v>(Código não identificado nas referências)</v>
      </c>
      <c r="AG177" s="428" cm="1">
        <f t="array" aca="1" ref="AG177" ca="1">ROUND(IF(DESONERACAO="sim",REFERENCIA.Desonerado,REFERENCIA.NaoDesonerado),2)</f>
        <v>0</v>
      </c>
      <c r="AH177" s="429">
        <f t="shared" ca="1" si="48"/>
        <v>0.2223</v>
      </c>
      <c r="AJ177" s="431"/>
      <c r="AL177" s="439"/>
      <c r="AM177" s="336">
        <f t="shared" ca="1" si="0"/>
        <v>0</v>
      </c>
      <c r="AN177" s="470" cm="1">
        <f t="array" aca="1" ref="AN177" ca="1">ROUND(ORÇAMENTO.CustoUnitario*(1+$AH177),2)</f>
        <v>0</v>
      </c>
    </row>
    <row r="178" spans="1:40" ht="25.5" x14ac:dyDescent="0.2">
      <c r="A178" t="str">
        <f t="shared" si="35"/>
        <v>S</v>
      </c>
      <c r="B178">
        <f t="shared" ca="1" si="36"/>
        <v>3</v>
      </c>
      <c r="C178" t="str">
        <f t="shared" ca="1" si="37"/>
        <v>S</v>
      </c>
      <c r="D178">
        <f t="shared" ca="1" si="38"/>
        <v>0</v>
      </c>
      <c r="E178">
        <f ca="1">IF($C178=1,OFFSET(E178,-1,0)+MAX(1,COUNTIF(QCI!$A$13:$A$24,OFFSET(ORÇAMENTO!E178,-1,0))),OFFSET(E178,-1,0))</f>
        <v>9</v>
      </c>
      <c r="F178">
        <f t="shared" ca="1" si="39"/>
        <v>2</v>
      </c>
      <c r="G178">
        <f t="shared" ca="1" si="40"/>
        <v>2</v>
      </c>
      <c r="H178">
        <f t="shared" ca="1" si="41"/>
        <v>0</v>
      </c>
      <c r="I178">
        <f t="shared" ca="1" si="42"/>
        <v>0</v>
      </c>
      <c r="J178">
        <f t="shared" ca="1" si="34"/>
        <v>0</v>
      </c>
      <c r="K178">
        <f ca="1">IF(OR($C178="S",$C178=0),0,MATCH(OFFSET($D178,0,$C178)+IF($C178&lt;&gt;1,1,COUNTIF(QCI!$A$13:$A$24,ORÇAMENTO!E178)),OFFSET($D178,1,$C178,ROW($C$244)-ROW($C178)),0))</f>
        <v>0</v>
      </c>
      <c r="L178" s="114" t="str">
        <f t="shared" ca="1" si="43"/>
        <v/>
      </c>
      <c r="M178" s="115" t="s">
        <v>705</v>
      </c>
      <c r="N178" s="116" t="str">
        <f t="shared" ca="1" si="44"/>
        <v>Serviço</v>
      </c>
      <c r="O178" s="117" t="str">
        <f t="shared" ca="1" si="45"/>
        <v>-</v>
      </c>
      <c r="P178" s="118" t="s">
        <v>750</v>
      </c>
      <c r="Q178" s="119" t="s">
        <v>1122</v>
      </c>
      <c r="R178" s="120" t="str" cm="1">
        <f t="array" aca="1" ref="R178" ca="1">IF($C178="S",REFERENCIA.Descricao,"(digite a descrição aqui)")</f>
        <v>(Código não identificado nas referências)</v>
      </c>
      <c r="S178" s="121" t="str" cm="1">
        <f t="array" aca="1" ref="S178" ca="1">REFERENCIA.Unidade</f>
        <v>-</v>
      </c>
      <c r="T178" s="122">
        <f ca="1">OFFSET(CÁLCULO!H$15,ROW($T178)-ROW(T$15),0)</f>
        <v>40</v>
      </c>
      <c r="U178" s="123">
        <f t="shared" ca="1" si="46"/>
        <v>0</v>
      </c>
      <c r="V178" s="124" t="s">
        <v>663</v>
      </c>
      <c r="W178" s="122" cm="1">
        <f t="array" aca="1" ref="W178" ca="1">IF($C178="S",ROUND(IF(TIPOORCAMENTO="Proposto",ORÇAMENTO.CustoUnitario*(1+$AH178),ORÇAMENTO.PrecoUnitarioLicitado),15-13*$AF$10),0)</f>
        <v>0</v>
      </c>
      <c r="X178" s="125" cm="1">
        <f t="array" aca="1" ref="X178" ca="1">IF($C178="S",IF(OR(Import.TipoArredondamento&lt;&gt;"TransfereGOV",ACOMPANHAMENTO="BM"),VTOTAL1,SUM(OFFSET(CÁLCULO!$AQ$15,ROW($X178)-ROW($X$15),1):OFFSET(CÁLCULO!$BR$15,ROW($X178)-ROW($X$15),-1))),IF($C178=0,0,ROUND(SomaAgrup,15-13*$AF$11)))</f>
        <v>0</v>
      </c>
      <c r="Y178" s="126" t="s">
        <v>751</v>
      </c>
      <c r="Z178" t="str">
        <f t="shared" ca="1" si="47"/>
        <v/>
      </c>
      <c r="AA178" s="127" cm="1">
        <f t="array" aca="1" ref="AA178" ca="1">IF($C178="S",IF($Z178="CP",$X178,IF($Z178="RA",(($X178)*QCI!$AA$3),0)),SomaAgrup)</f>
        <v>0</v>
      </c>
      <c r="AB178" s="128" cm="1">
        <f t="array" aca="1" ref="AB178" ca="1">IF($C178="S",IF($Z178="OU",ROUND($X178,2),0),SomaAgrup)</f>
        <v>0</v>
      </c>
      <c r="AC178" s="565" t="str" cm="1">
        <f t="array" aca="1" ref="AC178" ca="1">IF($N178=""," ",
IF(AND($C178&lt;&gt;"S",OR($R178="",$R178="(digite a descrição aqui)")),"DESCRIÇÃO",
IF(AND($C178="S",OR($Q178&lt;&gt;"",$T178&gt;0,$U178&gt;0),$P178=""),"FONTE",
IF(AND($C178="S",$P178&lt;&gt;"",OR($T178&gt;0,$U178&gt;0),$Q178=""),"CÓDIGO",
IF(AND($C178="S",$P178&lt;&gt;"",$Q178&lt;&gt;"",$R178="(Código não identificado nas referências)"),"CÓDIGO N/ID",
IF(AND($C178="S",OR($R178="",$R178="(digite a descrição aqui)"),OR($Q178&lt;&gt;"",$T178&gt;0,$U178&gt;0)),"DESCRIÇÃO",
IF(AND($C178="S",$P178&lt;&gt;"",$Q178&lt;&gt;"",$S178=""),"UNIDADE",
IF(AND($C178="S",$P178&lt;&gt;"",$Q178&lt;&gt;"",$U178=0),"SEM CUSTO",
IF(AND(TIPOORCAMENTO="Licitado",$AL178=0,$AN178&gt;0),"SEM PREÇO",
IF(AND($C178="S",$P178&lt;&gt;"",$Q178&lt;&gt;"",$U178&gt;0,AND($V178&lt;&gt;"BDI 1",$V178&lt;&gt;"BDI 2",$V178&lt;&gt;"BDI 3")),IF(ISNUMBER($V178),"JUSTIFICAR BDI","BDI"),
IF(OR(AND(import.recurso="OGU",TIPOORCAMENTO="Proposto",LEFT($O$8,5)&lt;&gt;"(N/D:",$AG178&lt;&gt;"",ORÇAMENTO.CustoUnitario&gt;$AG178),AND(TIPOORCAMENTO="LICITADO",ORÇAMENTO.PrecoUnitarioLicitado&gt;$AN178)),"ACIMA REF.",
IF(AND($C178="S",$P178&lt;&gt;"",$Q178&lt;&gt;"",$T178=0,$U178&gt;0),"QUANT.",
IF(AND(Import.TipoArredondamento="TransfereGOV",$L178="F",$C178="S",LEN($Q178)&gt;13),"Código &gt;13",
IF(AND(Import.TipoArredondamento="TransfereGOV",$L178="F",$C178&lt;&gt;"S",LEN($R178)&gt;100),"Descrição &gt;100",
IF(AND(Import.TipoArredondamento="TransfereGOV",$L178="F",$C178="S",LEN($R178)&gt;500),"Descrição &gt;500",
IF(AND(Import.TipoArredondamento="TransfereGOV",$L178="F",$C178="S",LEFT(TRIM(UPPER($P178)),6)&lt;&gt;"SINAPI",ISNA(VLOOKUP(TRIM(UPPER($S178)),ListaTgov.Unidades,1,FALSE))),"Unid. Não Disp",
" "))))))))))))))))</f>
        <v>CÓDIGO N/ID</v>
      </c>
      <c r="AD178" t="str">
        <f ca="1">IF(C178&lt;=CRONO.NivelExibicao,MAX($AD$15:OFFSET(AD178,-1,0))+IF($C178&lt;&gt;1,1,MAX(1,COUNTIF(QCI!$A$13:$A$24,OFFSET($E178,-1,0)))),"")</f>
        <v/>
      </c>
      <c r="AE178" s="7" t="str" cm="1">
        <f t="array" aca="1" ref="AE178" ca="1">IF(AND($C178="S",ORÇAMENTO.CodBarra&lt;&gt;""),IF(ORÇAMENTO.Fonte="",ORÇAMENTO.CodBarra,CONCATENATE(ORÇAMENTO.Fonte," ",ORÇAMENTO.CodBarra)))</f>
        <v>SINAPI 94490</v>
      </c>
      <c r="AF178" s="12" t="str" cm="1">
        <f t="array" aca="1" ref="AF178" ca="1">IF(ISERROR(ORÇAMENTO.BancoRef),"(abra o arquivo 'Referência "&amp;Excel_BuiltIn_Database&amp;".xlsm)",IF(OR($C178&lt;&gt;"S",ORÇAMENTO.CodBarra=""),"(Sem Código)",IF(ISERROR(MATCH($AE178,INDIRECT(ORÇAMENTO.BancoRef),0)),"(Código não identificado nas referências)",MATCH($AE178,INDIRECT(ORÇAMENTO.BancoRef),0))))</f>
        <v>(Código não identificado nas referências)</v>
      </c>
      <c r="AG178" s="428" cm="1">
        <f t="array" aca="1" ref="AG178" ca="1">ROUND(IF(DESONERACAO="sim",REFERENCIA.Desonerado,REFERENCIA.NaoDesonerado),2)</f>
        <v>0</v>
      </c>
      <c r="AH178" s="429">
        <f t="shared" ca="1" si="48"/>
        <v>0.2223</v>
      </c>
      <c r="AJ178" s="431"/>
      <c r="AL178" s="439"/>
      <c r="AM178" s="336">
        <f t="shared" ca="1" si="0"/>
        <v>0</v>
      </c>
      <c r="AN178" s="470" cm="1">
        <f t="array" aca="1" ref="AN178" ca="1">ROUND(ORÇAMENTO.CustoUnitario*(1+$AH178),2)</f>
        <v>0</v>
      </c>
    </row>
    <row r="179" spans="1:40" ht="25.5" x14ac:dyDescent="0.2">
      <c r="A179" t="str">
        <f t="shared" si="35"/>
        <v>S</v>
      </c>
      <c r="B179">
        <f t="shared" ca="1" si="36"/>
        <v>3</v>
      </c>
      <c r="C179" t="str">
        <f t="shared" ca="1" si="37"/>
        <v>S</v>
      </c>
      <c r="D179">
        <f t="shared" ca="1" si="38"/>
        <v>0</v>
      </c>
      <c r="E179">
        <f ca="1">IF($C179=1,OFFSET(E179,-1,0)+MAX(1,COUNTIF(QCI!$A$13:$A$24,OFFSET(ORÇAMENTO!E179,-1,0))),OFFSET(E179,-1,0))</f>
        <v>9</v>
      </c>
      <c r="F179">
        <f t="shared" ca="1" si="39"/>
        <v>2</v>
      </c>
      <c r="G179">
        <f t="shared" ca="1" si="40"/>
        <v>2</v>
      </c>
      <c r="H179">
        <f t="shared" ca="1" si="41"/>
        <v>0</v>
      </c>
      <c r="I179">
        <f t="shared" ca="1" si="42"/>
        <v>0</v>
      </c>
      <c r="J179">
        <f t="shared" ca="1" si="34"/>
        <v>0</v>
      </c>
      <c r="K179">
        <f ca="1">IF(OR($C179="S",$C179=0),0,MATCH(OFFSET($D179,0,$C179)+IF($C179&lt;&gt;1,1,COUNTIF(QCI!$A$13:$A$24,ORÇAMENTO!E179)),OFFSET($D179,1,$C179,ROW($C$244)-ROW($C179)),0))</f>
        <v>0</v>
      </c>
      <c r="L179" s="114" t="str">
        <f t="shared" ca="1" si="43"/>
        <v/>
      </c>
      <c r="M179" s="115" t="s">
        <v>705</v>
      </c>
      <c r="N179" s="116" t="str">
        <f t="shared" ca="1" si="44"/>
        <v>Serviço</v>
      </c>
      <c r="O179" s="117" t="str">
        <f t="shared" ca="1" si="45"/>
        <v>-</v>
      </c>
      <c r="P179" s="118" t="s">
        <v>750</v>
      </c>
      <c r="Q179" s="119" t="s">
        <v>1123</v>
      </c>
      <c r="R179" s="120" t="str" cm="1">
        <f t="array" aca="1" ref="R179" ca="1">IF($C179="S",REFERENCIA.Descricao,"(digite a descrição aqui)")</f>
        <v>(Código não identificado nas referências)</v>
      </c>
      <c r="S179" s="121" t="str" cm="1">
        <f t="array" aca="1" ref="S179" ca="1">REFERENCIA.Unidade</f>
        <v>-</v>
      </c>
      <c r="T179" s="122">
        <f ca="1">OFFSET(CÁLCULO!H$15,ROW($T179)-ROW(T$15),0)</f>
        <v>80</v>
      </c>
      <c r="U179" s="123">
        <f t="shared" ca="1" si="46"/>
        <v>0</v>
      </c>
      <c r="V179" s="124" t="s">
        <v>663</v>
      </c>
      <c r="W179" s="122" cm="1">
        <f t="array" aca="1" ref="W179" ca="1">IF($C179="S",ROUND(IF(TIPOORCAMENTO="Proposto",ORÇAMENTO.CustoUnitario*(1+$AH179),ORÇAMENTO.PrecoUnitarioLicitado),15-13*$AF$10),0)</f>
        <v>0</v>
      </c>
      <c r="X179" s="125" cm="1">
        <f t="array" aca="1" ref="X179" ca="1">IF($C179="S",IF(OR(Import.TipoArredondamento&lt;&gt;"TransfereGOV",ACOMPANHAMENTO="BM"),VTOTAL1,SUM(OFFSET(CÁLCULO!$AQ$15,ROW($X179)-ROW($X$15),1):OFFSET(CÁLCULO!$BR$15,ROW($X179)-ROW($X$15),-1))),IF($C179=0,0,ROUND(SomaAgrup,15-13*$AF$11)))</f>
        <v>0</v>
      </c>
      <c r="Y179" s="126" t="s">
        <v>751</v>
      </c>
      <c r="Z179" t="str">
        <f t="shared" ca="1" si="47"/>
        <v/>
      </c>
      <c r="AA179" s="127" cm="1">
        <f t="array" aca="1" ref="AA179" ca="1">IF($C179="S",IF($Z179="CP",$X179,IF($Z179="RA",(($X179)*QCI!$AA$3),0)),SomaAgrup)</f>
        <v>0</v>
      </c>
      <c r="AB179" s="128" cm="1">
        <f t="array" aca="1" ref="AB179" ca="1">IF($C179="S",IF($Z179="OU",ROUND($X179,2),0),SomaAgrup)</f>
        <v>0</v>
      </c>
      <c r="AC179" s="565" t="str" cm="1">
        <f t="array" aca="1" ref="AC179" ca="1">IF($N179=""," ",
IF(AND($C179&lt;&gt;"S",OR($R179="",$R179="(digite a descrição aqui)")),"DESCRIÇÃO",
IF(AND($C179="S",OR($Q179&lt;&gt;"",$T179&gt;0,$U179&gt;0),$P179=""),"FONTE",
IF(AND($C179="S",$P179&lt;&gt;"",OR($T179&gt;0,$U179&gt;0),$Q179=""),"CÓDIGO",
IF(AND($C179="S",$P179&lt;&gt;"",$Q179&lt;&gt;"",$R179="(Código não identificado nas referências)"),"CÓDIGO N/ID",
IF(AND($C179="S",OR($R179="",$R179="(digite a descrição aqui)"),OR($Q179&lt;&gt;"",$T179&gt;0,$U179&gt;0)),"DESCRIÇÃO",
IF(AND($C179="S",$P179&lt;&gt;"",$Q179&lt;&gt;"",$S179=""),"UNIDADE",
IF(AND($C179="S",$P179&lt;&gt;"",$Q179&lt;&gt;"",$U179=0),"SEM CUSTO",
IF(AND(TIPOORCAMENTO="Licitado",$AL179=0,$AN179&gt;0),"SEM PREÇO",
IF(AND($C179="S",$P179&lt;&gt;"",$Q179&lt;&gt;"",$U179&gt;0,AND($V179&lt;&gt;"BDI 1",$V179&lt;&gt;"BDI 2",$V179&lt;&gt;"BDI 3")),IF(ISNUMBER($V179),"JUSTIFICAR BDI","BDI"),
IF(OR(AND(import.recurso="OGU",TIPOORCAMENTO="Proposto",LEFT($O$8,5)&lt;&gt;"(N/D:",$AG179&lt;&gt;"",ORÇAMENTO.CustoUnitario&gt;$AG179),AND(TIPOORCAMENTO="LICITADO",ORÇAMENTO.PrecoUnitarioLicitado&gt;$AN179)),"ACIMA REF.",
IF(AND($C179="S",$P179&lt;&gt;"",$Q179&lt;&gt;"",$T179=0,$U179&gt;0),"QUANT.",
IF(AND(Import.TipoArredondamento="TransfereGOV",$L179="F",$C179="S",LEN($Q179)&gt;13),"Código &gt;13",
IF(AND(Import.TipoArredondamento="TransfereGOV",$L179="F",$C179&lt;&gt;"S",LEN($R179)&gt;100),"Descrição &gt;100",
IF(AND(Import.TipoArredondamento="TransfereGOV",$L179="F",$C179="S",LEN($R179)&gt;500),"Descrição &gt;500",
IF(AND(Import.TipoArredondamento="TransfereGOV",$L179="F",$C179="S",LEFT(TRIM(UPPER($P179)),6)&lt;&gt;"SINAPI",ISNA(VLOOKUP(TRIM(UPPER($S179)),ListaTgov.Unidades,1,FALSE))),"Unid. Não Disp",
" "))))))))))))))))</f>
        <v>CÓDIGO N/ID</v>
      </c>
      <c r="AD179" t="str">
        <f ca="1">IF(C179&lt;=CRONO.NivelExibicao,MAX($AD$15:OFFSET(AD179,-1,0))+IF($C179&lt;&gt;1,1,MAX(1,COUNTIF(QCI!$A$13:$A$24,OFFSET($E179,-1,0)))),"")</f>
        <v/>
      </c>
      <c r="AE179" s="7" t="str" cm="1">
        <f t="array" aca="1" ref="AE179" ca="1">IF(AND($C179="S",ORÇAMENTO.CodBarra&lt;&gt;""),IF(ORÇAMENTO.Fonte="",ORÇAMENTO.CodBarra,CONCATENATE(ORÇAMENTO.Fonte," ",ORÇAMENTO.CodBarra)))</f>
        <v>SINAPI 86885</v>
      </c>
      <c r="AF179" s="12" t="str" cm="1">
        <f t="array" aca="1" ref="AF179" ca="1">IF(ISERROR(ORÇAMENTO.BancoRef),"(abra o arquivo 'Referência "&amp;Excel_BuiltIn_Database&amp;".xlsm)",IF(OR($C179&lt;&gt;"S",ORÇAMENTO.CodBarra=""),"(Sem Código)",IF(ISERROR(MATCH($AE179,INDIRECT(ORÇAMENTO.BancoRef),0)),"(Código não identificado nas referências)",MATCH($AE179,INDIRECT(ORÇAMENTO.BancoRef),0))))</f>
        <v>(Código não identificado nas referências)</v>
      </c>
      <c r="AG179" s="428" cm="1">
        <f t="array" aca="1" ref="AG179" ca="1">ROUND(IF(DESONERACAO="sim",REFERENCIA.Desonerado,REFERENCIA.NaoDesonerado),2)</f>
        <v>0</v>
      </c>
      <c r="AH179" s="429">
        <f t="shared" ca="1" si="48"/>
        <v>0.2223</v>
      </c>
      <c r="AJ179" s="431"/>
      <c r="AL179" s="439"/>
      <c r="AM179" s="336">
        <f t="shared" ca="1" si="0"/>
        <v>0</v>
      </c>
      <c r="AN179" s="470" cm="1">
        <f t="array" aca="1" ref="AN179" ca="1">ROUND(ORÇAMENTO.CustoUnitario*(1+$AH179),2)</f>
        <v>0</v>
      </c>
    </row>
    <row r="180" spans="1:40" x14ac:dyDescent="0.2">
      <c r="A180">
        <f t="shared" si="35"/>
        <v>3</v>
      </c>
      <c r="B180">
        <f t="shared" ca="1" si="36"/>
        <v>3</v>
      </c>
      <c r="C180">
        <f t="shared" ca="1" si="37"/>
        <v>3</v>
      </c>
      <c r="D180">
        <f t="shared" ca="1" si="38"/>
        <v>8</v>
      </c>
      <c r="E180">
        <f ca="1">IF($C180=1,OFFSET(E180,-1,0)+MAX(1,COUNTIF(QCI!$A$13:$A$24,OFFSET(ORÇAMENTO!E180,-1,0))),OFFSET(E180,-1,0))</f>
        <v>9</v>
      </c>
      <c r="F180">
        <f t="shared" ca="1" si="39"/>
        <v>2</v>
      </c>
      <c r="G180">
        <f t="shared" ca="1" si="40"/>
        <v>3</v>
      </c>
      <c r="H180">
        <f t="shared" ca="1" si="41"/>
        <v>0</v>
      </c>
      <c r="I180">
        <f t="shared" ca="1" si="42"/>
        <v>0</v>
      </c>
      <c r="J180">
        <f t="shared" ca="1" si="34"/>
        <v>23</v>
      </c>
      <c r="K180">
        <f ca="1">IF(OR($C180="S",$C180=0),0,MATCH(OFFSET($D180,0,$C180)+IF($C180&lt;&gt;1,1,COUNTIF(QCI!$A$13:$A$24,ORÇAMENTO!E180)),OFFSET($D180,1,$C180,ROW($C$244)-ROW($C180)),0))</f>
        <v>8</v>
      </c>
      <c r="L180" s="114" t="str">
        <f t="shared" ca="1" si="43"/>
        <v>F</v>
      </c>
      <c r="M180" s="115" t="s">
        <v>703</v>
      </c>
      <c r="N180" s="116" t="str">
        <f t="shared" ca="1" si="44"/>
        <v>Nível 3</v>
      </c>
      <c r="O180" s="117" t="str">
        <f t="shared" ca="1" si="45"/>
        <v>9.2.3.</v>
      </c>
      <c r="P180" s="118" t="s">
        <v>250</v>
      </c>
      <c r="Q180" s="119" t="s">
        <v>250</v>
      </c>
      <c r="R180" s="120" t="s">
        <v>1207</v>
      </c>
      <c r="S180" s="121"/>
      <c r="T180" s="122">
        <f ca="1">OFFSET(CÁLCULO!H$15,ROW($T180)-ROW(T$15),0)</f>
        <v>0</v>
      </c>
      <c r="U180" s="123">
        <f t="shared" ca="1" si="46"/>
        <v>0</v>
      </c>
      <c r="V180" s="124" t="s">
        <v>663</v>
      </c>
      <c r="W180" s="122" cm="1">
        <f t="array" aca="1" ref="W180" ca="1">IF($C180="S",ROUND(IF(TIPOORCAMENTO="Proposto",ORÇAMENTO.CustoUnitario*(1+$AH180),ORÇAMENTO.PrecoUnitarioLicitado),15-13*$AF$10),0)</f>
        <v>0</v>
      </c>
      <c r="X180" s="125" cm="1">
        <f t="array" aca="1" ref="X180" ca="1">IF($C180="S",IF(OR(Import.TipoArredondamento&lt;&gt;"TransfereGOV",ACOMPANHAMENTO="BM"),VTOTAL1,SUM(OFFSET(CÁLCULO!$AQ$15,ROW($X180)-ROW($X$15),1):OFFSET(CÁLCULO!$BR$15,ROW($X180)-ROW($X$15),-1))),IF($C180=0,0,ROUND(SomaAgrup,15-13*$AF$11)))</f>
        <v>0</v>
      </c>
      <c r="Y180" s="126" t="s">
        <v>751</v>
      </c>
      <c r="Z180" t="str">
        <f t="shared" ca="1" si="47"/>
        <v/>
      </c>
      <c r="AA180" s="127" cm="1">
        <f t="array" aca="1" ref="AA180" ca="1">IF($C180="S",IF($Z180="CP",$X180,IF($Z180="RA",(($X180)*QCI!$AA$3),0)),SomaAgrup)</f>
        <v>0</v>
      </c>
      <c r="AB180" s="128" cm="1">
        <f t="array" aca="1" ref="AB180" ca="1">IF($C180="S",IF($Z180="OU",ROUND($X180,2),0),SomaAgrup)</f>
        <v>0</v>
      </c>
      <c r="AC180" s="565" t="str" cm="1">
        <f t="array" aca="1" ref="AC180" ca="1">IF($N180=""," ",
IF(AND($C180&lt;&gt;"S",OR($R180="",$R180="(digite a descrição aqui)")),"DESCRIÇÃO",
IF(AND($C180="S",OR($Q180&lt;&gt;"",$T180&gt;0,$U180&gt;0),$P180=""),"FONTE",
IF(AND($C180="S",$P180&lt;&gt;"",OR($T180&gt;0,$U180&gt;0),$Q180=""),"CÓDIGO",
IF(AND($C180="S",$P180&lt;&gt;"",$Q180&lt;&gt;"",$R180="(Código não identificado nas referências)"),"CÓDIGO N/ID",
IF(AND($C180="S",OR($R180="",$R180="(digite a descrição aqui)"),OR($Q180&lt;&gt;"",$T180&gt;0,$U180&gt;0)),"DESCRIÇÃO",
IF(AND($C180="S",$P180&lt;&gt;"",$Q180&lt;&gt;"",$S180=""),"UNIDADE",
IF(AND($C180="S",$P180&lt;&gt;"",$Q180&lt;&gt;"",$U180=0),"SEM CUSTO",
IF(AND(TIPOORCAMENTO="Licitado",$AL180=0,$AN180&gt;0),"SEM PREÇO",
IF(AND($C180="S",$P180&lt;&gt;"",$Q180&lt;&gt;"",$U180&gt;0,AND($V180&lt;&gt;"BDI 1",$V180&lt;&gt;"BDI 2",$V180&lt;&gt;"BDI 3")),IF(ISNUMBER($V180),"JUSTIFICAR BDI","BDI"),
IF(OR(AND(import.recurso="OGU",TIPOORCAMENTO="Proposto",LEFT($O$8,5)&lt;&gt;"(N/D:",$AG180&lt;&gt;"",ORÇAMENTO.CustoUnitario&gt;$AG180),AND(TIPOORCAMENTO="LICITADO",ORÇAMENTO.PrecoUnitarioLicitado&gt;$AN180)),"ACIMA REF.",
IF(AND($C180="S",$P180&lt;&gt;"",$Q180&lt;&gt;"",$T180=0,$U180&gt;0),"QUANT.",
IF(AND(Import.TipoArredondamento="TransfereGOV",$L180="F",$C180="S",LEN($Q180)&gt;13),"Código &gt;13",
IF(AND(Import.TipoArredondamento="TransfereGOV",$L180="F",$C180&lt;&gt;"S",LEN($R180)&gt;100),"Descrição &gt;100",
IF(AND(Import.TipoArredondamento="TransfereGOV",$L180="F",$C180="S",LEN($R180)&gt;500),"Descrição &gt;500",
IF(AND(Import.TipoArredondamento="TransfereGOV",$L180="F",$C180="S",LEFT(TRIM(UPPER($P180)),6)&lt;&gt;"SINAPI",ISNA(VLOOKUP(TRIM(UPPER($S180)),ListaTgov.Unidades,1,FALSE))),"Unid. Não Disp",
" "))))))))))))))))</f>
        <v xml:space="preserve"> </v>
      </c>
      <c r="AD180">
        <f ca="1">IF(C180&lt;=CRONO.NivelExibicao,MAX($AD$15:OFFSET(AD180,-1,0))+IF($C180&lt;&gt;1,1,MAX(1,COUNTIF(QCI!$A$13:$A$24,OFFSET($E180,-1,0)))),"")</f>
        <v>39</v>
      </c>
      <c r="AE180" s="7" t="b" cm="1">
        <f t="array" aca="1" ref="AE180" ca="1">IF(AND($C180="S",ORÇAMENTO.CodBarra&lt;&gt;""),IF(ORÇAMENTO.Fonte="",ORÇAMENTO.CodBarra,CONCATENATE(ORÇAMENTO.Fonte," ",ORÇAMENTO.CodBarra)))</f>
        <v>0</v>
      </c>
      <c r="AF180" s="12" t="str" cm="1">
        <f t="array" aca="1" ref="AF180" ca="1">IF(ISERROR(ORÇAMENTO.BancoRef),"(abra o arquivo 'Referência "&amp;Excel_BuiltIn_Database&amp;".xlsm)",IF(OR($C180&lt;&gt;"S",ORÇAMENTO.CodBarra=""),"(Sem Código)",IF(ISERROR(MATCH($AE180,INDIRECT(ORÇAMENTO.BancoRef),0)),"(Código não identificado nas referências)",MATCH($AE180,INDIRECT(ORÇAMENTO.BancoRef),0))))</f>
        <v>(Sem Código)</v>
      </c>
      <c r="AG180" s="428" cm="1">
        <f t="array" aca="1" ref="AG180" ca="1">ROUND(IF(DESONERACAO="sim",REFERENCIA.Desonerado,REFERENCIA.NaoDesonerado),2)</f>
        <v>0</v>
      </c>
      <c r="AH180" s="429">
        <f t="shared" ca="1" si="48"/>
        <v>0.2223</v>
      </c>
      <c r="AJ180" s="431"/>
      <c r="AL180" s="439"/>
      <c r="AM180" s="336">
        <f t="shared" ca="1" si="0"/>
        <v>0</v>
      </c>
      <c r="AN180" s="470" cm="1">
        <f t="array" aca="1" ref="AN180" ca="1">ROUND(ORÇAMENTO.CustoUnitario*(1+$AH180),2)</f>
        <v>0</v>
      </c>
    </row>
    <row r="181" spans="1:40" ht="51" x14ac:dyDescent="0.2">
      <c r="A181" t="str">
        <f t="shared" ref="A181:A212" si="49">CHOOSE(1+LOG(1+2*(ORÇAMENTO.Nivel="Meta")+4*(ORÇAMENTO.Nivel="Nível 2")+8*(ORÇAMENTO.Nivel="Nível 3")+16*(ORÇAMENTO.Nivel="Nível 4")+32*(ORÇAMENTO.Nivel="Serviço"),2),0,1,2,3,4,"S")</f>
        <v>S</v>
      </c>
      <c r="B181">
        <f t="shared" ca="1" si="36"/>
        <v>3</v>
      </c>
      <c r="C181" t="str">
        <f t="shared" ca="1" si="37"/>
        <v>S</v>
      </c>
      <c r="D181">
        <f t="shared" ca="1" si="38"/>
        <v>0</v>
      </c>
      <c r="E181">
        <f ca="1">IF($C181=1,OFFSET(E181,-1,0)+MAX(1,COUNTIF(QCI!$A$13:$A$24,OFFSET(ORÇAMENTO!E181,-1,0))),OFFSET(E181,-1,0))</f>
        <v>9</v>
      </c>
      <c r="F181">
        <f t="shared" ca="1" si="39"/>
        <v>2</v>
      </c>
      <c r="G181">
        <f t="shared" ca="1" si="40"/>
        <v>3</v>
      </c>
      <c r="H181">
        <f t="shared" ca="1" si="41"/>
        <v>0</v>
      </c>
      <c r="I181">
        <f t="shared" ca="1" si="42"/>
        <v>0</v>
      </c>
      <c r="J181">
        <f t="shared" ca="1" si="34"/>
        <v>0</v>
      </c>
      <c r="K181">
        <f ca="1">IF(OR($C181="S",$C181=0),0,MATCH(OFFSET($D181,0,$C181)+IF($C181&lt;&gt;1,1,COUNTIF(QCI!$A$13:$A$24,ORÇAMENTO!E181)),OFFSET($D181,1,$C181,ROW($C$244)-ROW($C181)),0))</f>
        <v>0</v>
      </c>
      <c r="L181" s="114" t="str">
        <f t="shared" ca="1" si="43"/>
        <v/>
      </c>
      <c r="M181" s="115" t="s">
        <v>705</v>
      </c>
      <c r="N181" s="116" t="str">
        <f t="shared" ca="1" si="44"/>
        <v>Serviço</v>
      </c>
      <c r="O181" s="117" t="str">
        <f t="shared" ca="1" si="45"/>
        <v>-</v>
      </c>
      <c r="P181" s="118" t="s">
        <v>750</v>
      </c>
      <c r="Q181" s="119" t="s">
        <v>1124</v>
      </c>
      <c r="R181" s="120" t="str" cm="1">
        <f t="array" aca="1" ref="R181" ca="1">IF($C181="S",REFERENCIA.Descricao,"(digite a descrição aqui)")</f>
        <v>(Código não identificado nas referências)</v>
      </c>
      <c r="S181" s="121" t="str" cm="1">
        <f t="array" aca="1" ref="S181" ca="1">REFERENCIA.Unidade</f>
        <v>-</v>
      </c>
      <c r="T181" s="122">
        <f ca="1">OFFSET(CÁLCULO!H$15,ROW($T181)-ROW(T$15),0)</f>
        <v>20</v>
      </c>
      <c r="U181" s="123">
        <f t="shared" ca="1" si="46"/>
        <v>0</v>
      </c>
      <c r="V181" s="124" t="s">
        <v>663</v>
      </c>
      <c r="W181" s="122" cm="1">
        <f t="array" aca="1" ref="W181" ca="1">IF($C181="S",ROUND(IF(TIPOORCAMENTO="Proposto",ORÇAMENTO.CustoUnitario*(1+$AH181),ORÇAMENTO.PrecoUnitarioLicitado),15-13*$AF$10),0)</f>
        <v>0</v>
      </c>
      <c r="X181" s="125" cm="1">
        <f t="array" aca="1" ref="X181" ca="1">IF($C181="S",IF(OR(Import.TipoArredondamento&lt;&gt;"TransfereGOV",ACOMPANHAMENTO="BM"),VTOTAL1,SUM(OFFSET(CÁLCULO!$AQ$15,ROW($X181)-ROW($X$15),1):OFFSET(CÁLCULO!$BR$15,ROW($X181)-ROW($X$15),-1))),IF($C181=0,0,ROUND(SomaAgrup,15-13*$AF$11)))</f>
        <v>0</v>
      </c>
      <c r="Y181" s="126" t="s">
        <v>751</v>
      </c>
      <c r="Z181" t="str">
        <f t="shared" ca="1" si="47"/>
        <v/>
      </c>
      <c r="AA181" s="127" cm="1">
        <f t="array" aca="1" ref="AA181" ca="1">IF($C181="S",IF($Z181="CP",$X181,IF($Z181="RA",(($X181)*QCI!$AA$3),0)),SomaAgrup)</f>
        <v>0</v>
      </c>
      <c r="AB181" s="128" cm="1">
        <f t="array" aca="1" ref="AB181" ca="1">IF($C181="S",IF($Z181="OU",ROUND($X181,2),0),SomaAgrup)</f>
        <v>0</v>
      </c>
      <c r="AC181" s="565" t="str" cm="1">
        <f t="array" aca="1" ref="AC181" ca="1">IF($N181=""," ",
IF(AND($C181&lt;&gt;"S",OR($R181="",$R181="(digite a descrição aqui)")),"DESCRIÇÃO",
IF(AND($C181="S",OR($Q181&lt;&gt;"",$T181&gt;0,$U181&gt;0),$P181=""),"FONTE",
IF(AND($C181="S",$P181&lt;&gt;"",OR($T181&gt;0,$U181&gt;0),$Q181=""),"CÓDIGO",
IF(AND($C181="S",$P181&lt;&gt;"",$Q181&lt;&gt;"",$R181="(Código não identificado nas referências)"),"CÓDIGO N/ID",
IF(AND($C181="S",OR($R181="",$R181="(digite a descrição aqui)"),OR($Q181&lt;&gt;"",$T181&gt;0,$U181&gt;0)),"DESCRIÇÃO",
IF(AND($C181="S",$P181&lt;&gt;"",$Q181&lt;&gt;"",$S181=""),"UNIDADE",
IF(AND($C181="S",$P181&lt;&gt;"",$Q181&lt;&gt;"",$U181=0),"SEM CUSTO",
IF(AND(TIPOORCAMENTO="Licitado",$AL181=0,$AN181&gt;0),"SEM PREÇO",
IF(AND($C181="S",$P181&lt;&gt;"",$Q181&lt;&gt;"",$U181&gt;0,AND($V181&lt;&gt;"BDI 1",$V181&lt;&gt;"BDI 2",$V181&lt;&gt;"BDI 3")),IF(ISNUMBER($V181),"JUSTIFICAR BDI","BDI"),
IF(OR(AND(import.recurso="OGU",TIPOORCAMENTO="Proposto",LEFT($O$8,5)&lt;&gt;"(N/D:",$AG181&lt;&gt;"",ORÇAMENTO.CustoUnitario&gt;$AG181),AND(TIPOORCAMENTO="LICITADO",ORÇAMENTO.PrecoUnitarioLicitado&gt;$AN181)),"ACIMA REF.",
IF(AND($C181="S",$P181&lt;&gt;"",$Q181&lt;&gt;"",$T181=0,$U181&gt;0),"QUANT.",
IF(AND(Import.TipoArredondamento="TransfereGOV",$L181="F",$C181="S",LEN($Q181)&gt;13),"Código &gt;13",
IF(AND(Import.TipoArredondamento="TransfereGOV",$L181="F",$C181&lt;&gt;"S",LEN($R181)&gt;100),"Descrição &gt;100",
IF(AND(Import.TipoArredondamento="TransfereGOV",$L181="F",$C181="S",LEN($R181)&gt;500),"Descrição &gt;500",
IF(AND(Import.TipoArredondamento="TransfereGOV",$L181="F",$C181="S",LEFT(TRIM(UPPER($P181)),6)&lt;&gt;"SINAPI",ISNA(VLOOKUP(TRIM(UPPER($S181)),ListaTgov.Unidades,1,FALSE))),"Unid. Não Disp",
" "))))))))))))))))</f>
        <v>CÓDIGO N/ID</v>
      </c>
      <c r="AD181" t="str">
        <f ca="1">IF(C181&lt;=CRONO.NivelExibicao,MAX($AD$15:OFFSET(AD181,-1,0))+IF($C181&lt;&gt;1,1,MAX(1,COUNTIF(QCI!$A$13:$A$24,OFFSET($E181,-1,0)))),"")</f>
        <v/>
      </c>
      <c r="AE181" s="7" t="str" cm="1">
        <f t="array" aca="1" ref="AE181" ca="1">IF(AND($C181="S",ORÇAMENTO.CodBarra&lt;&gt;""),IF(ORÇAMENTO.Fonte="",ORÇAMENTO.CodBarra,CONCATENATE(ORÇAMENTO.Fonte," ",ORÇAMENTO.CodBarra)))</f>
        <v>SINAPI 97741</v>
      </c>
      <c r="AF181" s="12" t="str" cm="1">
        <f t="array" aca="1" ref="AF181" ca="1">IF(ISERROR(ORÇAMENTO.BancoRef),"(abra o arquivo 'Referência "&amp;Excel_BuiltIn_Database&amp;".xlsm)",IF(OR($C181&lt;&gt;"S",ORÇAMENTO.CodBarra=""),"(Sem Código)",IF(ISERROR(MATCH($AE181,INDIRECT(ORÇAMENTO.BancoRef),0)),"(Código não identificado nas referências)",MATCH($AE181,INDIRECT(ORÇAMENTO.BancoRef),0))))</f>
        <v>(Código não identificado nas referências)</v>
      </c>
      <c r="AG181" s="428" cm="1">
        <f t="array" aca="1" ref="AG181" ca="1">ROUND(IF(DESONERACAO="sim",REFERENCIA.Desonerado,REFERENCIA.NaoDesonerado),2)</f>
        <v>0</v>
      </c>
      <c r="AH181" s="429">
        <f t="shared" ref="AH181:AH212" ca="1" si="50">ROUND(IF(ISNUMBER(ORÇAMENTO.OpcaoBDI),ORÇAMENTO.OpcaoBDI,IF(LEFT(ORÇAMENTO.OpcaoBDI,3)="BDI",HLOOKUP(ORÇAMENTO.OpcaoBDI,$F$4:$H$5,2,FALSE),0)),15-11*$AF$9)</f>
        <v>0.2223</v>
      </c>
      <c r="AJ181" s="431"/>
      <c r="AL181" s="439"/>
      <c r="AM181" s="336">
        <f t="shared" ca="1" si="0"/>
        <v>0</v>
      </c>
      <c r="AN181" s="470" cm="1">
        <f t="array" aca="1" ref="AN181" ca="1">ROUND(ORÇAMENTO.CustoUnitario*(1+$AH181),2)</f>
        <v>0</v>
      </c>
    </row>
    <row r="182" spans="1:40" ht="38.25" x14ac:dyDescent="0.2">
      <c r="A182" t="str">
        <f t="shared" si="49"/>
        <v>S</v>
      </c>
      <c r="B182">
        <f t="shared" ca="1" si="36"/>
        <v>3</v>
      </c>
      <c r="C182" t="str">
        <f t="shared" ca="1" si="37"/>
        <v>S</v>
      </c>
      <c r="D182">
        <f t="shared" ca="1" si="38"/>
        <v>0</v>
      </c>
      <c r="E182">
        <f ca="1">IF($C182=1,OFFSET(E182,-1,0)+MAX(1,COUNTIF(QCI!$A$13:$A$24,OFFSET(ORÇAMENTO!E182,-1,0))),OFFSET(E182,-1,0))</f>
        <v>9</v>
      </c>
      <c r="F182">
        <f t="shared" ca="1" si="39"/>
        <v>2</v>
      </c>
      <c r="G182">
        <f t="shared" ca="1" si="40"/>
        <v>3</v>
      </c>
      <c r="H182">
        <f t="shared" ca="1" si="41"/>
        <v>0</v>
      </c>
      <c r="I182">
        <f t="shared" ca="1" si="42"/>
        <v>0</v>
      </c>
      <c r="J182">
        <f t="shared" ca="1" si="34"/>
        <v>0</v>
      </c>
      <c r="K182">
        <f ca="1">IF(OR($C182="S",$C182=0),0,MATCH(OFFSET($D182,0,$C182)+IF($C182&lt;&gt;1,1,COUNTIF(QCI!$A$13:$A$24,ORÇAMENTO!E182)),OFFSET($D182,1,$C182,ROW($C$244)-ROW($C182)),0))</f>
        <v>0</v>
      </c>
      <c r="L182" s="114" t="str">
        <f t="shared" ca="1" si="43"/>
        <v/>
      </c>
      <c r="M182" s="115" t="s">
        <v>705</v>
      </c>
      <c r="N182" s="116" t="str">
        <f t="shared" ca="1" si="44"/>
        <v>Serviço</v>
      </c>
      <c r="O182" s="117" t="str">
        <f t="shared" ca="1" si="45"/>
        <v>-</v>
      </c>
      <c r="P182" s="118" t="s">
        <v>956</v>
      </c>
      <c r="Q182" s="119" t="s">
        <v>1125</v>
      </c>
      <c r="R182" s="120" t="str" cm="1">
        <f t="array" aca="1" ref="R182" ca="1">IF($C182="S",REFERENCIA.Descricao,"(digite a descrição aqui)")</f>
        <v>(Código não identificado nas referências)</v>
      </c>
      <c r="S182" s="121" t="str" cm="1">
        <f t="array" aca="1" ref="S182" ca="1">REFERENCIA.Unidade</f>
        <v>-</v>
      </c>
      <c r="T182" s="122">
        <f ca="1">OFFSET(CÁLCULO!H$15,ROW($T182)-ROW(T$15),0)</f>
        <v>20</v>
      </c>
      <c r="U182" s="123">
        <f t="shared" ca="1" si="46"/>
        <v>0</v>
      </c>
      <c r="V182" s="124" t="s">
        <v>663</v>
      </c>
      <c r="W182" s="122" cm="1">
        <f t="array" aca="1" ref="W182" ca="1">IF($C182="S",ROUND(IF(TIPOORCAMENTO="Proposto",ORÇAMENTO.CustoUnitario*(1+$AH182),ORÇAMENTO.PrecoUnitarioLicitado),15-13*$AF$10),0)</f>
        <v>0</v>
      </c>
      <c r="X182" s="125" cm="1">
        <f t="array" aca="1" ref="X182" ca="1">IF($C182="S",IF(OR(Import.TipoArredondamento&lt;&gt;"TransfereGOV",ACOMPANHAMENTO="BM"),VTOTAL1,SUM(OFFSET(CÁLCULO!$AQ$15,ROW($X182)-ROW($X$15),1):OFFSET(CÁLCULO!$BR$15,ROW($X182)-ROW($X$15),-1))),IF($C182=0,0,ROUND(SomaAgrup,15-13*$AF$11)))</f>
        <v>0</v>
      </c>
      <c r="Y182" s="126" t="s">
        <v>751</v>
      </c>
      <c r="Z182" t="str">
        <f t="shared" ca="1" si="47"/>
        <v/>
      </c>
      <c r="AA182" s="127" cm="1">
        <f t="array" aca="1" ref="AA182" ca="1">IF($C182="S",IF($Z182="CP",$X182,IF($Z182="RA",(($X182)*QCI!$AA$3),0)),SomaAgrup)</f>
        <v>0</v>
      </c>
      <c r="AB182" s="128" cm="1">
        <f t="array" aca="1" ref="AB182" ca="1">IF($C182="S",IF($Z182="OU",ROUND($X182,2),0),SomaAgrup)</f>
        <v>0</v>
      </c>
      <c r="AC182" s="565" t="str" cm="1">
        <f t="array" aca="1" ref="AC182" ca="1">IF($N182=""," ",
IF(AND($C182&lt;&gt;"S",OR($R182="",$R182="(digite a descrição aqui)")),"DESCRIÇÃO",
IF(AND($C182="S",OR($Q182&lt;&gt;"",$T182&gt;0,$U182&gt;0),$P182=""),"FONTE",
IF(AND($C182="S",$P182&lt;&gt;"",OR($T182&gt;0,$U182&gt;0),$Q182=""),"CÓDIGO",
IF(AND($C182="S",$P182&lt;&gt;"",$Q182&lt;&gt;"",$R182="(Código não identificado nas referências)"),"CÓDIGO N/ID",
IF(AND($C182="S",OR($R182="",$R182="(digite a descrição aqui)"),OR($Q182&lt;&gt;"",$T182&gt;0,$U182&gt;0)),"DESCRIÇÃO",
IF(AND($C182="S",$P182&lt;&gt;"",$Q182&lt;&gt;"",$S182=""),"UNIDADE",
IF(AND($C182="S",$P182&lt;&gt;"",$Q182&lt;&gt;"",$U182=0),"SEM CUSTO",
IF(AND(TIPOORCAMENTO="Licitado",$AL182=0,$AN182&gt;0),"SEM PREÇO",
IF(AND($C182="S",$P182&lt;&gt;"",$Q182&lt;&gt;"",$U182&gt;0,AND($V182&lt;&gt;"BDI 1",$V182&lt;&gt;"BDI 2",$V182&lt;&gt;"BDI 3")),IF(ISNUMBER($V182),"JUSTIFICAR BDI","BDI"),
IF(OR(AND(import.recurso="OGU",TIPOORCAMENTO="Proposto",LEFT($O$8,5)&lt;&gt;"(N/D:",$AG182&lt;&gt;"",ORÇAMENTO.CustoUnitario&gt;$AG182),AND(TIPOORCAMENTO="LICITADO",ORÇAMENTO.PrecoUnitarioLicitado&gt;$AN182)),"ACIMA REF.",
IF(AND($C182="S",$P182&lt;&gt;"",$Q182&lt;&gt;"",$T182=0,$U182&gt;0),"QUANT.",
IF(AND(Import.TipoArredondamento="TransfereGOV",$L182="F",$C182="S",LEN($Q182)&gt;13),"Código &gt;13",
IF(AND(Import.TipoArredondamento="TransfereGOV",$L182="F",$C182&lt;&gt;"S",LEN($R182)&gt;100),"Descrição &gt;100",
IF(AND(Import.TipoArredondamento="TransfereGOV",$L182="F",$C182="S",LEN($R182)&gt;500),"Descrição &gt;500",
IF(AND(Import.TipoArredondamento="TransfereGOV",$L182="F",$C182="S",LEFT(TRIM(UPPER($P182)),6)&lt;&gt;"SINAPI",ISNA(VLOOKUP(TRIM(UPPER($S182)),ListaTgov.Unidades,1,FALSE))),"Unid. Não Disp",
" "))))))))))))))))</f>
        <v>CÓDIGO N/ID</v>
      </c>
      <c r="AD182" t="str">
        <f ca="1">IF(C182&lt;=CRONO.NivelExibicao,MAX($AD$15:OFFSET(AD182,-1,0))+IF($C182&lt;&gt;1,1,MAX(1,COUNTIF(QCI!$A$13:$A$24,OFFSET($E182,-1,0)))),"")</f>
        <v/>
      </c>
      <c r="AE182" s="7" t="str" cm="1">
        <f t="array" aca="1" ref="AE182" ca="1">IF(AND($C182="S",ORÇAMENTO.CodBarra&lt;&gt;""),IF(ORÇAMENTO.Fonte="",ORÇAMENTO.CodBarra,CONCATENATE(ORÇAMENTO.Fonte," ",ORÇAMENTO.CodBarra)))</f>
        <v>Composição 104994_ADP-01</v>
      </c>
      <c r="AF182" s="12" t="str" cm="1">
        <f t="array" aca="1" ref="AF182" ca="1">IF(ISERROR(ORÇAMENTO.BancoRef),"(abra o arquivo 'Referência "&amp;Excel_BuiltIn_Database&amp;".xlsm)",IF(OR($C182&lt;&gt;"S",ORÇAMENTO.CodBarra=""),"(Sem Código)",IF(ISERROR(MATCH($AE182,INDIRECT(ORÇAMENTO.BancoRef),0)),"(Código não identificado nas referências)",MATCH($AE182,INDIRECT(ORÇAMENTO.BancoRef),0))))</f>
        <v>(Código não identificado nas referências)</v>
      </c>
      <c r="AG182" s="428" cm="1">
        <f t="array" aca="1" ref="AG182" ca="1">ROUND(IF(DESONERACAO="sim",REFERENCIA.Desonerado,REFERENCIA.NaoDesonerado),2)</f>
        <v>0</v>
      </c>
      <c r="AH182" s="429">
        <f t="shared" ca="1" si="50"/>
        <v>0.2223</v>
      </c>
      <c r="AJ182" s="431"/>
      <c r="AL182" s="439"/>
      <c r="AM182" s="336">
        <f t="shared" ca="1" si="0"/>
        <v>0</v>
      </c>
      <c r="AN182" s="470" cm="1">
        <f t="array" aca="1" ref="AN182" ca="1">ROUND(ORÇAMENTO.CustoUnitario*(1+$AH182),2)</f>
        <v>0</v>
      </c>
    </row>
    <row r="183" spans="1:40" ht="25.5" x14ac:dyDescent="0.2">
      <c r="A183" t="str">
        <f t="shared" si="49"/>
        <v>S</v>
      </c>
      <c r="B183">
        <f t="shared" ca="1" si="36"/>
        <v>3</v>
      </c>
      <c r="C183" t="str">
        <f t="shared" ca="1" si="37"/>
        <v>S</v>
      </c>
      <c r="D183">
        <f t="shared" ca="1" si="38"/>
        <v>0</v>
      </c>
      <c r="E183">
        <f ca="1">IF($C183=1,OFFSET(E183,-1,0)+MAX(1,COUNTIF(QCI!$A$13:$A$24,OFFSET(ORÇAMENTO!E183,-1,0))),OFFSET(E183,-1,0))</f>
        <v>9</v>
      </c>
      <c r="F183">
        <f t="shared" ca="1" si="39"/>
        <v>2</v>
      </c>
      <c r="G183">
        <f t="shared" ca="1" si="40"/>
        <v>3</v>
      </c>
      <c r="H183">
        <f t="shared" ca="1" si="41"/>
        <v>0</v>
      </c>
      <c r="I183">
        <f t="shared" ca="1" si="42"/>
        <v>0</v>
      </c>
      <c r="J183">
        <f t="shared" ca="1" si="34"/>
        <v>0</v>
      </c>
      <c r="K183">
        <f ca="1">IF(OR($C183="S",$C183=0),0,MATCH(OFFSET($D183,0,$C183)+IF($C183&lt;&gt;1,1,COUNTIF(QCI!$A$13:$A$24,ORÇAMENTO!E183)),OFFSET($D183,1,$C183,ROW($C$244)-ROW($C183)),0))</f>
        <v>0</v>
      </c>
      <c r="L183" s="114" t="str">
        <f t="shared" ca="1" si="43"/>
        <v/>
      </c>
      <c r="M183" s="115" t="s">
        <v>705</v>
      </c>
      <c r="N183" s="116" t="str">
        <f t="shared" ca="1" si="44"/>
        <v>Serviço</v>
      </c>
      <c r="O183" s="117" t="str">
        <f t="shared" ca="1" si="45"/>
        <v>-</v>
      </c>
      <c r="P183" s="118" t="s">
        <v>750</v>
      </c>
      <c r="Q183" s="119" t="s">
        <v>1126</v>
      </c>
      <c r="R183" s="120" t="str" cm="1">
        <f t="array" aca="1" ref="R183" ca="1">IF($C183="S",REFERENCIA.Descricao,"(digite a descrição aqui)")</f>
        <v>(Código não identificado nas referências)</v>
      </c>
      <c r="S183" s="121" t="str" cm="1">
        <f t="array" aca="1" ref="S183" ca="1">REFERENCIA.Unidade</f>
        <v>-</v>
      </c>
      <c r="T183" s="122">
        <f ca="1">OFFSET(CÁLCULO!H$15,ROW($T183)-ROW(T$15),0)</f>
        <v>20</v>
      </c>
      <c r="U183" s="123">
        <f t="shared" ca="1" si="46"/>
        <v>0</v>
      </c>
      <c r="V183" s="124" t="s">
        <v>663</v>
      </c>
      <c r="W183" s="122" cm="1">
        <f t="array" aca="1" ref="W183" ca="1">IF($C183="S",ROUND(IF(TIPOORCAMENTO="Proposto",ORÇAMENTO.CustoUnitario*(1+$AH183),ORÇAMENTO.PrecoUnitarioLicitado),15-13*$AF$10),0)</f>
        <v>0</v>
      </c>
      <c r="X183" s="125" cm="1">
        <f t="array" aca="1" ref="X183" ca="1">IF($C183="S",IF(OR(Import.TipoArredondamento&lt;&gt;"TransfereGOV",ACOMPANHAMENTO="BM"),VTOTAL1,SUM(OFFSET(CÁLCULO!$AQ$15,ROW($X183)-ROW($X$15),1):OFFSET(CÁLCULO!$BR$15,ROW($X183)-ROW($X$15),-1))),IF($C183=0,0,ROUND(SomaAgrup,15-13*$AF$11)))</f>
        <v>0</v>
      </c>
      <c r="Y183" s="126" t="s">
        <v>751</v>
      </c>
      <c r="Z183" t="str">
        <f t="shared" ca="1" si="47"/>
        <v/>
      </c>
      <c r="AA183" s="127" cm="1">
        <f t="array" aca="1" ref="AA183" ca="1">IF($C183="S",IF($Z183="CP",$X183,IF($Z183="RA",(($X183)*QCI!$AA$3),0)),SomaAgrup)</f>
        <v>0</v>
      </c>
      <c r="AB183" s="128" cm="1">
        <f t="array" aca="1" ref="AB183" ca="1">IF($C183="S",IF($Z183="OU",ROUND($X183,2),0),SomaAgrup)</f>
        <v>0</v>
      </c>
      <c r="AC183" s="565" t="str" cm="1">
        <f t="array" aca="1" ref="AC183" ca="1">IF($N183=""," ",
IF(AND($C183&lt;&gt;"S",OR($R183="",$R183="(digite a descrição aqui)")),"DESCRIÇÃO",
IF(AND($C183="S",OR($Q183&lt;&gt;"",$T183&gt;0,$U183&gt;0),$P183=""),"FONTE",
IF(AND($C183="S",$P183&lt;&gt;"",OR($T183&gt;0,$U183&gt;0),$Q183=""),"CÓDIGO",
IF(AND($C183="S",$P183&lt;&gt;"",$Q183&lt;&gt;"",$R183="(Código não identificado nas referências)"),"CÓDIGO N/ID",
IF(AND($C183="S",OR($R183="",$R183="(digite a descrição aqui)"),OR($Q183&lt;&gt;"",$T183&gt;0,$U183&gt;0)),"DESCRIÇÃO",
IF(AND($C183="S",$P183&lt;&gt;"",$Q183&lt;&gt;"",$S183=""),"UNIDADE",
IF(AND($C183="S",$P183&lt;&gt;"",$Q183&lt;&gt;"",$U183=0),"SEM CUSTO",
IF(AND(TIPOORCAMENTO="Licitado",$AL183=0,$AN183&gt;0),"SEM PREÇO",
IF(AND($C183="S",$P183&lt;&gt;"",$Q183&lt;&gt;"",$U183&gt;0,AND($V183&lt;&gt;"BDI 1",$V183&lt;&gt;"BDI 2",$V183&lt;&gt;"BDI 3")),IF(ISNUMBER($V183),"JUSTIFICAR BDI","BDI"),
IF(OR(AND(import.recurso="OGU",TIPOORCAMENTO="Proposto",LEFT($O$8,5)&lt;&gt;"(N/D:",$AG183&lt;&gt;"",ORÇAMENTO.CustoUnitario&gt;$AG183),AND(TIPOORCAMENTO="LICITADO",ORÇAMENTO.PrecoUnitarioLicitado&gt;$AN183)),"ACIMA REF.",
IF(AND($C183="S",$P183&lt;&gt;"",$Q183&lt;&gt;"",$T183=0,$U183&gt;0),"QUANT.",
IF(AND(Import.TipoArredondamento="TransfereGOV",$L183="F",$C183="S",LEN($Q183)&gt;13),"Código &gt;13",
IF(AND(Import.TipoArredondamento="TransfereGOV",$L183="F",$C183&lt;&gt;"S",LEN($R183)&gt;100),"Descrição &gt;100",
IF(AND(Import.TipoArredondamento="TransfereGOV",$L183="F",$C183="S",LEN($R183)&gt;500),"Descrição &gt;500",
IF(AND(Import.TipoArredondamento="TransfereGOV",$L183="F",$C183="S",LEFT(TRIM(UPPER($P183)),6)&lt;&gt;"SINAPI",ISNA(VLOOKUP(TRIM(UPPER($S183)),ListaTgov.Unidades,1,FALSE))),"Unid. Não Disp",
" "))))))))))))))))</f>
        <v>CÓDIGO N/ID</v>
      </c>
      <c r="AD183" t="str">
        <f ca="1">IF(C183&lt;=CRONO.NivelExibicao,MAX($AD$15:OFFSET(AD183,-1,0))+IF($C183&lt;&gt;1,1,MAX(1,COUNTIF(QCI!$A$13:$A$24,OFFSET($E183,-1,0)))),"")</f>
        <v/>
      </c>
      <c r="AE183" s="7" t="str" cm="1">
        <f t="array" aca="1" ref="AE183" ca="1">IF(AND($C183="S",ORÇAMENTO.CodBarra&lt;&gt;""),IF(ORÇAMENTO.Fonte="",ORÇAMENTO.CodBarra,CONCATENATE(ORÇAMENTO.Fonte," ",ORÇAMENTO.CodBarra)))</f>
        <v>SINAPI 89353</v>
      </c>
      <c r="AF183" s="12" t="str" cm="1">
        <f t="array" aca="1" ref="AF183" ca="1">IF(ISERROR(ORÇAMENTO.BancoRef),"(abra o arquivo 'Referência "&amp;Excel_BuiltIn_Database&amp;".xlsm)",IF(OR($C183&lt;&gt;"S",ORÇAMENTO.CodBarra=""),"(Sem Código)",IF(ISERROR(MATCH($AE183,INDIRECT(ORÇAMENTO.BancoRef),0)),"(Código não identificado nas referências)",MATCH($AE183,INDIRECT(ORÇAMENTO.BancoRef),0))))</f>
        <v>(Código não identificado nas referências)</v>
      </c>
      <c r="AG183" s="428" cm="1">
        <f t="array" aca="1" ref="AG183" ca="1">ROUND(IF(DESONERACAO="sim",REFERENCIA.Desonerado,REFERENCIA.NaoDesonerado),2)</f>
        <v>0</v>
      </c>
      <c r="AH183" s="429">
        <f t="shared" ca="1" si="50"/>
        <v>0.2223</v>
      </c>
      <c r="AJ183" s="431"/>
      <c r="AL183" s="439"/>
      <c r="AM183" s="336">
        <f t="shared" ca="1" si="0"/>
        <v>0</v>
      </c>
      <c r="AN183" s="470" cm="1">
        <f t="array" aca="1" ref="AN183" ca="1">ROUND(ORÇAMENTO.CustoUnitario*(1+$AH183),2)</f>
        <v>0</v>
      </c>
    </row>
    <row r="184" spans="1:40" ht="38.25" x14ac:dyDescent="0.2">
      <c r="A184" t="str">
        <f t="shared" si="49"/>
        <v>S</v>
      </c>
      <c r="B184">
        <f t="shared" ca="1" si="36"/>
        <v>3</v>
      </c>
      <c r="C184" t="str">
        <f t="shared" ca="1" si="37"/>
        <v>S</v>
      </c>
      <c r="D184">
        <f t="shared" ca="1" si="38"/>
        <v>0</v>
      </c>
      <c r="E184">
        <f ca="1">IF($C184=1,OFFSET(E184,-1,0)+MAX(1,COUNTIF(QCI!$A$13:$A$24,OFFSET(ORÇAMENTO!E184,-1,0))),OFFSET(E184,-1,0))</f>
        <v>9</v>
      </c>
      <c r="F184">
        <f t="shared" ca="1" si="39"/>
        <v>2</v>
      </c>
      <c r="G184">
        <f t="shared" ca="1" si="40"/>
        <v>3</v>
      </c>
      <c r="H184">
        <f t="shared" ca="1" si="41"/>
        <v>0</v>
      </c>
      <c r="I184">
        <f t="shared" ca="1" si="42"/>
        <v>0</v>
      </c>
      <c r="J184">
        <f t="shared" ca="1" si="34"/>
        <v>0</v>
      </c>
      <c r="K184">
        <f ca="1">IF(OR($C184="S",$C184=0),0,MATCH(OFFSET($D184,0,$C184)+IF($C184&lt;&gt;1,1,COUNTIF(QCI!$A$13:$A$24,ORÇAMENTO!E184)),OFFSET($D184,1,$C184,ROW($C$244)-ROW($C184)),0))</f>
        <v>0</v>
      </c>
      <c r="L184" s="114" t="str">
        <f t="shared" ca="1" si="43"/>
        <v/>
      </c>
      <c r="M184" s="115" t="s">
        <v>705</v>
      </c>
      <c r="N184" s="116" t="str">
        <f t="shared" ca="1" si="44"/>
        <v>Serviço</v>
      </c>
      <c r="O184" s="117" t="str">
        <f t="shared" ca="1" si="45"/>
        <v>-</v>
      </c>
      <c r="P184" s="118" t="s">
        <v>750</v>
      </c>
      <c r="Q184" s="119" t="s">
        <v>1127</v>
      </c>
      <c r="R184" s="120" t="str" cm="1">
        <f t="array" aca="1" ref="R184" ca="1">IF($C184="S",REFERENCIA.Descricao,"(digite a descrição aqui)")</f>
        <v>(Código não identificado nas referências)</v>
      </c>
      <c r="S184" s="121" t="str" cm="1">
        <f t="array" aca="1" ref="S184" ca="1">REFERENCIA.Unidade</f>
        <v>-</v>
      </c>
      <c r="T184" s="122">
        <f ca="1">OFFSET(CÁLCULO!H$15,ROW($T184)-ROW(T$15),0)</f>
        <v>135</v>
      </c>
      <c r="U184" s="123">
        <f t="shared" ca="1" si="46"/>
        <v>0</v>
      </c>
      <c r="V184" s="124" t="s">
        <v>663</v>
      </c>
      <c r="W184" s="122" cm="1">
        <f t="array" aca="1" ref="W184" ca="1">IF($C184="S",ROUND(IF(TIPOORCAMENTO="Proposto",ORÇAMENTO.CustoUnitario*(1+$AH184),ORÇAMENTO.PrecoUnitarioLicitado),15-13*$AF$10),0)</f>
        <v>0</v>
      </c>
      <c r="X184" s="125" cm="1">
        <f t="array" aca="1" ref="X184" ca="1">IF($C184="S",IF(OR(Import.TipoArredondamento&lt;&gt;"TransfereGOV",ACOMPANHAMENTO="BM"),VTOTAL1,SUM(OFFSET(CÁLCULO!$AQ$15,ROW($X184)-ROW($X$15),1):OFFSET(CÁLCULO!$BR$15,ROW($X184)-ROW($X$15),-1))),IF($C184=0,0,ROUND(SomaAgrup,15-13*$AF$11)))</f>
        <v>0</v>
      </c>
      <c r="Y184" s="126" t="s">
        <v>751</v>
      </c>
      <c r="Z184" t="str">
        <f t="shared" ca="1" si="47"/>
        <v/>
      </c>
      <c r="AA184" s="127" cm="1">
        <f t="array" aca="1" ref="AA184" ca="1">IF($C184="S",IF($Z184="CP",$X184,IF($Z184="RA",(($X184)*QCI!$AA$3),0)),SomaAgrup)</f>
        <v>0</v>
      </c>
      <c r="AB184" s="128" cm="1">
        <f t="array" aca="1" ref="AB184" ca="1">IF($C184="S",IF($Z184="OU",ROUND($X184,2),0),SomaAgrup)</f>
        <v>0</v>
      </c>
      <c r="AC184" s="565" t="str" cm="1">
        <f t="array" aca="1" ref="AC184" ca="1">IF($N184=""," ",
IF(AND($C184&lt;&gt;"S",OR($R184="",$R184="(digite a descrição aqui)")),"DESCRIÇÃO",
IF(AND($C184="S",OR($Q184&lt;&gt;"",$T184&gt;0,$U184&gt;0),$P184=""),"FONTE",
IF(AND($C184="S",$P184&lt;&gt;"",OR($T184&gt;0,$U184&gt;0),$Q184=""),"CÓDIGO",
IF(AND($C184="S",$P184&lt;&gt;"",$Q184&lt;&gt;"",$R184="(Código não identificado nas referências)"),"CÓDIGO N/ID",
IF(AND($C184="S",OR($R184="",$R184="(digite a descrição aqui)"),OR($Q184&lt;&gt;"",$T184&gt;0,$U184&gt;0)),"DESCRIÇÃO",
IF(AND($C184="S",$P184&lt;&gt;"",$Q184&lt;&gt;"",$S184=""),"UNIDADE",
IF(AND($C184="S",$P184&lt;&gt;"",$Q184&lt;&gt;"",$U184=0),"SEM CUSTO",
IF(AND(TIPOORCAMENTO="Licitado",$AL184=0,$AN184&gt;0),"SEM PREÇO",
IF(AND($C184="S",$P184&lt;&gt;"",$Q184&lt;&gt;"",$U184&gt;0,AND($V184&lt;&gt;"BDI 1",$V184&lt;&gt;"BDI 2",$V184&lt;&gt;"BDI 3")),IF(ISNUMBER($V184),"JUSTIFICAR BDI","BDI"),
IF(OR(AND(import.recurso="OGU",TIPOORCAMENTO="Proposto",LEFT($O$8,5)&lt;&gt;"(N/D:",$AG184&lt;&gt;"",ORÇAMENTO.CustoUnitario&gt;$AG184),AND(TIPOORCAMENTO="LICITADO",ORÇAMENTO.PrecoUnitarioLicitado&gt;$AN184)),"ACIMA REF.",
IF(AND($C184="S",$P184&lt;&gt;"",$Q184&lt;&gt;"",$T184=0,$U184&gt;0),"QUANT.",
IF(AND(Import.TipoArredondamento="TransfereGOV",$L184="F",$C184="S",LEN($Q184)&gt;13),"Código &gt;13",
IF(AND(Import.TipoArredondamento="TransfereGOV",$L184="F",$C184&lt;&gt;"S",LEN($R184)&gt;100),"Descrição &gt;100",
IF(AND(Import.TipoArredondamento="TransfereGOV",$L184="F",$C184="S",LEN($R184)&gt;500),"Descrição &gt;500",
IF(AND(Import.TipoArredondamento="TransfereGOV",$L184="F",$C184="S",LEFT(TRIM(UPPER($P184)),6)&lt;&gt;"SINAPI",ISNA(VLOOKUP(TRIM(UPPER($S184)),ListaTgov.Unidades,1,FALSE))),"Unid. Não Disp",
" "))))))))))))))))</f>
        <v>CÓDIGO N/ID</v>
      </c>
      <c r="AD184" t="str">
        <f ca="1">IF(C184&lt;=CRONO.NivelExibicao,MAX($AD$15:OFFSET(AD184,-1,0))+IF($C184&lt;&gt;1,1,MAX(1,COUNTIF(QCI!$A$13:$A$24,OFFSET($E184,-1,0)))),"")</f>
        <v/>
      </c>
      <c r="AE184" s="7" t="str" cm="1">
        <f t="array" aca="1" ref="AE184" ca="1">IF(AND($C184="S",ORÇAMENTO.CodBarra&lt;&gt;""),IF(ORÇAMENTO.Fonte="",ORÇAMENTO.CodBarra,CONCATENATE(ORÇAMENTO.Fonte," ",ORÇAMENTO.CodBarra)))</f>
        <v>SINAPI 89402</v>
      </c>
      <c r="AF184" s="12" t="str" cm="1">
        <f t="array" aca="1" ref="AF184" ca="1">IF(ISERROR(ORÇAMENTO.BancoRef),"(abra o arquivo 'Referência "&amp;Excel_BuiltIn_Database&amp;".xlsm)",IF(OR($C184&lt;&gt;"S",ORÇAMENTO.CodBarra=""),"(Sem Código)",IF(ISERROR(MATCH($AE184,INDIRECT(ORÇAMENTO.BancoRef),0)),"(Código não identificado nas referências)",MATCH($AE184,INDIRECT(ORÇAMENTO.BancoRef),0))))</f>
        <v>(Código não identificado nas referências)</v>
      </c>
      <c r="AG184" s="428" cm="1">
        <f t="array" aca="1" ref="AG184" ca="1">ROUND(IF(DESONERACAO="sim",REFERENCIA.Desonerado,REFERENCIA.NaoDesonerado),2)</f>
        <v>0</v>
      </c>
      <c r="AH184" s="429">
        <f t="shared" ca="1" si="50"/>
        <v>0.2223</v>
      </c>
      <c r="AJ184" s="431"/>
      <c r="AL184" s="439"/>
      <c r="AM184" s="336">
        <f t="shared" ca="1" si="0"/>
        <v>0</v>
      </c>
      <c r="AN184" s="470" cm="1">
        <f t="array" aca="1" ref="AN184" ca="1">ROUND(ORÇAMENTO.CustoUnitario*(1+$AH184),2)</f>
        <v>0</v>
      </c>
    </row>
    <row r="185" spans="1:40" ht="25.5" x14ac:dyDescent="0.2">
      <c r="A185" t="str">
        <f t="shared" si="49"/>
        <v>S</v>
      </c>
      <c r="B185">
        <f t="shared" ca="1" si="36"/>
        <v>3</v>
      </c>
      <c r="C185" t="str">
        <f t="shared" ca="1" si="37"/>
        <v>S</v>
      </c>
      <c r="D185">
        <f t="shared" ca="1" si="38"/>
        <v>0</v>
      </c>
      <c r="E185">
        <f ca="1">IF($C185=1,OFFSET(E185,-1,0)+MAX(1,COUNTIF(QCI!$A$13:$A$24,OFFSET(ORÇAMENTO!E185,-1,0))),OFFSET(E185,-1,0))</f>
        <v>9</v>
      </c>
      <c r="F185">
        <f t="shared" ca="1" si="39"/>
        <v>2</v>
      </c>
      <c r="G185">
        <f t="shared" ca="1" si="40"/>
        <v>3</v>
      </c>
      <c r="H185">
        <f t="shared" ca="1" si="41"/>
        <v>0</v>
      </c>
      <c r="I185">
        <f t="shared" ca="1" si="42"/>
        <v>0</v>
      </c>
      <c r="J185">
        <f t="shared" ca="1" si="34"/>
        <v>0</v>
      </c>
      <c r="K185">
        <f ca="1">IF(OR($C185="S",$C185=0),0,MATCH(OFFSET($D185,0,$C185)+IF($C185&lt;&gt;1,1,COUNTIF(QCI!$A$13:$A$24,ORÇAMENTO!E185)),OFFSET($D185,1,$C185,ROW($C$244)-ROW($C185)),0))</f>
        <v>0</v>
      </c>
      <c r="L185" s="114" t="str">
        <f t="shared" ca="1" si="43"/>
        <v/>
      </c>
      <c r="M185" s="115" t="s">
        <v>705</v>
      </c>
      <c r="N185" s="116" t="str">
        <f t="shared" ca="1" si="44"/>
        <v>Serviço</v>
      </c>
      <c r="O185" s="117" t="str">
        <f t="shared" ca="1" si="45"/>
        <v>-</v>
      </c>
      <c r="P185" s="118" t="s">
        <v>750</v>
      </c>
      <c r="Q185" s="119" t="s">
        <v>1117</v>
      </c>
      <c r="R185" s="120" t="str" cm="1">
        <f t="array" aca="1" ref="R185" ca="1">IF($C185="S",REFERENCIA.Descricao,"(digite a descrição aqui)")</f>
        <v>(Código não identificado nas referências)</v>
      </c>
      <c r="S185" s="121" t="str" cm="1">
        <f t="array" aca="1" ref="S185" ca="1">REFERENCIA.Unidade</f>
        <v>-</v>
      </c>
      <c r="T185" s="122">
        <f ca="1">OFFSET(CÁLCULO!H$15,ROW($T185)-ROW(T$15),0)</f>
        <v>60</v>
      </c>
      <c r="U185" s="123">
        <f t="shared" ca="1" si="46"/>
        <v>0</v>
      </c>
      <c r="V185" s="124" t="s">
        <v>663</v>
      </c>
      <c r="W185" s="122" cm="1">
        <f t="array" aca="1" ref="W185" ca="1">IF($C185="S",ROUND(IF(TIPOORCAMENTO="Proposto",ORÇAMENTO.CustoUnitario*(1+$AH185),ORÇAMENTO.PrecoUnitarioLicitado),15-13*$AF$10),0)</f>
        <v>0</v>
      </c>
      <c r="X185" s="125" cm="1">
        <f t="array" aca="1" ref="X185" ca="1">IF($C185="S",IF(OR(Import.TipoArredondamento&lt;&gt;"TransfereGOV",ACOMPANHAMENTO="BM"),VTOTAL1,SUM(OFFSET(CÁLCULO!$AQ$15,ROW($X185)-ROW($X$15),1):OFFSET(CÁLCULO!$BR$15,ROW($X185)-ROW($X$15),-1))),IF($C185=0,0,ROUND(SomaAgrup,15-13*$AF$11)))</f>
        <v>0</v>
      </c>
      <c r="Y185" s="126" t="s">
        <v>751</v>
      </c>
      <c r="Z185" t="str">
        <f t="shared" ca="1" si="47"/>
        <v/>
      </c>
      <c r="AA185" s="127" cm="1">
        <f t="array" aca="1" ref="AA185" ca="1">IF($C185="S",IF($Z185="CP",$X185,IF($Z185="RA",(($X185)*QCI!$AA$3),0)),SomaAgrup)</f>
        <v>0</v>
      </c>
      <c r="AB185" s="128" cm="1">
        <f t="array" aca="1" ref="AB185" ca="1">IF($C185="S",IF($Z185="OU",ROUND($X185,2),0),SomaAgrup)</f>
        <v>0</v>
      </c>
      <c r="AC185" s="565" t="str" cm="1">
        <f t="array" aca="1" ref="AC185" ca="1">IF($N185=""," ",
IF(AND($C185&lt;&gt;"S",OR($R185="",$R185="(digite a descrição aqui)")),"DESCRIÇÃO",
IF(AND($C185="S",OR($Q185&lt;&gt;"",$T185&gt;0,$U185&gt;0),$P185=""),"FONTE",
IF(AND($C185="S",$P185&lt;&gt;"",OR($T185&gt;0,$U185&gt;0),$Q185=""),"CÓDIGO",
IF(AND($C185="S",$P185&lt;&gt;"",$Q185&lt;&gt;"",$R185="(Código não identificado nas referências)"),"CÓDIGO N/ID",
IF(AND($C185="S",OR($R185="",$R185="(digite a descrição aqui)"),OR($Q185&lt;&gt;"",$T185&gt;0,$U185&gt;0)),"DESCRIÇÃO",
IF(AND($C185="S",$P185&lt;&gt;"",$Q185&lt;&gt;"",$S185=""),"UNIDADE",
IF(AND($C185="S",$P185&lt;&gt;"",$Q185&lt;&gt;"",$U185=0),"SEM CUSTO",
IF(AND(TIPOORCAMENTO="Licitado",$AL185=0,$AN185&gt;0),"SEM PREÇO",
IF(AND($C185="S",$P185&lt;&gt;"",$Q185&lt;&gt;"",$U185&gt;0,AND($V185&lt;&gt;"BDI 1",$V185&lt;&gt;"BDI 2",$V185&lt;&gt;"BDI 3")),IF(ISNUMBER($V185),"JUSTIFICAR BDI","BDI"),
IF(OR(AND(import.recurso="OGU",TIPOORCAMENTO="Proposto",LEFT($O$8,5)&lt;&gt;"(N/D:",$AG185&lt;&gt;"",ORÇAMENTO.CustoUnitario&gt;$AG185),AND(TIPOORCAMENTO="LICITADO",ORÇAMENTO.PrecoUnitarioLicitado&gt;$AN185)),"ACIMA REF.",
IF(AND($C185="S",$P185&lt;&gt;"",$Q185&lt;&gt;"",$T185=0,$U185&gt;0),"QUANT.",
IF(AND(Import.TipoArredondamento="TransfereGOV",$L185="F",$C185="S",LEN($Q185)&gt;13),"Código &gt;13",
IF(AND(Import.TipoArredondamento="TransfereGOV",$L185="F",$C185&lt;&gt;"S",LEN($R185)&gt;100),"Descrição &gt;100",
IF(AND(Import.TipoArredondamento="TransfereGOV",$L185="F",$C185="S",LEN($R185)&gt;500),"Descrição &gt;500",
IF(AND(Import.TipoArredondamento="TransfereGOV",$L185="F",$C185="S",LEFT(TRIM(UPPER($P185)),6)&lt;&gt;"SINAPI",ISNA(VLOOKUP(TRIM(UPPER($S185)),ListaTgov.Unidades,1,FALSE))),"Unid. Não Disp",
" "))))))))))))))))</f>
        <v>CÓDIGO N/ID</v>
      </c>
      <c r="AD185" t="str">
        <f ca="1">IF(C185&lt;=CRONO.NivelExibicao,MAX($AD$15:OFFSET(AD185,-1,0))+IF($C185&lt;&gt;1,1,MAX(1,COUNTIF(QCI!$A$13:$A$24,OFFSET($E185,-1,0)))),"")</f>
        <v/>
      </c>
      <c r="AE185" s="7" t="str" cm="1">
        <f t="array" aca="1" ref="AE185" ca="1">IF(AND($C185="S",ORÇAMENTO.CodBarra&lt;&gt;""),IF(ORÇAMENTO.Fonte="",ORÇAMENTO.CodBarra,CONCATENATE(ORÇAMENTO.Fonte," ",ORÇAMENTO.CodBarra)))</f>
        <v>SINAPI 89446</v>
      </c>
      <c r="AF185" s="12" t="str" cm="1">
        <f t="array" aca="1" ref="AF185" ca="1">IF(ISERROR(ORÇAMENTO.BancoRef),"(abra o arquivo 'Referência "&amp;Excel_BuiltIn_Database&amp;".xlsm)",IF(OR($C185&lt;&gt;"S",ORÇAMENTO.CodBarra=""),"(Sem Código)",IF(ISERROR(MATCH($AE185,INDIRECT(ORÇAMENTO.BancoRef),0)),"(Código não identificado nas referências)",MATCH($AE185,INDIRECT(ORÇAMENTO.BancoRef),0))))</f>
        <v>(Código não identificado nas referências)</v>
      </c>
      <c r="AG185" s="428" cm="1">
        <f t="array" aca="1" ref="AG185" ca="1">ROUND(IF(DESONERACAO="sim",REFERENCIA.Desonerado,REFERENCIA.NaoDesonerado),2)</f>
        <v>0</v>
      </c>
      <c r="AH185" s="429">
        <f t="shared" ca="1" si="50"/>
        <v>0.2223</v>
      </c>
      <c r="AJ185" s="431"/>
      <c r="AL185" s="439"/>
      <c r="AM185" s="336">
        <f t="shared" ca="1" si="0"/>
        <v>0</v>
      </c>
      <c r="AN185" s="470" cm="1">
        <f t="array" aca="1" ref="AN185" ca="1">ROUND(ORÇAMENTO.CustoUnitario*(1+$AH185),2)</f>
        <v>0</v>
      </c>
    </row>
    <row r="186" spans="1:40" ht="38.25" x14ac:dyDescent="0.2">
      <c r="A186" t="str">
        <f t="shared" si="49"/>
        <v>S</v>
      </c>
      <c r="B186">
        <f t="shared" ca="1" si="36"/>
        <v>3</v>
      </c>
      <c r="C186" t="str">
        <f t="shared" ca="1" si="37"/>
        <v>S</v>
      </c>
      <c r="D186">
        <f t="shared" ca="1" si="38"/>
        <v>0</v>
      </c>
      <c r="E186">
        <f ca="1">IF($C186=1,OFFSET(E186,-1,0)+MAX(1,COUNTIF(QCI!$A$13:$A$24,OFFSET(ORÇAMENTO!E186,-1,0))),OFFSET(E186,-1,0))</f>
        <v>9</v>
      </c>
      <c r="F186">
        <f t="shared" ca="1" si="39"/>
        <v>2</v>
      </c>
      <c r="G186">
        <f t="shared" ca="1" si="40"/>
        <v>3</v>
      </c>
      <c r="H186">
        <f t="shared" ca="1" si="41"/>
        <v>0</v>
      </c>
      <c r="I186">
        <f t="shared" ca="1" si="42"/>
        <v>0</v>
      </c>
      <c r="J186">
        <f t="shared" ca="1" si="34"/>
        <v>0</v>
      </c>
      <c r="K186">
        <f ca="1">IF(OR($C186="S",$C186=0),0,MATCH(OFFSET($D186,0,$C186)+IF($C186&lt;&gt;1,1,COUNTIF(QCI!$A$13:$A$24,ORÇAMENTO!E186)),OFFSET($D186,1,$C186,ROW($C$244)-ROW($C186)),0))</f>
        <v>0</v>
      </c>
      <c r="L186" s="114" t="str">
        <f t="shared" ca="1" si="43"/>
        <v/>
      </c>
      <c r="M186" s="115" t="s">
        <v>705</v>
      </c>
      <c r="N186" s="116" t="str">
        <f t="shared" ca="1" si="44"/>
        <v>Serviço</v>
      </c>
      <c r="O186" s="117" t="str">
        <f t="shared" ca="1" si="45"/>
        <v>-</v>
      </c>
      <c r="P186" s="118" t="s">
        <v>750</v>
      </c>
      <c r="Q186" s="119" t="s">
        <v>1114</v>
      </c>
      <c r="R186" s="120" t="str" cm="1">
        <f t="array" aca="1" ref="R186" ca="1">IF($C186="S",REFERENCIA.Descricao,"(digite a descrição aqui)")</f>
        <v>(Código não identificado nas referências)</v>
      </c>
      <c r="S186" s="121" t="str" cm="1">
        <f t="array" aca="1" ref="S186" ca="1">REFERENCIA.Unidade</f>
        <v>-</v>
      </c>
      <c r="T186" s="122">
        <f ca="1">OFFSET(CÁLCULO!H$15,ROW($T186)-ROW(T$15),0)</f>
        <v>40</v>
      </c>
      <c r="U186" s="123">
        <f t="shared" ca="1" si="46"/>
        <v>0</v>
      </c>
      <c r="V186" s="124" t="s">
        <v>663</v>
      </c>
      <c r="W186" s="122" cm="1">
        <f t="array" aca="1" ref="W186" ca="1">IF($C186="S",ROUND(IF(TIPOORCAMENTO="Proposto",ORÇAMENTO.CustoUnitario*(1+$AH186),ORÇAMENTO.PrecoUnitarioLicitado),15-13*$AF$10),0)</f>
        <v>0</v>
      </c>
      <c r="X186" s="125" cm="1">
        <f t="array" aca="1" ref="X186" ca="1">IF($C186="S",IF(OR(Import.TipoArredondamento&lt;&gt;"TransfereGOV",ACOMPANHAMENTO="BM"),VTOTAL1,SUM(OFFSET(CÁLCULO!$AQ$15,ROW($X186)-ROW($X$15),1):OFFSET(CÁLCULO!$BR$15,ROW($X186)-ROW($X$15),-1))),IF($C186=0,0,ROUND(SomaAgrup,15-13*$AF$11)))</f>
        <v>0</v>
      </c>
      <c r="Y186" s="126" t="s">
        <v>751</v>
      </c>
      <c r="Z186" t="str">
        <f t="shared" ca="1" si="47"/>
        <v/>
      </c>
      <c r="AA186" s="127" cm="1">
        <f t="array" aca="1" ref="AA186" ca="1">IF($C186="S",IF($Z186="CP",$X186,IF($Z186="RA",(($X186)*QCI!$AA$3),0)),SomaAgrup)</f>
        <v>0</v>
      </c>
      <c r="AB186" s="128" cm="1">
        <f t="array" aca="1" ref="AB186" ca="1">IF($C186="S",IF($Z186="OU",ROUND($X186,2),0),SomaAgrup)</f>
        <v>0</v>
      </c>
      <c r="AC186" s="565" t="str" cm="1">
        <f t="array" aca="1" ref="AC186" ca="1">IF($N186=""," ",
IF(AND($C186&lt;&gt;"S",OR($R186="",$R186="(digite a descrição aqui)")),"DESCRIÇÃO",
IF(AND($C186="S",OR($Q186&lt;&gt;"",$T186&gt;0,$U186&gt;0),$P186=""),"FONTE",
IF(AND($C186="S",$P186&lt;&gt;"",OR($T186&gt;0,$U186&gt;0),$Q186=""),"CÓDIGO",
IF(AND($C186="S",$P186&lt;&gt;"",$Q186&lt;&gt;"",$R186="(Código não identificado nas referências)"),"CÓDIGO N/ID",
IF(AND($C186="S",OR($R186="",$R186="(digite a descrição aqui)"),OR($Q186&lt;&gt;"",$T186&gt;0,$U186&gt;0)),"DESCRIÇÃO",
IF(AND($C186="S",$P186&lt;&gt;"",$Q186&lt;&gt;"",$S186=""),"UNIDADE",
IF(AND($C186="S",$P186&lt;&gt;"",$Q186&lt;&gt;"",$U186=0),"SEM CUSTO",
IF(AND(TIPOORCAMENTO="Licitado",$AL186=0,$AN186&gt;0),"SEM PREÇO",
IF(AND($C186="S",$P186&lt;&gt;"",$Q186&lt;&gt;"",$U186&gt;0,AND($V186&lt;&gt;"BDI 1",$V186&lt;&gt;"BDI 2",$V186&lt;&gt;"BDI 3")),IF(ISNUMBER($V186),"JUSTIFICAR BDI","BDI"),
IF(OR(AND(import.recurso="OGU",TIPOORCAMENTO="Proposto",LEFT($O$8,5)&lt;&gt;"(N/D:",$AG186&lt;&gt;"",ORÇAMENTO.CustoUnitario&gt;$AG186),AND(TIPOORCAMENTO="LICITADO",ORÇAMENTO.PrecoUnitarioLicitado&gt;$AN186)),"ACIMA REF.",
IF(AND($C186="S",$P186&lt;&gt;"",$Q186&lt;&gt;"",$T186=0,$U186&gt;0),"QUANT.",
IF(AND(Import.TipoArredondamento="TransfereGOV",$L186="F",$C186="S",LEN($Q186)&gt;13),"Código &gt;13",
IF(AND(Import.TipoArredondamento="TransfereGOV",$L186="F",$C186&lt;&gt;"S",LEN($R186)&gt;100),"Descrição &gt;100",
IF(AND(Import.TipoArredondamento="TransfereGOV",$L186="F",$C186="S",LEN($R186)&gt;500),"Descrição &gt;500",
IF(AND(Import.TipoArredondamento="TransfereGOV",$L186="F",$C186="S",LEFT(TRIM(UPPER($P186)),6)&lt;&gt;"SINAPI",ISNA(VLOOKUP(TRIM(UPPER($S186)),ListaTgov.Unidades,1,FALSE))),"Unid. Não Disp",
" "))))))))))))))))</f>
        <v>CÓDIGO N/ID</v>
      </c>
      <c r="AD186" t="str">
        <f ca="1">IF(C186&lt;=CRONO.NivelExibicao,MAX($AD$15:OFFSET(AD186,-1,0))+IF($C186&lt;&gt;1,1,MAX(1,COUNTIF(QCI!$A$13:$A$24,OFFSET($E186,-1,0)))),"")</f>
        <v/>
      </c>
      <c r="AE186" s="7" t="str" cm="1">
        <f t="array" aca="1" ref="AE186" ca="1">IF(AND($C186="S",ORÇAMENTO.CodBarra&lt;&gt;""),IF(ORÇAMENTO.Fonte="",ORÇAMENTO.CodBarra,CONCATENATE(ORÇAMENTO.Fonte," ",ORÇAMENTO.CodBarra)))</f>
        <v>SINAPI 89408</v>
      </c>
      <c r="AF186" s="12" t="str" cm="1">
        <f t="array" aca="1" ref="AF186" ca="1">IF(ISERROR(ORÇAMENTO.BancoRef),"(abra o arquivo 'Referência "&amp;Excel_BuiltIn_Database&amp;".xlsm)",IF(OR($C186&lt;&gt;"S",ORÇAMENTO.CodBarra=""),"(Sem Código)",IF(ISERROR(MATCH($AE186,INDIRECT(ORÇAMENTO.BancoRef),0)),"(Código não identificado nas referências)",MATCH($AE186,INDIRECT(ORÇAMENTO.BancoRef),0))))</f>
        <v>(Código não identificado nas referências)</v>
      </c>
      <c r="AG186" s="428" cm="1">
        <f t="array" aca="1" ref="AG186" ca="1">ROUND(IF(DESONERACAO="sim",REFERENCIA.Desonerado,REFERENCIA.NaoDesonerado),2)</f>
        <v>0</v>
      </c>
      <c r="AH186" s="429">
        <f t="shared" ca="1" si="50"/>
        <v>0.2223</v>
      </c>
      <c r="AJ186" s="431"/>
      <c r="AL186" s="439"/>
      <c r="AM186" s="336">
        <f t="shared" ca="1" si="0"/>
        <v>0</v>
      </c>
      <c r="AN186" s="470" cm="1">
        <f t="array" aca="1" ref="AN186" ca="1">ROUND(ORÇAMENTO.CustoUnitario*(1+$AH186),2)</f>
        <v>0</v>
      </c>
    </row>
    <row r="187" spans="1:40" ht="38.25" x14ac:dyDescent="0.2">
      <c r="A187" t="str">
        <f t="shared" si="49"/>
        <v>S</v>
      </c>
      <c r="B187">
        <f t="shared" ca="1" si="36"/>
        <v>3</v>
      </c>
      <c r="C187" t="str">
        <f t="shared" ca="1" si="37"/>
        <v>S</v>
      </c>
      <c r="D187">
        <f t="shared" ca="1" si="38"/>
        <v>0</v>
      </c>
      <c r="E187">
        <f ca="1">IF($C187=1,OFFSET(E187,-1,0)+MAX(1,COUNTIF(QCI!$A$13:$A$24,OFFSET(ORÇAMENTO!E187,-1,0))),OFFSET(E187,-1,0))</f>
        <v>9</v>
      </c>
      <c r="F187">
        <f t="shared" ca="1" si="39"/>
        <v>2</v>
      </c>
      <c r="G187">
        <f t="shared" ca="1" si="40"/>
        <v>3</v>
      </c>
      <c r="H187">
        <f t="shared" ca="1" si="41"/>
        <v>0</v>
      </c>
      <c r="I187">
        <f t="shared" ca="1" si="42"/>
        <v>0</v>
      </c>
      <c r="J187">
        <f t="shared" ca="1" si="34"/>
        <v>0</v>
      </c>
      <c r="K187">
        <f ca="1">IF(OR($C187="S",$C187=0),0,MATCH(OFFSET($D187,0,$C187)+IF($C187&lt;&gt;1,1,COUNTIF(QCI!$A$13:$A$24,ORÇAMENTO!E187)),OFFSET($D187,1,$C187,ROW($C$244)-ROW($C187)),0))</f>
        <v>0</v>
      </c>
      <c r="L187" s="114" t="str">
        <f t="shared" ca="1" si="43"/>
        <v/>
      </c>
      <c r="M187" s="115" t="s">
        <v>705</v>
      </c>
      <c r="N187" s="116" t="str">
        <f t="shared" ca="1" si="44"/>
        <v>Serviço</v>
      </c>
      <c r="O187" s="117" t="str">
        <f t="shared" ca="1" si="45"/>
        <v>-</v>
      </c>
      <c r="P187" s="118" t="s">
        <v>750</v>
      </c>
      <c r="Q187" s="119" t="s">
        <v>1128</v>
      </c>
      <c r="R187" s="120" t="str" cm="1">
        <f t="array" aca="1" ref="R187" ca="1">IF($C187="S",REFERENCIA.Descricao,"(digite a descrição aqui)")</f>
        <v>(Código não identificado nas referências)</v>
      </c>
      <c r="S187" s="121" t="str" cm="1">
        <f t="array" aca="1" ref="S187" ca="1">REFERENCIA.Unidade</f>
        <v>-</v>
      </c>
      <c r="T187" s="122">
        <f ca="1">OFFSET(CÁLCULO!H$15,ROW($T187)-ROW(T$15),0)</f>
        <v>20</v>
      </c>
      <c r="U187" s="123">
        <f t="shared" ca="1" si="46"/>
        <v>0</v>
      </c>
      <c r="V187" s="124" t="s">
        <v>663</v>
      </c>
      <c r="W187" s="122" cm="1">
        <f t="array" aca="1" ref="W187" ca="1">IF($C187="S",ROUND(IF(TIPOORCAMENTO="Proposto",ORÇAMENTO.CustoUnitario*(1+$AH187),ORÇAMENTO.PrecoUnitarioLicitado),15-13*$AF$10),0)</f>
        <v>0</v>
      </c>
      <c r="X187" s="125" cm="1">
        <f t="array" aca="1" ref="X187" ca="1">IF($C187="S",IF(OR(Import.TipoArredondamento&lt;&gt;"TransfereGOV",ACOMPANHAMENTO="BM"),VTOTAL1,SUM(OFFSET(CÁLCULO!$AQ$15,ROW($X187)-ROW($X$15),1):OFFSET(CÁLCULO!$BR$15,ROW($X187)-ROW($X$15),-1))),IF($C187=0,0,ROUND(SomaAgrup,15-13*$AF$11)))</f>
        <v>0</v>
      </c>
      <c r="Y187" s="126" t="s">
        <v>751</v>
      </c>
      <c r="Z187" t="str">
        <f t="shared" ca="1" si="47"/>
        <v/>
      </c>
      <c r="AA187" s="127" cm="1">
        <f t="array" aca="1" ref="AA187" ca="1">IF($C187="S",IF($Z187="CP",$X187,IF($Z187="RA",(($X187)*QCI!$AA$3),0)),SomaAgrup)</f>
        <v>0</v>
      </c>
      <c r="AB187" s="128" cm="1">
        <f t="array" aca="1" ref="AB187" ca="1">IF($C187="S",IF($Z187="OU",ROUND($X187,2),0),SomaAgrup)</f>
        <v>0</v>
      </c>
      <c r="AC187" s="565" t="str" cm="1">
        <f t="array" aca="1" ref="AC187" ca="1">IF($N187=""," ",
IF(AND($C187&lt;&gt;"S",OR($R187="",$R187="(digite a descrição aqui)")),"DESCRIÇÃO",
IF(AND($C187="S",OR($Q187&lt;&gt;"",$T187&gt;0,$U187&gt;0),$P187=""),"FONTE",
IF(AND($C187="S",$P187&lt;&gt;"",OR($T187&gt;0,$U187&gt;0),$Q187=""),"CÓDIGO",
IF(AND($C187="S",$P187&lt;&gt;"",$Q187&lt;&gt;"",$R187="(Código não identificado nas referências)"),"CÓDIGO N/ID",
IF(AND($C187="S",OR($R187="",$R187="(digite a descrição aqui)"),OR($Q187&lt;&gt;"",$T187&gt;0,$U187&gt;0)),"DESCRIÇÃO",
IF(AND($C187="S",$P187&lt;&gt;"",$Q187&lt;&gt;"",$S187=""),"UNIDADE",
IF(AND($C187="S",$P187&lt;&gt;"",$Q187&lt;&gt;"",$U187=0),"SEM CUSTO",
IF(AND(TIPOORCAMENTO="Licitado",$AL187=0,$AN187&gt;0),"SEM PREÇO",
IF(AND($C187="S",$P187&lt;&gt;"",$Q187&lt;&gt;"",$U187&gt;0,AND($V187&lt;&gt;"BDI 1",$V187&lt;&gt;"BDI 2",$V187&lt;&gt;"BDI 3")),IF(ISNUMBER($V187),"JUSTIFICAR BDI","BDI"),
IF(OR(AND(import.recurso="OGU",TIPOORCAMENTO="Proposto",LEFT($O$8,5)&lt;&gt;"(N/D:",$AG187&lt;&gt;"",ORÇAMENTO.CustoUnitario&gt;$AG187),AND(TIPOORCAMENTO="LICITADO",ORÇAMENTO.PrecoUnitarioLicitado&gt;$AN187)),"ACIMA REF.",
IF(AND($C187="S",$P187&lt;&gt;"",$Q187&lt;&gt;"",$T187=0,$U187&gt;0),"QUANT.",
IF(AND(Import.TipoArredondamento="TransfereGOV",$L187="F",$C187="S",LEN($Q187)&gt;13),"Código &gt;13",
IF(AND(Import.TipoArredondamento="TransfereGOV",$L187="F",$C187&lt;&gt;"S",LEN($R187)&gt;100),"Descrição &gt;100",
IF(AND(Import.TipoArredondamento="TransfereGOV",$L187="F",$C187="S",LEN($R187)&gt;500),"Descrição &gt;500",
IF(AND(Import.TipoArredondamento="TransfereGOV",$L187="F",$C187="S",LEFT(TRIM(UPPER($P187)),6)&lt;&gt;"SINAPI",ISNA(VLOOKUP(TRIM(UPPER($S187)),ListaTgov.Unidades,1,FALSE))),"Unid. Não Disp",
" "))))))))))))))))</f>
        <v>CÓDIGO N/ID</v>
      </c>
      <c r="AD187" t="str">
        <f ca="1">IF(C187&lt;=CRONO.NivelExibicao,MAX($AD$15:OFFSET(AD187,-1,0))+IF($C187&lt;&gt;1,1,MAX(1,COUNTIF(QCI!$A$13:$A$24,OFFSET($E187,-1,0)))),"")</f>
        <v/>
      </c>
      <c r="AE187" s="7" t="str" cm="1">
        <f t="array" aca="1" ref="AE187" ca="1">IF(AND($C187="S",ORÇAMENTO.CodBarra&lt;&gt;""),IF(ORÇAMENTO.Fonte="",ORÇAMENTO.CodBarra,CONCATENATE(ORÇAMENTO.Fonte," ",ORÇAMENTO.CodBarra)))</f>
        <v>SINAPI 89440</v>
      </c>
      <c r="AF187" s="12" t="str" cm="1">
        <f t="array" aca="1" ref="AF187" ca="1">IF(ISERROR(ORÇAMENTO.BancoRef),"(abra o arquivo 'Referência "&amp;Excel_BuiltIn_Database&amp;".xlsm)",IF(OR($C187&lt;&gt;"S",ORÇAMENTO.CodBarra=""),"(Sem Código)",IF(ISERROR(MATCH($AE187,INDIRECT(ORÇAMENTO.BancoRef),0)),"(Código não identificado nas referências)",MATCH($AE187,INDIRECT(ORÇAMENTO.BancoRef),0))))</f>
        <v>(Código não identificado nas referências)</v>
      </c>
      <c r="AG187" s="428" cm="1">
        <f t="array" aca="1" ref="AG187" ca="1">ROUND(IF(DESONERACAO="sim",REFERENCIA.Desonerado,REFERENCIA.NaoDesonerado),2)</f>
        <v>0</v>
      </c>
      <c r="AH187" s="429">
        <f t="shared" ca="1" si="50"/>
        <v>0.2223</v>
      </c>
      <c r="AJ187" s="431"/>
      <c r="AL187" s="439"/>
      <c r="AM187" s="336">
        <f t="shared" ca="1" si="0"/>
        <v>0</v>
      </c>
      <c r="AN187" s="470" cm="1">
        <f t="array" aca="1" ref="AN187" ca="1">ROUND(ORÇAMENTO.CustoUnitario*(1+$AH187),2)</f>
        <v>0</v>
      </c>
    </row>
    <row r="188" spans="1:40" x14ac:dyDescent="0.2">
      <c r="A188">
        <f t="shared" si="49"/>
        <v>3</v>
      </c>
      <c r="B188">
        <f t="shared" ca="1" si="36"/>
        <v>3</v>
      </c>
      <c r="C188">
        <f t="shared" ca="1" si="37"/>
        <v>3</v>
      </c>
      <c r="D188">
        <f t="shared" ca="1" si="38"/>
        <v>15</v>
      </c>
      <c r="E188">
        <f ca="1">IF($C188=1,OFFSET(E188,-1,0)+MAX(1,COUNTIF(QCI!$A$13:$A$24,OFFSET(ORÇAMENTO!E188,-1,0))),OFFSET(E188,-1,0))</f>
        <v>9</v>
      </c>
      <c r="F188">
        <f t="shared" ca="1" si="39"/>
        <v>2</v>
      </c>
      <c r="G188">
        <f t="shared" ca="1" si="40"/>
        <v>4</v>
      </c>
      <c r="H188">
        <f t="shared" ca="1" si="41"/>
        <v>0</v>
      </c>
      <c r="I188">
        <f t="shared" ca="1" si="42"/>
        <v>0</v>
      </c>
      <c r="J188">
        <f t="shared" ca="1" si="34"/>
        <v>15</v>
      </c>
      <c r="K188" t="e">
        <f ca="1">IF(OR($C188="S",$C188=0),0,MATCH(OFFSET($D188,0,$C188)+IF($C188&lt;&gt;1,1,COUNTIF(QCI!$A$13:$A$24,ORÇAMENTO!E188)),OFFSET($D188,1,$C188,ROW($C$244)-ROW($C188)),0))</f>
        <v>#N/A</v>
      </c>
      <c r="L188" s="114" t="str">
        <f t="shared" ca="1" si="43"/>
        <v>F</v>
      </c>
      <c r="M188" s="115" t="s">
        <v>703</v>
      </c>
      <c r="N188" s="116" t="str">
        <f t="shared" ca="1" si="44"/>
        <v>Nível 3</v>
      </c>
      <c r="O188" s="117" t="str">
        <f t="shared" ca="1" si="45"/>
        <v>9.2.4.</v>
      </c>
      <c r="P188" s="118" t="s">
        <v>250</v>
      </c>
      <c r="Q188" s="119" t="s">
        <v>250</v>
      </c>
      <c r="R188" s="120" t="s">
        <v>1208</v>
      </c>
      <c r="S188" s="121"/>
      <c r="T188" s="122">
        <f ca="1">OFFSET(CÁLCULO!H$15,ROW($T188)-ROW(T$15),0)</f>
        <v>0</v>
      </c>
      <c r="U188" s="123">
        <f t="shared" ca="1" si="46"/>
        <v>0</v>
      </c>
      <c r="V188" s="124" t="s">
        <v>663</v>
      </c>
      <c r="W188" s="122" cm="1">
        <f t="array" aca="1" ref="W188" ca="1">IF($C188="S",ROUND(IF(TIPOORCAMENTO="Proposto",ORÇAMENTO.CustoUnitario*(1+$AH188),ORÇAMENTO.PrecoUnitarioLicitado),15-13*$AF$10),0)</f>
        <v>0</v>
      </c>
      <c r="X188" s="125" cm="1">
        <f t="array" aca="1" ref="X188" ca="1">IF($C188="S",IF(OR(Import.TipoArredondamento&lt;&gt;"TransfereGOV",ACOMPANHAMENTO="BM"),VTOTAL1,SUM(OFFSET(CÁLCULO!$AQ$15,ROW($X188)-ROW($X$15),1):OFFSET(CÁLCULO!$BR$15,ROW($X188)-ROW($X$15),-1))),IF($C188=0,0,ROUND(SomaAgrup,15-13*$AF$11)))</f>
        <v>0</v>
      </c>
      <c r="Y188" s="126" t="s">
        <v>751</v>
      </c>
      <c r="Z188" t="str">
        <f t="shared" ca="1" si="47"/>
        <v/>
      </c>
      <c r="AA188" s="127" cm="1">
        <f t="array" aca="1" ref="AA188" ca="1">IF($C188="S",IF($Z188="CP",$X188,IF($Z188="RA",(($X188)*QCI!$AA$3),0)),SomaAgrup)</f>
        <v>0</v>
      </c>
      <c r="AB188" s="128" cm="1">
        <f t="array" aca="1" ref="AB188" ca="1">IF($C188="S",IF($Z188="OU",ROUND($X188,2),0),SomaAgrup)</f>
        <v>0</v>
      </c>
      <c r="AC188" s="565" t="str" cm="1">
        <f t="array" aca="1" ref="AC188" ca="1">IF($N188=""," ",
IF(AND($C188&lt;&gt;"S",OR($R188="",$R188="(digite a descrição aqui)")),"DESCRIÇÃO",
IF(AND($C188="S",OR($Q188&lt;&gt;"",$T188&gt;0,$U188&gt;0),$P188=""),"FONTE",
IF(AND($C188="S",$P188&lt;&gt;"",OR($T188&gt;0,$U188&gt;0),$Q188=""),"CÓDIGO",
IF(AND($C188="S",$P188&lt;&gt;"",$Q188&lt;&gt;"",$R188="(Código não identificado nas referências)"),"CÓDIGO N/ID",
IF(AND($C188="S",OR($R188="",$R188="(digite a descrição aqui)"),OR($Q188&lt;&gt;"",$T188&gt;0,$U188&gt;0)),"DESCRIÇÃO",
IF(AND($C188="S",$P188&lt;&gt;"",$Q188&lt;&gt;"",$S188=""),"UNIDADE",
IF(AND($C188="S",$P188&lt;&gt;"",$Q188&lt;&gt;"",$U188=0),"SEM CUSTO",
IF(AND(TIPOORCAMENTO="Licitado",$AL188=0,$AN188&gt;0),"SEM PREÇO",
IF(AND($C188="S",$P188&lt;&gt;"",$Q188&lt;&gt;"",$U188&gt;0,AND($V188&lt;&gt;"BDI 1",$V188&lt;&gt;"BDI 2",$V188&lt;&gt;"BDI 3")),IF(ISNUMBER($V188),"JUSTIFICAR BDI","BDI"),
IF(OR(AND(import.recurso="OGU",TIPOORCAMENTO="Proposto",LEFT($O$8,5)&lt;&gt;"(N/D:",$AG188&lt;&gt;"",ORÇAMENTO.CustoUnitario&gt;$AG188),AND(TIPOORCAMENTO="LICITADO",ORÇAMENTO.PrecoUnitarioLicitado&gt;$AN188)),"ACIMA REF.",
IF(AND($C188="S",$P188&lt;&gt;"",$Q188&lt;&gt;"",$T188=0,$U188&gt;0),"QUANT.",
IF(AND(Import.TipoArredondamento="TransfereGOV",$L188="F",$C188="S",LEN($Q188)&gt;13),"Código &gt;13",
IF(AND(Import.TipoArredondamento="TransfereGOV",$L188="F",$C188&lt;&gt;"S",LEN($R188)&gt;100),"Descrição &gt;100",
IF(AND(Import.TipoArredondamento="TransfereGOV",$L188="F",$C188="S",LEN($R188)&gt;500),"Descrição &gt;500",
IF(AND(Import.TipoArredondamento="TransfereGOV",$L188="F",$C188="S",LEFT(TRIM(UPPER($P188)),6)&lt;&gt;"SINAPI",ISNA(VLOOKUP(TRIM(UPPER($S188)),ListaTgov.Unidades,1,FALSE))),"Unid. Não Disp",
" "))))))))))))))))</f>
        <v xml:space="preserve"> </v>
      </c>
      <c r="AD188">
        <f ca="1">IF(C188&lt;=CRONO.NivelExibicao,MAX($AD$15:OFFSET(AD188,-1,0))+IF($C188&lt;&gt;1,1,MAX(1,COUNTIF(QCI!$A$13:$A$24,OFFSET($E188,-1,0)))),"")</f>
        <v>40</v>
      </c>
      <c r="AE188" s="7" t="b" cm="1">
        <f t="array" aca="1" ref="AE188" ca="1">IF(AND($C188="S",ORÇAMENTO.CodBarra&lt;&gt;""),IF(ORÇAMENTO.Fonte="",ORÇAMENTO.CodBarra,CONCATENATE(ORÇAMENTO.Fonte," ",ORÇAMENTO.CodBarra)))</f>
        <v>0</v>
      </c>
      <c r="AF188" s="12" t="str" cm="1">
        <f t="array" aca="1" ref="AF188" ca="1">IF(ISERROR(ORÇAMENTO.BancoRef),"(abra o arquivo 'Referência "&amp;Excel_BuiltIn_Database&amp;".xlsm)",IF(OR($C188&lt;&gt;"S",ORÇAMENTO.CodBarra=""),"(Sem Código)",IF(ISERROR(MATCH($AE188,INDIRECT(ORÇAMENTO.BancoRef),0)),"(Código não identificado nas referências)",MATCH($AE188,INDIRECT(ORÇAMENTO.BancoRef),0))))</f>
        <v>(Sem Código)</v>
      </c>
      <c r="AG188" s="428" cm="1">
        <f t="array" aca="1" ref="AG188" ca="1">ROUND(IF(DESONERACAO="sim",REFERENCIA.Desonerado,REFERENCIA.NaoDesonerado),2)</f>
        <v>0</v>
      </c>
      <c r="AH188" s="429">
        <f t="shared" ca="1" si="50"/>
        <v>0.2223</v>
      </c>
      <c r="AJ188" s="431"/>
      <c r="AL188" s="439"/>
      <c r="AM188" s="336">
        <f t="shared" ca="1" si="0"/>
        <v>0</v>
      </c>
      <c r="AN188" s="470" cm="1">
        <f t="array" aca="1" ref="AN188" ca="1">ROUND(ORÇAMENTO.CustoUnitario*(1+$AH188),2)</f>
        <v>0</v>
      </c>
    </row>
    <row r="189" spans="1:40" ht="25.5" x14ac:dyDescent="0.2">
      <c r="A189" t="str">
        <f t="shared" si="49"/>
        <v>S</v>
      </c>
      <c r="B189">
        <f t="shared" ca="1" si="36"/>
        <v>3</v>
      </c>
      <c r="C189" t="str">
        <f t="shared" ca="1" si="37"/>
        <v>S</v>
      </c>
      <c r="D189">
        <f t="shared" ca="1" si="38"/>
        <v>0</v>
      </c>
      <c r="E189">
        <f ca="1">IF($C189=1,OFFSET(E189,-1,0)+MAX(1,COUNTIF(QCI!$A$13:$A$24,OFFSET(ORÇAMENTO!E189,-1,0))),OFFSET(E189,-1,0))</f>
        <v>9</v>
      </c>
      <c r="F189">
        <f t="shared" ca="1" si="39"/>
        <v>2</v>
      </c>
      <c r="G189">
        <f t="shared" ca="1" si="40"/>
        <v>4</v>
      </c>
      <c r="H189">
        <f t="shared" ca="1" si="41"/>
        <v>0</v>
      </c>
      <c r="I189">
        <f t="shared" ca="1" si="42"/>
        <v>0</v>
      </c>
      <c r="J189">
        <f t="shared" ca="1" si="34"/>
        <v>0</v>
      </c>
      <c r="K189">
        <f ca="1">IF(OR($C189="S",$C189=0),0,MATCH(OFFSET($D189,0,$C189)+IF($C189&lt;&gt;1,1,COUNTIF(QCI!$A$13:$A$24,ORÇAMENTO!E189)),OFFSET($D189,1,$C189,ROW($C$244)-ROW($C189)),0))</f>
        <v>0</v>
      </c>
      <c r="L189" s="114" t="str">
        <f t="shared" ca="1" si="43"/>
        <v/>
      </c>
      <c r="M189" s="115" t="s">
        <v>705</v>
      </c>
      <c r="N189" s="116" t="str">
        <f t="shared" ca="1" si="44"/>
        <v>Serviço</v>
      </c>
      <c r="O189" s="117" t="str">
        <f t="shared" ca="1" si="45"/>
        <v>-</v>
      </c>
      <c r="P189" s="118" t="s">
        <v>750</v>
      </c>
      <c r="Q189" s="119" t="s">
        <v>1129</v>
      </c>
      <c r="R189" s="120" t="str" cm="1">
        <f t="array" aca="1" ref="R189" ca="1">IF($C189="S",REFERENCIA.Descricao,"(digite a descrição aqui)")</f>
        <v>(Código não identificado nas referências)</v>
      </c>
      <c r="S189" s="121" t="str" cm="1">
        <f t="array" aca="1" ref="S189" ca="1">REFERENCIA.Unidade</f>
        <v>-</v>
      </c>
      <c r="T189" s="122">
        <f ca="1">OFFSET(CÁLCULO!H$15,ROW($T189)-ROW(T$15),0)</f>
        <v>20</v>
      </c>
      <c r="U189" s="123">
        <f t="shared" ca="1" si="46"/>
        <v>0</v>
      </c>
      <c r="V189" s="124" t="s">
        <v>663</v>
      </c>
      <c r="W189" s="122" cm="1">
        <f t="array" aca="1" ref="W189" ca="1">IF($C189="S",ROUND(IF(TIPOORCAMENTO="Proposto",ORÇAMENTO.CustoUnitario*(1+$AH189),ORÇAMENTO.PrecoUnitarioLicitado),15-13*$AF$10),0)</f>
        <v>0</v>
      </c>
      <c r="X189" s="125" cm="1">
        <f t="array" aca="1" ref="X189" ca="1">IF($C189="S",IF(OR(Import.TipoArredondamento&lt;&gt;"TransfereGOV",ACOMPANHAMENTO="BM"),VTOTAL1,SUM(OFFSET(CÁLCULO!$AQ$15,ROW($X189)-ROW($X$15),1):OFFSET(CÁLCULO!$BR$15,ROW($X189)-ROW($X$15),-1))),IF($C189=0,0,ROUND(SomaAgrup,15-13*$AF$11)))</f>
        <v>0</v>
      </c>
      <c r="Y189" s="126" t="s">
        <v>751</v>
      </c>
      <c r="Z189" t="str">
        <f t="shared" ca="1" si="47"/>
        <v/>
      </c>
      <c r="AA189" s="127" cm="1">
        <f t="array" aca="1" ref="AA189" ca="1">IF($C189="S",IF($Z189="CP",$X189,IF($Z189="RA",(($X189)*QCI!$AA$3),0)),SomaAgrup)</f>
        <v>0</v>
      </c>
      <c r="AB189" s="128" cm="1">
        <f t="array" aca="1" ref="AB189" ca="1">IF($C189="S",IF($Z189="OU",ROUND($X189,2),0),SomaAgrup)</f>
        <v>0</v>
      </c>
      <c r="AC189" s="565" t="str" cm="1">
        <f t="array" aca="1" ref="AC189" ca="1">IF($N189=""," ",
IF(AND($C189&lt;&gt;"S",OR($R189="",$R189="(digite a descrição aqui)")),"DESCRIÇÃO",
IF(AND($C189="S",OR($Q189&lt;&gt;"",$T189&gt;0,$U189&gt;0),$P189=""),"FONTE",
IF(AND($C189="S",$P189&lt;&gt;"",OR($T189&gt;0,$U189&gt;0),$Q189=""),"CÓDIGO",
IF(AND($C189="S",$P189&lt;&gt;"",$Q189&lt;&gt;"",$R189="(Código não identificado nas referências)"),"CÓDIGO N/ID",
IF(AND($C189="S",OR($R189="",$R189="(digite a descrição aqui)"),OR($Q189&lt;&gt;"",$T189&gt;0,$U189&gt;0)),"DESCRIÇÃO",
IF(AND($C189="S",$P189&lt;&gt;"",$Q189&lt;&gt;"",$S189=""),"UNIDADE",
IF(AND($C189="S",$P189&lt;&gt;"",$Q189&lt;&gt;"",$U189=0),"SEM CUSTO",
IF(AND(TIPOORCAMENTO="Licitado",$AL189=0,$AN189&gt;0),"SEM PREÇO",
IF(AND($C189="S",$P189&lt;&gt;"",$Q189&lt;&gt;"",$U189&gt;0,AND($V189&lt;&gt;"BDI 1",$V189&lt;&gt;"BDI 2",$V189&lt;&gt;"BDI 3")),IF(ISNUMBER($V189),"JUSTIFICAR BDI","BDI"),
IF(OR(AND(import.recurso="OGU",TIPOORCAMENTO="Proposto",LEFT($O$8,5)&lt;&gt;"(N/D:",$AG189&lt;&gt;"",ORÇAMENTO.CustoUnitario&gt;$AG189),AND(TIPOORCAMENTO="LICITADO",ORÇAMENTO.PrecoUnitarioLicitado&gt;$AN189)),"ACIMA REF.",
IF(AND($C189="S",$P189&lt;&gt;"",$Q189&lt;&gt;"",$T189=0,$U189&gt;0),"QUANT.",
IF(AND(Import.TipoArredondamento="TransfereGOV",$L189="F",$C189="S",LEN($Q189)&gt;13),"Código &gt;13",
IF(AND(Import.TipoArredondamento="TransfereGOV",$L189="F",$C189&lt;&gt;"S",LEN($R189)&gt;100),"Descrição &gt;100",
IF(AND(Import.TipoArredondamento="TransfereGOV",$L189="F",$C189="S",LEN($R189)&gt;500),"Descrição &gt;500",
IF(AND(Import.TipoArredondamento="TransfereGOV",$L189="F",$C189="S",LEFT(TRIM(UPPER($P189)),6)&lt;&gt;"SINAPI",ISNA(VLOOKUP(TRIM(UPPER($S189)),ListaTgov.Unidades,1,FALSE))),"Unid. Não Disp",
" "))))))))))))))))</f>
        <v>CÓDIGO N/ID</v>
      </c>
      <c r="AD189" t="str">
        <f ca="1">IF(C189&lt;=CRONO.NivelExibicao,MAX($AD$15:OFFSET(AD189,-1,0))+IF($C189&lt;&gt;1,1,MAX(1,COUNTIF(QCI!$A$13:$A$24,OFFSET($E189,-1,0)))),"")</f>
        <v/>
      </c>
      <c r="AE189" s="7" t="str" cm="1">
        <f t="array" aca="1" ref="AE189" ca="1">IF(AND($C189="S",ORÇAMENTO.CodBarra&lt;&gt;""),IF(ORÇAMENTO.Fonte="",ORÇAMENTO.CodBarra,CONCATENATE(ORÇAMENTO.Fonte," ",ORÇAMENTO.CodBarra)))</f>
        <v>SINAPI 102605</v>
      </c>
      <c r="AF189" s="12" t="str" cm="1">
        <f t="array" aca="1" ref="AF189" ca="1">IF(ISERROR(ORÇAMENTO.BancoRef),"(abra o arquivo 'Referência "&amp;Excel_BuiltIn_Database&amp;".xlsm)",IF(OR($C189&lt;&gt;"S",ORÇAMENTO.CodBarra=""),"(Sem Código)",IF(ISERROR(MATCH($AE189,INDIRECT(ORÇAMENTO.BancoRef),0)),"(Código não identificado nas referências)",MATCH($AE189,INDIRECT(ORÇAMENTO.BancoRef),0))))</f>
        <v>(Código não identificado nas referências)</v>
      </c>
      <c r="AG189" s="428" cm="1">
        <f t="array" aca="1" ref="AG189" ca="1">ROUND(IF(DESONERACAO="sim",REFERENCIA.Desonerado,REFERENCIA.NaoDesonerado),2)</f>
        <v>0</v>
      </c>
      <c r="AH189" s="429">
        <f t="shared" ca="1" si="50"/>
        <v>0.2223</v>
      </c>
      <c r="AJ189" s="431"/>
      <c r="AL189" s="439"/>
      <c r="AM189" s="336">
        <f t="shared" ca="1" si="0"/>
        <v>0</v>
      </c>
      <c r="AN189" s="470" cm="1">
        <f t="array" aca="1" ref="AN189" ca="1">ROUND(ORÇAMENTO.CustoUnitario*(1+$AH189),2)</f>
        <v>0</v>
      </c>
    </row>
    <row r="190" spans="1:40" ht="25.5" x14ac:dyDescent="0.2">
      <c r="A190" t="str">
        <f t="shared" si="49"/>
        <v>S</v>
      </c>
      <c r="B190">
        <f t="shared" ca="1" si="36"/>
        <v>3</v>
      </c>
      <c r="C190" t="str">
        <f t="shared" ca="1" si="37"/>
        <v>S</v>
      </c>
      <c r="D190">
        <f t="shared" ca="1" si="38"/>
        <v>0</v>
      </c>
      <c r="E190">
        <f ca="1">IF($C190=1,OFFSET(E190,-1,0)+MAX(1,COUNTIF(QCI!$A$13:$A$24,OFFSET(ORÇAMENTO!E190,-1,0))),OFFSET(E190,-1,0))</f>
        <v>9</v>
      </c>
      <c r="F190">
        <f t="shared" ca="1" si="39"/>
        <v>2</v>
      </c>
      <c r="G190">
        <f t="shared" ca="1" si="40"/>
        <v>4</v>
      </c>
      <c r="H190">
        <f t="shared" ca="1" si="41"/>
        <v>0</v>
      </c>
      <c r="I190">
        <f t="shared" ca="1" si="42"/>
        <v>0</v>
      </c>
      <c r="J190">
        <f t="shared" ca="1" si="34"/>
        <v>0</v>
      </c>
      <c r="K190">
        <f ca="1">IF(OR($C190="S",$C190=0),0,MATCH(OFFSET($D190,0,$C190)+IF($C190&lt;&gt;1,1,COUNTIF(QCI!$A$13:$A$24,ORÇAMENTO!E190)),OFFSET($D190,1,$C190,ROW($C$244)-ROW($C190)),0))</f>
        <v>0</v>
      </c>
      <c r="L190" s="114" t="str">
        <f t="shared" ca="1" si="43"/>
        <v/>
      </c>
      <c r="M190" s="115" t="s">
        <v>705</v>
      </c>
      <c r="N190" s="116" t="str">
        <f t="shared" ca="1" si="44"/>
        <v>Serviço</v>
      </c>
      <c r="O190" s="117" t="str">
        <f t="shared" ca="1" si="45"/>
        <v>-</v>
      </c>
      <c r="P190" s="118" t="s">
        <v>750</v>
      </c>
      <c r="Q190" s="119" t="s">
        <v>1130</v>
      </c>
      <c r="R190" s="120" t="str" cm="1">
        <f t="array" aca="1" ref="R190" ca="1">IF($C190="S",REFERENCIA.Descricao,"(digite a descrição aqui)")</f>
        <v>(Código não identificado nas referências)</v>
      </c>
      <c r="S190" s="121" t="str" cm="1">
        <f t="array" aca="1" ref="S190" ca="1">REFERENCIA.Unidade</f>
        <v>-</v>
      </c>
      <c r="T190" s="122">
        <f ca="1">OFFSET(CÁLCULO!H$15,ROW($T190)-ROW(T$15),0)</f>
        <v>20</v>
      </c>
      <c r="U190" s="123">
        <f t="shared" ca="1" si="46"/>
        <v>0</v>
      </c>
      <c r="V190" s="124" t="s">
        <v>663</v>
      </c>
      <c r="W190" s="122" cm="1">
        <f t="array" aca="1" ref="W190" ca="1">IF($C190="S",ROUND(IF(TIPOORCAMENTO="Proposto",ORÇAMENTO.CustoUnitario*(1+$AH190),ORÇAMENTO.PrecoUnitarioLicitado),15-13*$AF$10),0)</f>
        <v>0</v>
      </c>
      <c r="X190" s="125" cm="1">
        <f t="array" aca="1" ref="X190" ca="1">IF($C190="S",IF(OR(Import.TipoArredondamento&lt;&gt;"TransfereGOV",ACOMPANHAMENTO="BM"),VTOTAL1,SUM(OFFSET(CÁLCULO!$AQ$15,ROW($X190)-ROW($X$15),1):OFFSET(CÁLCULO!$BR$15,ROW($X190)-ROW($X$15),-1))),IF($C190=0,0,ROUND(SomaAgrup,15-13*$AF$11)))</f>
        <v>0</v>
      </c>
      <c r="Y190" s="126" t="s">
        <v>751</v>
      </c>
      <c r="Z190" t="str">
        <f t="shared" ca="1" si="47"/>
        <v/>
      </c>
      <c r="AA190" s="127" cm="1">
        <f t="array" aca="1" ref="AA190" ca="1">IF($C190="S",IF($Z190="CP",$X190,IF($Z190="RA",(($X190)*QCI!$AA$3),0)),SomaAgrup)</f>
        <v>0</v>
      </c>
      <c r="AB190" s="128" cm="1">
        <f t="array" aca="1" ref="AB190" ca="1">IF($C190="S",IF($Z190="OU",ROUND($X190,2),0),SomaAgrup)</f>
        <v>0</v>
      </c>
      <c r="AC190" s="565" t="str" cm="1">
        <f t="array" aca="1" ref="AC190" ca="1">IF($N190=""," ",
IF(AND($C190&lt;&gt;"S",OR($R190="",$R190="(digite a descrição aqui)")),"DESCRIÇÃO",
IF(AND($C190="S",OR($Q190&lt;&gt;"",$T190&gt;0,$U190&gt;0),$P190=""),"FONTE",
IF(AND($C190="S",$P190&lt;&gt;"",OR($T190&gt;0,$U190&gt;0),$Q190=""),"CÓDIGO",
IF(AND($C190="S",$P190&lt;&gt;"",$Q190&lt;&gt;"",$R190="(Código não identificado nas referências)"),"CÓDIGO N/ID",
IF(AND($C190="S",OR($R190="",$R190="(digite a descrição aqui)"),OR($Q190&lt;&gt;"",$T190&gt;0,$U190&gt;0)),"DESCRIÇÃO",
IF(AND($C190="S",$P190&lt;&gt;"",$Q190&lt;&gt;"",$S190=""),"UNIDADE",
IF(AND($C190="S",$P190&lt;&gt;"",$Q190&lt;&gt;"",$U190=0),"SEM CUSTO",
IF(AND(TIPOORCAMENTO="Licitado",$AL190=0,$AN190&gt;0),"SEM PREÇO",
IF(AND($C190="S",$P190&lt;&gt;"",$Q190&lt;&gt;"",$U190&gt;0,AND($V190&lt;&gt;"BDI 1",$V190&lt;&gt;"BDI 2",$V190&lt;&gt;"BDI 3")),IF(ISNUMBER($V190),"JUSTIFICAR BDI","BDI"),
IF(OR(AND(import.recurso="OGU",TIPOORCAMENTO="Proposto",LEFT($O$8,5)&lt;&gt;"(N/D:",$AG190&lt;&gt;"",ORÇAMENTO.CustoUnitario&gt;$AG190),AND(TIPOORCAMENTO="LICITADO",ORÇAMENTO.PrecoUnitarioLicitado&gt;$AN190)),"ACIMA REF.",
IF(AND($C190="S",$P190&lt;&gt;"",$Q190&lt;&gt;"",$T190=0,$U190&gt;0),"QUANT.",
IF(AND(Import.TipoArredondamento="TransfereGOV",$L190="F",$C190="S",LEN($Q190)&gt;13),"Código &gt;13",
IF(AND(Import.TipoArredondamento="TransfereGOV",$L190="F",$C190&lt;&gt;"S",LEN($R190)&gt;100),"Descrição &gt;100",
IF(AND(Import.TipoArredondamento="TransfereGOV",$L190="F",$C190="S",LEN($R190)&gt;500),"Descrição &gt;500",
IF(AND(Import.TipoArredondamento="TransfereGOV",$L190="F",$C190="S",LEFT(TRIM(UPPER($P190)),6)&lt;&gt;"SINAPI",ISNA(VLOOKUP(TRIM(UPPER($S190)),ListaTgov.Unidades,1,FALSE))),"Unid. Não Disp",
" "))))))))))))))))</f>
        <v>CÓDIGO N/ID</v>
      </c>
      <c r="AD190" t="str">
        <f ca="1">IF(C190&lt;=CRONO.NivelExibicao,MAX($AD$15:OFFSET(AD190,-1,0))+IF($C190&lt;&gt;1,1,MAX(1,COUNTIF(QCI!$A$13:$A$24,OFFSET($E190,-1,0)))),"")</f>
        <v/>
      </c>
      <c r="AE190" s="7" t="str" cm="1">
        <f t="array" aca="1" ref="AE190" ca="1">IF(AND($C190="S",ORÇAMENTO.CodBarra&lt;&gt;""),IF(ORÇAMENTO.Fonte="",ORÇAMENTO.CodBarra,CONCATENATE(ORÇAMENTO.Fonte," ",ORÇAMENTO.CodBarra)))</f>
        <v>SINAPI 102591</v>
      </c>
      <c r="AF190" s="12" t="str" cm="1">
        <f t="array" aca="1" ref="AF190" ca="1">IF(ISERROR(ORÇAMENTO.BancoRef),"(abra o arquivo 'Referência "&amp;Excel_BuiltIn_Database&amp;".xlsm)",IF(OR($C190&lt;&gt;"S",ORÇAMENTO.CodBarra=""),"(Sem Código)",IF(ISERROR(MATCH($AE190,INDIRECT(ORÇAMENTO.BancoRef),0)),"(Código não identificado nas referências)",MATCH($AE190,INDIRECT(ORÇAMENTO.BancoRef),0))))</f>
        <v>(Código não identificado nas referências)</v>
      </c>
      <c r="AG190" s="428" cm="1">
        <f t="array" aca="1" ref="AG190" ca="1">ROUND(IF(DESONERACAO="sim",REFERENCIA.Desonerado,REFERENCIA.NaoDesonerado),2)</f>
        <v>0</v>
      </c>
      <c r="AH190" s="429">
        <f t="shared" ca="1" si="50"/>
        <v>0.2223</v>
      </c>
      <c r="AJ190" s="431"/>
      <c r="AL190" s="439"/>
      <c r="AM190" s="336">
        <f t="shared" ca="1" si="0"/>
        <v>0</v>
      </c>
      <c r="AN190" s="470" cm="1">
        <f t="array" aca="1" ref="AN190" ca="1">ROUND(ORÇAMENTO.CustoUnitario*(1+$AH190),2)</f>
        <v>0</v>
      </c>
    </row>
    <row r="191" spans="1:40" ht="25.5" x14ac:dyDescent="0.2">
      <c r="A191" t="str">
        <f t="shared" si="49"/>
        <v>S</v>
      </c>
      <c r="B191">
        <f t="shared" ca="1" si="36"/>
        <v>3</v>
      </c>
      <c r="C191" t="str">
        <f t="shared" ca="1" si="37"/>
        <v>S</v>
      </c>
      <c r="D191">
        <f t="shared" ca="1" si="38"/>
        <v>0</v>
      </c>
      <c r="E191">
        <f ca="1">IF($C191=1,OFFSET(E191,-1,0)+MAX(1,COUNTIF(QCI!$A$13:$A$24,OFFSET(ORÇAMENTO!E191,-1,0))),OFFSET(E191,-1,0))</f>
        <v>9</v>
      </c>
      <c r="F191">
        <f t="shared" ca="1" si="39"/>
        <v>2</v>
      </c>
      <c r="G191">
        <f t="shared" ca="1" si="40"/>
        <v>4</v>
      </c>
      <c r="H191">
        <f t="shared" ca="1" si="41"/>
        <v>0</v>
      </c>
      <c r="I191">
        <f t="shared" ca="1" si="42"/>
        <v>0</v>
      </c>
      <c r="J191">
        <f t="shared" ca="1" si="34"/>
        <v>0</v>
      </c>
      <c r="K191">
        <f ca="1">IF(OR($C191="S",$C191=0),0,MATCH(OFFSET($D191,0,$C191)+IF($C191&lt;&gt;1,1,COUNTIF(QCI!$A$13:$A$24,ORÇAMENTO!E191)),OFFSET($D191,1,$C191,ROW($C$244)-ROW($C191)),0))</f>
        <v>0</v>
      </c>
      <c r="L191" s="114" t="str">
        <f t="shared" ca="1" si="43"/>
        <v/>
      </c>
      <c r="M191" s="115" t="s">
        <v>705</v>
      </c>
      <c r="N191" s="116" t="str">
        <f t="shared" ca="1" si="44"/>
        <v>Serviço</v>
      </c>
      <c r="O191" s="117" t="str">
        <f t="shared" ca="1" si="45"/>
        <v>-</v>
      </c>
      <c r="P191" s="118" t="s">
        <v>750</v>
      </c>
      <c r="Q191" s="119" t="s">
        <v>1131</v>
      </c>
      <c r="R191" s="120" t="str" cm="1">
        <f t="array" aca="1" ref="R191" ca="1">IF($C191="S",REFERENCIA.Descricao,"(digite a descrição aqui)")</f>
        <v>(Código não identificado nas referências)</v>
      </c>
      <c r="S191" s="121" t="str" cm="1">
        <f t="array" aca="1" ref="S191" ca="1">REFERENCIA.Unidade</f>
        <v>-</v>
      </c>
      <c r="T191" s="122">
        <f ca="1">OFFSET(CÁLCULO!H$15,ROW($T191)-ROW(T$15),0)</f>
        <v>40</v>
      </c>
      <c r="U191" s="123">
        <f t="shared" ca="1" si="46"/>
        <v>0</v>
      </c>
      <c r="V191" s="124" t="s">
        <v>663</v>
      </c>
      <c r="W191" s="122" cm="1">
        <f t="array" aca="1" ref="W191" ca="1">IF($C191="S",ROUND(IF(TIPOORCAMENTO="Proposto",ORÇAMENTO.CustoUnitario*(1+$AH191),ORÇAMENTO.PrecoUnitarioLicitado),15-13*$AF$10),0)</f>
        <v>0</v>
      </c>
      <c r="X191" s="125" cm="1">
        <f t="array" aca="1" ref="X191" ca="1">IF($C191="S",IF(OR(Import.TipoArredondamento&lt;&gt;"TransfereGOV",ACOMPANHAMENTO="BM"),VTOTAL1,SUM(OFFSET(CÁLCULO!$AQ$15,ROW($X191)-ROW($X$15),1):OFFSET(CÁLCULO!$BR$15,ROW($X191)-ROW($X$15),-1))),IF($C191=0,0,ROUND(SomaAgrup,15-13*$AF$11)))</f>
        <v>0</v>
      </c>
      <c r="Y191" s="126" t="s">
        <v>751</v>
      </c>
      <c r="Z191" t="str">
        <f t="shared" ca="1" si="47"/>
        <v/>
      </c>
      <c r="AA191" s="127" cm="1">
        <f t="array" aca="1" ref="AA191" ca="1">IF($C191="S",IF($Z191="CP",$X191,IF($Z191="RA",(($X191)*QCI!$AA$3),0)),SomaAgrup)</f>
        <v>0</v>
      </c>
      <c r="AB191" s="128" cm="1">
        <f t="array" aca="1" ref="AB191" ca="1">IF($C191="S",IF($Z191="OU",ROUND($X191,2),0),SomaAgrup)</f>
        <v>0</v>
      </c>
      <c r="AC191" s="565" t="str" cm="1">
        <f t="array" aca="1" ref="AC191" ca="1">IF($N191=""," ",
IF(AND($C191&lt;&gt;"S",OR($R191="",$R191="(digite a descrição aqui)")),"DESCRIÇÃO",
IF(AND($C191="S",OR($Q191&lt;&gt;"",$T191&gt;0,$U191&gt;0),$P191=""),"FONTE",
IF(AND($C191="S",$P191&lt;&gt;"",OR($T191&gt;0,$U191&gt;0),$Q191=""),"CÓDIGO",
IF(AND($C191="S",$P191&lt;&gt;"",$Q191&lt;&gt;"",$R191="(Código não identificado nas referências)"),"CÓDIGO N/ID",
IF(AND($C191="S",OR($R191="",$R191="(digite a descrição aqui)"),OR($Q191&lt;&gt;"",$T191&gt;0,$U191&gt;0)),"DESCRIÇÃO",
IF(AND($C191="S",$P191&lt;&gt;"",$Q191&lt;&gt;"",$S191=""),"UNIDADE",
IF(AND($C191="S",$P191&lt;&gt;"",$Q191&lt;&gt;"",$U191=0),"SEM CUSTO",
IF(AND(TIPOORCAMENTO="Licitado",$AL191=0,$AN191&gt;0),"SEM PREÇO",
IF(AND($C191="S",$P191&lt;&gt;"",$Q191&lt;&gt;"",$U191&gt;0,AND($V191&lt;&gt;"BDI 1",$V191&lt;&gt;"BDI 2",$V191&lt;&gt;"BDI 3")),IF(ISNUMBER($V191),"JUSTIFICAR BDI","BDI"),
IF(OR(AND(import.recurso="OGU",TIPOORCAMENTO="Proposto",LEFT($O$8,5)&lt;&gt;"(N/D:",$AG191&lt;&gt;"",ORÇAMENTO.CustoUnitario&gt;$AG191),AND(TIPOORCAMENTO="LICITADO",ORÇAMENTO.PrecoUnitarioLicitado&gt;$AN191)),"ACIMA REF.",
IF(AND($C191="S",$P191&lt;&gt;"",$Q191&lt;&gt;"",$T191=0,$U191&gt;0),"QUANT.",
IF(AND(Import.TipoArredondamento="TransfereGOV",$L191="F",$C191="S",LEN($Q191)&gt;13),"Código &gt;13",
IF(AND(Import.TipoArredondamento="TransfereGOV",$L191="F",$C191&lt;&gt;"S",LEN($R191)&gt;100),"Descrição &gt;100",
IF(AND(Import.TipoArredondamento="TransfereGOV",$L191="F",$C191="S",LEN($R191)&gt;500),"Descrição &gt;500",
IF(AND(Import.TipoArredondamento="TransfereGOV",$L191="F",$C191="S",LEFT(TRIM(UPPER($P191)),6)&lt;&gt;"SINAPI",ISNA(VLOOKUP(TRIM(UPPER($S191)),ListaTgov.Unidades,1,FALSE))),"Unid. Não Disp",
" "))))))))))))))))</f>
        <v>CÓDIGO N/ID</v>
      </c>
      <c r="AD191" t="str">
        <f ca="1">IF(C191&lt;=CRONO.NivelExibicao,MAX($AD$15:OFFSET(AD191,-1,0))+IF($C191&lt;&gt;1,1,MAX(1,COUNTIF(QCI!$A$13:$A$24,OFFSET($E191,-1,0)))),"")</f>
        <v/>
      </c>
      <c r="AE191" s="7" t="str" cm="1">
        <f t="array" aca="1" ref="AE191" ca="1">IF(AND($C191="S",ORÇAMENTO.CodBarra&lt;&gt;""),IF(ORÇAMENTO.Fonte="",ORÇAMENTO.CodBarra,CONCATENATE(ORÇAMENTO.Fonte," ",ORÇAMENTO.CodBarra)))</f>
        <v>SINAPI 102593</v>
      </c>
      <c r="AF191" s="12" t="str" cm="1">
        <f t="array" aca="1" ref="AF191" ca="1">IF(ISERROR(ORÇAMENTO.BancoRef),"(abra o arquivo 'Referência "&amp;Excel_BuiltIn_Database&amp;".xlsm)",IF(OR($C191&lt;&gt;"S",ORÇAMENTO.CodBarra=""),"(Sem Código)",IF(ISERROR(MATCH($AE191,INDIRECT(ORÇAMENTO.BancoRef),0)),"(Código não identificado nas referências)",MATCH($AE191,INDIRECT(ORÇAMENTO.BancoRef),0))))</f>
        <v>(Código não identificado nas referências)</v>
      </c>
      <c r="AG191" s="428" cm="1">
        <f t="array" aca="1" ref="AG191" ca="1">ROUND(IF(DESONERACAO="sim",REFERENCIA.Desonerado,REFERENCIA.NaoDesonerado),2)</f>
        <v>0</v>
      </c>
      <c r="AH191" s="429">
        <f t="shared" ca="1" si="50"/>
        <v>0.2223</v>
      </c>
      <c r="AJ191" s="431"/>
      <c r="AL191" s="439"/>
      <c r="AM191" s="336">
        <f t="shared" ca="1" si="0"/>
        <v>0</v>
      </c>
      <c r="AN191" s="470" cm="1">
        <f t="array" aca="1" ref="AN191" ca="1">ROUND(ORÇAMENTO.CustoUnitario*(1+$AH191),2)</f>
        <v>0</v>
      </c>
    </row>
    <row r="192" spans="1:40" ht="38.25" x14ac:dyDescent="0.2">
      <c r="A192" t="str">
        <f t="shared" si="49"/>
        <v>S</v>
      </c>
      <c r="B192">
        <f t="shared" ca="1" si="36"/>
        <v>3</v>
      </c>
      <c r="C192" t="str">
        <f t="shared" ca="1" si="37"/>
        <v>S</v>
      </c>
      <c r="D192">
        <f t="shared" ca="1" si="38"/>
        <v>0</v>
      </c>
      <c r="E192">
        <f ca="1">IF($C192=1,OFFSET(E192,-1,0)+MAX(1,COUNTIF(QCI!$A$13:$A$24,OFFSET(ORÇAMENTO!E192,-1,0))),OFFSET(E192,-1,0))</f>
        <v>9</v>
      </c>
      <c r="F192">
        <f t="shared" ca="1" si="39"/>
        <v>2</v>
      </c>
      <c r="G192">
        <f t="shared" ca="1" si="40"/>
        <v>4</v>
      </c>
      <c r="H192">
        <f t="shared" ca="1" si="41"/>
        <v>0</v>
      </c>
      <c r="I192">
        <f t="shared" ca="1" si="42"/>
        <v>0</v>
      </c>
      <c r="J192">
        <f t="shared" ca="1" si="34"/>
        <v>0</v>
      </c>
      <c r="K192">
        <f ca="1">IF(OR($C192="S",$C192=0),0,MATCH(OFFSET($D192,0,$C192)+IF($C192&lt;&gt;1,1,COUNTIF(QCI!$A$13:$A$24,ORÇAMENTO!E192)),OFFSET($D192,1,$C192,ROW($C$244)-ROW($C192)),0))</f>
        <v>0</v>
      </c>
      <c r="L192" s="114" t="str">
        <f t="shared" ca="1" si="43"/>
        <v/>
      </c>
      <c r="M192" s="115" t="s">
        <v>705</v>
      </c>
      <c r="N192" s="116" t="str">
        <f t="shared" ca="1" si="44"/>
        <v>Serviço</v>
      </c>
      <c r="O192" s="117" t="str">
        <f t="shared" ca="1" si="45"/>
        <v>-</v>
      </c>
      <c r="P192" s="118" t="s">
        <v>750</v>
      </c>
      <c r="Q192" s="119" t="s">
        <v>1132</v>
      </c>
      <c r="R192" s="120" t="str" cm="1">
        <f t="array" aca="1" ref="R192" ca="1">IF($C192="S",REFERENCIA.Descricao,"(digite a descrição aqui)")</f>
        <v>(Código não identificado nas referências)</v>
      </c>
      <c r="S192" s="121" t="str" cm="1">
        <f t="array" aca="1" ref="S192" ca="1">REFERENCIA.Unidade</f>
        <v>-</v>
      </c>
      <c r="T192" s="122">
        <f ca="1">OFFSET(CÁLCULO!H$15,ROW($T192)-ROW(T$15),0)</f>
        <v>20</v>
      </c>
      <c r="U192" s="123">
        <f t="shared" ca="1" si="46"/>
        <v>0</v>
      </c>
      <c r="V192" s="124" t="s">
        <v>663</v>
      </c>
      <c r="W192" s="122" cm="1">
        <f t="array" aca="1" ref="W192" ca="1">IF($C192="S",ROUND(IF(TIPOORCAMENTO="Proposto",ORÇAMENTO.CustoUnitario*(1+$AH192),ORÇAMENTO.PrecoUnitarioLicitado),15-13*$AF$10),0)</f>
        <v>0</v>
      </c>
      <c r="X192" s="125" cm="1">
        <f t="array" aca="1" ref="X192" ca="1">IF($C192="S",IF(OR(Import.TipoArredondamento&lt;&gt;"TransfereGOV",ACOMPANHAMENTO="BM"),VTOTAL1,SUM(OFFSET(CÁLCULO!$AQ$15,ROW($X192)-ROW($X$15),1):OFFSET(CÁLCULO!$BR$15,ROW($X192)-ROW($X$15),-1))),IF($C192=0,0,ROUND(SomaAgrup,15-13*$AF$11)))</f>
        <v>0</v>
      </c>
      <c r="Y192" s="126" t="s">
        <v>751</v>
      </c>
      <c r="Z192" t="str">
        <f t="shared" ca="1" si="47"/>
        <v/>
      </c>
      <c r="AA192" s="127" cm="1">
        <f t="array" aca="1" ref="AA192" ca="1">IF($C192="S",IF($Z192="CP",$X192,IF($Z192="RA",(($X192)*QCI!$AA$3),0)),SomaAgrup)</f>
        <v>0</v>
      </c>
      <c r="AB192" s="128" cm="1">
        <f t="array" aca="1" ref="AB192" ca="1">IF($C192="S",IF($Z192="OU",ROUND($X192,2),0),SomaAgrup)</f>
        <v>0</v>
      </c>
      <c r="AC192" s="565" t="str" cm="1">
        <f t="array" aca="1" ref="AC192" ca="1">IF($N192=""," ",
IF(AND($C192&lt;&gt;"S",OR($R192="",$R192="(digite a descrição aqui)")),"DESCRIÇÃO",
IF(AND($C192="S",OR($Q192&lt;&gt;"",$T192&gt;0,$U192&gt;0),$P192=""),"FONTE",
IF(AND($C192="S",$P192&lt;&gt;"",OR($T192&gt;0,$U192&gt;0),$Q192=""),"CÓDIGO",
IF(AND($C192="S",$P192&lt;&gt;"",$Q192&lt;&gt;"",$R192="(Código não identificado nas referências)"),"CÓDIGO N/ID",
IF(AND($C192="S",OR($R192="",$R192="(digite a descrição aqui)"),OR($Q192&lt;&gt;"",$T192&gt;0,$U192&gt;0)),"DESCRIÇÃO",
IF(AND($C192="S",$P192&lt;&gt;"",$Q192&lt;&gt;"",$S192=""),"UNIDADE",
IF(AND($C192="S",$P192&lt;&gt;"",$Q192&lt;&gt;"",$U192=0),"SEM CUSTO",
IF(AND(TIPOORCAMENTO="Licitado",$AL192=0,$AN192&gt;0),"SEM PREÇO",
IF(AND($C192="S",$P192&lt;&gt;"",$Q192&lt;&gt;"",$U192&gt;0,AND($V192&lt;&gt;"BDI 1",$V192&lt;&gt;"BDI 2",$V192&lt;&gt;"BDI 3")),IF(ISNUMBER($V192),"JUSTIFICAR BDI","BDI"),
IF(OR(AND(import.recurso="OGU",TIPOORCAMENTO="Proposto",LEFT($O$8,5)&lt;&gt;"(N/D:",$AG192&lt;&gt;"",ORÇAMENTO.CustoUnitario&gt;$AG192),AND(TIPOORCAMENTO="LICITADO",ORÇAMENTO.PrecoUnitarioLicitado&gt;$AN192)),"ACIMA REF.",
IF(AND($C192="S",$P192&lt;&gt;"",$Q192&lt;&gt;"",$T192=0,$U192&gt;0),"QUANT.",
IF(AND(Import.TipoArredondamento="TransfereGOV",$L192="F",$C192="S",LEN($Q192)&gt;13),"Código &gt;13",
IF(AND(Import.TipoArredondamento="TransfereGOV",$L192="F",$C192&lt;&gt;"S",LEN($R192)&gt;100),"Descrição &gt;100",
IF(AND(Import.TipoArredondamento="TransfereGOV",$L192="F",$C192="S",LEN($R192)&gt;500),"Descrição &gt;500",
IF(AND(Import.TipoArredondamento="TransfereGOV",$L192="F",$C192="S",LEFT(TRIM(UPPER($P192)),6)&lt;&gt;"SINAPI",ISNA(VLOOKUP(TRIM(UPPER($S192)),ListaTgov.Unidades,1,FALSE))),"Unid. Não Disp",
" "))))))))))))))))</f>
        <v>CÓDIGO N/ID</v>
      </c>
      <c r="AD192" t="str">
        <f ca="1">IF(C192&lt;=CRONO.NivelExibicao,MAX($AD$15:OFFSET(AD192,-1,0))+IF($C192&lt;&gt;1,1,MAX(1,COUNTIF(QCI!$A$13:$A$24,OFFSET($E192,-1,0)))),"")</f>
        <v/>
      </c>
      <c r="AE192" s="7" t="str" cm="1">
        <f t="array" aca="1" ref="AE192" ca="1">IF(AND($C192="S",ORÇAMENTO.CodBarra&lt;&gt;""),IF(ORÇAMENTO.Fonte="",ORÇAMENTO.CodBarra,CONCATENATE(ORÇAMENTO.Fonte," ",ORÇAMENTO.CodBarra)))</f>
        <v>SINAPI 94703</v>
      </c>
      <c r="AF192" s="12" t="str" cm="1">
        <f t="array" aca="1" ref="AF192" ca="1">IF(ISERROR(ORÇAMENTO.BancoRef),"(abra o arquivo 'Referência "&amp;Excel_BuiltIn_Database&amp;".xlsm)",IF(OR($C192&lt;&gt;"S",ORÇAMENTO.CodBarra=""),"(Sem Código)",IF(ISERROR(MATCH($AE192,INDIRECT(ORÇAMENTO.BancoRef),0)),"(Código não identificado nas referências)",MATCH($AE192,INDIRECT(ORÇAMENTO.BancoRef),0))))</f>
        <v>(Código não identificado nas referências)</v>
      </c>
      <c r="AG192" s="428" cm="1">
        <f t="array" aca="1" ref="AG192" ca="1">ROUND(IF(DESONERACAO="sim",REFERENCIA.Desonerado,REFERENCIA.NaoDesonerado),2)</f>
        <v>0</v>
      </c>
      <c r="AH192" s="429">
        <f t="shared" ca="1" si="50"/>
        <v>0.2223</v>
      </c>
      <c r="AJ192" s="431"/>
      <c r="AL192" s="439"/>
      <c r="AM192" s="336">
        <f t="shared" ca="1" si="0"/>
        <v>0</v>
      </c>
      <c r="AN192" s="470" cm="1">
        <f t="array" aca="1" ref="AN192" ca="1">ROUND(ORÇAMENTO.CustoUnitario*(1+$AH192),2)</f>
        <v>0</v>
      </c>
    </row>
    <row r="193" spans="1:40" ht="38.25" x14ac:dyDescent="0.2">
      <c r="A193" t="str">
        <f t="shared" si="49"/>
        <v>S</v>
      </c>
      <c r="B193">
        <f t="shared" ca="1" si="36"/>
        <v>3</v>
      </c>
      <c r="C193" t="str">
        <f t="shared" ca="1" si="37"/>
        <v>S</v>
      </c>
      <c r="D193">
        <f t="shared" ca="1" si="38"/>
        <v>0</v>
      </c>
      <c r="E193">
        <f ca="1">IF($C193=1,OFFSET(E193,-1,0)+MAX(1,COUNTIF(QCI!$A$13:$A$24,OFFSET(ORÇAMENTO!E193,-1,0))),OFFSET(E193,-1,0))</f>
        <v>9</v>
      </c>
      <c r="F193">
        <f t="shared" ca="1" si="39"/>
        <v>2</v>
      </c>
      <c r="G193">
        <f t="shared" ca="1" si="40"/>
        <v>4</v>
      </c>
      <c r="H193">
        <f t="shared" ca="1" si="41"/>
        <v>0</v>
      </c>
      <c r="I193">
        <f t="shared" ca="1" si="42"/>
        <v>0</v>
      </c>
      <c r="J193">
        <f t="shared" ca="1" si="34"/>
        <v>0</v>
      </c>
      <c r="K193">
        <f ca="1">IF(OR($C193="S",$C193=0),0,MATCH(OFFSET($D193,0,$C193)+IF($C193&lt;&gt;1,1,COUNTIF(QCI!$A$13:$A$24,ORÇAMENTO!E193)),OFFSET($D193,1,$C193,ROW($C$244)-ROW($C193)),0))</f>
        <v>0</v>
      </c>
      <c r="L193" s="114" t="str">
        <f t="shared" ca="1" si="43"/>
        <v/>
      </c>
      <c r="M193" s="115" t="s">
        <v>705</v>
      </c>
      <c r="N193" s="116" t="str">
        <f t="shared" ca="1" si="44"/>
        <v>Serviço</v>
      </c>
      <c r="O193" s="117" t="str">
        <f t="shared" ca="1" si="45"/>
        <v>-</v>
      </c>
      <c r="P193" s="118" t="s">
        <v>750</v>
      </c>
      <c r="Q193" s="119" t="s">
        <v>1133</v>
      </c>
      <c r="R193" s="120" t="str" cm="1">
        <f t="array" aca="1" ref="R193" ca="1">IF($C193="S",REFERENCIA.Descricao,"(digite a descrição aqui)")</f>
        <v>(Código não identificado nas referências)</v>
      </c>
      <c r="S193" s="121" t="str" cm="1">
        <f t="array" aca="1" ref="S193" ca="1">REFERENCIA.Unidade</f>
        <v>-</v>
      </c>
      <c r="T193" s="122">
        <f ca="1">OFFSET(CÁLCULO!H$15,ROW($T193)-ROW(T$15),0)</f>
        <v>40</v>
      </c>
      <c r="U193" s="123">
        <f t="shared" ca="1" si="46"/>
        <v>0</v>
      </c>
      <c r="V193" s="124" t="s">
        <v>663</v>
      </c>
      <c r="W193" s="122" cm="1">
        <f t="array" aca="1" ref="W193" ca="1">IF($C193="S",ROUND(IF(TIPOORCAMENTO="Proposto",ORÇAMENTO.CustoUnitario*(1+$AH193),ORÇAMENTO.PrecoUnitarioLicitado),15-13*$AF$10),0)</f>
        <v>0</v>
      </c>
      <c r="X193" s="125" cm="1">
        <f t="array" aca="1" ref="X193" ca="1">IF($C193="S",IF(OR(Import.TipoArredondamento&lt;&gt;"TransfereGOV",ACOMPANHAMENTO="BM"),VTOTAL1,SUM(OFFSET(CÁLCULO!$AQ$15,ROW($X193)-ROW($X$15),1):OFFSET(CÁLCULO!$BR$15,ROW($X193)-ROW($X$15),-1))),IF($C193=0,0,ROUND(SomaAgrup,15-13*$AF$11)))</f>
        <v>0</v>
      </c>
      <c r="Y193" s="126" t="s">
        <v>751</v>
      </c>
      <c r="Z193" t="str">
        <f t="shared" ca="1" si="47"/>
        <v/>
      </c>
      <c r="AA193" s="127" cm="1">
        <f t="array" aca="1" ref="AA193" ca="1">IF($C193="S",IF($Z193="CP",$X193,IF($Z193="RA",(($X193)*QCI!$AA$3),0)),SomaAgrup)</f>
        <v>0</v>
      </c>
      <c r="AB193" s="128" cm="1">
        <f t="array" aca="1" ref="AB193" ca="1">IF($C193="S",IF($Z193="OU",ROUND($X193,2),0),SomaAgrup)</f>
        <v>0</v>
      </c>
      <c r="AC193" s="565" t="str" cm="1">
        <f t="array" aca="1" ref="AC193" ca="1">IF($N193=""," ",
IF(AND($C193&lt;&gt;"S",OR($R193="",$R193="(digite a descrição aqui)")),"DESCRIÇÃO",
IF(AND($C193="S",OR($Q193&lt;&gt;"",$T193&gt;0,$U193&gt;0),$P193=""),"FONTE",
IF(AND($C193="S",$P193&lt;&gt;"",OR($T193&gt;0,$U193&gt;0),$Q193=""),"CÓDIGO",
IF(AND($C193="S",$P193&lt;&gt;"",$Q193&lt;&gt;"",$R193="(Código não identificado nas referências)"),"CÓDIGO N/ID",
IF(AND($C193="S",OR($R193="",$R193="(digite a descrição aqui)"),OR($Q193&lt;&gt;"",$T193&gt;0,$U193&gt;0)),"DESCRIÇÃO",
IF(AND($C193="S",$P193&lt;&gt;"",$Q193&lt;&gt;"",$S193=""),"UNIDADE",
IF(AND($C193="S",$P193&lt;&gt;"",$Q193&lt;&gt;"",$U193=0),"SEM CUSTO",
IF(AND(TIPOORCAMENTO="Licitado",$AL193=0,$AN193&gt;0),"SEM PREÇO",
IF(AND($C193="S",$P193&lt;&gt;"",$Q193&lt;&gt;"",$U193&gt;0,AND($V193&lt;&gt;"BDI 1",$V193&lt;&gt;"BDI 2",$V193&lt;&gt;"BDI 3")),IF(ISNUMBER($V193),"JUSTIFICAR BDI","BDI"),
IF(OR(AND(import.recurso="OGU",TIPOORCAMENTO="Proposto",LEFT($O$8,5)&lt;&gt;"(N/D:",$AG193&lt;&gt;"",ORÇAMENTO.CustoUnitario&gt;$AG193),AND(TIPOORCAMENTO="LICITADO",ORÇAMENTO.PrecoUnitarioLicitado&gt;$AN193)),"ACIMA REF.",
IF(AND($C193="S",$P193&lt;&gt;"",$Q193&lt;&gt;"",$T193=0,$U193&gt;0),"QUANT.",
IF(AND(Import.TipoArredondamento="TransfereGOV",$L193="F",$C193="S",LEN($Q193)&gt;13),"Código &gt;13",
IF(AND(Import.TipoArredondamento="TransfereGOV",$L193="F",$C193&lt;&gt;"S",LEN($R193)&gt;100),"Descrição &gt;100",
IF(AND(Import.TipoArredondamento="TransfereGOV",$L193="F",$C193="S",LEN($R193)&gt;500),"Descrição &gt;500",
IF(AND(Import.TipoArredondamento="TransfereGOV",$L193="F",$C193="S",LEFT(TRIM(UPPER($P193)),6)&lt;&gt;"SINAPI",ISNA(VLOOKUP(TRIM(UPPER($S193)),ListaTgov.Unidades,1,FALSE))),"Unid. Não Disp",
" "))))))))))))))))</f>
        <v>CÓDIGO N/ID</v>
      </c>
      <c r="AD193" t="str">
        <f ca="1">IF(C193&lt;=CRONO.NivelExibicao,MAX($AD$15:OFFSET(AD193,-1,0))+IF($C193&lt;&gt;1,1,MAX(1,COUNTIF(QCI!$A$13:$A$24,OFFSET($E193,-1,0)))),"")</f>
        <v/>
      </c>
      <c r="AE193" s="7" t="str" cm="1">
        <f t="array" aca="1" ref="AE193" ca="1">IF(AND($C193="S",ORÇAMENTO.CodBarra&lt;&gt;""),IF(ORÇAMENTO.Fonte="",ORÇAMENTO.CodBarra,CONCATENATE(ORÇAMENTO.Fonte," ",ORÇAMENTO.CodBarra)))</f>
        <v>SINAPI 94704</v>
      </c>
      <c r="AF193" s="12" t="str" cm="1">
        <f t="array" aca="1" ref="AF193" ca="1">IF(ISERROR(ORÇAMENTO.BancoRef),"(abra o arquivo 'Referência "&amp;Excel_BuiltIn_Database&amp;".xlsm)",IF(OR($C193&lt;&gt;"S",ORÇAMENTO.CodBarra=""),"(Sem Código)",IF(ISERROR(MATCH($AE193,INDIRECT(ORÇAMENTO.BancoRef),0)),"(Código não identificado nas referências)",MATCH($AE193,INDIRECT(ORÇAMENTO.BancoRef),0))))</f>
        <v>(Código não identificado nas referências)</v>
      </c>
      <c r="AG193" s="428" cm="1">
        <f t="array" aca="1" ref="AG193" ca="1">ROUND(IF(DESONERACAO="sim",REFERENCIA.Desonerado,REFERENCIA.NaoDesonerado),2)</f>
        <v>0</v>
      </c>
      <c r="AH193" s="429">
        <f t="shared" ca="1" si="50"/>
        <v>0.2223</v>
      </c>
      <c r="AJ193" s="431"/>
      <c r="AL193" s="439"/>
      <c r="AM193" s="336">
        <f t="shared" ca="1" si="0"/>
        <v>0</v>
      </c>
      <c r="AN193" s="470" cm="1">
        <f t="array" aca="1" ref="AN193" ca="1">ROUND(ORÇAMENTO.CustoUnitario*(1+$AH193),2)</f>
        <v>0</v>
      </c>
    </row>
    <row r="194" spans="1:40" ht="25.5" x14ac:dyDescent="0.2">
      <c r="A194" t="str">
        <f t="shared" si="49"/>
        <v>S</v>
      </c>
      <c r="B194">
        <f t="shared" ca="1" si="36"/>
        <v>3</v>
      </c>
      <c r="C194" t="str">
        <f t="shared" ca="1" si="37"/>
        <v>S</v>
      </c>
      <c r="D194">
        <f t="shared" ca="1" si="38"/>
        <v>0</v>
      </c>
      <c r="E194">
        <f ca="1">IF($C194=1,OFFSET(E194,-1,0)+MAX(1,COUNTIF(QCI!$A$13:$A$24,OFFSET(ORÇAMENTO!E194,-1,0))),OFFSET(E194,-1,0))</f>
        <v>9</v>
      </c>
      <c r="F194">
        <f t="shared" ca="1" si="39"/>
        <v>2</v>
      </c>
      <c r="G194">
        <f t="shared" ca="1" si="40"/>
        <v>4</v>
      </c>
      <c r="H194">
        <f t="shared" ca="1" si="41"/>
        <v>0</v>
      </c>
      <c r="I194">
        <f t="shared" ca="1" si="42"/>
        <v>0</v>
      </c>
      <c r="J194">
        <f t="shared" ca="1" si="34"/>
        <v>0</v>
      </c>
      <c r="K194">
        <f ca="1">IF(OR($C194="S",$C194=0),0,MATCH(OFFSET($D194,0,$C194)+IF($C194&lt;&gt;1,1,COUNTIF(QCI!$A$13:$A$24,ORÇAMENTO!E194)),OFFSET($D194,1,$C194,ROW($C$244)-ROW($C194)),0))</f>
        <v>0</v>
      </c>
      <c r="L194" s="114" t="str">
        <f t="shared" ca="1" si="43"/>
        <v/>
      </c>
      <c r="M194" s="115" t="s">
        <v>705</v>
      </c>
      <c r="N194" s="116" t="str">
        <f t="shared" ca="1" si="44"/>
        <v>Serviço</v>
      </c>
      <c r="O194" s="117" t="str">
        <f t="shared" ca="1" si="45"/>
        <v>-</v>
      </c>
      <c r="P194" s="118" t="s">
        <v>750</v>
      </c>
      <c r="Q194" s="119" t="s">
        <v>1134</v>
      </c>
      <c r="R194" s="120" t="str" cm="1">
        <f t="array" aca="1" ref="R194" ca="1">IF($C194="S",REFERENCIA.Descricao,"(digite a descrição aqui)")</f>
        <v>(Código não identificado nas referências)</v>
      </c>
      <c r="S194" s="121" t="str" cm="1">
        <f t="array" aca="1" ref="S194" ca="1">REFERENCIA.Unidade</f>
        <v>-</v>
      </c>
      <c r="T194" s="122">
        <f ca="1">OFFSET(CÁLCULO!H$15,ROW($T194)-ROW(T$15),0)</f>
        <v>20</v>
      </c>
      <c r="U194" s="123">
        <f t="shared" ca="1" si="46"/>
        <v>0</v>
      </c>
      <c r="V194" s="124" t="s">
        <v>663</v>
      </c>
      <c r="W194" s="122" cm="1">
        <f t="array" aca="1" ref="W194" ca="1">IF($C194="S",ROUND(IF(TIPOORCAMENTO="Proposto",ORÇAMENTO.CustoUnitario*(1+$AH194),ORÇAMENTO.PrecoUnitarioLicitado),15-13*$AF$10),0)</f>
        <v>0</v>
      </c>
      <c r="X194" s="125" cm="1">
        <f t="array" aca="1" ref="X194" ca="1">IF($C194="S",IF(OR(Import.TipoArredondamento&lt;&gt;"TransfereGOV",ACOMPANHAMENTO="BM"),VTOTAL1,SUM(OFFSET(CÁLCULO!$AQ$15,ROW($X194)-ROW($X$15),1):OFFSET(CÁLCULO!$BR$15,ROW($X194)-ROW($X$15),-1))),IF($C194=0,0,ROUND(SomaAgrup,15-13*$AF$11)))</f>
        <v>0</v>
      </c>
      <c r="Y194" s="126" t="s">
        <v>751</v>
      </c>
      <c r="Z194" t="str">
        <f t="shared" ca="1" si="47"/>
        <v/>
      </c>
      <c r="AA194" s="127" cm="1">
        <f t="array" aca="1" ref="AA194" ca="1">IF($C194="S",IF($Z194="CP",$X194,IF($Z194="RA",(($X194)*QCI!$AA$3),0)),SomaAgrup)</f>
        <v>0</v>
      </c>
      <c r="AB194" s="128" cm="1">
        <f t="array" aca="1" ref="AB194" ca="1">IF($C194="S",IF($Z194="OU",ROUND($X194,2),0),SomaAgrup)</f>
        <v>0</v>
      </c>
      <c r="AC194" s="565" t="str" cm="1">
        <f t="array" aca="1" ref="AC194" ca="1">IF($N194=""," ",
IF(AND($C194&lt;&gt;"S",OR($R194="",$R194="(digite a descrição aqui)")),"DESCRIÇÃO",
IF(AND($C194="S",OR($Q194&lt;&gt;"",$T194&gt;0,$U194&gt;0),$P194=""),"FONTE",
IF(AND($C194="S",$P194&lt;&gt;"",OR($T194&gt;0,$U194&gt;0),$Q194=""),"CÓDIGO",
IF(AND($C194="S",$P194&lt;&gt;"",$Q194&lt;&gt;"",$R194="(Código não identificado nas referências)"),"CÓDIGO N/ID",
IF(AND($C194="S",OR($R194="",$R194="(digite a descrição aqui)"),OR($Q194&lt;&gt;"",$T194&gt;0,$U194&gt;0)),"DESCRIÇÃO",
IF(AND($C194="S",$P194&lt;&gt;"",$Q194&lt;&gt;"",$S194=""),"UNIDADE",
IF(AND($C194="S",$P194&lt;&gt;"",$Q194&lt;&gt;"",$U194=0),"SEM CUSTO",
IF(AND(TIPOORCAMENTO="Licitado",$AL194=0,$AN194&gt;0),"SEM PREÇO",
IF(AND($C194="S",$P194&lt;&gt;"",$Q194&lt;&gt;"",$U194&gt;0,AND($V194&lt;&gt;"BDI 1",$V194&lt;&gt;"BDI 2",$V194&lt;&gt;"BDI 3")),IF(ISNUMBER($V194),"JUSTIFICAR BDI","BDI"),
IF(OR(AND(import.recurso="OGU",TIPOORCAMENTO="Proposto",LEFT($O$8,5)&lt;&gt;"(N/D:",$AG194&lt;&gt;"",ORÇAMENTO.CustoUnitario&gt;$AG194),AND(TIPOORCAMENTO="LICITADO",ORÇAMENTO.PrecoUnitarioLicitado&gt;$AN194)),"ACIMA REF.",
IF(AND($C194="S",$P194&lt;&gt;"",$Q194&lt;&gt;"",$T194=0,$U194&gt;0),"QUANT.",
IF(AND(Import.TipoArredondamento="TransfereGOV",$L194="F",$C194="S",LEN($Q194)&gt;13),"Código &gt;13",
IF(AND(Import.TipoArredondamento="TransfereGOV",$L194="F",$C194&lt;&gt;"S",LEN($R194)&gt;100),"Descrição &gt;100",
IF(AND(Import.TipoArredondamento="TransfereGOV",$L194="F",$C194="S",LEN($R194)&gt;500),"Descrição &gt;500",
IF(AND(Import.TipoArredondamento="TransfereGOV",$L194="F",$C194="S",LEFT(TRIM(UPPER($P194)),6)&lt;&gt;"SINAPI",ISNA(VLOOKUP(TRIM(UPPER($S194)),ListaTgov.Unidades,1,FALSE))),"Unid. Não Disp",
" "))))))))))))))))</f>
        <v>CÓDIGO N/ID</v>
      </c>
      <c r="AD194" t="str">
        <f ca="1">IF(C194&lt;=CRONO.NivelExibicao,MAX($AD$15:OFFSET(AD194,-1,0))+IF($C194&lt;&gt;1,1,MAX(1,COUNTIF(QCI!$A$13:$A$24,OFFSET($E194,-1,0)))),"")</f>
        <v/>
      </c>
      <c r="AE194" s="7" t="str" cm="1">
        <f t="array" aca="1" ref="AE194" ca="1">IF(AND($C194="S",ORÇAMENTO.CodBarra&lt;&gt;""),IF(ORÇAMENTO.Fonte="",ORÇAMENTO.CodBarra,CONCATENATE(ORÇAMENTO.Fonte," ",ORÇAMENTO.CodBarra)))</f>
        <v>SINAPI 94796</v>
      </c>
      <c r="AF194" s="12" t="str" cm="1">
        <f t="array" aca="1" ref="AF194" ca="1">IF(ISERROR(ORÇAMENTO.BancoRef),"(abra o arquivo 'Referência "&amp;Excel_BuiltIn_Database&amp;".xlsm)",IF(OR($C194&lt;&gt;"S",ORÇAMENTO.CodBarra=""),"(Sem Código)",IF(ISERROR(MATCH($AE194,INDIRECT(ORÇAMENTO.BancoRef),0)),"(Código não identificado nas referências)",MATCH($AE194,INDIRECT(ORÇAMENTO.BancoRef),0))))</f>
        <v>(Código não identificado nas referências)</v>
      </c>
      <c r="AG194" s="428" cm="1">
        <f t="array" aca="1" ref="AG194" ca="1">ROUND(IF(DESONERACAO="sim",REFERENCIA.Desonerado,REFERENCIA.NaoDesonerado),2)</f>
        <v>0</v>
      </c>
      <c r="AH194" s="429">
        <f t="shared" ca="1" si="50"/>
        <v>0.2223</v>
      </c>
      <c r="AJ194" s="431"/>
      <c r="AL194" s="439"/>
      <c r="AM194" s="336">
        <f t="shared" ca="1" si="0"/>
        <v>0</v>
      </c>
      <c r="AN194" s="470" cm="1">
        <f t="array" aca="1" ref="AN194" ca="1">ROUND(ORÇAMENTO.CustoUnitario*(1+$AH194),2)</f>
        <v>0</v>
      </c>
    </row>
    <row r="195" spans="1:40" ht="38.25" x14ac:dyDescent="0.2">
      <c r="A195" t="str">
        <f t="shared" si="49"/>
        <v>S</v>
      </c>
      <c r="B195">
        <f t="shared" ca="1" si="36"/>
        <v>3</v>
      </c>
      <c r="C195" t="str">
        <f t="shared" ca="1" si="37"/>
        <v>S</v>
      </c>
      <c r="D195">
        <f t="shared" ca="1" si="38"/>
        <v>0</v>
      </c>
      <c r="E195">
        <f ca="1">IF($C195=1,OFFSET(E195,-1,0)+MAX(1,COUNTIF(QCI!$A$13:$A$24,OFFSET(ORÇAMENTO!E195,-1,0))),OFFSET(E195,-1,0))</f>
        <v>9</v>
      </c>
      <c r="F195">
        <f t="shared" ca="1" si="39"/>
        <v>2</v>
      </c>
      <c r="G195">
        <f t="shared" ca="1" si="40"/>
        <v>4</v>
      </c>
      <c r="H195">
        <f t="shared" ca="1" si="41"/>
        <v>0</v>
      </c>
      <c r="I195">
        <f t="shared" ca="1" si="42"/>
        <v>0</v>
      </c>
      <c r="J195">
        <f t="shared" ca="1" si="34"/>
        <v>0</v>
      </c>
      <c r="K195">
        <f ca="1">IF(OR($C195="S",$C195=0),0,MATCH(OFFSET($D195,0,$C195)+IF($C195&lt;&gt;1,1,COUNTIF(QCI!$A$13:$A$24,ORÇAMENTO!E195)),OFFSET($D195,1,$C195,ROW($C$244)-ROW($C195)),0))</f>
        <v>0</v>
      </c>
      <c r="L195" s="114" t="str">
        <f t="shared" ca="1" si="43"/>
        <v/>
      </c>
      <c r="M195" s="115" t="s">
        <v>705</v>
      </c>
      <c r="N195" s="116" t="str">
        <f t="shared" ca="1" si="44"/>
        <v>Serviço</v>
      </c>
      <c r="O195" s="117" t="str">
        <f t="shared" ca="1" si="45"/>
        <v>-</v>
      </c>
      <c r="P195" s="118" t="s">
        <v>750</v>
      </c>
      <c r="Q195" s="119" t="s">
        <v>1114</v>
      </c>
      <c r="R195" s="120" t="str" cm="1">
        <f t="array" aca="1" ref="R195" ca="1">IF($C195="S",REFERENCIA.Descricao,"(digite a descrição aqui)")</f>
        <v>(Código não identificado nas referências)</v>
      </c>
      <c r="S195" s="121" t="str" cm="1">
        <f t="array" aca="1" ref="S195" ca="1">REFERENCIA.Unidade</f>
        <v>-</v>
      </c>
      <c r="T195" s="122">
        <f ca="1">OFFSET(CÁLCULO!H$15,ROW($T195)-ROW(T$15),0)</f>
        <v>160</v>
      </c>
      <c r="U195" s="123">
        <f t="shared" ca="1" si="46"/>
        <v>0</v>
      </c>
      <c r="V195" s="124" t="s">
        <v>663</v>
      </c>
      <c r="W195" s="122" cm="1">
        <f t="array" aca="1" ref="W195" ca="1">IF($C195="S",ROUND(IF(TIPOORCAMENTO="Proposto",ORÇAMENTO.CustoUnitario*(1+$AH195),ORÇAMENTO.PrecoUnitarioLicitado),15-13*$AF$10),0)</f>
        <v>0</v>
      </c>
      <c r="X195" s="125" cm="1">
        <f t="array" aca="1" ref="X195" ca="1">IF($C195="S",IF(OR(Import.TipoArredondamento&lt;&gt;"TransfereGOV",ACOMPANHAMENTO="BM"),VTOTAL1,SUM(OFFSET(CÁLCULO!$AQ$15,ROW($X195)-ROW($X$15),1):OFFSET(CÁLCULO!$BR$15,ROW($X195)-ROW($X$15),-1))),IF($C195=0,0,ROUND(SomaAgrup,15-13*$AF$11)))</f>
        <v>0</v>
      </c>
      <c r="Y195" s="126" t="s">
        <v>751</v>
      </c>
      <c r="Z195" t="str">
        <f t="shared" ca="1" si="47"/>
        <v/>
      </c>
      <c r="AA195" s="127" cm="1">
        <f t="array" aca="1" ref="AA195" ca="1">IF($C195="S",IF($Z195="CP",$X195,IF($Z195="RA",(($X195)*QCI!$AA$3),0)),SomaAgrup)</f>
        <v>0</v>
      </c>
      <c r="AB195" s="128" cm="1">
        <f t="array" aca="1" ref="AB195" ca="1">IF($C195="S",IF($Z195="OU",ROUND($X195,2),0),SomaAgrup)</f>
        <v>0</v>
      </c>
      <c r="AC195" s="565" t="str" cm="1">
        <f t="array" aca="1" ref="AC195" ca="1">IF($N195=""," ",
IF(AND($C195&lt;&gt;"S",OR($R195="",$R195="(digite a descrição aqui)")),"DESCRIÇÃO",
IF(AND($C195="S",OR($Q195&lt;&gt;"",$T195&gt;0,$U195&gt;0),$P195=""),"FONTE",
IF(AND($C195="S",$P195&lt;&gt;"",OR($T195&gt;0,$U195&gt;0),$Q195=""),"CÓDIGO",
IF(AND($C195="S",$P195&lt;&gt;"",$Q195&lt;&gt;"",$R195="(Código não identificado nas referências)"),"CÓDIGO N/ID",
IF(AND($C195="S",OR($R195="",$R195="(digite a descrição aqui)"),OR($Q195&lt;&gt;"",$T195&gt;0,$U195&gt;0)),"DESCRIÇÃO",
IF(AND($C195="S",$P195&lt;&gt;"",$Q195&lt;&gt;"",$S195=""),"UNIDADE",
IF(AND($C195="S",$P195&lt;&gt;"",$Q195&lt;&gt;"",$U195=0),"SEM CUSTO",
IF(AND(TIPOORCAMENTO="Licitado",$AL195=0,$AN195&gt;0),"SEM PREÇO",
IF(AND($C195="S",$P195&lt;&gt;"",$Q195&lt;&gt;"",$U195&gt;0,AND($V195&lt;&gt;"BDI 1",$V195&lt;&gt;"BDI 2",$V195&lt;&gt;"BDI 3")),IF(ISNUMBER($V195),"JUSTIFICAR BDI","BDI"),
IF(OR(AND(import.recurso="OGU",TIPOORCAMENTO="Proposto",LEFT($O$8,5)&lt;&gt;"(N/D:",$AG195&lt;&gt;"",ORÇAMENTO.CustoUnitario&gt;$AG195),AND(TIPOORCAMENTO="LICITADO",ORÇAMENTO.PrecoUnitarioLicitado&gt;$AN195)),"ACIMA REF.",
IF(AND($C195="S",$P195&lt;&gt;"",$Q195&lt;&gt;"",$T195=0,$U195&gt;0),"QUANT.",
IF(AND(Import.TipoArredondamento="TransfereGOV",$L195="F",$C195="S",LEN($Q195)&gt;13),"Código &gt;13",
IF(AND(Import.TipoArredondamento="TransfereGOV",$L195="F",$C195&lt;&gt;"S",LEN($R195)&gt;100),"Descrição &gt;100",
IF(AND(Import.TipoArredondamento="TransfereGOV",$L195="F",$C195="S",LEN($R195)&gt;500),"Descrição &gt;500",
IF(AND(Import.TipoArredondamento="TransfereGOV",$L195="F",$C195="S",LEFT(TRIM(UPPER($P195)),6)&lt;&gt;"SINAPI",ISNA(VLOOKUP(TRIM(UPPER($S195)),ListaTgov.Unidades,1,FALSE))),"Unid. Não Disp",
" "))))))))))))))))</f>
        <v>CÓDIGO N/ID</v>
      </c>
      <c r="AD195" t="str">
        <f ca="1">IF(C195&lt;=CRONO.NivelExibicao,MAX($AD$15:OFFSET(AD195,-1,0))+IF($C195&lt;&gt;1,1,MAX(1,COUNTIF(QCI!$A$13:$A$24,OFFSET($E195,-1,0)))),"")</f>
        <v/>
      </c>
      <c r="AE195" s="7" t="str" cm="1">
        <f t="array" aca="1" ref="AE195" ca="1">IF(AND($C195="S",ORÇAMENTO.CodBarra&lt;&gt;""),IF(ORÇAMENTO.Fonte="",ORÇAMENTO.CodBarra,CONCATENATE(ORÇAMENTO.Fonte," ",ORÇAMENTO.CodBarra)))</f>
        <v>SINAPI 89408</v>
      </c>
      <c r="AF195" s="12" t="str" cm="1">
        <f t="array" aca="1" ref="AF195" ca="1">IF(ISERROR(ORÇAMENTO.BancoRef),"(abra o arquivo 'Referência "&amp;Excel_BuiltIn_Database&amp;".xlsm)",IF(OR($C195&lt;&gt;"S",ORÇAMENTO.CodBarra=""),"(Sem Código)",IF(ISERROR(MATCH($AE195,INDIRECT(ORÇAMENTO.BancoRef),0)),"(Código não identificado nas referências)",MATCH($AE195,INDIRECT(ORÇAMENTO.BancoRef),0))))</f>
        <v>(Código não identificado nas referências)</v>
      </c>
      <c r="AG195" s="428" cm="1">
        <f t="array" aca="1" ref="AG195" ca="1">ROUND(IF(DESONERACAO="sim",REFERENCIA.Desonerado,REFERENCIA.NaoDesonerado),2)</f>
        <v>0</v>
      </c>
      <c r="AH195" s="429">
        <f t="shared" ca="1" si="50"/>
        <v>0.2223</v>
      </c>
      <c r="AJ195" s="431"/>
      <c r="AL195" s="439"/>
      <c r="AM195" s="336">
        <f t="shared" ca="1" si="0"/>
        <v>0</v>
      </c>
      <c r="AN195" s="470" cm="1">
        <f t="array" aca="1" ref="AN195" ca="1">ROUND(ORÇAMENTO.CustoUnitario*(1+$AH195),2)</f>
        <v>0</v>
      </c>
    </row>
    <row r="196" spans="1:40" ht="38.25" x14ac:dyDescent="0.2">
      <c r="A196" t="str">
        <f t="shared" si="49"/>
        <v>S</v>
      </c>
      <c r="B196">
        <f t="shared" ca="1" si="36"/>
        <v>3</v>
      </c>
      <c r="C196" t="str">
        <f t="shared" ca="1" si="37"/>
        <v>S</v>
      </c>
      <c r="D196">
        <f t="shared" ca="1" si="38"/>
        <v>0</v>
      </c>
      <c r="E196">
        <f ca="1">IF($C196=1,OFFSET(E196,-1,0)+MAX(1,COUNTIF(QCI!$A$13:$A$24,OFFSET(ORÇAMENTO!E196,-1,0))),OFFSET(E196,-1,0))</f>
        <v>9</v>
      </c>
      <c r="F196">
        <f t="shared" ca="1" si="39"/>
        <v>2</v>
      </c>
      <c r="G196">
        <f t="shared" ca="1" si="40"/>
        <v>4</v>
      </c>
      <c r="H196">
        <f t="shared" ca="1" si="41"/>
        <v>0</v>
      </c>
      <c r="I196">
        <f t="shared" ca="1" si="42"/>
        <v>0</v>
      </c>
      <c r="J196">
        <f t="shared" ca="1" si="34"/>
        <v>0</v>
      </c>
      <c r="K196">
        <f ca="1">IF(OR($C196="S",$C196=0),0,MATCH(OFFSET($D196,0,$C196)+IF($C196&lt;&gt;1,1,COUNTIF(QCI!$A$13:$A$24,ORÇAMENTO!E196)),OFFSET($D196,1,$C196,ROW($C$244)-ROW($C196)),0))</f>
        <v>0</v>
      </c>
      <c r="L196" s="114" t="str">
        <f t="shared" ca="1" si="43"/>
        <v/>
      </c>
      <c r="M196" s="115" t="s">
        <v>705</v>
      </c>
      <c r="N196" s="116" t="str">
        <f t="shared" ca="1" si="44"/>
        <v>Serviço</v>
      </c>
      <c r="O196" s="117" t="str">
        <f t="shared" ca="1" si="45"/>
        <v>-</v>
      </c>
      <c r="P196" s="118" t="s">
        <v>750</v>
      </c>
      <c r="Q196" s="119" t="s">
        <v>1135</v>
      </c>
      <c r="R196" s="120" t="str" cm="1">
        <f t="array" aca="1" ref="R196" ca="1">IF($C196="S",REFERENCIA.Descricao,"(digite a descrição aqui)")</f>
        <v>(Código não identificado nas referências)</v>
      </c>
      <c r="S196" s="121" t="str" cm="1">
        <f t="array" aca="1" ref="S196" ca="1">REFERENCIA.Unidade</f>
        <v>-</v>
      </c>
      <c r="T196" s="122">
        <f ca="1">OFFSET(CÁLCULO!H$15,ROW($T196)-ROW(T$15),0)</f>
        <v>80</v>
      </c>
      <c r="U196" s="123">
        <f t="shared" ca="1" si="46"/>
        <v>0</v>
      </c>
      <c r="V196" s="124" t="s">
        <v>663</v>
      </c>
      <c r="W196" s="122" cm="1">
        <f t="array" aca="1" ref="W196" ca="1">IF($C196="S",ROUND(IF(TIPOORCAMENTO="Proposto",ORÇAMENTO.CustoUnitario*(1+$AH196),ORÇAMENTO.PrecoUnitarioLicitado),15-13*$AF$10),0)</f>
        <v>0</v>
      </c>
      <c r="X196" s="125" cm="1">
        <f t="array" aca="1" ref="X196" ca="1">IF($C196="S",IF(OR(Import.TipoArredondamento&lt;&gt;"TransfereGOV",ACOMPANHAMENTO="BM"),VTOTAL1,SUM(OFFSET(CÁLCULO!$AQ$15,ROW($X196)-ROW($X$15),1):OFFSET(CÁLCULO!$BR$15,ROW($X196)-ROW($X$15),-1))),IF($C196=0,0,ROUND(SomaAgrup,15-13*$AF$11)))</f>
        <v>0</v>
      </c>
      <c r="Y196" s="126" t="s">
        <v>751</v>
      </c>
      <c r="Z196" t="str">
        <f t="shared" ca="1" si="47"/>
        <v/>
      </c>
      <c r="AA196" s="127" cm="1">
        <f t="array" aca="1" ref="AA196" ca="1">IF($C196="S",IF($Z196="CP",$X196,IF($Z196="RA",(($X196)*QCI!$AA$3),0)),SomaAgrup)</f>
        <v>0</v>
      </c>
      <c r="AB196" s="128" cm="1">
        <f t="array" aca="1" ref="AB196" ca="1">IF($C196="S",IF($Z196="OU",ROUND($X196,2),0),SomaAgrup)</f>
        <v>0</v>
      </c>
      <c r="AC196" s="565" t="str" cm="1">
        <f t="array" aca="1" ref="AC196" ca="1">IF($N196=""," ",
IF(AND($C196&lt;&gt;"S",OR($R196="",$R196="(digite a descrição aqui)")),"DESCRIÇÃO",
IF(AND($C196="S",OR($Q196&lt;&gt;"",$T196&gt;0,$U196&gt;0),$P196=""),"FONTE",
IF(AND($C196="S",$P196&lt;&gt;"",OR($T196&gt;0,$U196&gt;0),$Q196=""),"CÓDIGO",
IF(AND($C196="S",$P196&lt;&gt;"",$Q196&lt;&gt;"",$R196="(Código não identificado nas referências)"),"CÓDIGO N/ID",
IF(AND($C196="S",OR($R196="",$R196="(digite a descrição aqui)"),OR($Q196&lt;&gt;"",$T196&gt;0,$U196&gt;0)),"DESCRIÇÃO",
IF(AND($C196="S",$P196&lt;&gt;"",$Q196&lt;&gt;"",$S196=""),"UNIDADE",
IF(AND($C196="S",$P196&lt;&gt;"",$Q196&lt;&gt;"",$U196=0),"SEM CUSTO",
IF(AND(TIPOORCAMENTO="Licitado",$AL196=0,$AN196&gt;0),"SEM PREÇO",
IF(AND($C196="S",$P196&lt;&gt;"",$Q196&lt;&gt;"",$U196&gt;0,AND($V196&lt;&gt;"BDI 1",$V196&lt;&gt;"BDI 2",$V196&lt;&gt;"BDI 3")),IF(ISNUMBER($V196),"JUSTIFICAR BDI","BDI"),
IF(OR(AND(import.recurso="OGU",TIPOORCAMENTO="Proposto",LEFT($O$8,5)&lt;&gt;"(N/D:",$AG196&lt;&gt;"",ORÇAMENTO.CustoUnitario&gt;$AG196),AND(TIPOORCAMENTO="LICITADO",ORÇAMENTO.PrecoUnitarioLicitado&gt;$AN196)),"ACIMA REF.",
IF(AND($C196="S",$P196&lt;&gt;"",$Q196&lt;&gt;"",$T196=0,$U196&gt;0),"QUANT.",
IF(AND(Import.TipoArredondamento="TransfereGOV",$L196="F",$C196="S",LEN($Q196)&gt;13),"Código &gt;13",
IF(AND(Import.TipoArredondamento="TransfereGOV",$L196="F",$C196&lt;&gt;"S",LEN($R196)&gt;100),"Descrição &gt;100",
IF(AND(Import.TipoArredondamento="TransfereGOV",$L196="F",$C196="S",LEN($R196)&gt;500),"Descrição &gt;500",
IF(AND(Import.TipoArredondamento="TransfereGOV",$L196="F",$C196="S",LEFT(TRIM(UPPER($P196)),6)&lt;&gt;"SINAPI",ISNA(VLOOKUP(TRIM(UPPER($S196)),ListaTgov.Unidades,1,FALSE))),"Unid. Não Disp",
" "))))))))))))))))</f>
        <v>CÓDIGO N/ID</v>
      </c>
      <c r="AD196" t="str">
        <f ca="1">IF(C196&lt;=CRONO.NivelExibicao,MAX($AD$15:OFFSET(AD196,-1,0))+IF($C196&lt;&gt;1,1,MAX(1,COUNTIF(QCI!$A$13:$A$24,OFFSET($E196,-1,0)))),"")</f>
        <v/>
      </c>
      <c r="AE196" s="7" t="str" cm="1">
        <f t="array" aca="1" ref="AE196" ca="1">IF(AND($C196="S",ORÇAMENTO.CodBarra&lt;&gt;""),IF(ORÇAMENTO.Fonte="",ORÇAMENTO.CodBarra,CONCATENATE(ORÇAMENTO.Fonte," ",ORÇAMENTO.CodBarra)))</f>
        <v>SINAPI 89413</v>
      </c>
      <c r="AF196" s="12" t="str" cm="1">
        <f t="array" aca="1" ref="AF196" ca="1">IF(ISERROR(ORÇAMENTO.BancoRef),"(abra o arquivo 'Referência "&amp;Excel_BuiltIn_Database&amp;".xlsm)",IF(OR($C196&lt;&gt;"S",ORÇAMENTO.CodBarra=""),"(Sem Código)",IF(ISERROR(MATCH($AE196,INDIRECT(ORÇAMENTO.BancoRef),0)),"(Código não identificado nas referências)",MATCH($AE196,INDIRECT(ORÇAMENTO.BancoRef),0))))</f>
        <v>(Código não identificado nas referências)</v>
      </c>
      <c r="AG196" s="428" cm="1">
        <f t="array" aca="1" ref="AG196" ca="1">ROUND(IF(DESONERACAO="sim",REFERENCIA.Desonerado,REFERENCIA.NaoDesonerado),2)</f>
        <v>0</v>
      </c>
      <c r="AH196" s="429">
        <f t="shared" ca="1" si="50"/>
        <v>0.2223</v>
      </c>
      <c r="AJ196" s="431"/>
      <c r="AL196" s="439"/>
      <c r="AM196" s="336">
        <f t="shared" ca="1" si="0"/>
        <v>0</v>
      </c>
      <c r="AN196" s="470" cm="1">
        <f t="array" aca="1" ref="AN196" ca="1">ROUND(ORÇAMENTO.CustoUnitario*(1+$AH196),2)</f>
        <v>0</v>
      </c>
    </row>
    <row r="197" spans="1:40" ht="38.25" x14ac:dyDescent="0.2">
      <c r="A197" t="str">
        <f t="shared" si="49"/>
        <v>S</v>
      </c>
      <c r="B197">
        <f t="shared" ca="1" si="36"/>
        <v>3</v>
      </c>
      <c r="C197" t="str">
        <f t="shared" ca="1" si="37"/>
        <v>S</v>
      </c>
      <c r="D197">
        <f t="shared" ca="1" si="38"/>
        <v>0</v>
      </c>
      <c r="E197">
        <f ca="1">IF($C197=1,OFFSET(E197,-1,0)+MAX(1,COUNTIF(QCI!$A$13:$A$24,OFFSET(ORÇAMENTO!E197,-1,0))),OFFSET(E197,-1,0))</f>
        <v>9</v>
      </c>
      <c r="F197">
        <f t="shared" ca="1" si="39"/>
        <v>2</v>
      </c>
      <c r="G197">
        <f t="shared" ca="1" si="40"/>
        <v>4</v>
      </c>
      <c r="H197">
        <f t="shared" ca="1" si="41"/>
        <v>0</v>
      </c>
      <c r="I197">
        <f t="shared" ca="1" si="42"/>
        <v>0</v>
      </c>
      <c r="J197">
        <f t="shared" ca="1" si="34"/>
        <v>0</v>
      </c>
      <c r="K197">
        <f ca="1">IF(OR($C197="S",$C197=0),0,MATCH(OFFSET($D197,0,$C197)+IF($C197&lt;&gt;1,1,COUNTIF(QCI!$A$13:$A$24,ORÇAMENTO!E197)),OFFSET($D197,1,$C197,ROW($C$244)-ROW($C197)),0))</f>
        <v>0</v>
      </c>
      <c r="L197" s="114" t="str">
        <f t="shared" ca="1" si="43"/>
        <v/>
      </c>
      <c r="M197" s="115" t="s">
        <v>705</v>
      </c>
      <c r="N197" s="116" t="str">
        <f t="shared" ca="1" si="44"/>
        <v>Serviço</v>
      </c>
      <c r="O197" s="117" t="str">
        <f t="shared" ca="1" si="45"/>
        <v>-</v>
      </c>
      <c r="P197" s="118" t="s">
        <v>750</v>
      </c>
      <c r="Q197" s="119" t="s">
        <v>1136</v>
      </c>
      <c r="R197" s="120" t="str" cm="1">
        <f t="array" aca="1" ref="R197" ca="1">IF($C197="S",REFERENCIA.Descricao,"(digite a descrição aqui)")</f>
        <v>(Código não identificado nas referências)</v>
      </c>
      <c r="S197" s="121" t="str" cm="1">
        <f t="array" aca="1" ref="S197" ca="1">REFERENCIA.Unidade</f>
        <v>-</v>
      </c>
      <c r="T197" s="122">
        <f ca="1">OFFSET(CÁLCULO!H$15,ROW($T197)-ROW(T$15),0)</f>
        <v>20</v>
      </c>
      <c r="U197" s="123">
        <f t="shared" ca="1" si="46"/>
        <v>0</v>
      </c>
      <c r="V197" s="124" t="s">
        <v>663</v>
      </c>
      <c r="W197" s="122" cm="1">
        <f t="array" aca="1" ref="W197" ca="1">IF($C197="S",ROUND(IF(TIPOORCAMENTO="Proposto",ORÇAMENTO.CustoUnitario*(1+$AH197),ORÇAMENTO.PrecoUnitarioLicitado),15-13*$AF$10),0)</f>
        <v>0</v>
      </c>
      <c r="X197" s="125" cm="1">
        <f t="array" aca="1" ref="X197" ca="1">IF($C197="S",IF(OR(Import.TipoArredondamento&lt;&gt;"TransfereGOV",ACOMPANHAMENTO="BM"),VTOTAL1,SUM(OFFSET(CÁLCULO!$AQ$15,ROW($X197)-ROW($X$15),1):OFFSET(CÁLCULO!$BR$15,ROW($X197)-ROW($X$15),-1))),IF($C197=0,0,ROUND(SomaAgrup,15-13*$AF$11)))</f>
        <v>0</v>
      </c>
      <c r="Y197" s="126" t="s">
        <v>751</v>
      </c>
      <c r="Z197" t="str">
        <f t="shared" ca="1" si="47"/>
        <v/>
      </c>
      <c r="AA197" s="127" cm="1">
        <f t="array" aca="1" ref="AA197" ca="1">IF($C197="S",IF($Z197="CP",$X197,IF($Z197="RA",(($X197)*QCI!$AA$3),0)),SomaAgrup)</f>
        <v>0</v>
      </c>
      <c r="AB197" s="128" cm="1">
        <f t="array" aca="1" ref="AB197" ca="1">IF($C197="S",IF($Z197="OU",ROUND($X197,2),0),SomaAgrup)</f>
        <v>0</v>
      </c>
      <c r="AC197" s="565" t="str" cm="1">
        <f t="array" aca="1" ref="AC197" ca="1">IF($N197=""," ",
IF(AND($C197&lt;&gt;"S",OR($R197="",$R197="(digite a descrição aqui)")),"DESCRIÇÃO",
IF(AND($C197="S",OR($Q197&lt;&gt;"",$T197&gt;0,$U197&gt;0),$P197=""),"FONTE",
IF(AND($C197="S",$P197&lt;&gt;"",OR($T197&gt;0,$U197&gt;0),$Q197=""),"CÓDIGO",
IF(AND($C197="S",$P197&lt;&gt;"",$Q197&lt;&gt;"",$R197="(Código não identificado nas referências)"),"CÓDIGO N/ID",
IF(AND($C197="S",OR($R197="",$R197="(digite a descrição aqui)"),OR($Q197&lt;&gt;"",$T197&gt;0,$U197&gt;0)),"DESCRIÇÃO",
IF(AND($C197="S",$P197&lt;&gt;"",$Q197&lt;&gt;"",$S197=""),"UNIDADE",
IF(AND($C197="S",$P197&lt;&gt;"",$Q197&lt;&gt;"",$U197=0),"SEM CUSTO",
IF(AND(TIPOORCAMENTO="Licitado",$AL197=0,$AN197&gt;0),"SEM PREÇO",
IF(AND($C197="S",$P197&lt;&gt;"",$Q197&lt;&gt;"",$U197&gt;0,AND($V197&lt;&gt;"BDI 1",$V197&lt;&gt;"BDI 2",$V197&lt;&gt;"BDI 3")),IF(ISNUMBER($V197),"JUSTIFICAR BDI","BDI"),
IF(OR(AND(import.recurso="OGU",TIPOORCAMENTO="Proposto",LEFT($O$8,5)&lt;&gt;"(N/D:",$AG197&lt;&gt;"",ORÇAMENTO.CustoUnitario&gt;$AG197),AND(TIPOORCAMENTO="LICITADO",ORÇAMENTO.PrecoUnitarioLicitado&gt;$AN197)),"ACIMA REF.",
IF(AND($C197="S",$P197&lt;&gt;"",$Q197&lt;&gt;"",$T197=0,$U197&gt;0),"QUANT.",
IF(AND(Import.TipoArredondamento="TransfereGOV",$L197="F",$C197="S",LEN($Q197)&gt;13),"Código &gt;13",
IF(AND(Import.TipoArredondamento="TransfereGOV",$L197="F",$C197&lt;&gt;"S",LEN($R197)&gt;100),"Descrição &gt;100",
IF(AND(Import.TipoArredondamento="TransfereGOV",$L197="F",$C197="S",LEN($R197)&gt;500),"Descrição &gt;500",
IF(AND(Import.TipoArredondamento="TransfereGOV",$L197="F",$C197="S",LEFT(TRIM(UPPER($P197)),6)&lt;&gt;"SINAPI",ISNA(VLOOKUP(TRIM(UPPER($S197)),ListaTgov.Unidades,1,FALSE))),"Unid. Não Disp",
" "))))))))))))))))</f>
        <v>CÓDIGO N/ID</v>
      </c>
      <c r="AD197" t="str">
        <f ca="1">IF(C197&lt;=CRONO.NivelExibicao,MAX($AD$15:OFFSET(AD197,-1,0))+IF($C197&lt;&gt;1,1,MAX(1,COUNTIF(QCI!$A$13:$A$24,OFFSET($E197,-1,0)))),"")</f>
        <v/>
      </c>
      <c r="AE197" s="7" t="str" cm="1">
        <f t="array" aca="1" ref="AE197" ca="1">IF(AND($C197="S",ORÇAMENTO.CodBarra&lt;&gt;""),IF(ORÇAMENTO.Fonte="",ORÇAMENTO.CodBarra,CONCATENATE(ORÇAMENTO.Fonte," ",ORÇAMENTO.CodBarra)))</f>
        <v>SINAPI 89414</v>
      </c>
      <c r="AF197" s="12" t="str" cm="1">
        <f t="array" aca="1" ref="AF197" ca="1">IF(ISERROR(ORÇAMENTO.BancoRef),"(abra o arquivo 'Referência "&amp;Excel_BuiltIn_Database&amp;".xlsm)",IF(OR($C197&lt;&gt;"S",ORÇAMENTO.CodBarra=""),"(Sem Código)",IF(ISERROR(MATCH($AE197,INDIRECT(ORÇAMENTO.BancoRef),0)),"(Código não identificado nas referências)",MATCH($AE197,INDIRECT(ORÇAMENTO.BancoRef),0))))</f>
        <v>(Código não identificado nas referências)</v>
      </c>
      <c r="AG197" s="428" cm="1">
        <f t="array" aca="1" ref="AG197" ca="1">ROUND(IF(DESONERACAO="sim",REFERENCIA.Desonerado,REFERENCIA.NaoDesonerado),2)</f>
        <v>0</v>
      </c>
      <c r="AH197" s="429">
        <f t="shared" ca="1" si="50"/>
        <v>0.2223</v>
      </c>
      <c r="AJ197" s="431"/>
      <c r="AL197" s="439"/>
      <c r="AM197" s="336">
        <f t="shared" ca="1" si="0"/>
        <v>0</v>
      </c>
      <c r="AN197" s="470" cm="1">
        <f t="array" aca="1" ref="AN197" ca="1">ROUND(ORÇAMENTO.CustoUnitario*(1+$AH197),2)</f>
        <v>0</v>
      </c>
    </row>
    <row r="198" spans="1:40" ht="38.25" x14ac:dyDescent="0.2">
      <c r="A198" t="str">
        <f t="shared" si="49"/>
        <v>S</v>
      </c>
      <c r="B198">
        <f t="shared" ca="1" si="36"/>
        <v>3</v>
      </c>
      <c r="C198" t="str">
        <f t="shared" ca="1" si="37"/>
        <v>S</v>
      </c>
      <c r="D198">
        <f t="shared" ca="1" si="38"/>
        <v>0</v>
      </c>
      <c r="E198">
        <f ca="1">IF($C198=1,OFFSET(E198,-1,0)+MAX(1,COUNTIF(QCI!$A$13:$A$24,OFFSET(ORÇAMENTO!E198,-1,0))),OFFSET(E198,-1,0))</f>
        <v>9</v>
      </c>
      <c r="F198">
        <f t="shared" ca="1" si="39"/>
        <v>2</v>
      </c>
      <c r="G198">
        <f t="shared" ca="1" si="40"/>
        <v>4</v>
      </c>
      <c r="H198">
        <f t="shared" ca="1" si="41"/>
        <v>0</v>
      </c>
      <c r="I198">
        <f t="shared" ca="1" si="42"/>
        <v>0</v>
      </c>
      <c r="J198">
        <f t="shared" ca="1" si="34"/>
        <v>0</v>
      </c>
      <c r="K198">
        <f ca="1">IF(OR($C198="S",$C198=0),0,MATCH(OFFSET($D198,0,$C198)+IF($C198&lt;&gt;1,1,COUNTIF(QCI!$A$13:$A$24,ORÇAMENTO!E198)),OFFSET($D198,1,$C198,ROW($C$244)-ROW($C198)),0))</f>
        <v>0</v>
      </c>
      <c r="L198" s="114" t="str">
        <f t="shared" ca="1" si="43"/>
        <v/>
      </c>
      <c r="M198" s="115" t="s">
        <v>705</v>
      </c>
      <c r="N198" s="116" t="str">
        <f t="shared" ca="1" si="44"/>
        <v>Serviço</v>
      </c>
      <c r="O198" s="117" t="str">
        <f t="shared" ca="1" si="45"/>
        <v>-</v>
      </c>
      <c r="P198" s="118" t="s">
        <v>750</v>
      </c>
      <c r="Q198" s="119" t="s">
        <v>1137</v>
      </c>
      <c r="R198" s="120" t="str" cm="1">
        <f t="array" aca="1" ref="R198" ca="1">IF($C198="S",REFERENCIA.Descricao,"(digite a descrição aqui)")</f>
        <v>(Código não identificado nas referências)</v>
      </c>
      <c r="S198" s="121" t="str" cm="1">
        <f t="array" aca="1" ref="S198" ca="1">REFERENCIA.Unidade</f>
        <v>-</v>
      </c>
      <c r="T198" s="122">
        <f ca="1">OFFSET(CÁLCULO!H$15,ROW($T198)-ROW(T$15),0)</f>
        <v>40</v>
      </c>
      <c r="U198" s="123">
        <f t="shared" ca="1" si="46"/>
        <v>0</v>
      </c>
      <c r="V198" s="124" t="s">
        <v>663</v>
      </c>
      <c r="W198" s="122" cm="1">
        <f t="array" aca="1" ref="W198" ca="1">IF($C198="S",ROUND(IF(TIPOORCAMENTO="Proposto",ORÇAMENTO.CustoUnitario*(1+$AH198),ORÇAMENTO.PrecoUnitarioLicitado),15-13*$AF$10),0)</f>
        <v>0</v>
      </c>
      <c r="X198" s="125" cm="1">
        <f t="array" aca="1" ref="X198" ca="1">IF($C198="S",IF(OR(Import.TipoArredondamento&lt;&gt;"TransfereGOV",ACOMPANHAMENTO="BM"),VTOTAL1,SUM(OFFSET(CÁLCULO!$AQ$15,ROW($X198)-ROW($X$15),1):OFFSET(CÁLCULO!$BR$15,ROW($X198)-ROW($X$15),-1))),IF($C198=0,0,ROUND(SomaAgrup,15-13*$AF$11)))</f>
        <v>0</v>
      </c>
      <c r="Y198" s="126" t="s">
        <v>751</v>
      </c>
      <c r="Z198" t="str">
        <f t="shared" ca="1" si="47"/>
        <v/>
      </c>
      <c r="AA198" s="127" cm="1">
        <f t="array" aca="1" ref="AA198" ca="1">IF($C198="S",IF($Z198="CP",$X198,IF($Z198="RA",(($X198)*QCI!$AA$3),0)),SomaAgrup)</f>
        <v>0</v>
      </c>
      <c r="AB198" s="128" cm="1">
        <f t="array" aca="1" ref="AB198" ca="1">IF($C198="S",IF($Z198="OU",ROUND($X198,2),0),SomaAgrup)</f>
        <v>0</v>
      </c>
      <c r="AC198" s="565" t="str" cm="1">
        <f t="array" aca="1" ref="AC198" ca="1">IF($N198=""," ",
IF(AND($C198&lt;&gt;"S",OR($R198="",$R198="(digite a descrição aqui)")),"DESCRIÇÃO",
IF(AND($C198="S",OR($Q198&lt;&gt;"",$T198&gt;0,$U198&gt;0),$P198=""),"FONTE",
IF(AND($C198="S",$P198&lt;&gt;"",OR($T198&gt;0,$U198&gt;0),$Q198=""),"CÓDIGO",
IF(AND($C198="S",$P198&lt;&gt;"",$Q198&lt;&gt;"",$R198="(Código não identificado nas referências)"),"CÓDIGO N/ID",
IF(AND($C198="S",OR($R198="",$R198="(digite a descrição aqui)"),OR($Q198&lt;&gt;"",$T198&gt;0,$U198&gt;0)),"DESCRIÇÃO",
IF(AND($C198="S",$P198&lt;&gt;"",$Q198&lt;&gt;"",$S198=""),"UNIDADE",
IF(AND($C198="S",$P198&lt;&gt;"",$Q198&lt;&gt;"",$U198=0),"SEM CUSTO",
IF(AND(TIPOORCAMENTO="Licitado",$AL198=0,$AN198&gt;0),"SEM PREÇO",
IF(AND($C198="S",$P198&lt;&gt;"",$Q198&lt;&gt;"",$U198&gt;0,AND($V198&lt;&gt;"BDI 1",$V198&lt;&gt;"BDI 2",$V198&lt;&gt;"BDI 3")),IF(ISNUMBER($V198),"JUSTIFICAR BDI","BDI"),
IF(OR(AND(import.recurso="OGU",TIPOORCAMENTO="Proposto",LEFT($O$8,5)&lt;&gt;"(N/D:",$AG198&lt;&gt;"",ORÇAMENTO.CustoUnitario&gt;$AG198),AND(TIPOORCAMENTO="LICITADO",ORÇAMENTO.PrecoUnitarioLicitado&gt;$AN198)),"ACIMA REF.",
IF(AND($C198="S",$P198&lt;&gt;"",$Q198&lt;&gt;"",$T198=0,$U198&gt;0),"QUANT.",
IF(AND(Import.TipoArredondamento="TransfereGOV",$L198="F",$C198="S",LEN($Q198)&gt;13),"Código &gt;13",
IF(AND(Import.TipoArredondamento="TransfereGOV",$L198="F",$C198&lt;&gt;"S",LEN($R198)&gt;100),"Descrição &gt;100",
IF(AND(Import.TipoArredondamento="TransfereGOV",$L198="F",$C198="S",LEN($R198)&gt;500),"Descrição &gt;500",
IF(AND(Import.TipoArredondamento="TransfereGOV",$L198="F",$C198="S",LEFT(TRIM(UPPER($P198)),6)&lt;&gt;"SINAPI",ISNA(VLOOKUP(TRIM(UPPER($S198)),ListaTgov.Unidades,1,FALSE))),"Unid. Não Disp",
" "))))))))))))))))</f>
        <v>CÓDIGO N/ID</v>
      </c>
      <c r="AD198" t="str">
        <f ca="1">IF(C198&lt;=CRONO.NivelExibicao,MAX($AD$15:OFFSET(AD198,-1,0))+IF($C198&lt;&gt;1,1,MAX(1,COUNTIF(QCI!$A$13:$A$24,OFFSET($E198,-1,0)))),"")</f>
        <v/>
      </c>
      <c r="AE198" s="7" t="str" cm="1">
        <f t="array" aca="1" ref="AE198" ca="1">IF(AND($C198="S",ORÇAMENTO.CodBarra&lt;&gt;""),IF(ORÇAMENTO.Fonte="",ORÇAMENTO.CodBarra,CONCATENATE(ORÇAMENTO.Fonte," ",ORÇAMENTO.CodBarra)))</f>
        <v>SINAPI 103953</v>
      </c>
      <c r="AF198" s="12" t="str" cm="1">
        <f t="array" aca="1" ref="AF198" ca="1">IF(ISERROR(ORÇAMENTO.BancoRef),"(abra o arquivo 'Referência "&amp;Excel_BuiltIn_Database&amp;".xlsm)",IF(OR($C198&lt;&gt;"S",ORÇAMENTO.CodBarra=""),"(Sem Código)",IF(ISERROR(MATCH($AE198,INDIRECT(ORÇAMENTO.BancoRef),0)),"(Código não identificado nas referências)",MATCH($AE198,INDIRECT(ORÇAMENTO.BancoRef),0))))</f>
        <v>(Código não identificado nas referências)</v>
      </c>
      <c r="AG198" s="428" cm="1">
        <f t="array" aca="1" ref="AG198" ca="1">ROUND(IF(DESONERACAO="sim",REFERENCIA.Desonerado,REFERENCIA.NaoDesonerado),2)</f>
        <v>0</v>
      </c>
      <c r="AH198" s="429">
        <f t="shared" ca="1" si="50"/>
        <v>0.2223</v>
      </c>
      <c r="AJ198" s="431"/>
      <c r="AL198" s="439"/>
      <c r="AM198" s="336">
        <f t="shared" ca="1" si="0"/>
        <v>0</v>
      </c>
      <c r="AN198" s="470" cm="1">
        <f t="array" aca="1" ref="AN198" ca="1">ROUND(ORÇAMENTO.CustoUnitario*(1+$AH198),2)</f>
        <v>0</v>
      </c>
    </row>
    <row r="199" spans="1:40" ht="38.25" x14ac:dyDescent="0.2">
      <c r="A199" t="str">
        <f t="shared" si="49"/>
        <v>S</v>
      </c>
      <c r="B199">
        <f t="shared" ca="1" si="36"/>
        <v>3</v>
      </c>
      <c r="C199" t="str">
        <f t="shared" ca="1" si="37"/>
        <v>S</v>
      </c>
      <c r="D199">
        <f t="shared" ca="1" si="38"/>
        <v>0</v>
      </c>
      <c r="E199">
        <f ca="1">IF($C199=1,OFFSET(E199,-1,0)+MAX(1,COUNTIF(QCI!$A$13:$A$24,OFFSET(ORÇAMENTO!E199,-1,0))),OFFSET(E199,-1,0))</f>
        <v>9</v>
      </c>
      <c r="F199">
        <f t="shared" ca="1" si="39"/>
        <v>2</v>
      </c>
      <c r="G199">
        <f t="shared" ca="1" si="40"/>
        <v>4</v>
      </c>
      <c r="H199">
        <f t="shared" ca="1" si="41"/>
        <v>0</v>
      </c>
      <c r="I199">
        <f t="shared" ca="1" si="42"/>
        <v>0</v>
      </c>
      <c r="J199">
        <f t="shared" ca="1" si="34"/>
        <v>0</v>
      </c>
      <c r="K199">
        <f ca="1">IF(OR($C199="S",$C199=0),0,MATCH(OFFSET($D199,0,$C199)+IF($C199&lt;&gt;1,1,COUNTIF(QCI!$A$13:$A$24,ORÇAMENTO!E199)),OFFSET($D199,1,$C199,ROW($C$244)-ROW($C199)),0))</f>
        <v>0</v>
      </c>
      <c r="L199" s="114" t="str">
        <f t="shared" ca="1" si="43"/>
        <v/>
      </c>
      <c r="M199" s="115" t="s">
        <v>705</v>
      </c>
      <c r="N199" s="116" t="str">
        <f t="shared" ca="1" si="44"/>
        <v>Serviço</v>
      </c>
      <c r="O199" s="117" t="str">
        <f t="shared" ca="1" si="45"/>
        <v>-</v>
      </c>
      <c r="P199" s="118" t="s">
        <v>750</v>
      </c>
      <c r="Q199" s="119" t="s">
        <v>1138</v>
      </c>
      <c r="R199" s="120" t="str" cm="1">
        <f t="array" aca="1" ref="R199" ca="1">IF($C199="S",REFERENCIA.Descricao,"(digite a descrição aqui)")</f>
        <v>(Código não identificado nas referências)</v>
      </c>
      <c r="S199" s="121" t="str" cm="1">
        <f t="array" aca="1" ref="S199" ca="1">REFERENCIA.Unidade</f>
        <v>-</v>
      </c>
      <c r="T199" s="122">
        <f ca="1">OFFSET(CÁLCULO!H$15,ROW($T199)-ROW(T$15),0)</f>
        <v>60</v>
      </c>
      <c r="U199" s="123">
        <f t="shared" ca="1" si="46"/>
        <v>0</v>
      </c>
      <c r="V199" s="124" t="s">
        <v>663</v>
      </c>
      <c r="W199" s="122" cm="1">
        <f t="array" aca="1" ref="W199" ca="1">IF($C199="S",ROUND(IF(TIPOORCAMENTO="Proposto",ORÇAMENTO.CustoUnitario*(1+$AH199),ORÇAMENTO.PrecoUnitarioLicitado),15-13*$AF$10),0)</f>
        <v>0</v>
      </c>
      <c r="X199" s="125" cm="1">
        <f t="array" aca="1" ref="X199" ca="1">IF($C199="S",IF(OR(Import.TipoArredondamento&lt;&gt;"TransfereGOV",ACOMPANHAMENTO="BM"),VTOTAL1,SUM(OFFSET(CÁLCULO!$AQ$15,ROW($X199)-ROW($X$15),1):OFFSET(CÁLCULO!$BR$15,ROW($X199)-ROW($X$15),-1))),IF($C199=0,0,ROUND(SomaAgrup,15-13*$AF$11)))</f>
        <v>0</v>
      </c>
      <c r="Y199" s="126" t="s">
        <v>751</v>
      </c>
      <c r="Z199" t="str">
        <f t="shared" ca="1" si="47"/>
        <v/>
      </c>
      <c r="AA199" s="127" cm="1">
        <f t="array" aca="1" ref="AA199" ca="1">IF($C199="S",IF($Z199="CP",$X199,IF($Z199="RA",(($X199)*QCI!$AA$3),0)),SomaAgrup)</f>
        <v>0</v>
      </c>
      <c r="AB199" s="128" cm="1">
        <f t="array" aca="1" ref="AB199" ca="1">IF($C199="S",IF($Z199="OU",ROUND($X199,2),0),SomaAgrup)</f>
        <v>0</v>
      </c>
      <c r="AC199" s="565" t="str" cm="1">
        <f t="array" aca="1" ref="AC199" ca="1">IF($N199=""," ",
IF(AND($C199&lt;&gt;"S",OR($R199="",$R199="(digite a descrição aqui)")),"DESCRIÇÃO",
IF(AND($C199="S",OR($Q199&lt;&gt;"",$T199&gt;0,$U199&gt;0),$P199=""),"FONTE",
IF(AND($C199="S",$P199&lt;&gt;"",OR($T199&gt;0,$U199&gt;0),$Q199=""),"CÓDIGO",
IF(AND($C199="S",$P199&lt;&gt;"",$Q199&lt;&gt;"",$R199="(Código não identificado nas referências)"),"CÓDIGO N/ID",
IF(AND($C199="S",OR($R199="",$R199="(digite a descrição aqui)"),OR($Q199&lt;&gt;"",$T199&gt;0,$U199&gt;0)),"DESCRIÇÃO",
IF(AND($C199="S",$P199&lt;&gt;"",$Q199&lt;&gt;"",$S199=""),"UNIDADE",
IF(AND($C199="S",$P199&lt;&gt;"",$Q199&lt;&gt;"",$U199=0),"SEM CUSTO",
IF(AND(TIPOORCAMENTO="Licitado",$AL199=0,$AN199&gt;0),"SEM PREÇO",
IF(AND($C199="S",$P199&lt;&gt;"",$Q199&lt;&gt;"",$U199&gt;0,AND($V199&lt;&gt;"BDI 1",$V199&lt;&gt;"BDI 2",$V199&lt;&gt;"BDI 3")),IF(ISNUMBER($V199),"JUSTIFICAR BDI","BDI"),
IF(OR(AND(import.recurso="OGU",TIPOORCAMENTO="Proposto",LEFT($O$8,5)&lt;&gt;"(N/D:",$AG199&lt;&gt;"",ORÇAMENTO.CustoUnitario&gt;$AG199),AND(TIPOORCAMENTO="LICITADO",ORÇAMENTO.PrecoUnitarioLicitado&gt;$AN199)),"ACIMA REF.",
IF(AND($C199="S",$P199&lt;&gt;"",$Q199&lt;&gt;"",$T199=0,$U199&gt;0),"QUANT.",
IF(AND(Import.TipoArredondamento="TransfereGOV",$L199="F",$C199="S",LEN($Q199)&gt;13),"Código &gt;13",
IF(AND(Import.TipoArredondamento="TransfereGOV",$L199="F",$C199&lt;&gt;"S",LEN($R199)&gt;100),"Descrição &gt;100",
IF(AND(Import.TipoArredondamento="TransfereGOV",$L199="F",$C199="S",LEN($R199)&gt;500),"Descrição &gt;500",
IF(AND(Import.TipoArredondamento="TransfereGOV",$L199="F",$C199="S",LEFT(TRIM(UPPER($P199)),6)&lt;&gt;"SINAPI",ISNA(VLOOKUP(TRIM(UPPER($S199)),ListaTgov.Unidades,1,FALSE))),"Unid. Não Disp",
" "))))))))))))))))</f>
        <v>CÓDIGO N/ID</v>
      </c>
      <c r="AD199" t="str">
        <f ca="1">IF(C199&lt;=CRONO.NivelExibicao,MAX($AD$15:OFFSET(AD199,-1,0))+IF($C199&lt;&gt;1,1,MAX(1,COUNTIF(QCI!$A$13:$A$24,OFFSET($E199,-1,0)))),"")</f>
        <v/>
      </c>
      <c r="AE199" s="7" t="str" cm="1">
        <f t="array" aca="1" ref="AE199" ca="1">IF(AND($C199="S",ORÇAMENTO.CodBarra&lt;&gt;""),IF(ORÇAMENTO.Fonte="",ORÇAMENTO.CodBarra,CONCATENATE(ORÇAMENTO.Fonte," ",ORÇAMENTO.CodBarra)))</f>
        <v>SINAPI 89443</v>
      </c>
      <c r="AF199" s="12" t="str" cm="1">
        <f t="array" aca="1" ref="AF199" ca="1">IF(ISERROR(ORÇAMENTO.BancoRef),"(abra o arquivo 'Referência "&amp;Excel_BuiltIn_Database&amp;".xlsm)",IF(OR($C199&lt;&gt;"S",ORÇAMENTO.CodBarra=""),"(Sem Código)",IF(ISERROR(MATCH($AE199,INDIRECT(ORÇAMENTO.BancoRef),0)),"(Código não identificado nas referências)",MATCH($AE199,INDIRECT(ORÇAMENTO.BancoRef),0))))</f>
        <v>(Código não identificado nas referências)</v>
      </c>
      <c r="AG199" s="428" cm="1">
        <f t="array" aca="1" ref="AG199" ca="1">ROUND(IF(DESONERACAO="sim",REFERENCIA.Desonerado,REFERENCIA.NaoDesonerado),2)</f>
        <v>0</v>
      </c>
      <c r="AH199" s="429">
        <f t="shared" ca="1" si="50"/>
        <v>0.2223</v>
      </c>
      <c r="AJ199" s="431"/>
      <c r="AL199" s="439"/>
      <c r="AM199" s="336">
        <f t="shared" ca="1" si="0"/>
        <v>0</v>
      </c>
      <c r="AN199" s="470" cm="1">
        <f t="array" aca="1" ref="AN199" ca="1">ROUND(ORÇAMENTO.CustoUnitario*(1+$AH199),2)</f>
        <v>0</v>
      </c>
    </row>
    <row r="200" spans="1:40" ht="38.25" x14ac:dyDescent="0.2">
      <c r="A200" t="str">
        <f t="shared" si="49"/>
        <v>S</v>
      </c>
      <c r="B200">
        <f t="shared" ca="1" si="36"/>
        <v>3</v>
      </c>
      <c r="C200" t="str">
        <f t="shared" ca="1" si="37"/>
        <v>S</v>
      </c>
      <c r="D200">
        <f t="shared" ca="1" si="38"/>
        <v>0</v>
      </c>
      <c r="E200">
        <f ca="1">IF($C200=1,OFFSET(E200,-1,0)+MAX(1,COUNTIF(QCI!$A$13:$A$24,OFFSET(ORÇAMENTO!E200,-1,0))),OFFSET(E200,-1,0))</f>
        <v>9</v>
      </c>
      <c r="F200">
        <f t="shared" ca="1" si="39"/>
        <v>2</v>
      </c>
      <c r="G200">
        <f t="shared" ca="1" si="40"/>
        <v>4</v>
      </c>
      <c r="H200">
        <f t="shared" ca="1" si="41"/>
        <v>0</v>
      </c>
      <c r="I200">
        <f t="shared" ca="1" si="42"/>
        <v>0</v>
      </c>
      <c r="J200">
        <f t="shared" ca="1" si="34"/>
        <v>0</v>
      </c>
      <c r="K200">
        <f ca="1">IF(OR($C200="S",$C200=0),0,MATCH(OFFSET($D200,0,$C200)+IF($C200&lt;&gt;1,1,COUNTIF(QCI!$A$13:$A$24,ORÇAMENTO!E200)),OFFSET($D200,1,$C200,ROW($C$244)-ROW($C200)),0))</f>
        <v>0</v>
      </c>
      <c r="L200" s="114" t="str">
        <f t="shared" ca="1" si="43"/>
        <v/>
      </c>
      <c r="M200" s="115" t="s">
        <v>705</v>
      </c>
      <c r="N200" s="116" t="str">
        <f t="shared" ca="1" si="44"/>
        <v>Serviço</v>
      </c>
      <c r="O200" s="117" t="str">
        <f t="shared" ca="1" si="45"/>
        <v>-</v>
      </c>
      <c r="P200" s="118" t="s">
        <v>750</v>
      </c>
      <c r="Q200" s="119" t="s">
        <v>1139</v>
      </c>
      <c r="R200" s="120" t="str" cm="1">
        <f t="array" aca="1" ref="R200" ca="1">IF($C200="S",REFERENCIA.Descricao,"(digite a descrição aqui)")</f>
        <v>(Código não identificado nas referências)</v>
      </c>
      <c r="S200" s="121" t="str" cm="1">
        <f t="array" aca="1" ref="S200" ca="1">REFERENCIA.Unidade</f>
        <v>-</v>
      </c>
      <c r="T200" s="122">
        <f ca="1">OFFSET(CÁLCULO!H$15,ROW($T200)-ROW(T$15),0)</f>
        <v>20</v>
      </c>
      <c r="U200" s="123">
        <f t="shared" ca="1" si="46"/>
        <v>0</v>
      </c>
      <c r="V200" s="124" t="s">
        <v>663</v>
      </c>
      <c r="W200" s="122" cm="1">
        <f t="array" aca="1" ref="W200" ca="1">IF($C200="S",ROUND(IF(TIPOORCAMENTO="Proposto",ORÇAMENTO.CustoUnitario*(1+$AH200),ORÇAMENTO.PrecoUnitarioLicitado),15-13*$AF$10),0)</f>
        <v>0</v>
      </c>
      <c r="X200" s="125" cm="1">
        <f t="array" aca="1" ref="X200" ca="1">IF($C200="S",IF(OR(Import.TipoArredondamento&lt;&gt;"TransfereGOV",ACOMPANHAMENTO="BM"),VTOTAL1,SUM(OFFSET(CÁLCULO!$AQ$15,ROW($X200)-ROW($X$15),1):OFFSET(CÁLCULO!$BR$15,ROW($X200)-ROW($X$15),-1))),IF($C200=0,0,ROUND(SomaAgrup,15-13*$AF$11)))</f>
        <v>0</v>
      </c>
      <c r="Y200" s="126" t="s">
        <v>751</v>
      </c>
      <c r="Z200" t="str">
        <f t="shared" ca="1" si="47"/>
        <v/>
      </c>
      <c r="AA200" s="127" cm="1">
        <f t="array" aca="1" ref="AA200" ca="1">IF($C200="S",IF($Z200="CP",$X200,IF($Z200="RA",(($X200)*QCI!$AA$3),0)),SomaAgrup)</f>
        <v>0</v>
      </c>
      <c r="AB200" s="128" cm="1">
        <f t="array" aca="1" ref="AB200" ca="1">IF($C200="S",IF($Z200="OU",ROUND($X200,2),0),SomaAgrup)</f>
        <v>0</v>
      </c>
      <c r="AC200" s="565" t="str" cm="1">
        <f t="array" aca="1" ref="AC200" ca="1">IF($N200=""," ",
IF(AND($C200&lt;&gt;"S",OR($R200="",$R200="(digite a descrição aqui)")),"DESCRIÇÃO",
IF(AND($C200="S",OR($Q200&lt;&gt;"",$T200&gt;0,$U200&gt;0),$P200=""),"FONTE",
IF(AND($C200="S",$P200&lt;&gt;"",OR($T200&gt;0,$U200&gt;0),$Q200=""),"CÓDIGO",
IF(AND($C200="S",$P200&lt;&gt;"",$Q200&lt;&gt;"",$R200="(Código não identificado nas referências)"),"CÓDIGO N/ID",
IF(AND($C200="S",OR($R200="",$R200="(digite a descrição aqui)"),OR($Q200&lt;&gt;"",$T200&gt;0,$U200&gt;0)),"DESCRIÇÃO",
IF(AND($C200="S",$P200&lt;&gt;"",$Q200&lt;&gt;"",$S200=""),"UNIDADE",
IF(AND($C200="S",$P200&lt;&gt;"",$Q200&lt;&gt;"",$U200=0),"SEM CUSTO",
IF(AND(TIPOORCAMENTO="Licitado",$AL200=0,$AN200&gt;0),"SEM PREÇO",
IF(AND($C200="S",$P200&lt;&gt;"",$Q200&lt;&gt;"",$U200&gt;0,AND($V200&lt;&gt;"BDI 1",$V200&lt;&gt;"BDI 2",$V200&lt;&gt;"BDI 3")),IF(ISNUMBER($V200),"JUSTIFICAR BDI","BDI"),
IF(OR(AND(import.recurso="OGU",TIPOORCAMENTO="Proposto",LEFT($O$8,5)&lt;&gt;"(N/D:",$AG200&lt;&gt;"",ORÇAMENTO.CustoUnitario&gt;$AG200),AND(TIPOORCAMENTO="LICITADO",ORÇAMENTO.PrecoUnitarioLicitado&gt;$AN200)),"ACIMA REF.",
IF(AND($C200="S",$P200&lt;&gt;"",$Q200&lt;&gt;"",$T200=0,$U200&gt;0),"QUANT.",
IF(AND(Import.TipoArredondamento="TransfereGOV",$L200="F",$C200="S",LEN($Q200)&gt;13),"Código &gt;13",
IF(AND(Import.TipoArredondamento="TransfereGOV",$L200="F",$C200&lt;&gt;"S",LEN($R200)&gt;100),"Descrição &gt;100",
IF(AND(Import.TipoArredondamento="TransfereGOV",$L200="F",$C200="S",LEN($R200)&gt;500),"Descrição &gt;500",
IF(AND(Import.TipoArredondamento="TransfereGOV",$L200="F",$C200="S",LEFT(TRIM(UPPER($P200)),6)&lt;&gt;"SINAPI",ISNA(VLOOKUP(TRIM(UPPER($S200)),ListaTgov.Unidades,1,FALSE))),"Unid. Não Disp",
" "))))))))))))))))</f>
        <v>CÓDIGO N/ID</v>
      </c>
      <c r="AD200" t="str">
        <f ca="1">IF(C200&lt;=CRONO.NivelExibicao,MAX($AD$15:OFFSET(AD200,-1,0))+IF($C200&lt;&gt;1,1,MAX(1,COUNTIF(QCI!$A$13:$A$24,OFFSET($E200,-1,0)))),"")</f>
        <v/>
      </c>
      <c r="AE200" s="7" t="str" cm="1">
        <f t="array" aca="1" ref="AE200" ca="1">IF(AND($C200="S",ORÇAMENTO.CodBarra&lt;&gt;""),IF(ORÇAMENTO.Fonte="",ORÇAMENTO.CodBarra,CONCATENATE(ORÇAMENTO.Fonte," ",ORÇAMENTO.CodBarra)))</f>
        <v>SINAPI 89445</v>
      </c>
      <c r="AF200" s="12" t="str" cm="1">
        <f t="array" aca="1" ref="AF200" ca="1">IF(ISERROR(ORÇAMENTO.BancoRef),"(abra o arquivo 'Referência "&amp;Excel_BuiltIn_Database&amp;".xlsm)",IF(OR($C200&lt;&gt;"S",ORÇAMENTO.CodBarra=""),"(Sem Código)",IF(ISERROR(MATCH($AE200,INDIRECT(ORÇAMENTO.BancoRef),0)),"(Código não identificado nas referências)",MATCH($AE200,INDIRECT(ORÇAMENTO.BancoRef),0))))</f>
        <v>(Código não identificado nas referências)</v>
      </c>
      <c r="AG200" s="428" cm="1">
        <f t="array" aca="1" ref="AG200" ca="1">ROUND(IF(DESONERACAO="sim",REFERENCIA.Desonerado,REFERENCIA.NaoDesonerado),2)</f>
        <v>0</v>
      </c>
      <c r="AH200" s="429">
        <f t="shared" ca="1" si="50"/>
        <v>0.2223</v>
      </c>
      <c r="AJ200" s="431"/>
      <c r="AL200" s="439"/>
      <c r="AM200" s="336">
        <f t="shared" ca="1" si="0"/>
        <v>0</v>
      </c>
      <c r="AN200" s="470" cm="1">
        <f t="array" aca="1" ref="AN200" ca="1">ROUND(ORÇAMENTO.CustoUnitario*(1+$AH200),2)</f>
        <v>0</v>
      </c>
    </row>
    <row r="201" spans="1:40" ht="38.25" x14ac:dyDescent="0.2">
      <c r="A201" t="str">
        <f t="shared" si="49"/>
        <v>S</v>
      </c>
      <c r="B201">
        <f t="shared" ca="1" si="36"/>
        <v>3</v>
      </c>
      <c r="C201" t="str">
        <f t="shared" ca="1" si="37"/>
        <v>S</v>
      </c>
      <c r="D201">
        <f t="shared" ca="1" si="38"/>
        <v>0</v>
      </c>
      <c r="E201">
        <f ca="1">IF($C201=1,OFFSET(E201,-1,0)+MAX(1,COUNTIF(QCI!$A$13:$A$24,OFFSET(ORÇAMENTO!E201,-1,0))),OFFSET(E201,-1,0))</f>
        <v>9</v>
      </c>
      <c r="F201">
        <f t="shared" ca="1" si="39"/>
        <v>2</v>
      </c>
      <c r="G201">
        <f t="shared" ca="1" si="40"/>
        <v>4</v>
      </c>
      <c r="H201">
        <f t="shared" ca="1" si="41"/>
        <v>0</v>
      </c>
      <c r="I201">
        <f t="shared" ca="1" si="42"/>
        <v>0</v>
      </c>
      <c r="J201">
        <f t="shared" ca="1" si="34"/>
        <v>0</v>
      </c>
      <c r="K201">
        <f ca="1">IF(OR($C201="S",$C201=0),0,MATCH(OFFSET($D201,0,$C201)+IF($C201&lt;&gt;1,1,COUNTIF(QCI!$A$13:$A$24,ORÇAMENTO!E201)),OFFSET($D201,1,$C201,ROW($C$244)-ROW($C201)),0))</f>
        <v>0</v>
      </c>
      <c r="L201" s="114" t="str">
        <f t="shared" ca="1" si="43"/>
        <v/>
      </c>
      <c r="M201" s="115" t="s">
        <v>705</v>
      </c>
      <c r="N201" s="116" t="str">
        <f t="shared" ca="1" si="44"/>
        <v>Serviço</v>
      </c>
      <c r="O201" s="117" t="str">
        <f t="shared" ca="1" si="45"/>
        <v>-</v>
      </c>
      <c r="P201" s="118" t="s">
        <v>750</v>
      </c>
      <c r="Q201" s="119" t="s">
        <v>1127</v>
      </c>
      <c r="R201" s="120" t="str" cm="1">
        <f t="array" aca="1" ref="R201" ca="1">IF($C201="S",REFERENCIA.Descricao,"(digite a descrição aqui)")</f>
        <v>(Código não identificado nas referências)</v>
      </c>
      <c r="S201" s="121" t="str" cm="1">
        <f t="array" aca="1" ref="S201" ca="1">REFERENCIA.Unidade</f>
        <v>-</v>
      </c>
      <c r="T201" s="122">
        <f ca="1">OFFSET(CÁLCULO!H$15,ROW($T201)-ROW(T$15),0)</f>
        <v>88.000000000000014</v>
      </c>
      <c r="U201" s="123">
        <f t="shared" ca="1" si="46"/>
        <v>0</v>
      </c>
      <c r="V201" s="124" t="s">
        <v>663</v>
      </c>
      <c r="W201" s="122" cm="1">
        <f t="array" aca="1" ref="W201" ca="1">IF($C201="S",ROUND(IF(TIPOORCAMENTO="Proposto",ORÇAMENTO.CustoUnitario*(1+$AH201),ORÇAMENTO.PrecoUnitarioLicitado),15-13*$AF$10),0)</f>
        <v>0</v>
      </c>
      <c r="X201" s="125" cm="1">
        <f t="array" aca="1" ref="X201" ca="1">IF($C201="S",IF(OR(Import.TipoArredondamento&lt;&gt;"TransfereGOV",ACOMPANHAMENTO="BM"),VTOTAL1,SUM(OFFSET(CÁLCULO!$AQ$15,ROW($X201)-ROW($X$15),1):OFFSET(CÁLCULO!$BR$15,ROW($X201)-ROW($X$15),-1))),IF($C201=0,0,ROUND(SomaAgrup,15-13*$AF$11)))</f>
        <v>0</v>
      </c>
      <c r="Y201" s="126" t="s">
        <v>751</v>
      </c>
      <c r="Z201" t="str">
        <f t="shared" ca="1" si="47"/>
        <v/>
      </c>
      <c r="AA201" s="127" cm="1">
        <f t="array" aca="1" ref="AA201" ca="1">IF($C201="S",IF($Z201="CP",$X201,IF($Z201="RA",(($X201)*QCI!$AA$3),0)),SomaAgrup)</f>
        <v>0</v>
      </c>
      <c r="AB201" s="128" cm="1">
        <f t="array" aca="1" ref="AB201" ca="1">IF($C201="S",IF($Z201="OU",ROUND($X201,2),0),SomaAgrup)</f>
        <v>0</v>
      </c>
      <c r="AC201" s="565" t="str" cm="1">
        <f t="array" aca="1" ref="AC201" ca="1">IF($N201=""," ",
IF(AND($C201&lt;&gt;"S",OR($R201="",$R201="(digite a descrição aqui)")),"DESCRIÇÃO",
IF(AND($C201="S",OR($Q201&lt;&gt;"",$T201&gt;0,$U201&gt;0),$P201=""),"FONTE",
IF(AND($C201="S",$P201&lt;&gt;"",OR($T201&gt;0,$U201&gt;0),$Q201=""),"CÓDIGO",
IF(AND($C201="S",$P201&lt;&gt;"",$Q201&lt;&gt;"",$R201="(Código não identificado nas referências)"),"CÓDIGO N/ID",
IF(AND($C201="S",OR($R201="",$R201="(digite a descrição aqui)"),OR($Q201&lt;&gt;"",$T201&gt;0,$U201&gt;0)),"DESCRIÇÃO",
IF(AND($C201="S",$P201&lt;&gt;"",$Q201&lt;&gt;"",$S201=""),"UNIDADE",
IF(AND($C201="S",$P201&lt;&gt;"",$Q201&lt;&gt;"",$U201=0),"SEM CUSTO",
IF(AND(TIPOORCAMENTO="Licitado",$AL201=0,$AN201&gt;0),"SEM PREÇO",
IF(AND($C201="S",$P201&lt;&gt;"",$Q201&lt;&gt;"",$U201&gt;0,AND($V201&lt;&gt;"BDI 1",$V201&lt;&gt;"BDI 2",$V201&lt;&gt;"BDI 3")),IF(ISNUMBER($V201),"JUSTIFICAR BDI","BDI"),
IF(OR(AND(import.recurso="OGU",TIPOORCAMENTO="Proposto",LEFT($O$8,5)&lt;&gt;"(N/D:",$AG201&lt;&gt;"",ORÇAMENTO.CustoUnitario&gt;$AG201),AND(TIPOORCAMENTO="LICITADO",ORÇAMENTO.PrecoUnitarioLicitado&gt;$AN201)),"ACIMA REF.",
IF(AND($C201="S",$P201&lt;&gt;"",$Q201&lt;&gt;"",$T201=0,$U201&gt;0),"QUANT.",
IF(AND(Import.TipoArredondamento="TransfereGOV",$L201="F",$C201="S",LEN($Q201)&gt;13),"Código &gt;13",
IF(AND(Import.TipoArredondamento="TransfereGOV",$L201="F",$C201&lt;&gt;"S",LEN($R201)&gt;100),"Descrição &gt;100",
IF(AND(Import.TipoArredondamento="TransfereGOV",$L201="F",$C201="S",LEN($R201)&gt;500),"Descrição &gt;500",
IF(AND(Import.TipoArredondamento="TransfereGOV",$L201="F",$C201="S",LEFT(TRIM(UPPER($P201)),6)&lt;&gt;"SINAPI",ISNA(VLOOKUP(TRIM(UPPER($S201)),ListaTgov.Unidades,1,FALSE))),"Unid. Não Disp",
" "))))))))))))))))</f>
        <v>CÓDIGO N/ID</v>
      </c>
      <c r="AD201" t="str">
        <f ca="1">IF(C201&lt;=CRONO.NivelExibicao,MAX($AD$15:OFFSET(AD201,-1,0))+IF($C201&lt;&gt;1,1,MAX(1,COUNTIF(QCI!$A$13:$A$24,OFFSET($E201,-1,0)))),"")</f>
        <v/>
      </c>
      <c r="AE201" s="7" t="str" cm="1">
        <f t="array" aca="1" ref="AE201" ca="1">IF(AND($C201="S",ORÇAMENTO.CodBarra&lt;&gt;""),IF(ORÇAMENTO.Fonte="",ORÇAMENTO.CodBarra,CONCATENATE(ORÇAMENTO.Fonte," ",ORÇAMENTO.CodBarra)))</f>
        <v>SINAPI 89402</v>
      </c>
      <c r="AF201" s="12" t="str" cm="1">
        <f t="array" aca="1" ref="AF201" ca="1">IF(ISERROR(ORÇAMENTO.BancoRef),"(abra o arquivo 'Referência "&amp;Excel_BuiltIn_Database&amp;".xlsm)",IF(OR($C201&lt;&gt;"S",ORÇAMENTO.CodBarra=""),"(Sem Código)",IF(ISERROR(MATCH($AE201,INDIRECT(ORÇAMENTO.BancoRef),0)),"(Código não identificado nas referências)",MATCH($AE201,INDIRECT(ORÇAMENTO.BancoRef),0))))</f>
        <v>(Código não identificado nas referências)</v>
      </c>
      <c r="AG201" s="428" cm="1">
        <f t="array" aca="1" ref="AG201" ca="1">ROUND(IF(DESONERACAO="sim",REFERENCIA.Desonerado,REFERENCIA.NaoDesonerado),2)</f>
        <v>0</v>
      </c>
      <c r="AH201" s="429">
        <f t="shared" ca="1" si="50"/>
        <v>0.2223</v>
      </c>
      <c r="AJ201" s="431"/>
      <c r="AL201" s="439"/>
      <c r="AM201" s="336">
        <f t="shared" ca="1" si="0"/>
        <v>0</v>
      </c>
      <c r="AN201" s="470" cm="1">
        <f t="array" aca="1" ref="AN201" ca="1">ROUND(ORÇAMENTO.CustoUnitario*(1+$AH201),2)</f>
        <v>0</v>
      </c>
    </row>
    <row r="202" spans="1:40" ht="38.25" x14ac:dyDescent="0.2">
      <c r="A202" t="str">
        <f t="shared" si="49"/>
        <v>S</v>
      </c>
      <c r="B202">
        <f t="shared" ca="1" si="36"/>
        <v>3</v>
      </c>
      <c r="C202" t="str">
        <f t="shared" ca="1" si="37"/>
        <v>S</v>
      </c>
      <c r="D202">
        <f t="shared" ca="1" si="38"/>
        <v>0</v>
      </c>
      <c r="E202">
        <f ca="1">IF($C202=1,OFFSET(E202,-1,0)+MAX(1,COUNTIF(QCI!$A$13:$A$24,OFFSET(ORÇAMENTO!E202,-1,0))),OFFSET(E202,-1,0))</f>
        <v>9</v>
      </c>
      <c r="F202">
        <f t="shared" ca="1" si="39"/>
        <v>2</v>
      </c>
      <c r="G202">
        <f t="shared" ca="1" si="40"/>
        <v>4</v>
      </c>
      <c r="H202">
        <f t="shared" ca="1" si="41"/>
        <v>0</v>
      </c>
      <c r="I202">
        <f t="shared" ca="1" si="42"/>
        <v>0</v>
      </c>
      <c r="J202">
        <f t="shared" ca="1" si="34"/>
        <v>0</v>
      </c>
      <c r="K202">
        <f ca="1">IF(OR($C202="S",$C202=0),0,MATCH(OFFSET($D202,0,$C202)+IF($C202&lt;&gt;1,1,COUNTIF(QCI!$A$13:$A$24,ORÇAMENTO!E202)),OFFSET($D202,1,$C202,ROW($C$244)-ROW($C202)),0))</f>
        <v>0</v>
      </c>
      <c r="L202" s="114" t="str">
        <f t="shared" ca="1" si="43"/>
        <v/>
      </c>
      <c r="M202" s="115" t="s">
        <v>705</v>
      </c>
      <c r="N202" s="116" t="str">
        <f t="shared" ca="1" si="44"/>
        <v>Serviço</v>
      </c>
      <c r="O202" s="117" t="str">
        <f t="shared" ca="1" si="45"/>
        <v>-</v>
      </c>
      <c r="P202" s="118" t="s">
        <v>750</v>
      </c>
      <c r="Q202" s="119" t="s">
        <v>1140</v>
      </c>
      <c r="R202" s="120" t="str" cm="1">
        <f t="array" aca="1" ref="R202" ca="1">IF($C202="S",REFERENCIA.Descricao,"(digite a descrição aqui)")</f>
        <v>(Código não identificado nas referências)</v>
      </c>
      <c r="S202" s="121" t="str" cm="1">
        <f t="array" aca="1" ref="S202" ca="1">REFERENCIA.Unidade</f>
        <v>-</v>
      </c>
      <c r="T202" s="122">
        <f ca="1">OFFSET(CÁLCULO!H$15,ROW($T202)-ROW(T$15),0)</f>
        <v>211.00000000000006</v>
      </c>
      <c r="U202" s="123">
        <f t="shared" ca="1" si="46"/>
        <v>0</v>
      </c>
      <c r="V202" s="124" t="s">
        <v>663</v>
      </c>
      <c r="W202" s="122" cm="1">
        <f t="array" aca="1" ref="W202" ca="1">IF($C202="S",ROUND(IF(TIPOORCAMENTO="Proposto",ORÇAMENTO.CustoUnitario*(1+$AH202),ORÇAMENTO.PrecoUnitarioLicitado),15-13*$AF$10),0)</f>
        <v>0</v>
      </c>
      <c r="X202" s="125" cm="1">
        <f t="array" aca="1" ref="X202" ca="1">IF($C202="S",IF(OR(Import.TipoArredondamento&lt;&gt;"TransfereGOV",ACOMPANHAMENTO="BM"),VTOTAL1,SUM(OFFSET(CÁLCULO!$AQ$15,ROW($X202)-ROW($X$15),1):OFFSET(CÁLCULO!$BR$15,ROW($X202)-ROW($X$15),-1))),IF($C202=0,0,ROUND(SomaAgrup,15-13*$AF$11)))</f>
        <v>0</v>
      </c>
      <c r="Y202" s="126" t="s">
        <v>751</v>
      </c>
      <c r="Z202" t="str">
        <f t="shared" ca="1" si="47"/>
        <v/>
      </c>
      <c r="AA202" s="127" cm="1">
        <f t="array" aca="1" ref="AA202" ca="1">IF($C202="S",IF($Z202="CP",$X202,IF($Z202="RA",(($X202)*QCI!$AA$3),0)),SomaAgrup)</f>
        <v>0</v>
      </c>
      <c r="AB202" s="128" cm="1">
        <f t="array" aca="1" ref="AB202" ca="1">IF($C202="S",IF($Z202="OU",ROUND($X202,2),0),SomaAgrup)</f>
        <v>0</v>
      </c>
      <c r="AC202" s="565" t="str" cm="1">
        <f t="array" aca="1" ref="AC202" ca="1">IF($N202=""," ",
IF(AND($C202&lt;&gt;"S",OR($R202="",$R202="(digite a descrição aqui)")),"DESCRIÇÃO",
IF(AND($C202="S",OR($Q202&lt;&gt;"",$T202&gt;0,$U202&gt;0),$P202=""),"FONTE",
IF(AND($C202="S",$P202&lt;&gt;"",OR($T202&gt;0,$U202&gt;0),$Q202=""),"CÓDIGO",
IF(AND($C202="S",$P202&lt;&gt;"",$Q202&lt;&gt;"",$R202="(Código não identificado nas referências)"),"CÓDIGO N/ID",
IF(AND($C202="S",OR($R202="",$R202="(digite a descrição aqui)"),OR($Q202&lt;&gt;"",$T202&gt;0,$U202&gt;0)),"DESCRIÇÃO",
IF(AND($C202="S",$P202&lt;&gt;"",$Q202&lt;&gt;"",$S202=""),"UNIDADE",
IF(AND($C202="S",$P202&lt;&gt;"",$Q202&lt;&gt;"",$U202=0),"SEM CUSTO",
IF(AND(TIPOORCAMENTO="Licitado",$AL202=0,$AN202&gt;0),"SEM PREÇO",
IF(AND($C202="S",$P202&lt;&gt;"",$Q202&lt;&gt;"",$U202&gt;0,AND($V202&lt;&gt;"BDI 1",$V202&lt;&gt;"BDI 2",$V202&lt;&gt;"BDI 3")),IF(ISNUMBER($V202),"JUSTIFICAR BDI","BDI"),
IF(OR(AND(import.recurso="OGU",TIPOORCAMENTO="Proposto",LEFT($O$8,5)&lt;&gt;"(N/D:",$AG202&lt;&gt;"",ORÇAMENTO.CustoUnitario&gt;$AG202),AND(TIPOORCAMENTO="LICITADO",ORÇAMENTO.PrecoUnitarioLicitado&gt;$AN202)),"ACIMA REF.",
IF(AND($C202="S",$P202&lt;&gt;"",$Q202&lt;&gt;"",$T202=0,$U202&gt;0),"QUANT.",
IF(AND(Import.TipoArredondamento="TransfereGOV",$L202="F",$C202="S",LEN($Q202)&gt;13),"Código &gt;13",
IF(AND(Import.TipoArredondamento="TransfereGOV",$L202="F",$C202&lt;&gt;"S",LEN($R202)&gt;100),"Descrição &gt;100",
IF(AND(Import.TipoArredondamento="TransfereGOV",$L202="F",$C202="S",LEN($R202)&gt;500),"Descrição &gt;500",
IF(AND(Import.TipoArredondamento="TransfereGOV",$L202="F",$C202="S",LEFT(TRIM(UPPER($P202)),6)&lt;&gt;"SINAPI",ISNA(VLOOKUP(TRIM(UPPER($S202)),ListaTgov.Unidades,1,FALSE))),"Unid. Não Disp",
" "))))))))))))))))</f>
        <v>CÓDIGO N/ID</v>
      </c>
      <c r="AD202" t="str">
        <f ca="1">IF(C202&lt;=CRONO.NivelExibicao,MAX($AD$15:OFFSET(AD202,-1,0))+IF($C202&lt;&gt;1,1,MAX(1,COUNTIF(QCI!$A$13:$A$24,OFFSET($E202,-1,0)))),"")</f>
        <v/>
      </c>
      <c r="AE202" s="7" t="str" cm="1">
        <f t="array" aca="1" ref="AE202" ca="1">IF(AND($C202="S",ORÇAMENTO.CodBarra&lt;&gt;""),IF(ORÇAMENTO.Fonte="",ORÇAMENTO.CodBarra,CONCATENATE(ORÇAMENTO.Fonte," ",ORÇAMENTO.CodBarra)))</f>
        <v>SINAPI 89403</v>
      </c>
      <c r="AF202" s="12" t="str" cm="1">
        <f t="array" aca="1" ref="AF202" ca="1">IF(ISERROR(ORÇAMENTO.BancoRef),"(abra o arquivo 'Referência "&amp;Excel_BuiltIn_Database&amp;".xlsm)",IF(OR($C202&lt;&gt;"S",ORÇAMENTO.CodBarra=""),"(Sem Código)",IF(ISERROR(MATCH($AE202,INDIRECT(ORÇAMENTO.BancoRef),0)),"(Código não identificado nas referências)",MATCH($AE202,INDIRECT(ORÇAMENTO.BancoRef),0))))</f>
        <v>(Código não identificado nas referências)</v>
      </c>
      <c r="AG202" s="428" cm="1">
        <f t="array" aca="1" ref="AG202" ca="1">ROUND(IF(DESONERACAO="sim",REFERENCIA.Desonerado,REFERENCIA.NaoDesonerado),2)</f>
        <v>0</v>
      </c>
      <c r="AH202" s="429">
        <f t="shared" ca="1" si="50"/>
        <v>0.2223</v>
      </c>
      <c r="AJ202" s="431"/>
      <c r="AL202" s="439"/>
      <c r="AM202" s="336">
        <f t="shared" ca="1" si="0"/>
        <v>0</v>
      </c>
      <c r="AN202" s="470" cm="1">
        <f t="array" aca="1" ref="AN202" ca="1">ROUND(ORÇAMENTO.CustoUnitario*(1+$AH202),2)</f>
        <v>0</v>
      </c>
    </row>
    <row r="203" spans="1:40" x14ac:dyDescent="0.2">
      <c r="A203">
        <f t="shared" si="49"/>
        <v>2</v>
      </c>
      <c r="B203">
        <f t="shared" ca="1" si="36"/>
        <v>2</v>
      </c>
      <c r="C203">
        <f t="shared" ca="1" si="37"/>
        <v>2</v>
      </c>
      <c r="D203">
        <f t="shared" ca="1" si="38"/>
        <v>30</v>
      </c>
      <c r="E203">
        <f ca="1">IF($C203=1,OFFSET(E203,-1,0)+MAX(1,COUNTIF(QCI!$A$13:$A$24,OFFSET(ORÇAMENTO!E203,-1,0))),OFFSET(E203,-1,0))</f>
        <v>9</v>
      </c>
      <c r="F203">
        <f t="shared" ca="1" si="39"/>
        <v>3</v>
      </c>
      <c r="G203">
        <f t="shared" ca="1" si="40"/>
        <v>0</v>
      </c>
      <c r="H203">
        <f t="shared" ca="1" si="41"/>
        <v>0</v>
      </c>
      <c r="I203">
        <f t="shared" ca="1" si="42"/>
        <v>0</v>
      </c>
      <c r="J203">
        <f t="shared" ca="1" si="34"/>
        <v>30</v>
      </c>
      <c r="K203" t="e">
        <f ca="1">IF(OR($C203="S",$C203=0),0,MATCH(OFFSET($D203,0,$C203)+IF($C203&lt;&gt;1,1,COUNTIF(QCI!$A$13:$A$24,ORÇAMENTO!E203)),OFFSET($D203,1,$C203,ROW($C$244)-ROW($C203)),0))</f>
        <v>#N/A</v>
      </c>
      <c r="L203" s="114" t="str">
        <f t="shared" ca="1" si="43"/>
        <v>F</v>
      </c>
      <c r="M203" s="115" t="s">
        <v>702</v>
      </c>
      <c r="N203" s="116" t="str">
        <f t="shared" ca="1" si="44"/>
        <v>Nível 2</v>
      </c>
      <c r="O203" s="117" t="str">
        <f t="shared" ca="1" si="45"/>
        <v>9.3.</v>
      </c>
      <c r="P203" s="118" t="s">
        <v>250</v>
      </c>
      <c r="Q203" s="119" t="s">
        <v>250</v>
      </c>
      <c r="R203" s="120" t="s">
        <v>1209</v>
      </c>
      <c r="S203" s="121"/>
      <c r="T203" s="122">
        <f ca="1">OFFSET(CÁLCULO!H$15,ROW($T203)-ROW(T$15),0)</f>
        <v>0</v>
      </c>
      <c r="U203" s="123">
        <f t="shared" ca="1" si="46"/>
        <v>0</v>
      </c>
      <c r="V203" s="124" t="s">
        <v>663</v>
      </c>
      <c r="W203" s="122" cm="1">
        <f t="array" aca="1" ref="W203" ca="1">IF($C203="S",ROUND(IF(TIPOORCAMENTO="Proposto",ORÇAMENTO.CustoUnitario*(1+$AH203),ORÇAMENTO.PrecoUnitarioLicitado),15-13*$AF$10),0)</f>
        <v>0</v>
      </c>
      <c r="X203" s="125" cm="1">
        <f t="array" aca="1" ref="X203" ca="1">IF($C203="S",IF(OR(Import.TipoArredondamento&lt;&gt;"TransfereGOV",ACOMPANHAMENTO="BM"),VTOTAL1,SUM(OFFSET(CÁLCULO!$AQ$15,ROW($X203)-ROW($X$15),1):OFFSET(CÁLCULO!$BR$15,ROW($X203)-ROW($X$15),-1))),IF($C203=0,0,ROUND(SomaAgrup,15-13*$AF$11)))</f>
        <v>0</v>
      </c>
      <c r="Y203" s="126" t="s">
        <v>751</v>
      </c>
      <c r="Z203" t="str">
        <f t="shared" ca="1" si="47"/>
        <v/>
      </c>
      <c r="AA203" s="127" cm="1">
        <f t="array" aca="1" ref="AA203" ca="1">IF($C203="S",IF($Z203="CP",$X203,IF($Z203="RA",(($X203)*QCI!$AA$3),0)),SomaAgrup)</f>
        <v>0</v>
      </c>
      <c r="AB203" s="128" cm="1">
        <f t="array" aca="1" ref="AB203" ca="1">IF($C203="S",IF($Z203="OU",ROUND($X203,2),0),SomaAgrup)</f>
        <v>0</v>
      </c>
      <c r="AC203" s="565" t="str" cm="1">
        <f t="array" aca="1" ref="AC203" ca="1">IF($N203=""," ",
IF(AND($C203&lt;&gt;"S",OR($R203="",$R203="(digite a descrição aqui)")),"DESCRIÇÃO",
IF(AND($C203="S",OR($Q203&lt;&gt;"",$T203&gt;0,$U203&gt;0),$P203=""),"FONTE",
IF(AND($C203="S",$P203&lt;&gt;"",OR($T203&gt;0,$U203&gt;0),$Q203=""),"CÓDIGO",
IF(AND($C203="S",$P203&lt;&gt;"",$Q203&lt;&gt;"",$R203="(Código não identificado nas referências)"),"CÓDIGO N/ID",
IF(AND($C203="S",OR($R203="",$R203="(digite a descrição aqui)"),OR($Q203&lt;&gt;"",$T203&gt;0,$U203&gt;0)),"DESCRIÇÃO",
IF(AND($C203="S",$P203&lt;&gt;"",$Q203&lt;&gt;"",$S203=""),"UNIDADE",
IF(AND($C203="S",$P203&lt;&gt;"",$Q203&lt;&gt;"",$U203=0),"SEM CUSTO",
IF(AND(TIPOORCAMENTO="Licitado",$AL203=0,$AN203&gt;0),"SEM PREÇO",
IF(AND($C203="S",$P203&lt;&gt;"",$Q203&lt;&gt;"",$U203&gt;0,AND($V203&lt;&gt;"BDI 1",$V203&lt;&gt;"BDI 2",$V203&lt;&gt;"BDI 3")),IF(ISNUMBER($V203),"JUSTIFICAR BDI","BDI"),
IF(OR(AND(import.recurso="OGU",TIPOORCAMENTO="Proposto",LEFT($O$8,5)&lt;&gt;"(N/D:",$AG203&lt;&gt;"",ORÇAMENTO.CustoUnitario&gt;$AG203),AND(TIPOORCAMENTO="LICITADO",ORÇAMENTO.PrecoUnitarioLicitado&gt;$AN203)),"ACIMA REF.",
IF(AND($C203="S",$P203&lt;&gt;"",$Q203&lt;&gt;"",$T203=0,$U203&gt;0),"QUANT.",
IF(AND(Import.TipoArredondamento="TransfereGOV",$L203="F",$C203="S",LEN($Q203)&gt;13),"Código &gt;13",
IF(AND(Import.TipoArredondamento="TransfereGOV",$L203="F",$C203&lt;&gt;"S",LEN($R203)&gt;100),"Descrição &gt;100",
IF(AND(Import.TipoArredondamento="TransfereGOV",$L203="F",$C203="S",LEN($R203)&gt;500),"Descrição &gt;500",
IF(AND(Import.TipoArredondamento="TransfereGOV",$L203="F",$C203="S",LEFT(TRIM(UPPER($P203)),6)&lt;&gt;"SINAPI",ISNA(VLOOKUP(TRIM(UPPER($S203)),ListaTgov.Unidades,1,FALSE))),"Unid. Não Disp",
" "))))))))))))))))</f>
        <v xml:space="preserve"> </v>
      </c>
      <c r="AD203">
        <f ca="1">IF(C203&lt;=CRONO.NivelExibicao,MAX($AD$15:OFFSET(AD203,-1,0))+IF($C203&lt;&gt;1,1,MAX(1,COUNTIF(QCI!$A$13:$A$24,OFFSET($E203,-1,0)))),"")</f>
        <v>41</v>
      </c>
      <c r="AE203" s="7" t="b" cm="1">
        <f t="array" aca="1" ref="AE203" ca="1">IF(AND($C203="S",ORÇAMENTO.CodBarra&lt;&gt;""),IF(ORÇAMENTO.Fonte="",ORÇAMENTO.CodBarra,CONCATENATE(ORÇAMENTO.Fonte," ",ORÇAMENTO.CodBarra)))</f>
        <v>0</v>
      </c>
      <c r="AF203" s="12" t="str" cm="1">
        <f t="array" aca="1" ref="AF203" ca="1">IF(ISERROR(ORÇAMENTO.BancoRef),"(abra o arquivo 'Referência "&amp;Excel_BuiltIn_Database&amp;".xlsm)",IF(OR($C203&lt;&gt;"S",ORÇAMENTO.CodBarra=""),"(Sem Código)",IF(ISERROR(MATCH($AE203,INDIRECT(ORÇAMENTO.BancoRef),0)),"(Código não identificado nas referências)",MATCH($AE203,INDIRECT(ORÇAMENTO.BancoRef),0))))</f>
        <v>(Sem Código)</v>
      </c>
      <c r="AG203" s="428" cm="1">
        <f t="array" aca="1" ref="AG203" ca="1">ROUND(IF(DESONERACAO="sim",REFERENCIA.Desonerado,REFERENCIA.NaoDesonerado),2)</f>
        <v>0</v>
      </c>
      <c r="AH203" s="429">
        <f t="shared" ca="1" si="50"/>
        <v>0.2223</v>
      </c>
      <c r="AJ203" s="431"/>
      <c r="AL203" s="439"/>
      <c r="AM203" s="336">
        <f t="shared" ca="1" si="0"/>
        <v>0</v>
      </c>
      <c r="AN203" s="470" cm="1">
        <f t="array" aca="1" ref="AN203" ca="1">ROUND(ORÇAMENTO.CustoUnitario*(1+$AH203),2)</f>
        <v>0</v>
      </c>
    </row>
    <row r="204" spans="1:40" x14ac:dyDescent="0.2">
      <c r="A204">
        <f t="shared" si="49"/>
        <v>3</v>
      </c>
      <c r="B204">
        <f t="shared" ca="1" si="36"/>
        <v>3</v>
      </c>
      <c r="C204">
        <f t="shared" ca="1" si="37"/>
        <v>3</v>
      </c>
      <c r="D204">
        <f t="shared" ca="1" si="38"/>
        <v>13</v>
      </c>
      <c r="E204">
        <f ca="1">IF($C204=1,OFFSET(E204,-1,0)+MAX(1,COUNTIF(QCI!$A$13:$A$24,OFFSET(ORÇAMENTO!E204,-1,0))),OFFSET(E204,-1,0))</f>
        <v>9</v>
      </c>
      <c r="F204">
        <f t="shared" ca="1" si="39"/>
        <v>3</v>
      </c>
      <c r="G204">
        <f t="shared" ca="1" si="40"/>
        <v>1</v>
      </c>
      <c r="H204">
        <f t="shared" ca="1" si="41"/>
        <v>0</v>
      </c>
      <c r="I204">
        <f t="shared" ca="1" si="42"/>
        <v>0</v>
      </c>
      <c r="J204">
        <f t="shared" ca="1" si="34"/>
        <v>29</v>
      </c>
      <c r="K204">
        <f ca="1">IF(OR($C204="S",$C204=0),0,MATCH(OFFSET($D204,0,$C204)+IF($C204&lt;&gt;1,1,COUNTIF(QCI!$A$13:$A$24,ORÇAMENTO!E204)),OFFSET($D204,1,$C204,ROW($C$244)-ROW($C204)),0))</f>
        <v>13</v>
      </c>
      <c r="L204" s="114" t="str">
        <f t="shared" ca="1" si="43"/>
        <v>F</v>
      </c>
      <c r="M204" s="115" t="s">
        <v>703</v>
      </c>
      <c r="N204" s="116" t="str">
        <f t="shared" ca="1" si="44"/>
        <v>Nível 3</v>
      </c>
      <c r="O204" s="117" t="str">
        <f t="shared" ca="1" si="45"/>
        <v>9.3.1.</v>
      </c>
      <c r="P204" s="118" t="s">
        <v>250</v>
      </c>
      <c r="Q204" s="119" t="s">
        <v>250</v>
      </c>
      <c r="R204" s="120" t="s">
        <v>1210</v>
      </c>
      <c r="S204" s="121"/>
      <c r="T204" s="122">
        <f ca="1">OFFSET(CÁLCULO!H$15,ROW($T204)-ROW(T$15),0)</f>
        <v>0</v>
      </c>
      <c r="U204" s="123">
        <f t="shared" ca="1" si="46"/>
        <v>0</v>
      </c>
      <c r="V204" s="124" t="s">
        <v>663</v>
      </c>
      <c r="W204" s="122" cm="1">
        <f t="array" aca="1" ref="W204" ca="1">IF($C204="S",ROUND(IF(TIPOORCAMENTO="Proposto",ORÇAMENTO.CustoUnitario*(1+$AH204),ORÇAMENTO.PrecoUnitarioLicitado),15-13*$AF$10),0)</f>
        <v>0</v>
      </c>
      <c r="X204" s="125" cm="1">
        <f t="array" aca="1" ref="X204" ca="1">IF($C204="S",IF(OR(Import.TipoArredondamento&lt;&gt;"TransfereGOV",ACOMPANHAMENTO="BM"),VTOTAL1,SUM(OFFSET(CÁLCULO!$AQ$15,ROW($X204)-ROW($X$15),1):OFFSET(CÁLCULO!$BR$15,ROW($X204)-ROW($X$15),-1))),IF($C204=0,0,ROUND(SomaAgrup,15-13*$AF$11)))</f>
        <v>0</v>
      </c>
      <c r="Y204" s="126" t="s">
        <v>751</v>
      </c>
      <c r="Z204" t="str">
        <f t="shared" ca="1" si="47"/>
        <v/>
      </c>
      <c r="AA204" s="127" cm="1">
        <f t="array" aca="1" ref="AA204" ca="1">IF($C204="S",IF($Z204="CP",$X204,IF($Z204="RA",(($X204)*QCI!$AA$3),0)),SomaAgrup)</f>
        <v>0</v>
      </c>
      <c r="AB204" s="128" cm="1">
        <f t="array" aca="1" ref="AB204" ca="1">IF($C204="S",IF($Z204="OU",ROUND($X204,2),0),SomaAgrup)</f>
        <v>0</v>
      </c>
      <c r="AC204" s="565" t="str" cm="1">
        <f t="array" aca="1" ref="AC204" ca="1">IF($N204=""," ",
IF(AND($C204&lt;&gt;"S",OR($R204="",$R204="(digite a descrição aqui)")),"DESCRIÇÃO",
IF(AND($C204="S",OR($Q204&lt;&gt;"",$T204&gt;0,$U204&gt;0),$P204=""),"FONTE",
IF(AND($C204="S",$P204&lt;&gt;"",OR($T204&gt;0,$U204&gt;0),$Q204=""),"CÓDIGO",
IF(AND($C204="S",$P204&lt;&gt;"",$Q204&lt;&gt;"",$R204="(Código não identificado nas referências)"),"CÓDIGO N/ID",
IF(AND($C204="S",OR($R204="",$R204="(digite a descrição aqui)"),OR($Q204&lt;&gt;"",$T204&gt;0,$U204&gt;0)),"DESCRIÇÃO",
IF(AND($C204="S",$P204&lt;&gt;"",$Q204&lt;&gt;"",$S204=""),"UNIDADE",
IF(AND($C204="S",$P204&lt;&gt;"",$Q204&lt;&gt;"",$U204=0),"SEM CUSTO",
IF(AND(TIPOORCAMENTO="Licitado",$AL204=0,$AN204&gt;0),"SEM PREÇO",
IF(AND($C204="S",$P204&lt;&gt;"",$Q204&lt;&gt;"",$U204&gt;0,AND($V204&lt;&gt;"BDI 1",$V204&lt;&gt;"BDI 2",$V204&lt;&gt;"BDI 3")),IF(ISNUMBER($V204),"JUSTIFICAR BDI","BDI"),
IF(OR(AND(import.recurso="OGU",TIPOORCAMENTO="Proposto",LEFT($O$8,5)&lt;&gt;"(N/D:",$AG204&lt;&gt;"",ORÇAMENTO.CustoUnitario&gt;$AG204),AND(TIPOORCAMENTO="LICITADO",ORÇAMENTO.PrecoUnitarioLicitado&gt;$AN204)),"ACIMA REF.",
IF(AND($C204="S",$P204&lt;&gt;"",$Q204&lt;&gt;"",$T204=0,$U204&gt;0),"QUANT.",
IF(AND(Import.TipoArredondamento="TransfereGOV",$L204="F",$C204="S",LEN($Q204)&gt;13),"Código &gt;13",
IF(AND(Import.TipoArredondamento="TransfereGOV",$L204="F",$C204&lt;&gt;"S",LEN($R204)&gt;100),"Descrição &gt;100",
IF(AND(Import.TipoArredondamento="TransfereGOV",$L204="F",$C204="S",LEN($R204)&gt;500),"Descrição &gt;500",
IF(AND(Import.TipoArredondamento="TransfereGOV",$L204="F",$C204="S",LEFT(TRIM(UPPER($P204)),6)&lt;&gt;"SINAPI",ISNA(VLOOKUP(TRIM(UPPER($S204)),ListaTgov.Unidades,1,FALSE))),"Unid. Não Disp",
" "))))))))))))))))</f>
        <v xml:space="preserve"> </v>
      </c>
      <c r="AD204">
        <f ca="1">IF(C204&lt;=CRONO.NivelExibicao,MAX($AD$15:OFFSET(AD204,-1,0))+IF($C204&lt;&gt;1,1,MAX(1,COUNTIF(QCI!$A$13:$A$24,OFFSET($E204,-1,0)))),"")</f>
        <v>42</v>
      </c>
      <c r="AE204" s="7" t="b" cm="1">
        <f t="array" aca="1" ref="AE204" ca="1">IF(AND($C204="S",ORÇAMENTO.CodBarra&lt;&gt;""),IF(ORÇAMENTO.Fonte="",ORÇAMENTO.CodBarra,CONCATENATE(ORÇAMENTO.Fonte," ",ORÇAMENTO.CodBarra)))</f>
        <v>0</v>
      </c>
      <c r="AF204" s="12" t="str" cm="1">
        <f t="array" aca="1" ref="AF204" ca="1">IF(ISERROR(ORÇAMENTO.BancoRef),"(abra o arquivo 'Referência "&amp;Excel_BuiltIn_Database&amp;".xlsm)",IF(OR($C204&lt;&gt;"S",ORÇAMENTO.CodBarra=""),"(Sem Código)",IF(ISERROR(MATCH($AE204,INDIRECT(ORÇAMENTO.BancoRef),0)),"(Código não identificado nas referências)",MATCH($AE204,INDIRECT(ORÇAMENTO.BancoRef),0))))</f>
        <v>(Sem Código)</v>
      </c>
      <c r="AG204" s="428" cm="1">
        <f t="array" aca="1" ref="AG204" ca="1">ROUND(IF(DESONERACAO="sim",REFERENCIA.Desonerado,REFERENCIA.NaoDesonerado),2)</f>
        <v>0</v>
      </c>
      <c r="AH204" s="429">
        <f t="shared" ca="1" si="50"/>
        <v>0.2223</v>
      </c>
      <c r="AJ204" s="431"/>
      <c r="AL204" s="439"/>
      <c r="AM204" s="336">
        <f t="shared" ca="1" si="0"/>
        <v>0</v>
      </c>
      <c r="AN204" s="470" cm="1">
        <f t="array" aca="1" ref="AN204" ca="1">ROUND(ORÇAMENTO.CustoUnitario*(1+$AH204),2)</f>
        <v>0</v>
      </c>
    </row>
    <row r="205" spans="1:40" ht="38.25" x14ac:dyDescent="0.2">
      <c r="A205" t="str">
        <f t="shared" si="49"/>
        <v>S</v>
      </c>
      <c r="B205">
        <f t="shared" ca="1" si="36"/>
        <v>3</v>
      </c>
      <c r="C205" t="str">
        <f t="shared" ca="1" si="37"/>
        <v>S</v>
      </c>
      <c r="D205">
        <f t="shared" ca="1" si="38"/>
        <v>0</v>
      </c>
      <c r="E205">
        <f ca="1">IF($C205=1,OFFSET(E205,-1,0)+MAX(1,COUNTIF(QCI!$A$13:$A$24,OFFSET(ORÇAMENTO!E205,-1,0))),OFFSET(E205,-1,0))</f>
        <v>9</v>
      </c>
      <c r="F205">
        <f t="shared" ca="1" si="39"/>
        <v>3</v>
      </c>
      <c r="G205">
        <f t="shared" ca="1" si="40"/>
        <v>1</v>
      </c>
      <c r="H205">
        <f t="shared" ca="1" si="41"/>
        <v>0</v>
      </c>
      <c r="I205">
        <f t="shared" ca="1" si="42"/>
        <v>0</v>
      </c>
      <c r="J205">
        <f t="shared" ca="1" si="34"/>
        <v>0</v>
      </c>
      <c r="K205">
        <f ca="1">IF(OR($C205="S",$C205=0),0,MATCH(OFFSET($D205,0,$C205)+IF($C205&lt;&gt;1,1,COUNTIF(QCI!$A$13:$A$24,ORÇAMENTO!E205)),OFFSET($D205,1,$C205,ROW($C$244)-ROW($C205)),0))</f>
        <v>0</v>
      </c>
      <c r="L205" s="114" t="str">
        <f t="shared" ca="1" si="43"/>
        <v/>
      </c>
      <c r="M205" s="115" t="s">
        <v>705</v>
      </c>
      <c r="N205" s="116" t="str">
        <f t="shared" ca="1" si="44"/>
        <v>Serviço</v>
      </c>
      <c r="O205" s="117" t="str">
        <f t="shared" ca="1" si="45"/>
        <v>-</v>
      </c>
      <c r="P205" s="118" t="s">
        <v>750</v>
      </c>
      <c r="Q205" s="119" t="s">
        <v>1141</v>
      </c>
      <c r="R205" s="120" t="str" cm="1">
        <f t="array" aca="1" ref="R205" ca="1">IF($C205="S",REFERENCIA.Descricao,"(digite a descrição aqui)")</f>
        <v>(Código não identificado nas referências)</v>
      </c>
      <c r="S205" s="121" t="str" cm="1">
        <f t="array" aca="1" ref="S205" ca="1">REFERENCIA.Unidade</f>
        <v>-</v>
      </c>
      <c r="T205" s="122">
        <f ca="1">OFFSET(CÁLCULO!H$15,ROW($T205)-ROW(T$15),0)</f>
        <v>60</v>
      </c>
      <c r="U205" s="123">
        <f t="shared" ca="1" si="46"/>
        <v>0</v>
      </c>
      <c r="V205" s="124" t="s">
        <v>663</v>
      </c>
      <c r="W205" s="122" cm="1">
        <f t="array" aca="1" ref="W205" ca="1">IF($C205="S",ROUND(IF(TIPOORCAMENTO="Proposto",ORÇAMENTO.CustoUnitario*(1+$AH205),ORÇAMENTO.PrecoUnitarioLicitado),15-13*$AF$10),0)</f>
        <v>0</v>
      </c>
      <c r="X205" s="125" cm="1">
        <f t="array" aca="1" ref="X205" ca="1">IF($C205="S",IF(OR(Import.TipoArredondamento&lt;&gt;"TransfereGOV",ACOMPANHAMENTO="BM"),VTOTAL1,SUM(OFFSET(CÁLCULO!$AQ$15,ROW($X205)-ROW($X$15),1):OFFSET(CÁLCULO!$BR$15,ROW($X205)-ROW($X$15),-1))),IF($C205=0,0,ROUND(SomaAgrup,15-13*$AF$11)))</f>
        <v>0</v>
      </c>
      <c r="Y205" s="126" t="s">
        <v>751</v>
      </c>
      <c r="Z205" t="str">
        <f t="shared" ca="1" si="47"/>
        <v/>
      </c>
      <c r="AA205" s="127" cm="1">
        <f t="array" aca="1" ref="AA205" ca="1">IF($C205="S",IF($Z205="CP",$X205,IF($Z205="RA",(($X205)*QCI!$AA$3),0)),SomaAgrup)</f>
        <v>0</v>
      </c>
      <c r="AB205" s="128" cm="1">
        <f t="array" aca="1" ref="AB205" ca="1">IF($C205="S",IF($Z205="OU",ROUND($X205,2),0),SomaAgrup)</f>
        <v>0</v>
      </c>
      <c r="AC205" s="565" t="str" cm="1">
        <f t="array" aca="1" ref="AC205" ca="1">IF($N205=""," ",
IF(AND($C205&lt;&gt;"S",OR($R205="",$R205="(digite a descrição aqui)")),"DESCRIÇÃO",
IF(AND($C205="S",OR($Q205&lt;&gt;"",$T205&gt;0,$U205&gt;0),$P205=""),"FONTE",
IF(AND($C205="S",$P205&lt;&gt;"",OR($T205&gt;0,$U205&gt;0),$Q205=""),"CÓDIGO",
IF(AND($C205="S",$P205&lt;&gt;"",$Q205&lt;&gt;"",$R205="(Código não identificado nas referências)"),"CÓDIGO N/ID",
IF(AND($C205="S",OR($R205="",$R205="(digite a descrição aqui)"),OR($Q205&lt;&gt;"",$T205&gt;0,$U205&gt;0)),"DESCRIÇÃO",
IF(AND($C205="S",$P205&lt;&gt;"",$Q205&lt;&gt;"",$S205=""),"UNIDADE",
IF(AND($C205="S",$P205&lt;&gt;"",$Q205&lt;&gt;"",$U205=0),"SEM CUSTO",
IF(AND(TIPOORCAMENTO="Licitado",$AL205=0,$AN205&gt;0),"SEM PREÇO",
IF(AND($C205="S",$P205&lt;&gt;"",$Q205&lt;&gt;"",$U205&gt;0,AND($V205&lt;&gt;"BDI 1",$V205&lt;&gt;"BDI 2",$V205&lt;&gt;"BDI 3")),IF(ISNUMBER($V205),"JUSTIFICAR BDI","BDI"),
IF(OR(AND(import.recurso="OGU",TIPOORCAMENTO="Proposto",LEFT($O$8,5)&lt;&gt;"(N/D:",$AG205&lt;&gt;"",ORÇAMENTO.CustoUnitario&gt;$AG205),AND(TIPOORCAMENTO="LICITADO",ORÇAMENTO.PrecoUnitarioLicitado&gt;$AN205)),"ACIMA REF.",
IF(AND($C205="S",$P205&lt;&gt;"",$Q205&lt;&gt;"",$T205=0,$U205&gt;0),"QUANT.",
IF(AND(Import.TipoArredondamento="TransfereGOV",$L205="F",$C205="S",LEN($Q205)&gt;13),"Código &gt;13",
IF(AND(Import.TipoArredondamento="TransfereGOV",$L205="F",$C205&lt;&gt;"S",LEN($R205)&gt;100),"Descrição &gt;100",
IF(AND(Import.TipoArredondamento="TransfereGOV",$L205="F",$C205="S",LEN($R205)&gt;500),"Descrição &gt;500",
IF(AND(Import.TipoArredondamento="TransfereGOV",$L205="F",$C205="S",LEFT(TRIM(UPPER($P205)),6)&lt;&gt;"SINAPI",ISNA(VLOOKUP(TRIM(UPPER($S205)),ListaTgov.Unidades,1,FALSE))),"Unid. Não Disp",
" "))))))))))))))))</f>
        <v>CÓDIGO N/ID</v>
      </c>
      <c r="AD205" t="str">
        <f ca="1">IF(C205&lt;=CRONO.NivelExibicao,MAX($AD$15:OFFSET(AD205,-1,0))+IF($C205&lt;&gt;1,1,MAX(1,COUNTIF(QCI!$A$13:$A$24,OFFSET($E205,-1,0)))),"")</f>
        <v/>
      </c>
      <c r="AE205" s="7" t="str" cm="1">
        <f t="array" aca="1" ref="AE205" ca="1">IF(AND($C205="S",ORÇAMENTO.CodBarra&lt;&gt;""),IF(ORÇAMENTO.Fonte="",ORÇAMENTO.CodBarra,CONCATENATE(ORÇAMENTO.Fonte," ",ORÇAMENTO.CodBarra)))</f>
        <v>SINAPI 89726</v>
      </c>
      <c r="AF205" s="12" t="str" cm="1">
        <f t="array" aca="1" ref="AF205" ca="1">IF(ISERROR(ORÇAMENTO.BancoRef),"(abra o arquivo 'Referência "&amp;Excel_BuiltIn_Database&amp;".xlsm)",IF(OR($C205&lt;&gt;"S",ORÇAMENTO.CodBarra=""),"(Sem Código)",IF(ISERROR(MATCH($AE205,INDIRECT(ORÇAMENTO.BancoRef),0)),"(Código não identificado nas referências)",MATCH($AE205,INDIRECT(ORÇAMENTO.BancoRef),0))))</f>
        <v>(Código não identificado nas referências)</v>
      </c>
      <c r="AG205" s="428" cm="1">
        <f t="array" aca="1" ref="AG205" ca="1">ROUND(IF(DESONERACAO="sim",REFERENCIA.Desonerado,REFERENCIA.NaoDesonerado),2)</f>
        <v>0</v>
      </c>
      <c r="AH205" s="429">
        <f t="shared" ca="1" si="50"/>
        <v>0.2223</v>
      </c>
      <c r="AJ205" s="431"/>
      <c r="AL205" s="439"/>
      <c r="AM205" s="336">
        <f t="shared" ca="1" si="0"/>
        <v>0</v>
      </c>
      <c r="AN205" s="470" cm="1">
        <f t="array" aca="1" ref="AN205" ca="1">ROUND(ORÇAMENTO.CustoUnitario*(1+$AH205),2)</f>
        <v>0</v>
      </c>
    </row>
    <row r="206" spans="1:40" ht="38.25" x14ac:dyDescent="0.2">
      <c r="A206" t="str">
        <f t="shared" si="49"/>
        <v>S</v>
      </c>
      <c r="B206">
        <f t="shared" ca="1" si="36"/>
        <v>3</v>
      </c>
      <c r="C206" t="str">
        <f t="shared" ca="1" si="37"/>
        <v>S</v>
      </c>
      <c r="D206">
        <f t="shared" ca="1" si="38"/>
        <v>0</v>
      </c>
      <c r="E206">
        <f ca="1">IF($C206=1,OFFSET(E206,-1,0)+MAX(1,COUNTIF(QCI!$A$13:$A$24,OFFSET(ORÇAMENTO!E206,-1,0))),OFFSET(E206,-1,0))</f>
        <v>9</v>
      </c>
      <c r="F206">
        <f t="shared" ca="1" si="39"/>
        <v>3</v>
      </c>
      <c r="G206">
        <f t="shared" ca="1" si="40"/>
        <v>1</v>
      </c>
      <c r="H206">
        <f t="shared" ca="1" si="41"/>
        <v>0</v>
      </c>
      <c r="I206">
        <f t="shared" ca="1" si="42"/>
        <v>0</v>
      </c>
      <c r="J206">
        <f t="shared" ref="J206:J243" ca="1" si="51">IF(OR($C206="S",$C206=0),0,MATCH(0,OFFSET($D206,1,$C206,ROW($C$244)-ROW($C206)),0))</f>
        <v>0</v>
      </c>
      <c r="K206">
        <f ca="1">IF(OR($C206="S",$C206=0),0,MATCH(OFFSET($D206,0,$C206)+IF($C206&lt;&gt;1,1,COUNTIF(QCI!$A$13:$A$24,ORÇAMENTO!E206)),OFFSET($D206,1,$C206,ROW($C$244)-ROW($C206)),0))</f>
        <v>0</v>
      </c>
      <c r="L206" s="114" t="str">
        <f t="shared" ca="1" si="43"/>
        <v/>
      </c>
      <c r="M206" s="115" t="s">
        <v>705</v>
      </c>
      <c r="N206" s="116" t="str">
        <f t="shared" ca="1" si="44"/>
        <v>Serviço</v>
      </c>
      <c r="O206" s="117" t="str">
        <f t="shared" ca="1" si="45"/>
        <v>-</v>
      </c>
      <c r="P206" s="118" t="s">
        <v>750</v>
      </c>
      <c r="Q206" s="119" t="s">
        <v>1142</v>
      </c>
      <c r="R206" s="120" t="str" cm="1">
        <f t="array" aca="1" ref="R206" ca="1">IF($C206="S",REFERENCIA.Descricao,"(digite a descrição aqui)")</f>
        <v>(Código não identificado nas referências)</v>
      </c>
      <c r="S206" s="121" t="str" cm="1">
        <f t="array" aca="1" ref="S206" ca="1">REFERENCIA.Unidade</f>
        <v>-</v>
      </c>
      <c r="T206" s="122">
        <f ca="1">OFFSET(CÁLCULO!H$15,ROW($T206)-ROW(T$15),0)</f>
        <v>40</v>
      </c>
      <c r="U206" s="123">
        <f t="shared" ca="1" si="46"/>
        <v>0</v>
      </c>
      <c r="V206" s="124" t="s">
        <v>663</v>
      </c>
      <c r="W206" s="122" cm="1">
        <f t="array" aca="1" ref="W206" ca="1">IF($C206="S",ROUND(IF(TIPOORCAMENTO="Proposto",ORÇAMENTO.CustoUnitario*(1+$AH206),ORÇAMENTO.PrecoUnitarioLicitado),15-13*$AF$10),0)</f>
        <v>0</v>
      </c>
      <c r="X206" s="125" cm="1">
        <f t="array" aca="1" ref="X206" ca="1">IF($C206="S",IF(OR(Import.TipoArredondamento&lt;&gt;"TransfereGOV",ACOMPANHAMENTO="BM"),VTOTAL1,SUM(OFFSET(CÁLCULO!$AQ$15,ROW($X206)-ROW($X$15),1):OFFSET(CÁLCULO!$BR$15,ROW($X206)-ROW($X$15),-1))),IF($C206=0,0,ROUND(SomaAgrup,15-13*$AF$11)))</f>
        <v>0</v>
      </c>
      <c r="Y206" s="126" t="s">
        <v>751</v>
      </c>
      <c r="Z206" t="str">
        <f t="shared" ca="1" si="47"/>
        <v/>
      </c>
      <c r="AA206" s="127" cm="1">
        <f t="array" aca="1" ref="AA206" ca="1">IF($C206="S",IF($Z206="CP",$X206,IF($Z206="RA",(($X206)*QCI!$AA$3),0)),SomaAgrup)</f>
        <v>0</v>
      </c>
      <c r="AB206" s="128" cm="1">
        <f t="array" aca="1" ref="AB206" ca="1">IF($C206="S",IF($Z206="OU",ROUND($X206,2),0),SomaAgrup)</f>
        <v>0</v>
      </c>
      <c r="AC206" s="565" t="str" cm="1">
        <f t="array" aca="1" ref="AC206" ca="1">IF($N206=""," ",
IF(AND($C206&lt;&gt;"S",OR($R206="",$R206="(digite a descrição aqui)")),"DESCRIÇÃO",
IF(AND($C206="S",OR($Q206&lt;&gt;"",$T206&gt;0,$U206&gt;0),$P206=""),"FONTE",
IF(AND($C206="S",$P206&lt;&gt;"",OR($T206&gt;0,$U206&gt;0),$Q206=""),"CÓDIGO",
IF(AND($C206="S",$P206&lt;&gt;"",$Q206&lt;&gt;"",$R206="(Código não identificado nas referências)"),"CÓDIGO N/ID",
IF(AND($C206="S",OR($R206="",$R206="(digite a descrição aqui)"),OR($Q206&lt;&gt;"",$T206&gt;0,$U206&gt;0)),"DESCRIÇÃO",
IF(AND($C206="S",$P206&lt;&gt;"",$Q206&lt;&gt;"",$S206=""),"UNIDADE",
IF(AND($C206="S",$P206&lt;&gt;"",$Q206&lt;&gt;"",$U206=0),"SEM CUSTO",
IF(AND(TIPOORCAMENTO="Licitado",$AL206=0,$AN206&gt;0),"SEM PREÇO",
IF(AND($C206="S",$P206&lt;&gt;"",$Q206&lt;&gt;"",$U206&gt;0,AND($V206&lt;&gt;"BDI 1",$V206&lt;&gt;"BDI 2",$V206&lt;&gt;"BDI 3")),IF(ISNUMBER($V206),"JUSTIFICAR BDI","BDI"),
IF(OR(AND(import.recurso="OGU",TIPOORCAMENTO="Proposto",LEFT($O$8,5)&lt;&gt;"(N/D:",$AG206&lt;&gt;"",ORÇAMENTO.CustoUnitario&gt;$AG206),AND(TIPOORCAMENTO="LICITADO",ORÇAMENTO.PrecoUnitarioLicitado&gt;$AN206)),"ACIMA REF.",
IF(AND($C206="S",$P206&lt;&gt;"",$Q206&lt;&gt;"",$T206=0,$U206&gt;0),"QUANT.",
IF(AND(Import.TipoArredondamento="TransfereGOV",$L206="F",$C206="S",LEN($Q206)&gt;13),"Código &gt;13",
IF(AND(Import.TipoArredondamento="TransfereGOV",$L206="F",$C206&lt;&gt;"S",LEN($R206)&gt;100),"Descrição &gt;100",
IF(AND(Import.TipoArredondamento="TransfereGOV",$L206="F",$C206="S",LEN($R206)&gt;500),"Descrição &gt;500",
IF(AND(Import.TipoArredondamento="TransfereGOV",$L206="F",$C206="S",LEFT(TRIM(UPPER($P206)),6)&lt;&gt;"SINAPI",ISNA(VLOOKUP(TRIM(UPPER($S206)),ListaTgov.Unidades,1,FALSE))),"Unid. Não Disp",
" "))))))))))))))))</f>
        <v>CÓDIGO N/ID</v>
      </c>
      <c r="AD206" t="str">
        <f ca="1">IF(C206&lt;=CRONO.NivelExibicao,MAX($AD$15:OFFSET(AD206,-1,0))+IF($C206&lt;&gt;1,1,MAX(1,COUNTIF(QCI!$A$13:$A$24,OFFSET($E206,-1,0)))),"")</f>
        <v/>
      </c>
      <c r="AE206" s="7" t="str" cm="1">
        <f t="array" aca="1" ref="AE206" ca="1">IF(AND($C206="S",ORÇAMENTO.CodBarra&lt;&gt;""),IF(ORÇAMENTO.Fonte="",ORÇAMENTO.CodBarra,CONCATENATE(ORÇAMENTO.Fonte," ",ORÇAMENTO.CodBarra)))</f>
        <v>SINAPI 89732</v>
      </c>
      <c r="AF206" s="12" t="str" cm="1">
        <f t="array" aca="1" ref="AF206" ca="1">IF(ISERROR(ORÇAMENTO.BancoRef),"(abra o arquivo 'Referência "&amp;Excel_BuiltIn_Database&amp;".xlsm)",IF(OR($C206&lt;&gt;"S",ORÇAMENTO.CodBarra=""),"(Sem Código)",IF(ISERROR(MATCH($AE206,INDIRECT(ORÇAMENTO.BancoRef),0)),"(Código não identificado nas referências)",MATCH($AE206,INDIRECT(ORÇAMENTO.BancoRef),0))))</f>
        <v>(Código não identificado nas referências)</v>
      </c>
      <c r="AG206" s="428" cm="1">
        <f t="array" aca="1" ref="AG206" ca="1">ROUND(IF(DESONERACAO="sim",REFERENCIA.Desonerado,REFERENCIA.NaoDesonerado),2)</f>
        <v>0</v>
      </c>
      <c r="AH206" s="429">
        <f t="shared" ca="1" si="50"/>
        <v>0.2223</v>
      </c>
      <c r="AJ206" s="431"/>
      <c r="AL206" s="439"/>
      <c r="AM206" s="336">
        <f t="shared" ca="1" si="0"/>
        <v>0</v>
      </c>
      <c r="AN206" s="470" cm="1">
        <f t="array" aca="1" ref="AN206" ca="1">ROUND(ORÇAMENTO.CustoUnitario*(1+$AH206),2)</f>
        <v>0</v>
      </c>
    </row>
    <row r="207" spans="1:40" ht="38.25" x14ac:dyDescent="0.2">
      <c r="A207" t="str">
        <f t="shared" si="49"/>
        <v>S</v>
      </c>
      <c r="B207">
        <f t="shared" ca="1" si="36"/>
        <v>3</v>
      </c>
      <c r="C207" t="str">
        <f t="shared" ca="1" si="37"/>
        <v>S</v>
      </c>
      <c r="D207">
        <f t="shared" ca="1" si="38"/>
        <v>0</v>
      </c>
      <c r="E207">
        <f ca="1">IF($C207=1,OFFSET(E207,-1,0)+MAX(1,COUNTIF(QCI!$A$13:$A$24,OFFSET(ORÇAMENTO!E207,-1,0))),OFFSET(E207,-1,0))</f>
        <v>9</v>
      </c>
      <c r="F207">
        <f t="shared" ca="1" si="39"/>
        <v>3</v>
      </c>
      <c r="G207">
        <f t="shared" ca="1" si="40"/>
        <v>1</v>
      </c>
      <c r="H207">
        <f t="shared" ca="1" si="41"/>
        <v>0</v>
      </c>
      <c r="I207">
        <f t="shared" ca="1" si="42"/>
        <v>0</v>
      </c>
      <c r="J207">
        <f t="shared" ca="1" si="51"/>
        <v>0</v>
      </c>
      <c r="K207">
        <f ca="1">IF(OR($C207="S",$C207=0),0,MATCH(OFFSET($D207,0,$C207)+IF($C207&lt;&gt;1,1,COUNTIF(QCI!$A$13:$A$24,ORÇAMENTO!E207)),OFFSET($D207,1,$C207,ROW($C$244)-ROW($C207)),0))</f>
        <v>0</v>
      </c>
      <c r="L207" s="114" t="str">
        <f t="shared" ca="1" si="43"/>
        <v/>
      </c>
      <c r="M207" s="115" t="s">
        <v>705</v>
      </c>
      <c r="N207" s="116" t="str">
        <f t="shared" ca="1" si="44"/>
        <v>Serviço</v>
      </c>
      <c r="O207" s="117" t="str">
        <f t="shared" ca="1" si="45"/>
        <v>-</v>
      </c>
      <c r="P207" s="118" t="s">
        <v>750</v>
      </c>
      <c r="Q207" s="119" t="s">
        <v>1143</v>
      </c>
      <c r="R207" s="120" t="str" cm="1">
        <f t="array" aca="1" ref="R207" ca="1">IF($C207="S",REFERENCIA.Descricao,"(digite a descrição aqui)")</f>
        <v>(Código não identificado nas referências)</v>
      </c>
      <c r="S207" s="121" t="str" cm="1">
        <f t="array" aca="1" ref="S207" ca="1">REFERENCIA.Unidade</f>
        <v>-</v>
      </c>
      <c r="T207" s="122">
        <f ca="1">OFFSET(CÁLCULO!H$15,ROW($T207)-ROW(T$15),0)</f>
        <v>40</v>
      </c>
      <c r="U207" s="123">
        <f t="shared" ca="1" si="46"/>
        <v>0</v>
      </c>
      <c r="V207" s="124" t="s">
        <v>663</v>
      </c>
      <c r="W207" s="122" cm="1">
        <f t="array" aca="1" ref="W207" ca="1">IF($C207="S",ROUND(IF(TIPOORCAMENTO="Proposto",ORÇAMENTO.CustoUnitario*(1+$AH207),ORÇAMENTO.PrecoUnitarioLicitado),15-13*$AF$10),0)</f>
        <v>0</v>
      </c>
      <c r="X207" s="125" cm="1">
        <f t="array" aca="1" ref="X207" ca="1">IF($C207="S",IF(OR(Import.TipoArredondamento&lt;&gt;"TransfereGOV",ACOMPANHAMENTO="BM"),VTOTAL1,SUM(OFFSET(CÁLCULO!$AQ$15,ROW($X207)-ROW($X$15),1):OFFSET(CÁLCULO!$BR$15,ROW($X207)-ROW($X$15),-1))),IF($C207=0,0,ROUND(SomaAgrup,15-13*$AF$11)))</f>
        <v>0</v>
      </c>
      <c r="Y207" s="126" t="s">
        <v>751</v>
      </c>
      <c r="Z207" t="str">
        <f t="shared" ca="1" si="47"/>
        <v/>
      </c>
      <c r="AA207" s="127" cm="1">
        <f t="array" aca="1" ref="AA207" ca="1">IF($C207="S",IF($Z207="CP",$X207,IF($Z207="RA",(($X207)*QCI!$AA$3),0)),SomaAgrup)</f>
        <v>0</v>
      </c>
      <c r="AB207" s="128" cm="1">
        <f t="array" aca="1" ref="AB207" ca="1">IF($C207="S",IF($Z207="OU",ROUND($X207,2),0),SomaAgrup)</f>
        <v>0</v>
      </c>
      <c r="AC207" s="565" t="str" cm="1">
        <f t="array" aca="1" ref="AC207" ca="1">IF($N207=""," ",
IF(AND($C207&lt;&gt;"S",OR($R207="",$R207="(digite a descrição aqui)")),"DESCRIÇÃO",
IF(AND($C207="S",OR($Q207&lt;&gt;"",$T207&gt;0,$U207&gt;0),$P207=""),"FONTE",
IF(AND($C207="S",$P207&lt;&gt;"",OR($T207&gt;0,$U207&gt;0),$Q207=""),"CÓDIGO",
IF(AND($C207="S",$P207&lt;&gt;"",$Q207&lt;&gt;"",$R207="(Código não identificado nas referências)"),"CÓDIGO N/ID",
IF(AND($C207="S",OR($R207="",$R207="(digite a descrição aqui)"),OR($Q207&lt;&gt;"",$T207&gt;0,$U207&gt;0)),"DESCRIÇÃO",
IF(AND($C207="S",$P207&lt;&gt;"",$Q207&lt;&gt;"",$S207=""),"UNIDADE",
IF(AND($C207="S",$P207&lt;&gt;"",$Q207&lt;&gt;"",$U207=0),"SEM CUSTO",
IF(AND(TIPOORCAMENTO="Licitado",$AL207=0,$AN207&gt;0),"SEM PREÇO",
IF(AND($C207="S",$P207&lt;&gt;"",$Q207&lt;&gt;"",$U207&gt;0,AND($V207&lt;&gt;"BDI 1",$V207&lt;&gt;"BDI 2",$V207&lt;&gt;"BDI 3")),IF(ISNUMBER($V207),"JUSTIFICAR BDI","BDI"),
IF(OR(AND(import.recurso="OGU",TIPOORCAMENTO="Proposto",LEFT($O$8,5)&lt;&gt;"(N/D:",$AG207&lt;&gt;"",ORÇAMENTO.CustoUnitario&gt;$AG207),AND(TIPOORCAMENTO="LICITADO",ORÇAMENTO.PrecoUnitarioLicitado&gt;$AN207)),"ACIMA REF.",
IF(AND($C207="S",$P207&lt;&gt;"",$Q207&lt;&gt;"",$T207=0,$U207&gt;0),"QUANT.",
IF(AND(Import.TipoArredondamento="TransfereGOV",$L207="F",$C207="S",LEN($Q207)&gt;13),"Código &gt;13",
IF(AND(Import.TipoArredondamento="TransfereGOV",$L207="F",$C207&lt;&gt;"S",LEN($R207)&gt;100),"Descrição &gt;100",
IF(AND(Import.TipoArredondamento="TransfereGOV",$L207="F",$C207="S",LEN($R207)&gt;500),"Descrição &gt;500",
IF(AND(Import.TipoArredondamento="TransfereGOV",$L207="F",$C207="S",LEFT(TRIM(UPPER($P207)),6)&lt;&gt;"SINAPI",ISNA(VLOOKUP(TRIM(UPPER($S207)),ListaTgov.Unidades,1,FALSE))),"Unid. Não Disp",
" "))))))))))))))))</f>
        <v>CÓDIGO N/ID</v>
      </c>
      <c r="AD207" t="str">
        <f ca="1">IF(C207&lt;=CRONO.NivelExibicao,MAX($AD$15:OFFSET(AD207,-1,0))+IF($C207&lt;&gt;1,1,MAX(1,COUNTIF(QCI!$A$13:$A$24,OFFSET($E207,-1,0)))),"")</f>
        <v/>
      </c>
      <c r="AE207" s="7" t="str" cm="1">
        <f t="array" aca="1" ref="AE207" ca="1">IF(AND($C207="S",ORÇAMENTO.CodBarra&lt;&gt;""),IF(ORÇAMENTO.Fonte="",ORÇAMENTO.CodBarra,CONCATENATE(ORÇAMENTO.Fonte," ",ORÇAMENTO.CodBarra)))</f>
        <v>SINAPI 89724</v>
      </c>
      <c r="AF207" s="12" t="str" cm="1">
        <f t="array" aca="1" ref="AF207" ca="1">IF(ISERROR(ORÇAMENTO.BancoRef),"(abra o arquivo 'Referência "&amp;Excel_BuiltIn_Database&amp;".xlsm)",IF(OR($C207&lt;&gt;"S",ORÇAMENTO.CodBarra=""),"(Sem Código)",IF(ISERROR(MATCH($AE207,INDIRECT(ORÇAMENTO.BancoRef),0)),"(Código não identificado nas referências)",MATCH($AE207,INDIRECT(ORÇAMENTO.BancoRef),0))))</f>
        <v>(Código não identificado nas referências)</v>
      </c>
      <c r="AG207" s="428" cm="1">
        <f t="array" aca="1" ref="AG207" ca="1">ROUND(IF(DESONERACAO="sim",REFERENCIA.Desonerado,REFERENCIA.NaoDesonerado),2)</f>
        <v>0</v>
      </c>
      <c r="AH207" s="429">
        <f t="shared" ca="1" si="50"/>
        <v>0.2223</v>
      </c>
      <c r="AJ207" s="431"/>
      <c r="AL207" s="439"/>
      <c r="AM207" s="336">
        <f t="shared" ca="1" si="0"/>
        <v>0</v>
      </c>
      <c r="AN207" s="470" cm="1">
        <f t="array" aca="1" ref="AN207" ca="1">ROUND(ORÇAMENTO.CustoUnitario*(1+$AH207),2)</f>
        <v>0</v>
      </c>
    </row>
    <row r="208" spans="1:40" ht="38.25" x14ac:dyDescent="0.2">
      <c r="A208" t="str">
        <f t="shared" si="49"/>
        <v>S</v>
      </c>
      <c r="B208">
        <f t="shared" ca="1" si="36"/>
        <v>3</v>
      </c>
      <c r="C208" t="str">
        <f t="shared" ca="1" si="37"/>
        <v>S</v>
      </c>
      <c r="D208">
        <f t="shared" ca="1" si="38"/>
        <v>0</v>
      </c>
      <c r="E208">
        <f ca="1">IF($C208=1,OFFSET(E208,-1,0)+MAX(1,COUNTIF(QCI!$A$13:$A$24,OFFSET(ORÇAMENTO!E208,-1,0))),OFFSET(E208,-1,0))</f>
        <v>9</v>
      </c>
      <c r="F208">
        <f t="shared" ca="1" si="39"/>
        <v>3</v>
      </c>
      <c r="G208">
        <f t="shared" ca="1" si="40"/>
        <v>1</v>
      </c>
      <c r="H208">
        <f t="shared" ca="1" si="41"/>
        <v>0</v>
      </c>
      <c r="I208">
        <f t="shared" ca="1" si="42"/>
        <v>0</v>
      </c>
      <c r="J208">
        <f t="shared" ca="1" si="51"/>
        <v>0</v>
      </c>
      <c r="K208">
        <f ca="1">IF(OR($C208="S",$C208=0),0,MATCH(OFFSET($D208,0,$C208)+IF($C208&lt;&gt;1,1,COUNTIF(QCI!$A$13:$A$24,ORÇAMENTO!E208)),OFFSET($D208,1,$C208,ROW($C$244)-ROW($C208)),0))</f>
        <v>0</v>
      </c>
      <c r="L208" s="114" t="str">
        <f t="shared" ca="1" si="43"/>
        <v/>
      </c>
      <c r="M208" s="115" t="s">
        <v>705</v>
      </c>
      <c r="N208" s="116" t="str">
        <f t="shared" ca="1" si="44"/>
        <v>Serviço</v>
      </c>
      <c r="O208" s="117" t="str">
        <f t="shared" ca="1" si="45"/>
        <v>-</v>
      </c>
      <c r="P208" s="118" t="s">
        <v>750</v>
      </c>
      <c r="Q208" s="119" t="s">
        <v>1144</v>
      </c>
      <c r="R208" s="120" t="str" cm="1">
        <f t="array" aca="1" ref="R208" ca="1">IF($C208="S",REFERENCIA.Descricao,"(digite a descrição aqui)")</f>
        <v>(Código não identificado nas referências)</v>
      </c>
      <c r="S208" s="121" t="str" cm="1">
        <f t="array" aca="1" ref="S208" ca="1">REFERENCIA.Unidade</f>
        <v>-</v>
      </c>
      <c r="T208" s="122">
        <f ca="1">OFFSET(CÁLCULO!H$15,ROW($T208)-ROW(T$15),0)</f>
        <v>180</v>
      </c>
      <c r="U208" s="123">
        <f t="shared" ca="1" si="46"/>
        <v>0</v>
      </c>
      <c r="V208" s="124" t="s">
        <v>663</v>
      </c>
      <c r="W208" s="122" cm="1">
        <f t="array" aca="1" ref="W208" ca="1">IF($C208="S",ROUND(IF(TIPOORCAMENTO="Proposto",ORÇAMENTO.CustoUnitario*(1+$AH208),ORÇAMENTO.PrecoUnitarioLicitado),15-13*$AF$10),0)</f>
        <v>0</v>
      </c>
      <c r="X208" s="125" cm="1">
        <f t="array" aca="1" ref="X208" ca="1">IF($C208="S",IF(OR(Import.TipoArredondamento&lt;&gt;"TransfereGOV",ACOMPANHAMENTO="BM"),VTOTAL1,SUM(OFFSET(CÁLCULO!$AQ$15,ROW($X208)-ROW($X$15),1):OFFSET(CÁLCULO!$BR$15,ROW($X208)-ROW($X$15),-1))),IF($C208=0,0,ROUND(SomaAgrup,15-13*$AF$11)))</f>
        <v>0</v>
      </c>
      <c r="Y208" s="126" t="s">
        <v>751</v>
      </c>
      <c r="Z208" t="str">
        <f t="shared" ca="1" si="47"/>
        <v/>
      </c>
      <c r="AA208" s="127" cm="1">
        <f t="array" aca="1" ref="AA208" ca="1">IF($C208="S",IF($Z208="CP",$X208,IF($Z208="RA",(($X208)*QCI!$AA$3),0)),SomaAgrup)</f>
        <v>0</v>
      </c>
      <c r="AB208" s="128" cm="1">
        <f t="array" aca="1" ref="AB208" ca="1">IF($C208="S",IF($Z208="OU",ROUND($X208,2),0),SomaAgrup)</f>
        <v>0</v>
      </c>
      <c r="AC208" s="565" t="str" cm="1">
        <f t="array" aca="1" ref="AC208" ca="1">IF($N208=""," ",
IF(AND($C208&lt;&gt;"S",OR($R208="",$R208="(digite a descrição aqui)")),"DESCRIÇÃO",
IF(AND($C208="S",OR($Q208&lt;&gt;"",$T208&gt;0,$U208&gt;0),$P208=""),"FONTE",
IF(AND($C208="S",$P208&lt;&gt;"",OR($T208&gt;0,$U208&gt;0),$Q208=""),"CÓDIGO",
IF(AND($C208="S",$P208&lt;&gt;"",$Q208&lt;&gt;"",$R208="(Código não identificado nas referências)"),"CÓDIGO N/ID",
IF(AND($C208="S",OR($R208="",$R208="(digite a descrição aqui)"),OR($Q208&lt;&gt;"",$T208&gt;0,$U208&gt;0)),"DESCRIÇÃO",
IF(AND($C208="S",$P208&lt;&gt;"",$Q208&lt;&gt;"",$S208=""),"UNIDADE",
IF(AND($C208="S",$P208&lt;&gt;"",$Q208&lt;&gt;"",$U208=0),"SEM CUSTO",
IF(AND(TIPOORCAMENTO="Licitado",$AL208=0,$AN208&gt;0),"SEM PREÇO",
IF(AND($C208="S",$P208&lt;&gt;"",$Q208&lt;&gt;"",$U208&gt;0,AND($V208&lt;&gt;"BDI 1",$V208&lt;&gt;"BDI 2",$V208&lt;&gt;"BDI 3")),IF(ISNUMBER($V208),"JUSTIFICAR BDI","BDI"),
IF(OR(AND(import.recurso="OGU",TIPOORCAMENTO="Proposto",LEFT($O$8,5)&lt;&gt;"(N/D:",$AG208&lt;&gt;"",ORÇAMENTO.CustoUnitario&gt;$AG208),AND(TIPOORCAMENTO="LICITADO",ORÇAMENTO.PrecoUnitarioLicitado&gt;$AN208)),"ACIMA REF.",
IF(AND($C208="S",$P208&lt;&gt;"",$Q208&lt;&gt;"",$T208=0,$U208&gt;0),"QUANT.",
IF(AND(Import.TipoArredondamento="TransfereGOV",$L208="F",$C208="S",LEN($Q208)&gt;13),"Código &gt;13",
IF(AND(Import.TipoArredondamento="TransfereGOV",$L208="F",$C208&lt;&gt;"S",LEN($R208)&gt;100),"Descrição &gt;100",
IF(AND(Import.TipoArredondamento="TransfereGOV",$L208="F",$C208="S",LEN($R208)&gt;500),"Descrição &gt;500",
IF(AND(Import.TipoArredondamento="TransfereGOV",$L208="F",$C208="S",LEFT(TRIM(UPPER($P208)),6)&lt;&gt;"SINAPI",ISNA(VLOOKUP(TRIM(UPPER($S208)),ListaTgov.Unidades,1,FALSE))),"Unid. Não Disp",
" "))))))))))))))))</f>
        <v>CÓDIGO N/ID</v>
      </c>
      <c r="AD208" t="str">
        <f ca="1">IF(C208&lt;=CRONO.NivelExibicao,MAX($AD$15:OFFSET(AD208,-1,0))+IF($C208&lt;&gt;1,1,MAX(1,COUNTIF(QCI!$A$13:$A$24,OFFSET($E208,-1,0)))),"")</f>
        <v/>
      </c>
      <c r="AE208" s="7" t="str" cm="1">
        <f t="array" aca="1" ref="AE208" ca="1">IF(AND($C208="S",ORÇAMENTO.CodBarra&lt;&gt;""),IF(ORÇAMENTO.Fonte="",ORÇAMENTO.CodBarra,CONCATENATE(ORÇAMENTO.Fonte," ",ORÇAMENTO.CodBarra)))</f>
        <v>SINAPI 89731</v>
      </c>
      <c r="AF208" s="12" t="str" cm="1">
        <f t="array" aca="1" ref="AF208" ca="1">IF(ISERROR(ORÇAMENTO.BancoRef),"(abra o arquivo 'Referência "&amp;Excel_BuiltIn_Database&amp;".xlsm)",IF(OR($C208&lt;&gt;"S",ORÇAMENTO.CodBarra=""),"(Sem Código)",IF(ISERROR(MATCH($AE208,INDIRECT(ORÇAMENTO.BancoRef),0)),"(Código não identificado nas referências)",MATCH($AE208,INDIRECT(ORÇAMENTO.BancoRef),0))))</f>
        <v>(Código não identificado nas referências)</v>
      </c>
      <c r="AG208" s="428" cm="1">
        <f t="array" aca="1" ref="AG208" ca="1">ROUND(IF(DESONERACAO="sim",REFERENCIA.Desonerado,REFERENCIA.NaoDesonerado),2)</f>
        <v>0</v>
      </c>
      <c r="AH208" s="429">
        <f t="shared" ca="1" si="50"/>
        <v>0.2223</v>
      </c>
      <c r="AJ208" s="431"/>
      <c r="AL208" s="439"/>
      <c r="AM208" s="336">
        <f t="shared" ca="1" si="0"/>
        <v>0</v>
      </c>
      <c r="AN208" s="470" cm="1">
        <f t="array" aca="1" ref="AN208" ca="1">ROUND(ORÇAMENTO.CustoUnitario*(1+$AH208),2)</f>
        <v>0</v>
      </c>
    </row>
    <row r="209" spans="1:40" ht="38.25" x14ac:dyDescent="0.2">
      <c r="A209" t="str">
        <f t="shared" si="49"/>
        <v>S</v>
      </c>
      <c r="B209">
        <f t="shared" ca="1" si="36"/>
        <v>3</v>
      </c>
      <c r="C209" t="str">
        <f t="shared" ca="1" si="37"/>
        <v>S</v>
      </c>
      <c r="D209">
        <f t="shared" ca="1" si="38"/>
        <v>0</v>
      </c>
      <c r="E209">
        <f ca="1">IF($C209=1,OFFSET(E209,-1,0)+MAX(1,COUNTIF(QCI!$A$13:$A$24,OFFSET(ORÇAMENTO!E209,-1,0))),OFFSET(E209,-1,0))</f>
        <v>9</v>
      </c>
      <c r="F209">
        <f t="shared" ca="1" si="39"/>
        <v>3</v>
      </c>
      <c r="G209">
        <f t="shared" ca="1" si="40"/>
        <v>1</v>
      </c>
      <c r="H209">
        <f t="shared" ca="1" si="41"/>
        <v>0</v>
      </c>
      <c r="I209">
        <f t="shared" ca="1" si="42"/>
        <v>0</v>
      </c>
      <c r="J209">
        <f t="shared" ca="1" si="51"/>
        <v>0</v>
      </c>
      <c r="K209">
        <f ca="1">IF(OR($C209="S",$C209=0),0,MATCH(OFFSET($D209,0,$C209)+IF($C209&lt;&gt;1,1,COUNTIF(QCI!$A$13:$A$24,ORÇAMENTO!E209)),OFFSET($D209,1,$C209,ROW($C$244)-ROW($C209)),0))</f>
        <v>0</v>
      </c>
      <c r="L209" s="114" t="str">
        <f t="shared" ca="1" si="43"/>
        <v/>
      </c>
      <c r="M209" s="115" t="s">
        <v>705</v>
      </c>
      <c r="N209" s="116" t="str">
        <f t="shared" ca="1" si="44"/>
        <v>Serviço</v>
      </c>
      <c r="O209" s="117" t="str">
        <f t="shared" ca="1" si="45"/>
        <v>-</v>
      </c>
      <c r="P209" s="118" t="s">
        <v>750</v>
      </c>
      <c r="Q209" s="119" t="s">
        <v>1145</v>
      </c>
      <c r="R209" s="120" t="str" cm="1">
        <f t="array" aca="1" ref="R209" ca="1">IF($C209="S",REFERENCIA.Descricao,"(digite a descrição aqui)")</f>
        <v>(Código não identificado nas referências)</v>
      </c>
      <c r="S209" s="121" t="str" cm="1">
        <f t="array" aca="1" ref="S209" ca="1">REFERENCIA.Unidade</f>
        <v>-</v>
      </c>
      <c r="T209" s="122">
        <f ca="1">OFFSET(CÁLCULO!H$15,ROW($T209)-ROW(T$15),0)</f>
        <v>20</v>
      </c>
      <c r="U209" s="123">
        <f t="shared" ca="1" si="46"/>
        <v>0</v>
      </c>
      <c r="V209" s="124" t="s">
        <v>663</v>
      </c>
      <c r="W209" s="122" cm="1">
        <f t="array" aca="1" ref="W209" ca="1">IF($C209="S",ROUND(IF(TIPOORCAMENTO="Proposto",ORÇAMENTO.CustoUnitario*(1+$AH209),ORÇAMENTO.PrecoUnitarioLicitado),15-13*$AF$10),0)</f>
        <v>0</v>
      </c>
      <c r="X209" s="125" cm="1">
        <f t="array" aca="1" ref="X209" ca="1">IF($C209="S",IF(OR(Import.TipoArredondamento&lt;&gt;"TransfereGOV",ACOMPANHAMENTO="BM"),VTOTAL1,SUM(OFFSET(CÁLCULO!$AQ$15,ROW($X209)-ROW($X$15),1):OFFSET(CÁLCULO!$BR$15,ROW($X209)-ROW($X$15),-1))),IF($C209=0,0,ROUND(SomaAgrup,15-13*$AF$11)))</f>
        <v>0</v>
      </c>
      <c r="Y209" s="126" t="s">
        <v>751</v>
      </c>
      <c r="Z209" t="str">
        <f t="shared" ca="1" si="47"/>
        <v/>
      </c>
      <c r="AA209" s="127" cm="1">
        <f t="array" aca="1" ref="AA209" ca="1">IF($C209="S",IF($Z209="CP",$X209,IF($Z209="RA",(($X209)*QCI!$AA$3),0)),SomaAgrup)</f>
        <v>0</v>
      </c>
      <c r="AB209" s="128" cm="1">
        <f t="array" aca="1" ref="AB209" ca="1">IF($C209="S",IF($Z209="OU",ROUND($X209,2),0),SomaAgrup)</f>
        <v>0</v>
      </c>
      <c r="AC209" s="565" t="str" cm="1">
        <f t="array" aca="1" ref="AC209" ca="1">IF($N209=""," ",
IF(AND($C209&lt;&gt;"S",OR($R209="",$R209="(digite a descrição aqui)")),"DESCRIÇÃO",
IF(AND($C209="S",OR($Q209&lt;&gt;"",$T209&gt;0,$U209&gt;0),$P209=""),"FONTE",
IF(AND($C209="S",$P209&lt;&gt;"",OR($T209&gt;0,$U209&gt;0),$Q209=""),"CÓDIGO",
IF(AND($C209="S",$P209&lt;&gt;"",$Q209&lt;&gt;"",$R209="(Código não identificado nas referências)"),"CÓDIGO N/ID",
IF(AND($C209="S",OR($R209="",$R209="(digite a descrição aqui)"),OR($Q209&lt;&gt;"",$T209&gt;0,$U209&gt;0)),"DESCRIÇÃO",
IF(AND($C209="S",$P209&lt;&gt;"",$Q209&lt;&gt;"",$S209=""),"UNIDADE",
IF(AND($C209="S",$P209&lt;&gt;"",$Q209&lt;&gt;"",$U209=0),"SEM CUSTO",
IF(AND(TIPOORCAMENTO="Licitado",$AL209=0,$AN209&gt;0),"SEM PREÇO",
IF(AND($C209="S",$P209&lt;&gt;"",$Q209&lt;&gt;"",$U209&gt;0,AND($V209&lt;&gt;"BDI 1",$V209&lt;&gt;"BDI 2",$V209&lt;&gt;"BDI 3")),IF(ISNUMBER($V209),"JUSTIFICAR BDI","BDI"),
IF(OR(AND(import.recurso="OGU",TIPOORCAMENTO="Proposto",LEFT($O$8,5)&lt;&gt;"(N/D:",$AG209&lt;&gt;"",ORÇAMENTO.CustoUnitario&gt;$AG209),AND(TIPOORCAMENTO="LICITADO",ORÇAMENTO.PrecoUnitarioLicitado&gt;$AN209)),"ACIMA REF.",
IF(AND($C209="S",$P209&lt;&gt;"",$Q209&lt;&gt;"",$T209=0,$U209&gt;0),"QUANT.",
IF(AND(Import.TipoArredondamento="TransfereGOV",$L209="F",$C209="S",LEN($Q209)&gt;13),"Código &gt;13",
IF(AND(Import.TipoArredondamento="TransfereGOV",$L209="F",$C209&lt;&gt;"S",LEN($R209)&gt;100),"Descrição &gt;100",
IF(AND(Import.TipoArredondamento="TransfereGOV",$L209="F",$C209="S",LEN($R209)&gt;500),"Descrição &gt;500",
IF(AND(Import.TipoArredondamento="TransfereGOV",$L209="F",$C209="S",LEFT(TRIM(UPPER($P209)),6)&lt;&gt;"SINAPI",ISNA(VLOOKUP(TRIM(UPPER($S209)),ListaTgov.Unidades,1,FALSE))),"Unid. Não Disp",
" "))))))))))))))))</f>
        <v>CÓDIGO N/ID</v>
      </c>
      <c r="AD209" t="str">
        <f ca="1">IF(C209&lt;=CRONO.NivelExibicao,MAX($AD$15:OFFSET(AD209,-1,0))+IF($C209&lt;&gt;1,1,MAX(1,COUNTIF(QCI!$A$13:$A$24,OFFSET($E209,-1,0)))),"")</f>
        <v/>
      </c>
      <c r="AE209" s="7" t="str" cm="1">
        <f t="array" aca="1" ref="AE209" ca="1">IF(AND($C209="S",ORÇAMENTO.CodBarra&lt;&gt;""),IF(ORÇAMENTO.Fonte="",ORÇAMENTO.CodBarra,CONCATENATE(ORÇAMENTO.Fonte," ",ORÇAMENTO.CodBarra)))</f>
        <v>SINAPI 89744</v>
      </c>
      <c r="AF209" s="12" t="str" cm="1">
        <f t="array" aca="1" ref="AF209" ca="1">IF(ISERROR(ORÇAMENTO.BancoRef),"(abra o arquivo 'Referência "&amp;Excel_BuiltIn_Database&amp;".xlsm)",IF(OR($C209&lt;&gt;"S",ORÇAMENTO.CodBarra=""),"(Sem Código)",IF(ISERROR(MATCH($AE209,INDIRECT(ORÇAMENTO.BancoRef),0)),"(Código não identificado nas referências)",MATCH($AE209,INDIRECT(ORÇAMENTO.BancoRef),0))))</f>
        <v>(Código não identificado nas referências)</v>
      </c>
      <c r="AG209" s="428" cm="1">
        <f t="array" aca="1" ref="AG209" ca="1">ROUND(IF(DESONERACAO="sim",REFERENCIA.Desonerado,REFERENCIA.NaoDesonerado),2)</f>
        <v>0</v>
      </c>
      <c r="AH209" s="429">
        <f t="shared" ca="1" si="50"/>
        <v>0.2223</v>
      </c>
      <c r="AJ209" s="431"/>
      <c r="AL209" s="439"/>
      <c r="AM209" s="336">
        <f t="shared" ca="1" si="0"/>
        <v>0</v>
      </c>
      <c r="AN209" s="470" cm="1">
        <f t="array" aca="1" ref="AN209" ca="1">ROUND(ORÇAMENTO.CustoUnitario*(1+$AH209),2)</f>
        <v>0</v>
      </c>
    </row>
    <row r="210" spans="1:40" ht="38.25" x14ac:dyDescent="0.2">
      <c r="A210" t="str">
        <f t="shared" si="49"/>
        <v>S</v>
      </c>
      <c r="B210">
        <f t="shared" ca="1" si="36"/>
        <v>3</v>
      </c>
      <c r="C210" t="str">
        <f t="shared" ca="1" si="37"/>
        <v>S</v>
      </c>
      <c r="D210">
        <f t="shared" ca="1" si="38"/>
        <v>0</v>
      </c>
      <c r="E210">
        <f ca="1">IF($C210=1,OFFSET(E210,-1,0)+MAX(1,COUNTIF(QCI!$A$13:$A$24,OFFSET(ORÇAMENTO!E210,-1,0))),OFFSET(E210,-1,0))</f>
        <v>9</v>
      </c>
      <c r="F210">
        <f t="shared" ca="1" si="39"/>
        <v>3</v>
      </c>
      <c r="G210">
        <f t="shared" ca="1" si="40"/>
        <v>1</v>
      </c>
      <c r="H210">
        <f t="shared" ca="1" si="41"/>
        <v>0</v>
      </c>
      <c r="I210">
        <f t="shared" ca="1" si="42"/>
        <v>0</v>
      </c>
      <c r="J210">
        <f t="shared" ca="1" si="51"/>
        <v>0</v>
      </c>
      <c r="K210">
        <f ca="1">IF(OR($C210="S",$C210=0),0,MATCH(OFFSET($D210,0,$C210)+IF($C210&lt;&gt;1,1,COUNTIF(QCI!$A$13:$A$24,ORÇAMENTO!E210)),OFFSET($D210,1,$C210,ROW($C$244)-ROW($C210)),0))</f>
        <v>0</v>
      </c>
      <c r="L210" s="114" t="str">
        <f t="shared" ca="1" si="43"/>
        <v/>
      </c>
      <c r="M210" s="115" t="s">
        <v>705</v>
      </c>
      <c r="N210" s="116" t="str">
        <f t="shared" ca="1" si="44"/>
        <v>Serviço</v>
      </c>
      <c r="O210" s="117" t="str">
        <f t="shared" ca="1" si="45"/>
        <v>-</v>
      </c>
      <c r="P210" s="118" t="s">
        <v>750</v>
      </c>
      <c r="Q210" s="119" t="s">
        <v>1146</v>
      </c>
      <c r="R210" s="120" t="str" cm="1">
        <f t="array" aca="1" ref="R210" ca="1">IF($C210="S",REFERENCIA.Descricao,"(digite a descrição aqui)")</f>
        <v>(Código não identificado nas referências)</v>
      </c>
      <c r="S210" s="121" t="str" cm="1">
        <f t="array" aca="1" ref="S210" ca="1">REFERENCIA.Unidade</f>
        <v>-</v>
      </c>
      <c r="T210" s="122">
        <f ca="1">OFFSET(CÁLCULO!H$15,ROW($T210)-ROW(T$15),0)</f>
        <v>20</v>
      </c>
      <c r="U210" s="123">
        <f t="shared" ca="1" si="46"/>
        <v>0</v>
      </c>
      <c r="V210" s="124" t="s">
        <v>663</v>
      </c>
      <c r="W210" s="122" cm="1">
        <f t="array" aca="1" ref="W210" ca="1">IF($C210="S",ROUND(IF(TIPOORCAMENTO="Proposto",ORÇAMENTO.CustoUnitario*(1+$AH210),ORÇAMENTO.PrecoUnitarioLicitado),15-13*$AF$10),0)</f>
        <v>0</v>
      </c>
      <c r="X210" s="125" cm="1">
        <f t="array" aca="1" ref="X210" ca="1">IF($C210="S",IF(OR(Import.TipoArredondamento&lt;&gt;"TransfereGOV",ACOMPANHAMENTO="BM"),VTOTAL1,SUM(OFFSET(CÁLCULO!$AQ$15,ROW($X210)-ROW($X$15),1):OFFSET(CÁLCULO!$BR$15,ROW($X210)-ROW($X$15),-1))),IF($C210=0,0,ROUND(SomaAgrup,15-13*$AF$11)))</f>
        <v>0</v>
      </c>
      <c r="Y210" s="126" t="s">
        <v>751</v>
      </c>
      <c r="Z210" t="str">
        <f t="shared" ca="1" si="47"/>
        <v/>
      </c>
      <c r="AA210" s="127" cm="1">
        <f t="array" aca="1" ref="AA210" ca="1">IF($C210="S",IF($Z210="CP",$X210,IF($Z210="RA",(($X210)*QCI!$AA$3),0)),SomaAgrup)</f>
        <v>0</v>
      </c>
      <c r="AB210" s="128" cm="1">
        <f t="array" aca="1" ref="AB210" ca="1">IF($C210="S",IF($Z210="OU",ROUND($X210,2),0),SomaAgrup)</f>
        <v>0</v>
      </c>
      <c r="AC210" s="565" t="str" cm="1">
        <f t="array" aca="1" ref="AC210" ca="1">IF($N210=""," ",
IF(AND($C210&lt;&gt;"S",OR($R210="",$R210="(digite a descrição aqui)")),"DESCRIÇÃO",
IF(AND($C210="S",OR($Q210&lt;&gt;"",$T210&gt;0,$U210&gt;0),$P210=""),"FONTE",
IF(AND($C210="S",$P210&lt;&gt;"",OR($T210&gt;0,$U210&gt;0),$Q210=""),"CÓDIGO",
IF(AND($C210="S",$P210&lt;&gt;"",$Q210&lt;&gt;"",$R210="(Código não identificado nas referências)"),"CÓDIGO N/ID",
IF(AND($C210="S",OR($R210="",$R210="(digite a descrição aqui)"),OR($Q210&lt;&gt;"",$T210&gt;0,$U210&gt;0)),"DESCRIÇÃO",
IF(AND($C210="S",$P210&lt;&gt;"",$Q210&lt;&gt;"",$S210=""),"UNIDADE",
IF(AND($C210="S",$P210&lt;&gt;"",$Q210&lt;&gt;"",$U210=0),"SEM CUSTO",
IF(AND(TIPOORCAMENTO="Licitado",$AL210=0,$AN210&gt;0),"SEM PREÇO",
IF(AND($C210="S",$P210&lt;&gt;"",$Q210&lt;&gt;"",$U210&gt;0,AND($V210&lt;&gt;"BDI 1",$V210&lt;&gt;"BDI 2",$V210&lt;&gt;"BDI 3")),IF(ISNUMBER($V210),"JUSTIFICAR BDI","BDI"),
IF(OR(AND(import.recurso="OGU",TIPOORCAMENTO="Proposto",LEFT($O$8,5)&lt;&gt;"(N/D:",$AG210&lt;&gt;"",ORÇAMENTO.CustoUnitario&gt;$AG210),AND(TIPOORCAMENTO="LICITADO",ORÇAMENTO.PrecoUnitarioLicitado&gt;$AN210)),"ACIMA REF.",
IF(AND($C210="S",$P210&lt;&gt;"",$Q210&lt;&gt;"",$T210=0,$U210&gt;0),"QUANT.",
IF(AND(Import.TipoArredondamento="TransfereGOV",$L210="F",$C210="S",LEN($Q210)&gt;13),"Código &gt;13",
IF(AND(Import.TipoArredondamento="TransfereGOV",$L210="F",$C210&lt;&gt;"S",LEN($R210)&gt;100),"Descrição &gt;100",
IF(AND(Import.TipoArredondamento="TransfereGOV",$L210="F",$C210="S",LEN($R210)&gt;500),"Descrição &gt;500",
IF(AND(Import.TipoArredondamento="TransfereGOV",$L210="F",$C210="S",LEFT(TRIM(UPPER($P210)),6)&lt;&gt;"SINAPI",ISNA(VLOOKUP(TRIM(UPPER($S210)),ListaTgov.Unidades,1,FALSE))),"Unid. Não Disp",
" "))))))))))))))))</f>
        <v>CÓDIGO N/ID</v>
      </c>
      <c r="AD210" t="str">
        <f ca="1">IF(C210&lt;=CRONO.NivelExibicao,MAX($AD$15:OFFSET(AD210,-1,0))+IF($C210&lt;&gt;1,1,MAX(1,COUNTIF(QCI!$A$13:$A$24,OFFSET($E210,-1,0)))),"")</f>
        <v/>
      </c>
      <c r="AE210" s="7" t="str" cm="1">
        <f t="array" aca="1" ref="AE210" ca="1">IF(AND($C210="S",ORÇAMENTO.CodBarra&lt;&gt;""),IF(ORÇAMENTO.Fonte="",ORÇAMENTO.CodBarra,CONCATENATE(ORÇAMENTO.Fonte," ",ORÇAMENTO.CodBarra)))</f>
        <v>SINAPI 89784</v>
      </c>
      <c r="AF210" s="12" t="str" cm="1">
        <f t="array" aca="1" ref="AF210" ca="1">IF(ISERROR(ORÇAMENTO.BancoRef),"(abra o arquivo 'Referência "&amp;Excel_BuiltIn_Database&amp;".xlsm)",IF(OR($C210&lt;&gt;"S",ORÇAMENTO.CodBarra=""),"(Sem Código)",IF(ISERROR(MATCH($AE210,INDIRECT(ORÇAMENTO.BancoRef),0)),"(Código não identificado nas referências)",MATCH($AE210,INDIRECT(ORÇAMENTO.BancoRef),0))))</f>
        <v>(Código não identificado nas referências)</v>
      </c>
      <c r="AG210" s="428" cm="1">
        <f t="array" aca="1" ref="AG210" ca="1">ROUND(IF(DESONERACAO="sim",REFERENCIA.Desonerado,REFERENCIA.NaoDesonerado),2)</f>
        <v>0</v>
      </c>
      <c r="AH210" s="429">
        <f t="shared" ca="1" si="50"/>
        <v>0.2223</v>
      </c>
      <c r="AJ210" s="431"/>
      <c r="AL210" s="439"/>
      <c r="AM210" s="336">
        <f t="shared" ca="1" si="0"/>
        <v>0</v>
      </c>
      <c r="AN210" s="470" cm="1">
        <f t="array" aca="1" ref="AN210" ca="1">ROUND(ORÇAMENTO.CustoUnitario*(1+$AH210),2)</f>
        <v>0</v>
      </c>
    </row>
    <row r="211" spans="1:40" ht="51" x14ac:dyDescent="0.2">
      <c r="A211" t="str">
        <f t="shared" si="49"/>
        <v>S</v>
      </c>
      <c r="B211">
        <f t="shared" ca="1" si="36"/>
        <v>3</v>
      </c>
      <c r="C211" t="str">
        <f t="shared" ca="1" si="37"/>
        <v>S</v>
      </c>
      <c r="D211">
        <f t="shared" ca="1" si="38"/>
        <v>0</v>
      </c>
      <c r="E211">
        <f ca="1">IF($C211=1,OFFSET(E211,-1,0)+MAX(1,COUNTIF(QCI!$A$13:$A$24,OFFSET(ORÇAMENTO!E211,-1,0))),OFFSET(E211,-1,0))</f>
        <v>9</v>
      </c>
      <c r="F211">
        <f t="shared" ca="1" si="39"/>
        <v>3</v>
      </c>
      <c r="G211">
        <f t="shared" ca="1" si="40"/>
        <v>1</v>
      </c>
      <c r="H211">
        <f t="shared" ca="1" si="41"/>
        <v>0</v>
      </c>
      <c r="I211">
        <f t="shared" ca="1" si="42"/>
        <v>0</v>
      </c>
      <c r="J211">
        <f t="shared" ca="1" si="51"/>
        <v>0</v>
      </c>
      <c r="K211">
        <f ca="1">IF(OR($C211="S",$C211=0),0,MATCH(OFFSET($D211,0,$C211)+IF($C211&lt;&gt;1,1,COUNTIF(QCI!$A$13:$A$24,ORÇAMENTO!E211)),OFFSET($D211,1,$C211,ROW($C$244)-ROW($C211)),0))</f>
        <v>0</v>
      </c>
      <c r="L211" s="114" t="str">
        <f t="shared" ca="1" si="43"/>
        <v/>
      </c>
      <c r="M211" s="115" t="s">
        <v>705</v>
      </c>
      <c r="N211" s="116" t="str">
        <f t="shared" ca="1" si="44"/>
        <v>Serviço</v>
      </c>
      <c r="O211" s="117" t="str">
        <f t="shared" ca="1" si="45"/>
        <v>-</v>
      </c>
      <c r="P211" s="118" t="s">
        <v>750</v>
      </c>
      <c r="Q211" s="119" t="s">
        <v>1147</v>
      </c>
      <c r="R211" s="120" t="str" cm="1">
        <f t="array" aca="1" ref="R211" ca="1">IF($C211="S",REFERENCIA.Descricao,"(digite a descrição aqui)")</f>
        <v>(Código não identificado nas referências)</v>
      </c>
      <c r="S211" s="121" t="str" cm="1">
        <f t="array" aca="1" ref="S211" ca="1">REFERENCIA.Unidade</f>
        <v>-</v>
      </c>
      <c r="T211" s="122">
        <f ca="1">OFFSET(CÁLCULO!H$15,ROW($T211)-ROW(T$15),0)</f>
        <v>20</v>
      </c>
      <c r="U211" s="123">
        <f t="shared" ca="1" si="46"/>
        <v>0</v>
      </c>
      <c r="V211" s="124" t="s">
        <v>663</v>
      </c>
      <c r="W211" s="122" cm="1">
        <f t="array" aca="1" ref="W211" ca="1">IF($C211="S",ROUND(IF(TIPOORCAMENTO="Proposto",ORÇAMENTO.CustoUnitario*(1+$AH211),ORÇAMENTO.PrecoUnitarioLicitado),15-13*$AF$10),0)</f>
        <v>0</v>
      </c>
      <c r="X211" s="125" cm="1">
        <f t="array" aca="1" ref="X211" ca="1">IF($C211="S",IF(OR(Import.TipoArredondamento&lt;&gt;"TransfereGOV",ACOMPANHAMENTO="BM"),VTOTAL1,SUM(OFFSET(CÁLCULO!$AQ$15,ROW($X211)-ROW($X$15),1):OFFSET(CÁLCULO!$BR$15,ROW($X211)-ROW($X$15),-1))),IF($C211=0,0,ROUND(SomaAgrup,15-13*$AF$11)))</f>
        <v>0</v>
      </c>
      <c r="Y211" s="126" t="s">
        <v>751</v>
      </c>
      <c r="Z211" t="str">
        <f t="shared" ca="1" si="47"/>
        <v/>
      </c>
      <c r="AA211" s="127" cm="1">
        <f t="array" aca="1" ref="AA211" ca="1">IF($C211="S",IF($Z211="CP",$X211,IF($Z211="RA",(($X211)*QCI!$AA$3),0)),SomaAgrup)</f>
        <v>0</v>
      </c>
      <c r="AB211" s="128" cm="1">
        <f t="array" aca="1" ref="AB211" ca="1">IF($C211="S",IF($Z211="OU",ROUND($X211,2),0),SomaAgrup)</f>
        <v>0</v>
      </c>
      <c r="AC211" s="565" t="str" cm="1">
        <f t="array" aca="1" ref="AC211" ca="1">IF($N211=""," ",
IF(AND($C211&lt;&gt;"S",OR($R211="",$R211="(digite a descrição aqui)")),"DESCRIÇÃO",
IF(AND($C211="S",OR($Q211&lt;&gt;"",$T211&gt;0,$U211&gt;0),$P211=""),"FONTE",
IF(AND($C211="S",$P211&lt;&gt;"",OR($T211&gt;0,$U211&gt;0),$Q211=""),"CÓDIGO",
IF(AND($C211="S",$P211&lt;&gt;"",$Q211&lt;&gt;"",$R211="(Código não identificado nas referências)"),"CÓDIGO N/ID",
IF(AND($C211="S",OR($R211="",$R211="(digite a descrição aqui)"),OR($Q211&lt;&gt;"",$T211&gt;0,$U211&gt;0)),"DESCRIÇÃO",
IF(AND($C211="S",$P211&lt;&gt;"",$Q211&lt;&gt;"",$S211=""),"UNIDADE",
IF(AND($C211="S",$P211&lt;&gt;"",$Q211&lt;&gt;"",$U211=0),"SEM CUSTO",
IF(AND(TIPOORCAMENTO="Licitado",$AL211=0,$AN211&gt;0),"SEM PREÇO",
IF(AND($C211="S",$P211&lt;&gt;"",$Q211&lt;&gt;"",$U211&gt;0,AND($V211&lt;&gt;"BDI 1",$V211&lt;&gt;"BDI 2",$V211&lt;&gt;"BDI 3")),IF(ISNUMBER($V211),"JUSTIFICAR BDI","BDI"),
IF(OR(AND(import.recurso="OGU",TIPOORCAMENTO="Proposto",LEFT($O$8,5)&lt;&gt;"(N/D:",$AG211&lt;&gt;"",ORÇAMENTO.CustoUnitario&gt;$AG211),AND(TIPOORCAMENTO="LICITADO",ORÇAMENTO.PrecoUnitarioLicitado&gt;$AN211)),"ACIMA REF.",
IF(AND($C211="S",$P211&lt;&gt;"",$Q211&lt;&gt;"",$T211=0,$U211&gt;0),"QUANT.",
IF(AND(Import.TipoArredondamento="TransfereGOV",$L211="F",$C211="S",LEN($Q211)&gt;13),"Código &gt;13",
IF(AND(Import.TipoArredondamento="TransfereGOV",$L211="F",$C211&lt;&gt;"S",LEN($R211)&gt;100),"Descrição &gt;100",
IF(AND(Import.TipoArredondamento="TransfereGOV",$L211="F",$C211="S",LEN($R211)&gt;500),"Descrição &gt;500",
IF(AND(Import.TipoArredondamento="TransfereGOV",$L211="F",$C211="S",LEFT(TRIM(UPPER($P211)),6)&lt;&gt;"SINAPI",ISNA(VLOOKUP(TRIM(UPPER($S211)),ListaTgov.Unidades,1,FALSE))),"Unid. Não Disp",
" "))))))))))))))))</f>
        <v>CÓDIGO N/ID</v>
      </c>
      <c r="AD211" t="str">
        <f ca="1">IF(C211&lt;=CRONO.NivelExibicao,MAX($AD$15:OFFSET(AD211,-1,0))+IF($C211&lt;&gt;1,1,MAX(1,COUNTIF(QCI!$A$13:$A$24,OFFSET($E211,-1,0)))),"")</f>
        <v/>
      </c>
      <c r="AE211" s="7" t="str" cm="1">
        <f t="array" aca="1" ref="AE211" ca="1">IF(AND($C211="S",ORÇAMENTO.CodBarra&lt;&gt;""),IF(ORÇAMENTO.Fonte="",ORÇAMENTO.CodBarra,CONCATENATE(ORÇAMENTO.Fonte," ",ORÇAMENTO.CodBarra)))</f>
        <v>SINAPI 104345</v>
      </c>
      <c r="AF211" s="12" t="str" cm="1">
        <f t="array" aca="1" ref="AF211" ca="1">IF(ISERROR(ORÇAMENTO.BancoRef),"(abra o arquivo 'Referência "&amp;Excel_BuiltIn_Database&amp;".xlsm)",IF(OR($C211&lt;&gt;"S",ORÇAMENTO.CodBarra=""),"(Sem Código)",IF(ISERROR(MATCH($AE211,INDIRECT(ORÇAMENTO.BancoRef),0)),"(Código não identificado nas referências)",MATCH($AE211,INDIRECT(ORÇAMENTO.BancoRef),0))))</f>
        <v>(Código não identificado nas referências)</v>
      </c>
      <c r="AG211" s="428" cm="1">
        <f t="array" aca="1" ref="AG211" ca="1">ROUND(IF(DESONERACAO="sim",REFERENCIA.Desonerado,REFERENCIA.NaoDesonerado),2)</f>
        <v>0</v>
      </c>
      <c r="AH211" s="429">
        <f t="shared" ca="1" si="50"/>
        <v>0.2223</v>
      </c>
      <c r="AJ211" s="431"/>
      <c r="AL211" s="439"/>
      <c r="AM211" s="336">
        <f t="shared" ca="1" si="0"/>
        <v>0</v>
      </c>
      <c r="AN211" s="470" cm="1">
        <f t="array" aca="1" ref="AN211" ca="1">ROUND(ORÇAMENTO.CustoUnitario*(1+$AH211),2)</f>
        <v>0</v>
      </c>
    </row>
    <row r="212" spans="1:40" ht="38.25" x14ac:dyDescent="0.2">
      <c r="A212" t="str">
        <f t="shared" si="49"/>
        <v>S</v>
      </c>
      <c r="B212">
        <f t="shared" ca="1" si="36"/>
        <v>3</v>
      </c>
      <c r="C212" t="str">
        <f t="shared" ca="1" si="37"/>
        <v>S</v>
      </c>
      <c r="D212">
        <f t="shared" ca="1" si="38"/>
        <v>0</v>
      </c>
      <c r="E212">
        <f ca="1">IF($C212=1,OFFSET(E212,-1,0)+MAX(1,COUNTIF(QCI!$A$13:$A$24,OFFSET(ORÇAMENTO!E212,-1,0))),OFFSET(E212,-1,0))</f>
        <v>9</v>
      </c>
      <c r="F212">
        <f t="shared" ca="1" si="39"/>
        <v>3</v>
      </c>
      <c r="G212">
        <f t="shared" ca="1" si="40"/>
        <v>1</v>
      </c>
      <c r="H212">
        <f t="shared" ca="1" si="41"/>
        <v>0</v>
      </c>
      <c r="I212">
        <f t="shared" ca="1" si="42"/>
        <v>0</v>
      </c>
      <c r="J212">
        <f t="shared" ca="1" si="51"/>
        <v>0</v>
      </c>
      <c r="K212">
        <f ca="1">IF(OR($C212="S",$C212=0),0,MATCH(OFFSET($D212,0,$C212)+IF($C212&lt;&gt;1,1,COUNTIF(QCI!$A$13:$A$24,ORÇAMENTO!E212)),OFFSET($D212,1,$C212,ROW($C$244)-ROW($C212)),0))</f>
        <v>0</v>
      </c>
      <c r="L212" s="114" t="str">
        <f t="shared" ca="1" si="43"/>
        <v/>
      </c>
      <c r="M212" s="115" t="s">
        <v>705</v>
      </c>
      <c r="N212" s="116" t="str">
        <f t="shared" ca="1" si="44"/>
        <v>Serviço</v>
      </c>
      <c r="O212" s="117" t="str">
        <f t="shared" ca="1" si="45"/>
        <v>-</v>
      </c>
      <c r="P212" s="118" t="s">
        <v>750</v>
      </c>
      <c r="Q212" s="119" t="s">
        <v>1148</v>
      </c>
      <c r="R212" s="120" t="str" cm="1">
        <f t="array" aca="1" ref="R212" ca="1">IF($C212="S",REFERENCIA.Descricao,"(digite a descrição aqui)")</f>
        <v>(Código não identificado nas referências)</v>
      </c>
      <c r="S212" s="121" t="str" cm="1">
        <f t="array" aca="1" ref="S212" ca="1">REFERENCIA.Unidade</f>
        <v>-</v>
      </c>
      <c r="T212" s="122">
        <f ca="1">OFFSET(CÁLCULO!H$15,ROW($T212)-ROW(T$15),0)</f>
        <v>20</v>
      </c>
      <c r="U212" s="123">
        <f t="shared" ca="1" si="46"/>
        <v>0</v>
      </c>
      <c r="V212" s="124" t="s">
        <v>663</v>
      </c>
      <c r="W212" s="122" cm="1">
        <f t="array" aca="1" ref="W212" ca="1">IF($C212="S",ROUND(IF(TIPOORCAMENTO="Proposto",ORÇAMENTO.CustoUnitario*(1+$AH212),ORÇAMENTO.PrecoUnitarioLicitado),15-13*$AF$10),0)</f>
        <v>0</v>
      </c>
      <c r="X212" s="125" cm="1">
        <f t="array" aca="1" ref="X212" ca="1">IF($C212="S",IF(OR(Import.TipoArredondamento&lt;&gt;"TransfereGOV",ACOMPANHAMENTO="BM"),VTOTAL1,SUM(OFFSET(CÁLCULO!$AQ$15,ROW($X212)-ROW($X$15),1):OFFSET(CÁLCULO!$BR$15,ROW($X212)-ROW($X$15),-1))),IF($C212=0,0,ROUND(SomaAgrup,15-13*$AF$11)))</f>
        <v>0</v>
      </c>
      <c r="Y212" s="126" t="s">
        <v>751</v>
      </c>
      <c r="Z212" t="str">
        <f t="shared" ca="1" si="47"/>
        <v/>
      </c>
      <c r="AA212" s="127" cm="1">
        <f t="array" aca="1" ref="AA212" ca="1">IF($C212="S",IF($Z212="CP",$X212,IF($Z212="RA",(($X212)*QCI!$AA$3),0)),SomaAgrup)</f>
        <v>0</v>
      </c>
      <c r="AB212" s="128" cm="1">
        <f t="array" aca="1" ref="AB212" ca="1">IF($C212="S",IF($Z212="OU",ROUND($X212,2),0),SomaAgrup)</f>
        <v>0</v>
      </c>
      <c r="AC212" s="565" t="str" cm="1">
        <f t="array" aca="1" ref="AC212" ca="1">IF($N212=""," ",
IF(AND($C212&lt;&gt;"S",OR($R212="",$R212="(digite a descrição aqui)")),"DESCRIÇÃO",
IF(AND($C212="S",OR($Q212&lt;&gt;"",$T212&gt;0,$U212&gt;0),$P212=""),"FONTE",
IF(AND($C212="S",$P212&lt;&gt;"",OR($T212&gt;0,$U212&gt;0),$Q212=""),"CÓDIGO",
IF(AND($C212="S",$P212&lt;&gt;"",$Q212&lt;&gt;"",$R212="(Código não identificado nas referências)"),"CÓDIGO N/ID",
IF(AND($C212="S",OR($R212="",$R212="(digite a descrição aqui)"),OR($Q212&lt;&gt;"",$T212&gt;0,$U212&gt;0)),"DESCRIÇÃO",
IF(AND($C212="S",$P212&lt;&gt;"",$Q212&lt;&gt;"",$S212=""),"UNIDADE",
IF(AND($C212="S",$P212&lt;&gt;"",$Q212&lt;&gt;"",$U212=0),"SEM CUSTO",
IF(AND(TIPOORCAMENTO="Licitado",$AL212=0,$AN212&gt;0),"SEM PREÇO",
IF(AND($C212="S",$P212&lt;&gt;"",$Q212&lt;&gt;"",$U212&gt;0,AND($V212&lt;&gt;"BDI 1",$V212&lt;&gt;"BDI 2",$V212&lt;&gt;"BDI 3")),IF(ISNUMBER($V212),"JUSTIFICAR BDI","BDI"),
IF(OR(AND(import.recurso="OGU",TIPOORCAMENTO="Proposto",LEFT($O$8,5)&lt;&gt;"(N/D:",$AG212&lt;&gt;"",ORÇAMENTO.CustoUnitario&gt;$AG212),AND(TIPOORCAMENTO="LICITADO",ORÇAMENTO.PrecoUnitarioLicitado&gt;$AN212)),"ACIMA REF.",
IF(AND($C212="S",$P212&lt;&gt;"",$Q212&lt;&gt;"",$T212=0,$U212&gt;0),"QUANT.",
IF(AND(Import.TipoArredondamento="TransfereGOV",$L212="F",$C212="S",LEN($Q212)&gt;13),"Código &gt;13",
IF(AND(Import.TipoArredondamento="TransfereGOV",$L212="F",$C212&lt;&gt;"S",LEN($R212)&gt;100),"Descrição &gt;100",
IF(AND(Import.TipoArredondamento="TransfereGOV",$L212="F",$C212="S",LEN($R212)&gt;500),"Descrição &gt;500",
IF(AND(Import.TipoArredondamento="TransfereGOV",$L212="F",$C212="S",LEFT(TRIM(UPPER($P212)),6)&lt;&gt;"SINAPI",ISNA(VLOOKUP(TRIM(UPPER($S212)),ListaTgov.Unidades,1,FALSE))),"Unid. Não Disp",
" "))))))))))))))))</f>
        <v>CÓDIGO N/ID</v>
      </c>
      <c r="AD212" t="str">
        <f ca="1">IF(C212&lt;=CRONO.NivelExibicao,MAX($AD$15:OFFSET(AD212,-1,0))+IF($C212&lt;&gt;1,1,MAX(1,COUNTIF(QCI!$A$13:$A$24,OFFSET($E212,-1,0)))),"")</f>
        <v/>
      </c>
      <c r="AE212" s="7" t="str" cm="1">
        <f t="array" aca="1" ref="AE212" ca="1">IF(AND($C212="S",ORÇAMENTO.CodBarra&lt;&gt;""),IF(ORÇAMENTO.Fonte="",ORÇAMENTO.CodBarra,CONCATENATE(ORÇAMENTO.Fonte," ",ORÇAMENTO.CodBarra)))</f>
        <v>SINAPI 104348</v>
      </c>
      <c r="AF212" s="12" t="str" cm="1">
        <f t="array" aca="1" ref="AF212" ca="1">IF(ISERROR(ORÇAMENTO.BancoRef),"(abra o arquivo 'Referência "&amp;Excel_BuiltIn_Database&amp;".xlsm)",IF(OR($C212&lt;&gt;"S",ORÇAMENTO.CodBarra=""),"(Sem Código)",IF(ISERROR(MATCH($AE212,INDIRECT(ORÇAMENTO.BancoRef),0)),"(Código não identificado nas referências)",MATCH($AE212,INDIRECT(ORÇAMENTO.BancoRef),0))))</f>
        <v>(Código não identificado nas referências)</v>
      </c>
      <c r="AG212" s="428" cm="1">
        <f t="array" aca="1" ref="AG212" ca="1">ROUND(IF(DESONERACAO="sim",REFERENCIA.Desonerado,REFERENCIA.NaoDesonerado),2)</f>
        <v>0</v>
      </c>
      <c r="AH212" s="429">
        <f t="shared" ca="1" si="50"/>
        <v>0.2223</v>
      </c>
      <c r="AJ212" s="431"/>
      <c r="AL212" s="439"/>
      <c r="AM212" s="336">
        <f t="shared" ca="1" si="0"/>
        <v>0</v>
      </c>
      <c r="AN212" s="470" cm="1">
        <f t="array" aca="1" ref="AN212" ca="1">ROUND(ORÇAMENTO.CustoUnitario*(1+$AH212),2)</f>
        <v>0</v>
      </c>
    </row>
    <row r="213" spans="1:40" ht="38.25" x14ac:dyDescent="0.2">
      <c r="A213" t="str">
        <f t="shared" ref="A213:A243" si="52">CHOOSE(1+LOG(1+2*(ORÇAMENTO.Nivel="Meta")+4*(ORÇAMENTO.Nivel="Nível 2")+8*(ORÇAMENTO.Nivel="Nível 3")+16*(ORÇAMENTO.Nivel="Nível 4")+32*(ORÇAMENTO.Nivel="Serviço"),2),0,1,2,3,4,"S")</f>
        <v>S</v>
      </c>
      <c r="B213">
        <f t="shared" ref="B213:B243" ca="1" si="53">IF(OR(C213="s",C213=0),OFFSET(B213,-1,0),C213)</f>
        <v>3</v>
      </c>
      <c r="C213" t="str">
        <f t="shared" ref="C213:C243" ca="1" si="54">IF(OFFSET(C213,-1,0)="L",1,IF(OFFSET(C213,-1,0)=1,2,IF(OR(A213="s",A213=0),"S",IF(AND(OFFSET(C213,-1,0)=2,A213=4),3,IF(AND(OR(OFFSET(C213,-1,0)="s",OFFSET(C213,-1,0)=0),A213&lt;&gt;"s",A213&gt;OFFSET(B213,-1,0)),OFFSET(B213,-1,0),A213)))))</f>
        <v>S</v>
      </c>
      <c r="D213">
        <f t="shared" ref="D213:D243" ca="1" si="55">IF(OR(C213="S",C213=0),0,IF(ISERROR(K213),J213,SMALL(J213:K213,1)))</f>
        <v>0</v>
      </c>
      <c r="E213">
        <f ca="1">IF($C213=1,OFFSET(E213,-1,0)+MAX(1,COUNTIF(QCI!$A$13:$A$24,OFFSET(ORÇAMENTO!E213,-1,0))),OFFSET(E213,-1,0))</f>
        <v>9</v>
      </c>
      <c r="F213">
        <f t="shared" ref="F213:F243" ca="1" si="56">IF($C213=1,0,IF($C213=2,OFFSET(F213,-1,0)+1,OFFSET(F213,-1,0)))</f>
        <v>3</v>
      </c>
      <c r="G213">
        <f t="shared" ref="G213:G243" ca="1" si="57">IF(AND($C213&lt;=2,$C213&lt;&gt;0),0,IF($C213=3,OFFSET(G213,-1,0)+1,OFFSET(G213,-1,0)))</f>
        <v>1</v>
      </c>
      <c r="H213">
        <f t="shared" ref="H213:H243" ca="1" si="58">IF(AND($C213&lt;=3,$C213&lt;&gt;0),0,IF($C213=4,OFFSET(H213,-1,0)+1,OFFSET(H213,-1,0)))</f>
        <v>0</v>
      </c>
      <c r="I213">
        <f t="shared" ref="I213:I243" ca="1" si="59">IF(AND($C213&lt;=4,$C213&lt;&gt;0),0,IF(AND($C213="S",$X213&gt;0),OFFSET(I213,-1,0)+1,OFFSET(I213,-1,0)))</f>
        <v>0</v>
      </c>
      <c r="J213">
        <f t="shared" ca="1" si="51"/>
        <v>0</v>
      </c>
      <c r="K213">
        <f ca="1">IF(OR($C213="S",$C213=0),0,MATCH(OFFSET($D213,0,$C213)+IF($C213&lt;&gt;1,1,COUNTIF(QCI!$A$13:$A$24,ORÇAMENTO!E213)),OFFSET($D213,1,$C213,ROW($C$244)-ROW($C213)),0))</f>
        <v>0</v>
      </c>
      <c r="L213" s="114" t="str">
        <f t="shared" ref="L213:L243" ca="1" si="60">IF(OR($X213&gt;0,$C213=1,$C213=2,$C213=3,$C213=4),"F","")</f>
        <v/>
      </c>
      <c r="M213" s="115" t="s">
        <v>705</v>
      </c>
      <c r="N213" s="116" t="str">
        <f t="shared" ref="N213:N243" ca="1" si="61">CHOOSE(1+LOG(1+2*(C213=1)+4*(C213=2)+8*(C213=3)+16*(C213=4)+32*(C213="S"),2),"","Meta","Nível 2","Nível 3","Nível 4","Serviço")</f>
        <v>Serviço</v>
      </c>
      <c r="O213" s="117" t="str">
        <f t="shared" ref="O213:O243" ca="1" si="62">IF(OR($C213=0,$L213=""),"-",CONCATENATE(E213&amp;".",IF(AND($A$5&gt;=2,$C213&gt;=2),F213&amp;".",""),IF(AND($A$5&gt;=3,$C213&gt;=3),G213&amp;".",""),IF(AND($A$5&gt;=4,$C213&gt;=4),H213&amp;".",""),IF($C213="S",I213&amp;".","")))</f>
        <v>-</v>
      </c>
      <c r="P213" s="118" t="s">
        <v>750</v>
      </c>
      <c r="Q213" s="119" t="s">
        <v>1149</v>
      </c>
      <c r="R213" s="120" t="str" cm="1">
        <f t="array" aca="1" ref="R213" ca="1">IF($C213="S",REFERENCIA.Descricao,"(digite a descrição aqui)")</f>
        <v>(Código não identificado nas referências)</v>
      </c>
      <c r="S213" s="121" t="str" cm="1">
        <f t="array" aca="1" ref="S213" ca="1">REFERENCIA.Unidade</f>
        <v>-</v>
      </c>
      <c r="T213" s="122">
        <f ca="1">OFFSET(CÁLCULO!H$15,ROW($T213)-ROW(T$15),0)</f>
        <v>67.000000000000014</v>
      </c>
      <c r="U213" s="123">
        <f t="shared" ref="U213:U243" ca="1" si="63">AG213</f>
        <v>0</v>
      </c>
      <c r="V213" s="124" t="s">
        <v>663</v>
      </c>
      <c r="W213" s="122" cm="1">
        <f t="array" aca="1" ref="W213" ca="1">IF($C213="S",ROUND(IF(TIPOORCAMENTO="Proposto",ORÇAMENTO.CustoUnitario*(1+$AH213),ORÇAMENTO.PrecoUnitarioLicitado),15-13*$AF$10),0)</f>
        <v>0</v>
      </c>
      <c r="X213" s="125" cm="1">
        <f t="array" aca="1" ref="X213" ca="1">IF($C213="S",IF(OR(Import.TipoArredondamento&lt;&gt;"TransfereGOV",ACOMPANHAMENTO="BM"),VTOTAL1,SUM(OFFSET(CÁLCULO!$AQ$15,ROW($X213)-ROW($X$15),1):OFFSET(CÁLCULO!$BR$15,ROW($X213)-ROW($X$15),-1))),IF($C213=0,0,ROUND(SomaAgrup,15-13*$AF$11)))</f>
        <v>0</v>
      </c>
      <c r="Y213" s="126" t="s">
        <v>751</v>
      </c>
      <c r="Z213" t="str">
        <f t="shared" ref="Z213:Z243" ca="1" si="64">IF(AND($C213="S",$X213&gt;0),IF(ISBLANK($Y213),"RA",LEFT($Y213,2)),"")</f>
        <v/>
      </c>
      <c r="AA213" s="127" cm="1">
        <f t="array" aca="1" ref="AA213" ca="1">IF($C213="S",IF($Z213="CP",$X213,IF($Z213="RA",(($X213)*QCI!$AA$3),0)),SomaAgrup)</f>
        <v>0</v>
      </c>
      <c r="AB213" s="128" cm="1">
        <f t="array" aca="1" ref="AB213" ca="1">IF($C213="S",IF($Z213="OU",ROUND($X213,2),0),SomaAgrup)</f>
        <v>0</v>
      </c>
      <c r="AC213" s="565" t="str" cm="1">
        <f t="array" aca="1" ref="AC213" ca="1">IF($N213=""," ",
IF(AND($C213&lt;&gt;"S",OR($R213="",$R213="(digite a descrição aqui)")),"DESCRIÇÃO",
IF(AND($C213="S",OR($Q213&lt;&gt;"",$T213&gt;0,$U213&gt;0),$P213=""),"FONTE",
IF(AND($C213="S",$P213&lt;&gt;"",OR($T213&gt;0,$U213&gt;0),$Q213=""),"CÓDIGO",
IF(AND($C213="S",$P213&lt;&gt;"",$Q213&lt;&gt;"",$R213="(Código não identificado nas referências)"),"CÓDIGO N/ID",
IF(AND($C213="S",OR($R213="",$R213="(digite a descrição aqui)"),OR($Q213&lt;&gt;"",$T213&gt;0,$U213&gt;0)),"DESCRIÇÃO",
IF(AND($C213="S",$P213&lt;&gt;"",$Q213&lt;&gt;"",$S213=""),"UNIDADE",
IF(AND($C213="S",$P213&lt;&gt;"",$Q213&lt;&gt;"",$U213=0),"SEM CUSTO",
IF(AND(TIPOORCAMENTO="Licitado",$AL213=0,$AN213&gt;0),"SEM PREÇO",
IF(AND($C213="S",$P213&lt;&gt;"",$Q213&lt;&gt;"",$U213&gt;0,AND($V213&lt;&gt;"BDI 1",$V213&lt;&gt;"BDI 2",$V213&lt;&gt;"BDI 3")),IF(ISNUMBER($V213),"JUSTIFICAR BDI","BDI"),
IF(OR(AND(import.recurso="OGU",TIPOORCAMENTO="Proposto",LEFT($O$8,5)&lt;&gt;"(N/D:",$AG213&lt;&gt;"",ORÇAMENTO.CustoUnitario&gt;$AG213),AND(TIPOORCAMENTO="LICITADO",ORÇAMENTO.PrecoUnitarioLicitado&gt;$AN213)),"ACIMA REF.",
IF(AND($C213="S",$P213&lt;&gt;"",$Q213&lt;&gt;"",$T213=0,$U213&gt;0),"QUANT.",
IF(AND(Import.TipoArredondamento="TransfereGOV",$L213="F",$C213="S",LEN($Q213)&gt;13),"Código &gt;13",
IF(AND(Import.TipoArredondamento="TransfereGOV",$L213="F",$C213&lt;&gt;"S",LEN($R213)&gt;100),"Descrição &gt;100",
IF(AND(Import.TipoArredondamento="TransfereGOV",$L213="F",$C213="S",LEN($R213)&gt;500),"Descrição &gt;500",
IF(AND(Import.TipoArredondamento="TransfereGOV",$L213="F",$C213="S",LEFT(TRIM(UPPER($P213)),6)&lt;&gt;"SINAPI",ISNA(VLOOKUP(TRIM(UPPER($S213)),ListaTgov.Unidades,1,FALSE))),"Unid. Não Disp",
" "))))))))))))))))</f>
        <v>CÓDIGO N/ID</v>
      </c>
      <c r="AD213" t="str">
        <f ca="1">IF(C213&lt;=CRONO.NivelExibicao,MAX($AD$15:OFFSET(AD213,-1,0))+IF($C213&lt;&gt;1,1,MAX(1,COUNTIF(QCI!$A$13:$A$24,OFFSET($E213,-1,0)))),"")</f>
        <v/>
      </c>
      <c r="AE213" s="7" t="str" cm="1">
        <f t="array" aca="1" ref="AE213" ca="1">IF(AND($C213="S",ORÇAMENTO.CodBarra&lt;&gt;""),IF(ORÇAMENTO.Fonte="",ORÇAMENTO.CodBarra,CONCATENATE(ORÇAMENTO.Fonte," ",ORÇAMENTO.CodBarra)))</f>
        <v>SINAPI 89711</v>
      </c>
      <c r="AF213" s="12" t="str" cm="1">
        <f t="array" aca="1" ref="AF213" ca="1">IF(ISERROR(ORÇAMENTO.BancoRef),"(abra o arquivo 'Referência "&amp;Excel_BuiltIn_Database&amp;".xlsm)",IF(OR($C213&lt;&gt;"S",ORÇAMENTO.CodBarra=""),"(Sem Código)",IF(ISERROR(MATCH($AE213,INDIRECT(ORÇAMENTO.BancoRef),0)),"(Código não identificado nas referências)",MATCH($AE213,INDIRECT(ORÇAMENTO.BancoRef),0))))</f>
        <v>(Código não identificado nas referências)</v>
      </c>
      <c r="AG213" s="428" cm="1">
        <f t="array" aca="1" ref="AG213" ca="1">ROUND(IF(DESONERACAO="sim",REFERENCIA.Desonerado,REFERENCIA.NaoDesonerado),2)</f>
        <v>0</v>
      </c>
      <c r="AH213" s="429">
        <f t="shared" ref="AH213:AH243" ca="1" si="65">ROUND(IF(ISNUMBER(ORÇAMENTO.OpcaoBDI),ORÇAMENTO.OpcaoBDI,IF(LEFT(ORÇAMENTO.OpcaoBDI,3)="BDI",HLOOKUP(ORÇAMENTO.OpcaoBDI,$F$4:$H$5,2,FALSE),0)),15-11*$AF$9)</f>
        <v>0.2223</v>
      </c>
      <c r="AJ213" s="431"/>
      <c r="AL213" s="439"/>
      <c r="AM213" s="336">
        <f t="shared" ca="1" si="0"/>
        <v>0</v>
      </c>
      <c r="AN213" s="470" cm="1">
        <f t="array" aca="1" ref="AN213" ca="1">ROUND(ORÇAMENTO.CustoUnitario*(1+$AH213),2)</f>
        <v>0</v>
      </c>
    </row>
    <row r="214" spans="1:40" ht="38.25" x14ac:dyDescent="0.2">
      <c r="A214" t="str">
        <f t="shared" si="52"/>
        <v>S</v>
      </c>
      <c r="B214">
        <f t="shared" ca="1" si="53"/>
        <v>3</v>
      </c>
      <c r="C214" t="str">
        <f t="shared" ca="1" si="54"/>
        <v>S</v>
      </c>
      <c r="D214">
        <f t="shared" ca="1" si="55"/>
        <v>0</v>
      </c>
      <c r="E214">
        <f ca="1">IF($C214=1,OFFSET(E214,-1,0)+MAX(1,COUNTIF(QCI!$A$13:$A$24,OFFSET(ORÇAMENTO!E214,-1,0))),OFFSET(E214,-1,0))</f>
        <v>9</v>
      </c>
      <c r="F214">
        <f t="shared" ca="1" si="56"/>
        <v>3</v>
      </c>
      <c r="G214">
        <f t="shared" ca="1" si="57"/>
        <v>1</v>
      </c>
      <c r="H214">
        <f t="shared" ca="1" si="58"/>
        <v>0</v>
      </c>
      <c r="I214">
        <f t="shared" ca="1" si="59"/>
        <v>0</v>
      </c>
      <c r="J214">
        <f t="shared" ca="1" si="51"/>
        <v>0</v>
      </c>
      <c r="K214">
        <f ca="1">IF(OR($C214="S",$C214=0),0,MATCH(OFFSET($D214,0,$C214)+IF($C214&lt;&gt;1,1,COUNTIF(QCI!$A$13:$A$24,ORÇAMENTO!E214)),OFFSET($D214,1,$C214,ROW($C$244)-ROW($C214)),0))</f>
        <v>0</v>
      </c>
      <c r="L214" s="114" t="str">
        <f t="shared" ca="1" si="60"/>
        <v/>
      </c>
      <c r="M214" s="115" t="s">
        <v>705</v>
      </c>
      <c r="N214" s="116" t="str">
        <f t="shared" ca="1" si="61"/>
        <v>Serviço</v>
      </c>
      <c r="O214" s="117" t="str">
        <f t="shared" ca="1" si="62"/>
        <v>-</v>
      </c>
      <c r="P214" s="118" t="s">
        <v>750</v>
      </c>
      <c r="Q214" s="119" t="s">
        <v>1150</v>
      </c>
      <c r="R214" s="120" t="str" cm="1">
        <f t="array" aca="1" ref="R214" ca="1">IF($C214="S",REFERENCIA.Descricao,"(digite a descrição aqui)")</f>
        <v>(Código não identificado nas referências)</v>
      </c>
      <c r="S214" s="121" t="str" cm="1">
        <f t="array" aca="1" ref="S214" ca="1">REFERENCIA.Unidade</f>
        <v>-</v>
      </c>
      <c r="T214" s="122">
        <f ca="1">OFFSET(CÁLCULO!H$15,ROW($T214)-ROW(T$15),0)</f>
        <v>204.2000000000001</v>
      </c>
      <c r="U214" s="123">
        <f t="shared" ca="1" si="63"/>
        <v>0</v>
      </c>
      <c r="V214" s="124" t="s">
        <v>663</v>
      </c>
      <c r="W214" s="122" cm="1">
        <f t="array" aca="1" ref="W214" ca="1">IF($C214="S",ROUND(IF(TIPOORCAMENTO="Proposto",ORÇAMENTO.CustoUnitario*(1+$AH214),ORÇAMENTO.PrecoUnitarioLicitado),15-13*$AF$10),0)</f>
        <v>0</v>
      </c>
      <c r="X214" s="125" cm="1">
        <f t="array" aca="1" ref="X214" ca="1">IF($C214="S",IF(OR(Import.TipoArredondamento&lt;&gt;"TransfereGOV",ACOMPANHAMENTO="BM"),VTOTAL1,SUM(OFFSET(CÁLCULO!$AQ$15,ROW($X214)-ROW($X$15),1):OFFSET(CÁLCULO!$BR$15,ROW($X214)-ROW($X$15),-1))),IF($C214=0,0,ROUND(SomaAgrup,15-13*$AF$11)))</f>
        <v>0</v>
      </c>
      <c r="Y214" s="126" t="s">
        <v>751</v>
      </c>
      <c r="Z214" t="str">
        <f t="shared" ca="1" si="64"/>
        <v/>
      </c>
      <c r="AA214" s="127" cm="1">
        <f t="array" aca="1" ref="AA214" ca="1">IF($C214="S",IF($Z214="CP",$X214,IF($Z214="RA",(($X214)*QCI!$AA$3),0)),SomaAgrup)</f>
        <v>0</v>
      </c>
      <c r="AB214" s="128" cm="1">
        <f t="array" aca="1" ref="AB214" ca="1">IF($C214="S",IF($Z214="OU",ROUND($X214,2),0),SomaAgrup)</f>
        <v>0</v>
      </c>
      <c r="AC214" s="565" t="str" cm="1">
        <f t="array" aca="1" ref="AC214" ca="1">IF($N214=""," ",
IF(AND($C214&lt;&gt;"S",OR($R214="",$R214="(digite a descrição aqui)")),"DESCRIÇÃO",
IF(AND($C214="S",OR($Q214&lt;&gt;"",$T214&gt;0,$U214&gt;0),$P214=""),"FONTE",
IF(AND($C214="S",$P214&lt;&gt;"",OR($T214&gt;0,$U214&gt;0),$Q214=""),"CÓDIGO",
IF(AND($C214="S",$P214&lt;&gt;"",$Q214&lt;&gt;"",$R214="(Código não identificado nas referências)"),"CÓDIGO N/ID",
IF(AND($C214="S",OR($R214="",$R214="(digite a descrição aqui)"),OR($Q214&lt;&gt;"",$T214&gt;0,$U214&gt;0)),"DESCRIÇÃO",
IF(AND($C214="S",$P214&lt;&gt;"",$Q214&lt;&gt;"",$S214=""),"UNIDADE",
IF(AND($C214="S",$P214&lt;&gt;"",$Q214&lt;&gt;"",$U214=0),"SEM CUSTO",
IF(AND(TIPOORCAMENTO="Licitado",$AL214=0,$AN214&gt;0),"SEM PREÇO",
IF(AND($C214="S",$P214&lt;&gt;"",$Q214&lt;&gt;"",$U214&gt;0,AND($V214&lt;&gt;"BDI 1",$V214&lt;&gt;"BDI 2",$V214&lt;&gt;"BDI 3")),IF(ISNUMBER($V214),"JUSTIFICAR BDI","BDI"),
IF(OR(AND(import.recurso="OGU",TIPOORCAMENTO="Proposto",LEFT($O$8,5)&lt;&gt;"(N/D:",$AG214&lt;&gt;"",ORÇAMENTO.CustoUnitario&gt;$AG214),AND(TIPOORCAMENTO="LICITADO",ORÇAMENTO.PrecoUnitarioLicitado&gt;$AN214)),"ACIMA REF.",
IF(AND($C214="S",$P214&lt;&gt;"",$Q214&lt;&gt;"",$T214=0,$U214&gt;0),"QUANT.",
IF(AND(Import.TipoArredondamento="TransfereGOV",$L214="F",$C214="S",LEN($Q214)&gt;13),"Código &gt;13",
IF(AND(Import.TipoArredondamento="TransfereGOV",$L214="F",$C214&lt;&gt;"S",LEN($R214)&gt;100),"Descrição &gt;100",
IF(AND(Import.TipoArredondamento="TransfereGOV",$L214="F",$C214="S",LEN($R214)&gt;500),"Descrição &gt;500",
IF(AND(Import.TipoArredondamento="TransfereGOV",$L214="F",$C214="S",LEFT(TRIM(UPPER($P214)),6)&lt;&gt;"SINAPI",ISNA(VLOOKUP(TRIM(UPPER($S214)),ListaTgov.Unidades,1,FALSE))),"Unid. Não Disp",
" "))))))))))))))))</f>
        <v>CÓDIGO N/ID</v>
      </c>
      <c r="AD214" t="str">
        <f ca="1">IF(C214&lt;=CRONO.NivelExibicao,MAX($AD$15:OFFSET(AD214,-1,0))+IF($C214&lt;&gt;1,1,MAX(1,COUNTIF(QCI!$A$13:$A$24,OFFSET($E214,-1,0)))),"")</f>
        <v/>
      </c>
      <c r="AE214" s="7" t="str" cm="1">
        <f t="array" aca="1" ref="AE214" ca="1">IF(AND($C214="S",ORÇAMENTO.CodBarra&lt;&gt;""),IF(ORÇAMENTO.Fonte="",ORÇAMENTO.CodBarra,CONCATENATE(ORÇAMENTO.Fonte," ",ORÇAMENTO.CodBarra)))</f>
        <v>SINAPI 89712</v>
      </c>
      <c r="AF214" s="12" t="str" cm="1">
        <f t="array" aca="1" ref="AF214" ca="1">IF(ISERROR(ORÇAMENTO.BancoRef),"(abra o arquivo 'Referência "&amp;Excel_BuiltIn_Database&amp;".xlsm)",IF(OR($C214&lt;&gt;"S",ORÇAMENTO.CodBarra=""),"(Sem Código)",IF(ISERROR(MATCH($AE214,INDIRECT(ORÇAMENTO.BancoRef),0)),"(Código não identificado nas referências)",MATCH($AE214,INDIRECT(ORÇAMENTO.BancoRef),0))))</f>
        <v>(Código não identificado nas referências)</v>
      </c>
      <c r="AG214" s="428" cm="1">
        <f t="array" aca="1" ref="AG214" ca="1">ROUND(IF(DESONERACAO="sim",REFERENCIA.Desonerado,REFERENCIA.NaoDesonerado),2)</f>
        <v>0</v>
      </c>
      <c r="AH214" s="429">
        <f t="shared" ca="1" si="65"/>
        <v>0.2223</v>
      </c>
      <c r="AJ214" s="431"/>
      <c r="AL214" s="439"/>
      <c r="AM214" s="336">
        <f t="shared" ca="1" si="0"/>
        <v>0</v>
      </c>
      <c r="AN214" s="470" cm="1">
        <f t="array" aca="1" ref="AN214" ca="1">ROUND(ORÇAMENTO.CustoUnitario*(1+$AH214),2)</f>
        <v>0</v>
      </c>
    </row>
    <row r="215" spans="1:40" ht="38.25" x14ac:dyDescent="0.2">
      <c r="A215" t="str">
        <f t="shared" si="52"/>
        <v>S</v>
      </c>
      <c r="B215">
        <f t="shared" ca="1" si="53"/>
        <v>3</v>
      </c>
      <c r="C215" t="str">
        <f t="shared" ca="1" si="54"/>
        <v>S</v>
      </c>
      <c r="D215">
        <f t="shared" ca="1" si="55"/>
        <v>0</v>
      </c>
      <c r="E215">
        <f ca="1">IF($C215=1,OFFSET(E215,-1,0)+MAX(1,COUNTIF(QCI!$A$13:$A$24,OFFSET(ORÇAMENTO!E215,-1,0))),OFFSET(E215,-1,0))</f>
        <v>9</v>
      </c>
      <c r="F215">
        <f t="shared" ca="1" si="56"/>
        <v>3</v>
      </c>
      <c r="G215">
        <f t="shared" ca="1" si="57"/>
        <v>1</v>
      </c>
      <c r="H215">
        <f t="shared" ca="1" si="58"/>
        <v>0</v>
      </c>
      <c r="I215">
        <f t="shared" ca="1" si="59"/>
        <v>0</v>
      </c>
      <c r="J215">
        <f t="shared" ca="1" si="51"/>
        <v>0</v>
      </c>
      <c r="K215">
        <f ca="1">IF(OR($C215="S",$C215=0),0,MATCH(OFFSET($D215,0,$C215)+IF($C215&lt;&gt;1,1,COUNTIF(QCI!$A$13:$A$24,ORÇAMENTO!E215)),OFFSET($D215,1,$C215,ROW($C$244)-ROW($C215)),0))</f>
        <v>0</v>
      </c>
      <c r="L215" s="114" t="str">
        <f t="shared" ca="1" si="60"/>
        <v/>
      </c>
      <c r="M215" s="115" t="s">
        <v>705</v>
      </c>
      <c r="N215" s="116" t="str">
        <f t="shared" ca="1" si="61"/>
        <v>Serviço</v>
      </c>
      <c r="O215" s="117" t="str">
        <f t="shared" ca="1" si="62"/>
        <v>-</v>
      </c>
      <c r="P215" s="118" t="s">
        <v>750</v>
      </c>
      <c r="Q215" s="119" t="s">
        <v>1151</v>
      </c>
      <c r="R215" s="120" t="str" cm="1">
        <f t="array" aca="1" ref="R215" ca="1">IF($C215="S",REFERENCIA.Descricao,"(digite a descrição aqui)")</f>
        <v>(Código não identificado nas referências)</v>
      </c>
      <c r="S215" s="121" t="str" cm="1">
        <f t="array" aca="1" ref="S215" ca="1">REFERENCIA.Unidade</f>
        <v>-</v>
      </c>
      <c r="T215" s="122">
        <f ca="1">OFFSET(CÁLCULO!H$15,ROW($T215)-ROW(T$15),0)</f>
        <v>80</v>
      </c>
      <c r="U215" s="123">
        <f t="shared" ca="1" si="63"/>
        <v>0</v>
      </c>
      <c r="V215" s="124" t="s">
        <v>663</v>
      </c>
      <c r="W215" s="122" cm="1">
        <f t="array" aca="1" ref="W215" ca="1">IF($C215="S",ROUND(IF(TIPOORCAMENTO="Proposto",ORÇAMENTO.CustoUnitario*(1+$AH215),ORÇAMENTO.PrecoUnitarioLicitado),15-13*$AF$10),0)</f>
        <v>0</v>
      </c>
      <c r="X215" s="125" cm="1">
        <f t="array" aca="1" ref="X215" ca="1">IF($C215="S",IF(OR(Import.TipoArredondamento&lt;&gt;"TransfereGOV",ACOMPANHAMENTO="BM"),VTOTAL1,SUM(OFFSET(CÁLCULO!$AQ$15,ROW($X215)-ROW($X$15),1):OFFSET(CÁLCULO!$BR$15,ROW($X215)-ROW($X$15),-1))),IF($C215=0,0,ROUND(SomaAgrup,15-13*$AF$11)))</f>
        <v>0</v>
      </c>
      <c r="Y215" s="126" t="s">
        <v>751</v>
      </c>
      <c r="Z215" t="str">
        <f t="shared" ca="1" si="64"/>
        <v/>
      </c>
      <c r="AA215" s="127" cm="1">
        <f t="array" aca="1" ref="AA215" ca="1">IF($C215="S",IF($Z215="CP",$X215,IF($Z215="RA",(($X215)*QCI!$AA$3),0)),SomaAgrup)</f>
        <v>0</v>
      </c>
      <c r="AB215" s="128" cm="1">
        <f t="array" aca="1" ref="AB215" ca="1">IF($C215="S",IF($Z215="OU",ROUND($X215,2),0),SomaAgrup)</f>
        <v>0</v>
      </c>
      <c r="AC215" s="565" t="str" cm="1">
        <f t="array" aca="1" ref="AC215" ca="1">IF($N215=""," ",
IF(AND($C215&lt;&gt;"S",OR($R215="",$R215="(digite a descrição aqui)")),"DESCRIÇÃO",
IF(AND($C215="S",OR($Q215&lt;&gt;"",$T215&gt;0,$U215&gt;0),$P215=""),"FONTE",
IF(AND($C215="S",$P215&lt;&gt;"",OR($T215&gt;0,$U215&gt;0),$Q215=""),"CÓDIGO",
IF(AND($C215="S",$P215&lt;&gt;"",$Q215&lt;&gt;"",$R215="(Código não identificado nas referências)"),"CÓDIGO N/ID",
IF(AND($C215="S",OR($R215="",$R215="(digite a descrição aqui)"),OR($Q215&lt;&gt;"",$T215&gt;0,$U215&gt;0)),"DESCRIÇÃO",
IF(AND($C215="S",$P215&lt;&gt;"",$Q215&lt;&gt;"",$S215=""),"UNIDADE",
IF(AND($C215="S",$P215&lt;&gt;"",$Q215&lt;&gt;"",$U215=0),"SEM CUSTO",
IF(AND(TIPOORCAMENTO="Licitado",$AL215=0,$AN215&gt;0),"SEM PREÇO",
IF(AND($C215="S",$P215&lt;&gt;"",$Q215&lt;&gt;"",$U215&gt;0,AND($V215&lt;&gt;"BDI 1",$V215&lt;&gt;"BDI 2",$V215&lt;&gt;"BDI 3")),IF(ISNUMBER($V215),"JUSTIFICAR BDI","BDI"),
IF(OR(AND(import.recurso="OGU",TIPOORCAMENTO="Proposto",LEFT($O$8,5)&lt;&gt;"(N/D:",$AG215&lt;&gt;"",ORÇAMENTO.CustoUnitario&gt;$AG215),AND(TIPOORCAMENTO="LICITADO",ORÇAMENTO.PrecoUnitarioLicitado&gt;$AN215)),"ACIMA REF.",
IF(AND($C215="S",$P215&lt;&gt;"",$Q215&lt;&gt;"",$T215=0,$U215&gt;0),"QUANT.",
IF(AND(Import.TipoArredondamento="TransfereGOV",$L215="F",$C215="S",LEN($Q215)&gt;13),"Código &gt;13",
IF(AND(Import.TipoArredondamento="TransfereGOV",$L215="F",$C215&lt;&gt;"S",LEN($R215)&gt;100),"Descrição &gt;100",
IF(AND(Import.TipoArredondamento="TransfereGOV",$L215="F",$C215="S",LEN($R215)&gt;500),"Descrição &gt;500",
IF(AND(Import.TipoArredondamento="TransfereGOV",$L215="F",$C215="S",LEFT(TRIM(UPPER($P215)),6)&lt;&gt;"SINAPI",ISNA(VLOOKUP(TRIM(UPPER($S215)),ListaTgov.Unidades,1,FALSE))),"Unid. Não Disp",
" "))))))))))))))))</f>
        <v>CÓDIGO N/ID</v>
      </c>
      <c r="AD215" t="str">
        <f ca="1">IF(C215&lt;=CRONO.NivelExibicao,MAX($AD$15:OFFSET(AD215,-1,0))+IF($C215&lt;&gt;1,1,MAX(1,COUNTIF(QCI!$A$13:$A$24,OFFSET($E215,-1,0)))),"")</f>
        <v/>
      </c>
      <c r="AE215" s="7" t="str" cm="1">
        <f t="array" aca="1" ref="AE215" ca="1">IF(AND($C215="S",ORÇAMENTO.CodBarra&lt;&gt;""),IF(ORÇAMENTO.Fonte="",ORÇAMENTO.CodBarra,CONCATENATE(ORÇAMENTO.Fonte," ",ORÇAMENTO.CodBarra)))</f>
        <v>SINAPI 89798</v>
      </c>
      <c r="AF215" s="12" t="str" cm="1">
        <f t="array" aca="1" ref="AF215" ca="1">IF(ISERROR(ORÇAMENTO.BancoRef),"(abra o arquivo 'Referência "&amp;Excel_BuiltIn_Database&amp;".xlsm)",IF(OR($C215&lt;&gt;"S",ORÇAMENTO.CodBarra=""),"(Sem Código)",IF(ISERROR(MATCH($AE215,INDIRECT(ORÇAMENTO.BancoRef),0)),"(Código não identificado nas referências)",MATCH($AE215,INDIRECT(ORÇAMENTO.BancoRef),0))))</f>
        <v>(Código não identificado nas referências)</v>
      </c>
      <c r="AG215" s="428" cm="1">
        <f t="array" aca="1" ref="AG215" ca="1">ROUND(IF(DESONERACAO="sim",REFERENCIA.Desonerado,REFERENCIA.NaoDesonerado),2)</f>
        <v>0</v>
      </c>
      <c r="AH215" s="429">
        <f t="shared" ca="1" si="65"/>
        <v>0.2223</v>
      </c>
      <c r="AJ215" s="431"/>
      <c r="AL215" s="439"/>
      <c r="AM215" s="336">
        <f t="shared" ca="1" si="0"/>
        <v>0</v>
      </c>
      <c r="AN215" s="470" cm="1">
        <f t="array" aca="1" ref="AN215" ca="1">ROUND(ORÇAMENTO.CustoUnitario*(1+$AH215),2)</f>
        <v>0</v>
      </c>
    </row>
    <row r="216" spans="1:40" ht="38.25" x14ac:dyDescent="0.2">
      <c r="A216" t="str">
        <f t="shared" si="52"/>
        <v>S</v>
      </c>
      <c r="B216">
        <f t="shared" ca="1" si="53"/>
        <v>3</v>
      </c>
      <c r="C216" t="str">
        <f t="shared" ca="1" si="54"/>
        <v>S</v>
      </c>
      <c r="D216">
        <f t="shared" ca="1" si="55"/>
        <v>0</v>
      </c>
      <c r="E216">
        <f ca="1">IF($C216=1,OFFSET(E216,-1,0)+MAX(1,COUNTIF(QCI!$A$13:$A$24,OFFSET(ORÇAMENTO!E216,-1,0))),OFFSET(E216,-1,0))</f>
        <v>9</v>
      </c>
      <c r="F216">
        <f t="shared" ca="1" si="56"/>
        <v>3</v>
      </c>
      <c r="G216">
        <f t="shared" ca="1" si="57"/>
        <v>1</v>
      </c>
      <c r="H216">
        <f t="shared" ca="1" si="58"/>
        <v>0</v>
      </c>
      <c r="I216">
        <f t="shared" ca="1" si="59"/>
        <v>0</v>
      </c>
      <c r="J216">
        <f t="shared" ca="1" si="51"/>
        <v>0</v>
      </c>
      <c r="K216">
        <f ca="1">IF(OR($C216="S",$C216=0),0,MATCH(OFFSET($D216,0,$C216)+IF($C216&lt;&gt;1,1,COUNTIF(QCI!$A$13:$A$24,ORÇAMENTO!E216)),OFFSET($D216,1,$C216,ROW($C$244)-ROW($C216)),0))</f>
        <v>0</v>
      </c>
      <c r="L216" s="114" t="str">
        <f t="shared" ca="1" si="60"/>
        <v/>
      </c>
      <c r="M216" s="115" t="s">
        <v>705</v>
      </c>
      <c r="N216" s="116" t="str">
        <f t="shared" ca="1" si="61"/>
        <v>Serviço</v>
      </c>
      <c r="O216" s="117" t="str">
        <f t="shared" ca="1" si="62"/>
        <v>-</v>
      </c>
      <c r="P216" s="118" t="s">
        <v>750</v>
      </c>
      <c r="Q216" s="119" t="s">
        <v>1152</v>
      </c>
      <c r="R216" s="120" t="str" cm="1">
        <f t="array" aca="1" ref="R216" ca="1">IF($C216="S",REFERENCIA.Descricao,"(digite a descrição aqui)")</f>
        <v>(Código não identificado nas referências)</v>
      </c>
      <c r="S216" s="121" t="str" cm="1">
        <f t="array" aca="1" ref="S216" ca="1">REFERENCIA.Unidade</f>
        <v>-</v>
      </c>
      <c r="T216" s="122">
        <f ca="1">OFFSET(CÁLCULO!H$15,ROW($T216)-ROW(T$15),0)</f>
        <v>675.99999999999989</v>
      </c>
      <c r="U216" s="123">
        <f t="shared" ca="1" si="63"/>
        <v>0</v>
      </c>
      <c r="V216" s="124" t="s">
        <v>663</v>
      </c>
      <c r="W216" s="122" cm="1">
        <f t="array" aca="1" ref="W216" ca="1">IF($C216="S",ROUND(IF(TIPOORCAMENTO="Proposto",ORÇAMENTO.CustoUnitario*(1+$AH216),ORÇAMENTO.PrecoUnitarioLicitado),15-13*$AF$10),0)</f>
        <v>0</v>
      </c>
      <c r="X216" s="125" cm="1">
        <f t="array" aca="1" ref="X216" ca="1">IF($C216="S",IF(OR(Import.TipoArredondamento&lt;&gt;"TransfereGOV",ACOMPANHAMENTO="BM"),VTOTAL1,SUM(OFFSET(CÁLCULO!$AQ$15,ROW($X216)-ROW($X$15),1):OFFSET(CÁLCULO!$BR$15,ROW($X216)-ROW($X$15),-1))),IF($C216=0,0,ROUND(SomaAgrup,15-13*$AF$11)))</f>
        <v>0</v>
      </c>
      <c r="Y216" s="126" t="s">
        <v>751</v>
      </c>
      <c r="Z216" t="str">
        <f t="shared" ca="1" si="64"/>
        <v/>
      </c>
      <c r="AA216" s="127" cm="1">
        <f t="array" aca="1" ref="AA216" ca="1">IF($C216="S",IF($Z216="CP",$X216,IF($Z216="RA",(($X216)*QCI!$AA$3),0)),SomaAgrup)</f>
        <v>0</v>
      </c>
      <c r="AB216" s="128" cm="1">
        <f t="array" aca="1" ref="AB216" ca="1">IF($C216="S",IF($Z216="OU",ROUND($X216,2),0),SomaAgrup)</f>
        <v>0</v>
      </c>
      <c r="AC216" s="565" t="str" cm="1">
        <f t="array" aca="1" ref="AC216" ca="1">IF($N216=""," ",
IF(AND($C216&lt;&gt;"S",OR($R216="",$R216="(digite a descrição aqui)")),"DESCRIÇÃO",
IF(AND($C216="S",OR($Q216&lt;&gt;"",$T216&gt;0,$U216&gt;0),$P216=""),"FONTE",
IF(AND($C216="S",$P216&lt;&gt;"",OR($T216&gt;0,$U216&gt;0),$Q216=""),"CÓDIGO",
IF(AND($C216="S",$P216&lt;&gt;"",$Q216&lt;&gt;"",$R216="(Código não identificado nas referências)"),"CÓDIGO N/ID",
IF(AND($C216="S",OR($R216="",$R216="(digite a descrição aqui)"),OR($Q216&lt;&gt;"",$T216&gt;0,$U216&gt;0)),"DESCRIÇÃO",
IF(AND($C216="S",$P216&lt;&gt;"",$Q216&lt;&gt;"",$S216=""),"UNIDADE",
IF(AND($C216="S",$P216&lt;&gt;"",$Q216&lt;&gt;"",$U216=0),"SEM CUSTO",
IF(AND(TIPOORCAMENTO="Licitado",$AL216=0,$AN216&gt;0),"SEM PREÇO",
IF(AND($C216="S",$P216&lt;&gt;"",$Q216&lt;&gt;"",$U216&gt;0,AND($V216&lt;&gt;"BDI 1",$V216&lt;&gt;"BDI 2",$V216&lt;&gt;"BDI 3")),IF(ISNUMBER($V216),"JUSTIFICAR BDI","BDI"),
IF(OR(AND(import.recurso="OGU",TIPOORCAMENTO="Proposto",LEFT($O$8,5)&lt;&gt;"(N/D:",$AG216&lt;&gt;"",ORÇAMENTO.CustoUnitario&gt;$AG216),AND(TIPOORCAMENTO="LICITADO",ORÇAMENTO.PrecoUnitarioLicitado&gt;$AN216)),"ACIMA REF.",
IF(AND($C216="S",$P216&lt;&gt;"",$Q216&lt;&gt;"",$T216=0,$U216&gt;0),"QUANT.",
IF(AND(Import.TipoArredondamento="TransfereGOV",$L216="F",$C216="S",LEN($Q216)&gt;13),"Código &gt;13",
IF(AND(Import.TipoArredondamento="TransfereGOV",$L216="F",$C216&lt;&gt;"S",LEN($R216)&gt;100),"Descrição &gt;100",
IF(AND(Import.TipoArredondamento="TransfereGOV",$L216="F",$C216="S",LEN($R216)&gt;500),"Descrição &gt;500",
IF(AND(Import.TipoArredondamento="TransfereGOV",$L216="F",$C216="S",LEFT(TRIM(UPPER($P216)),6)&lt;&gt;"SINAPI",ISNA(VLOOKUP(TRIM(UPPER($S216)),ListaTgov.Unidades,1,FALSE))),"Unid. Não Disp",
" "))))))))))))))))</f>
        <v>CÓDIGO N/ID</v>
      </c>
      <c r="AD216" t="str">
        <f ca="1">IF(C216&lt;=CRONO.NivelExibicao,MAX($AD$15:OFFSET(AD216,-1,0))+IF($C216&lt;&gt;1,1,MAX(1,COUNTIF(QCI!$A$13:$A$24,OFFSET($E216,-1,0)))),"")</f>
        <v/>
      </c>
      <c r="AE216" s="7" t="str" cm="1">
        <f t="array" aca="1" ref="AE216" ca="1">IF(AND($C216="S",ORÇAMENTO.CodBarra&lt;&gt;""),IF(ORÇAMENTO.Fonte="",ORÇAMENTO.CodBarra,CONCATENATE(ORÇAMENTO.Fonte," ",ORÇAMENTO.CodBarra)))</f>
        <v>SINAPI 89714</v>
      </c>
      <c r="AF216" s="12" t="str" cm="1">
        <f t="array" aca="1" ref="AF216" ca="1">IF(ISERROR(ORÇAMENTO.BancoRef),"(abra o arquivo 'Referência "&amp;Excel_BuiltIn_Database&amp;".xlsm)",IF(OR($C216&lt;&gt;"S",ORÇAMENTO.CodBarra=""),"(Sem Código)",IF(ISERROR(MATCH($AE216,INDIRECT(ORÇAMENTO.BancoRef),0)),"(Código não identificado nas referências)",MATCH($AE216,INDIRECT(ORÇAMENTO.BancoRef),0))))</f>
        <v>(Código não identificado nas referências)</v>
      </c>
      <c r="AG216" s="428" cm="1">
        <f t="array" aca="1" ref="AG216" ca="1">ROUND(IF(DESONERACAO="sim",REFERENCIA.Desonerado,REFERENCIA.NaoDesonerado),2)</f>
        <v>0</v>
      </c>
      <c r="AH216" s="429">
        <f t="shared" ca="1" si="65"/>
        <v>0.2223</v>
      </c>
      <c r="AJ216" s="431"/>
      <c r="AL216" s="439"/>
      <c r="AM216" s="336">
        <f t="shared" ca="1" si="0"/>
        <v>0</v>
      </c>
      <c r="AN216" s="470" cm="1">
        <f t="array" aca="1" ref="AN216" ca="1">ROUND(ORÇAMENTO.CustoUnitario*(1+$AH216),2)</f>
        <v>0</v>
      </c>
    </row>
    <row r="217" spans="1:40" x14ac:dyDescent="0.2">
      <c r="A217">
        <f t="shared" si="52"/>
        <v>3</v>
      </c>
      <c r="B217">
        <f t="shared" ca="1" si="53"/>
        <v>3</v>
      </c>
      <c r="C217">
        <f t="shared" ca="1" si="54"/>
        <v>3</v>
      </c>
      <c r="D217">
        <f t="shared" ca="1" si="55"/>
        <v>8</v>
      </c>
      <c r="E217">
        <f ca="1">IF($C217=1,OFFSET(E217,-1,0)+MAX(1,COUNTIF(QCI!$A$13:$A$24,OFFSET(ORÇAMENTO!E217,-1,0))),OFFSET(E217,-1,0))</f>
        <v>9</v>
      </c>
      <c r="F217">
        <f t="shared" ca="1" si="56"/>
        <v>3</v>
      </c>
      <c r="G217">
        <f t="shared" ca="1" si="57"/>
        <v>2</v>
      </c>
      <c r="H217">
        <f t="shared" ca="1" si="58"/>
        <v>0</v>
      </c>
      <c r="I217">
        <f t="shared" ca="1" si="59"/>
        <v>0</v>
      </c>
      <c r="J217">
        <f t="shared" ca="1" si="51"/>
        <v>16</v>
      </c>
      <c r="K217">
        <f ca="1">IF(OR($C217="S",$C217=0),0,MATCH(OFFSET($D217,0,$C217)+IF($C217&lt;&gt;1,1,COUNTIF(QCI!$A$13:$A$24,ORÇAMENTO!E217)),OFFSET($D217,1,$C217,ROW($C$244)-ROW($C217)),0))</f>
        <v>8</v>
      </c>
      <c r="L217" s="114" t="str">
        <f t="shared" ca="1" si="60"/>
        <v>F</v>
      </c>
      <c r="M217" s="115" t="s">
        <v>703</v>
      </c>
      <c r="N217" s="116" t="str">
        <f t="shared" ca="1" si="61"/>
        <v>Nível 3</v>
      </c>
      <c r="O217" s="117" t="str">
        <f t="shared" ca="1" si="62"/>
        <v>9.3.2.</v>
      </c>
      <c r="P217" s="118" t="s">
        <v>250</v>
      </c>
      <c r="Q217" s="119" t="s">
        <v>250</v>
      </c>
      <c r="R217" s="120" t="s">
        <v>1211</v>
      </c>
      <c r="S217" s="121"/>
      <c r="T217" s="122">
        <f ca="1">OFFSET(CÁLCULO!H$15,ROW($T217)-ROW(T$15),0)</f>
        <v>0</v>
      </c>
      <c r="U217" s="123">
        <f t="shared" ca="1" si="63"/>
        <v>0</v>
      </c>
      <c r="V217" s="124" t="s">
        <v>663</v>
      </c>
      <c r="W217" s="122" cm="1">
        <f t="array" aca="1" ref="W217" ca="1">IF($C217="S",ROUND(IF(TIPOORCAMENTO="Proposto",ORÇAMENTO.CustoUnitario*(1+$AH217),ORÇAMENTO.PrecoUnitarioLicitado),15-13*$AF$10),0)</f>
        <v>0</v>
      </c>
      <c r="X217" s="125" cm="1">
        <f t="array" aca="1" ref="X217" ca="1">IF($C217="S",IF(OR(Import.TipoArredondamento&lt;&gt;"TransfereGOV",ACOMPANHAMENTO="BM"),VTOTAL1,SUM(OFFSET(CÁLCULO!$AQ$15,ROW($X217)-ROW($X$15),1):OFFSET(CÁLCULO!$BR$15,ROW($X217)-ROW($X$15),-1))),IF($C217=0,0,ROUND(SomaAgrup,15-13*$AF$11)))</f>
        <v>0</v>
      </c>
      <c r="Y217" s="126" t="s">
        <v>751</v>
      </c>
      <c r="Z217" t="str">
        <f t="shared" ca="1" si="64"/>
        <v/>
      </c>
      <c r="AA217" s="127" cm="1">
        <f t="array" aca="1" ref="AA217" ca="1">IF($C217="S",IF($Z217="CP",$X217,IF($Z217="RA",(($X217)*QCI!$AA$3),0)),SomaAgrup)</f>
        <v>0</v>
      </c>
      <c r="AB217" s="128" cm="1">
        <f t="array" aca="1" ref="AB217" ca="1">IF($C217="S",IF($Z217="OU",ROUND($X217,2),0),SomaAgrup)</f>
        <v>0</v>
      </c>
      <c r="AC217" s="565" t="str" cm="1">
        <f t="array" aca="1" ref="AC217" ca="1">IF($N217=""," ",
IF(AND($C217&lt;&gt;"S",OR($R217="",$R217="(digite a descrição aqui)")),"DESCRIÇÃO",
IF(AND($C217="S",OR($Q217&lt;&gt;"",$T217&gt;0,$U217&gt;0),$P217=""),"FONTE",
IF(AND($C217="S",$P217&lt;&gt;"",OR($T217&gt;0,$U217&gt;0),$Q217=""),"CÓDIGO",
IF(AND($C217="S",$P217&lt;&gt;"",$Q217&lt;&gt;"",$R217="(Código não identificado nas referências)"),"CÓDIGO N/ID",
IF(AND($C217="S",OR($R217="",$R217="(digite a descrição aqui)"),OR($Q217&lt;&gt;"",$T217&gt;0,$U217&gt;0)),"DESCRIÇÃO",
IF(AND($C217="S",$P217&lt;&gt;"",$Q217&lt;&gt;"",$S217=""),"UNIDADE",
IF(AND($C217="S",$P217&lt;&gt;"",$Q217&lt;&gt;"",$U217=0),"SEM CUSTO",
IF(AND(TIPOORCAMENTO="Licitado",$AL217=0,$AN217&gt;0),"SEM PREÇO",
IF(AND($C217="S",$P217&lt;&gt;"",$Q217&lt;&gt;"",$U217&gt;0,AND($V217&lt;&gt;"BDI 1",$V217&lt;&gt;"BDI 2",$V217&lt;&gt;"BDI 3")),IF(ISNUMBER($V217),"JUSTIFICAR BDI","BDI"),
IF(OR(AND(import.recurso="OGU",TIPOORCAMENTO="Proposto",LEFT($O$8,5)&lt;&gt;"(N/D:",$AG217&lt;&gt;"",ORÇAMENTO.CustoUnitario&gt;$AG217),AND(TIPOORCAMENTO="LICITADO",ORÇAMENTO.PrecoUnitarioLicitado&gt;$AN217)),"ACIMA REF.",
IF(AND($C217="S",$P217&lt;&gt;"",$Q217&lt;&gt;"",$T217=0,$U217&gt;0),"QUANT.",
IF(AND(Import.TipoArredondamento="TransfereGOV",$L217="F",$C217="S",LEN($Q217)&gt;13),"Código &gt;13",
IF(AND(Import.TipoArredondamento="TransfereGOV",$L217="F",$C217&lt;&gt;"S",LEN($R217)&gt;100),"Descrição &gt;100",
IF(AND(Import.TipoArredondamento="TransfereGOV",$L217="F",$C217="S",LEN($R217)&gt;500),"Descrição &gt;500",
IF(AND(Import.TipoArredondamento="TransfereGOV",$L217="F",$C217="S",LEFT(TRIM(UPPER($P217)),6)&lt;&gt;"SINAPI",ISNA(VLOOKUP(TRIM(UPPER($S217)),ListaTgov.Unidades,1,FALSE))),"Unid. Não Disp",
" "))))))))))))))))</f>
        <v xml:space="preserve"> </v>
      </c>
      <c r="AD217">
        <f ca="1">IF(C217&lt;=CRONO.NivelExibicao,MAX($AD$15:OFFSET(AD217,-1,0))+IF($C217&lt;&gt;1,1,MAX(1,COUNTIF(QCI!$A$13:$A$24,OFFSET($E217,-1,0)))),"")</f>
        <v>43</v>
      </c>
      <c r="AE217" s="7" t="b" cm="1">
        <f t="array" aca="1" ref="AE217" ca="1">IF(AND($C217="S",ORÇAMENTO.CodBarra&lt;&gt;""),IF(ORÇAMENTO.Fonte="",ORÇAMENTO.CodBarra,CONCATENATE(ORÇAMENTO.Fonte," ",ORÇAMENTO.CodBarra)))</f>
        <v>0</v>
      </c>
      <c r="AF217" s="12" t="str" cm="1">
        <f t="array" aca="1" ref="AF217" ca="1">IF(ISERROR(ORÇAMENTO.BancoRef),"(abra o arquivo 'Referência "&amp;Excel_BuiltIn_Database&amp;".xlsm)",IF(OR($C217&lt;&gt;"S",ORÇAMENTO.CodBarra=""),"(Sem Código)",IF(ISERROR(MATCH($AE217,INDIRECT(ORÇAMENTO.BancoRef),0)),"(Código não identificado nas referências)",MATCH($AE217,INDIRECT(ORÇAMENTO.BancoRef),0))))</f>
        <v>(Sem Código)</v>
      </c>
      <c r="AG217" s="428" cm="1">
        <f t="array" aca="1" ref="AG217" ca="1">ROUND(IF(DESONERACAO="sim",REFERENCIA.Desonerado,REFERENCIA.NaoDesonerado),2)</f>
        <v>0</v>
      </c>
      <c r="AH217" s="429">
        <f t="shared" ca="1" si="65"/>
        <v>0.2223</v>
      </c>
      <c r="AJ217" s="431"/>
      <c r="AL217" s="439"/>
      <c r="AM217" s="336">
        <f t="shared" ca="1" si="0"/>
        <v>0</v>
      </c>
      <c r="AN217" s="470" cm="1">
        <f t="array" aca="1" ref="AN217" ca="1">ROUND(ORÇAMENTO.CustoUnitario*(1+$AH217),2)</f>
        <v>0</v>
      </c>
    </row>
    <row r="218" spans="1:40" ht="38.25" x14ac:dyDescent="0.2">
      <c r="A218" t="str">
        <f t="shared" si="52"/>
        <v>S</v>
      </c>
      <c r="B218">
        <f t="shared" ca="1" si="53"/>
        <v>3</v>
      </c>
      <c r="C218" t="str">
        <f t="shared" ca="1" si="54"/>
        <v>S</v>
      </c>
      <c r="D218">
        <f t="shared" ca="1" si="55"/>
        <v>0</v>
      </c>
      <c r="E218">
        <f ca="1">IF($C218=1,OFFSET(E218,-1,0)+MAX(1,COUNTIF(QCI!$A$13:$A$24,OFFSET(ORÇAMENTO!E218,-1,0))),OFFSET(E218,-1,0))</f>
        <v>9</v>
      </c>
      <c r="F218">
        <f t="shared" ca="1" si="56"/>
        <v>3</v>
      </c>
      <c r="G218">
        <f t="shared" ca="1" si="57"/>
        <v>2</v>
      </c>
      <c r="H218">
        <f t="shared" ca="1" si="58"/>
        <v>0</v>
      </c>
      <c r="I218">
        <f t="shared" ca="1" si="59"/>
        <v>0</v>
      </c>
      <c r="J218">
        <f t="shared" ca="1" si="51"/>
        <v>0</v>
      </c>
      <c r="K218">
        <f ca="1">IF(OR($C218="S",$C218=0),0,MATCH(OFFSET($D218,0,$C218)+IF($C218&lt;&gt;1,1,COUNTIF(QCI!$A$13:$A$24,ORÇAMENTO!E218)),OFFSET($D218,1,$C218,ROW($C$244)-ROW($C218)),0))</f>
        <v>0</v>
      </c>
      <c r="L218" s="114" t="str">
        <f t="shared" ca="1" si="60"/>
        <v/>
      </c>
      <c r="M218" s="115" t="s">
        <v>705</v>
      </c>
      <c r="N218" s="116" t="str">
        <f t="shared" ca="1" si="61"/>
        <v>Serviço</v>
      </c>
      <c r="O218" s="117" t="str">
        <f t="shared" ca="1" si="62"/>
        <v>-</v>
      </c>
      <c r="P218" s="118" t="s">
        <v>750</v>
      </c>
      <c r="Q218" s="119" t="s">
        <v>1153</v>
      </c>
      <c r="R218" s="120" t="str" cm="1">
        <f t="array" aca="1" ref="R218" ca="1">IF($C218="S",REFERENCIA.Descricao,"(digite a descrição aqui)")</f>
        <v>(Código não identificado nas referências)</v>
      </c>
      <c r="S218" s="121" t="str" cm="1">
        <f t="array" aca="1" ref="S218" ca="1">REFERENCIA.Unidade</f>
        <v>-</v>
      </c>
      <c r="T218" s="122">
        <f ca="1">OFFSET(CÁLCULO!H$15,ROW($T218)-ROW(T$15),0)</f>
        <v>100</v>
      </c>
      <c r="U218" s="123">
        <f t="shared" ca="1" si="63"/>
        <v>0</v>
      </c>
      <c r="V218" s="124" t="s">
        <v>663</v>
      </c>
      <c r="W218" s="122" cm="1">
        <f t="array" aca="1" ref="W218" ca="1">IF($C218="S",ROUND(IF(TIPOORCAMENTO="Proposto",ORÇAMENTO.CustoUnitario*(1+$AH218),ORÇAMENTO.PrecoUnitarioLicitado),15-13*$AF$10),0)</f>
        <v>0</v>
      </c>
      <c r="X218" s="125" cm="1">
        <f t="array" aca="1" ref="X218" ca="1">IF($C218="S",IF(OR(Import.TipoArredondamento&lt;&gt;"TransfereGOV",ACOMPANHAMENTO="BM"),VTOTAL1,SUM(OFFSET(CÁLCULO!$AQ$15,ROW($X218)-ROW($X$15),1):OFFSET(CÁLCULO!$BR$15,ROW($X218)-ROW($X$15),-1))),IF($C218=0,0,ROUND(SomaAgrup,15-13*$AF$11)))</f>
        <v>0</v>
      </c>
      <c r="Y218" s="126" t="s">
        <v>751</v>
      </c>
      <c r="Z218" t="str">
        <f t="shared" ca="1" si="64"/>
        <v/>
      </c>
      <c r="AA218" s="127" cm="1">
        <f t="array" aca="1" ref="AA218" ca="1">IF($C218="S",IF($Z218="CP",$X218,IF($Z218="RA",(($X218)*QCI!$AA$3),0)),SomaAgrup)</f>
        <v>0</v>
      </c>
      <c r="AB218" s="128" cm="1">
        <f t="array" aca="1" ref="AB218" ca="1">IF($C218="S",IF($Z218="OU",ROUND($X218,2),0),SomaAgrup)</f>
        <v>0</v>
      </c>
      <c r="AC218" s="565" t="str" cm="1">
        <f t="array" aca="1" ref="AC218" ca="1">IF($N218=""," ",
IF(AND($C218&lt;&gt;"S",OR($R218="",$R218="(digite a descrição aqui)")),"DESCRIÇÃO",
IF(AND($C218="S",OR($Q218&lt;&gt;"",$T218&gt;0,$U218&gt;0),$P218=""),"FONTE",
IF(AND($C218="S",$P218&lt;&gt;"",OR($T218&gt;0,$U218&gt;0),$Q218=""),"CÓDIGO",
IF(AND($C218="S",$P218&lt;&gt;"",$Q218&lt;&gt;"",$R218="(Código não identificado nas referências)"),"CÓDIGO N/ID",
IF(AND($C218="S",OR($R218="",$R218="(digite a descrição aqui)"),OR($Q218&lt;&gt;"",$T218&gt;0,$U218&gt;0)),"DESCRIÇÃO",
IF(AND($C218="S",$P218&lt;&gt;"",$Q218&lt;&gt;"",$S218=""),"UNIDADE",
IF(AND($C218="S",$P218&lt;&gt;"",$Q218&lt;&gt;"",$U218=0),"SEM CUSTO",
IF(AND(TIPOORCAMENTO="Licitado",$AL218=0,$AN218&gt;0),"SEM PREÇO",
IF(AND($C218="S",$P218&lt;&gt;"",$Q218&lt;&gt;"",$U218&gt;0,AND($V218&lt;&gt;"BDI 1",$V218&lt;&gt;"BDI 2",$V218&lt;&gt;"BDI 3")),IF(ISNUMBER($V218),"JUSTIFICAR BDI","BDI"),
IF(OR(AND(import.recurso="OGU",TIPOORCAMENTO="Proposto",LEFT($O$8,5)&lt;&gt;"(N/D:",$AG218&lt;&gt;"",ORÇAMENTO.CustoUnitario&gt;$AG218),AND(TIPOORCAMENTO="LICITADO",ORÇAMENTO.PrecoUnitarioLicitado&gt;$AN218)),"ACIMA REF.",
IF(AND($C218="S",$P218&lt;&gt;"",$Q218&lt;&gt;"",$T218=0,$U218&gt;0),"QUANT.",
IF(AND(Import.TipoArredondamento="TransfereGOV",$L218="F",$C218="S",LEN($Q218)&gt;13),"Código &gt;13",
IF(AND(Import.TipoArredondamento="TransfereGOV",$L218="F",$C218&lt;&gt;"S",LEN($R218)&gt;100),"Descrição &gt;100",
IF(AND(Import.TipoArredondamento="TransfereGOV",$L218="F",$C218="S",LEN($R218)&gt;500),"Descrição &gt;500",
IF(AND(Import.TipoArredondamento="TransfereGOV",$L218="F",$C218="S",LEFT(TRIM(UPPER($P218)),6)&lt;&gt;"SINAPI",ISNA(VLOOKUP(TRIM(UPPER($S218)),ListaTgov.Unidades,1,FALSE))),"Unid. Não Disp",
" "))))))))))))))))</f>
        <v>CÓDIGO N/ID</v>
      </c>
      <c r="AD218" t="str">
        <f ca="1">IF(C218&lt;=CRONO.NivelExibicao,MAX($AD$15:OFFSET(AD218,-1,0))+IF($C218&lt;&gt;1,1,MAX(1,COUNTIF(QCI!$A$13:$A$24,OFFSET($E218,-1,0)))),"")</f>
        <v/>
      </c>
      <c r="AE218" s="7" t="str" cm="1">
        <f t="array" aca="1" ref="AE218" ca="1">IF(AND($C218="S",ORÇAMENTO.CodBarra&lt;&gt;""),IF(ORÇAMENTO.Fonte="",ORÇAMENTO.CodBarra,CONCATENATE(ORÇAMENTO.Fonte," ",ORÇAMENTO.CodBarra)))</f>
        <v>SINAPI 97902</v>
      </c>
      <c r="AF218" s="12" t="str" cm="1">
        <f t="array" aca="1" ref="AF218" ca="1">IF(ISERROR(ORÇAMENTO.BancoRef),"(abra o arquivo 'Referência "&amp;Excel_BuiltIn_Database&amp;".xlsm)",IF(OR($C218&lt;&gt;"S",ORÇAMENTO.CodBarra=""),"(Sem Código)",IF(ISERROR(MATCH($AE218,INDIRECT(ORÇAMENTO.BancoRef),0)),"(Código não identificado nas referências)",MATCH($AE218,INDIRECT(ORÇAMENTO.BancoRef),0))))</f>
        <v>(Código não identificado nas referências)</v>
      </c>
      <c r="AG218" s="428" cm="1">
        <f t="array" aca="1" ref="AG218" ca="1">ROUND(IF(DESONERACAO="sim",REFERENCIA.Desonerado,REFERENCIA.NaoDesonerado),2)</f>
        <v>0</v>
      </c>
      <c r="AH218" s="429">
        <f t="shared" ca="1" si="65"/>
        <v>0.2223</v>
      </c>
      <c r="AJ218" s="431"/>
      <c r="AL218" s="439"/>
      <c r="AM218" s="336">
        <f t="shared" ca="1" si="0"/>
        <v>0</v>
      </c>
      <c r="AN218" s="470" cm="1">
        <f t="array" aca="1" ref="AN218" ca="1">ROUND(ORÇAMENTO.CustoUnitario*(1+$AH218),2)</f>
        <v>0</v>
      </c>
    </row>
    <row r="219" spans="1:40" ht="38.25" x14ac:dyDescent="0.2">
      <c r="A219" t="str">
        <f t="shared" si="52"/>
        <v>S</v>
      </c>
      <c r="B219">
        <f t="shared" ca="1" si="53"/>
        <v>3</v>
      </c>
      <c r="C219" t="str">
        <f t="shared" ca="1" si="54"/>
        <v>S</v>
      </c>
      <c r="D219">
        <f t="shared" ca="1" si="55"/>
        <v>0</v>
      </c>
      <c r="E219">
        <f ca="1">IF($C219=1,OFFSET(E219,-1,0)+MAX(1,COUNTIF(QCI!$A$13:$A$24,OFFSET(ORÇAMENTO!E219,-1,0))),OFFSET(E219,-1,0))</f>
        <v>9</v>
      </c>
      <c r="F219">
        <f t="shared" ca="1" si="56"/>
        <v>3</v>
      </c>
      <c r="G219">
        <f t="shared" ca="1" si="57"/>
        <v>2</v>
      </c>
      <c r="H219">
        <f t="shared" ca="1" si="58"/>
        <v>0</v>
      </c>
      <c r="I219">
        <f t="shared" ca="1" si="59"/>
        <v>0</v>
      </c>
      <c r="J219">
        <f t="shared" ca="1" si="51"/>
        <v>0</v>
      </c>
      <c r="K219">
        <f ca="1">IF(OR($C219="S",$C219=0),0,MATCH(OFFSET($D219,0,$C219)+IF($C219&lt;&gt;1,1,COUNTIF(QCI!$A$13:$A$24,ORÇAMENTO!E219)),OFFSET($D219,1,$C219,ROW($C$244)-ROW($C219)),0))</f>
        <v>0</v>
      </c>
      <c r="L219" s="114" t="str">
        <f t="shared" ca="1" si="60"/>
        <v/>
      </c>
      <c r="M219" s="115" t="s">
        <v>705</v>
      </c>
      <c r="N219" s="116" t="str">
        <f t="shared" ca="1" si="61"/>
        <v>Serviço</v>
      </c>
      <c r="O219" s="117" t="str">
        <f t="shared" ca="1" si="62"/>
        <v>-</v>
      </c>
      <c r="P219" s="118" t="s">
        <v>750</v>
      </c>
      <c r="Q219" s="119" t="s">
        <v>1154</v>
      </c>
      <c r="R219" s="120" t="str" cm="1">
        <f t="array" aca="1" ref="R219" ca="1">IF($C219="S",REFERENCIA.Descricao,"(digite a descrição aqui)")</f>
        <v>(Código não identificado nas referências)</v>
      </c>
      <c r="S219" s="121" t="str" cm="1">
        <f t="array" aca="1" ref="S219" ca="1">REFERENCIA.Unidade</f>
        <v>-</v>
      </c>
      <c r="T219" s="122">
        <f ca="1">OFFSET(CÁLCULO!H$15,ROW($T219)-ROW(T$15),0)</f>
        <v>20</v>
      </c>
      <c r="U219" s="123">
        <f t="shared" ca="1" si="63"/>
        <v>0</v>
      </c>
      <c r="V219" s="124" t="s">
        <v>663</v>
      </c>
      <c r="W219" s="122" cm="1">
        <f t="array" aca="1" ref="W219" ca="1">IF($C219="S",ROUND(IF(TIPOORCAMENTO="Proposto",ORÇAMENTO.CustoUnitario*(1+$AH219),ORÇAMENTO.PrecoUnitarioLicitado),15-13*$AF$10),0)</f>
        <v>0</v>
      </c>
      <c r="X219" s="125" cm="1">
        <f t="array" aca="1" ref="X219" ca="1">IF($C219="S",IF(OR(Import.TipoArredondamento&lt;&gt;"TransfereGOV",ACOMPANHAMENTO="BM"),VTOTAL1,SUM(OFFSET(CÁLCULO!$AQ$15,ROW($X219)-ROW($X$15),1):OFFSET(CÁLCULO!$BR$15,ROW($X219)-ROW($X$15),-1))),IF($C219=0,0,ROUND(SomaAgrup,15-13*$AF$11)))</f>
        <v>0</v>
      </c>
      <c r="Y219" s="126" t="s">
        <v>751</v>
      </c>
      <c r="Z219" t="str">
        <f t="shared" ca="1" si="64"/>
        <v/>
      </c>
      <c r="AA219" s="127" cm="1">
        <f t="array" aca="1" ref="AA219" ca="1">IF($C219="S",IF($Z219="CP",$X219,IF($Z219="RA",(($X219)*QCI!$AA$3),0)),SomaAgrup)</f>
        <v>0</v>
      </c>
      <c r="AB219" s="128" cm="1">
        <f t="array" aca="1" ref="AB219" ca="1">IF($C219="S",IF($Z219="OU",ROUND($X219,2),0),SomaAgrup)</f>
        <v>0</v>
      </c>
      <c r="AC219" s="565" t="str" cm="1">
        <f t="array" aca="1" ref="AC219" ca="1">IF($N219=""," ",
IF(AND($C219&lt;&gt;"S",OR($R219="",$R219="(digite a descrição aqui)")),"DESCRIÇÃO",
IF(AND($C219="S",OR($Q219&lt;&gt;"",$T219&gt;0,$U219&gt;0),$P219=""),"FONTE",
IF(AND($C219="S",$P219&lt;&gt;"",OR($T219&gt;0,$U219&gt;0),$Q219=""),"CÓDIGO",
IF(AND($C219="S",$P219&lt;&gt;"",$Q219&lt;&gt;"",$R219="(Código não identificado nas referências)"),"CÓDIGO N/ID",
IF(AND($C219="S",OR($R219="",$R219="(digite a descrição aqui)"),OR($Q219&lt;&gt;"",$T219&gt;0,$U219&gt;0)),"DESCRIÇÃO",
IF(AND($C219="S",$P219&lt;&gt;"",$Q219&lt;&gt;"",$S219=""),"UNIDADE",
IF(AND($C219="S",$P219&lt;&gt;"",$Q219&lt;&gt;"",$U219=0),"SEM CUSTO",
IF(AND(TIPOORCAMENTO="Licitado",$AL219=0,$AN219&gt;0),"SEM PREÇO",
IF(AND($C219="S",$P219&lt;&gt;"",$Q219&lt;&gt;"",$U219&gt;0,AND($V219&lt;&gt;"BDI 1",$V219&lt;&gt;"BDI 2",$V219&lt;&gt;"BDI 3")),IF(ISNUMBER($V219),"JUSTIFICAR BDI","BDI"),
IF(OR(AND(import.recurso="OGU",TIPOORCAMENTO="Proposto",LEFT($O$8,5)&lt;&gt;"(N/D:",$AG219&lt;&gt;"",ORÇAMENTO.CustoUnitario&gt;$AG219),AND(TIPOORCAMENTO="LICITADO",ORÇAMENTO.PrecoUnitarioLicitado&gt;$AN219)),"ACIMA REF.",
IF(AND($C219="S",$P219&lt;&gt;"",$Q219&lt;&gt;"",$T219=0,$U219&gt;0),"QUANT.",
IF(AND(Import.TipoArredondamento="TransfereGOV",$L219="F",$C219="S",LEN($Q219)&gt;13),"Código &gt;13",
IF(AND(Import.TipoArredondamento="TransfereGOV",$L219="F",$C219&lt;&gt;"S",LEN($R219)&gt;100),"Descrição &gt;100",
IF(AND(Import.TipoArredondamento="TransfereGOV",$L219="F",$C219="S",LEN($R219)&gt;500),"Descrição &gt;500",
IF(AND(Import.TipoArredondamento="TransfereGOV",$L219="F",$C219="S",LEFT(TRIM(UPPER($P219)),6)&lt;&gt;"SINAPI",ISNA(VLOOKUP(TRIM(UPPER($S219)),ListaTgov.Unidades,1,FALSE))),"Unid. Não Disp",
" "))))))))))))))))</f>
        <v>CÓDIGO N/ID</v>
      </c>
      <c r="AD219" t="str">
        <f ca="1">IF(C219&lt;=CRONO.NivelExibicao,MAX($AD$15:OFFSET(AD219,-1,0))+IF($C219&lt;&gt;1,1,MAX(1,COUNTIF(QCI!$A$13:$A$24,OFFSET($E219,-1,0)))),"")</f>
        <v/>
      </c>
      <c r="AE219" s="7" t="str" cm="1">
        <f t="array" aca="1" ref="AE219" ca="1">IF(AND($C219="S",ORÇAMENTO.CodBarra&lt;&gt;""),IF(ORÇAMENTO.Fonte="",ORÇAMENTO.CodBarra,CONCATENATE(ORÇAMENTO.Fonte," ",ORÇAMENTO.CodBarra)))</f>
        <v>SINAPI 89707</v>
      </c>
      <c r="AF219" s="12" t="str" cm="1">
        <f t="array" aca="1" ref="AF219" ca="1">IF(ISERROR(ORÇAMENTO.BancoRef),"(abra o arquivo 'Referência "&amp;Excel_BuiltIn_Database&amp;".xlsm)",IF(OR($C219&lt;&gt;"S",ORÇAMENTO.CodBarra=""),"(Sem Código)",IF(ISERROR(MATCH($AE219,INDIRECT(ORÇAMENTO.BancoRef),0)),"(Código não identificado nas referências)",MATCH($AE219,INDIRECT(ORÇAMENTO.BancoRef),0))))</f>
        <v>(Código não identificado nas referências)</v>
      </c>
      <c r="AG219" s="428" cm="1">
        <f t="array" aca="1" ref="AG219" ca="1">ROUND(IF(DESONERACAO="sim",REFERENCIA.Desonerado,REFERENCIA.NaoDesonerado),2)</f>
        <v>0</v>
      </c>
      <c r="AH219" s="429">
        <f t="shared" ca="1" si="65"/>
        <v>0.2223</v>
      </c>
      <c r="AJ219" s="431"/>
      <c r="AL219" s="439"/>
      <c r="AM219" s="336">
        <f t="shared" ca="1" si="0"/>
        <v>0</v>
      </c>
      <c r="AN219" s="470" cm="1">
        <f t="array" aca="1" ref="AN219" ca="1">ROUND(ORÇAMENTO.CustoUnitario*(1+$AH219),2)</f>
        <v>0</v>
      </c>
    </row>
    <row r="220" spans="1:40" ht="38.25" x14ac:dyDescent="0.2">
      <c r="A220" t="str">
        <f t="shared" si="52"/>
        <v>S</v>
      </c>
      <c r="B220">
        <f t="shared" ca="1" si="53"/>
        <v>3</v>
      </c>
      <c r="C220" t="str">
        <f t="shared" ca="1" si="54"/>
        <v>S</v>
      </c>
      <c r="D220">
        <f t="shared" ca="1" si="55"/>
        <v>0</v>
      </c>
      <c r="E220">
        <f ca="1">IF($C220=1,OFFSET(E220,-1,0)+MAX(1,COUNTIF(QCI!$A$13:$A$24,OFFSET(ORÇAMENTO!E220,-1,0))),OFFSET(E220,-1,0))</f>
        <v>9</v>
      </c>
      <c r="F220">
        <f t="shared" ca="1" si="56"/>
        <v>3</v>
      </c>
      <c r="G220">
        <f t="shared" ca="1" si="57"/>
        <v>2</v>
      </c>
      <c r="H220">
        <f t="shared" ca="1" si="58"/>
        <v>0</v>
      </c>
      <c r="I220">
        <f t="shared" ca="1" si="59"/>
        <v>0</v>
      </c>
      <c r="J220">
        <f t="shared" ca="1" si="51"/>
        <v>0</v>
      </c>
      <c r="K220">
        <f ca="1">IF(OR($C220="S",$C220=0),0,MATCH(OFFSET($D220,0,$C220)+IF($C220&lt;&gt;1,1,COUNTIF(QCI!$A$13:$A$24,ORÇAMENTO!E220)),OFFSET($D220,1,$C220,ROW($C$244)-ROW($C220)),0))</f>
        <v>0</v>
      </c>
      <c r="L220" s="114" t="str">
        <f t="shared" ca="1" si="60"/>
        <v/>
      </c>
      <c r="M220" s="115" t="s">
        <v>705</v>
      </c>
      <c r="N220" s="116" t="str">
        <f t="shared" ca="1" si="61"/>
        <v>Serviço</v>
      </c>
      <c r="O220" s="117" t="str">
        <f t="shared" ca="1" si="62"/>
        <v>-</v>
      </c>
      <c r="P220" s="118" t="s">
        <v>750</v>
      </c>
      <c r="Q220" s="119" t="s">
        <v>1155</v>
      </c>
      <c r="R220" s="120" t="str" cm="1">
        <f t="array" aca="1" ref="R220" ca="1">IF($C220="S",REFERENCIA.Descricao,"(digite a descrição aqui)")</f>
        <v>(Código não identificado nas referências)</v>
      </c>
      <c r="S220" s="121" t="str" cm="1">
        <f t="array" aca="1" ref="S220" ca="1">REFERENCIA.Unidade</f>
        <v>-</v>
      </c>
      <c r="T220" s="122">
        <f ca="1">OFFSET(CÁLCULO!H$15,ROW($T220)-ROW(T$15),0)</f>
        <v>20</v>
      </c>
      <c r="U220" s="123">
        <f t="shared" ca="1" si="63"/>
        <v>0</v>
      </c>
      <c r="V220" s="124" t="s">
        <v>663</v>
      </c>
      <c r="W220" s="122" cm="1">
        <f t="array" aca="1" ref="W220" ca="1">IF($C220="S",ROUND(IF(TIPOORCAMENTO="Proposto",ORÇAMENTO.CustoUnitario*(1+$AH220),ORÇAMENTO.PrecoUnitarioLicitado),15-13*$AF$10),0)</f>
        <v>0</v>
      </c>
      <c r="X220" s="125" cm="1">
        <f t="array" aca="1" ref="X220" ca="1">IF($C220="S",IF(OR(Import.TipoArredondamento&lt;&gt;"TransfereGOV",ACOMPANHAMENTO="BM"),VTOTAL1,SUM(OFFSET(CÁLCULO!$AQ$15,ROW($X220)-ROW($X$15),1):OFFSET(CÁLCULO!$BR$15,ROW($X220)-ROW($X$15),-1))),IF($C220=0,0,ROUND(SomaAgrup,15-13*$AF$11)))</f>
        <v>0</v>
      </c>
      <c r="Y220" s="126" t="s">
        <v>751</v>
      </c>
      <c r="Z220" t="str">
        <f t="shared" ca="1" si="64"/>
        <v/>
      </c>
      <c r="AA220" s="127" cm="1">
        <f t="array" aca="1" ref="AA220" ca="1">IF($C220="S",IF($Z220="CP",$X220,IF($Z220="RA",(($X220)*QCI!$AA$3),0)),SomaAgrup)</f>
        <v>0</v>
      </c>
      <c r="AB220" s="128" cm="1">
        <f t="array" aca="1" ref="AB220" ca="1">IF($C220="S",IF($Z220="OU",ROUND($X220,2),0),SomaAgrup)</f>
        <v>0</v>
      </c>
      <c r="AC220" s="565" t="str" cm="1">
        <f t="array" aca="1" ref="AC220" ca="1">IF($N220=""," ",
IF(AND($C220&lt;&gt;"S",OR($R220="",$R220="(digite a descrição aqui)")),"DESCRIÇÃO",
IF(AND($C220="S",OR($Q220&lt;&gt;"",$T220&gt;0,$U220&gt;0),$P220=""),"FONTE",
IF(AND($C220="S",$P220&lt;&gt;"",OR($T220&gt;0,$U220&gt;0),$Q220=""),"CÓDIGO",
IF(AND($C220="S",$P220&lt;&gt;"",$Q220&lt;&gt;"",$R220="(Código não identificado nas referências)"),"CÓDIGO N/ID",
IF(AND($C220="S",OR($R220="",$R220="(digite a descrição aqui)"),OR($Q220&lt;&gt;"",$T220&gt;0,$U220&gt;0)),"DESCRIÇÃO",
IF(AND($C220="S",$P220&lt;&gt;"",$Q220&lt;&gt;"",$S220=""),"UNIDADE",
IF(AND($C220="S",$P220&lt;&gt;"",$Q220&lt;&gt;"",$U220=0),"SEM CUSTO",
IF(AND(TIPOORCAMENTO="Licitado",$AL220=0,$AN220&gt;0),"SEM PREÇO",
IF(AND($C220="S",$P220&lt;&gt;"",$Q220&lt;&gt;"",$U220&gt;0,AND($V220&lt;&gt;"BDI 1",$V220&lt;&gt;"BDI 2",$V220&lt;&gt;"BDI 3")),IF(ISNUMBER($V220),"JUSTIFICAR BDI","BDI"),
IF(OR(AND(import.recurso="OGU",TIPOORCAMENTO="Proposto",LEFT($O$8,5)&lt;&gt;"(N/D:",$AG220&lt;&gt;"",ORÇAMENTO.CustoUnitario&gt;$AG220),AND(TIPOORCAMENTO="LICITADO",ORÇAMENTO.PrecoUnitarioLicitado&gt;$AN220)),"ACIMA REF.",
IF(AND($C220="S",$P220&lt;&gt;"",$Q220&lt;&gt;"",$T220=0,$U220&gt;0),"QUANT.",
IF(AND(Import.TipoArredondamento="TransfereGOV",$L220="F",$C220="S",LEN($Q220)&gt;13),"Código &gt;13",
IF(AND(Import.TipoArredondamento="TransfereGOV",$L220="F",$C220&lt;&gt;"S",LEN($R220)&gt;100),"Descrição &gt;100",
IF(AND(Import.TipoArredondamento="TransfereGOV",$L220="F",$C220="S",LEN($R220)&gt;500),"Descrição &gt;500",
IF(AND(Import.TipoArredondamento="TransfereGOV",$L220="F",$C220="S",LEFT(TRIM(UPPER($P220)),6)&lt;&gt;"SINAPI",ISNA(VLOOKUP(TRIM(UPPER($S220)),ListaTgov.Unidades,1,FALSE))),"Unid. Não Disp",
" "))))))))))))))))</f>
        <v>CÓDIGO N/ID</v>
      </c>
      <c r="AD220" t="str">
        <f ca="1">IF(C220&lt;=CRONO.NivelExibicao,MAX($AD$15:OFFSET(AD220,-1,0))+IF($C220&lt;&gt;1,1,MAX(1,COUNTIF(QCI!$A$13:$A$24,OFFSET($E220,-1,0)))),"")</f>
        <v/>
      </c>
      <c r="AE220" s="7" t="str" cm="1">
        <f t="array" aca="1" ref="AE220" ca="1">IF(AND($C220="S",ORÇAMENTO.CodBarra&lt;&gt;""),IF(ORÇAMENTO.Fonte="",ORÇAMENTO.CodBarra,CONCATENATE(ORÇAMENTO.Fonte," ",ORÇAMENTO.CodBarra)))</f>
        <v>SINAPI 104327</v>
      </c>
      <c r="AF220" s="12" t="str" cm="1">
        <f t="array" aca="1" ref="AF220" ca="1">IF(ISERROR(ORÇAMENTO.BancoRef),"(abra o arquivo 'Referência "&amp;Excel_BuiltIn_Database&amp;".xlsm)",IF(OR($C220&lt;&gt;"S",ORÇAMENTO.CodBarra=""),"(Sem Código)",IF(ISERROR(MATCH($AE220,INDIRECT(ORÇAMENTO.BancoRef),0)),"(Código não identificado nas referências)",MATCH($AE220,INDIRECT(ORÇAMENTO.BancoRef),0))))</f>
        <v>(Código não identificado nas referências)</v>
      </c>
      <c r="AG220" s="428" cm="1">
        <f t="array" aca="1" ref="AG220" ca="1">ROUND(IF(DESONERACAO="sim",REFERENCIA.Desonerado,REFERENCIA.NaoDesonerado),2)</f>
        <v>0</v>
      </c>
      <c r="AH220" s="429">
        <f t="shared" ca="1" si="65"/>
        <v>0.2223</v>
      </c>
      <c r="AJ220" s="431"/>
      <c r="AL220" s="439"/>
      <c r="AM220" s="336">
        <f t="shared" ca="1" si="0"/>
        <v>0</v>
      </c>
      <c r="AN220" s="470" cm="1">
        <f t="array" aca="1" ref="AN220" ca="1">ROUND(ORÇAMENTO.CustoUnitario*(1+$AH220),2)</f>
        <v>0</v>
      </c>
    </row>
    <row r="221" spans="1:40" ht="38.25" x14ac:dyDescent="0.2">
      <c r="A221" t="str">
        <f t="shared" si="52"/>
        <v>S</v>
      </c>
      <c r="B221">
        <f t="shared" ca="1" si="53"/>
        <v>3</v>
      </c>
      <c r="C221" t="str">
        <f t="shared" ca="1" si="54"/>
        <v>S</v>
      </c>
      <c r="D221">
        <f t="shared" ca="1" si="55"/>
        <v>0</v>
      </c>
      <c r="E221">
        <f ca="1">IF($C221=1,OFFSET(E221,-1,0)+MAX(1,COUNTIF(QCI!$A$13:$A$24,OFFSET(ORÇAMENTO!E221,-1,0))),OFFSET(E221,-1,0))</f>
        <v>9</v>
      </c>
      <c r="F221">
        <f t="shared" ca="1" si="56"/>
        <v>3</v>
      </c>
      <c r="G221">
        <f t="shared" ca="1" si="57"/>
        <v>2</v>
      </c>
      <c r="H221">
        <f t="shared" ca="1" si="58"/>
        <v>0</v>
      </c>
      <c r="I221">
        <f t="shared" ca="1" si="59"/>
        <v>0</v>
      </c>
      <c r="J221">
        <f t="shared" ca="1" si="51"/>
        <v>0</v>
      </c>
      <c r="K221">
        <f ca="1">IF(OR($C221="S",$C221=0),0,MATCH(OFFSET($D221,0,$C221)+IF($C221&lt;&gt;1,1,COUNTIF(QCI!$A$13:$A$24,ORÇAMENTO!E221)),OFFSET($D221,1,$C221,ROW($C$244)-ROW($C221)),0))</f>
        <v>0</v>
      </c>
      <c r="L221" s="114" t="str">
        <f t="shared" ca="1" si="60"/>
        <v/>
      </c>
      <c r="M221" s="115" t="s">
        <v>705</v>
      </c>
      <c r="N221" s="116" t="str">
        <f t="shared" ca="1" si="61"/>
        <v>Serviço</v>
      </c>
      <c r="O221" s="117" t="str">
        <f t="shared" ca="1" si="62"/>
        <v>-</v>
      </c>
      <c r="P221" s="118" t="s">
        <v>750</v>
      </c>
      <c r="Q221" s="119" t="s">
        <v>1156</v>
      </c>
      <c r="R221" s="120" t="str" cm="1">
        <f t="array" aca="1" ref="R221" ca="1">IF($C221="S",REFERENCIA.Descricao,"(digite a descrição aqui)")</f>
        <v>(Código não identificado nas referências)</v>
      </c>
      <c r="S221" s="121" t="str" cm="1">
        <f t="array" aca="1" ref="S221" ca="1">REFERENCIA.Unidade</f>
        <v>-</v>
      </c>
      <c r="T221" s="122">
        <f ca="1">OFFSET(CÁLCULO!H$15,ROW($T221)-ROW(T$15),0)</f>
        <v>20</v>
      </c>
      <c r="U221" s="123">
        <f t="shared" ca="1" si="63"/>
        <v>0</v>
      </c>
      <c r="V221" s="124" t="s">
        <v>663</v>
      </c>
      <c r="W221" s="122" cm="1">
        <f t="array" aca="1" ref="W221" ca="1">IF($C221="S",ROUND(IF(TIPOORCAMENTO="Proposto",ORÇAMENTO.CustoUnitario*(1+$AH221),ORÇAMENTO.PrecoUnitarioLicitado),15-13*$AF$10),0)</f>
        <v>0</v>
      </c>
      <c r="X221" s="125" cm="1">
        <f t="array" aca="1" ref="X221" ca="1">IF($C221="S",IF(OR(Import.TipoArredondamento&lt;&gt;"TransfereGOV",ACOMPANHAMENTO="BM"),VTOTAL1,SUM(OFFSET(CÁLCULO!$AQ$15,ROW($X221)-ROW($X$15),1):OFFSET(CÁLCULO!$BR$15,ROW($X221)-ROW($X$15),-1))),IF($C221=0,0,ROUND(SomaAgrup,15-13*$AF$11)))</f>
        <v>0</v>
      </c>
      <c r="Y221" s="126" t="s">
        <v>751</v>
      </c>
      <c r="Z221" t="str">
        <f t="shared" ca="1" si="64"/>
        <v/>
      </c>
      <c r="AA221" s="127" cm="1">
        <f t="array" aca="1" ref="AA221" ca="1">IF($C221="S",IF($Z221="CP",$X221,IF($Z221="RA",(($X221)*QCI!$AA$3),0)),SomaAgrup)</f>
        <v>0</v>
      </c>
      <c r="AB221" s="128" cm="1">
        <f t="array" aca="1" ref="AB221" ca="1">IF($C221="S",IF($Z221="OU",ROUND($X221,2),0),SomaAgrup)</f>
        <v>0</v>
      </c>
      <c r="AC221" s="565" t="str" cm="1">
        <f t="array" aca="1" ref="AC221" ca="1">IF($N221=""," ",
IF(AND($C221&lt;&gt;"S",OR($R221="",$R221="(digite a descrição aqui)")),"DESCRIÇÃO",
IF(AND($C221="S",OR($Q221&lt;&gt;"",$T221&gt;0,$U221&gt;0),$P221=""),"FONTE",
IF(AND($C221="S",$P221&lt;&gt;"",OR($T221&gt;0,$U221&gt;0),$Q221=""),"CÓDIGO",
IF(AND($C221="S",$P221&lt;&gt;"",$Q221&lt;&gt;"",$R221="(Código não identificado nas referências)"),"CÓDIGO N/ID",
IF(AND($C221="S",OR($R221="",$R221="(digite a descrição aqui)"),OR($Q221&lt;&gt;"",$T221&gt;0,$U221&gt;0)),"DESCRIÇÃO",
IF(AND($C221="S",$P221&lt;&gt;"",$Q221&lt;&gt;"",$S221=""),"UNIDADE",
IF(AND($C221="S",$P221&lt;&gt;"",$Q221&lt;&gt;"",$U221=0),"SEM CUSTO",
IF(AND(TIPOORCAMENTO="Licitado",$AL221=0,$AN221&gt;0),"SEM PREÇO",
IF(AND($C221="S",$P221&lt;&gt;"",$Q221&lt;&gt;"",$U221&gt;0,AND($V221&lt;&gt;"BDI 1",$V221&lt;&gt;"BDI 2",$V221&lt;&gt;"BDI 3")),IF(ISNUMBER($V221),"JUSTIFICAR BDI","BDI"),
IF(OR(AND(import.recurso="OGU",TIPOORCAMENTO="Proposto",LEFT($O$8,5)&lt;&gt;"(N/D:",$AG221&lt;&gt;"",ORÇAMENTO.CustoUnitario&gt;$AG221),AND(TIPOORCAMENTO="LICITADO",ORÇAMENTO.PrecoUnitarioLicitado&gt;$AN221)),"ACIMA REF.",
IF(AND($C221="S",$P221&lt;&gt;"",$Q221&lt;&gt;"",$T221=0,$U221&gt;0),"QUANT.",
IF(AND(Import.TipoArredondamento="TransfereGOV",$L221="F",$C221="S",LEN($Q221)&gt;13),"Código &gt;13",
IF(AND(Import.TipoArredondamento="TransfereGOV",$L221="F",$C221&lt;&gt;"S",LEN($R221)&gt;100),"Descrição &gt;100",
IF(AND(Import.TipoArredondamento="TransfereGOV",$L221="F",$C221="S",LEN($R221)&gt;500),"Descrição &gt;500",
IF(AND(Import.TipoArredondamento="TransfereGOV",$L221="F",$C221="S",LEFT(TRIM(UPPER($P221)),6)&lt;&gt;"SINAPI",ISNA(VLOOKUP(TRIM(UPPER($S221)),ListaTgov.Unidades,1,FALSE))),"Unid. Não Disp",
" "))))))))))))))))</f>
        <v>CÓDIGO N/ID</v>
      </c>
      <c r="AD221" t="str">
        <f ca="1">IF(C221&lt;=CRONO.NivelExibicao,MAX($AD$15:OFFSET(AD221,-1,0))+IF($C221&lt;&gt;1,1,MAX(1,COUNTIF(QCI!$A$13:$A$24,OFFSET($E221,-1,0)))),"")</f>
        <v/>
      </c>
      <c r="AE221" s="7" t="str" cm="1">
        <f t="array" aca="1" ref="AE221" ca="1">IF(AND($C221="S",ORÇAMENTO.CodBarra&lt;&gt;""),IF(ORÇAMENTO.Fonte="",ORÇAMENTO.CodBarra,CONCATENATE(ORÇAMENTO.Fonte," ",ORÇAMENTO.CodBarra)))</f>
        <v>SINAPI 104326</v>
      </c>
      <c r="AF221" s="12" t="str" cm="1">
        <f t="array" aca="1" ref="AF221" ca="1">IF(ISERROR(ORÇAMENTO.BancoRef),"(abra o arquivo 'Referência "&amp;Excel_BuiltIn_Database&amp;".xlsm)",IF(OR($C221&lt;&gt;"S",ORÇAMENTO.CodBarra=""),"(Sem Código)",IF(ISERROR(MATCH($AE221,INDIRECT(ORÇAMENTO.BancoRef),0)),"(Código não identificado nas referências)",MATCH($AE221,INDIRECT(ORÇAMENTO.BancoRef),0))))</f>
        <v>(Código não identificado nas referências)</v>
      </c>
      <c r="AG221" s="428" cm="1">
        <f t="array" aca="1" ref="AG221" ca="1">ROUND(IF(DESONERACAO="sim",REFERENCIA.Desonerado,REFERENCIA.NaoDesonerado),2)</f>
        <v>0</v>
      </c>
      <c r="AH221" s="429">
        <f t="shared" ca="1" si="65"/>
        <v>0.2223</v>
      </c>
      <c r="AJ221" s="431"/>
      <c r="AL221" s="439"/>
      <c r="AM221" s="336">
        <f t="shared" ca="1" si="0"/>
        <v>0</v>
      </c>
      <c r="AN221" s="470" cm="1">
        <f t="array" aca="1" ref="AN221" ca="1">ROUND(ORÇAMENTO.CustoUnitario*(1+$AH221),2)</f>
        <v>0</v>
      </c>
    </row>
    <row r="222" spans="1:40" ht="38.25" x14ac:dyDescent="0.2">
      <c r="A222" t="str">
        <f t="shared" si="52"/>
        <v>S</v>
      </c>
      <c r="B222">
        <f t="shared" ca="1" si="53"/>
        <v>3</v>
      </c>
      <c r="C222" t="str">
        <f t="shared" ca="1" si="54"/>
        <v>S</v>
      </c>
      <c r="D222">
        <f t="shared" ca="1" si="55"/>
        <v>0</v>
      </c>
      <c r="E222">
        <f ca="1">IF($C222=1,OFFSET(E222,-1,0)+MAX(1,COUNTIF(QCI!$A$13:$A$24,OFFSET(ORÇAMENTO!E222,-1,0))),OFFSET(E222,-1,0))</f>
        <v>9</v>
      </c>
      <c r="F222">
        <f t="shared" ca="1" si="56"/>
        <v>3</v>
      </c>
      <c r="G222">
        <f t="shared" ca="1" si="57"/>
        <v>2</v>
      </c>
      <c r="H222">
        <f t="shared" ca="1" si="58"/>
        <v>0</v>
      </c>
      <c r="I222">
        <f t="shared" ca="1" si="59"/>
        <v>0</v>
      </c>
      <c r="J222">
        <f t="shared" ca="1" si="51"/>
        <v>0</v>
      </c>
      <c r="K222">
        <f ca="1">IF(OR($C222="S",$C222=0),0,MATCH(OFFSET($D222,0,$C222)+IF($C222&lt;&gt;1,1,COUNTIF(QCI!$A$13:$A$24,ORÇAMENTO!E222)),OFFSET($D222,1,$C222,ROW($C$244)-ROW($C222)),0))</f>
        <v>0</v>
      </c>
      <c r="L222" s="114" t="str">
        <f t="shared" ca="1" si="60"/>
        <v/>
      </c>
      <c r="M222" s="115" t="s">
        <v>705</v>
      </c>
      <c r="N222" s="116" t="str">
        <f t="shared" ca="1" si="61"/>
        <v>Serviço</v>
      </c>
      <c r="O222" s="117" t="str">
        <f t="shared" ca="1" si="62"/>
        <v>-</v>
      </c>
      <c r="P222" s="118" t="s">
        <v>750</v>
      </c>
      <c r="Q222" s="119" t="s">
        <v>1157</v>
      </c>
      <c r="R222" s="120" t="str" cm="1">
        <f t="array" aca="1" ref="R222" ca="1">IF($C222="S",REFERENCIA.Descricao,"(digite a descrição aqui)")</f>
        <v>(Código não identificado nas referências)</v>
      </c>
      <c r="S222" s="121" t="str" cm="1">
        <f t="array" aca="1" ref="S222" ca="1">REFERENCIA.Unidade</f>
        <v>-</v>
      </c>
      <c r="T222" s="122">
        <f ca="1">OFFSET(CÁLCULO!H$15,ROW($T222)-ROW(T$15),0)</f>
        <v>20</v>
      </c>
      <c r="U222" s="123">
        <f t="shared" ca="1" si="63"/>
        <v>0</v>
      </c>
      <c r="V222" s="124" t="s">
        <v>663</v>
      </c>
      <c r="W222" s="122" cm="1">
        <f t="array" aca="1" ref="W222" ca="1">IF($C222="S",ROUND(IF(TIPOORCAMENTO="Proposto",ORÇAMENTO.CustoUnitario*(1+$AH222),ORÇAMENTO.PrecoUnitarioLicitado),15-13*$AF$10),0)</f>
        <v>0</v>
      </c>
      <c r="X222" s="125" cm="1">
        <f t="array" aca="1" ref="X222" ca="1">IF($C222="S",IF(OR(Import.TipoArredondamento&lt;&gt;"TransfereGOV",ACOMPANHAMENTO="BM"),VTOTAL1,SUM(OFFSET(CÁLCULO!$AQ$15,ROW($X222)-ROW($X$15),1):OFFSET(CÁLCULO!$BR$15,ROW($X222)-ROW($X$15),-1))),IF($C222=0,0,ROUND(SomaAgrup,15-13*$AF$11)))</f>
        <v>0</v>
      </c>
      <c r="Y222" s="126" t="s">
        <v>751</v>
      </c>
      <c r="Z222" t="str">
        <f t="shared" ca="1" si="64"/>
        <v/>
      </c>
      <c r="AA222" s="127" cm="1">
        <f t="array" aca="1" ref="AA222" ca="1">IF($C222="S",IF($Z222="CP",$X222,IF($Z222="RA",(($X222)*QCI!$AA$3),0)),SomaAgrup)</f>
        <v>0</v>
      </c>
      <c r="AB222" s="128" cm="1">
        <f t="array" aca="1" ref="AB222" ca="1">IF($C222="S",IF($Z222="OU",ROUND($X222,2),0),SomaAgrup)</f>
        <v>0</v>
      </c>
      <c r="AC222" s="565" t="str" cm="1">
        <f t="array" aca="1" ref="AC222" ca="1">IF($N222=""," ",
IF(AND($C222&lt;&gt;"S",OR($R222="",$R222="(digite a descrição aqui)")),"DESCRIÇÃO",
IF(AND($C222="S",OR($Q222&lt;&gt;"",$T222&gt;0,$U222&gt;0),$P222=""),"FONTE",
IF(AND($C222="S",$P222&lt;&gt;"",OR($T222&gt;0,$U222&gt;0),$Q222=""),"CÓDIGO",
IF(AND($C222="S",$P222&lt;&gt;"",$Q222&lt;&gt;"",$R222="(Código não identificado nas referências)"),"CÓDIGO N/ID",
IF(AND($C222="S",OR($R222="",$R222="(digite a descrição aqui)"),OR($Q222&lt;&gt;"",$T222&gt;0,$U222&gt;0)),"DESCRIÇÃO",
IF(AND($C222="S",$P222&lt;&gt;"",$Q222&lt;&gt;"",$S222=""),"UNIDADE",
IF(AND($C222="S",$P222&lt;&gt;"",$Q222&lt;&gt;"",$U222=0),"SEM CUSTO",
IF(AND(TIPOORCAMENTO="Licitado",$AL222=0,$AN222&gt;0),"SEM PREÇO",
IF(AND($C222="S",$P222&lt;&gt;"",$Q222&lt;&gt;"",$U222&gt;0,AND($V222&lt;&gt;"BDI 1",$V222&lt;&gt;"BDI 2",$V222&lt;&gt;"BDI 3")),IF(ISNUMBER($V222),"JUSTIFICAR BDI","BDI"),
IF(OR(AND(import.recurso="OGU",TIPOORCAMENTO="Proposto",LEFT($O$8,5)&lt;&gt;"(N/D:",$AG222&lt;&gt;"",ORÇAMENTO.CustoUnitario&gt;$AG222),AND(TIPOORCAMENTO="LICITADO",ORÇAMENTO.PrecoUnitarioLicitado&gt;$AN222)),"ACIMA REF.",
IF(AND($C222="S",$P222&lt;&gt;"",$Q222&lt;&gt;"",$T222=0,$U222&gt;0),"QUANT.",
IF(AND(Import.TipoArredondamento="TransfereGOV",$L222="F",$C222="S",LEN($Q222)&gt;13),"Código &gt;13",
IF(AND(Import.TipoArredondamento="TransfereGOV",$L222="F",$C222&lt;&gt;"S",LEN($R222)&gt;100),"Descrição &gt;100",
IF(AND(Import.TipoArredondamento="TransfereGOV",$L222="F",$C222="S",LEN($R222)&gt;500),"Descrição &gt;500",
IF(AND(Import.TipoArredondamento="TransfereGOV",$L222="F",$C222="S",LEFT(TRIM(UPPER($P222)),6)&lt;&gt;"SINAPI",ISNA(VLOOKUP(TRIM(UPPER($S222)),ListaTgov.Unidades,1,FALSE))),"Unid. Não Disp",
" "))))))))))))))))</f>
        <v>CÓDIGO N/ID</v>
      </c>
      <c r="AD222" t="str">
        <f ca="1">IF(C222&lt;=CRONO.NivelExibicao,MAX($AD$15:OFFSET(AD222,-1,0))+IF($C222&lt;&gt;1,1,MAX(1,COUNTIF(QCI!$A$13:$A$24,OFFSET($E222,-1,0)))),"")</f>
        <v/>
      </c>
      <c r="AE222" s="7" t="str" cm="1">
        <f t="array" aca="1" ref="AE222" ca="1">IF(AND($C222="S",ORÇAMENTO.CodBarra&lt;&gt;""),IF(ORÇAMENTO.Fonte="",ORÇAMENTO.CodBarra,CONCATENATE(ORÇAMENTO.Fonte," ",ORÇAMENTO.CodBarra)))</f>
        <v>SINAPI 98104</v>
      </c>
      <c r="AF222" s="12" t="str" cm="1">
        <f t="array" aca="1" ref="AF222" ca="1">IF(ISERROR(ORÇAMENTO.BancoRef),"(abra o arquivo 'Referência "&amp;Excel_BuiltIn_Database&amp;".xlsm)",IF(OR($C222&lt;&gt;"S",ORÇAMENTO.CodBarra=""),"(Sem Código)",IF(ISERROR(MATCH($AE222,INDIRECT(ORÇAMENTO.BancoRef),0)),"(Código não identificado nas referências)",MATCH($AE222,INDIRECT(ORÇAMENTO.BancoRef),0))))</f>
        <v>(Código não identificado nas referências)</v>
      </c>
      <c r="AG222" s="428" cm="1">
        <f t="array" aca="1" ref="AG222" ca="1">ROUND(IF(DESONERACAO="sim",REFERENCIA.Desonerado,REFERENCIA.NaoDesonerado),2)</f>
        <v>0</v>
      </c>
      <c r="AH222" s="429">
        <f t="shared" ca="1" si="65"/>
        <v>0.2223</v>
      </c>
      <c r="AJ222" s="431"/>
      <c r="AL222" s="439"/>
      <c r="AM222" s="336">
        <f t="shared" ca="1" si="0"/>
        <v>0</v>
      </c>
      <c r="AN222" s="470" cm="1">
        <f t="array" aca="1" ref="AN222" ca="1">ROUND(ORÇAMENTO.CustoUnitario*(1+$AH222),2)</f>
        <v>0</v>
      </c>
    </row>
    <row r="223" spans="1:40" ht="38.25" x14ac:dyDescent="0.2">
      <c r="A223" t="str">
        <f t="shared" si="52"/>
        <v>S</v>
      </c>
      <c r="B223">
        <f t="shared" ca="1" si="53"/>
        <v>3</v>
      </c>
      <c r="C223" t="str">
        <f t="shared" ca="1" si="54"/>
        <v>S</v>
      </c>
      <c r="D223">
        <f t="shared" ca="1" si="55"/>
        <v>0</v>
      </c>
      <c r="E223">
        <f ca="1">IF($C223=1,OFFSET(E223,-1,0)+MAX(1,COUNTIF(QCI!$A$13:$A$24,OFFSET(ORÇAMENTO!E223,-1,0))),OFFSET(E223,-1,0))</f>
        <v>9</v>
      </c>
      <c r="F223">
        <f t="shared" ca="1" si="56"/>
        <v>3</v>
      </c>
      <c r="G223">
        <f t="shared" ca="1" si="57"/>
        <v>2</v>
      </c>
      <c r="H223">
        <f t="shared" ca="1" si="58"/>
        <v>0</v>
      </c>
      <c r="I223">
        <f t="shared" ca="1" si="59"/>
        <v>0</v>
      </c>
      <c r="J223">
        <f t="shared" ca="1" si="51"/>
        <v>0</v>
      </c>
      <c r="K223">
        <f ca="1">IF(OR($C223="S",$C223=0),0,MATCH(OFFSET($D223,0,$C223)+IF($C223&lt;&gt;1,1,COUNTIF(QCI!$A$13:$A$24,ORÇAMENTO!E223)),OFFSET($D223,1,$C223,ROW($C$244)-ROW($C223)),0))</f>
        <v>0</v>
      </c>
      <c r="L223" s="114" t="str">
        <f t="shared" ca="1" si="60"/>
        <v/>
      </c>
      <c r="M223" s="115" t="s">
        <v>705</v>
      </c>
      <c r="N223" s="116" t="str">
        <f t="shared" ca="1" si="61"/>
        <v>Serviço</v>
      </c>
      <c r="O223" s="117" t="str">
        <f t="shared" ca="1" si="62"/>
        <v>-</v>
      </c>
      <c r="P223" s="118" t="s">
        <v>750</v>
      </c>
      <c r="Q223" s="119" t="s">
        <v>1259</v>
      </c>
      <c r="R223" s="120" t="str" cm="1">
        <f t="array" aca="1" ref="R223" ca="1">IF($C223="S",REFERENCIA.Descricao,"(digite a descrição aqui)")</f>
        <v>(Código não identificado nas referências)</v>
      </c>
      <c r="S223" s="121" t="str" cm="1">
        <f t="array" aca="1" ref="S223" ca="1">REFERENCIA.Unidade</f>
        <v>-</v>
      </c>
      <c r="T223" s="122">
        <f ca="1">OFFSET(CÁLCULO!H$15,ROW($T223)-ROW(T$15),0)</f>
        <v>20</v>
      </c>
      <c r="U223" s="123">
        <f ca="1">AG223</f>
        <v>0</v>
      </c>
      <c r="V223" s="124" t="s">
        <v>663</v>
      </c>
      <c r="W223" s="122" cm="1">
        <f t="array" aca="1" ref="W223" ca="1">IF($C223="S",ROUND(IF(TIPOORCAMENTO="Proposto",ORÇAMENTO.CustoUnitario*(1+$AH223),ORÇAMENTO.PrecoUnitarioLicitado),15-13*$AF$10),0)</f>
        <v>0</v>
      </c>
      <c r="X223" s="125" cm="1">
        <f t="array" aca="1" ref="X223" ca="1">IF($C223="S",IF(OR(Import.TipoArredondamento&lt;&gt;"TransfereGOV",ACOMPANHAMENTO="BM"),VTOTAL1,SUM(OFFSET(CÁLCULO!$AQ$15,ROW($X223)-ROW($X$15),1):OFFSET(CÁLCULO!$BR$15,ROW($X223)-ROW($X$15),-1))),IF($C223=0,0,ROUND(SomaAgrup,15-13*$AF$11)))</f>
        <v>0</v>
      </c>
      <c r="Y223" s="126" t="s">
        <v>751</v>
      </c>
      <c r="Z223" t="str">
        <f t="shared" ca="1" si="64"/>
        <v/>
      </c>
      <c r="AA223" s="127" cm="1">
        <f t="array" aca="1" ref="AA223" ca="1">IF($C223="S",IF($Z223="CP",$X223,IF($Z223="RA",(($X223)*QCI!$AA$3),0)),SomaAgrup)</f>
        <v>0</v>
      </c>
      <c r="AB223" s="128" cm="1">
        <f t="array" aca="1" ref="AB223" ca="1">IF($C223="S",IF($Z223="OU",ROUND($X223,2),0),SomaAgrup)</f>
        <v>0</v>
      </c>
      <c r="AC223" s="565" t="str" cm="1">
        <f t="array" aca="1" ref="AC223" ca="1">IF($N223=""," ",
IF(AND($C223&lt;&gt;"S",OR($R223="",$R223="(digite a descrição aqui)")),"DESCRIÇÃO",
IF(AND($C223="S",OR($Q223&lt;&gt;"",$T223&gt;0,$U223&gt;0),$P223=""),"FONTE",
IF(AND($C223="S",$P223&lt;&gt;"",OR($T223&gt;0,$U223&gt;0),$Q223=""),"CÓDIGO",
IF(AND($C223="S",$P223&lt;&gt;"",$Q223&lt;&gt;"",$R223="(Código não identificado nas referências)"),"CÓDIGO N/ID",
IF(AND($C223="S",OR($R223="",$R223="(digite a descrição aqui)"),OR($Q223&lt;&gt;"",$T223&gt;0,$U223&gt;0)),"DESCRIÇÃO",
IF(AND($C223="S",$P223&lt;&gt;"",$Q223&lt;&gt;"",$S223=""),"UNIDADE",
IF(AND($C223="S",$P223&lt;&gt;"",$Q223&lt;&gt;"",$U223=0),"SEM CUSTO",
IF(AND(TIPOORCAMENTO="Licitado",$AL223=0,$AN223&gt;0),"SEM PREÇO",
IF(AND($C223="S",$P223&lt;&gt;"",$Q223&lt;&gt;"",$U223&gt;0,AND($V223&lt;&gt;"BDI 1",$V223&lt;&gt;"BDI 2",$V223&lt;&gt;"BDI 3")),IF(ISNUMBER($V223),"JUSTIFICAR BDI","BDI"),
IF(OR(AND(import.recurso="OGU",TIPOORCAMENTO="Proposto",LEFT($O$8,5)&lt;&gt;"(N/D:",$AG223&lt;&gt;"",ORÇAMENTO.CustoUnitario&gt;$AG223),AND(TIPOORCAMENTO="LICITADO",ORÇAMENTO.PrecoUnitarioLicitado&gt;$AN223)),"ACIMA REF.",
IF(AND($C223="S",$P223&lt;&gt;"",$Q223&lt;&gt;"",$T223=0,$U223&gt;0),"QUANT.",
IF(AND(Import.TipoArredondamento="TransfereGOV",$L223="F",$C223="S",LEN($Q223)&gt;13),"Código &gt;13",
IF(AND(Import.TipoArredondamento="TransfereGOV",$L223="F",$C223&lt;&gt;"S",LEN($R223)&gt;100),"Descrição &gt;100",
IF(AND(Import.TipoArredondamento="TransfereGOV",$L223="F",$C223="S",LEN($R223)&gt;500),"Descrição &gt;500",
IF(AND(Import.TipoArredondamento="TransfereGOV",$L223="F",$C223="S",LEFT(TRIM(UPPER($P223)),6)&lt;&gt;"SINAPI",ISNA(VLOOKUP(TRIM(UPPER($S223)),ListaTgov.Unidades,1,FALSE))),"Unid. Não Disp",
" "))))))))))))))))</f>
        <v>CÓDIGO N/ID</v>
      </c>
      <c r="AD223" t="str">
        <f ca="1">IF(C223&lt;=CRONO.NivelExibicao,MAX($AD$15:OFFSET(AD223,-1,0))+IF($C223&lt;&gt;1,1,MAX(1,COUNTIF(QCI!$A$13:$A$24,OFFSET($E223,-1,0)))),"")</f>
        <v/>
      </c>
      <c r="AE223" s="7" t="str" cm="1">
        <f t="array" aca="1" ref="AE223" ca="1">IF(AND($C223="S",ORÇAMENTO.CodBarra&lt;&gt;""),IF(ORÇAMENTO.Fonte="",ORÇAMENTO.CodBarra,CONCATENATE(ORÇAMENTO.Fonte," ",ORÇAMENTO.CodBarra)))</f>
        <v>SINAPI 98052</v>
      </c>
      <c r="AF223" s="12" t="str" cm="1">
        <f t="array" aca="1" ref="AF223" ca="1">IF(ISERROR(ORÇAMENTO.BancoRef),"(abra o arquivo 'Referência "&amp;Excel_BuiltIn_Database&amp;".xlsm)",IF(OR($C223&lt;&gt;"S",ORÇAMENTO.CodBarra=""),"(Sem Código)",IF(ISERROR(MATCH($AE223,INDIRECT(ORÇAMENTO.BancoRef),0)),"(Código não identificado nas referências)",MATCH($AE223,INDIRECT(ORÇAMENTO.BancoRef),0))))</f>
        <v>(Código não identificado nas referências)</v>
      </c>
      <c r="AG223" s="428" cm="1">
        <f t="array" aca="1" ref="AG223" ca="1">ROUND(IF(DESONERACAO="sim",REFERENCIA.Desonerado,REFERENCIA.NaoDesonerado),2)</f>
        <v>0</v>
      </c>
      <c r="AH223" s="429">
        <f t="shared" ca="1" si="65"/>
        <v>0.2223</v>
      </c>
      <c r="AJ223" s="431"/>
      <c r="AL223" s="439"/>
      <c r="AM223" s="336">
        <f t="shared" ca="1" si="0"/>
        <v>0</v>
      </c>
      <c r="AN223" s="470" cm="1">
        <f t="array" aca="1" ref="AN223" ca="1">ROUND(ORÇAMENTO.CustoUnitario*(1+$AH223),2)</f>
        <v>0</v>
      </c>
    </row>
    <row r="224" spans="1:40" ht="38.25" x14ac:dyDescent="0.2">
      <c r="A224" t="str">
        <f t="shared" si="52"/>
        <v>S</v>
      </c>
      <c r="B224">
        <f t="shared" ca="1" si="53"/>
        <v>3</v>
      </c>
      <c r="C224" t="str">
        <f t="shared" ca="1" si="54"/>
        <v>S</v>
      </c>
      <c r="D224">
        <f t="shared" ca="1" si="55"/>
        <v>0</v>
      </c>
      <c r="E224">
        <f ca="1">IF($C224=1,OFFSET(E224,-1,0)+MAX(1,COUNTIF(QCI!$A$13:$A$24,OFFSET(ORÇAMENTO!E224,-1,0))),OFFSET(E224,-1,0))</f>
        <v>9</v>
      </c>
      <c r="F224">
        <f t="shared" ca="1" si="56"/>
        <v>3</v>
      </c>
      <c r="G224">
        <f t="shared" ca="1" si="57"/>
        <v>2</v>
      </c>
      <c r="H224">
        <f t="shared" ca="1" si="58"/>
        <v>0</v>
      </c>
      <c r="I224">
        <f t="shared" ca="1" si="59"/>
        <v>0</v>
      </c>
      <c r="J224">
        <f t="shared" ca="1" si="51"/>
        <v>0</v>
      </c>
      <c r="K224">
        <f ca="1">IF(OR($C224="S",$C224=0),0,MATCH(OFFSET($D224,0,$C224)+IF($C224&lt;&gt;1,1,COUNTIF(QCI!$A$13:$A$24,ORÇAMENTO!E224)),OFFSET($D224,1,$C224,ROW($C$244)-ROW($C224)),0))</f>
        <v>0</v>
      </c>
      <c r="L224" s="114" t="str">
        <f t="shared" ca="1" si="60"/>
        <v/>
      </c>
      <c r="M224" s="115" t="s">
        <v>705</v>
      </c>
      <c r="N224" s="116" t="str">
        <f t="shared" ca="1" si="61"/>
        <v>Serviço</v>
      </c>
      <c r="O224" s="117" t="str">
        <f t="shared" ca="1" si="62"/>
        <v>-</v>
      </c>
      <c r="P224" s="118" t="s">
        <v>750</v>
      </c>
      <c r="Q224" s="119" t="s">
        <v>1260</v>
      </c>
      <c r="R224" s="120" t="str" cm="1">
        <f t="array" aca="1" ref="R224" ca="1">IF($C224="S",REFERENCIA.Descricao,"(digite a descrição aqui)")</f>
        <v>(Código não identificado nas referências)</v>
      </c>
      <c r="S224" s="121" t="str" cm="1">
        <f t="array" aca="1" ref="S224" ca="1">REFERENCIA.Unidade</f>
        <v>-</v>
      </c>
      <c r="T224" s="122">
        <f ca="1">OFFSET(CÁLCULO!H$15,ROW($T224)-ROW(T$15),0)</f>
        <v>20</v>
      </c>
      <c r="U224" s="123">
        <f ca="1">AG224</f>
        <v>0</v>
      </c>
      <c r="V224" s="124" t="s">
        <v>663</v>
      </c>
      <c r="W224" s="122" cm="1">
        <f t="array" aca="1" ref="W224" ca="1">IF($C224="S",ROUND(IF(TIPOORCAMENTO="Proposto",ORÇAMENTO.CustoUnitario*(1+$AH224),ORÇAMENTO.PrecoUnitarioLicitado),15-13*$AF$10),0)</f>
        <v>0</v>
      </c>
      <c r="X224" s="125" cm="1">
        <f t="array" aca="1" ref="X224" ca="1">IF($C224="S",IF(OR(Import.TipoArredondamento&lt;&gt;"TransfereGOV",ACOMPANHAMENTO="BM"),VTOTAL1,SUM(OFFSET(CÁLCULO!$AQ$15,ROW($X224)-ROW($X$15),1):OFFSET(CÁLCULO!$BR$15,ROW($X224)-ROW($X$15),-1))),IF($C224=0,0,ROUND(SomaAgrup,15-13*$AF$11)))</f>
        <v>0</v>
      </c>
      <c r="Y224" s="126" t="s">
        <v>751</v>
      </c>
      <c r="Z224" t="str">
        <f t="shared" ca="1" si="64"/>
        <v/>
      </c>
      <c r="AA224" s="127" cm="1">
        <f t="array" aca="1" ref="AA224" ca="1">IF($C224="S",IF($Z224="CP",$X224,IF($Z224="RA",(($X224)*QCI!$AA$3),0)),SomaAgrup)</f>
        <v>0</v>
      </c>
      <c r="AB224" s="128" cm="1">
        <f t="array" aca="1" ref="AB224" ca="1">IF($C224="S",IF($Z224="OU",ROUND($X224,2),0),SomaAgrup)</f>
        <v>0</v>
      </c>
      <c r="AC224" s="565" t="str" cm="1">
        <f t="array" aca="1" ref="AC224" ca="1">IF($N224=""," ",
IF(AND($C224&lt;&gt;"S",OR($R224="",$R224="(digite a descrição aqui)")),"DESCRIÇÃO",
IF(AND($C224="S",OR($Q224&lt;&gt;"",$T224&gt;0,$U224&gt;0),$P224=""),"FONTE",
IF(AND($C224="S",$P224&lt;&gt;"",OR($T224&gt;0,$U224&gt;0),$Q224=""),"CÓDIGO",
IF(AND($C224="S",$P224&lt;&gt;"",$Q224&lt;&gt;"",$R224="(Código não identificado nas referências)"),"CÓDIGO N/ID",
IF(AND($C224="S",OR($R224="",$R224="(digite a descrição aqui)"),OR($Q224&lt;&gt;"",$T224&gt;0,$U224&gt;0)),"DESCRIÇÃO",
IF(AND($C224="S",$P224&lt;&gt;"",$Q224&lt;&gt;"",$S224=""),"UNIDADE",
IF(AND($C224="S",$P224&lt;&gt;"",$Q224&lt;&gt;"",$U224=0),"SEM CUSTO",
IF(AND(TIPOORCAMENTO="Licitado",$AL224=0,$AN224&gt;0),"SEM PREÇO",
IF(AND($C224="S",$P224&lt;&gt;"",$Q224&lt;&gt;"",$U224&gt;0,AND($V224&lt;&gt;"BDI 1",$V224&lt;&gt;"BDI 2",$V224&lt;&gt;"BDI 3")),IF(ISNUMBER($V224),"JUSTIFICAR BDI","BDI"),
IF(OR(AND(import.recurso="OGU",TIPOORCAMENTO="Proposto",LEFT($O$8,5)&lt;&gt;"(N/D:",$AG224&lt;&gt;"",ORÇAMENTO.CustoUnitario&gt;$AG224),AND(TIPOORCAMENTO="LICITADO",ORÇAMENTO.PrecoUnitarioLicitado&gt;$AN224)),"ACIMA REF.",
IF(AND($C224="S",$P224&lt;&gt;"",$Q224&lt;&gt;"",$T224=0,$U224&gt;0),"QUANT.",
IF(AND(Import.TipoArredondamento="TransfereGOV",$L224="F",$C224="S",LEN($Q224)&gt;13),"Código &gt;13",
IF(AND(Import.TipoArredondamento="TransfereGOV",$L224="F",$C224&lt;&gt;"S",LEN($R224)&gt;100),"Descrição &gt;100",
IF(AND(Import.TipoArredondamento="TransfereGOV",$L224="F",$C224="S",LEN($R224)&gt;500),"Descrição &gt;500",
IF(AND(Import.TipoArredondamento="TransfereGOV",$L224="F",$C224="S",LEFT(TRIM(UPPER($P224)),6)&lt;&gt;"SINAPI",ISNA(VLOOKUP(TRIM(UPPER($S224)),ListaTgov.Unidades,1,FALSE))),"Unid. Não Disp",
" "))))))))))))))))</f>
        <v>CÓDIGO N/ID</v>
      </c>
      <c r="AD224" t="str">
        <f ca="1">IF(C224&lt;=CRONO.NivelExibicao,MAX($AD$15:OFFSET(AD224,-1,0))+IF($C224&lt;&gt;1,1,MAX(1,COUNTIF(QCI!$A$13:$A$24,OFFSET($E224,-1,0)))),"")</f>
        <v/>
      </c>
      <c r="AE224" s="7" t="str" cm="1">
        <f t="array" aca="1" ref="AE224" ca="1">IF(AND($C224="S",ORÇAMENTO.CodBarra&lt;&gt;""),IF(ORÇAMENTO.Fonte="",ORÇAMENTO.CodBarra,CONCATENATE(ORÇAMENTO.Fonte," ",ORÇAMENTO.CodBarra)))</f>
        <v>SINAPI 98062</v>
      </c>
      <c r="AF224" s="12" t="str" cm="1">
        <f t="array" aca="1" ref="AF224" ca="1">IF(ISERROR(ORÇAMENTO.BancoRef),"(abra o arquivo 'Referência "&amp;Excel_BuiltIn_Database&amp;".xlsm)",IF(OR($C224&lt;&gt;"S",ORÇAMENTO.CodBarra=""),"(Sem Código)",IF(ISERROR(MATCH($AE224,INDIRECT(ORÇAMENTO.BancoRef),0)),"(Código não identificado nas referências)",MATCH($AE224,INDIRECT(ORÇAMENTO.BancoRef),0))))</f>
        <v>(Código não identificado nas referências)</v>
      </c>
      <c r="AG224" s="428" cm="1">
        <f t="array" aca="1" ref="AG224" ca="1">ROUND(IF(DESONERACAO="sim",REFERENCIA.Desonerado,REFERENCIA.NaoDesonerado),2)</f>
        <v>0</v>
      </c>
      <c r="AH224" s="429">
        <f t="shared" ca="1" si="65"/>
        <v>0.2223</v>
      </c>
      <c r="AJ224" s="431"/>
      <c r="AL224" s="439"/>
      <c r="AM224" s="336">
        <f t="shared" ca="1" si="0"/>
        <v>0</v>
      </c>
      <c r="AN224" s="470" cm="1">
        <f t="array" aca="1" ref="AN224" ca="1">ROUND(ORÇAMENTO.CustoUnitario*(1+$AH224),2)</f>
        <v>0</v>
      </c>
    </row>
    <row r="225" spans="1:40" x14ac:dyDescent="0.2">
      <c r="A225">
        <f t="shared" si="52"/>
        <v>3</v>
      </c>
      <c r="B225">
        <f t="shared" ca="1" si="53"/>
        <v>3</v>
      </c>
      <c r="C225">
        <f t="shared" ca="1" si="54"/>
        <v>3</v>
      </c>
      <c r="D225">
        <f t="shared" ca="1" si="55"/>
        <v>8</v>
      </c>
      <c r="E225">
        <f ca="1">IF($C225=1,OFFSET(E225,-1,0)+MAX(1,COUNTIF(QCI!$A$13:$A$24,OFFSET(ORÇAMENTO!E225,-1,0))),OFFSET(E225,-1,0))</f>
        <v>9</v>
      </c>
      <c r="F225">
        <f t="shared" ca="1" si="56"/>
        <v>3</v>
      </c>
      <c r="G225">
        <f t="shared" ca="1" si="57"/>
        <v>3</v>
      </c>
      <c r="H225">
        <f t="shared" ca="1" si="58"/>
        <v>0</v>
      </c>
      <c r="I225">
        <f t="shared" ca="1" si="59"/>
        <v>0</v>
      </c>
      <c r="J225">
        <f t="shared" ca="1" si="51"/>
        <v>8</v>
      </c>
      <c r="K225" t="e">
        <f ca="1">IF(OR($C225="S",$C225=0),0,MATCH(OFFSET($D225,0,$C225)+IF($C225&lt;&gt;1,1,COUNTIF(QCI!$A$13:$A$24,ORÇAMENTO!E225)),OFFSET($D225,1,$C225,ROW($C$244)-ROW($C225)),0))</f>
        <v>#N/A</v>
      </c>
      <c r="L225" s="114" t="str">
        <f t="shared" ca="1" si="60"/>
        <v>F</v>
      </c>
      <c r="M225" s="115" t="s">
        <v>703</v>
      </c>
      <c r="N225" s="116" t="str">
        <f t="shared" ca="1" si="61"/>
        <v>Nível 3</v>
      </c>
      <c r="O225" s="117" t="str">
        <f t="shared" ca="1" si="62"/>
        <v>9.3.3.</v>
      </c>
      <c r="P225" s="118" t="s">
        <v>250</v>
      </c>
      <c r="Q225" s="119" t="s">
        <v>250</v>
      </c>
      <c r="R225" s="120" t="s">
        <v>1212</v>
      </c>
      <c r="S225" s="121"/>
      <c r="T225" s="122">
        <f ca="1">OFFSET(CÁLCULO!H$15,ROW($T225)-ROW(T$15),0)</f>
        <v>0</v>
      </c>
      <c r="U225" s="123">
        <f t="shared" ca="1" si="63"/>
        <v>0</v>
      </c>
      <c r="V225" s="124" t="s">
        <v>663</v>
      </c>
      <c r="W225" s="122" cm="1">
        <f t="array" aca="1" ref="W225" ca="1">IF($C225="S",ROUND(IF(TIPOORCAMENTO="Proposto",ORÇAMENTO.CustoUnitario*(1+$AH225),ORÇAMENTO.PrecoUnitarioLicitado),15-13*$AF$10),0)</f>
        <v>0</v>
      </c>
      <c r="X225" s="125" cm="1">
        <f t="array" aca="1" ref="X225" ca="1">IF($C225="S",IF(OR(Import.TipoArredondamento&lt;&gt;"TransfereGOV",ACOMPANHAMENTO="BM"),VTOTAL1,SUM(OFFSET(CÁLCULO!$AQ$15,ROW($X225)-ROW($X$15),1):OFFSET(CÁLCULO!$BR$15,ROW($X225)-ROW($X$15),-1))),IF($C225=0,0,ROUND(SomaAgrup,15-13*$AF$11)))</f>
        <v>0</v>
      </c>
      <c r="Y225" s="126" t="s">
        <v>751</v>
      </c>
      <c r="Z225" t="str">
        <f t="shared" ca="1" si="64"/>
        <v/>
      </c>
      <c r="AA225" s="127" cm="1">
        <f t="array" aca="1" ref="AA225" ca="1">IF($C225="S",IF($Z225="CP",$X225,IF($Z225="RA",(($X225)*QCI!$AA$3),0)),SomaAgrup)</f>
        <v>0</v>
      </c>
      <c r="AB225" s="128" cm="1">
        <f t="array" aca="1" ref="AB225" ca="1">IF($C225="S",IF($Z225="OU",ROUND($X225,2),0),SomaAgrup)</f>
        <v>0</v>
      </c>
      <c r="AC225" s="565" t="str" cm="1">
        <f t="array" aca="1" ref="AC225" ca="1">IF($N225=""," ",
IF(AND($C225&lt;&gt;"S",OR($R225="",$R225="(digite a descrição aqui)")),"DESCRIÇÃO",
IF(AND($C225="S",OR($Q225&lt;&gt;"",$T225&gt;0,$U225&gt;0),$P225=""),"FONTE",
IF(AND($C225="S",$P225&lt;&gt;"",OR($T225&gt;0,$U225&gt;0),$Q225=""),"CÓDIGO",
IF(AND($C225="S",$P225&lt;&gt;"",$Q225&lt;&gt;"",$R225="(Código não identificado nas referências)"),"CÓDIGO N/ID",
IF(AND($C225="S",OR($R225="",$R225="(digite a descrição aqui)"),OR($Q225&lt;&gt;"",$T225&gt;0,$U225&gt;0)),"DESCRIÇÃO",
IF(AND($C225="S",$P225&lt;&gt;"",$Q225&lt;&gt;"",$S225=""),"UNIDADE",
IF(AND($C225="S",$P225&lt;&gt;"",$Q225&lt;&gt;"",$U225=0),"SEM CUSTO",
IF(AND(TIPOORCAMENTO="Licitado",$AL225=0,$AN225&gt;0),"SEM PREÇO",
IF(AND($C225="S",$P225&lt;&gt;"",$Q225&lt;&gt;"",$U225&gt;0,AND($V225&lt;&gt;"BDI 1",$V225&lt;&gt;"BDI 2",$V225&lt;&gt;"BDI 3")),IF(ISNUMBER($V225),"JUSTIFICAR BDI","BDI"),
IF(OR(AND(import.recurso="OGU",TIPOORCAMENTO="Proposto",LEFT($O$8,5)&lt;&gt;"(N/D:",$AG225&lt;&gt;"",ORÇAMENTO.CustoUnitario&gt;$AG225),AND(TIPOORCAMENTO="LICITADO",ORÇAMENTO.PrecoUnitarioLicitado&gt;$AN225)),"ACIMA REF.",
IF(AND($C225="S",$P225&lt;&gt;"",$Q225&lt;&gt;"",$T225=0,$U225&gt;0),"QUANT.",
IF(AND(Import.TipoArredondamento="TransfereGOV",$L225="F",$C225="S",LEN($Q225)&gt;13),"Código &gt;13",
IF(AND(Import.TipoArredondamento="TransfereGOV",$L225="F",$C225&lt;&gt;"S",LEN($R225)&gt;100),"Descrição &gt;100",
IF(AND(Import.TipoArredondamento="TransfereGOV",$L225="F",$C225="S",LEN($R225)&gt;500),"Descrição &gt;500",
IF(AND(Import.TipoArredondamento="TransfereGOV",$L225="F",$C225="S",LEFT(TRIM(UPPER($P225)),6)&lt;&gt;"SINAPI",ISNA(VLOOKUP(TRIM(UPPER($S225)),ListaTgov.Unidades,1,FALSE))),"Unid. Não Disp",
" "))))))))))))))))</f>
        <v xml:space="preserve"> </v>
      </c>
      <c r="AD225">
        <f ca="1">IF(C225&lt;=CRONO.NivelExibicao,MAX($AD$15:OFFSET(AD225,-1,0))+IF($C225&lt;&gt;1,1,MAX(1,COUNTIF(QCI!$A$13:$A$24,OFFSET($E225,-1,0)))),"")</f>
        <v>44</v>
      </c>
      <c r="AE225" s="7" t="b" cm="1">
        <f t="array" aca="1" ref="AE225" ca="1">IF(AND($C225="S",ORÇAMENTO.CodBarra&lt;&gt;""),IF(ORÇAMENTO.Fonte="",ORÇAMENTO.CodBarra,CONCATENATE(ORÇAMENTO.Fonte," ",ORÇAMENTO.CodBarra)))</f>
        <v>0</v>
      </c>
      <c r="AF225" s="12" t="str" cm="1">
        <f t="array" aca="1" ref="AF225" ca="1">IF(ISERROR(ORÇAMENTO.BancoRef),"(abra o arquivo 'Referência "&amp;Excel_BuiltIn_Database&amp;".xlsm)",IF(OR($C225&lt;&gt;"S",ORÇAMENTO.CodBarra=""),"(Sem Código)",IF(ISERROR(MATCH($AE225,INDIRECT(ORÇAMENTO.BancoRef),0)),"(Código não identificado nas referências)",MATCH($AE225,INDIRECT(ORÇAMENTO.BancoRef),0))))</f>
        <v>(Sem Código)</v>
      </c>
      <c r="AG225" s="428" cm="1">
        <f t="array" aca="1" ref="AG225" ca="1">ROUND(IF(DESONERACAO="sim",REFERENCIA.Desonerado,REFERENCIA.NaoDesonerado),2)</f>
        <v>0</v>
      </c>
      <c r="AH225" s="429">
        <f t="shared" ca="1" si="65"/>
        <v>0.2223</v>
      </c>
      <c r="AJ225" s="431"/>
      <c r="AL225" s="439"/>
      <c r="AM225" s="336">
        <f t="shared" ca="1" si="0"/>
        <v>0</v>
      </c>
      <c r="AN225" s="470" cm="1">
        <f t="array" aca="1" ref="AN225" ca="1">ROUND(ORÇAMENTO.CustoUnitario*(1+$AH225),2)</f>
        <v>0</v>
      </c>
    </row>
    <row r="226" spans="1:40" ht="38.25" x14ac:dyDescent="0.2">
      <c r="A226" t="str">
        <f t="shared" si="52"/>
        <v>S</v>
      </c>
      <c r="B226">
        <f t="shared" ca="1" si="53"/>
        <v>3</v>
      </c>
      <c r="C226" t="str">
        <f t="shared" ca="1" si="54"/>
        <v>S</v>
      </c>
      <c r="D226">
        <f t="shared" ca="1" si="55"/>
        <v>0</v>
      </c>
      <c r="E226">
        <f ca="1">IF($C226=1,OFFSET(E226,-1,0)+MAX(1,COUNTIF(QCI!$A$13:$A$24,OFFSET(ORÇAMENTO!E226,-1,0))),OFFSET(E226,-1,0))</f>
        <v>9</v>
      </c>
      <c r="F226">
        <f t="shared" ca="1" si="56"/>
        <v>3</v>
      </c>
      <c r="G226">
        <f t="shared" ca="1" si="57"/>
        <v>3</v>
      </c>
      <c r="H226">
        <f t="shared" ca="1" si="58"/>
        <v>0</v>
      </c>
      <c r="I226">
        <f t="shared" ca="1" si="59"/>
        <v>0</v>
      </c>
      <c r="J226">
        <f t="shared" ca="1" si="51"/>
        <v>0</v>
      </c>
      <c r="K226">
        <f ca="1">IF(OR($C226="S",$C226=0),0,MATCH(OFFSET($D226,0,$C226)+IF($C226&lt;&gt;1,1,COUNTIF(QCI!$A$13:$A$24,ORÇAMENTO!E226)),OFFSET($D226,1,$C226,ROW($C$244)-ROW($C226)),0))</f>
        <v>0</v>
      </c>
      <c r="L226" s="114" t="str">
        <f t="shared" ca="1" si="60"/>
        <v/>
      </c>
      <c r="M226" s="115" t="s">
        <v>705</v>
      </c>
      <c r="N226" s="116" t="str">
        <f t="shared" ca="1" si="61"/>
        <v>Serviço</v>
      </c>
      <c r="O226" s="117" t="str">
        <f t="shared" ca="1" si="62"/>
        <v>-</v>
      </c>
      <c r="P226" s="118" t="s">
        <v>750</v>
      </c>
      <c r="Q226" s="119" t="s">
        <v>1158</v>
      </c>
      <c r="R226" s="120" t="str" cm="1">
        <f t="array" aca="1" ref="R226" ca="1">IF($C226="S",REFERENCIA.Descricao,"(digite a descrição aqui)")</f>
        <v>(Código não identificado nas referências)</v>
      </c>
      <c r="S226" s="121" t="str" cm="1">
        <f t="array" aca="1" ref="S226" ca="1">REFERENCIA.Unidade</f>
        <v>-</v>
      </c>
      <c r="T226" s="122">
        <f ca="1">OFFSET(CÁLCULO!H$15,ROW($T226)-ROW(T$15),0)</f>
        <v>20</v>
      </c>
      <c r="U226" s="123">
        <f t="shared" ca="1" si="63"/>
        <v>0</v>
      </c>
      <c r="V226" s="124" t="s">
        <v>663</v>
      </c>
      <c r="W226" s="122" cm="1">
        <f t="array" aca="1" ref="W226" ca="1">IF($C226="S",ROUND(IF(TIPOORCAMENTO="Proposto",ORÇAMENTO.CustoUnitario*(1+$AH226),ORÇAMENTO.PrecoUnitarioLicitado),15-13*$AF$10),0)</f>
        <v>0</v>
      </c>
      <c r="X226" s="125" cm="1">
        <f t="array" aca="1" ref="X226" ca="1">IF($C226="S",IF(OR(Import.TipoArredondamento&lt;&gt;"TransfereGOV",ACOMPANHAMENTO="BM"),VTOTAL1,SUM(OFFSET(CÁLCULO!$AQ$15,ROW($X226)-ROW($X$15),1):OFFSET(CÁLCULO!$BR$15,ROW($X226)-ROW($X$15),-1))),IF($C226=0,0,ROUND(SomaAgrup,15-13*$AF$11)))</f>
        <v>0</v>
      </c>
      <c r="Y226" s="126" t="s">
        <v>751</v>
      </c>
      <c r="Z226" t="str">
        <f t="shared" ca="1" si="64"/>
        <v/>
      </c>
      <c r="AA226" s="127" cm="1">
        <f t="array" aca="1" ref="AA226" ca="1">IF($C226="S",IF($Z226="CP",$X226,IF($Z226="RA",(($X226)*QCI!$AA$3),0)),SomaAgrup)</f>
        <v>0</v>
      </c>
      <c r="AB226" s="128" cm="1">
        <f t="array" aca="1" ref="AB226" ca="1">IF($C226="S",IF($Z226="OU",ROUND($X226,2),0),SomaAgrup)</f>
        <v>0</v>
      </c>
      <c r="AC226" s="565" t="str" cm="1">
        <f t="array" aca="1" ref="AC226" ca="1">IF($N226=""," ",
IF(AND($C226&lt;&gt;"S",OR($R226="",$R226="(digite a descrição aqui)")),"DESCRIÇÃO",
IF(AND($C226="S",OR($Q226&lt;&gt;"",$T226&gt;0,$U226&gt;0),$P226=""),"FONTE",
IF(AND($C226="S",$P226&lt;&gt;"",OR($T226&gt;0,$U226&gt;0),$Q226=""),"CÓDIGO",
IF(AND($C226="S",$P226&lt;&gt;"",$Q226&lt;&gt;"",$R226="(Código não identificado nas referências)"),"CÓDIGO N/ID",
IF(AND($C226="S",OR($R226="",$R226="(digite a descrição aqui)"),OR($Q226&lt;&gt;"",$T226&gt;0,$U226&gt;0)),"DESCRIÇÃO",
IF(AND($C226="S",$P226&lt;&gt;"",$Q226&lt;&gt;"",$S226=""),"UNIDADE",
IF(AND($C226="S",$P226&lt;&gt;"",$Q226&lt;&gt;"",$U226=0),"SEM CUSTO",
IF(AND(TIPOORCAMENTO="Licitado",$AL226=0,$AN226&gt;0),"SEM PREÇO",
IF(AND($C226="S",$P226&lt;&gt;"",$Q226&lt;&gt;"",$U226&gt;0,AND($V226&lt;&gt;"BDI 1",$V226&lt;&gt;"BDI 2",$V226&lt;&gt;"BDI 3")),IF(ISNUMBER($V226),"JUSTIFICAR BDI","BDI"),
IF(OR(AND(import.recurso="OGU",TIPOORCAMENTO="Proposto",LEFT($O$8,5)&lt;&gt;"(N/D:",$AG226&lt;&gt;"",ORÇAMENTO.CustoUnitario&gt;$AG226),AND(TIPOORCAMENTO="LICITADO",ORÇAMENTO.PrecoUnitarioLicitado&gt;$AN226)),"ACIMA REF.",
IF(AND($C226="S",$P226&lt;&gt;"",$Q226&lt;&gt;"",$T226=0,$U226&gt;0),"QUANT.",
IF(AND(Import.TipoArredondamento="TransfereGOV",$L226="F",$C226="S",LEN($Q226)&gt;13),"Código &gt;13",
IF(AND(Import.TipoArredondamento="TransfereGOV",$L226="F",$C226&lt;&gt;"S",LEN($R226)&gt;100),"Descrição &gt;100",
IF(AND(Import.TipoArredondamento="TransfereGOV",$L226="F",$C226="S",LEN($R226)&gt;500),"Descrição &gt;500",
IF(AND(Import.TipoArredondamento="TransfereGOV",$L226="F",$C226="S",LEFT(TRIM(UPPER($P226)),6)&lt;&gt;"SINAPI",ISNA(VLOOKUP(TRIM(UPPER($S226)),ListaTgov.Unidades,1,FALSE))),"Unid. Não Disp",
" "))))))))))))))))</f>
        <v>CÓDIGO N/ID</v>
      </c>
      <c r="AD226" t="str">
        <f ca="1">IF(C226&lt;=CRONO.NivelExibicao,MAX($AD$15:OFFSET(AD226,-1,0))+IF($C226&lt;&gt;1,1,MAX(1,COUNTIF(QCI!$A$13:$A$24,OFFSET($E226,-1,0)))),"")</f>
        <v/>
      </c>
      <c r="AE226" s="7" t="str" cm="1">
        <f t="array" aca="1" ref="AE226" ca="1">IF(AND($C226="S",ORÇAMENTO.CodBarra&lt;&gt;""),IF(ORÇAMENTO.Fonte="",ORÇAMENTO.CodBarra,CONCATENATE(ORÇAMENTO.Fonte," ",ORÇAMENTO.CodBarra)))</f>
        <v>SINAPI 86931</v>
      </c>
      <c r="AF226" s="12" t="str" cm="1">
        <f t="array" aca="1" ref="AF226" ca="1">IF(ISERROR(ORÇAMENTO.BancoRef),"(abra o arquivo 'Referência "&amp;Excel_BuiltIn_Database&amp;".xlsm)",IF(OR($C226&lt;&gt;"S",ORÇAMENTO.CodBarra=""),"(Sem Código)",IF(ISERROR(MATCH($AE226,INDIRECT(ORÇAMENTO.BancoRef),0)),"(Código não identificado nas referências)",MATCH($AE226,INDIRECT(ORÇAMENTO.BancoRef),0))))</f>
        <v>(Código não identificado nas referências)</v>
      </c>
      <c r="AG226" s="428" cm="1">
        <f t="array" aca="1" ref="AG226" ca="1">ROUND(IF(DESONERACAO="sim",REFERENCIA.Desonerado,REFERENCIA.NaoDesonerado),2)</f>
        <v>0</v>
      </c>
      <c r="AH226" s="429">
        <f t="shared" ca="1" si="65"/>
        <v>0.2223</v>
      </c>
      <c r="AJ226" s="431"/>
      <c r="AL226" s="439"/>
      <c r="AM226" s="336">
        <f t="shared" ca="1" si="0"/>
        <v>0</v>
      </c>
      <c r="AN226" s="470" cm="1">
        <f t="array" aca="1" ref="AN226" ca="1">ROUND(ORÇAMENTO.CustoUnitario*(1+$AH226),2)</f>
        <v>0</v>
      </c>
    </row>
    <row r="227" spans="1:40" ht="63.75" x14ac:dyDescent="0.2">
      <c r="A227" t="str">
        <f t="shared" si="52"/>
        <v>S</v>
      </c>
      <c r="B227">
        <f t="shared" ca="1" si="53"/>
        <v>3</v>
      </c>
      <c r="C227" t="str">
        <f t="shared" ca="1" si="54"/>
        <v>S</v>
      </c>
      <c r="D227">
        <f t="shared" ca="1" si="55"/>
        <v>0</v>
      </c>
      <c r="E227">
        <f ca="1">IF($C227=1,OFFSET(E227,-1,0)+MAX(1,COUNTIF(QCI!$A$13:$A$24,OFFSET(ORÇAMENTO!E227,-1,0))),OFFSET(E227,-1,0))</f>
        <v>9</v>
      </c>
      <c r="F227">
        <f t="shared" ca="1" si="56"/>
        <v>3</v>
      </c>
      <c r="G227">
        <f t="shared" ca="1" si="57"/>
        <v>3</v>
      </c>
      <c r="H227">
        <f t="shared" ca="1" si="58"/>
        <v>0</v>
      </c>
      <c r="I227">
        <f t="shared" ca="1" si="59"/>
        <v>0</v>
      </c>
      <c r="J227">
        <f t="shared" ca="1" si="51"/>
        <v>0</v>
      </c>
      <c r="K227">
        <f ca="1">IF(OR($C227="S",$C227=0),0,MATCH(OFFSET($D227,0,$C227)+IF($C227&lt;&gt;1,1,COUNTIF(QCI!$A$13:$A$24,ORÇAMENTO!E227)),OFFSET($D227,1,$C227,ROW($C$244)-ROW($C227)),0))</f>
        <v>0</v>
      </c>
      <c r="L227" s="114" t="str">
        <f t="shared" ca="1" si="60"/>
        <v/>
      </c>
      <c r="M227" s="115" t="s">
        <v>705</v>
      </c>
      <c r="N227" s="116" t="str">
        <f t="shared" ca="1" si="61"/>
        <v>Serviço</v>
      </c>
      <c r="O227" s="117" t="str">
        <f t="shared" ca="1" si="62"/>
        <v>-</v>
      </c>
      <c r="P227" s="118" t="s">
        <v>750</v>
      </c>
      <c r="Q227" s="119" t="s">
        <v>1159</v>
      </c>
      <c r="R227" s="120" t="str" cm="1">
        <f t="array" aca="1" ref="R227" ca="1">IF($C227="S",REFERENCIA.Descricao,"(digite a descrição aqui)")</f>
        <v>(Código não identificado nas referências)</v>
      </c>
      <c r="S227" s="121" t="str" cm="1">
        <f t="array" aca="1" ref="S227" ca="1">REFERENCIA.Unidade</f>
        <v>-</v>
      </c>
      <c r="T227" s="122">
        <f ca="1">OFFSET(CÁLCULO!H$15,ROW($T227)-ROW(T$15),0)</f>
        <v>20</v>
      </c>
      <c r="U227" s="123">
        <f t="shared" ca="1" si="63"/>
        <v>0</v>
      </c>
      <c r="V227" s="124" t="s">
        <v>663</v>
      </c>
      <c r="W227" s="122" cm="1">
        <f t="array" aca="1" ref="W227" ca="1">IF($C227="S",ROUND(IF(TIPOORCAMENTO="Proposto",ORÇAMENTO.CustoUnitario*(1+$AH227),ORÇAMENTO.PrecoUnitarioLicitado),15-13*$AF$10),0)</f>
        <v>0</v>
      </c>
      <c r="X227" s="125" cm="1">
        <f t="array" aca="1" ref="X227" ca="1">IF($C227="S",IF(OR(Import.TipoArredondamento&lt;&gt;"TransfereGOV",ACOMPANHAMENTO="BM"),VTOTAL1,SUM(OFFSET(CÁLCULO!$AQ$15,ROW($X227)-ROW($X$15),1):OFFSET(CÁLCULO!$BR$15,ROW($X227)-ROW($X$15),-1))),IF($C227=0,0,ROUND(SomaAgrup,15-13*$AF$11)))</f>
        <v>0</v>
      </c>
      <c r="Y227" s="126" t="s">
        <v>751</v>
      </c>
      <c r="Z227" t="str">
        <f t="shared" ca="1" si="64"/>
        <v/>
      </c>
      <c r="AA227" s="127" cm="1">
        <f t="array" aca="1" ref="AA227" ca="1">IF($C227="S",IF($Z227="CP",$X227,IF($Z227="RA",(($X227)*QCI!$AA$3),0)),SomaAgrup)</f>
        <v>0</v>
      </c>
      <c r="AB227" s="128" cm="1">
        <f t="array" aca="1" ref="AB227" ca="1">IF($C227="S",IF($Z227="OU",ROUND($X227,2),0),SomaAgrup)</f>
        <v>0</v>
      </c>
      <c r="AC227" s="565" t="str" cm="1">
        <f t="array" aca="1" ref="AC227" ca="1">IF($N227=""," ",
IF(AND($C227&lt;&gt;"S",OR($R227="",$R227="(digite a descrição aqui)")),"DESCRIÇÃO",
IF(AND($C227="S",OR($Q227&lt;&gt;"",$T227&gt;0,$U227&gt;0),$P227=""),"FONTE",
IF(AND($C227="S",$P227&lt;&gt;"",OR($T227&gt;0,$U227&gt;0),$Q227=""),"CÓDIGO",
IF(AND($C227="S",$P227&lt;&gt;"",$Q227&lt;&gt;"",$R227="(Código não identificado nas referências)"),"CÓDIGO N/ID",
IF(AND($C227="S",OR($R227="",$R227="(digite a descrição aqui)"),OR($Q227&lt;&gt;"",$T227&gt;0,$U227&gt;0)),"DESCRIÇÃO",
IF(AND($C227="S",$P227&lt;&gt;"",$Q227&lt;&gt;"",$S227=""),"UNIDADE",
IF(AND($C227="S",$P227&lt;&gt;"",$Q227&lt;&gt;"",$U227=0),"SEM CUSTO",
IF(AND(TIPOORCAMENTO="Licitado",$AL227=0,$AN227&gt;0),"SEM PREÇO",
IF(AND($C227="S",$P227&lt;&gt;"",$Q227&lt;&gt;"",$U227&gt;0,AND($V227&lt;&gt;"BDI 1",$V227&lt;&gt;"BDI 2",$V227&lt;&gt;"BDI 3")),IF(ISNUMBER($V227),"JUSTIFICAR BDI","BDI"),
IF(OR(AND(import.recurso="OGU",TIPOORCAMENTO="Proposto",LEFT($O$8,5)&lt;&gt;"(N/D:",$AG227&lt;&gt;"",ORÇAMENTO.CustoUnitario&gt;$AG227),AND(TIPOORCAMENTO="LICITADO",ORÇAMENTO.PrecoUnitarioLicitado&gt;$AN227)),"ACIMA REF.",
IF(AND($C227="S",$P227&lt;&gt;"",$Q227&lt;&gt;"",$T227=0,$U227&gt;0),"QUANT.",
IF(AND(Import.TipoArredondamento="TransfereGOV",$L227="F",$C227="S",LEN($Q227)&gt;13),"Código &gt;13",
IF(AND(Import.TipoArredondamento="TransfereGOV",$L227="F",$C227&lt;&gt;"S",LEN($R227)&gt;100),"Descrição &gt;100",
IF(AND(Import.TipoArredondamento="TransfereGOV",$L227="F",$C227="S",LEN($R227)&gt;500),"Descrição &gt;500",
IF(AND(Import.TipoArredondamento="TransfereGOV",$L227="F",$C227="S",LEFT(TRIM(UPPER($P227)),6)&lt;&gt;"SINAPI",ISNA(VLOOKUP(TRIM(UPPER($S227)),ListaTgov.Unidades,1,FALSE))),"Unid. Não Disp",
" "))))))))))))))))</f>
        <v>CÓDIGO N/ID</v>
      </c>
      <c r="AD227" t="str">
        <f ca="1">IF(C227&lt;=CRONO.NivelExibicao,MAX($AD$15:OFFSET(AD227,-1,0))+IF($C227&lt;&gt;1,1,MAX(1,COUNTIF(QCI!$A$13:$A$24,OFFSET($E227,-1,0)))),"")</f>
        <v/>
      </c>
      <c r="AE227" s="7" t="str" cm="1">
        <f t="array" aca="1" ref="AE227" ca="1">IF(AND($C227="S",ORÇAMENTO.CodBarra&lt;&gt;""),IF(ORÇAMENTO.Fonte="",ORÇAMENTO.CodBarra,CONCATENATE(ORÇAMENTO.Fonte," ",ORÇAMENTO.CodBarra)))</f>
        <v>SINAPI 86943</v>
      </c>
      <c r="AF227" s="12" t="str" cm="1">
        <f t="array" aca="1" ref="AF227" ca="1">IF(ISERROR(ORÇAMENTO.BancoRef),"(abra o arquivo 'Referência "&amp;Excel_BuiltIn_Database&amp;".xlsm)",IF(OR($C227&lt;&gt;"S",ORÇAMENTO.CodBarra=""),"(Sem Código)",IF(ISERROR(MATCH($AE227,INDIRECT(ORÇAMENTO.BancoRef),0)),"(Código não identificado nas referências)",MATCH($AE227,INDIRECT(ORÇAMENTO.BancoRef),0))))</f>
        <v>(Código não identificado nas referências)</v>
      </c>
      <c r="AG227" s="428" cm="1">
        <f t="array" aca="1" ref="AG227" ca="1">ROUND(IF(DESONERACAO="sim",REFERENCIA.Desonerado,REFERENCIA.NaoDesonerado),2)</f>
        <v>0</v>
      </c>
      <c r="AH227" s="429">
        <f t="shared" ca="1" si="65"/>
        <v>0.2223</v>
      </c>
      <c r="AJ227" s="431"/>
      <c r="AL227" s="439"/>
      <c r="AM227" s="336">
        <f t="shared" ca="1" si="0"/>
        <v>0</v>
      </c>
      <c r="AN227" s="470" cm="1">
        <f t="array" aca="1" ref="AN227" ca="1">ROUND(ORÇAMENTO.CustoUnitario*(1+$AH227),2)</f>
        <v>0</v>
      </c>
    </row>
    <row r="228" spans="1:40" ht="63.75" x14ac:dyDescent="0.2">
      <c r="A228" t="str">
        <f t="shared" si="52"/>
        <v>S</v>
      </c>
      <c r="B228">
        <f t="shared" ca="1" si="53"/>
        <v>3</v>
      </c>
      <c r="C228" t="str">
        <f t="shared" ca="1" si="54"/>
        <v>S</v>
      </c>
      <c r="D228">
        <f t="shared" ca="1" si="55"/>
        <v>0</v>
      </c>
      <c r="E228">
        <f ca="1">IF($C228=1,OFFSET(E228,-1,0)+MAX(1,COUNTIF(QCI!$A$13:$A$24,OFFSET(ORÇAMENTO!E228,-1,0))),OFFSET(E228,-1,0))</f>
        <v>9</v>
      </c>
      <c r="F228">
        <f t="shared" ca="1" si="56"/>
        <v>3</v>
      </c>
      <c r="G228">
        <f t="shared" ca="1" si="57"/>
        <v>3</v>
      </c>
      <c r="H228">
        <f t="shared" ca="1" si="58"/>
        <v>0</v>
      </c>
      <c r="I228">
        <f t="shared" ca="1" si="59"/>
        <v>0</v>
      </c>
      <c r="J228">
        <f t="shared" ca="1" si="51"/>
        <v>0</v>
      </c>
      <c r="K228">
        <f ca="1">IF(OR($C228="S",$C228=0),0,MATCH(OFFSET($D228,0,$C228)+IF($C228&lt;&gt;1,1,COUNTIF(QCI!$A$13:$A$24,ORÇAMENTO!E228)),OFFSET($D228,1,$C228,ROW($C$244)-ROW($C228)),0))</f>
        <v>0</v>
      </c>
      <c r="L228" s="114" t="str">
        <f t="shared" ca="1" si="60"/>
        <v/>
      </c>
      <c r="M228" s="115" t="s">
        <v>705</v>
      </c>
      <c r="N228" s="116" t="str">
        <f t="shared" ca="1" si="61"/>
        <v>Serviço</v>
      </c>
      <c r="O228" s="117" t="str">
        <f t="shared" ca="1" si="62"/>
        <v>-</v>
      </c>
      <c r="P228" s="118" t="s">
        <v>750</v>
      </c>
      <c r="Q228" s="119" t="s">
        <v>1160</v>
      </c>
      <c r="R228" s="120" t="str" cm="1">
        <f t="array" aca="1" ref="R228" ca="1">IF($C228="S",REFERENCIA.Descricao,"(digite a descrição aqui)")</f>
        <v>(Código não identificado nas referências)</v>
      </c>
      <c r="S228" s="121" t="str" cm="1">
        <f t="array" aca="1" ref="S228" ca="1">REFERENCIA.Unidade</f>
        <v>-</v>
      </c>
      <c r="T228" s="122">
        <f ca="1">OFFSET(CÁLCULO!H$15,ROW($T228)-ROW(T$15),0)</f>
        <v>20</v>
      </c>
      <c r="U228" s="123">
        <f t="shared" ca="1" si="63"/>
        <v>0</v>
      </c>
      <c r="V228" s="124" t="s">
        <v>663</v>
      </c>
      <c r="W228" s="122" cm="1">
        <f t="array" aca="1" ref="W228" ca="1">IF($C228="S",ROUND(IF(TIPOORCAMENTO="Proposto",ORÇAMENTO.CustoUnitario*(1+$AH228),ORÇAMENTO.PrecoUnitarioLicitado),15-13*$AF$10),0)</f>
        <v>0</v>
      </c>
      <c r="X228" s="125" cm="1">
        <f t="array" aca="1" ref="X228" ca="1">IF($C228="S",IF(OR(Import.TipoArredondamento&lt;&gt;"TransfereGOV",ACOMPANHAMENTO="BM"),VTOTAL1,SUM(OFFSET(CÁLCULO!$AQ$15,ROW($X228)-ROW($X$15),1):OFFSET(CÁLCULO!$BR$15,ROW($X228)-ROW($X$15),-1))),IF($C228=0,0,ROUND(SomaAgrup,15-13*$AF$11)))</f>
        <v>0</v>
      </c>
      <c r="Y228" s="126" t="s">
        <v>751</v>
      </c>
      <c r="Z228" t="str">
        <f t="shared" ca="1" si="64"/>
        <v/>
      </c>
      <c r="AA228" s="127" cm="1">
        <f t="array" aca="1" ref="AA228" ca="1">IF($C228="S",IF($Z228="CP",$X228,IF($Z228="RA",(($X228)*QCI!$AA$3),0)),SomaAgrup)</f>
        <v>0</v>
      </c>
      <c r="AB228" s="128" cm="1">
        <f t="array" aca="1" ref="AB228" ca="1">IF($C228="S",IF($Z228="OU",ROUND($X228,2),0),SomaAgrup)</f>
        <v>0</v>
      </c>
      <c r="AC228" s="565" t="str" cm="1">
        <f t="array" aca="1" ref="AC228" ca="1">IF($N228=""," ",
IF(AND($C228&lt;&gt;"S",OR($R228="",$R228="(digite a descrição aqui)")),"DESCRIÇÃO",
IF(AND($C228="S",OR($Q228&lt;&gt;"",$T228&gt;0,$U228&gt;0),$P228=""),"FONTE",
IF(AND($C228="S",$P228&lt;&gt;"",OR($T228&gt;0,$U228&gt;0),$Q228=""),"CÓDIGO",
IF(AND($C228="S",$P228&lt;&gt;"",$Q228&lt;&gt;"",$R228="(Código não identificado nas referências)"),"CÓDIGO N/ID",
IF(AND($C228="S",OR($R228="",$R228="(digite a descrição aqui)"),OR($Q228&lt;&gt;"",$T228&gt;0,$U228&gt;0)),"DESCRIÇÃO",
IF(AND($C228="S",$P228&lt;&gt;"",$Q228&lt;&gt;"",$S228=""),"UNIDADE",
IF(AND($C228="S",$P228&lt;&gt;"",$Q228&lt;&gt;"",$U228=0),"SEM CUSTO",
IF(AND(TIPOORCAMENTO="Licitado",$AL228=0,$AN228&gt;0),"SEM PREÇO",
IF(AND($C228="S",$P228&lt;&gt;"",$Q228&lt;&gt;"",$U228&gt;0,AND($V228&lt;&gt;"BDI 1",$V228&lt;&gt;"BDI 2",$V228&lt;&gt;"BDI 3")),IF(ISNUMBER($V228),"JUSTIFICAR BDI","BDI"),
IF(OR(AND(import.recurso="OGU",TIPOORCAMENTO="Proposto",LEFT($O$8,5)&lt;&gt;"(N/D:",$AG228&lt;&gt;"",ORÇAMENTO.CustoUnitario&gt;$AG228),AND(TIPOORCAMENTO="LICITADO",ORÇAMENTO.PrecoUnitarioLicitado&gt;$AN228)),"ACIMA REF.",
IF(AND($C228="S",$P228&lt;&gt;"",$Q228&lt;&gt;"",$T228=0,$U228&gt;0),"QUANT.",
IF(AND(Import.TipoArredondamento="TransfereGOV",$L228="F",$C228="S",LEN($Q228)&gt;13),"Código &gt;13",
IF(AND(Import.TipoArredondamento="TransfereGOV",$L228="F",$C228&lt;&gt;"S",LEN($R228)&gt;100),"Descrição &gt;100",
IF(AND(Import.TipoArredondamento="TransfereGOV",$L228="F",$C228="S",LEN($R228)&gt;500),"Descrição &gt;500",
IF(AND(Import.TipoArredondamento="TransfereGOV",$L228="F",$C228="S",LEFT(TRIM(UPPER($P228)),6)&lt;&gt;"SINAPI",ISNA(VLOOKUP(TRIM(UPPER($S228)),ListaTgov.Unidades,1,FALSE))),"Unid. Não Disp",
" "))))))))))))))))</f>
        <v>CÓDIGO N/ID</v>
      </c>
      <c r="AD228" t="str">
        <f ca="1">IF(C228&lt;=CRONO.NivelExibicao,MAX($AD$15:OFFSET(AD228,-1,0))+IF($C228&lt;&gt;1,1,MAX(1,COUNTIF(QCI!$A$13:$A$24,OFFSET($E228,-1,0)))),"")</f>
        <v/>
      </c>
      <c r="AE228" s="7" t="str" cm="1">
        <f t="array" aca="1" ref="AE228" ca="1">IF(AND($C228="S",ORÇAMENTO.CodBarra&lt;&gt;""),IF(ORÇAMENTO.Fonte="",ORÇAMENTO.CodBarra,CONCATENATE(ORÇAMENTO.Fonte," ",ORÇAMENTO.CodBarra)))</f>
        <v>SINAPI 86934</v>
      </c>
      <c r="AF228" s="12" t="str" cm="1">
        <f t="array" aca="1" ref="AF228" ca="1">IF(ISERROR(ORÇAMENTO.BancoRef),"(abra o arquivo 'Referência "&amp;Excel_BuiltIn_Database&amp;".xlsm)",IF(OR($C228&lt;&gt;"S",ORÇAMENTO.CodBarra=""),"(Sem Código)",IF(ISERROR(MATCH($AE228,INDIRECT(ORÇAMENTO.BancoRef),0)),"(Código não identificado nas referências)",MATCH($AE228,INDIRECT(ORÇAMENTO.BancoRef),0))))</f>
        <v>(Código não identificado nas referências)</v>
      </c>
      <c r="AG228" s="428" cm="1">
        <f t="array" aca="1" ref="AG228" ca="1">ROUND(IF(DESONERACAO="sim",REFERENCIA.Desonerado,REFERENCIA.NaoDesonerado),2)</f>
        <v>0</v>
      </c>
      <c r="AH228" s="429">
        <f t="shared" ca="1" si="65"/>
        <v>0.2223</v>
      </c>
      <c r="AJ228" s="431"/>
      <c r="AL228" s="439"/>
      <c r="AM228" s="336">
        <f t="shared" ca="1" si="0"/>
        <v>0</v>
      </c>
      <c r="AN228" s="470" cm="1">
        <f t="array" aca="1" ref="AN228" ca="1">ROUND(ORÇAMENTO.CustoUnitario*(1+$AH228),2)</f>
        <v>0</v>
      </c>
    </row>
    <row r="229" spans="1:40" ht="51" x14ac:dyDescent="0.2">
      <c r="A229" t="str">
        <f t="shared" si="52"/>
        <v>S</v>
      </c>
      <c r="B229">
        <f t="shared" ca="1" si="53"/>
        <v>3</v>
      </c>
      <c r="C229" t="str">
        <f t="shared" ca="1" si="54"/>
        <v>S</v>
      </c>
      <c r="D229">
        <f t="shared" ca="1" si="55"/>
        <v>0</v>
      </c>
      <c r="E229">
        <f ca="1">IF($C229=1,OFFSET(E229,-1,0)+MAX(1,COUNTIF(QCI!$A$13:$A$24,OFFSET(ORÇAMENTO!E229,-1,0))),OFFSET(E229,-1,0))</f>
        <v>9</v>
      </c>
      <c r="F229">
        <f t="shared" ca="1" si="56"/>
        <v>3</v>
      </c>
      <c r="G229">
        <f t="shared" ca="1" si="57"/>
        <v>3</v>
      </c>
      <c r="H229">
        <f t="shared" ca="1" si="58"/>
        <v>0</v>
      </c>
      <c r="I229">
        <f t="shared" ca="1" si="59"/>
        <v>0</v>
      </c>
      <c r="J229">
        <f t="shared" ca="1" si="51"/>
        <v>0</v>
      </c>
      <c r="K229">
        <f ca="1">IF(OR($C229="S",$C229=0),0,MATCH(OFFSET($D229,0,$C229)+IF($C229&lt;&gt;1,1,COUNTIF(QCI!$A$13:$A$24,ORÇAMENTO!E229)),OFFSET($D229,1,$C229,ROW($C$244)-ROW($C229)),0))</f>
        <v>0</v>
      </c>
      <c r="L229" s="114" t="str">
        <f t="shared" ca="1" si="60"/>
        <v/>
      </c>
      <c r="M229" s="115" t="s">
        <v>705</v>
      </c>
      <c r="N229" s="116" t="str">
        <f t="shared" ca="1" si="61"/>
        <v>Serviço</v>
      </c>
      <c r="O229" s="117" t="str">
        <f t="shared" ca="1" si="62"/>
        <v>-</v>
      </c>
      <c r="P229" s="118" t="s">
        <v>750</v>
      </c>
      <c r="Q229" s="119" t="s">
        <v>1161</v>
      </c>
      <c r="R229" s="120" t="str" cm="1">
        <f t="array" aca="1" ref="R229" ca="1">IF($C229="S",REFERENCIA.Descricao,"(digite a descrição aqui)")</f>
        <v>(Código não identificado nas referências)</v>
      </c>
      <c r="S229" s="121" t="str" cm="1">
        <f t="array" aca="1" ref="S229" ca="1">REFERENCIA.Unidade</f>
        <v>-</v>
      </c>
      <c r="T229" s="122">
        <f ca="1">OFFSET(CÁLCULO!H$15,ROW($T229)-ROW(T$15),0)</f>
        <v>20</v>
      </c>
      <c r="U229" s="123">
        <f t="shared" ca="1" si="63"/>
        <v>0</v>
      </c>
      <c r="V229" s="124" t="s">
        <v>663</v>
      </c>
      <c r="W229" s="122" cm="1">
        <f t="array" aca="1" ref="W229" ca="1">IF($C229="S",ROUND(IF(TIPOORCAMENTO="Proposto",ORÇAMENTO.CustoUnitario*(1+$AH229),ORÇAMENTO.PrecoUnitarioLicitado),15-13*$AF$10),0)</f>
        <v>0</v>
      </c>
      <c r="X229" s="125" cm="1">
        <f t="array" aca="1" ref="X229" ca="1">IF($C229="S",IF(OR(Import.TipoArredondamento&lt;&gt;"TransfereGOV",ACOMPANHAMENTO="BM"),VTOTAL1,SUM(OFFSET(CÁLCULO!$AQ$15,ROW($X229)-ROW($X$15),1):OFFSET(CÁLCULO!$BR$15,ROW($X229)-ROW($X$15),-1))),IF($C229=0,0,ROUND(SomaAgrup,15-13*$AF$11)))</f>
        <v>0</v>
      </c>
      <c r="Y229" s="126" t="s">
        <v>751</v>
      </c>
      <c r="Z229" t="str">
        <f t="shared" ca="1" si="64"/>
        <v/>
      </c>
      <c r="AA229" s="127" cm="1">
        <f t="array" aca="1" ref="AA229" ca="1">IF($C229="S",IF($Z229="CP",$X229,IF($Z229="RA",(($X229)*QCI!$AA$3),0)),SomaAgrup)</f>
        <v>0</v>
      </c>
      <c r="AB229" s="128" cm="1">
        <f t="array" aca="1" ref="AB229" ca="1">IF($C229="S",IF($Z229="OU",ROUND($X229,2),0),SomaAgrup)</f>
        <v>0</v>
      </c>
      <c r="AC229" s="565" t="str" cm="1">
        <f t="array" aca="1" ref="AC229" ca="1">IF($N229=""," ",
IF(AND($C229&lt;&gt;"S",OR($R229="",$R229="(digite a descrição aqui)")),"DESCRIÇÃO",
IF(AND($C229="S",OR($Q229&lt;&gt;"",$T229&gt;0,$U229&gt;0),$P229=""),"FONTE",
IF(AND($C229="S",$P229&lt;&gt;"",OR($T229&gt;0,$U229&gt;0),$Q229=""),"CÓDIGO",
IF(AND($C229="S",$P229&lt;&gt;"",$Q229&lt;&gt;"",$R229="(Código não identificado nas referências)"),"CÓDIGO N/ID",
IF(AND($C229="S",OR($R229="",$R229="(digite a descrição aqui)"),OR($Q229&lt;&gt;"",$T229&gt;0,$U229&gt;0)),"DESCRIÇÃO",
IF(AND($C229="S",$P229&lt;&gt;"",$Q229&lt;&gt;"",$S229=""),"UNIDADE",
IF(AND($C229="S",$P229&lt;&gt;"",$Q229&lt;&gt;"",$U229=0),"SEM CUSTO",
IF(AND(TIPOORCAMENTO="Licitado",$AL229=0,$AN229&gt;0),"SEM PREÇO",
IF(AND($C229="S",$P229&lt;&gt;"",$Q229&lt;&gt;"",$U229&gt;0,AND($V229&lt;&gt;"BDI 1",$V229&lt;&gt;"BDI 2",$V229&lt;&gt;"BDI 3")),IF(ISNUMBER($V229),"JUSTIFICAR BDI","BDI"),
IF(OR(AND(import.recurso="OGU",TIPOORCAMENTO="Proposto",LEFT($O$8,5)&lt;&gt;"(N/D:",$AG229&lt;&gt;"",ORÇAMENTO.CustoUnitario&gt;$AG229),AND(TIPOORCAMENTO="LICITADO",ORÇAMENTO.PrecoUnitarioLicitado&gt;$AN229)),"ACIMA REF.",
IF(AND($C229="S",$P229&lt;&gt;"",$Q229&lt;&gt;"",$T229=0,$U229&gt;0),"QUANT.",
IF(AND(Import.TipoArredondamento="TransfereGOV",$L229="F",$C229="S",LEN($Q229)&gt;13),"Código &gt;13",
IF(AND(Import.TipoArredondamento="TransfereGOV",$L229="F",$C229&lt;&gt;"S",LEN($R229)&gt;100),"Descrição &gt;100",
IF(AND(Import.TipoArredondamento="TransfereGOV",$L229="F",$C229="S",LEN($R229)&gt;500),"Descrição &gt;500",
IF(AND(Import.TipoArredondamento="TransfereGOV",$L229="F",$C229="S",LEFT(TRIM(UPPER($P229)),6)&lt;&gt;"SINAPI",ISNA(VLOOKUP(TRIM(UPPER($S229)),ListaTgov.Unidades,1,FALSE))),"Unid. Não Disp",
" "))))))))))))))))</f>
        <v>CÓDIGO N/ID</v>
      </c>
      <c r="AD229" t="str">
        <f ca="1">IF(C229&lt;=CRONO.NivelExibicao,MAX($AD$15:OFFSET(AD229,-1,0))+IF($C229&lt;&gt;1,1,MAX(1,COUNTIF(QCI!$A$13:$A$24,OFFSET($E229,-1,0)))),"")</f>
        <v/>
      </c>
      <c r="AE229" s="7" t="str" cm="1">
        <f t="array" aca="1" ref="AE229" ca="1">IF(AND($C229="S",ORÇAMENTO.CodBarra&lt;&gt;""),IF(ORÇAMENTO.Fonte="",ORÇAMENTO.CodBarra,CONCATENATE(ORÇAMENTO.Fonte," ",ORÇAMENTO.CodBarra)))</f>
        <v>SINAPI 86925</v>
      </c>
      <c r="AF229" s="12" t="str" cm="1">
        <f t="array" aca="1" ref="AF229" ca="1">IF(ISERROR(ORÇAMENTO.BancoRef),"(abra o arquivo 'Referência "&amp;Excel_BuiltIn_Database&amp;".xlsm)",IF(OR($C229&lt;&gt;"S",ORÇAMENTO.CodBarra=""),"(Sem Código)",IF(ISERROR(MATCH($AE229,INDIRECT(ORÇAMENTO.BancoRef),0)),"(Código não identificado nas referências)",MATCH($AE229,INDIRECT(ORÇAMENTO.BancoRef),0))))</f>
        <v>(Código não identificado nas referências)</v>
      </c>
      <c r="AG229" s="428" cm="1">
        <f t="array" aca="1" ref="AG229" ca="1">ROUND(IF(DESONERACAO="sim",REFERENCIA.Desonerado,REFERENCIA.NaoDesonerado),2)</f>
        <v>0</v>
      </c>
      <c r="AH229" s="429">
        <f t="shared" ca="1" si="65"/>
        <v>0.2223</v>
      </c>
      <c r="AJ229" s="431"/>
      <c r="AL229" s="439"/>
      <c r="AM229" s="336">
        <f t="shared" ca="1" si="0"/>
        <v>0</v>
      </c>
      <c r="AN229" s="470" cm="1">
        <f t="array" aca="1" ref="AN229" ca="1">ROUND(ORÇAMENTO.CustoUnitario*(1+$AH229),2)</f>
        <v>0</v>
      </c>
    </row>
    <row r="230" spans="1:40" ht="25.5" x14ac:dyDescent="0.2">
      <c r="A230" t="str">
        <f t="shared" si="52"/>
        <v>S</v>
      </c>
      <c r="B230">
        <f t="shared" ca="1" si="53"/>
        <v>3</v>
      </c>
      <c r="C230" t="str">
        <f t="shared" ca="1" si="54"/>
        <v>S</v>
      </c>
      <c r="D230">
        <f t="shared" ca="1" si="55"/>
        <v>0</v>
      </c>
      <c r="E230">
        <f ca="1">IF($C230=1,OFFSET(E230,-1,0)+MAX(1,COUNTIF(QCI!$A$13:$A$24,OFFSET(ORÇAMENTO!E230,-1,0))),OFFSET(E230,-1,0))</f>
        <v>9</v>
      </c>
      <c r="F230">
        <f t="shared" ca="1" si="56"/>
        <v>3</v>
      </c>
      <c r="G230">
        <f t="shared" ca="1" si="57"/>
        <v>3</v>
      </c>
      <c r="H230">
        <f t="shared" ca="1" si="58"/>
        <v>0</v>
      </c>
      <c r="I230">
        <f t="shared" ca="1" si="59"/>
        <v>0</v>
      </c>
      <c r="J230">
        <f t="shared" ca="1" si="51"/>
        <v>0</v>
      </c>
      <c r="K230">
        <f ca="1">IF(OR($C230="S",$C230=0),0,MATCH(OFFSET($D230,0,$C230)+IF($C230&lt;&gt;1,1,COUNTIF(QCI!$A$13:$A$24,ORÇAMENTO!E230)),OFFSET($D230,1,$C230,ROW($C$244)-ROW($C230)),0))</f>
        <v>0</v>
      </c>
      <c r="L230" s="114" t="str">
        <f t="shared" ca="1" si="60"/>
        <v/>
      </c>
      <c r="M230" s="115" t="s">
        <v>705</v>
      </c>
      <c r="N230" s="116" t="str">
        <f t="shared" ca="1" si="61"/>
        <v>Serviço</v>
      </c>
      <c r="O230" s="117" t="str">
        <f t="shared" ca="1" si="62"/>
        <v>-</v>
      </c>
      <c r="P230" s="118" t="s">
        <v>750</v>
      </c>
      <c r="Q230" s="119" t="s">
        <v>1162</v>
      </c>
      <c r="R230" s="120" t="str" cm="1">
        <f t="array" aca="1" ref="R230" ca="1">IF($C230="S",REFERENCIA.Descricao,"(digite a descrição aqui)")</f>
        <v>(Código não identificado nas referências)</v>
      </c>
      <c r="S230" s="121" t="str" cm="1">
        <f t="array" aca="1" ref="S230" ca="1">REFERENCIA.Unidade</f>
        <v>-</v>
      </c>
      <c r="T230" s="122">
        <f ca="1">OFFSET(CÁLCULO!H$15,ROW($T230)-ROW(T$15),0)</f>
        <v>20</v>
      </c>
      <c r="U230" s="123">
        <f t="shared" ca="1" si="63"/>
        <v>0</v>
      </c>
      <c r="V230" s="124" t="s">
        <v>663</v>
      </c>
      <c r="W230" s="122" cm="1">
        <f t="array" aca="1" ref="W230" ca="1">IF($C230="S",ROUND(IF(TIPOORCAMENTO="Proposto",ORÇAMENTO.CustoUnitario*(1+$AH230),ORÇAMENTO.PrecoUnitarioLicitado),15-13*$AF$10),0)</f>
        <v>0</v>
      </c>
      <c r="X230" s="125" cm="1">
        <f t="array" aca="1" ref="X230" ca="1">IF($C230="S",IF(OR(Import.TipoArredondamento&lt;&gt;"TransfereGOV",ACOMPANHAMENTO="BM"),VTOTAL1,SUM(OFFSET(CÁLCULO!$AQ$15,ROW($X230)-ROW($X$15),1):OFFSET(CÁLCULO!$BR$15,ROW($X230)-ROW($X$15),-1))),IF($C230=0,0,ROUND(SomaAgrup,15-13*$AF$11)))</f>
        <v>0</v>
      </c>
      <c r="Y230" s="126" t="s">
        <v>751</v>
      </c>
      <c r="Z230" t="str">
        <f t="shared" ca="1" si="64"/>
        <v/>
      </c>
      <c r="AA230" s="127" cm="1">
        <f t="array" aca="1" ref="AA230" ca="1">IF($C230="S",IF($Z230="CP",$X230,IF($Z230="RA",(($X230)*QCI!$AA$3),0)),SomaAgrup)</f>
        <v>0</v>
      </c>
      <c r="AB230" s="128" cm="1">
        <f t="array" aca="1" ref="AB230" ca="1">IF($C230="S",IF($Z230="OU",ROUND($X230,2),0),SomaAgrup)</f>
        <v>0</v>
      </c>
      <c r="AC230" s="565" t="str" cm="1">
        <f t="array" aca="1" ref="AC230" ca="1">IF($N230=""," ",
IF(AND($C230&lt;&gt;"S",OR($R230="",$R230="(digite a descrição aqui)")),"DESCRIÇÃO",
IF(AND($C230="S",OR($Q230&lt;&gt;"",$T230&gt;0,$U230&gt;0),$P230=""),"FONTE",
IF(AND($C230="S",$P230&lt;&gt;"",OR($T230&gt;0,$U230&gt;0),$Q230=""),"CÓDIGO",
IF(AND($C230="S",$P230&lt;&gt;"",$Q230&lt;&gt;"",$R230="(Código não identificado nas referências)"),"CÓDIGO N/ID",
IF(AND($C230="S",OR($R230="",$R230="(digite a descrição aqui)"),OR($Q230&lt;&gt;"",$T230&gt;0,$U230&gt;0)),"DESCRIÇÃO",
IF(AND($C230="S",$P230&lt;&gt;"",$Q230&lt;&gt;"",$S230=""),"UNIDADE",
IF(AND($C230="S",$P230&lt;&gt;"",$Q230&lt;&gt;"",$U230=0),"SEM CUSTO",
IF(AND(TIPOORCAMENTO="Licitado",$AL230=0,$AN230&gt;0),"SEM PREÇO",
IF(AND($C230="S",$P230&lt;&gt;"",$Q230&lt;&gt;"",$U230&gt;0,AND($V230&lt;&gt;"BDI 1",$V230&lt;&gt;"BDI 2",$V230&lt;&gt;"BDI 3")),IF(ISNUMBER($V230),"JUSTIFICAR BDI","BDI"),
IF(OR(AND(import.recurso="OGU",TIPOORCAMENTO="Proposto",LEFT($O$8,5)&lt;&gt;"(N/D:",$AG230&lt;&gt;"",ORÇAMENTO.CustoUnitario&gt;$AG230),AND(TIPOORCAMENTO="LICITADO",ORÇAMENTO.PrecoUnitarioLicitado&gt;$AN230)),"ACIMA REF.",
IF(AND($C230="S",$P230&lt;&gt;"",$Q230&lt;&gt;"",$T230=0,$U230&gt;0),"QUANT.",
IF(AND(Import.TipoArredondamento="TransfereGOV",$L230="F",$C230="S",LEN($Q230)&gt;13),"Código &gt;13",
IF(AND(Import.TipoArredondamento="TransfereGOV",$L230="F",$C230&lt;&gt;"S",LEN($R230)&gt;100),"Descrição &gt;100",
IF(AND(Import.TipoArredondamento="TransfereGOV",$L230="F",$C230="S",LEN($R230)&gt;500),"Descrição &gt;500",
IF(AND(Import.TipoArredondamento="TransfereGOV",$L230="F",$C230="S",LEFT(TRIM(UPPER($P230)),6)&lt;&gt;"SINAPI",ISNA(VLOOKUP(TRIM(UPPER($S230)),ListaTgov.Unidades,1,FALSE))),"Unid. Não Disp",
" "))))))))))))))))</f>
        <v>CÓDIGO N/ID</v>
      </c>
      <c r="AD230" t="str">
        <f ca="1">IF(C230&lt;=CRONO.NivelExibicao,MAX($AD$15:OFFSET(AD230,-1,0))+IF($C230&lt;&gt;1,1,MAX(1,COUNTIF(QCI!$A$13:$A$24,OFFSET($E230,-1,0)))),"")</f>
        <v/>
      </c>
      <c r="AE230" s="7" t="str" cm="1">
        <f t="array" aca="1" ref="AE230" ca="1">IF(AND($C230="S",ORÇAMENTO.CodBarra&lt;&gt;""),IF(ORÇAMENTO.Fonte="",ORÇAMENTO.CodBarra,CONCATENATE(ORÇAMENTO.Fonte," ",ORÇAMENTO.CodBarra)))</f>
        <v>SINAPI 100860</v>
      </c>
      <c r="AF230" s="12" t="str" cm="1">
        <f t="array" aca="1" ref="AF230" ca="1">IF(ISERROR(ORÇAMENTO.BancoRef),"(abra o arquivo 'Referência "&amp;Excel_BuiltIn_Database&amp;".xlsm)",IF(OR($C230&lt;&gt;"S",ORÇAMENTO.CodBarra=""),"(Sem Código)",IF(ISERROR(MATCH($AE230,INDIRECT(ORÇAMENTO.BancoRef),0)),"(Código não identificado nas referências)",MATCH($AE230,INDIRECT(ORÇAMENTO.BancoRef),0))))</f>
        <v>(Código não identificado nas referências)</v>
      </c>
      <c r="AG230" s="428" cm="1">
        <f t="array" aca="1" ref="AG230" ca="1">ROUND(IF(DESONERACAO="sim",REFERENCIA.Desonerado,REFERENCIA.NaoDesonerado),2)</f>
        <v>0</v>
      </c>
      <c r="AH230" s="429">
        <f t="shared" ca="1" si="65"/>
        <v>0.2223</v>
      </c>
      <c r="AJ230" s="431"/>
      <c r="AL230" s="439"/>
      <c r="AM230" s="336">
        <f t="shared" ca="1" si="0"/>
        <v>0</v>
      </c>
      <c r="AN230" s="470" cm="1">
        <f t="array" aca="1" ref="AN230" ca="1">ROUND(ORÇAMENTO.CustoUnitario*(1+$AH230),2)</f>
        <v>0</v>
      </c>
    </row>
    <row r="231" spans="1:40" ht="25.5" x14ac:dyDescent="0.2">
      <c r="A231" t="str">
        <f t="shared" si="52"/>
        <v>S</v>
      </c>
      <c r="B231">
        <f t="shared" ca="1" si="53"/>
        <v>3</v>
      </c>
      <c r="C231" t="str">
        <f t="shared" ca="1" si="54"/>
        <v>S</v>
      </c>
      <c r="D231">
        <f t="shared" ca="1" si="55"/>
        <v>0</v>
      </c>
      <c r="E231">
        <f ca="1">IF($C231=1,OFFSET(E231,-1,0)+MAX(1,COUNTIF(QCI!$A$13:$A$24,OFFSET(ORÇAMENTO!E231,-1,0))),OFFSET(E231,-1,0))</f>
        <v>9</v>
      </c>
      <c r="F231">
        <f t="shared" ca="1" si="56"/>
        <v>3</v>
      </c>
      <c r="G231">
        <f t="shared" ca="1" si="57"/>
        <v>3</v>
      </c>
      <c r="H231">
        <f t="shared" ca="1" si="58"/>
        <v>0</v>
      </c>
      <c r="I231">
        <f t="shared" ca="1" si="59"/>
        <v>0</v>
      </c>
      <c r="J231">
        <f t="shared" ca="1" si="51"/>
        <v>0</v>
      </c>
      <c r="K231">
        <f ca="1">IF(OR($C231="S",$C231=0),0,MATCH(OFFSET($D231,0,$C231)+IF($C231&lt;&gt;1,1,COUNTIF(QCI!$A$13:$A$24,ORÇAMENTO!E231)),OFFSET($D231,1,$C231,ROW($C$244)-ROW($C231)),0))</f>
        <v>0</v>
      </c>
      <c r="L231" s="114" t="str">
        <f t="shared" ca="1" si="60"/>
        <v/>
      </c>
      <c r="M231" s="115" t="s">
        <v>705</v>
      </c>
      <c r="N231" s="116" t="str">
        <f t="shared" ca="1" si="61"/>
        <v>Serviço</v>
      </c>
      <c r="O231" s="117" t="str">
        <f t="shared" ca="1" si="62"/>
        <v>-</v>
      </c>
      <c r="P231" s="118" t="s">
        <v>750</v>
      </c>
      <c r="Q231" s="119" t="s">
        <v>1163</v>
      </c>
      <c r="R231" s="120" t="str" cm="1">
        <f t="array" aca="1" ref="R231" ca="1">IF($C231="S",REFERENCIA.Descricao,"(digite a descrição aqui)")</f>
        <v>(Código não identificado nas referências)</v>
      </c>
      <c r="S231" s="121" t="str" cm="1">
        <f t="array" aca="1" ref="S231" ca="1">REFERENCIA.Unidade</f>
        <v>-</v>
      </c>
      <c r="T231" s="122">
        <f ca="1">OFFSET(CÁLCULO!H$15,ROW($T231)-ROW(T$15),0)</f>
        <v>20</v>
      </c>
      <c r="U231" s="123">
        <f t="shared" ca="1" si="63"/>
        <v>0</v>
      </c>
      <c r="V231" s="124" t="s">
        <v>663</v>
      </c>
      <c r="W231" s="122" cm="1">
        <f t="array" aca="1" ref="W231" ca="1">IF($C231="S",ROUND(IF(TIPOORCAMENTO="Proposto",ORÇAMENTO.CustoUnitario*(1+$AH231),ORÇAMENTO.PrecoUnitarioLicitado),15-13*$AF$10),0)</f>
        <v>0</v>
      </c>
      <c r="X231" s="125" cm="1">
        <f t="array" aca="1" ref="X231" ca="1">IF($C231="S",IF(OR(Import.TipoArredondamento&lt;&gt;"TransfereGOV",ACOMPANHAMENTO="BM"),VTOTAL1,SUM(OFFSET(CÁLCULO!$AQ$15,ROW($X231)-ROW($X$15),1):OFFSET(CÁLCULO!$BR$15,ROW($X231)-ROW($X$15),-1))),IF($C231=0,0,ROUND(SomaAgrup,15-13*$AF$11)))</f>
        <v>0</v>
      </c>
      <c r="Y231" s="126" t="s">
        <v>751</v>
      </c>
      <c r="Z231" t="str">
        <f t="shared" ca="1" si="64"/>
        <v/>
      </c>
      <c r="AA231" s="127" cm="1">
        <f t="array" aca="1" ref="AA231" ca="1">IF($C231="S",IF($Z231="CP",$X231,IF($Z231="RA",(($X231)*QCI!$AA$3),0)),SomaAgrup)</f>
        <v>0</v>
      </c>
      <c r="AB231" s="128" cm="1">
        <f t="array" aca="1" ref="AB231" ca="1">IF($C231="S",IF($Z231="OU",ROUND($X231,2),0),SomaAgrup)</f>
        <v>0</v>
      </c>
      <c r="AC231" s="565" t="str" cm="1">
        <f t="array" aca="1" ref="AC231" ca="1">IF($N231=""," ",
IF(AND($C231&lt;&gt;"S",OR($R231="",$R231="(digite a descrição aqui)")),"DESCRIÇÃO",
IF(AND($C231="S",OR($Q231&lt;&gt;"",$T231&gt;0,$U231&gt;0),$P231=""),"FONTE",
IF(AND($C231="S",$P231&lt;&gt;"",OR($T231&gt;0,$U231&gt;0),$Q231=""),"CÓDIGO",
IF(AND($C231="S",$P231&lt;&gt;"",$Q231&lt;&gt;"",$R231="(Código não identificado nas referências)"),"CÓDIGO N/ID",
IF(AND($C231="S",OR($R231="",$R231="(digite a descrição aqui)"),OR($Q231&lt;&gt;"",$T231&gt;0,$U231&gt;0)),"DESCRIÇÃO",
IF(AND($C231="S",$P231&lt;&gt;"",$Q231&lt;&gt;"",$S231=""),"UNIDADE",
IF(AND($C231="S",$P231&lt;&gt;"",$Q231&lt;&gt;"",$U231=0),"SEM CUSTO",
IF(AND(TIPOORCAMENTO="Licitado",$AL231=0,$AN231&gt;0),"SEM PREÇO",
IF(AND($C231="S",$P231&lt;&gt;"",$Q231&lt;&gt;"",$U231&gt;0,AND($V231&lt;&gt;"BDI 1",$V231&lt;&gt;"BDI 2",$V231&lt;&gt;"BDI 3")),IF(ISNUMBER($V231),"JUSTIFICAR BDI","BDI"),
IF(OR(AND(import.recurso="OGU",TIPOORCAMENTO="Proposto",LEFT($O$8,5)&lt;&gt;"(N/D:",$AG231&lt;&gt;"",ORÇAMENTO.CustoUnitario&gt;$AG231),AND(TIPOORCAMENTO="LICITADO",ORÇAMENTO.PrecoUnitarioLicitado&gt;$AN231)),"ACIMA REF.",
IF(AND($C231="S",$P231&lt;&gt;"",$Q231&lt;&gt;"",$T231=0,$U231&gt;0),"QUANT.",
IF(AND(Import.TipoArredondamento="TransfereGOV",$L231="F",$C231="S",LEN($Q231)&gt;13),"Código &gt;13",
IF(AND(Import.TipoArredondamento="TransfereGOV",$L231="F",$C231&lt;&gt;"S",LEN($R231)&gt;100),"Descrição &gt;100",
IF(AND(Import.TipoArredondamento="TransfereGOV",$L231="F",$C231="S",LEN($R231)&gt;500),"Descrição &gt;500",
IF(AND(Import.TipoArredondamento="TransfereGOV",$L231="F",$C231="S",LEFT(TRIM(UPPER($P231)),6)&lt;&gt;"SINAPI",ISNA(VLOOKUP(TRIM(UPPER($S231)),ListaTgov.Unidades,1,FALSE))),"Unid. Não Disp",
" "))))))))))))))))</f>
        <v>CÓDIGO N/ID</v>
      </c>
      <c r="AD231" t="str">
        <f ca="1">IF(C231&lt;=CRONO.NivelExibicao,MAX($AD$15:OFFSET(AD231,-1,0))+IF($C231&lt;&gt;1,1,MAX(1,COUNTIF(QCI!$A$13:$A$24,OFFSET($E231,-1,0)))),"")</f>
        <v/>
      </c>
      <c r="AE231" s="7" t="str" cm="1">
        <f t="array" aca="1" ref="AE231" ca="1">IF(AND($C231="S",ORÇAMENTO.CodBarra&lt;&gt;""),IF(ORÇAMENTO.Fonte="",ORÇAMENTO.CodBarra,CONCATENATE(ORÇAMENTO.Fonte," ",ORÇAMENTO.CodBarra)))</f>
        <v>SINAPI 95546</v>
      </c>
      <c r="AF231" s="12" t="str" cm="1">
        <f t="array" aca="1" ref="AF231" ca="1">IF(ISERROR(ORÇAMENTO.BancoRef),"(abra o arquivo 'Referência "&amp;Excel_BuiltIn_Database&amp;".xlsm)",IF(OR($C231&lt;&gt;"S",ORÇAMENTO.CodBarra=""),"(Sem Código)",IF(ISERROR(MATCH($AE231,INDIRECT(ORÇAMENTO.BancoRef),0)),"(Código não identificado nas referências)",MATCH($AE231,INDIRECT(ORÇAMENTO.BancoRef),0))))</f>
        <v>(Código não identificado nas referências)</v>
      </c>
      <c r="AG231" s="428" cm="1">
        <f t="array" aca="1" ref="AG231" ca="1">ROUND(IF(DESONERACAO="sim",REFERENCIA.Desonerado,REFERENCIA.NaoDesonerado),2)</f>
        <v>0</v>
      </c>
      <c r="AH231" s="429">
        <f t="shared" ca="1" si="65"/>
        <v>0.2223</v>
      </c>
      <c r="AJ231" s="431"/>
      <c r="AL231" s="439"/>
      <c r="AM231" s="336">
        <f t="shared" ca="1" si="0"/>
        <v>0</v>
      </c>
      <c r="AN231" s="470" cm="1">
        <f t="array" aca="1" ref="AN231" ca="1">ROUND(ORÇAMENTO.CustoUnitario*(1+$AH231),2)</f>
        <v>0</v>
      </c>
    </row>
    <row r="232" spans="1:40" ht="25.5" x14ac:dyDescent="0.2">
      <c r="A232" t="str">
        <f>CHOOSE(1+LOG(1+2*(ORÇAMENTO.Nivel="Meta")+4*(ORÇAMENTO.Nivel="Nível 2")+8*(ORÇAMENTO.Nivel="Nível 3")+16*(ORÇAMENTO.Nivel="Nível 4")+32*(ORÇAMENTO.Nivel="Serviço"),2),0,1,2,3,4,"S")</f>
        <v>S</v>
      </c>
      <c r="B232">
        <f ca="1">IF(OR(C232="s",C232=0),OFFSET(B232,-1,0),C232)</f>
        <v>3</v>
      </c>
      <c r="C232" t="str">
        <f ca="1">IF(OFFSET(C232,-1,0)="L",1,IF(OFFSET(C232,-1,0)=1,2,IF(OR(A232="s",A232=0),"S",IF(AND(OFFSET(C232,-1,0)=2,A232=4),3,IF(AND(OR(OFFSET(C232,-1,0)="s",OFFSET(C232,-1,0)=0),A232&lt;&gt;"s",A232&gt;OFFSET(B232,-1,0)),OFFSET(B232,-1,0),A232)))))</f>
        <v>S</v>
      </c>
      <c r="D232">
        <f ca="1">IF(OR(C232="S",C232=0),0,IF(ISERROR(K232),J232,SMALL(J232:K232,1)))</f>
        <v>0</v>
      </c>
      <c r="E232">
        <f ca="1">IF($C232=1,OFFSET(E232,-1,0)+MAX(1,COUNTIF(QCI!$A$13:$A$24,OFFSET(ORÇAMENTO!E232,-1,0))),OFFSET(E232,-1,0))</f>
        <v>9</v>
      </c>
      <c r="F232">
        <f ca="1">IF($C232=1,0,IF($C232=2,OFFSET(F232,-1,0)+1,OFFSET(F232,-1,0)))</f>
        <v>3</v>
      </c>
      <c r="G232">
        <f ca="1">IF(AND($C232&lt;=2,$C232&lt;&gt;0),0,IF($C232=3,OFFSET(G232,-1,0)+1,OFFSET(G232,-1,0)))</f>
        <v>3</v>
      </c>
      <c r="H232">
        <f ca="1">IF(AND($C232&lt;=3,$C232&lt;&gt;0),0,IF($C232=4,OFFSET(H232,-1,0)+1,OFFSET(H232,-1,0)))</f>
        <v>0</v>
      </c>
      <c r="I232">
        <f ca="1">IF(AND($C232&lt;=4,$C232&lt;&gt;0),0,IF(AND($C232="S",$X232&gt;0),OFFSET(I232,-1,0)+1,OFFSET(I232,-1,0)))</f>
        <v>0</v>
      </c>
      <c r="J232">
        <f t="shared" ca="1" si="51"/>
        <v>0</v>
      </c>
      <c r="K232">
        <f ca="1">IF(OR($C232="S",$C232=0),0,MATCH(OFFSET($D232,0,$C232)+IF($C232&lt;&gt;1,1,COUNTIF(QCI!$A$13:$A$24,ORÇAMENTO!E232)),OFFSET($D232,1,$C232,ROW($C$244)-ROW($C232)),0))</f>
        <v>0</v>
      </c>
      <c r="L232" s="114" t="str">
        <f ca="1">IF(OR($X232&gt;0,$C232=1,$C232=2,$C232=3,$C232=4),"F","")</f>
        <v/>
      </c>
      <c r="M232" s="115" t="s">
        <v>705</v>
      </c>
      <c r="N232" s="116" t="str">
        <f ca="1">CHOOSE(1+LOG(1+2*(C232=1)+4*(C232=2)+8*(C232=3)+16*(C232=4)+32*(C232="S"),2),"","Meta","Nível 2","Nível 3","Nível 4","Serviço")</f>
        <v>Serviço</v>
      </c>
      <c r="O232" s="117" t="str">
        <f ca="1">IF(OR($C232=0,$L232=""),"-",CONCATENATE(E232&amp;".",IF(AND($A$5&gt;=2,$C232&gt;=2),F232&amp;".",""),IF(AND($A$5&gt;=3,$C232&gt;=3),G232&amp;".",""),IF(AND($A$5&gt;=4,$C232&gt;=4),H232&amp;".",""),IF($C232="S",I232&amp;".","")))</f>
        <v>-</v>
      </c>
      <c r="P232" s="118" t="s">
        <v>750</v>
      </c>
      <c r="Q232" s="119" t="s">
        <v>1244</v>
      </c>
      <c r="R232" s="120" t="str" cm="1">
        <f t="array" aca="1" ref="R232" ca="1">IF($C232="S",REFERENCIA.Descricao,"(digite a descrição aqui)")</f>
        <v>(Código não identificado nas referências)</v>
      </c>
      <c r="S232" s="121" t="str" cm="1">
        <f t="array" aca="1" ref="S232" ca="1">REFERENCIA.Unidade</f>
        <v>-</v>
      </c>
      <c r="T232" s="122">
        <f ca="1">OFFSET(CÁLCULO!H$15,ROW($T232)-ROW(T$15),0)</f>
        <v>2</v>
      </c>
      <c r="U232" s="123">
        <f ca="1">AG232</f>
        <v>0</v>
      </c>
      <c r="V232" s="124" t="s">
        <v>663</v>
      </c>
      <c r="W232" s="122" cm="1">
        <f t="array" aca="1" ref="W232" ca="1">IF($C232="S",ROUND(IF(TIPOORCAMENTO="Proposto",ORÇAMENTO.CustoUnitario*(1+$AH232),ORÇAMENTO.PrecoUnitarioLicitado),15-13*$AF$10),0)</f>
        <v>0</v>
      </c>
      <c r="X232" s="125" cm="1">
        <f t="array" aca="1" ref="X232" ca="1">IF($C232="S",IF(OR(Import.TipoArredondamento&lt;&gt;"TransfereGOV",ACOMPANHAMENTO="BM"),VTOTAL1,SUM(OFFSET(CÁLCULO!$AQ$15,ROW($X232)-ROW($X$15),1):OFFSET(CÁLCULO!$BR$15,ROW($X232)-ROW($X$15),-1))),IF($C232=0,0,ROUND(SomaAgrup,15-13*$AF$11)))</f>
        <v>0</v>
      </c>
      <c r="Y232" s="126" t="s">
        <v>751</v>
      </c>
      <c r="Z232" t="str">
        <f ca="1">IF(AND($C232="S",$X232&gt;0),IF(ISBLANK($Y232),"RA",LEFT($Y232,2)),"")</f>
        <v/>
      </c>
      <c r="AA232" s="127" cm="1">
        <f t="array" aca="1" ref="AA232" ca="1">IF($C232="S",IF($Z232="CP",$X232,IF($Z232="RA",(($X232)*QCI!$AA$3),0)),SomaAgrup)</f>
        <v>0</v>
      </c>
      <c r="AB232" s="128" cm="1">
        <f t="array" aca="1" ref="AB232" ca="1">IF($C232="S",IF($Z232="OU",ROUND($X232,2),0),SomaAgrup)</f>
        <v>0</v>
      </c>
      <c r="AC232" s="565" t="str" cm="1">
        <f t="array" aca="1" ref="AC232" ca="1">IF($N232=""," ",
IF(AND($C232&lt;&gt;"S",OR($R232="",$R232="(digite a descrição aqui)")),"DESCRIÇÃO",
IF(AND($C232="S",OR($Q232&lt;&gt;"",$T232&gt;0,$U232&gt;0),$P232=""),"FONTE",
IF(AND($C232="S",$P232&lt;&gt;"",OR($T232&gt;0,$U232&gt;0),$Q232=""),"CÓDIGO",
IF(AND($C232="S",$P232&lt;&gt;"",$Q232&lt;&gt;"",$R232="(Código não identificado nas referências)"),"CÓDIGO N/ID",
IF(AND($C232="S",OR($R232="",$R232="(digite a descrição aqui)"),OR($Q232&lt;&gt;"",$T232&gt;0,$U232&gt;0)),"DESCRIÇÃO",
IF(AND($C232="S",$P232&lt;&gt;"",$Q232&lt;&gt;"",$S232=""),"UNIDADE",
IF(AND($C232="S",$P232&lt;&gt;"",$Q232&lt;&gt;"",$U232=0),"SEM CUSTO",
IF(AND(TIPOORCAMENTO="Licitado",$AL232=0,$AN232&gt;0),"SEM PREÇO",
IF(AND($C232="S",$P232&lt;&gt;"",$Q232&lt;&gt;"",$U232&gt;0,AND($V232&lt;&gt;"BDI 1",$V232&lt;&gt;"BDI 2",$V232&lt;&gt;"BDI 3")),IF(ISNUMBER($V232),"JUSTIFICAR BDI","BDI"),
IF(OR(AND(import.recurso="OGU",TIPOORCAMENTO="Proposto",LEFT($O$8,5)&lt;&gt;"(N/D:",$AG232&lt;&gt;"",ORÇAMENTO.CustoUnitario&gt;$AG232),AND(TIPOORCAMENTO="LICITADO",ORÇAMENTO.PrecoUnitarioLicitado&gt;$AN232)),"ACIMA REF.",
IF(AND($C232="S",$P232&lt;&gt;"",$Q232&lt;&gt;"",$T232=0,$U232&gt;0),"QUANT.",
IF(AND(Import.TipoArredondamento="TransfereGOV",$L232="F",$C232="S",LEN($Q232)&gt;13),"Código &gt;13",
IF(AND(Import.TipoArredondamento="TransfereGOV",$L232="F",$C232&lt;&gt;"S",LEN($R232)&gt;100),"Descrição &gt;100",
IF(AND(Import.TipoArredondamento="TransfereGOV",$L232="F",$C232="S",LEN($R232)&gt;500),"Descrição &gt;500",
IF(AND(Import.TipoArredondamento="TransfereGOV",$L232="F",$C232="S",LEFT(TRIM(UPPER($P232)),6)&lt;&gt;"SINAPI",ISNA(VLOOKUP(TRIM(UPPER($S232)),ListaTgov.Unidades,1,FALSE))),"Unid. Não Disp",
" "))))))))))))))))</f>
        <v>CÓDIGO N/ID</v>
      </c>
      <c r="AD232" t="str">
        <f ca="1">IF(C232&lt;=CRONO.NivelExibicao,MAX($AD$15:OFFSET(AD232,-1,0))+IF($C232&lt;&gt;1,1,MAX(1,COUNTIF(QCI!$A$13:$A$24,OFFSET($E232,-1,0)))),"")</f>
        <v/>
      </c>
      <c r="AE232" s="7" t="str" cm="1">
        <f t="array" aca="1" ref="AE232" ca="1">IF(AND($C232="S",ORÇAMENTO.CodBarra&lt;&gt;""),IF(ORÇAMENTO.Fonte="",ORÇAMENTO.CodBarra,CONCATENATE(ORÇAMENTO.Fonte," ",ORÇAMENTO.CodBarra)))</f>
        <v>SINAPI 100872</v>
      </c>
      <c r="AF232" s="12" t="str" cm="1">
        <f t="array" aca="1" ref="AF232" ca="1">IF(ISERROR(ORÇAMENTO.BancoRef),"(abra o arquivo 'Referência "&amp;Excel_BuiltIn_Database&amp;".xlsm)",IF(OR($C232&lt;&gt;"S",ORÇAMENTO.CodBarra=""),"(Sem Código)",IF(ISERROR(MATCH($AE232,INDIRECT(ORÇAMENTO.BancoRef),0)),"(Código não identificado nas referências)",MATCH($AE232,INDIRECT(ORÇAMENTO.BancoRef),0))))</f>
        <v>(Código não identificado nas referências)</v>
      </c>
      <c r="AG232" s="428" cm="1">
        <f t="array" aca="1" ref="AG232" ca="1">ROUND(IF(DESONERACAO="sim",REFERENCIA.Desonerado,REFERENCIA.NaoDesonerado),2)</f>
        <v>0</v>
      </c>
      <c r="AH232" s="429">
        <f ca="1">ROUND(IF(ISNUMBER(ORÇAMENTO.OpcaoBDI),ORÇAMENTO.OpcaoBDI,IF(LEFT(ORÇAMENTO.OpcaoBDI,3)="BDI",HLOOKUP(ORÇAMENTO.OpcaoBDI,$F$4:$H$5,2,FALSE),0)),15-11*$AF$9)</f>
        <v>0.2223</v>
      </c>
      <c r="AJ232" s="431"/>
      <c r="AL232" s="439"/>
      <c r="AM232" s="336">
        <f t="shared" ca="1" si="0"/>
        <v>0</v>
      </c>
      <c r="AN232" s="470" cm="1">
        <f t="array" aca="1" ref="AN232" ca="1">ROUND(ORÇAMENTO.CustoUnitario*(1+$AH232),2)</f>
        <v>0</v>
      </c>
    </row>
    <row r="233" spans="1:40" x14ac:dyDescent="0.2">
      <c r="A233">
        <f>CHOOSE(1+LOG(1+2*(ORÇAMENTO.Nivel="Meta")+4*(ORÇAMENTO.Nivel="Nível 2")+8*(ORÇAMENTO.Nivel="Nível 3")+16*(ORÇAMENTO.Nivel="Nível 4")+32*(ORÇAMENTO.Nivel="Serviço"),2),0,1,2,3,4,"S")</f>
        <v>1</v>
      </c>
      <c r="B233">
        <f ca="1">IF(OR(C233="s",C233=0),OFFSET(B233,-1,0),C233)</f>
        <v>1</v>
      </c>
      <c r="C233">
        <f ca="1">IF(OFFSET(C233,-1,0)="L",1,IF(OFFSET(C233,-1,0)=1,2,IF(OR(A233="s",A233=0),"S",IF(AND(OFFSET(C233,-1,0)=2,A233=4),3,IF(AND(OR(OFFSET(C233,-1,0)="s",OFFSET(C233,-1,0)=0),A233&lt;&gt;"s",A233&gt;OFFSET(B233,-1,0)),OFFSET(B233,-1,0),A233)))))</f>
        <v>1</v>
      </c>
      <c r="D233">
        <f ca="1">IF(OR(C233="S",C233=0),0,IF(ISERROR(K233),J233,SMALL(J233:K233,1)))</f>
        <v>11</v>
      </c>
      <c r="E233">
        <f ca="1">IF($C233=1,OFFSET(E233,-1,0)+MAX(1,COUNTIF(QCI!$A$13:$A$24,OFFSET(ORÇAMENTO!E233,-1,0))),OFFSET(E233,-1,0))</f>
        <v>10</v>
      </c>
      <c r="F233">
        <f ca="1">IF($C233=1,0,IF($C233=2,OFFSET(F233,-1,0)+1,OFFSET(F233,-1,0)))</f>
        <v>0</v>
      </c>
      <c r="G233">
        <f ca="1">IF(AND($C233&lt;=2,$C233&lt;&gt;0),0,IF($C233=3,OFFSET(G233,-1,0)+1,OFFSET(G233,-1,0)))</f>
        <v>0</v>
      </c>
      <c r="H233">
        <f ca="1">IF(AND($C233&lt;=3,$C233&lt;&gt;0),0,IF($C233=4,OFFSET(H233,-1,0)+1,OFFSET(H233,-1,0)))</f>
        <v>0</v>
      </c>
      <c r="I233">
        <f ca="1">IF(AND($C233&lt;=4,$C233&lt;&gt;0),0,IF(AND($C233="S",$X233&gt;0),OFFSET(I233,-1,0)+1,OFFSET(I233,-1,0)))</f>
        <v>0</v>
      </c>
      <c r="J233">
        <f t="shared" ca="1" si="51"/>
        <v>11</v>
      </c>
      <c r="K233" t="e">
        <f ca="1">IF(OR($C233="S",$C233=0),0,MATCH(OFFSET($D233,0,$C233)+IF($C233&lt;&gt;1,1,COUNTIF(QCI!$A$13:$A$24,ORÇAMENTO!E233)),OFFSET($D233,1,$C233,ROW($C$244)-ROW($C233)),0))</f>
        <v>#N/A</v>
      </c>
      <c r="L233" s="114" t="str">
        <f ca="1">IF(OR($X233&gt;0,$C233=1,$C233=2,$C233=3,$C233=4),"F","")</f>
        <v>F</v>
      </c>
      <c r="M233" s="115" t="s">
        <v>701</v>
      </c>
      <c r="N233" s="116" t="str">
        <f ca="1">CHOOSE(1+LOG(1+2*(C233=1)+4*(C233=2)+8*(C233=3)+16*(C233=4)+32*(C233="S"),2),"","Meta","Nível 2","Nível 3","Nível 4","Serviço")</f>
        <v>Meta</v>
      </c>
      <c r="O233" s="117" t="str">
        <f ca="1">IF(OR($C233=0,$L233=""),"-",CONCATENATE(E233&amp;".",IF(AND($A$5&gt;=2,$C233&gt;=2),F233&amp;".",""),IF(AND($A$5&gt;=3,$C233&gt;=3),G233&amp;".",""),IF(AND($A$5&gt;=4,$C233&gt;=4),H233&amp;".",""),IF($C233="S",I233&amp;".","")))</f>
        <v>10.</v>
      </c>
      <c r="P233" s="118" t="s">
        <v>750</v>
      </c>
      <c r="Q233" s="119"/>
      <c r="R233" s="120" t="s">
        <v>1213</v>
      </c>
      <c r="S233" s="121" t="str" cm="1">
        <f t="array" aca="1" ref="S233" ca="1">REFERENCIA.Unidade</f>
        <v>-</v>
      </c>
      <c r="T233" s="122">
        <f ca="1">OFFSET(CÁLCULO!H$15,ROW($T233)-ROW(T$15),0)</f>
        <v>0</v>
      </c>
      <c r="U233" s="123"/>
      <c r="V233" s="124" t="s">
        <v>663</v>
      </c>
      <c r="W233" s="122" cm="1">
        <f t="array" aca="1" ref="W233" ca="1">IF($C233="S",ROUND(IF(TIPOORCAMENTO="Proposto",ORÇAMENTO.CustoUnitario*(1+$AH233),ORÇAMENTO.PrecoUnitarioLicitado),15-13*$AF$10),0)</f>
        <v>0</v>
      </c>
      <c r="X233" s="125" cm="1">
        <f t="array" aca="1" ref="X233" ca="1">IF($C233="S",IF(OR(Import.TipoArredondamento&lt;&gt;"TransfereGOV",ACOMPANHAMENTO="BM"),VTOTAL1,SUM(OFFSET(CÁLCULO!$AQ$15,ROW($X233)-ROW($X$15),1):OFFSET(CÁLCULO!$BR$15,ROW($X233)-ROW($X$15),-1))),IF($C233=0,0,ROUND(SomaAgrup,15-13*$AF$11)))</f>
        <v>0</v>
      </c>
      <c r="Y233" s="126" t="s">
        <v>751</v>
      </c>
      <c r="Z233" t="str">
        <f ca="1">IF(AND($C233="S",$X233&gt;0),IF(ISBLANK($Y233),"RA",LEFT($Y233,2)),"")</f>
        <v/>
      </c>
      <c r="AA233" s="127" cm="1">
        <f t="array" aca="1" ref="AA233" ca="1">IF($C233="S",IF($Z233="CP",$X233,IF($Z233="RA",(($X233)*QCI!$AA$3),0)),SomaAgrup)</f>
        <v>0</v>
      </c>
      <c r="AB233" s="128" cm="1">
        <f t="array" aca="1" ref="AB233" ca="1">IF($C233="S",IF($Z233="OU",ROUND($X233,2),0),SomaAgrup)</f>
        <v>0</v>
      </c>
      <c r="AC233" s="565" t="str" cm="1">
        <f t="array" aca="1" ref="AC233" ca="1">IF($N233=""," ",
IF(AND($C233&lt;&gt;"S",OR($R233="",$R233="(digite a descrição aqui)")),"DESCRIÇÃO",
IF(AND($C233="S",OR($Q233&lt;&gt;"",$T233&gt;0,$U233&gt;0),$P233=""),"FONTE",
IF(AND($C233="S",$P233&lt;&gt;"",OR($T233&gt;0,$U233&gt;0),$Q233=""),"CÓDIGO",
IF(AND($C233="S",$P233&lt;&gt;"",$Q233&lt;&gt;"",$R233="(Código não identificado nas referências)"),"CÓDIGO N/ID",
IF(AND($C233="S",OR($R233="",$R233="(digite a descrição aqui)"),OR($Q233&lt;&gt;"",$T233&gt;0,$U233&gt;0)),"DESCRIÇÃO",
IF(AND($C233="S",$P233&lt;&gt;"",$Q233&lt;&gt;"",$S233=""),"UNIDADE",
IF(AND($C233="S",$P233&lt;&gt;"",$Q233&lt;&gt;"",$U233=0),"SEM CUSTO",
IF(AND(TIPOORCAMENTO="Licitado",$AL233=0,$AN233&gt;0),"SEM PREÇO",
IF(AND($C233="S",$P233&lt;&gt;"",$Q233&lt;&gt;"",$U233&gt;0,AND($V233&lt;&gt;"BDI 1",$V233&lt;&gt;"BDI 2",$V233&lt;&gt;"BDI 3")),IF(ISNUMBER($V233),"JUSTIFICAR BDI","BDI"),
IF(OR(AND(import.recurso="OGU",TIPOORCAMENTO="Proposto",LEFT($O$8,5)&lt;&gt;"(N/D:",$AG233&lt;&gt;"",ORÇAMENTO.CustoUnitario&gt;$AG233),AND(TIPOORCAMENTO="LICITADO",ORÇAMENTO.PrecoUnitarioLicitado&gt;$AN233)),"ACIMA REF.",
IF(AND($C233="S",$P233&lt;&gt;"",$Q233&lt;&gt;"",$T233=0,$U233&gt;0),"QUANT.",
IF(AND(Import.TipoArredondamento="TransfereGOV",$L233="F",$C233="S",LEN($Q233)&gt;13),"Código &gt;13",
IF(AND(Import.TipoArredondamento="TransfereGOV",$L233="F",$C233&lt;&gt;"S",LEN($R233)&gt;100),"Descrição &gt;100",
IF(AND(Import.TipoArredondamento="TransfereGOV",$L233="F",$C233="S",LEN($R233)&gt;500),"Descrição &gt;500",
IF(AND(Import.TipoArredondamento="TransfereGOV",$L233="F",$C233="S",LEFT(TRIM(UPPER($P233)),6)&lt;&gt;"SINAPI",ISNA(VLOOKUP(TRIM(UPPER($S233)),ListaTgov.Unidades,1,FALSE))),"Unid. Não Disp",
" "))))))))))))))))</f>
        <v xml:space="preserve"> </v>
      </c>
      <c r="AD233">
        <f ca="1">IF(C233&lt;=CRONO.NivelExibicao,MAX($AD$15:OFFSET(AD233,-1,0))+IF($C233&lt;&gt;1,1,MAX(1,COUNTIF(QCI!$A$13:$A$24,OFFSET($E233,-1,0)))),"")</f>
        <v>45</v>
      </c>
      <c r="AE233" s="7" t="b" cm="1">
        <f t="array" aca="1" ref="AE233" ca="1">IF(AND($C233="S",ORÇAMENTO.CodBarra&lt;&gt;""),IF(ORÇAMENTO.Fonte="",ORÇAMENTO.CodBarra,CONCATENATE(ORÇAMENTO.Fonte," ",ORÇAMENTO.CodBarra)))</f>
        <v>0</v>
      </c>
      <c r="AF233" s="12" t="str" cm="1">
        <f t="array" aca="1" ref="AF233" ca="1">IF(ISERROR(ORÇAMENTO.BancoRef),"(abra o arquivo 'Referência "&amp;Excel_BuiltIn_Database&amp;".xlsm)",IF(OR($C233&lt;&gt;"S",ORÇAMENTO.CodBarra=""),"(Sem Código)",IF(ISERROR(MATCH($AE233,INDIRECT(ORÇAMENTO.BancoRef),0)),"(Código não identificado nas referências)",MATCH($AE233,INDIRECT(ORÇAMENTO.BancoRef),0))))</f>
        <v>(Sem Código)</v>
      </c>
      <c r="AG233" s="428" cm="1">
        <f t="array" aca="1" ref="AG233" ca="1">ROUND(IF(DESONERACAO="sim",REFERENCIA.Desonerado,REFERENCIA.NaoDesonerado),2)</f>
        <v>0</v>
      </c>
      <c r="AH233" s="429">
        <f ca="1">ROUND(IF(ISNUMBER(ORÇAMENTO.OpcaoBDI),ORÇAMENTO.OpcaoBDI,IF(LEFT(ORÇAMENTO.OpcaoBDI,3)="BDI",HLOOKUP(ORÇAMENTO.OpcaoBDI,$F$4:$H$5,2,FALSE),0)),15-11*$AF$9)</f>
        <v>0.2223</v>
      </c>
      <c r="AJ233" s="431"/>
      <c r="AL233" s="439"/>
      <c r="AM233" s="336">
        <f t="shared" ca="1" si="0"/>
        <v>0</v>
      </c>
      <c r="AN233" s="470" cm="1">
        <f t="array" aca="1" ref="AN233" ca="1">ROUND(ORÇAMENTO.CustoUnitario*(1+$AH233),2)</f>
        <v>0</v>
      </c>
    </row>
    <row r="234" spans="1:40" x14ac:dyDescent="0.2">
      <c r="A234">
        <f t="shared" si="52"/>
        <v>2</v>
      </c>
      <c r="B234">
        <f t="shared" ca="1" si="53"/>
        <v>2</v>
      </c>
      <c r="C234">
        <f t="shared" ca="1" si="54"/>
        <v>2</v>
      </c>
      <c r="D234">
        <f t="shared" ca="1" si="55"/>
        <v>10</v>
      </c>
      <c r="E234">
        <f ca="1">IF($C234=1,OFFSET(E234,-1,0)+MAX(1,COUNTIF(QCI!$A$13:$A$24,OFFSET(ORÇAMENTO!E234,-1,0))),OFFSET(E234,-1,0))</f>
        <v>10</v>
      </c>
      <c r="F234">
        <f t="shared" ca="1" si="56"/>
        <v>1</v>
      </c>
      <c r="G234">
        <f t="shared" ca="1" si="57"/>
        <v>0</v>
      </c>
      <c r="H234">
        <f t="shared" ca="1" si="58"/>
        <v>0</v>
      </c>
      <c r="I234">
        <f t="shared" ca="1" si="59"/>
        <v>0</v>
      </c>
      <c r="J234">
        <f t="shared" ca="1" si="51"/>
        <v>10</v>
      </c>
      <c r="K234" t="e">
        <f ca="1">IF(OR($C234="S",$C234=0),0,MATCH(OFFSET($D234,0,$C234)+IF($C234&lt;&gt;1,1,COUNTIF(QCI!$A$13:$A$24,ORÇAMENTO!E234)),OFFSET($D234,1,$C234,ROW($C$244)-ROW($C234)),0))</f>
        <v>#N/A</v>
      </c>
      <c r="L234" s="114" t="str">
        <f t="shared" ca="1" si="60"/>
        <v>F</v>
      </c>
      <c r="M234" s="115" t="s">
        <v>702</v>
      </c>
      <c r="N234" s="116" t="str">
        <f t="shared" ca="1" si="61"/>
        <v>Nível 2</v>
      </c>
      <c r="O234" s="117" t="str">
        <f t="shared" ca="1" si="62"/>
        <v>10.1.</v>
      </c>
      <c r="P234" s="118" t="s">
        <v>250</v>
      </c>
      <c r="Q234" s="119" t="s">
        <v>250</v>
      </c>
      <c r="R234" s="120" t="s">
        <v>1214</v>
      </c>
      <c r="S234" s="121"/>
      <c r="T234" s="122">
        <f ca="1">OFFSET(CÁLCULO!H$15,ROW($T234)-ROW(T$15),0)</f>
        <v>0</v>
      </c>
      <c r="U234" s="123">
        <f t="shared" ca="1" si="63"/>
        <v>0</v>
      </c>
      <c r="V234" s="124" t="s">
        <v>663</v>
      </c>
      <c r="W234" s="122" cm="1">
        <f t="array" aca="1" ref="W234" ca="1">IF($C234="S",ROUND(IF(TIPOORCAMENTO="Proposto",ORÇAMENTO.CustoUnitario*(1+$AH234),ORÇAMENTO.PrecoUnitarioLicitado),15-13*$AF$10),0)</f>
        <v>0</v>
      </c>
      <c r="X234" s="125" cm="1">
        <f t="array" aca="1" ref="X234" ca="1">IF($C234="S",IF(OR(Import.TipoArredondamento&lt;&gt;"TransfereGOV",ACOMPANHAMENTO="BM"),VTOTAL1,SUM(OFFSET(CÁLCULO!$AQ$15,ROW($X234)-ROW($X$15),1):OFFSET(CÁLCULO!$BR$15,ROW($X234)-ROW($X$15),-1))),IF($C234=0,0,ROUND(SomaAgrup,15-13*$AF$11)))</f>
        <v>0</v>
      </c>
      <c r="Y234" s="126" t="s">
        <v>751</v>
      </c>
      <c r="Z234" t="str">
        <f t="shared" ca="1" si="64"/>
        <v/>
      </c>
      <c r="AA234" s="127" cm="1">
        <f t="array" aca="1" ref="AA234" ca="1">IF($C234="S",IF($Z234="CP",$X234,IF($Z234="RA",(($X234)*QCI!$AA$3),0)),SomaAgrup)</f>
        <v>0</v>
      </c>
      <c r="AB234" s="128" cm="1">
        <f t="array" aca="1" ref="AB234" ca="1">IF($C234="S",IF($Z234="OU",ROUND($X234,2),0),SomaAgrup)</f>
        <v>0</v>
      </c>
      <c r="AC234" s="565" t="str" cm="1">
        <f t="array" aca="1" ref="AC234" ca="1">IF($N234=""," ",
IF(AND($C234&lt;&gt;"S",OR($R234="",$R234="(digite a descrição aqui)")),"DESCRIÇÃO",
IF(AND($C234="S",OR($Q234&lt;&gt;"",$T234&gt;0,$U234&gt;0),$P234=""),"FONTE",
IF(AND($C234="S",$P234&lt;&gt;"",OR($T234&gt;0,$U234&gt;0),$Q234=""),"CÓDIGO",
IF(AND($C234="S",$P234&lt;&gt;"",$Q234&lt;&gt;"",$R234="(Código não identificado nas referências)"),"CÓDIGO N/ID",
IF(AND($C234="S",OR($R234="",$R234="(digite a descrição aqui)"),OR($Q234&lt;&gt;"",$T234&gt;0,$U234&gt;0)),"DESCRIÇÃO",
IF(AND($C234="S",$P234&lt;&gt;"",$Q234&lt;&gt;"",$S234=""),"UNIDADE",
IF(AND($C234="S",$P234&lt;&gt;"",$Q234&lt;&gt;"",$U234=0),"SEM CUSTO",
IF(AND(TIPOORCAMENTO="Licitado",$AL234=0,$AN234&gt;0),"SEM PREÇO",
IF(AND($C234="S",$P234&lt;&gt;"",$Q234&lt;&gt;"",$U234&gt;0,AND($V234&lt;&gt;"BDI 1",$V234&lt;&gt;"BDI 2",$V234&lt;&gt;"BDI 3")),IF(ISNUMBER($V234),"JUSTIFICAR BDI","BDI"),
IF(OR(AND(import.recurso="OGU",TIPOORCAMENTO="Proposto",LEFT($O$8,5)&lt;&gt;"(N/D:",$AG234&lt;&gt;"",ORÇAMENTO.CustoUnitario&gt;$AG234),AND(TIPOORCAMENTO="LICITADO",ORÇAMENTO.PrecoUnitarioLicitado&gt;$AN234)),"ACIMA REF.",
IF(AND($C234="S",$P234&lt;&gt;"",$Q234&lt;&gt;"",$T234=0,$U234&gt;0),"QUANT.",
IF(AND(Import.TipoArredondamento="TransfereGOV",$L234="F",$C234="S",LEN($Q234)&gt;13),"Código &gt;13",
IF(AND(Import.TipoArredondamento="TransfereGOV",$L234="F",$C234&lt;&gt;"S",LEN($R234)&gt;100),"Descrição &gt;100",
IF(AND(Import.TipoArredondamento="TransfereGOV",$L234="F",$C234="S",LEN($R234)&gt;500),"Descrição &gt;500",
IF(AND(Import.TipoArredondamento="TransfereGOV",$L234="F",$C234="S",LEFT(TRIM(UPPER($P234)),6)&lt;&gt;"SINAPI",ISNA(VLOOKUP(TRIM(UPPER($S234)),ListaTgov.Unidades,1,FALSE))),"Unid. Não Disp",
" "))))))))))))))))</f>
        <v xml:space="preserve"> </v>
      </c>
      <c r="AD234">
        <f ca="1">IF(C234&lt;=CRONO.NivelExibicao,MAX($AD$15:OFFSET(AD234,-1,0))+IF($C234&lt;&gt;1,1,MAX(1,COUNTIF(QCI!$A$13:$A$24,OFFSET($E234,-1,0)))),"")</f>
        <v>46</v>
      </c>
      <c r="AE234" s="7" t="b" cm="1">
        <f t="array" aca="1" ref="AE234" ca="1">IF(AND($C234="S",ORÇAMENTO.CodBarra&lt;&gt;""),IF(ORÇAMENTO.Fonte="",ORÇAMENTO.CodBarra,CONCATENATE(ORÇAMENTO.Fonte," ",ORÇAMENTO.CodBarra)))</f>
        <v>0</v>
      </c>
      <c r="AF234" s="12" t="str" cm="1">
        <f t="array" aca="1" ref="AF234" ca="1">IF(ISERROR(ORÇAMENTO.BancoRef),"(abra o arquivo 'Referência "&amp;Excel_BuiltIn_Database&amp;".xlsm)",IF(OR($C234&lt;&gt;"S",ORÇAMENTO.CodBarra=""),"(Sem Código)",IF(ISERROR(MATCH($AE234,INDIRECT(ORÇAMENTO.BancoRef),0)),"(Código não identificado nas referências)",MATCH($AE234,INDIRECT(ORÇAMENTO.BancoRef),0))))</f>
        <v>(Sem Código)</v>
      </c>
      <c r="AG234" s="428" cm="1">
        <f t="array" aca="1" ref="AG234" ca="1">ROUND(IF(DESONERACAO="sim",REFERENCIA.Desonerado,REFERENCIA.NaoDesonerado),2)</f>
        <v>0</v>
      </c>
      <c r="AH234" s="429">
        <f t="shared" ca="1" si="65"/>
        <v>0.2223</v>
      </c>
      <c r="AJ234" s="431"/>
      <c r="AL234" s="439"/>
      <c r="AM234" s="336">
        <f t="shared" ca="1" si="0"/>
        <v>0</v>
      </c>
      <c r="AN234" s="470" cm="1">
        <f t="array" aca="1" ref="AN234" ca="1">ROUND(ORÇAMENTO.CustoUnitario*(1+$AH234),2)</f>
        <v>0</v>
      </c>
    </row>
    <row r="235" spans="1:40" ht="25.5" x14ac:dyDescent="0.2">
      <c r="A235" t="str">
        <f t="shared" si="52"/>
        <v>S</v>
      </c>
      <c r="B235">
        <f t="shared" ca="1" si="53"/>
        <v>2</v>
      </c>
      <c r="C235" t="str">
        <f t="shared" ca="1" si="54"/>
        <v>S</v>
      </c>
      <c r="D235">
        <f t="shared" ca="1" si="55"/>
        <v>0</v>
      </c>
      <c r="E235">
        <f ca="1">IF($C235=1,OFFSET(E235,-1,0)+MAX(1,COUNTIF(QCI!$A$13:$A$24,OFFSET(ORÇAMENTO!E235,-1,0))),OFFSET(E235,-1,0))</f>
        <v>10</v>
      </c>
      <c r="F235">
        <f t="shared" ca="1" si="56"/>
        <v>1</v>
      </c>
      <c r="G235">
        <f t="shared" ca="1" si="57"/>
        <v>0</v>
      </c>
      <c r="H235">
        <f t="shared" ca="1" si="58"/>
        <v>0</v>
      </c>
      <c r="I235">
        <f t="shared" ca="1" si="59"/>
        <v>0</v>
      </c>
      <c r="J235">
        <f t="shared" ca="1" si="51"/>
        <v>0</v>
      </c>
      <c r="K235">
        <f ca="1">IF(OR($C235="S",$C235=0),0,MATCH(OFFSET($D235,0,$C235)+IF($C235&lt;&gt;1,1,COUNTIF(QCI!$A$13:$A$24,ORÇAMENTO!E235)),OFFSET($D235,1,$C235,ROW($C$244)-ROW($C235)),0))</f>
        <v>0</v>
      </c>
      <c r="L235" s="114" t="str">
        <f t="shared" ca="1" si="60"/>
        <v/>
      </c>
      <c r="M235" s="115" t="s">
        <v>705</v>
      </c>
      <c r="N235" s="116" t="str">
        <f t="shared" ca="1" si="61"/>
        <v>Serviço</v>
      </c>
      <c r="O235" s="117" t="str">
        <f t="shared" ca="1" si="62"/>
        <v>-</v>
      </c>
      <c r="P235" s="118" t="s">
        <v>750</v>
      </c>
      <c r="Q235" s="119" t="s">
        <v>1164</v>
      </c>
      <c r="R235" s="120" t="str" cm="1">
        <f t="array" aca="1" ref="R235" ca="1">IF($C235="S",REFERENCIA.Descricao,"(digite a descrição aqui)")</f>
        <v>(Código não identificado nas referências)</v>
      </c>
      <c r="S235" s="121" t="str" cm="1">
        <f t="array" aca="1" ref="S235" ca="1">REFERENCIA.Unidade</f>
        <v>-</v>
      </c>
      <c r="T235" s="122">
        <f ca="1">OFFSET(CÁLCULO!H$15,ROW($T235)-ROW(T$15),0)</f>
        <v>20</v>
      </c>
      <c r="U235" s="123">
        <f t="shared" ca="1" si="63"/>
        <v>0</v>
      </c>
      <c r="V235" s="124" t="s">
        <v>663</v>
      </c>
      <c r="W235" s="122" cm="1">
        <f t="array" aca="1" ref="W235" ca="1">IF($C235="S",ROUND(IF(TIPOORCAMENTO="Proposto",ORÇAMENTO.CustoUnitario*(1+$AH235),ORÇAMENTO.PrecoUnitarioLicitado),15-13*$AF$10),0)</f>
        <v>0</v>
      </c>
      <c r="X235" s="125" cm="1">
        <f t="array" aca="1" ref="X235" ca="1">IF($C235="S",IF(OR(Import.TipoArredondamento&lt;&gt;"TransfereGOV",ACOMPANHAMENTO="BM"),VTOTAL1,SUM(OFFSET(CÁLCULO!$AQ$15,ROW($X235)-ROW($X$15),1):OFFSET(CÁLCULO!$BR$15,ROW($X235)-ROW($X$15),-1))),IF($C235=0,0,ROUND(SomaAgrup,15-13*$AF$11)))</f>
        <v>0</v>
      </c>
      <c r="Y235" s="126" t="s">
        <v>751</v>
      </c>
      <c r="Z235" t="str">
        <f t="shared" ca="1" si="64"/>
        <v/>
      </c>
      <c r="AA235" s="127" cm="1">
        <f t="array" aca="1" ref="AA235" ca="1">IF($C235="S",IF($Z235="CP",$X235,IF($Z235="RA",(($X235)*QCI!$AA$3),0)),SomaAgrup)</f>
        <v>0</v>
      </c>
      <c r="AB235" s="128" cm="1">
        <f t="array" aca="1" ref="AB235" ca="1">IF($C235="S",IF($Z235="OU",ROUND($X235,2),0),SomaAgrup)</f>
        <v>0</v>
      </c>
      <c r="AC235" s="565" t="str" cm="1">
        <f t="array" aca="1" ref="AC235" ca="1">IF($N235=""," ",
IF(AND($C235&lt;&gt;"S",OR($R235="",$R235="(digite a descrição aqui)")),"DESCRIÇÃO",
IF(AND($C235="S",OR($Q235&lt;&gt;"",$T235&gt;0,$U235&gt;0),$P235=""),"FONTE",
IF(AND($C235="S",$P235&lt;&gt;"",OR($T235&gt;0,$U235&gt;0),$Q235=""),"CÓDIGO",
IF(AND($C235="S",$P235&lt;&gt;"",$Q235&lt;&gt;"",$R235="(Código não identificado nas referências)"),"CÓDIGO N/ID",
IF(AND($C235="S",OR($R235="",$R235="(digite a descrição aqui)"),OR($Q235&lt;&gt;"",$T235&gt;0,$U235&gt;0)),"DESCRIÇÃO",
IF(AND($C235="S",$P235&lt;&gt;"",$Q235&lt;&gt;"",$S235=""),"UNIDADE",
IF(AND($C235="S",$P235&lt;&gt;"",$Q235&lt;&gt;"",$U235=0),"SEM CUSTO",
IF(AND(TIPOORCAMENTO="Licitado",$AL235=0,$AN235&gt;0),"SEM PREÇO",
IF(AND($C235="S",$P235&lt;&gt;"",$Q235&lt;&gt;"",$U235&gt;0,AND($V235&lt;&gt;"BDI 1",$V235&lt;&gt;"BDI 2",$V235&lt;&gt;"BDI 3")),IF(ISNUMBER($V235),"JUSTIFICAR BDI","BDI"),
IF(OR(AND(import.recurso="OGU",TIPOORCAMENTO="Proposto",LEFT($O$8,5)&lt;&gt;"(N/D:",$AG235&lt;&gt;"",ORÇAMENTO.CustoUnitario&gt;$AG235),AND(TIPOORCAMENTO="LICITADO",ORÇAMENTO.PrecoUnitarioLicitado&gt;$AN235)),"ACIMA REF.",
IF(AND($C235="S",$P235&lt;&gt;"",$Q235&lt;&gt;"",$T235=0,$U235&gt;0),"QUANT.",
IF(AND(Import.TipoArredondamento="TransfereGOV",$L235="F",$C235="S",LEN($Q235)&gt;13),"Código &gt;13",
IF(AND(Import.TipoArredondamento="TransfereGOV",$L235="F",$C235&lt;&gt;"S",LEN($R235)&gt;100),"Descrição &gt;100",
IF(AND(Import.TipoArredondamento="TransfereGOV",$L235="F",$C235="S",LEN($R235)&gt;500),"Descrição &gt;500",
IF(AND(Import.TipoArredondamento="TransfereGOV",$L235="F",$C235="S",LEFT(TRIM(UPPER($P235)),6)&lt;&gt;"SINAPI",ISNA(VLOOKUP(TRIM(UPPER($S235)),ListaTgov.Unidades,1,FALSE))),"Unid. Não Disp",
" "))))))))))))))))</f>
        <v>CÓDIGO N/ID</v>
      </c>
      <c r="AD235" t="str">
        <f ca="1">IF(C235&lt;=CRONO.NivelExibicao,MAX($AD$15:OFFSET(AD235,-1,0))+IF($C235&lt;&gt;1,1,MAX(1,COUNTIF(QCI!$A$13:$A$24,OFFSET($E235,-1,0)))),"")</f>
        <v/>
      </c>
      <c r="AE235" s="7" t="str" cm="1">
        <f t="array" aca="1" ref="AE235" ca="1">IF(AND($C235="S",ORÇAMENTO.CodBarra&lt;&gt;""),IF(ORÇAMENTO.Fonte="",ORÇAMENTO.CodBarra,CONCATENATE(ORÇAMENTO.Fonte," ",ORÇAMENTO.CodBarra)))</f>
        <v>SINAPI 99818</v>
      </c>
      <c r="AF235" s="12" t="str" cm="1">
        <f t="array" aca="1" ref="AF235" ca="1">IF(ISERROR(ORÇAMENTO.BancoRef),"(abra o arquivo 'Referência "&amp;Excel_BuiltIn_Database&amp;".xlsm)",IF(OR($C235&lt;&gt;"S",ORÇAMENTO.CodBarra=""),"(Sem Código)",IF(ISERROR(MATCH($AE235,INDIRECT(ORÇAMENTO.BancoRef),0)),"(Código não identificado nas referências)",MATCH($AE235,INDIRECT(ORÇAMENTO.BancoRef),0))))</f>
        <v>(Código não identificado nas referências)</v>
      </c>
      <c r="AG235" s="428" cm="1">
        <f t="array" aca="1" ref="AG235" ca="1">ROUND(IF(DESONERACAO="sim",REFERENCIA.Desonerado,REFERENCIA.NaoDesonerado),2)</f>
        <v>0</v>
      </c>
      <c r="AH235" s="429">
        <f t="shared" ca="1" si="65"/>
        <v>0.2223</v>
      </c>
      <c r="AJ235" s="431"/>
      <c r="AL235" s="439"/>
      <c r="AM235" s="336">
        <f t="shared" ca="1" si="0"/>
        <v>0</v>
      </c>
      <c r="AN235" s="470" cm="1">
        <f t="array" aca="1" ref="AN235" ca="1">ROUND(ORÇAMENTO.CustoUnitario*(1+$AH235),2)</f>
        <v>0</v>
      </c>
    </row>
    <row r="236" spans="1:40" ht="25.5" x14ac:dyDescent="0.2">
      <c r="A236" t="str">
        <f>CHOOSE(1+LOG(1+2*(ORÇAMENTO.Nivel="Meta")+4*(ORÇAMENTO.Nivel="Nível 2")+8*(ORÇAMENTO.Nivel="Nível 3")+16*(ORÇAMENTO.Nivel="Nível 4")+32*(ORÇAMENTO.Nivel="Serviço"),2),0,1,2,3,4,"S")</f>
        <v>S</v>
      </c>
      <c r="B236">
        <f ca="1">IF(OR(C236="s",C236=0),OFFSET(B236,-1,0),C236)</f>
        <v>2</v>
      </c>
      <c r="C236" t="str">
        <f ca="1">IF(OFFSET(C236,-1,0)="L",1,IF(OFFSET(C236,-1,0)=1,2,IF(OR(A236="s",A236=0),"S",IF(AND(OFFSET(C236,-1,0)=2,A236=4),3,IF(AND(OR(OFFSET(C236,-1,0)="s",OFFSET(C236,-1,0)=0),A236&lt;&gt;"s",A236&gt;OFFSET(B236,-1,0)),OFFSET(B236,-1,0),A236)))))</f>
        <v>S</v>
      </c>
      <c r="D236">
        <f ca="1">IF(OR(C236="S",C236=0),0,IF(ISERROR(K236),J236,SMALL(J236:K236,1)))</f>
        <v>0</v>
      </c>
      <c r="E236">
        <f ca="1">IF($C236=1,OFFSET(E236,-1,0)+MAX(1,COUNTIF(QCI!$A$13:$A$24,OFFSET(ORÇAMENTO!E236,-1,0))),OFFSET(E236,-1,0))</f>
        <v>10</v>
      </c>
      <c r="F236">
        <f ca="1">IF($C236=1,0,IF($C236=2,OFFSET(F236,-1,0)+1,OFFSET(F236,-1,0)))</f>
        <v>1</v>
      </c>
      <c r="G236">
        <f ca="1">IF(AND($C236&lt;=2,$C236&lt;&gt;0),0,IF($C236=3,OFFSET(G236,-1,0)+1,OFFSET(G236,-1,0)))</f>
        <v>0</v>
      </c>
      <c r="H236">
        <f ca="1">IF(AND($C236&lt;=3,$C236&lt;&gt;0),0,IF($C236=4,OFFSET(H236,-1,0)+1,OFFSET(H236,-1,0)))</f>
        <v>0</v>
      </c>
      <c r="I236">
        <f ca="1">IF(AND($C236&lt;=4,$C236&lt;&gt;0),0,IF(AND($C236="S",$X236&gt;0),OFFSET(I236,-1,0)+1,OFFSET(I236,-1,0)))</f>
        <v>0</v>
      </c>
      <c r="J236">
        <f t="shared" ca="1" si="51"/>
        <v>0</v>
      </c>
      <c r="K236">
        <f ca="1">IF(OR($C236="S",$C236=0),0,MATCH(OFFSET($D236,0,$C236)+IF($C236&lt;&gt;1,1,COUNTIF(QCI!$A$13:$A$24,ORÇAMENTO!E236)),OFFSET($D236,1,$C236,ROW($C$244)-ROW($C236)),0))</f>
        <v>0</v>
      </c>
      <c r="L236" s="114" t="str">
        <f ca="1">IF(OR($X236&gt;0,$C236=1,$C236=2,$C236=3,$C236=4),"F","")</f>
        <v/>
      </c>
      <c r="M236" s="115" t="s">
        <v>705</v>
      </c>
      <c r="N236" s="116" t="str">
        <f ca="1">CHOOSE(1+LOG(1+2*(C236=1)+4*(C236=2)+8*(C236=3)+16*(C236=4)+32*(C236="S"),2),"","Meta","Nível 2","Nível 3","Nível 4","Serviço")</f>
        <v>Serviço</v>
      </c>
      <c r="O236" s="117" t="str">
        <f ca="1">IF(OR($C236=0,$L236=""),"-",CONCATENATE(E236&amp;".",IF(AND($A$5&gt;=2,$C236&gt;=2),F236&amp;".",""),IF(AND($A$5&gt;=3,$C236&gt;=3),G236&amp;".",""),IF(AND($A$5&gt;=4,$C236&gt;=4),H236&amp;".",""),IF($C236="S",I236&amp;".","")))</f>
        <v>-</v>
      </c>
      <c r="P236" s="118" t="s">
        <v>750</v>
      </c>
      <c r="Q236" s="119" t="s">
        <v>1165</v>
      </c>
      <c r="R236" s="120" t="str" cm="1">
        <f t="array" aca="1" ref="R236" ca="1">IF($C236="S",REFERENCIA.Descricao,"(digite a descrição aqui)")</f>
        <v>(Código não identificado nas referências)</v>
      </c>
      <c r="S236" s="121" t="str" cm="1">
        <f t="array" aca="1" ref="S236" ca="1">REFERENCIA.Unidade</f>
        <v>-</v>
      </c>
      <c r="T236" s="122">
        <f ca="1">OFFSET(CÁLCULO!H$15,ROW($T236)-ROW(T$15),0)</f>
        <v>14.400000000000004</v>
      </c>
      <c r="U236" s="123">
        <f t="shared" ca="1" si="63"/>
        <v>0</v>
      </c>
      <c r="V236" s="124" t="s">
        <v>663</v>
      </c>
      <c r="W236" s="122" cm="1">
        <f t="array" aca="1" ref="W236" ca="1">IF($C236="S",ROUND(IF(TIPOORCAMENTO="Proposto",ORÇAMENTO.CustoUnitario*(1+$AH236),ORÇAMENTO.PrecoUnitarioLicitado),15-13*$AF$10),0)</f>
        <v>0</v>
      </c>
      <c r="X236" s="125" cm="1">
        <f t="array" aca="1" ref="X236" ca="1">IF($C236="S",IF(OR(Import.TipoArredondamento&lt;&gt;"TransfereGOV",ACOMPANHAMENTO="BM"),VTOTAL1,SUM(OFFSET(CÁLCULO!$AQ$15,ROW($X236)-ROW($X$15),1):OFFSET(CÁLCULO!$BR$15,ROW($X236)-ROW($X$15),-1))),IF($C236=0,0,ROUND(SomaAgrup,15-13*$AF$11)))</f>
        <v>0</v>
      </c>
      <c r="Y236" s="126" t="s">
        <v>751</v>
      </c>
      <c r="Z236" t="str">
        <f ca="1">IF(AND($C236="S",$X236&gt;0),IF(ISBLANK($Y236),"RA",LEFT($Y236,2)),"")</f>
        <v/>
      </c>
      <c r="AA236" s="127" cm="1">
        <f t="array" aca="1" ref="AA236" ca="1">IF($C236="S",IF($Z236="CP",$X236,IF($Z236="RA",(($X236)*QCI!$AA$3),0)),SomaAgrup)</f>
        <v>0</v>
      </c>
      <c r="AB236" s="128" cm="1">
        <f t="array" aca="1" ref="AB236" ca="1">IF($C236="S",IF($Z236="OU",ROUND($X236,2),0),SomaAgrup)</f>
        <v>0</v>
      </c>
      <c r="AC236" s="565" t="str" cm="1">
        <f t="array" aca="1" ref="AC236" ca="1">IF($N236=""," ",
IF(AND($C236&lt;&gt;"S",OR($R236="",$R236="(digite a descrição aqui)")),"DESCRIÇÃO",
IF(AND($C236="S",OR($Q236&lt;&gt;"",$T236&gt;0,$U236&gt;0),$P236=""),"FONTE",
IF(AND($C236="S",$P236&lt;&gt;"",OR($T236&gt;0,$U236&gt;0),$Q236=""),"CÓDIGO",
IF(AND($C236="S",$P236&lt;&gt;"",$Q236&lt;&gt;"",$R236="(Código não identificado nas referências)"),"CÓDIGO N/ID",
IF(AND($C236="S",OR($R236="",$R236="(digite a descrição aqui)"),OR($Q236&lt;&gt;"",$T236&gt;0,$U236&gt;0)),"DESCRIÇÃO",
IF(AND($C236="S",$P236&lt;&gt;"",$Q236&lt;&gt;"",$S236=""),"UNIDADE",
IF(AND($C236="S",$P236&lt;&gt;"",$Q236&lt;&gt;"",$U236=0),"SEM CUSTO",
IF(AND(TIPOORCAMENTO="Licitado",$AL236=0,$AN236&gt;0),"SEM PREÇO",
IF(AND($C236="S",$P236&lt;&gt;"",$Q236&lt;&gt;"",$U236&gt;0,AND($V236&lt;&gt;"BDI 1",$V236&lt;&gt;"BDI 2",$V236&lt;&gt;"BDI 3")),IF(ISNUMBER($V236),"JUSTIFICAR BDI","BDI"),
IF(OR(AND(import.recurso="OGU",TIPOORCAMENTO="Proposto",LEFT($O$8,5)&lt;&gt;"(N/D:",$AG236&lt;&gt;"",ORÇAMENTO.CustoUnitario&gt;$AG236),AND(TIPOORCAMENTO="LICITADO",ORÇAMENTO.PrecoUnitarioLicitado&gt;$AN236)),"ACIMA REF.",
IF(AND($C236="S",$P236&lt;&gt;"",$Q236&lt;&gt;"",$T236=0,$U236&gt;0),"QUANT.",
IF(AND(Import.TipoArredondamento="TransfereGOV",$L236="F",$C236="S",LEN($Q236)&gt;13),"Código &gt;13",
IF(AND(Import.TipoArredondamento="TransfereGOV",$L236="F",$C236&lt;&gt;"S",LEN($R236)&gt;100),"Descrição &gt;100",
IF(AND(Import.TipoArredondamento="TransfereGOV",$L236="F",$C236="S",LEN($R236)&gt;500),"Descrição &gt;500",
IF(AND(Import.TipoArredondamento="TransfereGOV",$L236="F",$C236="S",LEFT(TRIM(UPPER($P236)),6)&lt;&gt;"SINAPI",ISNA(VLOOKUP(TRIM(UPPER($S236)),ListaTgov.Unidades,1,FALSE))),"Unid. Não Disp",
" "))))))))))))))))</f>
        <v>CÓDIGO N/ID</v>
      </c>
      <c r="AD236" t="str">
        <f ca="1">IF(C236&lt;=CRONO.NivelExibicao,MAX($AD$15:OFFSET(AD236,-1,0))+IF($C236&lt;&gt;1,1,MAX(1,COUNTIF(QCI!$A$13:$A$24,OFFSET($E236,-1,0)))),"")</f>
        <v/>
      </c>
      <c r="AE236" s="7" t="str" cm="1">
        <f t="array" aca="1" ref="AE236" ca="1">IF(AND($C236="S",ORÇAMENTO.CodBarra&lt;&gt;""),IF(ORÇAMENTO.Fonte="",ORÇAMENTO.CodBarra,CONCATENATE(ORÇAMENTO.Fonte," ",ORÇAMENTO.CodBarra)))</f>
        <v>SINAPI 99819</v>
      </c>
      <c r="AF236" s="12" t="str" cm="1">
        <f t="array" aca="1" ref="AF236" ca="1">IF(ISERROR(ORÇAMENTO.BancoRef),"(abra o arquivo 'Referência "&amp;Excel_BuiltIn_Database&amp;".xlsm)",IF(OR($C236&lt;&gt;"S",ORÇAMENTO.CodBarra=""),"(Sem Código)",IF(ISERROR(MATCH($AE236,INDIRECT(ORÇAMENTO.BancoRef),0)),"(Código não identificado nas referências)",MATCH($AE236,INDIRECT(ORÇAMENTO.BancoRef),0))))</f>
        <v>(Código não identificado nas referências)</v>
      </c>
      <c r="AG236" s="428" cm="1">
        <f t="array" aca="1" ref="AG236" ca="1">ROUND(IF(DESONERACAO="sim",REFERENCIA.Desonerado,REFERENCIA.NaoDesonerado),2)</f>
        <v>0</v>
      </c>
      <c r="AH236" s="429">
        <f ca="1">ROUND(IF(ISNUMBER(ORÇAMENTO.OpcaoBDI),ORÇAMENTO.OpcaoBDI,IF(LEFT(ORÇAMENTO.OpcaoBDI,3)="BDI",HLOOKUP(ORÇAMENTO.OpcaoBDI,$F$4:$H$5,2,FALSE),0)),15-11*$AF$9)</f>
        <v>0.2223</v>
      </c>
      <c r="AJ236" s="431"/>
      <c r="AL236" s="439"/>
      <c r="AM236" s="336">
        <f t="shared" ca="1" si="0"/>
        <v>0</v>
      </c>
      <c r="AN236" s="470" cm="1">
        <f t="array" aca="1" ref="AN236" ca="1">ROUND(ORÇAMENTO.CustoUnitario*(1+$AH236),2)</f>
        <v>0</v>
      </c>
    </row>
    <row r="237" spans="1:40" x14ac:dyDescent="0.2">
      <c r="A237" t="str">
        <f t="shared" si="52"/>
        <v>S</v>
      </c>
      <c r="B237">
        <f t="shared" ca="1" si="53"/>
        <v>2</v>
      </c>
      <c r="C237" t="str">
        <f t="shared" ca="1" si="54"/>
        <v>S</v>
      </c>
      <c r="D237">
        <f t="shared" ca="1" si="55"/>
        <v>0</v>
      </c>
      <c r="E237">
        <f ca="1">IF($C237=1,OFFSET(E237,-1,0)+MAX(1,COUNTIF(QCI!$A$13:$A$24,OFFSET(ORÇAMENTO!E237,-1,0))),OFFSET(E237,-1,0))</f>
        <v>10</v>
      </c>
      <c r="F237">
        <f t="shared" ca="1" si="56"/>
        <v>1</v>
      </c>
      <c r="G237">
        <f t="shared" ca="1" si="57"/>
        <v>0</v>
      </c>
      <c r="H237">
        <f t="shared" ca="1" si="58"/>
        <v>0</v>
      </c>
      <c r="I237">
        <f t="shared" ca="1" si="59"/>
        <v>0</v>
      </c>
      <c r="J237">
        <f t="shared" ca="1" si="51"/>
        <v>0</v>
      </c>
      <c r="K237">
        <f ca="1">IF(OR($C237="S",$C237=0),0,MATCH(OFFSET($D237,0,$C237)+IF($C237&lt;&gt;1,1,COUNTIF(QCI!$A$13:$A$24,ORÇAMENTO!E237)),OFFSET($D237,1,$C237,ROW($C$244)-ROW($C237)),0))</f>
        <v>0</v>
      </c>
      <c r="L237" s="114" t="str">
        <f t="shared" ca="1" si="60"/>
        <v/>
      </c>
      <c r="M237" s="115" t="s">
        <v>705</v>
      </c>
      <c r="N237" s="116" t="str">
        <f t="shared" ca="1" si="61"/>
        <v>Serviço</v>
      </c>
      <c r="O237" s="117" t="str">
        <f t="shared" ca="1" si="62"/>
        <v>-</v>
      </c>
      <c r="P237" s="118" t="s">
        <v>750</v>
      </c>
      <c r="Q237" s="119" t="s">
        <v>1166</v>
      </c>
      <c r="R237" s="120" t="str" cm="1">
        <f t="array" aca="1" ref="R237" ca="1">IF($C237="S",REFERENCIA.Descricao,"(digite a descrição aqui)")</f>
        <v>(Código não identificado nas referências)</v>
      </c>
      <c r="S237" s="121" t="str" cm="1">
        <f t="array" aca="1" ref="S237" ca="1">REFERENCIA.Unidade</f>
        <v>-</v>
      </c>
      <c r="T237" s="122">
        <f ca="1">OFFSET(CÁLCULO!H$15,ROW($T237)-ROW(T$15),0)</f>
        <v>322.99999999999994</v>
      </c>
      <c r="U237" s="123">
        <f t="shared" ca="1" si="63"/>
        <v>0</v>
      </c>
      <c r="V237" s="124" t="s">
        <v>663</v>
      </c>
      <c r="W237" s="122" cm="1">
        <f t="array" aca="1" ref="W237" ca="1">IF($C237="S",ROUND(IF(TIPOORCAMENTO="Proposto",ORÇAMENTO.CustoUnitario*(1+$AH237),ORÇAMENTO.PrecoUnitarioLicitado),15-13*$AF$10),0)</f>
        <v>0</v>
      </c>
      <c r="X237" s="125" cm="1">
        <f t="array" aca="1" ref="X237" ca="1">IF($C237="S",IF(OR(Import.TipoArredondamento&lt;&gt;"TransfereGOV",ACOMPANHAMENTO="BM"),VTOTAL1,SUM(OFFSET(CÁLCULO!$AQ$15,ROW($X237)-ROW($X$15),1):OFFSET(CÁLCULO!$BR$15,ROW($X237)-ROW($X$15),-1))),IF($C237=0,0,ROUND(SomaAgrup,15-13*$AF$11)))</f>
        <v>0</v>
      </c>
      <c r="Y237" s="126" t="s">
        <v>751</v>
      </c>
      <c r="Z237" t="str">
        <f t="shared" ca="1" si="64"/>
        <v/>
      </c>
      <c r="AA237" s="127" cm="1">
        <f t="array" aca="1" ref="AA237" ca="1">IF($C237="S",IF($Z237="CP",$X237,IF($Z237="RA",(($X237)*QCI!$AA$3),0)),SomaAgrup)</f>
        <v>0</v>
      </c>
      <c r="AB237" s="128" cm="1">
        <f t="array" aca="1" ref="AB237" ca="1">IF($C237="S",IF($Z237="OU",ROUND($X237,2),0),SomaAgrup)</f>
        <v>0</v>
      </c>
      <c r="AC237" s="565" t="str" cm="1">
        <f t="array" aca="1" ref="AC237" ca="1">IF($N237=""," ",
IF(AND($C237&lt;&gt;"S",OR($R237="",$R237="(digite a descrição aqui)")),"DESCRIÇÃO",
IF(AND($C237="S",OR($Q237&lt;&gt;"",$T237&gt;0,$U237&gt;0),$P237=""),"FONTE",
IF(AND($C237="S",$P237&lt;&gt;"",OR($T237&gt;0,$U237&gt;0),$Q237=""),"CÓDIGO",
IF(AND($C237="S",$P237&lt;&gt;"",$Q237&lt;&gt;"",$R237="(Código não identificado nas referências)"),"CÓDIGO N/ID",
IF(AND($C237="S",OR($R237="",$R237="(digite a descrição aqui)"),OR($Q237&lt;&gt;"",$T237&gt;0,$U237&gt;0)),"DESCRIÇÃO",
IF(AND($C237="S",$P237&lt;&gt;"",$Q237&lt;&gt;"",$S237=""),"UNIDADE",
IF(AND($C237="S",$P237&lt;&gt;"",$Q237&lt;&gt;"",$U237=0),"SEM CUSTO",
IF(AND(TIPOORCAMENTO="Licitado",$AL237=0,$AN237&gt;0),"SEM PREÇO",
IF(AND($C237="S",$P237&lt;&gt;"",$Q237&lt;&gt;"",$U237&gt;0,AND($V237&lt;&gt;"BDI 1",$V237&lt;&gt;"BDI 2",$V237&lt;&gt;"BDI 3")),IF(ISNUMBER($V237),"JUSTIFICAR BDI","BDI"),
IF(OR(AND(import.recurso="OGU",TIPOORCAMENTO="Proposto",LEFT($O$8,5)&lt;&gt;"(N/D:",$AG237&lt;&gt;"",ORÇAMENTO.CustoUnitario&gt;$AG237),AND(TIPOORCAMENTO="LICITADO",ORÇAMENTO.PrecoUnitarioLicitado&gt;$AN237)),"ACIMA REF.",
IF(AND($C237="S",$P237&lt;&gt;"",$Q237&lt;&gt;"",$T237=0,$U237&gt;0),"QUANT.",
IF(AND(Import.TipoArredondamento="TransfereGOV",$L237="F",$C237="S",LEN($Q237)&gt;13),"Código &gt;13",
IF(AND(Import.TipoArredondamento="TransfereGOV",$L237="F",$C237&lt;&gt;"S",LEN($R237)&gt;100),"Descrição &gt;100",
IF(AND(Import.TipoArredondamento="TransfereGOV",$L237="F",$C237="S",LEN($R237)&gt;500),"Descrição &gt;500",
IF(AND(Import.TipoArredondamento="TransfereGOV",$L237="F",$C237="S",LEFT(TRIM(UPPER($P237)),6)&lt;&gt;"SINAPI",ISNA(VLOOKUP(TRIM(UPPER($S237)),ListaTgov.Unidades,1,FALSE))),"Unid. Não Disp",
" "))))))))))))))))</f>
        <v>CÓDIGO N/ID</v>
      </c>
      <c r="AD237" t="str">
        <f ca="1">IF(C237&lt;=CRONO.NivelExibicao,MAX($AD$15:OFFSET(AD237,-1,0))+IF($C237&lt;&gt;1,1,MAX(1,COUNTIF(QCI!$A$13:$A$24,OFFSET($E237,-1,0)))),"")</f>
        <v/>
      </c>
      <c r="AE237" s="7" t="str" cm="1">
        <f t="array" aca="1" ref="AE237" ca="1">IF(AND($C237="S",ORÇAMENTO.CodBarra&lt;&gt;""),IF(ORÇAMENTO.Fonte="",ORÇAMENTO.CodBarra,CONCATENATE(ORÇAMENTO.Fonte," ",ORÇAMENTO.CodBarra)))</f>
        <v>SINAPI 99811</v>
      </c>
      <c r="AF237" s="12" t="str" cm="1">
        <f t="array" aca="1" ref="AF237" ca="1">IF(ISERROR(ORÇAMENTO.BancoRef),"(abra o arquivo 'Referência "&amp;Excel_BuiltIn_Database&amp;".xlsm)",IF(OR($C237&lt;&gt;"S",ORÇAMENTO.CodBarra=""),"(Sem Código)",IF(ISERROR(MATCH($AE237,INDIRECT(ORÇAMENTO.BancoRef),0)),"(Código não identificado nas referências)",MATCH($AE237,INDIRECT(ORÇAMENTO.BancoRef),0))))</f>
        <v>(Código não identificado nas referências)</v>
      </c>
      <c r="AG237" s="428" cm="1">
        <f t="array" aca="1" ref="AG237" ca="1">ROUND(IF(DESONERACAO="sim",REFERENCIA.Desonerado,REFERENCIA.NaoDesonerado),2)</f>
        <v>0</v>
      </c>
      <c r="AH237" s="429">
        <f t="shared" ca="1" si="65"/>
        <v>0.2223</v>
      </c>
      <c r="AJ237" s="431"/>
      <c r="AL237" s="439"/>
      <c r="AM237" s="336">
        <f t="shared" ca="1" si="0"/>
        <v>0</v>
      </c>
      <c r="AN237" s="470" cm="1">
        <f t="array" aca="1" ref="AN237" ca="1">ROUND(ORÇAMENTO.CustoUnitario*(1+$AH237),2)</f>
        <v>0</v>
      </c>
    </row>
    <row r="238" spans="1:40" x14ac:dyDescent="0.2">
      <c r="A238" t="str">
        <f t="shared" si="52"/>
        <v>S</v>
      </c>
      <c r="B238">
        <f t="shared" ca="1" si="53"/>
        <v>2</v>
      </c>
      <c r="C238" t="str">
        <f t="shared" ca="1" si="54"/>
        <v>S</v>
      </c>
      <c r="D238">
        <f t="shared" ca="1" si="55"/>
        <v>0</v>
      </c>
      <c r="E238">
        <f ca="1">IF($C238=1,OFFSET(E238,-1,0)+MAX(1,COUNTIF(QCI!$A$13:$A$24,OFFSET(ORÇAMENTO!E238,-1,0))),OFFSET(E238,-1,0))</f>
        <v>10</v>
      </c>
      <c r="F238">
        <f t="shared" ca="1" si="56"/>
        <v>1</v>
      </c>
      <c r="G238">
        <f t="shared" ca="1" si="57"/>
        <v>0</v>
      </c>
      <c r="H238">
        <f t="shared" ca="1" si="58"/>
        <v>0</v>
      </c>
      <c r="I238">
        <f t="shared" ca="1" si="59"/>
        <v>0</v>
      </c>
      <c r="J238">
        <f t="shared" ca="1" si="51"/>
        <v>0</v>
      </c>
      <c r="K238">
        <f ca="1">IF(OR($C238="S",$C238=0),0,MATCH(OFFSET($D238,0,$C238)+IF($C238&lt;&gt;1,1,COUNTIF(QCI!$A$13:$A$24,ORÇAMENTO!E238)),OFFSET($D238,1,$C238,ROW($C$244)-ROW($C238)),0))</f>
        <v>0</v>
      </c>
      <c r="L238" s="114" t="str">
        <f t="shared" ca="1" si="60"/>
        <v/>
      </c>
      <c r="M238" s="115" t="s">
        <v>705</v>
      </c>
      <c r="N238" s="116" t="str">
        <f t="shared" ca="1" si="61"/>
        <v>Serviço</v>
      </c>
      <c r="O238" s="117" t="str">
        <f t="shared" ca="1" si="62"/>
        <v>-</v>
      </c>
      <c r="P238" s="118" t="s">
        <v>750</v>
      </c>
      <c r="Q238" s="119" t="s">
        <v>1167</v>
      </c>
      <c r="R238" s="120" t="str" cm="1">
        <f t="array" aca="1" ref="R238" ca="1">IF($C238="S",REFERENCIA.Descricao,"(digite a descrição aqui)")</f>
        <v>(Código não identificado nas referências)</v>
      </c>
      <c r="S238" s="121" t="str" cm="1">
        <f t="array" aca="1" ref="S238" ca="1">REFERENCIA.Unidade</f>
        <v>-</v>
      </c>
      <c r="T238" s="122">
        <f ca="1">OFFSET(CÁLCULO!H$15,ROW($T238)-ROW(T$15),0)</f>
        <v>717.99999999999977</v>
      </c>
      <c r="U238" s="123">
        <f t="shared" ca="1" si="63"/>
        <v>0</v>
      </c>
      <c r="V238" s="124" t="s">
        <v>663</v>
      </c>
      <c r="W238" s="122" cm="1">
        <f t="array" aca="1" ref="W238" ca="1">IF($C238="S",ROUND(IF(TIPOORCAMENTO="Proposto",ORÇAMENTO.CustoUnitario*(1+$AH238),ORÇAMENTO.PrecoUnitarioLicitado),15-13*$AF$10),0)</f>
        <v>0</v>
      </c>
      <c r="X238" s="125" cm="1">
        <f t="array" aca="1" ref="X238" ca="1">IF($C238="S",IF(OR(Import.TipoArredondamento&lt;&gt;"TransfereGOV",ACOMPANHAMENTO="BM"),VTOTAL1,SUM(OFFSET(CÁLCULO!$AQ$15,ROW($X238)-ROW($X$15),1):OFFSET(CÁLCULO!$BR$15,ROW($X238)-ROW($X$15),-1))),IF($C238=0,0,ROUND(SomaAgrup,15-13*$AF$11)))</f>
        <v>0</v>
      </c>
      <c r="Y238" s="126" t="s">
        <v>751</v>
      </c>
      <c r="Z238" t="str">
        <f t="shared" ca="1" si="64"/>
        <v/>
      </c>
      <c r="AA238" s="127" cm="1">
        <f t="array" aca="1" ref="AA238" ca="1">IF($C238="S",IF($Z238="CP",$X238,IF($Z238="RA",(($X238)*QCI!$AA$3),0)),SomaAgrup)</f>
        <v>0</v>
      </c>
      <c r="AB238" s="128" cm="1">
        <f t="array" aca="1" ref="AB238" ca="1">IF($C238="S",IF($Z238="OU",ROUND($X238,2),0),SomaAgrup)</f>
        <v>0</v>
      </c>
      <c r="AC238" s="565" t="str" cm="1">
        <f t="array" aca="1" ref="AC238" ca="1">IF($N238=""," ",
IF(AND($C238&lt;&gt;"S",OR($R238="",$R238="(digite a descrição aqui)")),"DESCRIÇÃO",
IF(AND($C238="S",OR($Q238&lt;&gt;"",$T238&gt;0,$U238&gt;0),$P238=""),"FONTE",
IF(AND($C238="S",$P238&lt;&gt;"",OR($T238&gt;0,$U238&gt;0),$Q238=""),"CÓDIGO",
IF(AND($C238="S",$P238&lt;&gt;"",$Q238&lt;&gt;"",$R238="(Código não identificado nas referências)"),"CÓDIGO N/ID",
IF(AND($C238="S",OR($R238="",$R238="(digite a descrição aqui)"),OR($Q238&lt;&gt;"",$T238&gt;0,$U238&gt;0)),"DESCRIÇÃO",
IF(AND($C238="S",$P238&lt;&gt;"",$Q238&lt;&gt;"",$S238=""),"UNIDADE",
IF(AND($C238="S",$P238&lt;&gt;"",$Q238&lt;&gt;"",$U238=0),"SEM CUSTO",
IF(AND(TIPOORCAMENTO="Licitado",$AL238=0,$AN238&gt;0),"SEM PREÇO",
IF(AND($C238="S",$P238&lt;&gt;"",$Q238&lt;&gt;"",$U238&gt;0,AND($V238&lt;&gt;"BDI 1",$V238&lt;&gt;"BDI 2",$V238&lt;&gt;"BDI 3")),IF(ISNUMBER($V238),"JUSTIFICAR BDI","BDI"),
IF(OR(AND(import.recurso="OGU",TIPOORCAMENTO="Proposto",LEFT($O$8,5)&lt;&gt;"(N/D:",$AG238&lt;&gt;"",ORÇAMENTO.CustoUnitario&gt;$AG238),AND(TIPOORCAMENTO="LICITADO",ORÇAMENTO.PrecoUnitarioLicitado&gt;$AN238)),"ACIMA REF.",
IF(AND($C238="S",$P238&lt;&gt;"",$Q238&lt;&gt;"",$T238=0,$U238&gt;0),"QUANT.",
IF(AND(Import.TipoArredondamento="TransfereGOV",$L238="F",$C238="S",LEN($Q238)&gt;13),"Código &gt;13",
IF(AND(Import.TipoArredondamento="TransfereGOV",$L238="F",$C238&lt;&gt;"S",LEN($R238)&gt;100),"Descrição &gt;100",
IF(AND(Import.TipoArredondamento="TransfereGOV",$L238="F",$C238="S",LEN($R238)&gt;500),"Descrição &gt;500",
IF(AND(Import.TipoArredondamento="TransfereGOV",$L238="F",$C238="S",LEFT(TRIM(UPPER($P238)),6)&lt;&gt;"SINAPI",ISNA(VLOOKUP(TRIM(UPPER($S238)),ListaTgov.Unidades,1,FALSE))),"Unid. Não Disp",
" "))))))))))))))))</f>
        <v>CÓDIGO N/ID</v>
      </c>
      <c r="AD238" t="str">
        <f ca="1">IF(C238&lt;=CRONO.NivelExibicao,MAX($AD$15:OFFSET(AD238,-1,0))+IF($C238&lt;&gt;1,1,MAX(1,COUNTIF(QCI!$A$13:$A$24,OFFSET($E238,-1,0)))),"")</f>
        <v/>
      </c>
      <c r="AE238" s="7" t="str" cm="1">
        <f t="array" aca="1" ref="AE238" ca="1">IF(AND($C238="S",ORÇAMENTO.CodBarra&lt;&gt;""),IF(ORÇAMENTO.Fonte="",ORÇAMENTO.CodBarra,CONCATENATE(ORÇAMENTO.Fonte," ",ORÇAMENTO.CodBarra)))</f>
        <v>SINAPI 99826</v>
      </c>
      <c r="AF238" s="12" t="str" cm="1">
        <f t="array" aca="1" ref="AF238" ca="1">IF(ISERROR(ORÇAMENTO.BancoRef),"(abra o arquivo 'Referência "&amp;Excel_BuiltIn_Database&amp;".xlsm)",IF(OR($C238&lt;&gt;"S",ORÇAMENTO.CodBarra=""),"(Sem Código)",IF(ISERROR(MATCH($AE238,INDIRECT(ORÇAMENTO.BancoRef),0)),"(Código não identificado nas referências)",MATCH($AE238,INDIRECT(ORÇAMENTO.BancoRef),0))))</f>
        <v>(Código não identificado nas referências)</v>
      </c>
      <c r="AG238" s="428" cm="1">
        <f t="array" aca="1" ref="AG238" ca="1">ROUND(IF(DESONERACAO="sim",REFERENCIA.Desonerado,REFERENCIA.NaoDesonerado),2)</f>
        <v>0</v>
      </c>
      <c r="AH238" s="429">
        <f t="shared" ca="1" si="65"/>
        <v>0.2223</v>
      </c>
      <c r="AJ238" s="431"/>
      <c r="AL238" s="439"/>
      <c r="AM238" s="336">
        <f t="shared" ca="1" si="0"/>
        <v>0</v>
      </c>
      <c r="AN238" s="470" cm="1">
        <f t="array" aca="1" ref="AN238" ca="1">ROUND(ORÇAMENTO.CustoUnitario*(1+$AH238),2)</f>
        <v>0</v>
      </c>
    </row>
    <row r="239" spans="1:40" ht="25.5" x14ac:dyDescent="0.2">
      <c r="A239" t="str">
        <f t="shared" si="52"/>
        <v>S</v>
      </c>
      <c r="B239">
        <f t="shared" ca="1" si="53"/>
        <v>2</v>
      </c>
      <c r="C239" t="str">
        <f t="shared" ca="1" si="54"/>
        <v>S</v>
      </c>
      <c r="D239">
        <f t="shared" ca="1" si="55"/>
        <v>0</v>
      </c>
      <c r="E239">
        <f ca="1">IF($C239=1,OFFSET(E239,-1,0)+MAX(1,COUNTIF(QCI!$A$13:$A$24,OFFSET(ORÇAMENTO!E239,-1,0))),OFFSET(E239,-1,0))</f>
        <v>10</v>
      </c>
      <c r="F239">
        <f t="shared" ca="1" si="56"/>
        <v>1</v>
      </c>
      <c r="G239">
        <f t="shared" ca="1" si="57"/>
        <v>0</v>
      </c>
      <c r="H239">
        <f t="shared" ca="1" si="58"/>
        <v>0</v>
      </c>
      <c r="I239">
        <f t="shared" ca="1" si="59"/>
        <v>0</v>
      </c>
      <c r="J239">
        <f t="shared" ca="1" si="51"/>
        <v>0</v>
      </c>
      <c r="K239">
        <f ca="1">IF(OR($C239="S",$C239=0),0,MATCH(OFFSET($D239,0,$C239)+IF($C239&lt;&gt;1,1,COUNTIF(QCI!$A$13:$A$24,ORÇAMENTO!E239)),OFFSET($D239,1,$C239,ROW($C$244)-ROW($C239)),0))</f>
        <v>0</v>
      </c>
      <c r="L239" s="114" t="str">
        <f t="shared" ca="1" si="60"/>
        <v/>
      </c>
      <c r="M239" s="115" t="s">
        <v>705</v>
      </c>
      <c r="N239" s="116" t="str">
        <f t="shared" ca="1" si="61"/>
        <v>Serviço</v>
      </c>
      <c r="O239" s="117" t="str">
        <f t="shared" ca="1" si="62"/>
        <v>-</v>
      </c>
      <c r="P239" s="118" t="s">
        <v>750</v>
      </c>
      <c r="Q239" s="119" t="s">
        <v>1168</v>
      </c>
      <c r="R239" s="120" t="str" cm="1">
        <f t="array" aca="1" ref="R239" ca="1">IF($C239="S",REFERENCIA.Descricao,"(digite a descrição aqui)")</f>
        <v>(Código não identificado nas referências)</v>
      </c>
      <c r="S239" s="121" t="str" cm="1">
        <f t="array" aca="1" ref="S239" ca="1">REFERENCIA.Unidade</f>
        <v>-</v>
      </c>
      <c r="T239" s="122">
        <f ca="1">OFFSET(CÁLCULO!H$15,ROW($T239)-ROW(T$15),0)</f>
        <v>80</v>
      </c>
      <c r="U239" s="123">
        <f t="shared" ca="1" si="63"/>
        <v>0</v>
      </c>
      <c r="V239" s="124" t="s">
        <v>663</v>
      </c>
      <c r="W239" s="122" cm="1">
        <f t="array" aca="1" ref="W239" ca="1">IF($C239="S",ROUND(IF(TIPOORCAMENTO="Proposto",ORÇAMENTO.CustoUnitario*(1+$AH239),ORÇAMENTO.PrecoUnitarioLicitado),15-13*$AF$10),0)</f>
        <v>0</v>
      </c>
      <c r="X239" s="125" cm="1">
        <f t="array" aca="1" ref="X239" ca="1">IF($C239="S",IF(OR(Import.TipoArredondamento&lt;&gt;"TransfereGOV",ACOMPANHAMENTO="BM"),VTOTAL1,SUM(OFFSET(CÁLCULO!$AQ$15,ROW($X239)-ROW($X$15),1):OFFSET(CÁLCULO!$BR$15,ROW($X239)-ROW($X$15),-1))),IF($C239=0,0,ROUND(SomaAgrup,15-13*$AF$11)))</f>
        <v>0</v>
      </c>
      <c r="Y239" s="126" t="s">
        <v>751</v>
      </c>
      <c r="Z239" t="str">
        <f t="shared" ca="1" si="64"/>
        <v/>
      </c>
      <c r="AA239" s="127" cm="1">
        <f t="array" aca="1" ref="AA239" ca="1">IF($C239="S",IF($Z239="CP",$X239,IF($Z239="RA",(($X239)*QCI!$AA$3),0)),SomaAgrup)</f>
        <v>0</v>
      </c>
      <c r="AB239" s="128" cm="1">
        <f t="array" aca="1" ref="AB239" ca="1">IF($C239="S",IF($Z239="OU",ROUND($X239,2),0),SomaAgrup)</f>
        <v>0</v>
      </c>
      <c r="AC239" s="565" t="str" cm="1">
        <f t="array" aca="1" ref="AC239" ca="1">IF($N239=""," ",
IF(AND($C239&lt;&gt;"S",OR($R239="",$R239="(digite a descrição aqui)")),"DESCRIÇÃO",
IF(AND($C239="S",OR($Q239&lt;&gt;"",$T239&gt;0,$U239&gt;0),$P239=""),"FONTE",
IF(AND($C239="S",$P239&lt;&gt;"",OR($T239&gt;0,$U239&gt;0),$Q239=""),"CÓDIGO",
IF(AND($C239="S",$P239&lt;&gt;"",$Q239&lt;&gt;"",$R239="(Código não identificado nas referências)"),"CÓDIGO N/ID",
IF(AND($C239="S",OR($R239="",$R239="(digite a descrição aqui)"),OR($Q239&lt;&gt;"",$T239&gt;0,$U239&gt;0)),"DESCRIÇÃO",
IF(AND($C239="S",$P239&lt;&gt;"",$Q239&lt;&gt;"",$S239=""),"UNIDADE",
IF(AND($C239="S",$P239&lt;&gt;"",$Q239&lt;&gt;"",$U239=0),"SEM CUSTO",
IF(AND(TIPOORCAMENTO="Licitado",$AL239=0,$AN239&gt;0),"SEM PREÇO",
IF(AND($C239="S",$P239&lt;&gt;"",$Q239&lt;&gt;"",$U239&gt;0,AND($V239&lt;&gt;"BDI 1",$V239&lt;&gt;"BDI 2",$V239&lt;&gt;"BDI 3")),IF(ISNUMBER($V239),"JUSTIFICAR BDI","BDI"),
IF(OR(AND(import.recurso="OGU",TIPOORCAMENTO="Proposto",LEFT($O$8,5)&lt;&gt;"(N/D:",$AG239&lt;&gt;"",ORÇAMENTO.CustoUnitario&gt;$AG239),AND(TIPOORCAMENTO="LICITADO",ORÇAMENTO.PrecoUnitarioLicitado&gt;$AN239)),"ACIMA REF.",
IF(AND($C239="S",$P239&lt;&gt;"",$Q239&lt;&gt;"",$T239=0,$U239&gt;0),"QUANT.",
IF(AND(Import.TipoArredondamento="TransfereGOV",$L239="F",$C239="S",LEN($Q239)&gt;13),"Código &gt;13",
IF(AND(Import.TipoArredondamento="TransfereGOV",$L239="F",$C239&lt;&gt;"S",LEN($R239)&gt;100),"Descrição &gt;100",
IF(AND(Import.TipoArredondamento="TransfereGOV",$L239="F",$C239="S",LEN($R239)&gt;500),"Descrição &gt;500",
IF(AND(Import.TipoArredondamento="TransfereGOV",$L239="F",$C239="S",LEFT(TRIM(UPPER($P239)),6)&lt;&gt;"SINAPI",ISNA(VLOOKUP(TRIM(UPPER($S239)),ListaTgov.Unidades,1,FALSE))),"Unid. Não Disp",
" "))))))))))))))))</f>
        <v>CÓDIGO N/ID</v>
      </c>
      <c r="AD239" t="str">
        <f ca="1">IF(C239&lt;=CRONO.NivelExibicao,MAX($AD$15:OFFSET(AD239,-1,0))+IF($C239&lt;&gt;1,1,MAX(1,COUNTIF(QCI!$A$13:$A$24,OFFSET($E239,-1,0)))),"")</f>
        <v/>
      </c>
      <c r="AE239" s="7" t="str" cm="1">
        <f t="array" aca="1" ref="AE239" ca="1">IF(AND($C239="S",ORÇAMENTO.CodBarra&lt;&gt;""),IF(ORÇAMENTO.Fonte="",ORÇAMENTO.CodBarra,CONCATENATE(ORÇAMENTO.Fonte," ",ORÇAMENTO.CodBarra)))</f>
        <v>SINAPI 99821</v>
      </c>
      <c r="AF239" s="12" t="str" cm="1">
        <f t="array" aca="1" ref="AF239" ca="1">IF(ISERROR(ORÇAMENTO.BancoRef),"(abra o arquivo 'Referência "&amp;Excel_BuiltIn_Database&amp;".xlsm)",IF(OR($C239&lt;&gt;"S",ORÇAMENTO.CodBarra=""),"(Sem Código)",IF(ISERROR(MATCH($AE239,INDIRECT(ORÇAMENTO.BancoRef),0)),"(Código não identificado nas referências)",MATCH($AE239,INDIRECT(ORÇAMENTO.BancoRef),0))))</f>
        <v>(Código não identificado nas referências)</v>
      </c>
      <c r="AG239" s="428" cm="1">
        <f t="array" aca="1" ref="AG239" ca="1">ROUND(IF(DESONERACAO="sim",REFERENCIA.Desonerado,REFERENCIA.NaoDesonerado),2)</f>
        <v>0</v>
      </c>
      <c r="AH239" s="429">
        <f t="shared" ca="1" si="65"/>
        <v>0.2223</v>
      </c>
      <c r="AJ239" s="431"/>
      <c r="AL239" s="439"/>
      <c r="AM239" s="336">
        <f t="shared" ca="1" si="0"/>
        <v>0</v>
      </c>
      <c r="AN239" s="470" cm="1">
        <f t="array" aca="1" ref="AN239" ca="1">ROUND(ORÇAMENTO.CustoUnitario*(1+$AH239),2)</f>
        <v>0</v>
      </c>
    </row>
    <row r="240" spans="1:40" ht="25.5" x14ac:dyDescent="0.2">
      <c r="A240" t="str">
        <f t="shared" si="52"/>
        <v>S</v>
      </c>
      <c r="B240">
        <f t="shared" ca="1" si="53"/>
        <v>2</v>
      </c>
      <c r="C240" t="str">
        <f t="shared" ca="1" si="54"/>
        <v>S</v>
      </c>
      <c r="D240">
        <f t="shared" ca="1" si="55"/>
        <v>0</v>
      </c>
      <c r="E240">
        <f ca="1">IF($C240=1,OFFSET(E240,-1,0)+MAX(1,COUNTIF(QCI!$A$13:$A$24,OFFSET(ORÇAMENTO!E240,-1,0))),OFFSET(E240,-1,0))</f>
        <v>10</v>
      </c>
      <c r="F240">
        <f t="shared" ca="1" si="56"/>
        <v>1</v>
      </c>
      <c r="G240">
        <f t="shared" ca="1" si="57"/>
        <v>0</v>
      </c>
      <c r="H240">
        <f t="shared" ca="1" si="58"/>
        <v>0</v>
      </c>
      <c r="I240">
        <f t="shared" ca="1" si="59"/>
        <v>0</v>
      </c>
      <c r="J240">
        <f t="shared" ca="1" si="51"/>
        <v>0</v>
      </c>
      <c r="K240">
        <f ca="1">IF(OR($C240="S",$C240=0),0,MATCH(OFFSET($D240,0,$C240)+IF($C240&lt;&gt;1,1,COUNTIF(QCI!$A$13:$A$24,ORÇAMENTO!E240)),OFFSET($D240,1,$C240,ROW($C$244)-ROW($C240)),0))</f>
        <v>0</v>
      </c>
      <c r="L240" s="114" t="str">
        <f t="shared" ca="1" si="60"/>
        <v/>
      </c>
      <c r="M240" s="115" t="s">
        <v>705</v>
      </c>
      <c r="N240" s="116" t="str">
        <f t="shared" ca="1" si="61"/>
        <v>Serviço</v>
      </c>
      <c r="O240" s="117" t="str">
        <f t="shared" ca="1" si="62"/>
        <v>-</v>
      </c>
      <c r="P240" s="118" t="s">
        <v>750</v>
      </c>
      <c r="Q240" s="119" t="s">
        <v>1169</v>
      </c>
      <c r="R240" s="120" t="str" cm="1">
        <f t="array" aca="1" ref="R240" ca="1">IF($C240="S",REFERENCIA.Descricao,"(digite a descrição aqui)")</f>
        <v>(Código não identificado nas referências)</v>
      </c>
      <c r="S240" s="121" t="str" cm="1">
        <f t="array" aca="1" ref="S240" ca="1">REFERENCIA.Unidade</f>
        <v>-</v>
      </c>
      <c r="T240" s="122">
        <f ca="1">OFFSET(CÁLCULO!H$15,ROW($T240)-ROW(T$15),0)</f>
        <v>949.20000000000027</v>
      </c>
      <c r="U240" s="123">
        <f t="shared" ca="1" si="63"/>
        <v>0</v>
      </c>
      <c r="V240" s="124" t="s">
        <v>663</v>
      </c>
      <c r="W240" s="122" cm="1">
        <f t="array" aca="1" ref="W240" ca="1">IF($C240="S",ROUND(IF(TIPOORCAMENTO="Proposto",ORÇAMENTO.CustoUnitario*(1+$AH240),ORÇAMENTO.PrecoUnitarioLicitado),15-13*$AF$10),0)</f>
        <v>0</v>
      </c>
      <c r="X240" s="125" cm="1">
        <f t="array" aca="1" ref="X240" ca="1">IF($C240="S",IF(OR(Import.TipoArredondamento&lt;&gt;"TransfereGOV",ACOMPANHAMENTO="BM"),VTOTAL1,SUM(OFFSET(CÁLCULO!$AQ$15,ROW($X240)-ROW($X$15),1):OFFSET(CÁLCULO!$BR$15,ROW($X240)-ROW($X$15),-1))),IF($C240=0,0,ROUND(SomaAgrup,15-13*$AF$11)))</f>
        <v>0</v>
      </c>
      <c r="Y240" s="126" t="s">
        <v>751</v>
      </c>
      <c r="Z240" t="str">
        <f t="shared" ca="1" si="64"/>
        <v/>
      </c>
      <c r="AA240" s="127" cm="1">
        <f t="array" aca="1" ref="AA240" ca="1">IF($C240="S",IF($Z240="CP",$X240,IF($Z240="RA",(($X240)*QCI!$AA$3),0)),SomaAgrup)</f>
        <v>0</v>
      </c>
      <c r="AB240" s="128" cm="1">
        <f t="array" aca="1" ref="AB240" ca="1">IF($C240="S",IF($Z240="OU",ROUND($X240,2),0),SomaAgrup)</f>
        <v>0</v>
      </c>
      <c r="AC240" s="565" t="str" cm="1">
        <f t="array" aca="1" ref="AC240" ca="1">IF($N240=""," ",
IF(AND($C240&lt;&gt;"S",OR($R240="",$R240="(digite a descrição aqui)")),"DESCRIÇÃO",
IF(AND($C240="S",OR($Q240&lt;&gt;"",$T240&gt;0,$U240&gt;0),$P240=""),"FONTE",
IF(AND($C240="S",$P240&lt;&gt;"",OR($T240&gt;0,$U240&gt;0),$Q240=""),"CÓDIGO",
IF(AND($C240="S",$P240&lt;&gt;"",$Q240&lt;&gt;"",$R240="(Código não identificado nas referências)"),"CÓDIGO N/ID",
IF(AND($C240="S",OR($R240="",$R240="(digite a descrição aqui)"),OR($Q240&lt;&gt;"",$T240&gt;0,$U240&gt;0)),"DESCRIÇÃO",
IF(AND($C240="S",$P240&lt;&gt;"",$Q240&lt;&gt;"",$S240=""),"UNIDADE",
IF(AND($C240="S",$P240&lt;&gt;"",$Q240&lt;&gt;"",$U240=0),"SEM CUSTO",
IF(AND(TIPOORCAMENTO="Licitado",$AL240=0,$AN240&gt;0),"SEM PREÇO",
IF(AND($C240="S",$P240&lt;&gt;"",$Q240&lt;&gt;"",$U240&gt;0,AND($V240&lt;&gt;"BDI 1",$V240&lt;&gt;"BDI 2",$V240&lt;&gt;"BDI 3")),IF(ISNUMBER($V240),"JUSTIFICAR BDI","BDI"),
IF(OR(AND(import.recurso="OGU",TIPOORCAMENTO="Proposto",LEFT($O$8,5)&lt;&gt;"(N/D:",$AG240&lt;&gt;"",ORÇAMENTO.CustoUnitario&gt;$AG240),AND(TIPOORCAMENTO="LICITADO",ORÇAMENTO.PrecoUnitarioLicitado&gt;$AN240)),"ACIMA REF.",
IF(AND($C240="S",$P240&lt;&gt;"",$Q240&lt;&gt;"",$T240=0,$U240&gt;0),"QUANT.",
IF(AND(Import.TipoArredondamento="TransfereGOV",$L240="F",$C240="S",LEN($Q240)&gt;13),"Código &gt;13",
IF(AND(Import.TipoArredondamento="TransfereGOV",$L240="F",$C240&lt;&gt;"S",LEN($R240)&gt;100),"Descrição &gt;100",
IF(AND(Import.TipoArredondamento="TransfereGOV",$L240="F",$C240="S",LEN($R240)&gt;500),"Descrição &gt;500",
IF(AND(Import.TipoArredondamento="TransfereGOV",$L240="F",$C240="S",LEFT(TRIM(UPPER($P240)),6)&lt;&gt;"SINAPI",ISNA(VLOOKUP(TRIM(UPPER($S240)),ListaTgov.Unidades,1,FALSE))),"Unid. Não Disp",
" "))))))))))))))))</f>
        <v>CÓDIGO N/ID</v>
      </c>
      <c r="AD240" t="str">
        <f ca="1">IF(C240&lt;=CRONO.NivelExibicao,MAX($AD$15:OFFSET(AD240,-1,0))+IF($C240&lt;&gt;1,1,MAX(1,COUNTIF(QCI!$A$13:$A$24,OFFSET($E240,-1,0)))),"")</f>
        <v/>
      </c>
      <c r="AE240" s="7" t="str" cm="1">
        <f t="array" aca="1" ref="AE240" ca="1">IF(AND($C240="S",ORÇAMENTO.CodBarra&lt;&gt;""),IF(ORÇAMENTO.Fonte="",ORÇAMENTO.CodBarra,CONCATENATE(ORÇAMENTO.Fonte," ",ORÇAMENTO.CodBarra)))</f>
        <v>SINAPI 99804</v>
      </c>
      <c r="AF240" s="12" t="str" cm="1">
        <f t="array" aca="1" ref="AF240" ca="1">IF(ISERROR(ORÇAMENTO.BancoRef),"(abra o arquivo 'Referência "&amp;Excel_BuiltIn_Database&amp;".xlsm)",IF(OR($C240&lt;&gt;"S",ORÇAMENTO.CodBarra=""),"(Sem Código)",IF(ISERROR(MATCH($AE240,INDIRECT(ORÇAMENTO.BancoRef),0)),"(Código não identificado nas referências)",MATCH($AE240,INDIRECT(ORÇAMENTO.BancoRef),0))))</f>
        <v>(Código não identificado nas referências)</v>
      </c>
      <c r="AG240" s="428" cm="1">
        <f t="array" aca="1" ref="AG240" ca="1">ROUND(IF(DESONERACAO="sim",REFERENCIA.Desonerado,REFERENCIA.NaoDesonerado),2)</f>
        <v>0</v>
      </c>
      <c r="AH240" s="429">
        <f t="shared" ca="1" si="65"/>
        <v>0.2223</v>
      </c>
      <c r="AJ240" s="431"/>
      <c r="AL240" s="439"/>
      <c r="AM240" s="336">
        <f t="shared" ca="1" si="0"/>
        <v>0</v>
      </c>
      <c r="AN240" s="470" cm="1">
        <f t="array" aca="1" ref="AN240" ca="1">ROUND(ORÇAMENTO.CustoUnitario*(1+$AH240),2)</f>
        <v>0</v>
      </c>
    </row>
    <row r="241" spans="1:40" x14ac:dyDescent="0.2">
      <c r="A241" t="str">
        <f t="shared" si="52"/>
        <v>S</v>
      </c>
      <c r="B241">
        <f t="shared" ca="1" si="53"/>
        <v>2</v>
      </c>
      <c r="C241" t="str">
        <f t="shared" ca="1" si="54"/>
        <v>S</v>
      </c>
      <c r="D241">
        <f t="shared" ca="1" si="55"/>
        <v>0</v>
      </c>
      <c r="E241">
        <f ca="1">IF($C241=1,OFFSET(E241,-1,0)+MAX(1,COUNTIF(QCI!$A$13:$A$24,OFFSET(ORÇAMENTO!E241,-1,0))),OFFSET(E241,-1,0))</f>
        <v>10</v>
      </c>
      <c r="F241">
        <f t="shared" ca="1" si="56"/>
        <v>1</v>
      </c>
      <c r="G241">
        <f t="shared" ca="1" si="57"/>
        <v>0</v>
      </c>
      <c r="H241">
        <f t="shared" ca="1" si="58"/>
        <v>0</v>
      </c>
      <c r="I241">
        <f t="shared" ca="1" si="59"/>
        <v>0</v>
      </c>
      <c r="J241">
        <f t="shared" ca="1" si="51"/>
        <v>0</v>
      </c>
      <c r="K241">
        <f ca="1">IF(OR($C241="S",$C241=0),0,MATCH(OFFSET($D241,0,$C241)+IF($C241&lt;&gt;1,1,COUNTIF(QCI!$A$13:$A$24,ORÇAMENTO!E241)),OFFSET($D241,1,$C241,ROW($C$244)-ROW($C241)),0))</f>
        <v>0</v>
      </c>
      <c r="L241" s="114" t="str">
        <f t="shared" ca="1" si="60"/>
        <v/>
      </c>
      <c r="M241" s="115" t="s">
        <v>705</v>
      </c>
      <c r="N241" s="116" t="str">
        <f t="shared" ca="1" si="61"/>
        <v>Serviço</v>
      </c>
      <c r="O241" s="117" t="str">
        <f t="shared" ca="1" si="62"/>
        <v>-</v>
      </c>
      <c r="P241" s="118" t="s">
        <v>750</v>
      </c>
      <c r="Q241" s="119" t="s">
        <v>1170</v>
      </c>
      <c r="R241" s="120" t="str" cm="1">
        <f t="array" aca="1" ref="R241" ca="1">IF($C241="S",REFERENCIA.Descricao,"(digite a descrição aqui)")</f>
        <v>(Código não identificado nas referências)</v>
      </c>
      <c r="S241" s="121" t="str" cm="1">
        <f t="array" aca="1" ref="S241" ca="1">REFERENCIA.Unidade</f>
        <v>-</v>
      </c>
      <c r="T241" s="122">
        <f ca="1">OFFSET(CÁLCULO!H$15,ROW($T241)-ROW(T$15),0)</f>
        <v>336.00000000000011</v>
      </c>
      <c r="U241" s="123">
        <f t="shared" ca="1" si="63"/>
        <v>0</v>
      </c>
      <c r="V241" s="124" t="s">
        <v>663</v>
      </c>
      <c r="W241" s="122" cm="1">
        <f t="array" aca="1" ref="W241" ca="1">IF($C241="S",ROUND(IF(TIPOORCAMENTO="Proposto",ORÇAMENTO.CustoUnitario*(1+$AH241),ORÇAMENTO.PrecoUnitarioLicitado),15-13*$AF$10),0)</f>
        <v>0</v>
      </c>
      <c r="X241" s="125" cm="1">
        <f t="array" aca="1" ref="X241" ca="1">IF($C241="S",IF(OR(Import.TipoArredondamento&lt;&gt;"TransfereGOV",ACOMPANHAMENTO="BM"),VTOTAL1,SUM(OFFSET(CÁLCULO!$AQ$15,ROW($X241)-ROW($X$15),1):OFFSET(CÁLCULO!$BR$15,ROW($X241)-ROW($X$15),-1))),IF($C241=0,0,ROUND(SomaAgrup,15-13*$AF$11)))</f>
        <v>0</v>
      </c>
      <c r="Y241" s="126" t="s">
        <v>751</v>
      </c>
      <c r="Z241" t="str">
        <f t="shared" ca="1" si="64"/>
        <v/>
      </c>
      <c r="AA241" s="127" cm="1">
        <f t="array" aca="1" ref="AA241" ca="1">IF($C241="S",IF($Z241="CP",$X241,IF($Z241="RA",(($X241)*QCI!$AA$3),0)),SomaAgrup)</f>
        <v>0</v>
      </c>
      <c r="AB241" s="128" cm="1">
        <f t="array" aca="1" ref="AB241" ca="1">IF($C241="S",IF($Z241="OU",ROUND($X241,2),0),SomaAgrup)</f>
        <v>0</v>
      </c>
      <c r="AC241" s="565" t="str" cm="1">
        <f t="array" aca="1" ref="AC241" ca="1">IF($N241=""," ",
IF(AND($C241&lt;&gt;"S",OR($R241="",$R241="(digite a descrição aqui)")),"DESCRIÇÃO",
IF(AND($C241="S",OR($Q241&lt;&gt;"",$T241&gt;0,$U241&gt;0),$P241=""),"FONTE",
IF(AND($C241="S",$P241&lt;&gt;"",OR($T241&gt;0,$U241&gt;0),$Q241=""),"CÓDIGO",
IF(AND($C241="S",$P241&lt;&gt;"",$Q241&lt;&gt;"",$R241="(Código não identificado nas referências)"),"CÓDIGO N/ID",
IF(AND($C241="S",OR($R241="",$R241="(digite a descrição aqui)"),OR($Q241&lt;&gt;"",$T241&gt;0,$U241&gt;0)),"DESCRIÇÃO",
IF(AND($C241="S",$P241&lt;&gt;"",$Q241&lt;&gt;"",$S241=""),"UNIDADE",
IF(AND($C241="S",$P241&lt;&gt;"",$Q241&lt;&gt;"",$U241=0),"SEM CUSTO",
IF(AND(TIPOORCAMENTO="Licitado",$AL241=0,$AN241&gt;0),"SEM PREÇO",
IF(AND($C241="S",$P241&lt;&gt;"",$Q241&lt;&gt;"",$U241&gt;0,AND($V241&lt;&gt;"BDI 1",$V241&lt;&gt;"BDI 2",$V241&lt;&gt;"BDI 3")),IF(ISNUMBER($V241),"JUSTIFICAR BDI","BDI"),
IF(OR(AND(import.recurso="OGU",TIPOORCAMENTO="Proposto",LEFT($O$8,5)&lt;&gt;"(N/D:",$AG241&lt;&gt;"",ORÇAMENTO.CustoUnitario&gt;$AG241),AND(TIPOORCAMENTO="LICITADO",ORÇAMENTO.PrecoUnitarioLicitado&gt;$AN241)),"ACIMA REF.",
IF(AND($C241="S",$P241&lt;&gt;"",$Q241&lt;&gt;"",$T241=0,$U241&gt;0),"QUANT.",
IF(AND(Import.TipoArredondamento="TransfereGOV",$L241="F",$C241="S",LEN($Q241)&gt;13),"Código &gt;13",
IF(AND(Import.TipoArredondamento="TransfereGOV",$L241="F",$C241&lt;&gt;"S",LEN($R241)&gt;100),"Descrição &gt;100",
IF(AND(Import.TipoArredondamento="TransfereGOV",$L241="F",$C241="S",LEN($R241)&gt;500),"Descrição &gt;500",
IF(AND(Import.TipoArredondamento="TransfereGOV",$L241="F",$C241="S",LEFT(TRIM(UPPER($P241)),6)&lt;&gt;"SINAPI",ISNA(VLOOKUP(TRIM(UPPER($S241)),ListaTgov.Unidades,1,FALSE))),"Unid. Não Disp",
" "))))))))))))))))</f>
        <v>CÓDIGO N/ID</v>
      </c>
      <c r="AD241" t="str">
        <f ca="1">IF(C241&lt;=CRONO.NivelExibicao,MAX($AD$15:OFFSET(AD241,-1,0))+IF($C241&lt;&gt;1,1,MAX(1,COUNTIF(QCI!$A$13:$A$24,OFFSET($E241,-1,0)))),"")</f>
        <v/>
      </c>
      <c r="AE241" s="7" t="str" cm="1">
        <f t="array" aca="1" ref="AE241" ca="1">IF(AND($C241="S",ORÇAMENTO.CodBarra&lt;&gt;""),IF(ORÇAMENTO.Fonte="",ORÇAMENTO.CodBarra,CONCATENATE(ORÇAMENTO.Fonte," ",ORÇAMENTO.CodBarra)))</f>
        <v>SINAPI 99822</v>
      </c>
      <c r="AF241" s="12" t="str" cm="1">
        <f t="array" aca="1" ref="AF241" ca="1">IF(ISERROR(ORÇAMENTO.BancoRef),"(abra o arquivo 'Referência "&amp;Excel_BuiltIn_Database&amp;".xlsm)",IF(OR($C241&lt;&gt;"S",ORÇAMENTO.CodBarra=""),"(Sem Código)",IF(ISERROR(MATCH($AE241,INDIRECT(ORÇAMENTO.BancoRef),0)),"(Código não identificado nas referências)",MATCH($AE241,INDIRECT(ORÇAMENTO.BancoRef),0))))</f>
        <v>(Código não identificado nas referências)</v>
      </c>
      <c r="AG241" s="428" cm="1">
        <f t="array" aca="1" ref="AG241" ca="1">ROUND(IF(DESONERACAO="sim",REFERENCIA.Desonerado,REFERENCIA.NaoDesonerado),2)</f>
        <v>0</v>
      </c>
      <c r="AH241" s="429">
        <f t="shared" ca="1" si="65"/>
        <v>0.2223</v>
      </c>
      <c r="AJ241" s="431"/>
      <c r="AL241" s="439"/>
      <c r="AM241" s="336">
        <f t="shared" ca="1" si="0"/>
        <v>0</v>
      </c>
      <c r="AN241" s="470" cm="1">
        <f t="array" aca="1" ref="AN241" ca="1">ROUND(ORÇAMENTO.CustoUnitario*(1+$AH241),2)</f>
        <v>0</v>
      </c>
    </row>
    <row r="242" spans="1:40" ht="25.5" x14ac:dyDescent="0.2">
      <c r="A242" t="str">
        <f t="shared" si="52"/>
        <v>S</v>
      </c>
      <c r="B242">
        <f t="shared" ca="1" si="53"/>
        <v>2</v>
      </c>
      <c r="C242" t="str">
        <f t="shared" ca="1" si="54"/>
        <v>S</v>
      </c>
      <c r="D242">
        <f t="shared" ca="1" si="55"/>
        <v>0</v>
      </c>
      <c r="E242">
        <f ca="1">IF($C242=1,OFFSET(E242,-1,0)+MAX(1,COUNTIF(QCI!$A$13:$A$24,OFFSET(ORÇAMENTO!E242,-1,0))),OFFSET(E242,-1,0))</f>
        <v>10</v>
      </c>
      <c r="F242">
        <f t="shared" ca="1" si="56"/>
        <v>1</v>
      </c>
      <c r="G242">
        <f t="shared" ca="1" si="57"/>
        <v>0</v>
      </c>
      <c r="H242">
        <f t="shared" ca="1" si="58"/>
        <v>0</v>
      </c>
      <c r="I242">
        <f t="shared" ca="1" si="59"/>
        <v>0</v>
      </c>
      <c r="J242">
        <f t="shared" ca="1" si="51"/>
        <v>0</v>
      </c>
      <c r="K242">
        <f ca="1">IF(OR($C242="S",$C242=0),0,MATCH(OFFSET($D242,0,$C242)+IF($C242&lt;&gt;1,1,COUNTIF(QCI!$A$13:$A$24,ORÇAMENTO!E242)),OFFSET($D242,1,$C242,ROW($C$244)-ROW($C242)),0))</f>
        <v>0</v>
      </c>
      <c r="L242" s="114" t="str">
        <f t="shared" ca="1" si="60"/>
        <v/>
      </c>
      <c r="M242" s="115" t="s">
        <v>705</v>
      </c>
      <c r="N242" s="116" t="str">
        <f t="shared" ca="1" si="61"/>
        <v>Serviço</v>
      </c>
      <c r="O242" s="117" t="str">
        <f t="shared" ca="1" si="62"/>
        <v>-</v>
      </c>
      <c r="P242" s="118" t="s">
        <v>750</v>
      </c>
      <c r="Q242" s="119" t="s">
        <v>1171</v>
      </c>
      <c r="R242" s="120" t="str" cm="1">
        <f t="array" aca="1" ref="R242" ca="1">IF($C242="S",REFERENCIA.Descricao,"(digite a descrição aqui)")</f>
        <v>(Código não identificado nas referências)</v>
      </c>
      <c r="S242" s="121" t="str" cm="1">
        <f t="array" aca="1" ref="S242" ca="1">REFERENCIA.Unidade</f>
        <v>-</v>
      </c>
      <c r="T242" s="122">
        <f ca="1">OFFSET(CÁLCULO!H$15,ROW($T242)-ROW(T$15),0)</f>
        <v>318.39999999999998</v>
      </c>
      <c r="U242" s="123">
        <f t="shared" ca="1" si="63"/>
        <v>0</v>
      </c>
      <c r="V242" s="124" t="s">
        <v>663</v>
      </c>
      <c r="W242" s="122" cm="1">
        <f t="array" aca="1" ref="W242" ca="1">IF($C242="S",ROUND(IF(TIPOORCAMENTO="Proposto",ORÇAMENTO.CustoUnitario*(1+$AH242),ORÇAMENTO.PrecoUnitarioLicitado),15-13*$AF$10),0)</f>
        <v>0</v>
      </c>
      <c r="X242" s="125" cm="1">
        <f t="array" aca="1" ref="X242" ca="1">IF($C242="S",IF(OR(Import.TipoArredondamento&lt;&gt;"TransfereGOV",ACOMPANHAMENTO="BM"),VTOTAL1,SUM(OFFSET(CÁLCULO!$AQ$15,ROW($X242)-ROW($X$15),1):OFFSET(CÁLCULO!$BR$15,ROW($X242)-ROW($X$15),-1))),IF($C242=0,0,ROUND(SomaAgrup,15-13*$AF$11)))</f>
        <v>0</v>
      </c>
      <c r="Y242" s="126" t="s">
        <v>751</v>
      </c>
      <c r="Z242" t="str">
        <f t="shared" ca="1" si="64"/>
        <v/>
      </c>
      <c r="AA242" s="127" cm="1">
        <f t="array" aca="1" ref="AA242" ca="1">IF($C242="S",IF($Z242="CP",$X242,IF($Z242="RA",(($X242)*QCI!$AA$3),0)),SomaAgrup)</f>
        <v>0</v>
      </c>
      <c r="AB242" s="128" cm="1">
        <f t="array" aca="1" ref="AB242" ca="1">IF($C242="S",IF($Z242="OU",ROUND($X242,2),0),SomaAgrup)</f>
        <v>0</v>
      </c>
      <c r="AC242" s="565" t="str" cm="1">
        <f t="array" aca="1" ref="AC242" ca="1">IF($N242=""," ",
IF(AND($C242&lt;&gt;"S",OR($R242="",$R242="(digite a descrição aqui)")),"DESCRIÇÃO",
IF(AND($C242="S",OR($Q242&lt;&gt;"",$T242&gt;0,$U242&gt;0),$P242=""),"FONTE",
IF(AND($C242="S",$P242&lt;&gt;"",OR($T242&gt;0,$U242&gt;0),$Q242=""),"CÓDIGO",
IF(AND($C242="S",$P242&lt;&gt;"",$Q242&lt;&gt;"",$R242="(Código não identificado nas referências)"),"CÓDIGO N/ID",
IF(AND($C242="S",OR($R242="",$R242="(digite a descrição aqui)"),OR($Q242&lt;&gt;"",$T242&gt;0,$U242&gt;0)),"DESCRIÇÃO",
IF(AND($C242="S",$P242&lt;&gt;"",$Q242&lt;&gt;"",$S242=""),"UNIDADE",
IF(AND($C242="S",$P242&lt;&gt;"",$Q242&lt;&gt;"",$U242=0),"SEM CUSTO",
IF(AND(TIPOORCAMENTO="Licitado",$AL242=0,$AN242&gt;0),"SEM PREÇO",
IF(AND($C242="S",$P242&lt;&gt;"",$Q242&lt;&gt;"",$U242&gt;0,AND($V242&lt;&gt;"BDI 1",$V242&lt;&gt;"BDI 2",$V242&lt;&gt;"BDI 3")),IF(ISNUMBER($V242),"JUSTIFICAR BDI","BDI"),
IF(OR(AND(import.recurso="OGU",TIPOORCAMENTO="Proposto",LEFT($O$8,5)&lt;&gt;"(N/D:",$AG242&lt;&gt;"",ORÇAMENTO.CustoUnitario&gt;$AG242),AND(TIPOORCAMENTO="LICITADO",ORÇAMENTO.PrecoUnitarioLicitado&gt;$AN242)),"ACIMA REF.",
IF(AND($C242="S",$P242&lt;&gt;"",$Q242&lt;&gt;"",$T242=0,$U242&gt;0),"QUANT.",
IF(AND(Import.TipoArredondamento="TransfereGOV",$L242="F",$C242="S",LEN($Q242)&gt;13),"Código &gt;13",
IF(AND(Import.TipoArredondamento="TransfereGOV",$L242="F",$C242&lt;&gt;"S",LEN($R242)&gt;100),"Descrição &gt;100",
IF(AND(Import.TipoArredondamento="TransfereGOV",$L242="F",$C242="S",LEN($R242)&gt;500),"Descrição &gt;500",
IF(AND(Import.TipoArredondamento="TransfereGOV",$L242="F",$C242="S",LEFT(TRIM(UPPER($P242)),6)&lt;&gt;"SINAPI",ISNA(VLOOKUP(TRIM(UPPER($S242)),ListaTgov.Unidades,1,FALSE))),"Unid. Não Disp",
" "))))))))))))))))</f>
        <v>CÓDIGO N/ID</v>
      </c>
      <c r="AD242" t="str">
        <f ca="1">IF(C242&lt;=CRONO.NivelExibicao,MAX($AD$15:OFFSET(AD242,-1,0))+IF($C242&lt;&gt;1,1,MAX(1,COUNTIF(QCI!$A$13:$A$24,OFFSET($E242,-1,0)))),"")</f>
        <v/>
      </c>
      <c r="AE242" s="7" t="str" cm="1">
        <f t="array" aca="1" ref="AE242" ca="1">IF(AND($C242="S",ORÇAMENTO.CodBarra&lt;&gt;""),IF(ORÇAMENTO.Fonte="",ORÇAMENTO.CodBarra,CONCATENATE(ORÇAMENTO.Fonte," ",ORÇAMENTO.CodBarra)))</f>
        <v>SINAPI 99807</v>
      </c>
      <c r="AF242" s="12" t="str" cm="1">
        <f t="array" aca="1" ref="AF242" ca="1">IF(ISERROR(ORÇAMENTO.BancoRef),"(abra o arquivo 'Referência "&amp;Excel_BuiltIn_Database&amp;".xlsm)",IF(OR($C242&lt;&gt;"S",ORÇAMENTO.CodBarra=""),"(Sem Código)",IF(ISERROR(MATCH($AE242,INDIRECT(ORÇAMENTO.BancoRef),0)),"(Código não identificado nas referências)",MATCH($AE242,INDIRECT(ORÇAMENTO.BancoRef),0))))</f>
        <v>(Código não identificado nas referências)</v>
      </c>
      <c r="AG242" s="428" cm="1">
        <f t="array" aca="1" ref="AG242" ca="1">ROUND(IF(DESONERACAO="sim",REFERENCIA.Desonerado,REFERENCIA.NaoDesonerado),2)</f>
        <v>0</v>
      </c>
      <c r="AH242" s="429">
        <f t="shared" ca="1" si="65"/>
        <v>0.2223</v>
      </c>
      <c r="AJ242" s="431"/>
      <c r="AL242" s="439"/>
      <c r="AM242" s="336">
        <f t="shared" ca="1" si="0"/>
        <v>0</v>
      </c>
      <c r="AN242" s="470" cm="1">
        <f t="array" aca="1" ref="AN242" ca="1">ROUND(ORÇAMENTO.CustoUnitario*(1+$AH242),2)</f>
        <v>0</v>
      </c>
    </row>
    <row r="243" spans="1:40" ht="25.5" x14ac:dyDescent="0.2">
      <c r="A243" t="str">
        <f t="shared" si="52"/>
        <v>S</v>
      </c>
      <c r="B243">
        <f t="shared" ca="1" si="53"/>
        <v>2</v>
      </c>
      <c r="C243" t="str">
        <f t="shared" ca="1" si="54"/>
        <v>S</v>
      </c>
      <c r="D243">
        <f t="shared" ca="1" si="55"/>
        <v>0</v>
      </c>
      <c r="E243">
        <f ca="1">IF($C243=1,OFFSET(E243,-1,0)+MAX(1,COUNTIF(QCI!$A$13:$A$24,OFFSET(ORÇAMENTO!E243,-1,0))),OFFSET(E243,-1,0))</f>
        <v>10</v>
      </c>
      <c r="F243">
        <f t="shared" ca="1" si="56"/>
        <v>1</v>
      </c>
      <c r="G243">
        <f t="shared" ca="1" si="57"/>
        <v>0</v>
      </c>
      <c r="H243">
        <f t="shared" ca="1" si="58"/>
        <v>0</v>
      </c>
      <c r="I243">
        <f t="shared" ca="1" si="59"/>
        <v>0</v>
      </c>
      <c r="J243">
        <f t="shared" ca="1" si="51"/>
        <v>0</v>
      </c>
      <c r="K243">
        <f ca="1">IF(OR($C243="S",$C243=0),0,MATCH(OFFSET($D243,0,$C243)+IF($C243&lt;&gt;1,1,COUNTIF(QCI!$A$13:$A$24,ORÇAMENTO!E243)),OFFSET($D243,1,$C243,ROW($C$244)-ROW($C243)),0))</f>
        <v>0</v>
      </c>
      <c r="L243" s="114" t="str">
        <f t="shared" ca="1" si="60"/>
        <v/>
      </c>
      <c r="M243" s="115" t="s">
        <v>705</v>
      </c>
      <c r="N243" s="116" t="str">
        <f t="shared" ca="1" si="61"/>
        <v>Serviço</v>
      </c>
      <c r="O243" s="117" t="str">
        <f t="shared" ca="1" si="62"/>
        <v>-</v>
      </c>
      <c r="P243" s="118" t="s">
        <v>750</v>
      </c>
      <c r="Q243" s="119" t="s">
        <v>1172</v>
      </c>
      <c r="R243" s="120" t="str" cm="1">
        <f t="array" aca="1" ref="R243" ca="1">IF($C243="S",REFERENCIA.Descricao,"(digite a descrição aqui)")</f>
        <v>(Código não identificado nas referências)</v>
      </c>
      <c r="S243" s="121" t="str" cm="1">
        <f t="array" aca="1" ref="S243" ca="1">REFERENCIA.Unidade</f>
        <v>-</v>
      </c>
      <c r="T243" s="122">
        <f ca="1">OFFSET(CÁLCULO!H$15,ROW($T243)-ROW(T$15),0)</f>
        <v>40</v>
      </c>
      <c r="U243" s="123">
        <f t="shared" ca="1" si="63"/>
        <v>0</v>
      </c>
      <c r="V243" s="124" t="s">
        <v>663</v>
      </c>
      <c r="W243" s="122" cm="1">
        <f t="array" aca="1" ref="W243" ca="1">IF($C243="S",ROUND(IF(TIPOORCAMENTO="Proposto",ORÇAMENTO.CustoUnitario*(1+$AH243),ORÇAMENTO.PrecoUnitarioLicitado),15-13*$AF$10),0)</f>
        <v>0</v>
      </c>
      <c r="X243" s="125" cm="1">
        <f t="array" aca="1" ref="X243" ca="1">IF($C243="S",IF(OR(Import.TipoArredondamento&lt;&gt;"TransfereGOV",ACOMPANHAMENTO="BM"),VTOTAL1,SUM(OFFSET(CÁLCULO!$AQ$15,ROW($X243)-ROW($X$15),1):OFFSET(CÁLCULO!$BR$15,ROW($X243)-ROW($X$15),-1))),IF($C243=0,0,ROUND(SomaAgrup,15-13*$AF$11)))</f>
        <v>0</v>
      </c>
      <c r="Y243" s="126" t="s">
        <v>751</v>
      </c>
      <c r="Z243" t="str">
        <f t="shared" ca="1" si="64"/>
        <v/>
      </c>
      <c r="AA243" s="127" cm="1">
        <f t="array" aca="1" ref="AA243" ca="1">IF($C243="S",IF($Z243="CP",$X243,IF($Z243="RA",(($X243)*QCI!$AA$3),0)),SomaAgrup)</f>
        <v>0</v>
      </c>
      <c r="AB243" s="128" cm="1">
        <f t="array" aca="1" ref="AB243" ca="1">IF($C243="S",IF($Z243="OU",ROUND($X243,2),0),SomaAgrup)</f>
        <v>0</v>
      </c>
      <c r="AC243" s="565" t="str" cm="1">
        <f t="array" aca="1" ref="AC243" ca="1">IF($N243=""," ",
IF(AND($C243&lt;&gt;"S",OR($R243="",$R243="(digite a descrição aqui)")),"DESCRIÇÃO",
IF(AND($C243="S",OR($Q243&lt;&gt;"",$T243&gt;0,$U243&gt;0),$P243=""),"FONTE",
IF(AND($C243="S",$P243&lt;&gt;"",OR($T243&gt;0,$U243&gt;0),$Q243=""),"CÓDIGO",
IF(AND($C243="S",$P243&lt;&gt;"",$Q243&lt;&gt;"",$R243="(Código não identificado nas referências)"),"CÓDIGO N/ID",
IF(AND($C243="S",OR($R243="",$R243="(digite a descrição aqui)"),OR($Q243&lt;&gt;"",$T243&gt;0,$U243&gt;0)),"DESCRIÇÃO",
IF(AND($C243="S",$P243&lt;&gt;"",$Q243&lt;&gt;"",$S243=""),"UNIDADE",
IF(AND($C243="S",$P243&lt;&gt;"",$Q243&lt;&gt;"",$U243=0),"SEM CUSTO",
IF(AND(TIPOORCAMENTO="Licitado",$AL243=0,$AN243&gt;0),"SEM PREÇO",
IF(AND($C243="S",$P243&lt;&gt;"",$Q243&lt;&gt;"",$U243&gt;0,AND($V243&lt;&gt;"BDI 1",$V243&lt;&gt;"BDI 2",$V243&lt;&gt;"BDI 3")),IF(ISNUMBER($V243),"JUSTIFICAR BDI","BDI"),
IF(OR(AND(import.recurso="OGU",TIPOORCAMENTO="Proposto",LEFT($O$8,5)&lt;&gt;"(N/D:",$AG243&lt;&gt;"",ORÇAMENTO.CustoUnitario&gt;$AG243),AND(TIPOORCAMENTO="LICITADO",ORÇAMENTO.PrecoUnitarioLicitado&gt;$AN243)),"ACIMA REF.",
IF(AND($C243="S",$P243&lt;&gt;"",$Q243&lt;&gt;"",$T243=0,$U243&gt;0),"QUANT.",
IF(AND(Import.TipoArredondamento="TransfereGOV",$L243="F",$C243="S",LEN($Q243)&gt;13),"Código &gt;13",
IF(AND(Import.TipoArredondamento="TransfereGOV",$L243="F",$C243&lt;&gt;"S",LEN($R243)&gt;100),"Descrição &gt;100",
IF(AND(Import.TipoArredondamento="TransfereGOV",$L243="F",$C243="S",LEN($R243)&gt;500),"Descrição &gt;500",
IF(AND(Import.TipoArredondamento="TransfereGOV",$L243="F",$C243="S",LEFT(TRIM(UPPER($P243)),6)&lt;&gt;"SINAPI",ISNA(VLOOKUP(TRIM(UPPER($S243)),ListaTgov.Unidades,1,FALSE))),"Unid. Não Disp",
" "))))))))))))))))</f>
        <v>CÓDIGO N/ID</v>
      </c>
      <c r="AD243" t="str">
        <f ca="1">IF(C243&lt;=CRONO.NivelExibicao,MAX($AD$15:OFFSET(AD243,-1,0))+IF($C243&lt;&gt;1,1,MAX(1,COUNTIF(QCI!$A$13:$A$24,OFFSET($E243,-1,0)))),"")</f>
        <v/>
      </c>
      <c r="AE243" s="7" t="str" cm="1">
        <f t="array" aca="1" ref="AE243" ca="1">IF(AND($C243="S",ORÇAMENTO.CodBarra&lt;&gt;""),IF(ORÇAMENTO.Fonte="",ORÇAMENTO.CodBarra,CONCATENATE(ORÇAMENTO.Fonte," ",ORÇAMENTO.CodBarra)))</f>
        <v>SINAPI 99816</v>
      </c>
      <c r="AF243" s="12" t="str" cm="1">
        <f t="array" aca="1" ref="AF243" ca="1">IF(ISERROR(ORÇAMENTO.BancoRef),"(abra o arquivo 'Referência "&amp;Excel_BuiltIn_Database&amp;".xlsm)",IF(OR($C243&lt;&gt;"S",ORÇAMENTO.CodBarra=""),"(Sem Código)",IF(ISERROR(MATCH($AE243,INDIRECT(ORÇAMENTO.BancoRef),0)),"(Código não identificado nas referências)",MATCH($AE243,INDIRECT(ORÇAMENTO.BancoRef),0))))</f>
        <v>(Código não identificado nas referências)</v>
      </c>
      <c r="AG243" s="428" cm="1">
        <f t="array" aca="1" ref="AG243" ca="1">ROUND(IF(DESONERACAO="sim",REFERENCIA.Desonerado,REFERENCIA.NaoDesonerado),2)</f>
        <v>0</v>
      </c>
      <c r="AH243" s="429">
        <f t="shared" ca="1" si="65"/>
        <v>0.2223</v>
      </c>
      <c r="AJ243" s="431"/>
      <c r="AL243" s="439"/>
      <c r="AM243" s="336">
        <f t="shared" ca="1" si="0"/>
        <v>0</v>
      </c>
      <c r="AN243" s="470" cm="1">
        <f t="array" aca="1" ref="AN243" ca="1">ROUND(ORÇAMENTO.CustoUnitario*(1+$AH243),2)</f>
        <v>0</v>
      </c>
    </row>
    <row r="244" spans="1:40" ht="5.0999999999999996" customHeight="1" x14ac:dyDescent="0.2">
      <c r="A244">
        <v>-1</v>
      </c>
      <c r="C244">
        <v>-1</v>
      </c>
      <c r="E244">
        <v>0</v>
      </c>
      <c r="F244">
        <v>0</v>
      </c>
      <c r="G244">
        <v>0</v>
      </c>
      <c r="H244">
        <v>0</v>
      </c>
      <c r="I244">
        <v>0</v>
      </c>
      <c r="L244" s="114" t="s">
        <v>536</v>
      </c>
      <c r="M244" s="616"/>
      <c r="N244" s="424"/>
      <c r="O244" s="616"/>
      <c r="P244" s="617"/>
      <c r="Q244" s="617"/>
      <c r="R244" s="617"/>
      <c r="S244" s="617"/>
      <c r="T244" s="617"/>
      <c r="U244" s="617"/>
      <c r="V244" s="617"/>
      <c r="W244" s="617"/>
      <c r="X244" s="424"/>
      <c r="Y244" s="424"/>
      <c r="AC244" s="565" t="str" cm="1">
        <f t="array" ref="AC244">IF($N244=""," ",
IF(AND($C244&lt;&gt;"S",OR($R244="",$R244="(digite a descrição aqui)")),"DESCRIÇÃO",
IF(AND($C244="S",OR($Q244&lt;&gt;"",$T244&gt;0,$U244&gt;0),$P244=""),"FONTE",
IF(AND($C244="S",$P244&lt;&gt;"",OR($T244&gt;0,$U244&gt;0),$Q244=""),"CÓDIGO",
IF(AND($C244="S",$P244&lt;&gt;"",$Q244&lt;&gt;"",$R244="(Código não identificado nas referências)"),"CÓDIGO N/ID",
IF(AND($C244="S",OR($R244="",$R244="(digite a descrição aqui)"),OR($Q244&lt;&gt;"",$T244&gt;0,$U244&gt;0)),"DESCRIÇÃO",
IF(AND($C244="S",$P244&lt;&gt;"",$Q244&lt;&gt;"",$S244=""),"UNIDADE",
IF(AND($C244="S",$P244&lt;&gt;"",$Q244&lt;&gt;"",$U244=0),"SEM CUSTO",
IF(AND(TIPOORCAMENTO="Licitado",$AL244=0,$AN244&gt;0),"SEM PREÇO",
IF(AND($C244="S",$P244&lt;&gt;"",$Q244&lt;&gt;"",$U244&gt;0,AND($V244&lt;&gt;"BDI 1",$V244&lt;&gt;"BDI 2",$V244&lt;&gt;"BDI 3")),IF(ISNUMBER($V244),"JUSTIFICAR BDI","BDI"),
IF(OR(AND(import.recurso="OGU",TIPOORCAMENTO="Proposto",LEFT($O$8,5)&lt;&gt;"(N/D:",$AG244&lt;&gt;"",ORÇAMENTO.CustoUnitario&gt;$AG244),AND(TIPOORCAMENTO="LICITADO",ORÇAMENTO.PrecoUnitarioLicitado&gt;$AN244)),"ACIMA REF.",
IF(AND($C244="S",$P244&lt;&gt;"",$Q244&lt;&gt;"",$T244=0,$U244&gt;0),"QUANT.",
IF(AND(Import.TipoArredondamento="TransfereGOV",$L244="F",$C244="S",LEN($Q244)&gt;13),"Código &gt;13",
IF(AND(Import.TipoArredondamento="TransfereGOV",$L244="F",$C244&lt;&gt;"S",LEN($R244)&gt;100),"Descrição &gt;100",
IF(AND(Import.TipoArredondamento="TransfereGOV",$L244="F",$C244="S",LEN($R244)&gt;500),"Descrição &gt;500",
IF(AND(Import.TipoArredondamento="TransfereGOV",$L244="F",$C244="S",LEFT(TRIM(UPPER($P244)),6)&lt;&gt;"SINAPI",ISNA(VLOOKUP(TRIM(UPPER($S244)),ListaTgov.Unidades,1,FALSE))),"Unid. Não Disp",
" "))))))))))))))))</f>
        <v xml:space="preserve"> </v>
      </c>
      <c r="AF244" s="12"/>
      <c r="AG244" s="618"/>
      <c r="AH244" s="419"/>
      <c r="AJ244" s="425"/>
      <c r="AL244" s="618"/>
      <c r="AM244" s="619"/>
      <c r="AN244" s="419"/>
    </row>
    <row r="245" spans="1:40" x14ac:dyDescent="0.2">
      <c r="AF245" s="12"/>
    </row>
    <row r="246" spans="1:40" x14ac:dyDescent="0.2">
      <c r="AF246" s="12"/>
    </row>
    <row r="247" spans="1:40" ht="14.25" x14ac:dyDescent="0.2">
      <c r="O247" s="134" t="s">
        <v>753</v>
      </c>
      <c r="Q247" s="714" t="s">
        <v>754</v>
      </c>
      <c r="R247" s="714"/>
      <c r="S247" s="714"/>
      <c r="T247" s="714"/>
      <c r="U247" s="714"/>
      <c r="V247" s="714"/>
      <c r="W247" s="714"/>
      <c r="X247" s="714"/>
      <c r="AF247" s="12"/>
    </row>
    <row r="248" spans="1:40" x14ac:dyDescent="0.2">
      <c r="AF248" s="12"/>
    </row>
    <row r="249" spans="1:40" ht="14.25" x14ac:dyDescent="0.2">
      <c r="O249" s="135" t="s">
        <v>689</v>
      </c>
      <c r="X249" s="4"/>
      <c r="AF249" s="12"/>
    </row>
    <row r="250" spans="1:40" ht="12.75" customHeight="1" x14ac:dyDescent="0.2">
      <c r="O250" s="715"/>
      <c r="P250" s="715"/>
      <c r="Q250" s="715"/>
      <c r="R250" s="715"/>
      <c r="S250" s="715"/>
      <c r="T250" s="715"/>
      <c r="U250" s="715"/>
      <c r="V250" s="715"/>
      <c r="W250" s="715"/>
      <c r="X250" s="715"/>
      <c r="AF250" s="12"/>
    </row>
    <row r="251" spans="1:40" x14ac:dyDescent="0.2">
      <c r="O251" s="715"/>
      <c r="P251" s="715"/>
      <c r="Q251" s="715"/>
      <c r="R251" s="715"/>
      <c r="S251" s="715"/>
      <c r="T251" s="715"/>
      <c r="U251" s="715"/>
      <c r="V251" s="715"/>
      <c r="W251" s="715"/>
      <c r="X251" s="715"/>
      <c r="AF251" s="12"/>
    </row>
    <row r="252" spans="1:40" x14ac:dyDescent="0.2">
      <c r="O252" s="715"/>
      <c r="P252" s="715"/>
      <c r="Q252" s="715"/>
      <c r="R252" s="715"/>
      <c r="S252" s="715"/>
      <c r="T252" s="715"/>
      <c r="U252" s="715"/>
      <c r="V252" s="715"/>
      <c r="W252" s="715"/>
      <c r="X252" s="715"/>
      <c r="AF252" s="12"/>
    </row>
    <row r="253" spans="1:40" ht="14.25" x14ac:dyDescent="0.2">
      <c r="O253" s="443"/>
      <c r="P253" s="443"/>
      <c r="Q253" s="443"/>
      <c r="R253" s="443"/>
      <c r="S253" s="443"/>
      <c r="T253" s="443"/>
      <c r="U253" s="443"/>
      <c r="V253" s="443"/>
      <c r="W253" s="443"/>
      <c r="X253" s="443"/>
      <c r="Y253" s="443"/>
      <c r="Z253" s="136"/>
      <c r="AA253" s="136"/>
      <c r="AB253" s="136"/>
      <c r="AF253" s="12"/>
    </row>
    <row r="254" spans="1:40" ht="15" x14ac:dyDescent="0.25">
      <c r="O254" s="716"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254" s="716"/>
      <c r="Q254" s="716"/>
      <c r="R254" s="716"/>
      <c r="S254" s="716"/>
      <c r="T254" s="716"/>
      <c r="U254" s="716"/>
      <c r="V254" s="716"/>
      <c r="W254" s="716"/>
      <c r="X254" s="716"/>
      <c r="Y254" s="137"/>
      <c r="Z254" s="137"/>
      <c r="AA254" s="137"/>
      <c r="AB254" s="137"/>
      <c r="AF254" s="12"/>
    </row>
    <row r="255" spans="1:40" ht="15" customHeight="1" x14ac:dyDescent="0.25">
      <c r="O255" s="718" t="s">
        <v>755</v>
      </c>
      <c r="P255" s="718"/>
      <c r="Q255" s="718"/>
      <c r="R255" s="718"/>
      <c r="S255" s="718"/>
      <c r="T255" s="718"/>
      <c r="U255" s="718"/>
      <c r="V255" s="718"/>
      <c r="W255" s="718"/>
      <c r="X255" s="718"/>
      <c r="Y255" s="137"/>
      <c r="Z255" s="137"/>
      <c r="AA255" s="137"/>
      <c r="AB255" s="137"/>
      <c r="AF255" s="12"/>
    </row>
    <row r="256" spans="1:40" x14ac:dyDescent="0.2">
      <c r="AF256" s="12"/>
    </row>
    <row r="257" spans="15:32" ht="30" customHeight="1" x14ac:dyDescent="0.2">
      <c r="O257" s="717" t="str">
        <f>Import.Município</f>
        <v>Pedro Régis-PB</v>
      </c>
      <c r="P257" s="717"/>
      <c r="Q257" s="717"/>
      <c r="S257" s="460"/>
      <c r="T257" s="460"/>
      <c r="U257" s="460"/>
      <c r="V257" s="460"/>
      <c r="W257" s="417"/>
      <c r="AF257" s="12"/>
    </row>
    <row r="258" spans="15:32" x14ac:dyDescent="0.2">
      <c r="O258" s="9" t="s">
        <v>693</v>
      </c>
      <c r="S258" s="181" t="s">
        <v>696</v>
      </c>
      <c r="T258" s="181"/>
      <c r="U258" s="181"/>
      <c r="V258" s="181"/>
      <c r="AF258" s="12"/>
    </row>
    <row r="259" spans="15:32" x14ac:dyDescent="0.2">
      <c r="S259" s="77" t="s">
        <v>240</v>
      </c>
      <c r="T259" s="78" t="str">
        <f t="array" ref="T259:T261">Import.RespOrçamento</f>
        <v>Thales Mamede Galvão de Oliveira</v>
      </c>
      <c r="V259" s="79"/>
      <c r="AF259" s="12"/>
    </row>
    <row r="260" spans="15:32" x14ac:dyDescent="0.2">
      <c r="O260" s="711">
        <f>DADOS!$C$25</f>
        <v>45981</v>
      </c>
      <c r="P260" s="711"/>
      <c r="Q260" s="711"/>
      <c r="S260" s="77" t="s">
        <v>243</v>
      </c>
      <c r="T260" s="78" t="str">
        <v>162.151.440-4</v>
      </c>
      <c r="U260" s="79"/>
      <c r="V260" s="79"/>
      <c r="AF260" s="12"/>
    </row>
    <row r="261" spans="15:32" x14ac:dyDescent="0.2">
      <c r="O261" s="140" t="s">
        <v>694</v>
      </c>
      <c r="P261" s="1"/>
      <c r="Q261" s="1"/>
      <c r="S261" s="77" t="s">
        <v>246</v>
      </c>
      <c r="T261" s="78" t="str">
        <v>-</v>
      </c>
      <c r="U261" s="79"/>
      <c r="V261" s="79"/>
      <c r="AF261" s="12"/>
    </row>
    <row r="262" spans="15:32" x14ac:dyDescent="0.2">
      <c r="AF262" s="12"/>
    </row>
    <row r="263" spans="15:32" x14ac:dyDescent="0.2">
      <c r="AF263" s="12"/>
    </row>
    <row r="264" spans="15:32" x14ac:dyDescent="0.2">
      <c r="AF264" s="12"/>
    </row>
    <row r="265" spans="15:32" x14ac:dyDescent="0.2">
      <c r="AF265" s="12"/>
    </row>
    <row r="266" spans="15:32" x14ac:dyDescent="0.2">
      <c r="AF266" s="12"/>
    </row>
    <row r="267" spans="15:32" x14ac:dyDescent="0.2">
      <c r="AF267" s="12"/>
    </row>
    <row r="268" spans="15:32" x14ac:dyDescent="0.2">
      <c r="AF268" s="12"/>
    </row>
    <row r="269" spans="15:32" x14ac:dyDescent="0.2">
      <c r="AF269" s="12"/>
    </row>
    <row r="270" spans="15:32" x14ac:dyDescent="0.2">
      <c r="AF270" s="12"/>
    </row>
    <row r="271" spans="15:32" x14ac:dyDescent="0.2">
      <c r="AF271" s="12"/>
    </row>
    <row r="272" spans="15: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row r="65569" spans="32:32" x14ac:dyDescent="0.2">
      <c r="AF65569" s="12"/>
    </row>
    <row r="65570" spans="32:32" x14ac:dyDescent="0.2">
      <c r="AF65570" s="12"/>
    </row>
    <row r="65571" spans="32:32" x14ac:dyDescent="0.2">
      <c r="AF65571" s="12"/>
    </row>
    <row r="65572" spans="32:32" x14ac:dyDescent="0.2">
      <c r="AF65572" s="12"/>
    </row>
    <row r="65573" spans="32:32" x14ac:dyDescent="0.2">
      <c r="AF65573" s="12"/>
    </row>
    <row r="65574" spans="32:32" x14ac:dyDescent="0.2">
      <c r="AF65574" s="12"/>
    </row>
    <row r="65575" spans="32:32" x14ac:dyDescent="0.2">
      <c r="AF65575" s="12"/>
    </row>
    <row r="65576" spans="32:32" x14ac:dyDescent="0.2">
      <c r="AF65576" s="12"/>
    </row>
    <row r="65577" spans="32:32" x14ac:dyDescent="0.2">
      <c r="AF65577" s="12"/>
    </row>
    <row r="65578" spans="32:32" x14ac:dyDescent="0.2">
      <c r="AF65578" s="12"/>
    </row>
    <row r="65579" spans="32:32" x14ac:dyDescent="0.2">
      <c r="AF65579" s="12"/>
    </row>
    <row r="65580" spans="32:32" x14ac:dyDescent="0.2">
      <c r="AF65580" s="12"/>
    </row>
    <row r="65581" spans="32:32" x14ac:dyDescent="0.2">
      <c r="AF65581" s="12"/>
    </row>
    <row r="65582" spans="32:32" x14ac:dyDescent="0.2">
      <c r="AF65582" s="12"/>
    </row>
    <row r="65583" spans="32:32" x14ac:dyDescent="0.2">
      <c r="AF65583" s="12"/>
    </row>
    <row r="65584" spans="32:32" x14ac:dyDescent="0.2">
      <c r="AF65584" s="12"/>
    </row>
    <row r="65585" spans="32:32" x14ac:dyDescent="0.2">
      <c r="AF65585" s="12"/>
    </row>
    <row r="65586" spans="32:32" x14ac:dyDescent="0.2">
      <c r="AF65586" s="12"/>
    </row>
    <row r="65587" spans="32:32" x14ac:dyDescent="0.2">
      <c r="AF65587" s="12"/>
    </row>
    <row r="65588" spans="32:32" x14ac:dyDescent="0.2">
      <c r="AF65588" s="12"/>
    </row>
    <row r="65589" spans="32:32" x14ac:dyDescent="0.2">
      <c r="AF65589" s="12"/>
    </row>
    <row r="65590" spans="32:32" x14ac:dyDescent="0.2">
      <c r="AF65590" s="12"/>
    </row>
    <row r="65591" spans="32:32" x14ac:dyDescent="0.2">
      <c r="AF65591" s="12"/>
    </row>
    <row r="65592" spans="32:32" x14ac:dyDescent="0.2">
      <c r="AF65592" s="12"/>
    </row>
    <row r="65593" spans="32:32" x14ac:dyDescent="0.2">
      <c r="AF65593" s="12"/>
    </row>
    <row r="65594" spans="32:32" x14ac:dyDescent="0.2">
      <c r="AF65594" s="12"/>
    </row>
    <row r="65595" spans="32:32" x14ac:dyDescent="0.2">
      <c r="AF65595" s="12"/>
    </row>
    <row r="65596" spans="32:32" x14ac:dyDescent="0.2">
      <c r="AF65596" s="12"/>
    </row>
    <row r="65597" spans="32:32" x14ac:dyDescent="0.2">
      <c r="AF65597" s="12"/>
    </row>
    <row r="65598" spans="32:32" x14ac:dyDescent="0.2">
      <c r="AF65598" s="12"/>
    </row>
    <row r="65599" spans="32:32" x14ac:dyDescent="0.2">
      <c r="AF65599" s="12"/>
    </row>
    <row r="65600" spans="32:32" x14ac:dyDescent="0.2">
      <c r="AF65600" s="12"/>
    </row>
    <row r="65601" spans="32:32" x14ac:dyDescent="0.2">
      <c r="AF65601" s="12"/>
    </row>
    <row r="65602" spans="32:32" x14ac:dyDescent="0.2">
      <c r="AF65602" s="12"/>
    </row>
    <row r="65603" spans="32:32" x14ac:dyDescent="0.2">
      <c r="AF65603" s="12"/>
    </row>
    <row r="65604" spans="32:32" x14ac:dyDescent="0.2">
      <c r="AF65604" s="12"/>
    </row>
    <row r="65605" spans="32:32" x14ac:dyDescent="0.2">
      <c r="AF65605" s="12"/>
    </row>
    <row r="65606" spans="32:32" x14ac:dyDescent="0.2">
      <c r="AF65606" s="12"/>
    </row>
    <row r="65607" spans="32:32" x14ac:dyDescent="0.2">
      <c r="AF65607" s="12"/>
    </row>
    <row r="65608" spans="32:32" x14ac:dyDescent="0.2">
      <c r="AF65608" s="12"/>
    </row>
    <row r="65609" spans="32:32" x14ac:dyDescent="0.2">
      <c r="AF65609" s="12"/>
    </row>
    <row r="65610" spans="32:32" x14ac:dyDescent="0.2">
      <c r="AF65610" s="12"/>
    </row>
    <row r="65611" spans="32:32" x14ac:dyDescent="0.2">
      <c r="AF65611" s="12"/>
    </row>
    <row r="65612" spans="32:32" x14ac:dyDescent="0.2">
      <c r="AF65612" s="12"/>
    </row>
    <row r="65613" spans="32:32" x14ac:dyDescent="0.2">
      <c r="AF65613" s="12"/>
    </row>
    <row r="65614" spans="32:32" x14ac:dyDescent="0.2">
      <c r="AF65614" s="12"/>
    </row>
    <row r="65615" spans="32:32" x14ac:dyDescent="0.2">
      <c r="AF65615" s="12"/>
    </row>
    <row r="65616" spans="32:32" x14ac:dyDescent="0.2">
      <c r="AF65616" s="12"/>
    </row>
    <row r="65617" spans="32:32" x14ac:dyDescent="0.2">
      <c r="AF65617" s="12"/>
    </row>
    <row r="65618" spans="32:32" x14ac:dyDescent="0.2">
      <c r="AF65618" s="12"/>
    </row>
    <row r="65619" spans="32:32" x14ac:dyDescent="0.2">
      <c r="AF65619" s="12"/>
    </row>
    <row r="65620" spans="32:32" x14ac:dyDescent="0.2">
      <c r="AF65620" s="12"/>
    </row>
    <row r="65621" spans="32:32" x14ac:dyDescent="0.2">
      <c r="AF65621" s="12"/>
    </row>
    <row r="65622" spans="32:32" x14ac:dyDescent="0.2">
      <c r="AF65622" s="12"/>
    </row>
    <row r="65623" spans="32:32" x14ac:dyDescent="0.2">
      <c r="AF65623" s="12"/>
    </row>
    <row r="65624" spans="32:32" x14ac:dyDescent="0.2">
      <c r="AF65624" s="12"/>
    </row>
    <row r="65625" spans="32:32" x14ac:dyDescent="0.2">
      <c r="AF65625" s="12"/>
    </row>
    <row r="65626" spans="32:32" x14ac:dyDescent="0.2">
      <c r="AF65626" s="12"/>
    </row>
    <row r="65627" spans="32:32" x14ac:dyDescent="0.2">
      <c r="AF65627" s="12"/>
    </row>
    <row r="65628" spans="32:32" x14ac:dyDescent="0.2">
      <c r="AF65628" s="12"/>
    </row>
    <row r="65629" spans="32:32" x14ac:dyDescent="0.2">
      <c r="AF65629" s="12"/>
    </row>
    <row r="65630" spans="32:32" x14ac:dyDescent="0.2">
      <c r="AF65630" s="12"/>
    </row>
    <row r="65631" spans="32:32" x14ac:dyDescent="0.2">
      <c r="AF65631" s="12"/>
    </row>
    <row r="65632" spans="32:32" x14ac:dyDescent="0.2">
      <c r="AF65632" s="12"/>
    </row>
    <row r="65633" spans="32:32" x14ac:dyDescent="0.2">
      <c r="AF65633" s="12"/>
    </row>
    <row r="65634" spans="32:32" x14ac:dyDescent="0.2">
      <c r="AF65634" s="12"/>
    </row>
    <row r="65635" spans="32:32" x14ac:dyDescent="0.2">
      <c r="AF65635" s="12"/>
    </row>
    <row r="65636" spans="32:32" x14ac:dyDescent="0.2">
      <c r="AF65636" s="12"/>
    </row>
    <row r="65637" spans="32:32" x14ac:dyDescent="0.2">
      <c r="AF65637" s="12"/>
    </row>
    <row r="65638" spans="32:32" x14ac:dyDescent="0.2">
      <c r="AF65638" s="12"/>
    </row>
    <row r="65639" spans="32:32" x14ac:dyDescent="0.2">
      <c r="AF65639" s="12"/>
    </row>
    <row r="65640" spans="32:32" x14ac:dyDescent="0.2">
      <c r="AF65640" s="12"/>
    </row>
    <row r="65641" spans="32:32" x14ac:dyDescent="0.2">
      <c r="AF65641" s="12"/>
    </row>
    <row r="65642" spans="32:32" x14ac:dyDescent="0.2">
      <c r="AF65642" s="12"/>
    </row>
    <row r="65643" spans="32:32" x14ac:dyDescent="0.2">
      <c r="AF65643" s="12"/>
    </row>
    <row r="65644" spans="32:32" x14ac:dyDescent="0.2">
      <c r="AF65644" s="12"/>
    </row>
    <row r="65645" spans="32:32" x14ac:dyDescent="0.2">
      <c r="AF65645" s="12"/>
    </row>
    <row r="65646" spans="32:32" x14ac:dyDescent="0.2">
      <c r="AF65646" s="12"/>
    </row>
    <row r="65647" spans="32:32" x14ac:dyDescent="0.2">
      <c r="AF65647" s="12"/>
    </row>
    <row r="65648" spans="32:32" x14ac:dyDescent="0.2">
      <c r="AF65648" s="12"/>
    </row>
    <row r="65649" spans="32:32" x14ac:dyDescent="0.2">
      <c r="AF65649" s="12"/>
    </row>
    <row r="65650" spans="32:32" x14ac:dyDescent="0.2">
      <c r="AF65650" s="12"/>
    </row>
    <row r="65651" spans="32:32" x14ac:dyDescent="0.2">
      <c r="AF65651" s="12"/>
    </row>
    <row r="65652" spans="32:32" x14ac:dyDescent="0.2">
      <c r="AF65652" s="12"/>
    </row>
    <row r="65653" spans="32:32" x14ac:dyDescent="0.2">
      <c r="AF65653" s="12"/>
    </row>
    <row r="65654" spans="32:32" x14ac:dyDescent="0.2">
      <c r="AF65654" s="12"/>
    </row>
    <row r="65655" spans="32:32" x14ac:dyDescent="0.2">
      <c r="AF65655" s="12"/>
    </row>
    <row r="65656" spans="32:32" x14ac:dyDescent="0.2">
      <c r="AF65656" s="12"/>
    </row>
    <row r="65657" spans="32:32" x14ac:dyDescent="0.2">
      <c r="AF65657" s="12"/>
    </row>
    <row r="65658" spans="32:32" x14ac:dyDescent="0.2">
      <c r="AF65658" s="12"/>
    </row>
    <row r="65659" spans="32:32" x14ac:dyDescent="0.2">
      <c r="AF65659" s="12"/>
    </row>
    <row r="65660" spans="32:32" x14ac:dyDescent="0.2">
      <c r="AF65660" s="12"/>
    </row>
    <row r="65661" spans="32:32" x14ac:dyDescent="0.2">
      <c r="AF65661" s="12"/>
    </row>
    <row r="65662" spans="32:32" x14ac:dyDescent="0.2">
      <c r="AF65662" s="12"/>
    </row>
    <row r="65663" spans="32:32" x14ac:dyDescent="0.2">
      <c r="AF65663" s="12"/>
    </row>
    <row r="65664" spans="32:32" x14ac:dyDescent="0.2">
      <c r="AF65664" s="12"/>
    </row>
    <row r="65665" spans="32:32" x14ac:dyDescent="0.2">
      <c r="AF65665" s="12"/>
    </row>
    <row r="65666" spans="32:32" x14ac:dyDescent="0.2">
      <c r="AF65666" s="12"/>
    </row>
    <row r="65667" spans="32:32" x14ac:dyDescent="0.2">
      <c r="AF65667" s="12"/>
    </row>
    <row r="65668" spans="32:32" x14ac:dyDescent="0.2">
      <c r="AF65668" s="12"/>
    </row>
    <row r="65669" spans="32:32" x14ac:dyDescent="0.2">
      <c r="AF65669" s="12"/>
    </row>
    <row r="65670" spans="32:32" x14ac:dyDescent="0.2">
      <c r="AF65670" s="12"/>
    </row>
    <row r="65671" spans="32:32" x14ac:dyDescent="0.2">
      <c r="AF65671" s="12"/>
    </row>
    <row r="65672" spans="32:32" x14ac:dyDescent="0.2">
      <c r="AF65672" s="12"/>
    </row>
    <row r="65673" spans="32:32" x14ac:dyDescent="0.2">
      <c r="AF65673" s="12"/>
    </row>
    <row r="65674" spans="32:32" x14ac:dyDescent="0.2">
      <c r="AF65674" s="12"/>
    </row>
    <row r="65675" spans="32:32" x14ac:dyDescent="0.2">
      <c r="AF65675" s="12"/>
    </row>
    <row r="65676" spans="32:32" x14ac:dyDescent="0.2">
      <c r="AF65676" s="12"/>
    </row>
    <row r="65677" spans="32:32" x14ac:dyDescent="0.2">
      <c r="AF65677" s="12"/>
    </row>
    <row r="65678" spans="32:32" x14ac:dyDescent="0.2">
      <c r="AF65678" s="12"/>
    </row>
    <row r="65679" spans="32:32" x14ac:dyDescent="0.2">
      <c r="AF65679" s="12"/>
    </row>
    <row r="65680" spans="32:32" x14ac:dyDescent="0.2">
      <c r="AF65680" s="12"/>
    </row>
    <row r="65681" spans="32:32" x14ac:dyDescent="0.2">
      <c r="AF65681" s="12"/>
    </row>
    <row r="65682" spans="32:32" x14ac:dyDescent="0.2">
      <c r="AF65682" s="12"/>
    </row>
    <row r="65683" spans="32:32" x14ac:dyDescent="0.2">
      <c r="AF65683" s="12"/>
    </row>
    <row r="65684" spans="32:32" x14ac:dyDescent="0.2">
      <c r="AF65684" s="12"/>
    </row>
    <row r="65685" spans="32:32" x14ac:dyDescent="0.2">
      <c r="AF65685" s="12"/>
    </row>
    <row r="65686" spans="32:32" x14ac:dyDescent="0.2">
      <c r="AF65686" s="12"/>
    </row>
    <row r="65687" spans="32:32" x14ac:dyDescent="0.2">
      <c r="AF65687" s="12"/>
    </row>
    <row r="65688" spans="32:32" x14ac:dyDescent="0.2">
      <c r="AF65688" s="12"/>
    </row>
    <row r="65689" spans="32:32" x14ac:dyDescent="0.2">
      <c r="AF65689" s="12"/>
    </row>
    <row r="65690" spans="32:32" x14ac:dyDescent="0.2">
      <c r="AF65690" s="12"/>
    </row>
    <row r="65691" spans="32:32" x14ac:dyDescent="0.2">
      <c r="AF65691" s="12"/>
    </row>
    <row r="65692" spans="32:32" x14ac:dyDescent="0.2">
      <c r="AF65692" s="12"/>
    </row>
    <row r="65693" spans="32:32" x14ac:dyDescent="0.2">
      <c r="AF65693" s="12"/>
    </row>
    <row r="65694" spans="32:32" x14ac:dyDescent="0.2">
      <c r="AF65694" s="12"/>
    </row>
    <row r="65695" spans="32:32" x14ac:dyDescent="0.2">
      <c r="AF65695" s="12"/>
    </row>
    <row r="65696" spans="32:32" x14ac:dyDescent="0.2">
      <c r="AF65696" s="12"/>
    </row>
    <row r="65697" spans="32:32" x14ac:dyDescent="0.2">
      <c r="AF65697" s="12"/>
    </row>
    <row r="65698" spans="32:32" x14ac:dyDescent="0.2">
      <c r="AF65698" s="12"/>
    </row>
    <row r="65699" spans="32:32" x14ac:dyDescent="0.2">
      <c r="AF65699" s="12"/>
    </row>
    <row r="65700" spans="32:32" x14ac:dyDescent="0.2">
      <c r="AF65700" s="12"/>
    </row>
    <row r="65701" spans="32:32" x14ac:dyDescent="0.2">
      <c r="AF65701" s="12"/>
    </row>
    <row r="65702" spans="32:32" x14ac:dyDescent="0.2">
      <c r="AF65702" s="12"/>
    </row>
    <row r="65703" spans="32:32" x14ac:dyDescent="0.2">
      <c r="AF65703" s="12"/>
    </row>
    <row r="65704" spans="32:32" x14ac:dyDescent="0.2">
      <c r="AF65704" s="12"/>
    </row>
    <row r="65705" spans="32:32" x14ac:dyDescent="0.2">
      <c r="AF65705" s="12"/>
    </row>
    <row r="65706" spans="32:32" x14ac:dyDescent="0.2">
      <c r="AF65706" s="12"/>
    </row>
    <row r="65707" spans="32:32" x14ac:dyDescent="0.2">
      <c r="AF65707" s="12"/>
    </row>
    <row r="65708" spans="32:32" x14ac:dyDescent="0.2">
      <c r="AF65708" s="12"/>
    </row>
    <row r="65709" spans="32:32" x14ac:dyDescent="0.2">
      <c r="AF65709" s="12"/>
    </row>
    <row r="65710" spans="32:32" x14ac:dyDescent="0.2">
      <c r="AF65710" s="12"/>
    </row>
    <row r="65711" spans="32:32" x14ac:dyDescent="0.2">
      <c r="AF65711" s="12"/>
    </row>
    <row r="65712" spans="32:32" x14ac:dyDescent="0.2">
      <c r="AF65712" s="12"/>
    </row>
    <row r="65713" spans="32:32" x14ac:dyDescent="0.2">
      <c r="AF65713" s="12"/>
    </row>
    <row r="65714" spans="32:32" x14ac:dyDescent="0.2">
      <c r="AF65714" s="12"/>
    </row>
    <row r="65715" spans="32:32" x14ac:dyDescent="0.2">
      <c r="AF65715" s="12"/>
    </row>
    <row r="65716" spans="32:32" x14ac:dyDescent="0.2">
      <c r="AF65716" s="12"/>
    </row>
    <row r="65717" spans="32:32" x14ac:dyDescent="0.2">
      <c r="AF65717" s="12"/>
    </row>
    <row r="65718" spans="32:32" x14ac:dyDescent="0.2">
      <c r="AF65718" s="12"/>
    </row>
    <row r="65719" spans="32:32" x14ac:dyDescent="0.2">
      <c r="AF65719" s="12"/>
    </row>
    <row r="65720" spans="32:32" x14ac:dyDescent="0.2">
      <c r="AF65720" s="12"/>
    </row>
    <row r="65721" spans="32:32" x14ac:dyDescent="0.2">
      <c r="AF65721" s="12"/>
    </row>
    <row r="65722" spans="32:32" x14ac:dyDescent="0.2">
      <c r="AF65722" s="12"/>
    </row>
    <row r="65723" spans="32:32" x14ac:dyDescent="0.2">
      <c r="AF65723" s="12"/>
    </row>
    <row r="65724" spans="32:32" x14ac:dyDescent="0.2">
      <c r="AF65724" s="12"/>
    </row>
    <row r="65725" spans="32:32" x14ac:dyDescent="0.2">
      <c r="AF65725" s="12"/>
    </row>
    <row r="65726" spans="32:32" x14ac:dyDescent="0.2">
      <c r="AF65726" s="12"/>
    </row>
    <row r="65727" spans="32:32" x14ac:dyDescent="0.2">
      <c r="AF65727" s="12"/>
    </row>
    <row r="65728" spans="32:32" x14ac:dyDescent="0.2">
      <c r="AF65728" s="12"/>
    </row>
    <row r="65729" spans="32:32" x14ac:dyDescent="0.2">
      <c r="AF65729" s="12"/>
    </row>
    <row r="65730" spans="32:32" x14ac:dyDescent="0.2">
      <c r="AF65730" s="12"/>
    </row>
    <row r="65731" spans="32:32" x14ac:dyDescent="0.2">
      <c r="AF65731" s="12"/>
    </row>
    <row r="65732" spans="32:32" x14ac:dyDescent="0.2">
      <c r="AF65732" s="12"/>
    </row>
    <row r="65733" spans="32:32" x14ac:dyDescent="0.2">
      <c r="AF65733" s="12"/>
    </row>
    <row r="65734" spans="32:32" x14ac:dyDescent="0.2">
      <c r="AF65734" s="12"/>
    </row>
    <row r="65735" spans="32:32" x14ac:dyDescent="0.2">
      <c r="AF65735" s="12"/>
    </row>
    <row r="65736" spans="32:32" x14ac:dyDescent="0.2">
      <c r="AF65736" s="12"/>
    </row>
    <row r="65737" spans="32:32" x14ac:dyDescent="0.2">
      <c r="AF65737" s="12"/>
    </row>
    <row r="65738" spans="32:32" x14ac:dyDescent="0.2">
      <c r="AF65738" s="12"/>
    </row>
    <row r="65739" spans="32:32" x14ac:dyDescent="0.2">
      <c r="AF65739" s="12"/>
    </row>
    <row r="65740" spans="32:32" x14ac:dyDescent="0.2">
      <c r="AF65740" s="12"/>
    </row>
    <row r="65741" spans="32:32" x14ac:dyDescent="0.2">
      <c r="AF65741" s="12"/>
    </row>
    <row r="65742" spans="32:32" x14ac:dyDescent="0.2">
      <c r="AF65742" s="12"/>
    </row>
    <row r="65743" spans="32:32" x14ac:dyDescent="0.2">
      <c r="AF65743" s="12"/>
    </row>
    <row r="65744" spans="32:32" x14ac:dyDescent="0.2">
      <c r="AF65744" s="12"/>
    </row>
    <row r="65745" spans="32:32" x14ac:dyDescent="0.2">
      <c r="AF65745" s="12"/>
    </row>
    <row r="65746" spans="32:32" x14ac:dyDescent="0.2">
      <c r="AF65746" s="12"/>
    </row>
    <row r="65747" spans="32:32" x14ac:dyDescent="0.2">
      <c r="AF65747" s="12"/>
    </row>
    <row r="65748" spans="32:32" x14ac:dyDescent="0.2">
      <c r="AF65748" s="12"/>
    </row>
    <row r="65749" spans="32:32" x14ac:dyDescent="0.2">
      <c r="AF65749" s="12"/>
    </row>
    <row r="65750" spans="32:32" x14ac:dyDescent="0.2">
      <c r="AF65750" s="12"/>
    </row>
    <row r="65751" spans="32:32" x14ac:dyDescent="0.2">
      <c r="AF65751" s="12"/>
    </row>
    <row r="65752" spans="32:32" x14ac:dyDescent="0.2">
      <c r="AF65752" s="12"/>
    </row>
    <row r="65753" spans="32:32" x14ac:dyDescent="0.2">
      <c r="AF65753" s="12"/>
    </row>
    <row r="65754" spans="32:32" x14ac:dyDescent="0.2">
      <c r="AF65754" s="12"/>
    </row>
    <row r="65755" spans="32:32" x14ac:dyDescent="0.2">
      <c r="AF65755" s="12"/>
    </row>
    <row r="65756" spans="32:32" x14ac:dyDescent="0.2">
      <c r="AF65756" s="12"/>
    </row>
    <row r="65757" spans="32:32" x14ac:dyDescent="0.2">
      <c r="AF65757" s="12"/>
    </row>
    <row r="65758" spans="32:32" x14ac:dyDescent="0.2">
      <c r="AF65758" s="12"/>
    </row>
    <row r="65759" spans="32:32" x14ac:dyDescent="0.2">
      <c r="AF65759" s="12"/>
    </row>
    <row r="65760" spans="32:32" x14ac:dyDescent="0.2">
      <c r="AF65760" s="12"/>
    </row>
    <row r="65761" spans="32:32" x14ac:dyDescent="0.2">
      <c r="AF65761" s="12"/>
    </row>
    <row r="65762" spans="32:32" x14ac:dyDescent="0.2">
      <c r="AF65762" s="12"/>
    </row>
    <row r="65763" spans="32:32" x14ac:dyDescent="0.2">
      <c r="AF65763" s="12"/>
    </row>
    <row r="65764" spans="32:32" x14ac:dyDescent="0.2">
      <c r="AF65764" s="12"/>
    </row>
    <row r="65765" spans="32:32" x14ac:dyDescent="0.2">
      <c r="AF65765" s="12"/>
    </row>
    <row r="65766" spans="32:32" x14ac:dyDescent="0.2">
      <c r="AF65766" s="12"/>
    </row>
    <row r="65767" spans="32:32" x14ac:dyDescent="0.2">
      <c r="AF65767" s="12"/>
    </row>
    <row r="65768" spans="32:32" x14ac:dyDescent="0.2">
      <c r="AF65768" s="12"/>
    </row>
    <row r="65769" spans="32:32" x14ac:dyDescent="0.2">
      <c r="AF65769" s="12"/>
    </row>
    <row r="65770" spans="32:32" x14ac:dyDescent="0.2">
      <c r="AF65770" s="12"/>
    </row>
    <row r="65771" spans="32:32" x14ac:dyDescent="0.2">
      <c r="AF65771" s="12"/>
    </row>
    <row r="65772" spans="32:32" x14ac:dyDescent="0.2">
      <c r="AF65772" s="12"/>
    </row>
    <row r="65773" spans="32:32" x14ac:dyDescent="0.2">
      <c r="AF65773" s="12"/>
    </row>
    <row r="65774" spans="32:32" x14ac:dyDescent="0.2">
      <c r="AF65774" s="12"/>
    </row>
  </sheetData>
  <sheetProtection algorithmName="SHA-512" hashValue="aV+auGG/QONDKI9lOTsOYRQP67AwyC6pWTFYiiwJ4iwhSndrcYb0S23+in202OJ90VIl1eth67oVRZE0GwyVxA==" saltValue="niFVAdtDP5trD3oYOytY3g==" spinCount="100000" sheet="1" objects="1" scenarios="1" autoFilter="0"/>
  <autoFilter ref="L15:L244" xr:uid="{00000000-0001-0000-0400-000000000000}"/>
  <mergeCells count="25">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F10:K10"/>
    <mergeCell ref="O260:Q260"/>
    <mergeCell ref="O15:R15"/>
    <mergeCell ref="Q247:X247"/>
    <mergeCell ref="O250:X252"/>
    <mergeCell ref="O254:X254"/>
    <mergeCell ref="O257:Q257"/>
    <mergeCell ref="O255:X255"/>
  </mergeCells>
  <phoneticPr fontId="38" type="noConversion"/>
  <conditionalFormatting sqref="M14 M17:M243">
    <cfRule type="cellIs" dxfId="976" priority="43649" stopIfTrue="1" operator="notEqual">
      <formula>$N14</formula>
    </cfRule>
  </conditionalFormatting>
  <conditionalFormatting sqref="N14:O14 W14 R36 R45 R49:R50 R61:R62 R66 R73 R75:R76 R83:R84 R91 R94 R99 R101:R102 R107 R110 R114:R115 R125 R128 R132:R134 R142 R156 R166:R167 R175 R180 R188 R203:R204 R217 R225 R234 W234:X235 W232:W233 W237:X243 W236 W225:X231 W223:W224 N17:O243 W17:X222 R17:R26">
    <cfRule type="expression" dxfId="975" priority="43650" stopIfTrue="1">
      <formula>$C14=1</formula>
    </cfRule>
    <cfRule type="expression" dxfId="974" priority="43651" stopIfTrue="1">
      <formula>OR($C14=0,$C14=2,$C14=3,$C14=4)</formula>
    </cfRule>
  </conditionalFormatting>
  <conditionalFormatting sqref="U14:V14 U17:V243">
    <cfRule type="expression" dxfId="973" priority="43652" stopIfTrue="1">
      <formula>$C14=1</formula>
    </cfRule>
    <cfRule type="expression" dxfId="972" priority="43653" stopIfTrue="1">
      <formula>OR($C14=0,$C14=2,$C14=3,$C14=4)</formula>
    </cfRule>
    <cfRule type="expression" dxfId="971" priority="43654" stopIfTrue="1">
      <formula>AND(TIPOORCAMENTO="Licitado",$C14&lt;&gt;"L",$C14&lt;&gt;-1)</formula>
    </cfRule>
  </conditionalFormatting>
  <conditionalFormatting sqref="P14:Q14 S14:T14 Y14 AG14:AH14 P17:Q243 S17:T243 Y17:Y243 AG17:AH243">
    <cfRule type="expression" dxfId="970" priority="43655" stopIfTrue="1">
      <formula>$C14=1</formula>
    </cfRule>
    <cfRule type="expression" dxfId="969" priority="43656" stopIfTrue="1">
      <formula>OR($C14=0,$C14=2,$C14=3,$C14=4)</formula>
    </cfRule>
  </conditionalFormatting>
  <conditionalFormatting sqref="AJ7:AJ244">
    <cfRule type="expression" dxfId="968" priority="43657" stopIfTrue="1">
      <formula>OR(ACOMPANHAMENTO&lt;&gt;"BM",TIPOORCAMENTO="Licitado")</formula>
    </cfRule>
    <cfRule type="expression" dxfId="967" priority="43658" stopIfTrue="1">
      <formula>$C7=1</formula>
    </cfRule>
    <cfRule type="expression" dxfId="966" priority="43659" stopIfTrue="1">
      <formula>OR(AND(ISNUMBER($C7),$C7=0),$C7=2,$C7=3,$C7=4)</formula>
    </cfRule>
  </conditionalFormatting>
  <conditionalFormatting sqref="AL7:AL244">
    <cfRule type="expression" dxfId="965" priority="43660" stopIfTrue="1">
      <formula>TIPOORCAMENTO="PROPOSTO"</formula>
    </cfRule>
    <cfRule type="expression" dxfId="964" priority="43661" stopIfTrue="1">
      <formula>$C7=1</formula>
    </cfRule>
    <cfRule type="expression" dxfId="963" priority="43662" stopIfTrue="1">
      <formula>OR(AND(ISNUMBER($C7),$C7=0),$C7=2,$C7=3,$C7=4)</formula>
    </cfRule>
  </conditionalFormatting>
  <conditionalFormatting sqref="O8:P8">
    <cfRule type="expression" dxfId="962" priority="43666" stopIfTrue="1">
      <formula>ISERROR(INDIRECT($F$9))</formula>
    </cfRule>
  </conditionalFormatting>
  <conditionalFormatting sqref="S7:V8">
    <cfRule type="expression" dxfId="961" priority="43667" stopIfTrue="1">
      <formula>TIPOORCAMENTO="Proposto"</formula>
    </cfRule>
  </conditionalFormatting>
  <conditionalFormatting sqref="S9:X9">
    <cfRule type="expression" dxfId="960" priority="43614" stopIfTrue="1">
      <formula>TIPOORCAMENTO="Proposto"</formula>
    </cfRule>
  </conditionalFormatting>
  <conditionalFormatting sqref="AM7:AN244">
    <cfRule type="expression" dxfId="959" priority="43663" stopIfTrue="1">
      <formula>TIPOORCAMENTO="PROPOSTO"</formula>
    </cfRule>
    <cfRule type="expression" dxfId="958" priority="43664" stopIfTrue="1">
      <formula>$C7=1</formula>
    </cfRule>
    <cfRule type="expression" dxfId="957" priority="43665" stopIfTrue="1">
      <formula>OR(AND(ISNUMBER($C7),$C7=0),$C7=2,$C7=3,$C7=4)</formula>
    </cfRule>
  </conditionalFormatting>
  <conditionalFormatting sqref="X14">
    <cfRule type="expression" dxfId="956" priority="29239" stopIfTrue="1">
      <formula>$C14=1</formula>
    </cfRule>
    <cfRule type="expression" dxfId="955" priority="29240" stopIfTrue="1">
      <formula>OR($C14=0,$C14=2,$C14=3,$C14=4)</formula>
    </cfRule>
  </conditionalFormatting>
  <conditionalFormatting sqref="AC11">
    <cfRule type="cellIs" dxfId="954" priority="20074" operator="equal">
      <formula>"OK"</formula>
    </cfRule>
  </conditionalFormatting>
  <conditionalFormatting sqref="R14">
    <cfRule type="expression" dxfId="953" priority="5006" stopIfTrue="1">
      <formula>$C14=1</formula>
    </cfRule>
    <cfRule type="expression" dxfId="952" priority="5007" stopIfTrue="1">
      <formula>OR($C14=0,$C14=2,$C14=3,$C14=4)</formula>
    </cfRule>
  </conditionalFormatting>
  <conditionalFormatting sqref="R14 R18:R21">
    <cfRule type="beginsWith" dxfId="951" priority="5005" operator="beginsWith" text="(">
      <formula>LEFT(R14,LEN("("))="("</formula>
    </cfRule>
  </conditionalFormatting>
  <conditionalFormatting sqref="M16">
    <cfRule type="cellIs" dxfId="950" priority="938" stopIfTrue="1" operator="notEqual">
      <formula>$N16</formula>
    </cfRule>
  </conditionalFormatting>
  <conditionalFormatting sqref="N16:O16 W16">
    <cfRule type="expression" dxfId="949" priority="939" stopIfTrue="1">
      <formula>$C16=1</formula>
    </cfRule>
    <cfRule type="expression" dxfId="948" priority="940" stopIfTrue="1">
      <formula>OR($C16=0,$C16=2,$C16=3,$C16=4)</formula>
    </cfRule>
  </conditionalFormatting>
  <conditionalFormatting sqref="U16:V16">
    <cfRule type="expression" dxfId="947" priority="941" stopIfTrue="1">
      <formula>$C16=1</formula>
    </cfRule>
    <cfRule type="expression" dxfId="946" priority="942" stopIfTrue="1">
      <formula>OR($C16=0,$C16=2,$C16=3,$C16=4)</formula>
    </cfRule>
    <cfRule type="expression" dxfId="945" priority="943" stopIfTrue="1">
      <formula>AND(TIPOORCAMENTO="Licitado",$C16&lt;&gt;"L",$C16&lt;&gt;-1)</formula>
    </cfRule>
  </conditionalFormatting>
  <conditionalFormatting sqref="P16:Q16 S16:T16 Y16 AG16:AH16">
    <cfRule type="expression" dxfId="944" priority="944" stopIfTrue="1">
      <formula>$C16=1</formula>
    </cfRule>
    <cfRule type="expression" dxfId="943" priority="945" stopIfTrue="1">
      <formula>OR($C16=0,$C16=2,$C16=3,$C16=4)</formula>
    </cfRule>
  </conditionalFormatting>
  <conditionalFormatting sqref="X16">
    <cfRule type="expression" dxfId="942" priority="936" stopIfTrue="1">
      <formula>$C16=1</formula>
    </cfRule>
    <cfRule type="expression" dxfId="941" priority="937" stopIfTrue="1">
      <formula>OR($C16=0,$C16=2,$C16=3,$C16=4)</formula>
    </cfRule>
  </conditionalFormatting>
  <conditionalFormatting sqref="R16">
    <cfRule type="expression" dxfId="940" priority="934" stopIfTrue="1">
      <formula>$C16=1</formula>
    </cfRule>
    <cfRule type="expression" dxfId="939" priority="935" stopIfTrue="1">
      <formula>OR($C16=0,$C16=2,$C16=3,$C16=4)</formula>
    </cfRule>
  </conditionalFormatting>
  <conditionalFormatting sqref="R16">
    <cfRule type="beginsWith" dxfId="938" priority="933" operator="beginsWith" text="(">
      <formula>LEFT(R16,LEN("("))="("</formula>
    </cfRule>
  </conditionalFormatting>
  <conditionalFormatting sqref="R17 R36 R45 R49:R50 R61:R62 R66 R73 R75:R76 R83:R84 R91 R94 R99 R101:R102 R107 R110 R114:R115 R125 R128 R132:R134 R142 R156 R166:R167 R175 R180 R188 R203:R204 R217 R225 R25:R26 R234">
    <cfRule type="beginsWith" dxfId="937" priority="569" operator="beginsWith" text="(">
      <formula>LEFT(R17,LEN("("))="("</formula>
    </cfRule>
  </conditionalFormatting>
  <conditionalFormatting sqref="R27">
    <cfRule type="expression" dxfId="936" priority="564" stopIfTrue="1">
      <formula>$C27=1</formula>
    </cfRule>
    <cfRule type="expression" dxfId="935" priority="565" stopIfTrue="1">
      <formula>OR($C27=0,$C27=2,$C27=3,$C27=4)</formula>
    </cfRule>
  </conditionalFormatting>
  <conditionalFormatting sqref="R27">
    <cfRule type="beginsWith" dxfId="934" priority="563" operator="beginsWith" text="(">
      <formula>LEFT(R27,LEN("("))="("</formula>
    </cfRule>
  </conditionalFormatting>
  <conditionalFormatting sqref="R28">
    <cfRule type="expression" dxfId="933" priority="561" stopIfTrue="1">
      <formula>$C28=1</formula>
    </cfRule>
    <cfRule type="expression" dxfId="932" priority="562" stopIfTrue="1">
      <formula>OR($C28=0,$C28=2,$C28=3,$C28=4)</formula>
    </cfRule>
  </conditionalFormatting>
  <conditionalFormatting sqref="R28">
    <cfRule type="beginsWith" dxfId="931" priority="560" operator="beginsWith" text="(">
      <formula>LEFT(R28,LEN("("))="("</formula>
    </cfRule>
  </conditionalFormatting>
  <conditionalFormatting sqref="R29">
    <cfRule type="expression" dxfId="930" priority="558" stopIfTrue="1">
      <formula>$C29=1</formula>
    </cfRule>
    <cfRule type="expression" dxfId="929" priority="559" stopIfTrue="1">
      <formula>OR($C29=0,$C29=2,$C29=3,$C29=4)</formula>
    </cfRule>
  </conditionalFormatting>
  <conditionalFormatting sqref="R29">
    <cfRule type="beginsWith" dxfId="928" priority="557" operator="beginsWith" text="(">
      <formula>LEFT(R29,LEN("("))="("</formula>
    </cfRule>
  </conditionalFormatting>
  <conditionalFormatting sqref="R30">
    <cfRule type="expression" dxfId="927" priority="555" stopIfTrue="1">
      <formula>$C30=1</formula>
    </cfRule>
    <cfRule type="expression" dxfId="926" priority="556" stopIfTrue="1">
      <formula>OR($C30=0,$C30=2,$C30=3,$C30=4)</formula>
    </cfRule>
  </conditionalFormatting>
  <conditionalFormatting sqref="R30">
    <cfRule type="beginsWith" dxfId="925" priority="554" operator="beginsWith" text="(">
      <formula>LEFT(R30,LEN("("))="("</formula>
    </cfRule>
  </conditionalFormatting>
  <conditionalFormatting sqref="R31">
    <cfRule type="expression" dxfId="924" priority="552" stopIfTrue="1">
      <formula>$C31=1</formula>
    </cfRule>
    <cfRule type="expression" dxfId="923" priority="553" stopIfTrue="1">
      <formula>OR($C31=0,$C31=2,$C31=3,$C31=4)</formula>
    </cfRule>
  </conditionalFormatting>
  <conditionalFormatting sqref="R31">
    <cfRule type="beginsWith" dxfId="922" priority="551" operator="beginsWith" text="(">
      <formula>LEFT(R31,LEN("("))="("</formula>
    </cfRule>
  </conditionalFormatting>
  <conditionalFormatting sqref="R32">
    <cfRule type="expression" dxfId="921" priority="549" stopIfTrue="1">
      <formula>$C32=1</formula>
    </cfRule>
    <cfRule type="expression" dxfId="920" priority="550" stopIfTrue="1">
      <formula>OR($C32=0,$C32=2,$C32=3,$C32=4)</formula>
    </cfRule>
  </conditionalFormatting>
  <conditionalFormatting sqref="R32">
    <cfRule type="beginsWith" dxfId="919" priority="548" operator="beginsWith" text="(">
      <formula>LEFT(R32,LEN("("))="("</formula>
    </cfRule>
  </conditionalFormatting>
  <conditionalFormatting sqref="R33">
    <cfRule type="expression" dxfId="918" priority="546" stopIfTrue="1">
      <formula>$C33=1</formula>
    </cfRule>
    <cfRule type="expression" dxfId="917" priority="547" stopIfTrue="1">
      <formula>OR($C33=0,$C33=2,$C33=3,$C33=4)</formula>
    </cfRule>
  </conditionalFormatting>
  <conditionalFormatting sqref="R33">
    <cfRule type="beginsWith" dxfId="916" priority="545" operator="beginsWith" text="(">
      <formula>LEFT(R33,LEN("("))="("</formula>
    </cfRule>
  </conditionalFormatting>
  <conditionalFormatting sqref="R34">
    <cfRule type="expression" dxfId="915" priority="543" stopIfTrue="1">
      <formula>$C34=1</formula>
    </cfRule>
    <cfRule type="expression" dxfId="914" priority="544" stopIfTrue="1">
      <formula>OR($C34=0,$C34=2,$C34=3,$C34=4)</formula>
    </cfRule>
  </conditionalFormatting>
  <conditionalFormatting sqref="R34">
    <cfRule type="beginsWith" dxfId="913" priority="542" operator="beginsWith" text="(">
      <formula>LEFT(R34,LEN("("))="("</formula>
    </cfRule>
  </conditionalFormatting>
  <conditionalFormatting sqref="R35">
    <cfRule type="expression" dxfId="912" priority="540" stopIfTrue="1">
      <formula>$C35=1</formula>
    </cfRule>
    <cfRule type="expression" dxfId="911" priority="541" stopIfTrue="1">
      <formula>OR($C35=0,$C35=2,$C35=3,$C35=4)</formula>
    </cfRule>
  </conditionalFormatting>
  <conditionalFormatting sqref="R35">
    <cfRule type="beginsWith" dxfId="910" priority="539" operator="beginsWith" text="(">
      <formula>LEFT(R35,LEN("("))="("</formula>
    </cfRule>
  </conditionalFormatting>
  <conditionalFormatting sqref="R37">
    <cfRule type="expression" dxfId="909" priority="537" stopIfTrue="1">
      <formula>$C37=1</formula>
    </cfRule>
    <cfRule type="expression" dxfId="908" priority="538" stopIfTrue="1">
      <formula>OR($C37=0,$C37=2,$C37=3,$C37=4)</formula>
    </cfRule>
  </conditionalFormatting>
  <conditionalFormatting sqref="R37">
    <cfRule type="beginsWith" dxfId="907" priority="536" operator="beginsWith" text="(">
      <formula>LEFT(R37,LEN("("))="("</formula>
    </cfRule>
  </conditionalFormatting>
  <conditionalFormatting sqref="R38">
    <cfRule type="expression" dxfId="906" priority="534" stopIfTrue="1">
      <formula>$C38=1</formula>
    </cfRule>
    <cfRule type="expression" dxfId="905" priority="535" stopIfTrue="1">
      <formula>OR($C38=0,$C38=2,$C38=3,$C38=4)</formula>
    </cfRule>
  </conditionalFormatting>
  <conditionalFormatting sqref="R38">
    <cfRule type="beginsWith" dxfId="904" priority="533" operator="beginsWith" text="(">
      <formula>LEFT(R38,LEN("("))="("</formula>
    </cfRule>
  </conditionalFormatting>
  <conditionalFormatting sqref="R39">
    <cfRule type="expression" dxfId="903" priority="531" stopIfTrue="1">
      <formula>$C39=1</formula>
    </cfRule>
    <cfRule type="expression" dxfId="902" priority="532" stopIfTrue="1">
      <formula>OR($C39=0,$C39=2,$C39=3,$C39=4)</formula>
    </cfRule>
  </conditionalFormatting>
  <conditionalFormatting sqref="R39">
    <cfRule type="beginsWith" dxfId="901" priority="530" operator="beginsWith" text="(">
      <formula>LEFT(R39,LEN("("))="("</formula>
    </cfRule>
  </conditionalFormatting>
  <conditionalFormatting sqref="R40">
    <cfRule type="expression" dxfId="900" priority="528" stopIfTrue="1">
      <formula>$C40=1</formula>
    </cfRule>
    <cfRule type="expression" dxfId="899" priority="529" stopIfTrue="1">
      <formula>OR($C40=0,$C40=2,$C40=3,$C40=4)</formula>
    </cfRule>
  </conditionalFormatting>
  <conditionalFormatting sqref="R40">
    <cfRule type="beginsWith" dxfId="898" priority="527" operator="beginsWith" text="(">
      <formula>LEFT(R40,LEN("("))="("</formula>
    </cfRule>
  </conditionalFormatting>
  <conditionalFormatting sqref="R41">
    <cfRule type="expression" dxfId="897" priority="525" stopIfTrue="1">
      <formula>$C41=1</formula>
    </cfRule>
    <cfRule type="expression" dxfId="896" priority="526" stopIfTrue="1">
      <formula>OR($C41=0,$C41=2,$C41=3,$C41=4)</formula>
    </cfRule>
  </conditionalFormatting>
  <conditionalFormatting sqref="R41">
    <cfRule type="beginsWith" dxfId="895" priority="524" operator="beginsWith" text="(">
      <formula>LEFT(R41,LEN("("))="("</formula>
    </cfRule>
  </conditionalFormatting>
  <conditionalFormatting sqref="R42">
    <cfRule type="expression" dxfId="894" priority="522" stopIfTrue="1">
      <formula>$C42=1</formula>
    </cfRule>
    <cfRule type="expression" dxfId="893" priority="523" stopIfTrue="1">
      <formula>OR($C42=0,$C42=2,$C42=3,$C42=4)</formula>
    </cfRule>
  </conditionalFormatting>
  <conditionalFormatting sqref="R42">
    <cfRule type="beginsWith" dxfId="892" priority="521" operator="beginsWith" text="(">
      <formula>LEFT(R42,LEN("("))="("</formula>
    </cfRule>
  </conditionalFormatting>
  <conditionalFormatting sqref="R43">
    <cfRule type="expression" dxfId="891" priority="519" stopIfTrue="1">
      <formula>$C43=1</formula>
    </cfRule>
    <cfRule type="expression" dxfId="890" priority="520" stopIfTrue="1">
      <formula>OR($C43=0,$C43=2,$C43=3,$C43=4)</formula>
    </cfRule>
  </conditionalFormatting>
  <conditionalFormatting sqref="R43">
    <cfRule type="beginsWith" dxfId="889" priority="518" operator="beginsWith" text="(">
      <formula>LEFT(R43,LEN("("))="("</formula>
    </cfRule>
  </conditionalFormatting>
  <conditionalFormatting sqref="R44">
    <cfRule type="expression" dxfId="888" priority="516" stopIfTrue="1">
      <formula>$C44=1</formula>
    </cfRule>
    <cfRule type="expression" dxfId="887" priority="517" stopIfTrue="1">
      <formula>OR($C44=0,$C44=2,$C44=3,$C44=4)</formula>
    </cfRule>
  </conditionalFormatting>
  <conditionalFormatting sqref="R44">
    <cfRule type="beginsWith" dxfId="886" priority="515" operator="beginsWith" text="(">
      <formula>LEFT(R44,LEN("("))="("</formula>
    </cfRule>
  </conditionalFormatting>
  <conditionalFormatting sqref="R46">
    <cfRule type="expression" dxfId="885" priority="513" stopIfTrue="1">
      <formula>$C46=1</formula>
    </cfRule>
    <cfRule type="expression" dxfId="884" priority="514" stopIfTrue="1">
      <formula>OR($C46=0,$C46=2,$C46=3,$C46=4)</formula>
    </cfRule>
  </conditionalFormatting>
  <conditionalFormatting sqref="R46">
    <cfRule type="beginsWith" dxfId="883" priority="512" operator="beginsWith" text="(">
      <formula>LEFT(R46,LEN("("))="("</formula>
    </cfRule>
  </conditionalFormatting>
  <conditionalFormatting sqref="R47">
    <cfRule type="expression" dxfId="882" priority="510" stopIfTrue="1">
      <formula>$C47=1</formula>
    </cfRule>
    <cfRule type="expression" dxfId="881" priority="511" stopIfTrue="1">
      <formula>OR($C47=0,$C47=2,$C47=3,$C47=4)</formula>
    </cfRule>
  </conditionalFormatting>
  <conditionalFormatting sqref="R47">
    <cfRule type="beginsWith" dxfId="880" priority="509" operator="beginsWith" text="(">
      <formula>LEFT(R47,LEN("("))="("</formula>
    </cfRule>
  </conditionalFormatting>
  <conditionalFormatting sqref="R48">
    <cfRule type="expression" dxfId="879" priority="507" stopIfTrue="1">
      <formula>$C48=1</formula>
    </cfRule>
    <cfRule type="expression" dxfId="878" priority="508" stopIfTrue="1">
      <formula>OR($C48=0,$C48=2,$C48=3,$C48=4)</formula>
    </cfRule>
  </conditionalFormatting>
  <conditionalFormatting sqref="R48">
    <cfRule type="beginsWith" dxfId="877" priority="506" operator="beginsWith" text="(">
      <formula>LEFT(R48,LEN("("))="("</formula>
    </cfRule>
  </conditionalFormatting>
  <conditionalFormatting sqref="R51">
    <cfRule type="expression" dxfId="876" priority="504" stopIfTrue="1">
      <formula>$C51=1</formula>
    </cfRule>
    <cfRule type="expression" dxfId="875" priority="505" stopIfTrue="1">
      <formula>OR($C51=0,$C51=2,$C51=3,$C51=4)</formula>
    </cfRule>
  </conditionalFormatting>
  <conditionalFormatting sqref="R51">
    <cfRule type="beginsWith" dxfId="874" priority="503" operator="beginsWith" text="(">
      <formula>LEFT(R51,LEN("("))="("</formula>
    </cfRule>
  </conditionalFormatting>
  <conditionalFormatting sqref="R52">
    <cfRule type="expression" dxfId="873" priority="501" stopIfTrue="1">
      <formula>$C52=1</formula>
    </cfRule>
    <cfRule type="expression" dxfId="872" priority="502" stopIfTrue="1">
      <formula>OR($C52=0,$C52=2,$C52=3,$C52=4)</formula>
    </cfRule>
  </conditionalFormatting>
  <conditionalFormatting sqref="R52">
    <cfRule type="beginsWith" dxfId="871" priority="500" operator="beginsWith" text="(">
      <formula>LEFT(R52,LEN("("))="("</formula>
    </cfRule>
  </conditionalFormatting>
  <conditionalFormatting sqref="R53">
    <cfRule type="expression" dxfId="870" priority="498" stopIfTrue="1">
      <formula>$C53=1</formula>
    </cfRule>
    <cfRule type="expression" dxfId="869" priority="499" stopIfTrue="1">
      <formula>OR($C53=0,$C53=2,$C53=3,$C53=4)</formula>
    </cfRule>
  </conditionalFormatting>
  <conditionalFormatting sqref="R53">
    <cfRule type="beginsWith" dxfId="868" priority="497" operator="beginsWith" text="(">
      <formula>LEFT(R53,LEN("("))="("</formula>
    </cfRule>
  </conditionalFormatting>
  <conditionalFormatting sqref="R54">
    <cfRule type="expression" dxfId="867" priority="495" stopIfTrue="1">
      <formula>$C54=1</formula>
    </cfRule>
    <cfRule type="expression" dxfId="866" priority="496" stopIfTrue="1">
      <formula>OR($C54=0,$C54=2,$C54=3,$C54=4)</formula>
    </cfRule>
  </conditionalFormatting>
  <conditionalFormatting sqref="R54">
    <cfRule type="beginsWith" dxfId="865" priority="494" operator="beginsWith" text="(">
      <formula>LEFT(R54,LEN("("))="("</formula>
    </cfRule>
  </conditionalFormatting>
  <conditionalFormatting sqref="R55">
    <cfRule type="expression" dxfId="864" priority="492" stopIfTrue="1">
      <formula>$C55=1</formula>
    </cfRule>
    <cfRule type="expression" dxfId="863" priority="493" stopIfTrue="1">
      <formula>OR($C55=0,$C55=2,$C55=3,$C55=4)</formula>
    </cfRule>
  </conditionalFormatting>
  <conditionalFormatting sqref="R55">
    <cfRule type="beginsWith" dxfId="862" priority="491" operator="beginsWith" text="(">
      <formula>LEFT(R55,LEN("("))="("</formula>
    </cfRule>
  </conditionalFormatting>
  <conditionalFormatting sqref="R56">
    <cfRule type="expression" dxfId="861" priority="489" stopIfTrue="1">
      <formula>$C56=1</formula>
    </cfRule>
    <cfRule type="expression" dxfId="860" priority="490" stopIfTrue="1">
      <formula>OR($C56=0,$C56=2,$C56=3,$C56=4)</formula>
    </cfRule>
  </conditionalFormatting>
  <conditionalFormatting sqref="R56">
    <cfRule type="beginsWith" dxfId="859" priority="488" operator="beginsWith" text="(">
      <formula>LEFT(R56,LEN("("))="("</formula>
    </cfRule>
  </conditionalFormatting>
  <conditionalFormatting sqref="R57">
    <cfRule type="expression" dxfId="858" priority="486" stopIfTrue="1">
      <formula>$C57=1</formula>
    </cfRule>
    <cfRule type="expression" dxfId="857" priority="487" stopIfTrue="1">
      <formula>OR($C57=0,$C57=2,$C57=3,$C57=4)</formula>
    </cfRule>
  </conditionalFormatting>
  <conditionalFormatting sqref="R57">
    <cfRule type="beginsWith" dxfId="856" priority="485" operator="beginsWith" text="(">
      <formula>LEFT(R57,LEN("("))="("</formula>
    </cfRule>
  </conditionalFormatting>
  <conditionalFormatting sqref="R58">
    <cfRule type="expression" dxfId="855" priority="483" stopIfTrue="1">
      <formula>$C58=1</formula>
    </cfRule>
    <cfRule type="expression" dxfId="854" priority="484" stopIfTrue="1">
      <formula>OR($C58=0,$C58=2,$C58=3,$C58=4)</formula>
    </cfRule>
  </conditionalFormatting>
  <conditionalFormatting sqref="R58">
    <cfRule type="beginsWith" dxfId="853" priority="482" operator="beginsWith" text="(">
      <formula>LEFT(R58,LEN("("))="("</formula>
    </cfRule>
  </conditionalFormatting>
  <conditionalFormatting sqref="R59">
    <cfRule type="expression" dxfId="852" priority="480" stopIfTrue="1">
      <formula>$C59=1</formula>
    </cfRule>
    <cfRule type="expression" dxfId="851" priority="481" stopIfTrue="1">
      <formula>OR($C59=0,$C59=2,$C59=3,$C59=4)</formula>
    </cfRule>
  </conditionalFormatting>
  <conditionalFormatting sqref="R59">
    <cfRule type="beginsWith" dxfId="850" priority="479" operator="beginsWith" text="(">
      <formula>LEFT(R59,LEN("("))="("</formula>
    </cfRule>
  </conditionalFormatting>
  <conditionalFormatting sqref="R60">
    <cfRule type="expression" dxfId="849" priority="477" stopIfTrue="1">
      <formula>$C60=1</formula>
    </cfRule>
    <cfRule type="expression" dxfId="848" priority="478" stopIfTrue="1">
      <formula>OR($C60=0,$C60=2,$C60=3,$C60=4)</formula>
    </cfRule>
  </conditionalFormatting>
  <conditionalFormatting sqref="R60">
    <cfRule type="beginsWith" dxfId="847" priority="476" operator="beginsWith" text="(">
      <formula>LEFT(R60,LEN("("))="("</formula>
    </cfRule>
  </conditionalFormatting>
  <conditionalFormatting sqref="R63">
    <cfRule type="expression" dxfId="846" priority="474" stopIfTrue="1">
      <formula>$C63=1</formula>
    </cfRule>
    <cfRule type="expression" dxfId="845" priority="475" stopIfTrue="1">
      <formula>OR($C63=0,$C63=2,$C63=3,$C63=4)</formula>
    </cfRule>
  </conditionalFormatting>
  <conditionalFormatting sqref="R63">
    <cfRule type="beginsWith" dxfId="844" priority="473" operator="beginsWith" text="(">
      <formula>LEFT(R63,LEN("("))="("</formula>
    </cfRule>
  </conditionalFormatting>
  <conditionalFormatting sqref="R64">
    <cfRule type="expression" dxfId="843" priority="471" stopIfTrue="1">
      <formula>$C64=1</formula>
    </cfRule>
    <cfRule type="expression" dxfId="842" priority="472" stopIfTrue="1">
      <formula>OR($C64=0,$C64=2,$C64=3,$C64=4)</formula>
    </cfRule>
  </conditionalFormatting>
  <conditionalFormatting sqref="R64">
    <cfRule type="beginsWith" dxfId="841" priority="470" operator="beginsWith" text="(">
      <formula>LEFT(R64,LEN("("))="("</formula>
    </cfRule>
  </conditionalFormatting>
  <conditionalFormatting sqref="R65">
    <cfRule type="expression" dxfId="840" priority="468" stopIfTrue="1">
      <formula>$C65=1</formula>
    </cfRule>
    <cfRule type="expression" dxfId="839" priority="469" stopIfTrue="1">
      <formula>OR($C65=0,$C65=2,$C65=3,$C65=4)</formula>
    </cfRule>
  </conditionalFormatting>
  <conditionalFormatting sqref="R65">
    <cfRule type="beginsWith" dxfId="838" priority="467" operator="beginsWith" text="(">
      <formula>LEFT(R65,LEN("("))="("</formula>
    </cfRule>
  </conditionalFormatting>
  <conditionalFormatting sqref="R67">
    <cfRule type="expression" dxfId="837" priority="465" stopIfTrue="1">
      <formula>$C67=1</formula>
    </cfRule>
    <cfRule type="expression" dxfId="836" priority="466" stopIfTrue="1">
      <formula>OR($C67=0,$C67=2,$C67=3,$C67=4)</formula>
    </cfRule>
  </conditionalFormatting>
  <conditionalFormatting sqref="R67">
    <cfRule type="beginsWith" dxfId="835" priority="464" operator="beginsWith" text="(">
      <formula>LEFT(R67,LEN("("))="("</formula>
    </cfRule>
  </conditionalFormatting>
  <conditionalFormatting sqref="R68">
    <cfRule type="expression" dxfId="834" priority="462" stopIfTrue="1">
      <formula>$C68=1</formula>
    </cfRule>
    <cfRule type="expression" dxfId="833" priority="463" stopIfTrue="1">
      <formula>OR($C68=0,$C68=2,$C68=3,$C68=4)</formula>
    </cfRule>
  </conditionalFormatting>
  <conditionalFormatting sqref="R68">
    <cfRule type="beginsWith" dxfId="832" priority="461" operator="beginsWith" text="(">
      <formula>LEFT(R68,LEN("("))="("</formula>
    </cfRule>
  </conditionalFormatting>
  <conditionalFormatting sqref="R69">
    <cfRule type="expression" dxfId="831" priority="459" stopIfTrue="1">
      <formula>$C69=1</formula>
    </cfRule>
    <cfRule type="expression" dxfId="830" priority="460" stopIfTrue="1">
      <formula>OR($C69=0,$C69=2,$C69=3,$C69=4)</formula>
    </cfRule>
  </conditionalFormatting>
  <conditionalFormatting sqref="R69">
    <cfRule type="beginsWith" dxfId="829" priority="458" operator="beginsWith" text="(">
      <formula>LEFT(R69,LEN("("))="("</formula>
    </cfRule>
  </conditionalFormatting>
  <conditionalFormatting sqref="R70">
    <cfRule type="expression" dxfId="828" priority="456" stopIfTrue="1">
      <formula>$C70=1</formula>
    </cfRule>
    <cfRule type="expression" dxfId="827" priority="457" stopIfTrue="1">
      <formula>OR($C70=0,$C70=2,$C70=3,$C70=4)</formula>
    </cfRule>
  </conditionalFormatting>
  <conditionalFormatting sqref="R70">
    <cfRule type="beginsWith" dxfId="826" priority="455" operator="beginsWith" text="(">
      <formula>LEFT(R70,LEN("("))="("</formula>
    </cfRule>
  </conditionalFormatting>
  <conditionalFormatting sqref="R71">
    <cfRule type="expression" dxfId="825" priority="453" stopIfTrue="1">
      <formula>$C71=1</formula>
    </cfRule>
    <cfRule type="expression" dxfId="824" priority="454" stopIfTrue="1">
      <formula>OR($C71=0,$C71=2,$C71=3,$C71=4)</formula>
    </cfRule>
  </conditionalFormatting>
  <conditionalFormatting sqref="R71">
    <cfRule type="beginsWith" dxfId="823" priority="452" operator="beginsWith" text="(">
      <formula>LEFT(R71,LEN("("))="("</formula>
    </cfRule>
  </conditionalFormatting>
  <conditionalFormatting sqref="R72">
    <cfRule type="expression" dxfId="822" priority="450" stopIfTrue="1">
      <formula>$C72=1</formula>
    </cfRule>
    <cfRule type="expression" dxfId="821" priority="451" stopIfTrue="1">
      <formula>OR($C72=0,$C72=2,$C72=3,$C72=4)</formula>
    </cfRule>
  </conditionalFormatting>
  <conditionalFormatting sqref="R72">
    <cfRule type="beginsWith" dxfId="820" priority="449" operator="beginsWith" text="(">
      <formula>LEFT(R72,LEN("("))="("</formula>
    </cfRule>
  </conditionalFormatting>
  <conditionalFormatting sqref="R74">
    <cfRule type="expression" dxfId="819" priority="447" stopIfTrue="1">
      <formula>$C74=1</formula>
    </cfRule>
    <cfRule type="expression" dxfId="818" priority="448" stopIfTrue="1">
      <formula>OR($C74=0,$C74=2,$C74=3,$C74=4)</formula>
    </cfRule>
  </conditionalFormatting>
  <conditionalFormatting sqref="R74">
    <cfRule type="beginsWith" dxfId="817" priority="446" operator="beginsWith" text="(">
      <formula>LEFT(R74,LEN("("))="("</formula>
    </cfRule>
  </conditionalFormatting>
  <conditionalFormatting sqref="R77">
    <cfRule type="expression" dxfId="816" priority="444" stopIfTrue="1">
      <formula>$C77=1</formula>
    </cfRule>
    <cfRule type="expression" dxfId="815" priority="445" stopIfTrue="1">
      <formula>OR($C77=0,$C77=2,$C77=3,$C77=4)</formula>
    </cfRule>
  </conditionalFormatting>
  <conditionalFormatting sqref="R77">
    <cfRule type="beginsWith" dxfId="814" priority="443" operator="beginsWith" text="(">
      <formula>LEFT(R77,LEN("("))="("</formula>
    </cfRule>
  </conditionalFormatting>
  <conditionalFormatting sqref="R78">
    <cfRule type="expression" dxfId="813" priority="441" stopIfTrue="1">
      <formula>$C78=1</formula>
    </cfRule>
    <cfRule type="expression" dxfId="812" priority="442" stopIfTrue="1">
      <formula>OR($C78=0,$C78=2,$C78=3,$C78=4)</formula>
    </cfRule>
  </conditionalFormatting>
  <conditionalFormatting sqref="R78">
    <cfRule type="beginsWith" dxfId="811" priority="440" operator="beginsWith" text="(">
      <formula>LEFT(R78,LEN("("))="("</formula>
    </cfRule>
  </conditionalFormatting>
  <conditionalFormatting sqref="R79">
    <cfRule type="expression" dxfId="810" priority="438" stopIfTrue="1">
      <formula>$C79=1</formula>
    </cfRule>
    <cfRule type="expression" dxfId="809" priority="439" stopIfTrue="1">
      <formula>OR($C79=0,$C79=2,$C79=3,$C79=4)</formula>
    </cfRule>
  </conditionalFormatting>
  <conditionalFormatting sqref="R79">
    <cfRule type="beginsWith" dxfId="808" priority="437" operator="beginsWith" text="(">
      <formula>LEFT(R79,LEN("("))="("</formula>
    </cfRule>
  </conditionalFormatting>
  <conditionalFormatting sqref="R80">
    <cfRule type="expression" dxfId="807" priority="435" stopIfTrue="1">
      <formula>$C80=1</formula>
    </cfRule>
    <cfRule type="expression" dxfId="806" priority="436" stopIfTrue="1">
      <formula>OR($C80=0,$C80=2,$C80=3,$C80=4)</formula>
    </cfRule>
  </conditionalFormatting>
  <conditionalFormatting sqref="R80">
    <cfRule type="beginsWith" dxfId="805" priority="434" operator="beginsWith" text="(">
      <formula>LEFT(R80,LEN("("))="("</formula>
    </cfRule>
  </conditionalFormatting>
  <conditionalFormatting sqref="R81">
    <cfRule type="expression" dxfId="804" priority="432" stopIfTrue="1">
      <formula>$C81=1</formula>
    </cfRule>
    <cfRule type="expression" dxfId="803" priority="433" stopIfTrue="1">
      <formula>OR($C81=0,$C81=2,$C81=3,$C81=4)</formula>
    </cfRule>
  </conditionalFormatting>
  <conditionalFormatting sqref="R81">
    <cfRule type="beginsWith" dxfId="802" priority="431" operator="beginsWith" text="(">
      <formula>LEFT(R81,LEN("("))="("</formula>
    </cfRule>
  </conditionalFormatting>
  <conditionalFormatting sqref="R82">
    <cfRule type="expression" dxfId="801" priority="429" stopIfTrue="1">
      <formula>$C82=1</formula>
    </cfRule>
    <cfRule type="expression" dxfId="800" priority="430" stopIfTrue="1">
      <formula>OR($C82=0,$C82=2,$C82=3,$C82=4)</formula>
    </cfRule>
  </conditionalFormatting>
  <conditionalFormatting sqref="R82">
    <cfRule type="beginsWith" dxfId="799" priority="428" operator="beginsWith" text="(">
      <formula>LEFT(R82,LEN("("))="("</formula>
    </cfRule>
  </conditionalFormatting>
  <conditionalFormatting sqref="R85">
    <cfRule type="expression" dxfId="798" priority="426" stopIfTrue="1">
      <formula>$C85=1</formula>
    </cfRule>
    <cfRule type="expression" dxfId="797" priority="427" stopIfTrue="1">
      <formula>OR($C85=0,$C85=2,$C85=3,$C85=4)</formula>
    </cfRule>
  </conditionalFormatting>
  <conditionalFormatting sqref="R85">
    <cfRule type="beginsWith" dxfId="796" priority="425" operator="beginsWith" text="(">
      <formula>LEFT(R85,LEN("("))="("</formula>
    </cfRule>
  </conditionalFormatting>
  <conditionalFormatting sqref="R86">
    <cfRule type="expression" dxfId="795" priority="423" stopIfTrue="1">
      <formula>$C86=1</formula>
    </cfRule>
    <cfRule type="expression" dxfId="794" priority="424" stopIfTrue="1">
      <formula>OR($C86=0,$C86=2,$C86=3,$C86=4)</formula>
    </cfRule>
  </conditionalFormatting>
  <conditionalFormatting sqref="R86">
    <cfRule type="beginsWith" dxfId="793" priority="422" operator="beginsWith" text="(">
      <formula>LEFT(R86,LEN("("))="("</formula>
    </cfRule>
  </conditionalFormatting>
  <conditionalFormatting sqref="R87">
    <cfRule type="expression" dxfId="792" priority="420" stopIfTrue="1">
      <formula>$C87=1</formula>
    </cfRule>
    <cfRule type="expression" dxfId="791" priority="421" stopIfTrue="1">
      <formula>OR($C87=0,$C87=2,$C87=3,$C87=4)</formula>
    </cfRule>
  </conditionalFormatting>
  <conditionalFormatting sqref="R87">
    <cfRule type="beginsWith" dxfId="790" priority="419" operator="beginsWith" text="(">
      <formula>LEFT(R87,LEN("("))="("</formula>
    </cfRule>
  </conditionalFormatting>
  <conditionalFormatting sqref="R88">
    <cfRule type="expression" dxfId="789" priority="417" stopIfTrue="1">
      <formula>$C88=1</formula>
    </cfRule>
    <cfRule type="expression" dxfId="788" priority="418" stopIfTrue="1">
      <formula>OR($C88=0,$C88=2,$C88=3,$C88=4)</formula>
    </cfRule>
  </conditionalFormatting>
  <conditionalFormatting sqref="R88">
    <cfRule type="beginsWith" dxfId="787" priority="416" operator="beginsWith" text="(">
      <formula>LEFT(R88,LEN("("))="("</formula>
    </cfRule>
  </conditionalFormatting>
  <conditionalFormatting sqref="R89">
    <cfRule type="expression" dxfId="786" priority="414" stopIfTrue="1">
      <formula>$C89=1</formula>
    </cfRule>
    <cfRule type="expression" dxfId="785" priority="415" stopIfTrue="1">
      <formula>OR($C89=0,$C89=2,$C89=3,$C89=4)</formula>
    </cfRule>
  </conditionalFormatting>
  <conditionalFormatting sqref="R89">
    <cfRule type="beginsWith" dxfId="784" priority="413" operator="beginsWith" text="(">
      <formula>LEFT(R89,LEN("("))="("</formula>
    </cfRule>
  </conditionalFormatting>
  <conditionalFormatting sqref="R90">
    <cfRule type="expression" dxfId="783" priority="411" stopIfTrue="1">
      <formula>$C90=1</formula>
    </cfRule>
    <cfRule type="expression" dxfId="782" priority="412" stopIfTrue="1">
      <formula>OR($C90=0,$C90=2,$C90=3,$C90=4)</formula>
    </cfRule>
  </conditionalFormatting>
  <conditionalFormatting sqref="R90">
    <cfRule type="beginsWith" dxfId="781" priority="410" operator="beginsWith" text="(">
      <formula>LEFT(R90,LEN("("))="("</formula>
    </cfRule>
  </conditionalFormatting>
  <conditionalFormatting sqref="R92">
    <cfRule type="expression" dxfId="780" priority="408" stopIfTrue="1">
      <formula>$C92=1</formula>
    </cfRule>
    <cfRule type="expression" dxfId="779" priority="409" stopIfTrue="1">
      <formula>OR($C92=0,$C92=2,$C92=3,$C92=4)</formula>
    </cfRule>
  </conditionalFormatting>
  <conditionalFormatting sqref="R92">
    <cfRule type="beginsWith" dxfId="778" priority="407" operator="beginsWith" text="(">
      <formula>LEFT(R92,LEN("("))="("</formula>
    </cfRule>
  </conditionalFormatting>
  <conditionalFormatting sqref="R93">
    <cfRule type="expression" dxfId="777" priority="405" stopIfTrue="1">
      <formula>$C93=1</formula>
    </cfRule>
    <cfRule type="expression" dxfId="776" priority="406" stopIfTrue="1">
      <formula>OR($C93=0,$C93=2,$C93=3,$C93=4)</formula>
    </cfRule>
  </conditionalFormatting>
  <conditionalFormatting sqref="R93">
    <cfRule type="beginsWith" dxfId="775" priority="404" operator="beginsWith" text="(">
      <formula>LEFT(R93,LEN("("))="("</formula>
    </cfRule>
  </conditionalFormatting>
  <conditionalFormatting sqref="R95">
    <cfRule type="expression" dxfId="774" priority="402" stopIfTrue="1">
      <formula>$C95=1</formula>
    </cfRule>
    <cfRule type="expression" dxfId="773" priority="403" stopIfTrue="1">
      <formula>OR($C95=0,$C95=2,$C95=3,$C95=4)</formula>
    </cfRule>
  </conditionalFormatting>
  <conditionalFormatting sqref="R95">
    <cfRule type="beginsWith" dxfId="772" priority="401" operator="beginsWith" text="(">
      <formula>LEFT(R95,LEN("("))="("</formula>
    </cfRule>
  </conditionalFormatting>
  <conditionalFormatting sqref="R96">
    <cfRule type="expression" dxfId="771" priority="399" stopIfTrue="1">
      <formula>$C96=1</formula>
    </cfRule>
    <cfRule type="expression" dxfId="770" priority="400" stopIfTrue="1">
      <formula>OR($C96=0,$C96=2,$C96=3,$C96=4)</formula>
    </cfRule>
  </conditionalFormatting>
  <conditionalFormatting sqref="R96">
    <cfRule type="beginsWith" dxfId="769" priority="398" operator="beginsWith" text="(">
      <formula>LEFT(R96,LEN("("))="("</formula>
    </cfRule>
  </conditionalFormatting>
  <conditionalFormatting sqref="R97">
    <cfRule type="expression" dxfId="768" priority="396" stopIfTrue="1">
      <formula>$C97=1</formula>
    </cfRule>
    <cfRule type="expression" dxfId="767" priority="397" stopIfTrue="1">
      <formula>OR($C97=0,$C97=2,$C97=3,$C97=4)</formula>
    </cfRule>
  </conditionalFormatting>
  <conditionalFormatting sqref="R97">
    <cfRule type="beginsWith" dxfId="766" priority="395" operator="beginsWith" text="(">
      <formula>LEFT(R97,LEN("("))="("</formula>
    </cfRule>
  </conditionalFormatting>
  <conditionalFormatting sqref="R98">
    <cfRule type="expression" dxfId="765" priority="393" stopIfTrue="1">
      <formula>$C98=1</formula>
    </cfRule>
    <cfRule type="expression" dxfId="764" priority="394" stopIfTrue="1">
      <formula>OR($C98=0,$C98=2,$C98=3,$C98=4)</formula>
    </cfRule>
  </conditionalFormatting>
  <conditionalFormatting sqref="R98">
    <cfRule type="beginsWith" dxfId="763" priority="392" operator="beginsWith" text="(">
      <formula>LEFT(R98,LEN("("))="("</formula>
    </cfRule>
  </conditionalFormatting>
  <conditionalFormatting sqref="R100">
    <cfRule type="expression" dxfId="762" priority="390" stopIfTrue="1">
      <formula>$C100=1</formula>
    </cfRule>
    <cfRule type="expression" dxfId="761" priority="391" stopIfTrue="1">
      <formula>OR($C100=0,$C100=2,$C100=3,$C100=4)</formula>
    </cfRule>
  </conditionalFormatting>
  <conditionalFormatting sqref="R100">
    <cfRule type="beginsWith" dxfId="760" priority="389" operator="beginsWith" text="(">
      <formula>LEFT(R100,LEN("("))="("</formula>
    </cfRule>
  </conditionalFormatting>
  <conditionalFormatting sqref="R103">
    <cfRule type="expression" dxfId="759" priority="387" stopIfTrue="1">
      <formula>$C103=1</formula>
    </cfRule>
    <cfRule type="expression" dxfId="758" priority="388" stopIfTrue="1">
      <formula>OR($C103=0,$C103=2,$C103=3,$C103=4)</formula>
    </cfRule>
  </conditionalFormatting>
  <conditionalFormatting sqref="R103">
    <cfRule type="beginsWith" dxfId="757" priority="386" operator="beginsWith" text="(">
      <formula>LEFT(R103,LEN("("))="("</formula>
    </cfRule>
  </conditionalFormatting>
  <conditionalFormatting sqref="R104">
    <cfRule type="expression" dxfId="756" priority="384" stopIfTrue="1">
      <formula>$C104=1</formula>
    </cfRule>
    <cfRule type="expression" dxfId="755" priority="385" stopIfTrue="1">
      <formula>OR($C104=0,$C104=2,$C104=3,$C104=4)</formula>
    </cfRule>
  </conditionalFormatting>
  <conditionalFormatting sqref="R104">
    <cfRule type="beginsWith" dxfId="754" priority="383" operator="beginsWith" text="(">
      <formula>LEFT(R104,LEN("("))="("</formula>
    </cfRule>
  </conditionalFormatting>
  <conditionalFormatting sqref="R105">
    <cfRule type="expression" dxfId="753" priority="381" stopIfTrue="1">
      <formula>$C105=1</formula>
    </cfRule>
    <cfRule type="expression" dxfId="752" priority="382" stopIfTrue="1">
      <formula>OR($C105=0,$C105=2,$C105=3,$C105=4)</formula>
    </cfRule>
  </conditionalFormatting>
  <conditionalFormatting sqref="R105">
    <cfRule type="beginsWith" dxfId="751" priority="380" operator="beginsWith" text="(">
      <formula>LEFT(R105,LEN("("))="("</formula>
    </cfRule>
  </conditionalFormatting>
  <conditionalFormatting sqref="R106">
    <cfRule type="expression" dxfId="750" priority="378" stopIfTrue="1">
      <formula>$C106=1</formula>
    </cfRule>
    <cfRule type="expression" dxfId="749" priority="379" stopIfTrue="1">
      <formula>OR($C106=0,$C106=2,$C106=3,$C106=4)</formula>
    </cfRule>
  </conditionalFormatting>
  <conditionalFormatting sqref="R106">
    <cfRule type="beginsWith" dxfId="748" priority="377" operator="beginsWith" text="(">
      <formula>LEFT(R106,LEN("("))="("</formula>
    </cfRule>
  </conditionalFormatting>
  <conditionalFormatting sqref="R108">
    <cfRule type="expression" dxfId="747" priority="375" stopIfTrue="1">
      <formula>$C108=1</formula>
    </cfRule>
    <cfRule type="expression" dxfId="746" priority="376" stopIfTrue="1">
      <formula>OR($C108=0,$C108=2,$C108=3,$C108=4)</formula>
    </cfRule>
  </conditionalFormatting>
  <conditionalFormatting sqref="R108">
    <cfRule type="beginsWith" dxfId="745" priority="374" operator="beginsWith" text="(">
      <formula>LEFT(R108,LEN("("))="("</formula>
    </cfRule>
  </conditionalFormatting>
  <conditionalFormatting sqref="R109">
    <cfRule type="expression" dxfId="744" priority="372" stopIfTrue="1">
      <formula>$C109=1</formula>
    </cfRule>
    <cfRule type="expression" dxfId="743" priority="373" stopIfTrue="1">
      <formula>OR($C109=0,$C109=2,$C109=3,$C109=4)</formula>
    </cfRule>
  </conditionalFormatting>
  <conditionalFormatting sqref="R109">
    <cfRule type="beginsWith" dxfId="742" priority="371" operator="beginsWith" text="(">
      <formula>LEFT(R109,LEN("("))="("</formula>
    </cfRule>
  </conditionalFormatting>
  <conditionalFormatting sqref="R111">
    <cfRule type="expression" dxfId="741" priority="369" stopIfTrue="1">
      <formula>$C111=1</formula>
    </cfRule>
    <cfRule type="expression" dxfId="740" priority="370" stopIfTrue="1">
      <formula>OR($C111=0,$C111=2,$C111=3,$C111=4)</formula>
    </cfRule>
  </conditionalFormatting>
  <conditionalFormatting sqref="R111">
    <cfRule type="beginsWith" dxfId="739" priority="368" operator="beginsWith" text="(">
      <formula>LEFT(R111,LEN("("))="("</formula>
    </cfRule>
  </conditionalFormatting>
  <conditionalFormatting sqref="R112">
    <cfRule type="expression" dxfId="738" priority="366" stopIfTrue="1">
      <formula>$C112=1</formula>
    </cfRule>
    <cfRule type="expression" dxfId="737" priority="367" stopIfTrue="1">
      <formula>OR($C112=0,$C112=2,$C112=3,$C112=4)</formula>
    </cfRule>
  </conditionalFormatting>
  <conditionalFormatting sqref="R112">
    <cfRule type="beginsWith" dxfId="736" priority="365" operator="beginsWith" text="(">
      <formula>LEFT(R112,LEN("("))="("</formula>
    </cfRule>
  </conditionalFormatting>
  <conditionalFormatting sqref="R113">
    <cfRule type="expression" dxfId="735" priority="363" stopIfTrue="1">
      <formula>$C113=1</formula>
    </cfRule>
    <cfRule type="expression" dxfId="734" priority="364" stopIfTrue="1">
      <formula>OR($C113=0,$C113=2,$C113=3,$C113=4)</formula>
    </cfRule>
  </conditionalFormatting>
  <conditionalFormatting sqref="R113">
    <cfRule type="beginsWith" dxfId="733" priority="362" operator="beginsWith" text="(">
      <formula>LEFT(R113,LEN("("))="("</formula>
    </cfRule>
  </conditionalFormatting>
  <conditionalFormatting sqref="R116">
    <cfRule type="expression" dxfId="732" priority="360" stopIfTrue="1">
      <formula>$C116=1</formula>
    </cfRule>
    <cfRule type="expression" dxfId="731" priority="361" stopIfTrue="1">
      <formula>OR($C116=0,$C116=2,$C116=3,$C116=4)</formula>
    </cfRule>
  </conditionalFormatting>
  <conditionalFormatting sqref="R116">
    <cfRule type="beginsWith" dxfId="730" priority="359" operator="beginsWith" text="(">
      <formula>LEFT(R116,LEN("("))="("</formula>
    </cfRule>
  </conditionalFormatting>
  <conditionalFormatting sqref="R117">
    <cfRule type="expression" dxfId="729" priority="357" stopIfTrue="1">
      <formula>$C117=1</formula>
    </cfRule>
    <cfRule type="expression" dxfId="728" priority="358" stopIfTrue="1">
      <formula>OR($C117=0,$C117=2,$C117=3,$C117=4)</formula>
    </cfRule>
  </conditionalFormatting>
  <conditionalFormatting sqref="R117">
    <cfRule type="beginsWith" dxfId="727" priority="356" operator="beginsWith" text="(">
      <formula>LEFT(R117,LEN("("))="("</formula>
    </cfRule>
  </conditionalFormatting>
  <conditionalFormatting sqref="R118">
    <cfRule type="expression" dxfId="726" priority="354" stopIfTrue="1">
      <formula>$C118=1</formula>
    </cfRule>
    <cfRule type="expression" dxfId="725" priority="355" stopIfTrue="1">
      <formula>OR($C118=0,$C118=2,$C118=3,$C118=4)</formula>
    </cfRule>
  </conditionalFormatting>
  <conditionalFormatting sqref="R118">
    <cfRule type="beginsWith" dxfId="724" priority="353" operator="beginsWith" text="(">
      <formula>LEFT(R118,LEN("("))="("</formula>
    </cfRule>
  </conditionalFormatting>
  <conditionalFormatting sqref="R119">
    <cfRule type="expression" dxfId="723" priority="351" stopIfTrue="1">
      <formula>$C119=1</formula>
    </cfRule>
    <cfRule type="expression" dxfId="722" priority="352" stopIfTrue="1">
      <formula>OR($C119=0,$C119=2,$C119=3,$C119=4)</formula>
    </cfRule>
  </conditionalFormatting>
  <conditionalFormatting sqref="R119">
    <cfRule type="beginsWith" dxfId="721" priority="350" operator="beginsWith" text="(">
      <formula>LEFT(R119,LEN("("))="("</formula>
    </cfRule>
  </conditionalFormatting>
  <conditionalFormatting sqref="R120">
    <cfRule type="expression" dxfId="720" priority="348" stopIfTrue="1">
      <formula>$C120=1</formula>
    </cfRule>
    <cfRule type="expression" dxfId="719" priority="349" stopIfTrue="1">
      <formula>OR($C120=0,$C120=2,$C120=3,$C120=4)</formula>
    </cfRule>
  </conditionalFormatting>
  <conditionalFormatting sqref="R120">
    <cfRule type="beginsWith" dxfId="718" priority="347" operator="beginsWith" text="(">
      <formula>LEFT(R120,LEN("("))="("</formula>
    </cfRule>
  </conditionalFormatting>
  <conditionalFormatting sqref="R121">
    <cfRule type="expression" dxfId="717" priority="345" stopIfTrue="1">
      <formula>$C121=1</formula>
    </cfRule>
    <cfRule type="expression" dxfId="716" priority="346" stopIfTrue="1">
      <formula>OR($C121=0,$C121=2,$C121=3,$C121=4)</formula>
    </cfRule>
  </conditionalFormatting>
  <conditionalFormatting sqref="R121">
    <cfRule type="beginsWith" dxfId="715" priority="344" operator="beginsWith" text="(">
      <formula>LEFT(R121,LEN("("))="("</formula>
    </cfRule>
  </conditionalFormatting>
  <conditionalFormatting sqref="R122">
    <cfRule type="expression" dxfId="714" priority="342" stopIfTrue="1">
      <formula>$C122=1</formula>
    </cfRule>
    <cfRule type="expression" dxfId="713" priority="343" stopIfTrue="1">
      <formula>OR($C122=0,$C122=2,$C122=3,$C122=4)</formula>
    </cfRule>
  </conditionalFormatting>
  <conditionalFormatting sqref="R122">
    <cfRule type="beginsWith" dxfId="712" priority="341" operator="beginsWith" text="(">
      <formula>LEFT(R122,LEN("("))="("</formula>
    </cfRule>
  </conditionalFormatting>
  <conditionalFormatting sqref="R123">
    <cfRule type="expression" dxfId="711" priority="339" stopIfTrue="1">
      <formula>$C123=1</formula>
    </cfRule>
    <cfRule type="expression" dxfId="710" priority="340" stopIfTrue="1">
      <formula>OR($C123=0,$C123=2,$C123=3,$C123=4)</formula>
    </cfRule>
  </conditionalFormatting>
  <conditionalFormatting sqref="R123">
    <cfRule type="beginsWith" dxfId="709" priority="338" operator="beginsWith" text="(">
      <formula>LEFT(R123,LEN("("))="("</formula>
    </cfRule>
  </conditionalFormatting>
  <conditionalFormatting sqref="R124">
    <cfRule type="expression" dxfId="708" priority="336" stopIfTrue="1">
      <formula>$C124=1</formula>
    </cfRule>
    <cfRule type="expression" dxfId="707" priority="337" stopIfTrue="1">
      <formula>OR($C124=0,$C124=2,$C124=3,$C124=4)</formula>
    </cfRule>
  </conditionalFormatting>
  <conditionalFormatting sqref="R124">
    <cfRule type="beginsWith" dxfId="706" priority="335" operator="beginsWith" text="(">
      <formula>LEFT(R124,LEN("("))="("</formula>
    </cfRule>
  </conditionalFormatting>
  <conditionalFormatting sqref="R126">
    <cfRule type="expression" dxfId="705" priority="333" stopIfTrue="1">
      <formula>$C126=1</formula>
    </cfRule>
    <cfRule type="expression" dxfId="704" priority="334" stopIfTrue="1">
      <formula>OR($C126=0,$C126=2,$C126=3,$C126=4)</formula>
    </cfRule>
  </conditionalFormatting>
  <conditionalFormatting sqref="R126">
    <cfRule type="beginsWith" dxfId="703" priority="332" operator="beginsWith" text="(">
      <formula>LEFT(R126,LEN("("))="("</formula>
    </cfRule>
  </conditionalFormatting>
  <conditionalFormatting sqref="R127">
    <cfRule type="expression" dxfId="702" priority="330" stopIfTrue="1">
      <formula>$C127=1</formula>
    </cfRule>
    <cfRule type="expression" dxfId="701" priority="331" stopIfTrue="1">
      <formula>OR($C127=0,$C127=2,$C127=3,$C127=4)</formula>
    </cfRule>
  </conditionalFormatting>
  <conditionalFormatting sqref="R127">
    <cfRule type="beginsWith" dxfId="700" priority="329" operator="beginsWith" text="(">
      <formula>LEFT(R127,LEN("("))="("</formula>
    </cfRule>
  </conditionalFormatting>
  <conditionalFormatting sqref="R129">
    <cfRule type="expression" dxfId="699" priority="327" stopIfTrue="1">
      <formula>$C129=1</formula>
    </cfRule>
    <cfRule type="expression" dxfId="698" priority="328" stopIfTrue="1">
      <formula>OR($C129=0,$C129=2,$C129=3,$C129=4)</formula>
    </cfRule>
  </conditionalFormatting>
  <conditionalFormatting sqref="R129">
    <cfRule type="beginsWith" dxfId="697" priority="326" operator="beginsWith" text="(">
      <formula>LEFT(R129,LEN("("))="("</formula>
    </cfRule>
  </conditionalFormatting>
  <conditionalFormatting sqref="R130">
    <cfRule type="expression" dxfId="696" priority="324" stopIfTrue="1">
      <formula>$C130=1</formula>
    </cfRule>
    <cfRule type="expression" dxfId="695" priority="325" stopIfTrue="1">
      <formula>OR($C130=0,$C130=2,$C130=3,$C130=4)</formula>
    </cfRule>
  </conditionalFormatting>
  <conditionalFormatting sqref="R130">
    <cfRule type="beginsWith" dxfId="694" priority="323" operator="beginsWith" text="(">
      <formula>LEFT(R130,LEN("("))="("</formula>
    </cfRule>
  </conditionalFormatting>
  <conditionalFormatting sqref="R131">
    <cfRule type="expression" dxfId="693" priority="321" stopIfTrue="1">
      <formula>$C131=1</formula>
    </cfRule>
    <cfRule type="expression" dxfId="692" priority="322" stopIfTrue="1">
      <formula>OR($C131=0,$C131=2,$C131=3,$C131=4)</formula>
    </cfRule>
  </conditionalFormatting>
  <conditionalFormatting sqref="R131">
    <cfRule type="beginsWith" dxfId="691" priority="320" operator="beginsWith" text="(">
      <formula>LEFT(R131,LEN("("))="("</formula>
    </cfRule>
  </conditionalFormatting>
  <conditionalFormatting sqref="R135">
    <cfRule type="expression" dxfId="690" priority="318" stopIfTrue="1">
      <formula>$C135=1</formula>
    </cfRule>
    <cfRule type="expression" dxfId="689" priority="319" stopIfTrue="1">
      <formula>OR($C135=0,$C135=2,$C135=3,$C135=4)</formula>
    </cfRule>
  </conditionalFormatting>
  <conditionalFormatting sqref="R135">
    <cfRule type="beginsWith" dxfId="688" priority="317" operator="beginsWith" text="(">
      <formula>LEFT(R135,LEN("("))="("</formula>
    </cfRule>
  </conditionalFormatting>
  <conditionalFormatting sqref="R136">
    <cfRule type="expression" dxfId="687" priority="315" stopIfTrue="1">
      <formula>$C136=1</formula>
    </cfRule>
    <cfRule type="expression" dxfId="686" priority="316" stopIfTrue="1">
      <formula>OR($C136=0,$C136=2,$C136=3,$C136=4)</formula>
    </cfRule>
  </conditionalFormatting>
  <conditionalFormatting sqref="R136">
    <cfRule type="beginsWith" dxfId="685" priority="314" operator="beginsWith" text="(">
      <formula>LEFT(R136,LEN("("))="("</formula>
    </cfRule>
  </conditionalFormatting>
  <conditionalFormatting sqref="R137">
    <cfRule type="expression" dxfId="684" priority="312" stopIfTrue="1">
      <formula>$C137=1</formula>
    </cfRule>
    <cfRule type="expression" dxfId="683" priority="313" stopIfTrue="1">
      <formula>OR($C137=0,$C137=2,$C137=3,$C137=4)</formula>
    </cfRule>
  </conditionalFormatting>
  <conditionalFormatting sqref="R137">
    <cfRule type="beginsWith" dxfId="682" priority="311" operator="beginsWith" text="(">
      <formula>LEFT(R137,LEN("("))="("</formula>
    </cfRule>
  </conditionalFormatting>
  <conditionalFormatting sqref="R138">
    <cfRule type="expression" dxfId="681" priority="309" stopIfTrue="1">
      <formula>$C138=1</formula>
    </cfRule>
    <cfRule type="expression" dxfId="680" priority="310" stopIfTrue="1">
      <formula>OR($C138=0,$C138=2,$C138=3,$C138=4)</formula>
    </cfRule>
  </conditionalFormatting>
  <conditionalFormatting sqref="R138">
    <cfRule type="beginsWith" dxfId="679" priority="308" operator="beginsWith" text="(">
      <formula>LEFT(R138,LEN("("))="("</formula>
    </cfRule>
  </conditionalFormatting>
  <conditionalFormatting sqref="R139">
    <cfRule type="expression" dxfId="678" priority="306" stopIfTrue="1">
      <formula>$C139=1</formula>
    </cfRule>
    <cfRule type="expression" dxfId="677" priority="307" stopIfTrue="1">
      <formula>OR($C139=0,$C139=2,$C139=3,$C139=4)</formula>
    </cfRule>
  </conditionalFormatting>
  <conditionalFormatting sqref="R139">
    <cfRule type="beginsWith" dxfId="676" priority="305" operator="beginsWith" text="(">
      <formula>LEFT(R139,LEN("("))="("</formula>
    </cfRule>
  </conditionalFormatting>
  <conditionalFormatting sqref="R140">
    <cfRule type="expression" dxfId="675" priority="303" stopIfTrue="1">
      <formula>$C140=1</formula>
    </cfRule>
    <cfRule type="expression" dxfId="674" priority="304" stopIfTrue="1">
      <formula>OR($C140=0,$C140=2,$C140=3,$C140=4)</formula>
    </cfRule>
  </conditionalFormatting>
  <conditionalFormatting sqref="R140">
    <cfRule type="beginsWith" dxfId="673" priority="302" operator="beginsWith" text="(">
      <formula>LEFT(R140,LEN("("))="("</formula>
    </cfRule>
  </conditionalFormatting>
  <conditionalFormatting sqref="R141">
    <cfRule type="expression" dxfId="672" priority="300" stopIfTrue="1">
      <formula>$C141=1</formula>
    </cfRule>
    <cfRule type="expression" dxfId="671" priority="301" stopIfTrue="1">
      <formula>OR($C141=0,$C141=2,$C141=3,$C141=4)</formula>
    </cfRule>
  </conditionalFormatting>
  <conditionalFormatting sqref="R141">
    <cfRule type="beginsWith" dxfId="670" priority="299" operator="beginsWith" text="(">
      <formula>LEFT(R141,LEN("("))="("</formula>
    </cfRule>
  </conditionalFormatting>
  <conditionalFormatting sqref="R143">
    <cfRule type="expression" dxfId="669" priority="297" stopIfTrue="1">
      <formula>$C143=1</formula>
    </cfRule>
    <cfRule type="expression" dxfId="668" priority="298" stopIfTrue="1">
      <formula>OR($C143=0,$C143=2,$C143=3,$C143=4)</formula>
    </cfRule>
  </conditionalFormatting>
  <conditionalFormatting sqref="R143">
    <cfRule type="beginsWith" dxfId="667" priority="296" operator="beginsWith" text="(">
      <formula>LEFT(R143,LEN("("))="("</formula>
    </cfRule>
  </conditionalFormatting>
  <conditionalFormatting sqref="R144">
    <cfRule type="expression" dxfId="666" priority="294" stopIfTrue="1">
      <formula>$C144=1</formula>
    </cfRule>
    <cfRule type="expression" dxfId="665" priority="295" stopIfTrue="1">
      <formula>OR($C144=0,$C144=2,$C144=3,$C144=4)</formula>
    </cfRule>
  </conditionalFormatting>
  <conditionalFormatting sqref="R144">
    <cfRule type="beginsWith" dxfId="664" priority="293" operator="beginsWith" text="(">
      <formula>LEFT(R144,LEN("("))="("</formula>
    </cfRule>
  </conditionalFormatting>
  <conditionalFormatting sqref="R145">
    <cfRule type="expression" dxfId="663" priority="291" stopIfTrue="1">
      <formula>$C145=1</formula>
    </cfRule>
    <cfRule type="expression" dxfId="662" priority="292" stopIfTrue="1">
      <formula>OR($C145=0,$C145=2,$C145=3,$C145=4)</formula>
    </cfRule>
  </conditionalFormatting>
  <conditionalFormatting sqref="R145">
    <cfRule type="beginsWith" dxfId="661" priority="290" operator="beginsWith" text="(">
      <formula>LEFT(R145,LEN("("))="("</formula>
    </cfRule>
  </conditionalFormatting>
  <conditionalFormatting sqref="R146">
    <cfRule type="expression" dxfId="660" priority="288" stopIfTrue="1">
      <formula>$C146=1</formula>
    </cfRule>
    <cfRule type="expression" dxfId="659" priority="289" stopIfTrue="1">
      <formula>OR($C146=0,$C146=2,$C146=3,$C146=4)</formula>
    </cfRule>
  </conditionalFormatting>
  <conditionalFormatting sqref="R146">
    <cfRule type="beginsWith" dxfId="658" priority="287" operator="beginsWith" text="(">
      <formula>LEFT(R146,LEN("("))="("</formula>
    </cfRule>
  </conditionalFormatting>
  <conditionalFormatting sqref="R147">
    <cfRule type="expression" dxfId="657" priority="285" stopIfTrue="1">
      <formula>$C147=1</formula>
    </cfRule>
    <cfRule type="expression" dxfId="656" priority="286" stopIfTrue="1">
      <formula>OR($C147=0,$C147=2,$C147=3,$C147=4)</formula>
    </cfRule>
  </conditionalFormatting>
  <conditionalFormatting sqref="R147">
    <cfRule type="beginsWith" dxfId="655" priority="284" operator="beginsWith" text="(">
      <formula>LEFT(R147,LEN("("))="("</formula>
    </cfRule>
  </conditionalFormatting>
  <conditionalFormatting sqref="R148">
    <cfRule type="expression" dxfId="654" priority="282" stopIfTrue="1">
      <formula>$C148=1</formula>
    </cfRule>
    <cfRule type="expression" dxfId="653" priority="283" stopIfTrue="1">
      <formula>OR($C148=0,$C148=2,$C148=3,$C148=4)</formula>
    </cfRule>
  </conditionalFormatting>
  <conditionalFormatting sqref="R148">
    <cfRule type="beginsWith" dxfId="652" priority="281" operator="beginsWith" text="(">
      <formula>LEFT(R148,LEN("("))="("</formula>
    </cfRule>
  </conditionalFormatting>
  <conditionalFormatting sqref="R149">
    <cfRule type="expression" dxfId="651" priority="279" stopIfTrue="1">
      <formula>$C149=1</formula>
    </cfRule>
    <cfRule type="expression" dxfId="650" priority="280" stopIfTrue="1">
      <formula>OR($C149=0,$C149=2,$C149=3,$C149=4)</formula>
    </cfRule>
  </conditionalFormatting>
  <conditionalFormatting sqref="R149">
    <cfRule type="beginsWith" dxfId="649" priority="278" operator="beginsWith" text="(">
      <formula>LEFT(R149,LEN("("))="("</formula>
    </cfRule>
  </conditionalFormatting>
  <conditionalFormatting sqref="R150">
    <cfRule type="expression" dxfId="648" priority="276" stopIfTrue="1">
      <formula>$C150=1</formula>
    </cfRule>
    <cfRule type="expression" dxfId="647" priority="277" stopIfTrue="1">
      <formula>OR($C150=0,$C150=2,$C150=3,$C150=4)</formula>
    </cfRule>
  </conditionalFormatting>
  <conditionalFormatting sqref="R150">
    <cfRule type="beginsWith" dxfId="646" priority="275" operator="beginsWith" text="(">
      <formula>LEFT(R150,LEN("("))="("</formula>
    </cfRule>
  </conditionalFormatting>
  <conditionalFormatting sqref="R151">
    <cfRule type="expression" dxfId="645" priority="273" stopIfTrue="1">
      <formula>$C151=1</formula>
    </cfRule>
    <cfRule type="expression" dxfId="644" priority="274" stopIfTrue="1">
      <formula>OR($C151=0,$C151=2,$C151=3,$C151=4)</formula>
    </cfRule>
  </conditionalFormatting>
  <conditionalFormatting sqref="R151">
    <cfRule type="beginsWith" dxfId="643" priority="272" operator="beginsWith" text="(">
      <formula>LEFT(R151,LEN("("))="("</formula>
    </cfRule>
  </conditionalFormatting>
  <conditionalFormatting sqref="R152">
    <cfRule type="expression" dxfId="642" priority="270" stopIfTrue="1">
      <formula>$C152=1</formula>
    </cfRule>
    <cfRule type="expression" dxfId="641" priority="271" stopIfTrue="1">
      <formula>OR($C152=0,$C152=2,$C152=3,$C152=4)</formula>
    </cfRule>
  </conditionalFormatting>
  <conditionalFormatting sqref="R152">
    <cfRule type="beginsWith" dxfId="640" priority="269" operator="beginsWith" text="(">
      <formula>LEFT(R152,LEN("("))="("</formula>
    </cfRule>
  </conditionalFormatting>
  <conditionalFormatting sqref="R153">
    <cfRule type="expression" dxfId="639" priority="267" stopIfTrue="1">
      <formula>$C153=1</formula>
    </cfRule>
    <cfRule type="expression" dxfId="638" priority="268" stopIfTrue="1">
      <formula>OR($C153=0,$C153=2,$C153=3,$C153=4)</formula>
    </cfRule>
  </conditionalFormatting>
  <conditionalFormatting sqref="R153">
    <cfRule type="beginsWith" dxfId="637" priority="266" operator="beginsWith" text="(">
      <formula>LEFT(R153,LEN("("))="("</formula>
    </cfRule>
  </conditionalFormatting>
  <conditionalFormatting sqref="R154">
    <cfRule type="expression" dxfId="636" priority="264" stopIfTrue="1">
      <formula>$C154=1</formula>
    </cfRule>
    <cfRule type="expression" dxfId="635" priority="265" stopIfTrue="1">
      <formula>OR($C154=0,$C154=2,$C154=3,$C154=4)</formula>
    </cfRule>
  </conditionalFormatting>
  <conditionalFormatting sqref="R154">
    <cfRule type="beginsWith" dxfId="634" priority="263" operator="beginsWith" text="(">
      <formula>LEFT(R154,LEN("("))="("</formula>
    </cfRule>
  </conditionalFormatting>
  <conditionalFormatting sqref="R155">
    <cfRule type="expression" dxfId="633" priority="261" stopIfTrue="1">
      <formula>$C155=1</formula>
    </cfRule>
    <cfRule type="expression" dxfId="632" priority="262" stopIfTrue="1">
      <formula>OR($C155=0,$C155=2,$C155=3,$C155=4)</formula>
    </cfRule>
  </conditionalFormatting>
  <conditionalFormatting sqref="R155">
    <cfRule type="beginsWith" dxfId="631" priority="260" operator="beginsWith" text="(">
      <formula>LEFT(R155,LEN("("))="("</formula>
    </cfRule>
  </conditionalFormatting>
  <conditionalFormatting sqref="R157">
    <cfRule type="expression" dxfId="630" priority="258" stopIfTrue="1">
      <formula>$C157=1</formula>
    </cfRule>
    <cfRule type="expression" dxfId="629" priority="259" stopIfTrue="1">
      <formula>OR($C157=0,$C157=2,$C157=3,$C157=4)</formula>
    </cfRule>
  </conditionalFormatting>
  <conditionalFormatting sqref="R157">
    <cfRule type="beginsWith" dxfId="628" priority="257" operator="beginsWith" text="(">
      <formula>LEFT(R157,LEN("("))="("</formula>
    </cfRule>
  </conditionalFormatting>
  <conditionalFormatting sqref="R158">
    <cfRule type="expression" dxfId="627" priority="255" stopIfTrue="1">
      <formula>$C158=1</formula>
    </cfRule>
    <cfRule type="expression" dxfId="626" priority="256" stopIfTrue="1">
      <formula>OR($C158=0,$C158=2,$C158=3,$C158=4)</formula>
    </cfRule>
  </conditionalFormatting>
  <conditionalFormatting sqref="R158">
    <cfRule type="beginsWith" dxfId="625" priority="254" operator="beginsWith" text="(">
      <formula>LEFT(R158,LEN("("))="("</formula>
    </cfRule>
  </conditionalFormatting>
  <conditionalFormatting sqref="R159">
    <cfRule type="expression" dxfId="624" priority="252" stopIfTrue="1">
      <formula>$C159=1</formula>
    </cfRule>
    <cfRule type="expression" dxfId="623" priority="253" stopIfTrue="1">
      <formula>OR($C159=0,$C159=2,$C159=3,$C159=4)</formula>
    </cfRule>
  </conditionalFormatting>
  <conditionalFormatting sqref="R159">
    <cfRule type="beginsWith" dxfId="622" priority="251" operator="beginsWith" text="(">
      <formula>LEFT(R159,LEN("("))="("</formula>
    </cfRule>
  </conditionalFormatting>
  <conditionalFormatting sqref="R160">
    <cfRule type="expression" dxfId="621" priority="249" stopIfTrue="1">
      <formula>$C160=1</formula>
    </cfRule>
    <cfRule type="expression" dxfId="620" priority="250" stopIfTrue="1">
      <formula>OR($C160=0,$C160=2,$C160=3,$C160=4)</formula>
    </cfRule>
  </conditionalFormatting>
  <conditionalFormatting sqref="R160">
    <cfRule type="beginsWith" dxfId="619" priority="248" operator="beginsWith" text="(">
      <formula>LEFT(R160,LEN("("))="("</formula>
    </cfRule>
  </conditionalFormatting>
  <conditionalFormatting sqref="R161">
    <cfRule type="expression" dxfId="618" priority="246" stopIfTrue="1">
      <formula>$C161=1</formula>
    </cfRule>
    <cfRule type="expression" dxfId="617" priority="247" stopIfTrue="1">
      <formula>OR($C161=0,$C161=2,$C161=3,$C161=4)</formula>
    </cfRule>
  </conditionalFormatting>
  <conditionalFormatting sqref="R161">
    <cfRule type="beginsWith" dxfId="616" priority="245" operator="beginsWith" text="(">
      <formula>LEFT(R161,LEN("("))="("</formula>
    </cfRule>
  </conditionalFormatting>
  <conditionalFormatting sqref="R162">
    <cfRule type="expression" dxfId="615" priority="243" stopIfTrue="1">
      <formula>$C162=1</formula>
    </cfRule>
    <cfRule type="expression" dxfId="614" priority="244" stopIfTrue="1">
      <formula>OR($C162=0,$C162=2,$C162=3,$C162=4)</formula>
    </cfRule>
  </conditionalFormatting>
  <conditionalFormatting sqref="R162">
    <cfRule type="beginsWith" dxfId="613" priority="242" operator="beginsWith" text="(">
      <formula>LEFT(R162,LEN("("))="("</formula>
    </cfRule>
  </conditionalFormatting>
  <conditionalFormatting sqref="R163">
    <cfRule type="expression" dxfId="612" priority="240" stopIfTrue="1">
      <formula>$C163=1</formula>
    </cfRule>
    <cfRule type="expression" dxfId="611" priority="241" stopIfTrue="1">
      <formula>OR($C163=0,$C163=2,$C163=3,$C163=4)</formula>
    </cfRule>
  </conditionalFormatting>
  <conditionalFormatting sqref="R163">
    <cfRule type="beginsWith" dxfId="610" priority="239" operator="beginsWith" text="(">
      <formula>LEFT(R163,LEN("("))="("</formula>
    </cfRule>
  </conditionalFormatting>
  <conditionalFormatting sqref="R164">
    <cfRule type="expression" dxfId="609" priority="237" stopIfTrue="1">
      <formula>$C164=1</formula>
    </cfRule>
    <cfRule type="expression" dxfId="608" priority="238" stopIfTrue="1">
      <formula>OR($C164=0,$C164=2,$C164=3,$C164=4)</formula>
    </cfRule>
  </conditionalFormatting>
  <conditionalFormatting sqref="R164">
    <cfRule type="beginsWith" dxfId="607" priority="236" operator="beginsWith" text="(">
      <formula>LEFT(R164,LEN("("))="("</formula>
    </cfRule>
  </conditionalFormatting>
  <conditionalFormatting sqref="R165">
    <cfRule type="expression" dxfId="606" priority="234" stopIfTrue="1">
      <formula>$C165=1</formula>
    </cfRule>
    <cfRule type="expression" dxfId="605" priority="235" stopIfTrue="1">
      <formula>OR($C165=0,$C165=2,$C165=3,$C165=4)</formula>
    </cfRule>
  </conditionalFormatting>
  <conditionalFormatting sqref="R165">
    <cfRule type="beginsWith" dxfId="604" priority="233" operator="beginsWith" text="(">
      <formula>LEFT(R165,LEN("("))="("</formula>
    </cfRule>
  </conditionalFormatting>
  <conditionalFormatting sqref="R168">
    <cfRule type="expression" dxfId="603" priority="231" stopIfTrue="1">
      <formula>$C168=1</formula>
    </cfRule>
    <cfRule type="expression" dxfId="602" priority="232" stopIfTrue="1">
      <formula>OR($C168=0,$C168=2,$C168=3,$C168=4)</formula>
    </cfRule>
  </conditionalFormatting>
  <conditionalFormatting sqref="R168">
    <cfRule type="beginsWith" dxfId="601" priority="230" operator="beginsWith" text="(">
      <formula>LEFT(R168,LEN("("))="("</formula>
    </cfRule>
  </conditionalFormatting>
  <conditionalFormatting sqref="R169">
    <cfRule type="expression" dxfId="600" priority="228" stopIfTrue="1">
      <formula>$C169=1</formula>
    </cfRule>
    <cfRule type="expression" dxfId="599" priority="229" stopIfTrue="1">
      <formula>OR($C169=0,$C169=2,$C169=3,$C169=4)</formula>
    </cfRule>
  </conditionalFormatting>
  <conditionalFormatting sqref="R169">
    <cfRule type="beginsWith" dxfId="598" priority="227" operator="beginsWith" text="(">
      <formula>LEFT(R169,LEN("("))="("</formula>
    </cfRule>
  </conditionalFormatting>
  <conditionalFormatting sqref="R170">
    <cfRule type="expression" dxfId="597" priority="225" stopIfTrue="1">
      <formula>$C170=1</formula>
    </cfRule>
    <cfRule type="expression" dxfId="596" priority="226" stopIfTrue="1">
      <formula>OR($C170=0,$C170=2,$C170=3,$C170=4)</formula>
    </cfRule>
  </conditionalFormatting>
  <conditionalFormatting sqref="R170">
    <cfRule type="beginsWith" dxfId="595" priority="224" operator="beginsWith" text="(">
      <formula>LEFT(R170,LEN("("))="("</formula>
    </cfRule>
  </conditionalFormatting>
  <conditionalFormatting sqref="R171">
    <cfRule type="expression" dxfId="594" priority="222" stopIfTrue="1">
      <formula>$C171=1</formula>
    </cfRule>
    <cfRule type="expression" dxfId="593" priority="223" stopIfTrue="1">
      <formula>OR($C171=0,$C171=2,$C171=3,$C171=4)</formula>
    </cfRule>
  </conditionalFormatting>
  <conditionalFormatting sqref="R171">
    <cfRule type="beginsWith" dxfId="592" priority="221" operator="beginsWith" text="(">
      <formula>LEFT(R171,LEN("("))="("</formula>
    </cfRule>
  </conditionalFormatting>
  <conditionalFormatting sqref="R172">
    <cfRule type="expression" dxfId="591" priority="219" stopIfTrue="1">
      <formula>$C172=1</formula>
    </cfRule>
    <cfRule type="expression" dxfId="590" priority="220" stopIfTrue="1">
      <formula>OR($C172=0,$C172=2,$C172=3,$C172=4)</formula>
    </cfRule>
  </conditionalFormatting>
  <conditionalFormatting sqref="R172">
    <cfRule type="beginsWith" dxfId="589" priority="218" operator="beginsWith" text="(">
      <formula>LEFT(R172,LEN("("))="("</formula>
    </cfRule>
  </conditionalFormatting>
  <conditionalFormatting sqref="R173">
    <cfRule type="expression" dxfId="588" priority="216" stopIfTrue="1">
      <formula>$C173=1</formula>
    </cfRule>
    <cfRule type="expression" dxfId="587" priority="217" stopIfTrue="1">
      <formula>OR($C173=0,$C173=2,$C173=3,$C173=4)</formula>
    </cfRule>
  </conditionalFormatting>
  <conditionalFormatting sqref="R173">
    <cfRule type="beginsWith" dxfId="586" priority="215" operator="beginsWith" text="(">
      <formula>LEFT(R173,LEN("("))="("</formula>
    </cfRule>
  </conditionalFormatting>
  <conditionalFormatting sqref="R174">
    <cfRule type="expression" dxfId="585" priority="213" stopIfTrue="1">
      <formula>$C174=1</formula>
    </cfRule>
    <cfRule type="expression" dxfId="584" priority="214" stopIfTrue="1">
      <formula>OR($C174=0,$C174=2,$C174=3,$C174=4)</formula>
    </cfRule>
  </conditionalFormatting>
  <conditionalFormatting sqref="R174">
    <cfRule type="beginsWith" dxfId="583" priority="212" operator="beginsWith" text="(">
      <formula>LEFT(R174,LEN("("))="("</formula>
    </cfRule>
  </conditionalFormatting>
  <conditionalFormatting sqref="R176">
    <cfRule type="expression" dxfId="582" priority="210" stopIfTrue="1">
      <formula>$C176=1</formula>
    </cfRule>
    <cfRule type="expression" dxfId="581" priority="211" stopIfTrue="1">
      <formula>OR($C176=0,$C176=2,$C176=3,$C176=4)</formula>
    </cfRule>
  </conditionalFormatting>
  <conditionalFormatting sqref="R176">
    <cfRule type="beginsWith" dxfId="580" priority="209" operator="beginsWith" text="(">
      <formula>LEFT(R176,LEN("("))="("</formula>
    </cfRule>
  </conditionalFormatting>
  <conditionalFormatting sqref="R177">
    <cfRule type="expression" dxfId="579" priority="207" stopIfTrue="1">
      <formula>$C177=1</formula>
    </cfRule>
    <cfRule type="expression" dxfId="578" priority="208" stopIfTrue="1">
      <formula>OR($C177=0,$C177=2,$C177=3,$C177=4)</formula>
    </cfRule>
  </conditionalFormatting>
  <conditionalFormatting sqref="R177">
    <cfRule type="beginsWith" dxfId="577" priority="206" operator="beginsWith" text="(">
      <formula>LEFT(R177,LEN("("))="("</formula>
    </cfRule>
  </conditionalFormatting>
  <conditionalFormatting sqref="R178">
    <cfRule type="expression" dxfId="576" priority="204" stopIfTrue="1">
      <formula>$C178=1</formula>
    </cfRule>
    <cfRule type="expression" dxfId="575" priority="205" stopIfTrue="1">
      <formula>OR($C178=0,$C178=2,$C178=3,$C178=4)</formula>
    </cfRule>
  </conditionalFormatting>
  <conditionalFormatting sqref="R178">
    <cfRule type="beginsWith" dxfId="574" priority="203" operator="beginsWith" text="(">
      <formula>LEFT(R178,LEN("("))="("</formula>
    </cfRule>
  </conditionalFormatting>
  <conditionalFormatting sqref="R179">
    <cfRule type="expression" dxfId="573" priority="201" stopIfTrue="1">
      <formula>$C179=1</formula>
    </cfRule>
    <cfRule type="expression" dxfId="572" priority="202" stopIfTrue="1">
      <formula>OR($C179=0,$C179=2,$C179=3,$C179=4)</formula>
    </cfRule>
  </conditionalFormatting>
  <conditionalFormatting sqref="R179">
    <cfRule type="beginsWith" dxfId="571" priority="200" operator="beginsWith" text="(">
      <formula>LEFT(R179,LEN("("))="("</formula>
    </cfRule>
  </conditionalFormatting>
  <conditionalFormatting sqref="R181">
    <cfRule type="expression" dxfId="570" priority="198" stopIfTrue="1">
      <formula>$C181=1</formula>
    </cfRule>
    <cfRule type="expression" dxfId="569" priority="199" stopIfTrue="1">
      <formula>OR($C181=0,$C181=2,$C181=3,$C181=4)</formula>
    </cfRule>
  </conditionalFormatting>
  <conditionalFormatting sqref="R181">
    <cfRule type="beginsWith" dxfId="568" priority="197" operator="beginsWith" text="(">
      <formula>LEFT(R181,LEN("("))="("</formula>
    </cfRule>
  </conditionalFormatting>
  <conditionalFormatting sqref="R182">
    <cfRule type="expression" dxfId="567" priority="195" stopIfTrue="1">
      <formula>$C182=1</formula>
    </cfRule>
    <cfRule type="expression" dxfId="566" priority="196" stopIfTrue="1">
      <formula>OR($C182=0,$C182=2,$C182=3,$C182=4)</formula>
    </cfRule>
  </conditionalFormatting>
  <conditionalFormatting sqref="R182">
    <cfRule type="beginsWith" dxfId="565" priority="194" operator="beginsWith" text="(">
      <formula>LEFT(R182,LEN("("))="("</formula>
    </cfRule>
  </conditionalFormatting>
  <conditionalFormatting sqref="R183">
    <cfRule type="expression" dxfId="564" priority="192" stopIfTrue="1">
      <formula>$C183=1</formula>
    </cfRule>
    <cfRule type="expression" dxfId="563" priority="193" stopIfTrue="1">
      <formula>OR($C183=0,$C183=2,$C183=3,$C183=4)</formula>
    </cfRule>
  </conditionalFormatting>
  <conditionalFormatting sqref="R183">
    <cfRule type="beginsWith" dxfId="562" priority="191" operator="beginsWith" text="(">
      <formula>LEFT(R183,LEN("("))="("</formula>
    </cfRule>
  </conditionalFormatting>
  <conditionalFormatting sqref="R184">
    <cfRule type="expression" dxfId="561" priority="189" stopIfTrue="1">
      <formula>$C184=1</formula>
    </cfRule>
    <cfRule type="expression" dxfId="560" priority="190" stopIfTrue="1">
      <formula>OR($C184=0,$C184=2,$C184=3,$C184=4)</formula>
    </cfRule>
  </conditionalFormatting>
  <conditionalFormatting sqref="R184">
    <cfRule type="beginsWith" dxfId="559" priority="188" operator="beginsWith" text="(">
      <formula>LEFT(R184,LEN("("))="("</formula>
    </cfRule>
  </conditionalFormatting>
  <conditionalFormatting sqref="R185">
    <cfRule type="expression" dxfId="558" priority="186" stopIfTrue="1">
      <formula>$C185=1</formula>
    </cfRule>
    <cfRule type="expression" dxfId="557" priority="187" stopIfTrue="1">
      <formula>OR($C185=0,$C185=2,$C185=3,$C185=4)</formula>
    </cfRule>
  </conditionalFormatting>
  <conditionalFormatting sqref="R185">
    <cfRule type="beginsWith" dxfId="556" priority="185" operator="beginsWith" text="(">
      <formula>LEFT(R185,LEN("("))="("</formula>
    </cfRule>
  </conditionalFormatting>
  <conditionalFormatting sqref="R186">
    <cfRule type="expression" dxfId="555" priority="183" stopIfTrue="1">
      <formula>$C186=1</formula>
    </cfRule>
    <cfRule type="expression" dxfId="554" priority="184" stopIfTrue="1">
      <formula>OR($C186=0,$C186=2,$C186=3,$C186=4)</formula>
    </cfRule>
  </conditionalFormatting>
  <conditionalFormatting sqref="R186">
    <cfRule type="beginsWith" dxfId="553" priority="182" operator="beginsWith" text="(">
      <formula>LEFT(R186,LEN("("))="("</formula>
    </cfRule>
  </conditionalFormatting>
  <conditionalFormatting sqref="R187">
    <cfRule type="expression" dxfId="552" priority="180" stopIfTrue="1">
      <formula>$C187=1</formula>
    </cfRule>
    <cfRule type="expression" dxfId="551" priority="181" stopIfTrue="1">
      <formula>OR($C187=0,$C187=2,$C187=3,$C187=4)</formula>
    </cfRule>
  </conditionalFormatting>
  <conditionalFormatting sqref="R187">
    <cfRule type="beginsWith" dxfId="550" priority="179" operator="beginsWith" text="(">
      <formula>LEFT(R187,LEN("("))="("</formula>
    </cfRule>
  </conditionalFormatting>
  <conditionalFormatting sqref="R189">
    <cfRule type="expression" dxfId="549" priority="177" stopIfTrue="1">
      <formula>$C189=1</formula>
    </cfRule>
    <cfRule type="expression" dxfId="548" priority="178" stopIfTrue="1">
      <formula>OR($C189=0,$C189=2,$C189=3,$C189=4)</formula>
    </cfRule>
  </conditionalFormatting>
  <conditionalFormatting sqref="R189">
    <cfRule type="beginsWith" dxfId="547" priority="176" operator="beginsWith" text="(">
      <formula>LEFT(R189,LEN("("))="("</formula>
    </cfRule>
  </conditionalFormatting>
  <conditionalFormatting sqref="R190">
    <cfRule type="expression" dxfId="546" priority="174" stopIfTrue="1">
      <formula>$C190=1</formula>
    </cfRule>
    <cfRule type="expression" dxfId="545" priority="175" stopIfTrue="1">
      <formula>OR($C190=0,$C190=2,$C190=3,$C190=4)</formula>
    </cfRule>
  </conditionalFormatting>
  <conditionalFormatting sqref="R190">
    <cfRule type="beginsWith" dxfId="544" priority="173" operator="beginsWith" text="(">
      <formula>LEFT(R190,LEN("("))="("</formula>
    </cfRule>
  </conditionalFormatting>
  <conditionalFormatting sqref="R191">
    <cfRule type="expression" dxfId="543" priority="171" stopIfTrue="1">
      <formula>$C191=1</formula>
    </cfRule>
    <cfRule type="expression" dxfId="542" priority="172" stopIfTrue="1">
      <formula>OR($C191=0,$C191=2,$C191=3,$C191=4)</formula>
    </cfRule>
  </conditionalFormatting>
  <conditionalFormatting sqref="R191">
    <cfRule type="beginsWith" dxfId="541" priority="170" operator="beginsWith" text="(">
      <formula>LEFT(R191,LEN("("))="("</formula>
    </cfRule>
  </conditionalFormatting>
  <conditionalFormatting sqref="R192">
    <cfRule type="expression" dxfId="540" priority="168" stopIfTrue="1">
      <formula>$C192=1</formula>
    </cfRule>
    <cfRule type="expression" dxfId="539" priority="169" stopIfTrue="1">
      <formula>OR($C192=0,$C192=2,$C192=3,$C192=4)</formula>
    </cfRule>
  </conditionalFormatting>
  <conditionalFormatting sqref="R192">
    <cfRule type="beginsWith" dxfId="538" priority="167" operator="beginsWith" text="(">
      <formula>LEFT(R192,LEN("("))="("</formula>
    </cfRule>
  </conditionalFormatting>
  <conditionalFormatting sqref="R193">
    <cfRule type="expression" dxfId="537" priority="165" stopIfTrue="1">
      <formula>$C193=1</formula>
    </cfRule>
    <cfRule type="expression" dxfId="536" priority="166" stopIfTrue="1">
      <formula>OR($C193=0,$C193=2,$C193=3,$C193=4)</formula>
    </cfRule>
  </conditionalFormatting>
  <conditionalFormatting sqref="R193">
    <cfRule type="beginsWith" dxfId="535" priority="164" operator="beginsWith" text="(">
      <formula>LEFT(R193,LEN("("))="("</formula>
    </cfRule>
  </conditionalFormatting>
  <conditionalFormatting sqref="R194">
    <cfRule type="expression" dxfId="534" priority="162" stopIfTrue="1">
      <formula>$C194=1</formula>
    </cfRule>
    <cfRule type="expression" dxfId="533" priority="163" stopIfTrue="1">
      <formula>OR($C194=0,$C194=2,$C194=3,$C194=4)</formula>
    </cfRule>
  </conditionalFormatting>
  <conditionalFormatting sqref="R194">
    <cfRule type="beginsWith" dxfId="532" priority="161" operator="beginsWith" text="(">
      <formula>LEFT(R194,LEN("("))="("</formula>
    </cfRule>
  </conditionalFormatting>
  <conditionalFormatting sqref="R195">
    <cfRule type="expression" dxfId="531" priority="159" stopIfTrue="1">
      <formula>$C195=1</formula>
    </cfRule>
    <cfRule type="expression" dxfId="530" priority="160" stopIfTrue="1">
      <formula>OR($C195=0,$C195=2,$C195=3,$C195=4)</formula>
    </cfRule>
  </conditionalFormatting>
  <conditionalFormatting sqref="R195">
    <cfRule type="beginsWith" dxfId="529" priority="158" operator="beginsWith" text="(">
      <formula>LEFT(R195,LEN("("))="("</formula>
    </cfRule>
  </conditionalFormatting>
  <conditionalFormatting sqref="R196">
    <cfRule type="expression" dxfId="528" priority="156" stopIfTrue="1">
      <formula>$C196=1</formula>
    </cfRule>
    <cfRule type="expression" dxfId="527" priority="157" stopIfTrue="1">
      <formula>OR($C196=0,$C196=2,$C196=3,$C196=4)</formula>
    </cfRule>
  </conditionalFormatting>
  <conditionalFormatting sqref="R196">
    <cfRule type="beginsWith" dxfId="526" priority="155" operator="beginsWith" text="(">
      <formula>LEFT(R196,LEN("("))="("</formula>
    </cfRule>
  </conditionalFormatting>
  <conditionalFormatting sqref="R197">
    <cfRule type="expression" dxfId="525" priority="153" stopIfTrue="1">
      <formula>$C197=1</formula>
    </cfRule>
    <cfRule type="expression" dxfId="524" priority="154" stopIfTrue="1">
      <formula>OR($C197=0,$C197=2,$C197=3,$C197=4)</formula>
    </cfRule>
  </conditionalFormatting>
  <conditionalFormatting sqref="R197">
    <cfRule type="beginsWith" dxfId="523" priority="152" operator="beginsWith" text="(">
      <formula>LEFT(R197,LEN("("))="("</formula>
    </cfRule>
  </conditionalFormatting>
  <conditionalFormatting sqref="R198">
    <cfRule type="expression" dxfId="522" priority="150" stopIfTrue="1">
      <formula>$C198=1</formula>
    </cfRule>
    <cfRule type="expression" dxfId="521" priority="151" stopIfTrue="1">
      <formula>OR($C198=0,$C198=2,$C198=3,$C198=4)</formula>
    </cfRule>
  </conditionalFormatting>
  <conditionalFormatting sqref="R198">
    <cfRule type="beginsWith" dxfId="520" priority="149" operator="beginsWith" text="(">
      <formula>LEFT(R198,LEN("("))="("</formula>
    </cfRule>
  </conditionalFormatting>
  <conditionalFormatting sqref="R199">
    <cfRule type="expression" dxfId="519" priority="147" stopIfTrue="1">
      <formula>$C199=1</formula>
    </cfRule>
    <cfRule type="expression" dxfId="518" priority="148" stopIfTrue="1">
      <formula>OR($C199=0,$C199=2,$C199=3,$C199=4)</formula>
    </cfRule>
  </conditionalFormatting>
  <conditionalFormatting sqref="R199">
    <cfRule type="beginsWith" dxfId="517" priority="146" operator="beginsWith" text="(">
      <formula>LEFT(R199,LEN("("))="("</formula>
    </cfRule>
  </conditionalFormatting>
  <conditionalFormatting sqref="R200">
    <cfRule type="expression" dxfId="516" priority="144" stopIfTrue="1">
      <formula>$C200=1</formula>
    </cfRule>
    <cfRule type="expression" dxfId="515" priority="145" stopIfTrue="1">
      <formula>OR($C200=0,$C200=2,$C200=3,$C200=4)</formula>
    </cfRule>
  </conditionalFormatting>
  <conditionalFormatting sqref="R200">
    <cfRule type="beginsWith" dxfId="514" priority="143" operator="beginsWith" text="(">
      <formula>LEFT(R200,LEN("("))="("</formula>
    </cfRule>
  </conditionalFormatting>
  <conditionalFormatting sqref="R201">
    <cfRule type="expression" dxfId="513" priority="141" stopIfTrue="1">
      <formula>$C201=1</formula>
    </cfRule>
    <cfRule type="expression" dxfId="512" priority="142" stopIfTrue="1">
      <formula>OR($C201=0,$C201=2,$C201=3,$C201=4)</formula>
    </cfRule>
  </conditionalFormatting>
  <conditionalFormatting sqref="R201">
    <cfRule type="beginsWith" dxfId="511" priority="140" operator="beginsWith" text="(">
      <formula>LEFT(R201,LEN("("))="("</formula>
    </cfRule>
  </conditionalFormatting>
  <conditionalFormatting sqref="R202">
    <cfRule type="expression" dxfId="510" priority="138" stopIfTrue="1">
      <formula>$C202=1</formula>
    </cfRule>
    <cfRule type="expression" dxfId="509" priority="139" stopIfTrue="1">
      <formula>OR($C202=0,$C202=2,$C202=3,$C202=4)</formula>
    </cfRule>
  </conditionalFormatting>
  <conditionalFormatting sqref="R202">
    <cfRule type="beginsWith" dxfId="508" priority="137" operator="beginsWith" text="(">
      <formula>LEFT(R202,LEN("("))="("</formula>
    </cfRule>
  </conditionalFormatting>
  <conditionalFormatting sqref="R205">
    <cfRule type="expression" dxfId="507" priority="135" stopIfTrue="1">
      <formula>$C205=1</formula>
    </cfRule>
    <cfRule type="expression" dxfId="506" priority="136" stopIfTrue="1">
      <formula>OR($C205=0,$C205=2,$C205=3,$C205=4)</formula>
    </cfRule>
  </conditionalFormatting>
  <conditionalFormatting sqref="R205">
    <cfRule type="beginsWith" dxfId="505" priority="134" operator="beginsWith" text="(">
      <formula>LEFT(R205,LEN("("))="("</formula>
    </cfRule>
  </conditionalFormatting>
  <conditionalFormatting sqref="R206">
    <cfRule type="expression" dxfId="504" priority="132" stopIfTrue="1">
      <formula>$C206=1</formula>
    </cfRule>
    <cfRule type="expression" dxfId="503" priority="133" stopIfTrue="1">
      <formula>OR($C206=0,$C206=2,$C206=3,$C206=4)</formula>
    </cfRule>
  </conditionalFormatting>
  <conditionalFormatting sqref="R206">
    <cfRule type="beginsWith" dxfId="502" priority="131" operator="beginsWith" text="(">
      <formula>LEFT(R206,LEN("("))="("</formula>
    </cfRule>
  </conditionalFormatting>
  <conditionalFormatting sqref="R207">
    <cfRule type="expression" dxfId="501" priority="129" stopIfTrue="1">
      <formula>$C207=1</formula>
    </cfRule>
    <cfRule type="expression" dxfId="500" priority="130" stopIfTrue="1">
      <formula>OR($C207=0,$C207=2,$C207=3,$C207=4)</formula>
    </cfRule>
  </conditionalFormatting>
  <conditionalFormatting sqref="R207">
    <cfRule type="beginsWith" dxfId="499" priority="128" operator="beginsWith" text="(">
      <formula>LEFT(R207,LEN("("))="("</formula>
    </cfRule>
  </conditionalFormatting>
  <conditionalFormatting sqref="R208">
    <cfRule type="expression" dxfId="498" priority="126" stopIfTrue="1">
      <formula>$C208=1</formula>
    </cfRule>
    <cfRule type="expression" dxfId="497" priority="127" stopIfTrue="1">
      <formula>OR($C208=0,$C208=2,$C208=3,$C208=4)</formula>
    </cfRule>
  </conditionalFormatting>
  <conditionalFormatting sqref="R208">
    <cfRule type="beginsWith" dxfId="496" priority="125" operator="beginsWith" text="(">
      <formula>LEFT(R208,LEN("("))="("</formula>
    </cfRule>
  </conditionalFormatting>
  <conditionalFormatting sqref="R209">
    <cfRule type="expression" dxfId="495" priority="123" stopIfTrue="1">
      <formula>$C209=1</formula>
    </cfRule>
    <cfRule type="expression" dxfId="494" priority="124" stopIfTrue="1">
      <formula>OR($C209=0,$C209=2,$C209=3,$C209=4)</formula>
    </cfRule>
  </conditionalFormatting>
  <conditionalFormatting sqref="R209">
    <cfRule type="beginsWith" dxfId="493" priority="122" operator="beginsWith" text="(">
      <formula>LEFT(R209,LEN("("))="("</formula>
    </cfRule>
  </conditionalFormatting>
  <conditionalFormatting sqref="R210">
    <cfRule type="expression" dxfId="492" priority="120" stopIfTrue="1">
      <formula>$C210=1</formula>
    </cfRule>
    <cfRule type="expression" dxfId="491" priority="121" stopIfTrue="1">
      <formula>OR($C210=0,$C210=2,$C210=3,$C210=4)</formula>
    </cfRule>
  </conditionalFormatting>
  <conditionalFormatting sqref="R210">
    <cfRule type="beginsWith" dxfId="490" priority="119" operator="beginsWith" text="(">
      <formula>LEFT(R210,LEN("("))="("</formula>
    </cfRule>
  </conditionalFormatting>
  <conditionalFormatting sqref="R211">
    <cfRule type="expression" dxfId="489" priority="117" stopIfTrue="1">
      <formula>$C211=1</formula>
    </cfRule>
    <cfRule type="expression" dxfId="488" priority="118" stopIfTrue="1">
      <formula>OR($C211=0,$C211=2,$C211=3,$C211=4)</formula>
    </cfRule>
  </conditionalFormatting>
  <conditionalFormatting sqref="R211">
    <cfRule type="beginsWith" dxfId="487" priority="116" operator="beginsWith" text="(">
      <formula>LEFT(R211,LEN("("))="("</formula>
    </cfRule>
  </conditionalFormatting>
  <conditionalFormatting sqref="R212">
    <cfRule type="expression" dxfId="486" priority="114" stopIfTrue="1">
      <formula>$C212=1</formula>
    </cfRule>
    <cfRule type="expression" dxfId="485" priority="115" stopIfTrue="1">
      <formula>OR($C212=0,$C212=2,$C212=3,$C212=4)</formula>
    </cfRule>
  </conditionalFormatting>
  <conditionalFormatting sqref="R212">
    <cfRule type="beginsWith" dxfId="484" priority="113" operator="beginsWith" text="(">
      <formula>LEFT(R212,LEN("("))="("</formula>
    </cfRule>
  </conditionalFormatting>
  <conditionalFormatting sqref="R213">
    <cfRule type="expression" dxfId="483" priority="111" stopIfTrue="1">
      <formula>$C213=1</formula>
    </cfRule>
    <cfRule type="expression" dxfId="482" priority="112" stopIfTrue="1">
      <formula>OR($C213=0,$C213=2,$C213=3,$C213=4)</formula>
    </cfRule>
  </conditionalFormatting>
  <conditionalFormatting sqref="R213">
    <cfRule type="beginsWith" dxfId="481" priority="110" operator="beginsWith" text="(">
      <formula>LEFT(R213,LEN("("))="("</formula>
    </cfRule>
  </conditionalFormatting>
  <conditionalFormatting sqref="R214">
    <cfRule type="expression" dxfId="480" priority="108" stopIfTrue="1">
      <formula>$C214=1</formula>
    </cfRule>
    <cfRule type="expression" dxfId="479" priority="109" stopIfTrue="1">
      <formula>OR($C214=0,$C214=2,$C214=3,$C214=4)</formula>
    </cfRule>
  </conditionalFormatting>
  <conditionalFormatting sqref="R214">
    <cfRule type="beginsWith" dxfId="478" priority="107" operator="beginsWith" text="(">
      <formula>LEFT(R214,LEN("("))="("</formula>
    </cfRule>
  </conditionalFormatting>
  <conditionalFormatting sqref="R215">
    <cfRule type="expression" dxfId="477" priority="105" stopIfTrue="1">
      <formula>$C215=1</formula>
    </cfRule>
    <cfRule type="expression" dxfId="476" priority="106" stopIfTrue="1">
      <formula>OR($C215=0,$C215=2,$C215=3,$C215=4)</formula>
    </cfRule>
  </conditionalFormatting>
  <conditionalFormatting sqref="R215">
    <cfRule type="beginsWith" dxfId="475" priority="104" operator="beginsWith" text="(">
      <formula>LEFT(R215,LEN("("))="("</formula>
    </cfRule>
  </conditionalFormatting>
  <conditionalFormatting sqref="R216">
    <cfRule type="expression" dxfId="474" priority="102" stopIfTrue="1">
      <formula>$C216=1</formula>
    </cfRule>
    <cfRule type="expression" dxfId="473" priority="103" stopIfTrue="1">
      <formula>OR($C216=0,$C216=2,$C216=3,$C216=4)</formula>
    </cfRule>
  </conditionalFormatting>
  <conditionalFormatting sqref="R216">
    <cfRule type="beginsWith" dxfId="472" priority="101" operator="beginsWith" text="(">
      <formula>LEFT(R216,LEN("("))="("</formula>
    </cfRule>
  </conditionalFormatting>
  <conditionalFormatting sqref="R218">
    <cfRule type="expression" dxfId="471" priority="99" stopIfTrue="1">
      <formula>$C218=1</formula>
    </cfRule>
    <cfRule type="expression" dxfId="470" priority="100" stopIfTrue="1">
      <formula>OR($C218=0,$C218=2,$C218=3,$C218=4)</formula>
    </cfRule>
  </conditionalFormatting>
  <conditionalFormatting sqref="R218">
    <cfRule type="beginsWith" dxfId="469" priority="98" operator="beginsWith" text="(">
      <formula>LEFT(R218,LEN("("))="("</formula>
    </cfRule>
  </conditionalFormatting>
  <conditionalFormatting sqref="R219">
    <cfRule type="expression" dxfId="468" priority="96" stopIfTrue="1">
      <formula>$C219=1</formula>
    </cfRule>
    <cfRule type="expression" dxfId="467" priority="97" stopIfTrue="1">
      <formula>OR($C219=0,$C219=2,$C219=3,$C219=4)</formula>
    </cfRule>
  </conditionalFormatting>
  <conditionalFormatting sqref="R219">
    <cfRule type="beginsWith" dxfId="466" priority="95" operator="beginsWith" text="(">
      <formula>LEFT(R219,LEN("("))="("</formula>
    </cfRule>
  </conditionalFormatting>
  <conditionalFormatting sqref="R220">
    <cfRule type="expression" dxfId="465" priority="93" stopIfTrue="1">
      <formula>$C220=1</formula>
    </cfRule>
    <cfRule type="expression" dxfId="464" priority="94" stopIfTrue="1">
      <formula>OR($C220=0,$C220=2,$C220=3,$C220=4)</formula>
    </cfRule>
  </conditionalFormatting>
  <conditionalFormatting sqref="R220">
    <cfRule type="beginsWith" dxfId="463" priority="92" operator="beginsWith" text="(">
      <formula>LEFT(R220,LEN("("))="("</formula>
    </cfRule>
  </conditionalFormatting>
  <conditionalFormatting sqref="R221">
    <cfRule type="expression" dxfId="462" priority="90" stopIfTrue="1">
      <formula>$C221=1</formula>
    </cfRule>
    <cfRule type="expression" dxfId="461" priority="91" stopIfTrue="1">
      <formula>OR($C221=0,$C221=2,$C221=3,$C221=4)</formula>
    </cfRule>
  </conditionalFormatting>
  <conditionalFormatting sqref="R221">
    <cfRule type="beginsWith" dxfId="460" priority="89" operator="beginsWith" text="(">
      <formula>LEFT(R221,LEN("("))="("</formula>
    </cfRule>
  </conditionalFormatting>
  <conditionalFormatting sqref="R222">
    <cfRule type="expression" dxfId="459" priority="87" stopIfTrue="1">
      <formula>$C222=1</formula>
    </cfRule>
    <cfRule type="expression" dxfId="458" priority="88" stopIfTrue="1">
      <formula>OR($C222=0,$C222=2,$C222=3,$C222=4)</formula>
    </cfRule>
  </conditionalFormatting>
  <conditionalFormatting sqref="R222">
    <cfRule type="beginsWith" dxfId="457" priority="86" operator="beginsWith" text="(">
      <formula>LEFT(R222,LEN("("))="("</formula>
    </cfRule>
  </conditionalFormatting>
  <conditionalFormatting sqref="R226">
    <cfRule type="expression" dxfId="456" priority="84" stopIfTrue="1">
      <formula>$C226=1</formula>
    </cfRule>
    <cfRule type="expression" dxfId="455" priority="85" stopIfTrue="1">
      <formula>OR($C226=0,$C226=2,$C226=3,$C226=4)</formula>
    </cfRule>
  </conditionalFormatting>
  <conditionalFormatting sqref="R226">
    <cfRule type="beginsWith" dxfId="454" priority="83" operator="beginsWith" text="(">
      <formula>LEFT(R226,LEN("("))="("</formula>
    </cfRule>
  </conditionalFormatting>
  <conditionalFormatting sqref="R227">
    <cfRule type="expression" dxfId="453" priority="81" stopIfTrue="1">
      <formula>$C227=1</formula>
    </cfRule>
    <cfRule type="expression" dxfId="452" priority="82" stopIfTrue="1">
      <formula>OR($C227=0,$C227=2,$C227=3,$C227=4)</formula>
    </cfRule>
  </conditionalFormatting>
  <conditionalFormatting sqref="R227">
    <cfRule type="beginsWith" dxfId="451" priority="80" operator="beginsWith" text="(">
      <formula>LEFT(R227,LEN("("))="("</formula>
    </cfRule>
  </conditionalFormatting>
  <conditionalFormatting sqref="R228">
    <cfRule type="expression" dxfId="450" priority="78" stopIfTrue="1">
      <formula>$C228=1</formula>
    </cfRule>
    <cfRule type="expression" dxfId="449" priority="79" stopIfTrue="1">
      <formula>OR($C228=0,$C228=2,$C228=3,$C228=4)</formula>
    </cfRule>
  </conditionalFormatting>
  <conditionalFormatting sqref="R228">
    <cfRule type="beginsWith" dxfId="448" priority="77" operator="beginsWith" text="(">
      <formula>LEFT(R228,LEN("("))="("</formula>
    </cfRule>
  </conditionalFormatting>
  <conditionalFormatting sqref="R229">
    <cfRule type="expression" dxfId="447" priority="75" stopIfTrue="1">
      <formula>$C229=1</formula>
    </cfRule>
    <cfRule type="expression" dxfId="446" priority="76" stopIfTrue="1">
      <formula>OR($C229=0,$C229=2,$C229=3,$C229=4)</formula>
    </cfRule>
  </conditionalFormatting>
  <conditionalFormatting sqref="R229">
    <cfRule type="beginsWith" dxfId="445" priority="74" operator="beginsWith" text="(">
      <formula>LEFT(R229,LEN("("))="("</formula>
    </cfRule>
  </conditionalFormatting>
  <conditionalFormatting sqref="R230">
    <cfRule type="expression" dxfId="444" priority="72" stopIfTrue="1">
      <formula>$C230=1</formula>
    </cfRule>
    <cfRule type="expression" dxfId="443" priority="73" stopIfTrue="1">
      <formula>OR($C230=0,$C230=2,$C230=3,$C230=4)</formula>
    </cfRule>
  </conditionalFormatting>
  <conditionalFormatting sqref="R230">
    <cfRule type="beginsWith" dxfId="442" priority="71" operator="beginsWith" text="(">
      <formula>LEFT(R230,LEN("("))="("</formula>
    </cfRule>
  </conditionalFormatting>
  <conditionalFormatting sqref="R231">
    <cfRule type="expression" dxfId="441" priority="69" stopIfTrue="1">
      <formula>$C231=1</formula>
    </cfRule>
    <cfRule type="expression" dxfId="440" priority="70" stopIfTrue="1">
      <formula>OR($C231=0,$C231=2,$C231=3,$C231=4)</formula>
    </cfRule>
  </conditionalFormatting>
  <conditionalFormatting sqref="R231">
    <cfRule type="beginsWith" dxfId="439" priority="68" operator="beginsWith" text="(">
      <formula>LEFT(R231,LEN("("))="("</formula>
    </cfRule>
  </conditionalFormatting>
  <conditionalFormatting sqref="R235">
    <cfRule type="expression" dxfId="438" priority="66" stopIfTrue="1">
      <formula>$C235=1</formula>
    </cfRule>
    <cfRule type="expression" dxfId="437" priority="67" stopIfTrue="1">
      <formula>OR($C235=0,$C235=2,$C235=3,$C235=4)</formula>
    </cfRule>
  </conditionalFormatting>
  <conditionalFormatting sqref="R235">
    <cfRule type="beginsWith" dxfId="436" priority="65" operator="beginsWith" text="(">
      <formula>LEFT(R235,LEN("("))="("</formula>
    </cfRule>
  </conditionalFormatting>
  <conditionalFormatting sqref="R237">
    <cfRule type="expression" dxfId="435" priority="60" stopIfTrue="1">
      <formula>$C237=1</formula>
    </cfRule>
    <cfRule type="expression" dxfId="434" priority="61" stopIfTrue="1">
      <formula>OR($C237=0,$C237=2,$C237=3,$C237=4)</formula>
    </cfRule>
  </conditionalFormatting>
  <conditionalFormatting sqref="R237">
    <cfRule type="beginsWith" dxfId="433" priority="59" operator="beginsWith" text="(">
      <formula>LEFT(R237,LEN("("))="("</formula>
    </cfRule>
  </conditionalFormatting>
  <conditionalFormatting sqref="R238">
    <cfRule type="expression" dxfId="432" priority="57" stopIfTrue="1">
      <formula>$C238=1</formula>
    </cfRule>
    <cfRule type="expression" dxfId="431" priority="58" stopIfTrue="1">
      <formula>OR($C238=0,$C238=2,$C238=3,$C238=4)</formula>
    </cfRule>
  </conditionalFormatting>
  <conditionalFormatting sqref="R238">
    <cfRule type="beginsWith" dxfId="430" priority="56" operator="beginsWith" text="(">
      <formula>LEFT(R238,LEN("("))="("</formula>
    </cfRule>
  </conditionalFormatting>
  <conditionalFormatting sqref="R239">
    <cfRule type="expression" dxfId="429" priority="54" stopIfTrue="1">
      <formula>$C239=1</formula>
    </cfRule>
    <cfRule type="expression" dxfId="428" priority="55" stopIfTrue="1">
      <formula>OR($C239=0,$C239=2,$C239=3,$C239=4)</formula>
    </cfRule>
  </conditionalFormatting>
  <conditionalFormatting sqref="R239">
    <cfRule type="beginsWith" dxfId="427" priority="53" operator="beginsWith" text="(">
      <formula>LEFT(R239,LEN("("))="("</formula>
    </cfRule>
  </conditionalFormatting>
  <conditionalFormatting sqref="R240">
    <cfRule type="expression" dxfId="426" priority="51" stopIfTrue="1">
      <formula>$C240=1</formula>
    </cfRule>
    <cfRule type="expression" dxfId="425" priority="52" stopIfTrue="1">
      <formula>OR($C240=0,$C240=2,$C240=3,$C240=4)</formula>
    </cfRule>
  </conditionalFormatting>
  <conditionalFormatting sqref="R240">
    <cfRule type="beginsWith" dxfId="424" priority="50" operator="beginsWith" text="(">
      <formula>LEFT(R240,LEN("("))="("</formula>
    </cfRule>
  </conditionalFormatting>
  <conditionalFormatting sqref="R241">
    <cfRule type="expression" dxfId="423" priority="48" stopIfTrue="1">
      <formula>$C241=1</formula>
    </cfRule>
    <cfRule type="expression" dxfId="422" priority="49" stopIfTrue="1">
      <formula>OR($C241=0,$C241=2,$C241=3,$C241=4)</formula>
    </cfRule>
  </conditionalFormatting>
  <conditionalFormatting sqref="R241">
    <cfRule type="beginsWith" dxfId="421" priority="47" operator="beginsWith" text="(">
      <formula>LEFT(R241,LEN("("))="("</formula>
    </cfRule>
  </conditionalFormatting>
  <conditionalFormatting sqref="R242">
    <cfRule type="expression" dxfId="420" priority="45" stopIfTrue="1">
      <formula>$C242=1</formula>
    </cfRule>
    <cfRule type="expression" dxfId="419" priority="46" stopIfTrue="1">
      <formula>OR($C242=0,$C242=2,$C242=3,$C242=4)</formula>
    </cfRule>
  </conditionalFormatting>
  <conditionalFormatting sqref="R242">
    <cfRule type="beginsWith" dxfId="418" priority="44" operator="beginsWith" text="(">
      <formula>LEFT(R242,LEN("("))="("</formula>
    </cfRule>
  </conditionalFormatting>
  <conditionalFormatting sqref="R243">
    <cfRule type="expression" dxfId="417" priority="42" stopIfTrue="1">
      <formula>$C243=1</formula>
    </cfRule>
    <cfRule type="expression" dxfId="416" priority="43" stopIfTrue="1">
      <formula>OR($C243=0,$C243=2,$C243=3,$C243=4)</formula>
    </cfRule>
  </conditionalFormatting>
  <conditionalFormatting sqref="R243">
    <cfRule type="beginsWith" dxfId="415" priority="41" operator="beginsWith" text="(">
      <formula>LEFT(R243,LEN("("))="("</formula>
    </cfRule>
  </conditionalFormatting>
  <conditionalFormatting sqref="R22:R24">
    <cfRule type="beginsWith" dxfId="414" priority="31" operator="beginsWith" text="(">
      <formula>LEFT(R22,LEN("("))="("</formula>
    </cfRule>
  </conditionalFormatting>
  <conditionalFormatting sqref="X232">
    <cfRule type="expression" dxfId="413" priority="19" stopIfTrue="1">
      <formula>$C232=1</formula>
    </cfRule>
    <cfRule type="expression" dxfId="412" priority="20" stopIfTrue="1">
      <formula>OR($C232=0,$C232=2,$C232=3,$C232=4)</formula>
    </cfRule>
  </conditionalFormatting>
  <conditionalFormatting sqref="R232">
    <cfRule type="expression" dxfId="411" priority="17" stopIfTrue="1">
      <formula>$C232=1</formula>
    </cfRule>
    <cfRule type="expression" dxfId="410" priority="18" stopIfTrue="1">
      <formula>OR($C232=0,$C232=2,$C232=3,$C232=4)</formula>
    </cfRule>
  </conditionalFormatting>
  <conditionalFormatting sqref="R232">
    <cfRule type="beginsWith" dxfId="409" priority="16" operator="beginsWith" text="(">
      <formula>LEFT(R232,LEN("("))="("</formula>
    </cfRule>
  </conditionalFormatting>
  <conditionalFormatting sqref="X233">
    <cfRule type="expression" dxfId="408" priority="14" stopIfTrue="1">
      <formula>$C233=1</formula>
    </cfRule>
    <cfRule type="expression" dxfId="407" priority="15" stopIfTrue="1">
      <formula>OR($C233=0,$C233=2,$C233=3,$C233=4)</formula>
    </cfRule>
  </conditionalFormatting>
  <conditionalFormatting sqref="R233">
    <cfRule type="expression" dxfId="406" priority="12" stopIfTrue="1">
      <formula>$C233=1</formula>
    </cfRule>
    <cfRule type="expression" dxfId="405" priority="13" stopIfTrue="1">
      <formula>OR($C233=0,$C233=2,$C233=3,$C233=4)</formula>
    </cfRule>
  </conditionalFormatting>
  <conditionalFormatting sqref="R233">
    <cfRule type="beginsWith" dxfId="404" priority="11" operator="beginsWith" text="(">
      <formula>LEFT(R233,LEN("("))="("</formula>
    </cfRule>
  </conditionalFormatting>
  <conditionalFormatting sqref="X236">
    <cfRule type="expression" dxfId="403" priority="9" stopIfTrue="1">
      <formula>$C236=1</formula>
    </cfRule>
    <cfRule type="expression" dxfId="402" priority="10" stopIfTrue="1">
      <formula>OR($C236=0,$C236=2,$C236=3,$C236=4)</formula>
    </cfRule>
  </conditionalFormatting>
  <conditionalFormatting sqref="R236">
    <cfRule type="expression" dxfId="401" priority="7" stopIfTrue="1">
      <formula>$C236=1</formula>
    </cfRule>
    <cfRule type="expression" dxfId="400" priority="8" stopIfTrue="1">
      <formula>OR($C236=0,$C236=2,$C236=3,$C236=4)</formula>
    </cfRule>
  </conditionalFormatting>
  <conditionalFormatting sqref="R236">
    <cfRule type="beginsWith" dxfId="399" priority="6" operator="beginsWith" text="(">
      <formula>LEFT(R236,LEN("("))="("</formula>
    </cfRule>
  </conditionalFormatting>
  <conditionalFormatting sqref="X223:X224">
    <cfRule type="expression" dxfId="398" priority="4" stopIfTrue="1">
      <formula>$C223=1</formula>
    </cfRule>
    <cfRule type="expression" dxfId="397" priority="5" stopIfTrue="1">
      <formula>OR($C223=0,$C223=2,$C223=3,$C223=4)</formula>
    </cfRule>
  </conditionalFormatting>
  <conditionalFormatting sqref="R223:R224">
    <cfRule type="expression" dxfId="396" priority="2" stopIfTrue="1">
      <formula>$C223=1</formula>
    </cfRule>
    <cfRule type="expression" dxfId="395" priority="3" stopIfTrue="1">
      <formula>OR($C223=0,$C223=2,$C223=3,$C223=4)</formula>
    </cfRule>
  </conditionalFormatting>
  <conditionalFormatting sqref="R223:R224">
    <cfRule type="beginsWith" dxfId="394" priority="1" operator="beginsWith" text="(">
      <formula>LEFT(R223,LEN("("))="("</formula>
    </cfRule>
  </conditionalFormatting>
  <dataValidations count="8">
    <dataValidation type="decimal" operator="greaterThan" allowBlank="1" showErrorMessage="1" error="Apenas números decimais maiores que zero." sqref="U14 AL14 AJ14 U16:U243 AJ16:AJ243 AL16:AL243"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243"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243" xr:uid="{00000000-0002-0000-0400-000006000000}"/>
    <dataValidation type="list" errorStyle="information" allowBlank="1" showInputMessage="1" prompt="Selecione uma sigla de unidade na lista suspensa." sqref="S14 S16:S243"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243"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243"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243"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243"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400050</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400050</xdr:colOff>
                    <xdr:row>9</xdr:row>
                    <xdr:rowOff>66675</xdr:rowOff>
                  </from>
                  <to>
                    <xdr:col>22</xdr:col>
                    <xdr:colOff>819150</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438150</xdr:colOff>
                    <xdr:row>9</xdr:row>
                    <xdr:rowOff>57150</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AJ64"/>
  <sheetViews>
    <sheetView showGridLines="0" zoomScaleNormal="100" workbookViewId="0">
      <pane xSplit="4" ySplit="14" topLeftCell="F15" activePane="bottomRight" state="frozen"/>
      <selection pane="topRight"/>
      <selection pane="bottomLeft"/>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35" width="14.5703125" customWidth="1"/>
    <col min="36" max="36" width="14.5703125" hidden="1" customWidth="1"/>
  </cols>
  <sheetData>
    <row r="1" spans="1:36" hidden="1" x14ac:dyDescent="0.2">
      <c r="A1" s="506" t="str">
        <f t="shared" ref="A1" si="0">IF(D1="","","F")</f>
        <v/>
      </c>
      <c r="B1" t="e">
        <f ca="1">IF(OR(C1=" ",D1=""),"",CONCATENATE(C1,". ",D1))</f>
        <v>#REF!</v>
      </c>
      <c r="C1" s="182" t="e" cm="1">
        <f t="array" aca="1" ref="C1" ca="1">IF(OR(ROW(C1)=ROW(EVENTOS.firstrow)+1,AND(OFFSET(C1,-1,0)&lt;&gt;" ",OFFSET(C1,-1,1)&lt;&gt;"")),OFFSET(C1,-1,0)+1," ")</f>
        <v>#REF!</v>
      </c>
      <c r="D1" s="496"/>
      <c r="E1" s="620" t="e" cm="1">
        <f t="array" aca="1" ref="E1" ca="1">IF(AUTOEVENTO="Manual",ROUND(SUMPRODUCT((CÁLCULO!$M$15:$M$244=EVENTOS!$C1)*(OFFSET(CÁLCULO!$AQ$15:$AQ$244,0,E$13))),2),0)</f>
        <v>#REF!</v>
      </c>
      <c r="F1" s="183" t="e">
        <f ca="1">IF(AUTOEVENTO="Manual",ROUND(SUMPRODUCT((CÁLCULO!$M$15:$M$244=EVENTOS!$C1)*(OFFSET(CÁLCULO!$AQ$15,0,1):OFFSET(CÁLCULO!$BR$244,0,-1))),2),0)</f>
        <v>#REF!</v>
      </c>
      <c r="G1" s="621" t="e">
        <f ca="1">IF(AND(D1=0,F1&gt;0),"NOME",
 IF(AND(D1&lt;&gt;0,$F$14&gt;0,F1=0),"VALOR",
 IF(AND(Import.TipoArredondamento="TransfereGOV",$A1="F",LEN(D1)&gt;100),"Nome &gt;100","")))</f>
        <v>#REF!</v>
      </c>
      <c r="H1" s="620" t="e" cm="1">
        <f t="array" aca="1" ref="H1" ca="1">IF(AUTOEVENTO="Manual",ROUND(SUMPRODUCT((CÁLCULO!$M$15:$M$244=EVENTOS!$C1)*(OFFSET(CÁLCULO!$AQ$15:$AQ$244,0,H$13))),2),0)</f>
        <v>#REF!</v>
      </c>
      <c r="I1" s="620" t="e" cm="1">
        <f t="array" aca="1" ref="I1" ca="1">IF(AUTOEVENTO="Manual",ROUND(SUMPRODUCT((CÁLCULO!$M$15:$M$244=EVENTOS!$C1)*(OFFSET(CÁLCULO!$AQ$15:$AQ$244,0,I$13))),2),0)</f>
        <v>#REF!</v>
      </c>
      <c r="J1" s="620" t="e" cm="1">
        <f t="array" aca="1" ref="J1" ca="1">IF(AUTOEVENTO="Manual",ROUND(SUMPRODUCT((CÁLCULO!$M$15:$M$244=EVENTOS!$C1)*(OFFSET(CÁLCULO!$AQ$15:$AQ$244,0,J$13))),2),0)</f>
        <v>#REF!</v>
      </c>
      <c r="K1" s="620" t="e" cm="1">
        <f t="array" aca="1" ref="K1" ca="1">IF(AUTOEVENTO="Manual",ROUND(SUMPRODUCT((CÁLCULO!$M$15:$M$244=EVENTOS!$C1)*(OFFSET(CÁLCULO!$AQ$15:$AQ$244,0,K$13))),2),0)</f>
        <v>#REF!</v>
      </c>
      <c r="L1" s="620" t="e" cm="1">
        <f t="array" aca="1" ref="L1" ca="1">IF(AUTOEVENTO="Manual",ROUND(SUMPRODUCT((CÁLCULO!$M$15:$M$244=EVENTOS!$C1)*(OFFSET(CÁLCULO!$AQ$15:$AQ$244,0,L$13))),2),0)</f>
        <v>#REF!</v>
      </c>
      <c r="M1" s="620" t="e" cm="1">
        <f t="array" aca="1" ref="M1" ca="1">IF(AUTOEVENTO="Manual",ROUND(SUMPRODUCT((CÁLCULO!$M$15:$M$244=EVENTOS!$C1)*(OFFSET(CÁLCULO!$AQ$15:$AQ$244,0,M$13))),2),0)</f>
        <v>#REF!</v>
      </c>
      <c r="N1" s="620" t="e" cm="1">
        <f t="array" aca="1" ref="N1" ca="1">IF(AUTOEVENTO="Manual",ROUND(SUMPRODUCT((CÁLCULO!$M$15:$M$244=EVENTOS!$C1)*(OFFSET(CÁLCULO!$AQ$15:$AQ$244,0,N$13))),2),0)</f>
        <v>#REF!</v>
      </c>
      <c r="O1" s="620" t="e" cm="1">
        <f t="array" aca="1" ref="O1" ca="1">IF(AUTOEVENTO="Manual",ROUND(SUMPRODUCT((CÁLCULO!$M$15:$M$244=EVENTOS!$C1)*(OFFSET(CÁLCULO!$AQ$15:$AQ$244,0,O$13))),2),0)</f>
        <v>#REF!</v>
      </c>
      <c r="P1" s="620" t="e" cm="1">
        <f t="array" aca="1" ref="P1" ca="1">IF(AUTOEVENTO="Manual",ROUND(SUMPRODUCT((CÁLCULO!$M$15:$M$244=EVENTOS!$C1)*(OFFSET(CÁLCULO!$AQ$15:$AQ$244,0,P$13))),2),0)</f>
        <v>#REF!</v>
      </c>
      <c r="Q1" s="620" t="e" cm="1">
        <f t="array" aca="1" ref="Q1" ca="1">IF(AUTOEVENTO="Manual",ROUND(SUMPRODUCT((CÁLCULO!$M$15:$M$244=EVENTOS!$C1)*(OFFSET(CÁLCULO!$AQ$15:$AQ$244,0,Q$13))),2),0)</f>
        <v>#REF!</v>
      </c>
      <c r="R1" s="620" t="e" cm="1">
        <f t="array" aca="1" ref="R1" ca="1">IF(AUTOEVENTO="Manual",ROUND(SUMPRODUCT((CÁLCULO!$M$15:$M$244=EVENTOS!$C1)*(OFFSET(CÁLCULO!$AQ$15:$AQ$244,0,R$13))),2),0)</f>
        <v>#REF!</v>
      </c>
      <c r="S1" s="620" t="e" cm="1">
        <f t="array" aca="1" ref="S1" ca="1">IF(AUTOEVENTO="Manual",ROUND(SUMPRODUCT((CÁLCULO!$M$15:$M$244=EVENTOS!$C1)*(OFFSET(CÁLCULO!$AQ$15:$AQ$244,0,S$13))),2),0)</f>
        <v>#REF!</v>
      </c>
      <c r="T1" s="620" t="e" cm="1">
        <f t="array" aca="1" ref="T1" ca="1">IF(AUTOEVENTO="Manual",ROUND(SUMPRODUCT((CÁLCULO!$M$15:$M$244=EVENTOS!$C1)*(OFFSET(CÁLCULO!$AQ$15:$AQ$244,0,T$13))),2),0)</f>
        <v>#REF!</v>
      </c>
      <c r="U1" s="620" t="e" cm="1">
        <f t="array" aca="1" ref="U1" ca="1">IF(AUTOEVENTO="Manual",ROUND(SUMPRODUCT((CÁLCULO!$M$15:$M$244=EVENTOS!$C1)*(OFFSET(CÁLCULO!$AQ$15:$AQ$244,0,U$13))),2),0)</f>
        <v>#REF!</v>
      </c>
      <c r="V1" s="620" t="e" cm="1">
        <f t="array" aca="1" ref="V1" ca="1">IF(AUTOEVENTO="Manual",ROUND(SUMPRODUCT((CÁLCULO!$M$15:$M$244=EVENTOS!$C1)*(OFFSET(CÁLCULO!$AQ$15:$AQ$244,0,V$13))),2),0)</f>
        <v>#REF!</v>
      </c>
      <c r="W1" s="620" t="e" cm="1">
        <f t="array" aca="1" ref="W1" ca="1">IF(AUTOEVENTO="Manual",ROUND(SUMPRODUCT((CÁLCULO!$M$15:$M$244=EVENTOS!$C1)*(OFFSET(CÁLCULO!$AQ$15:$AQ$244,0,W$13))),2),0)</f>
        <v>#REF!</v>
      </c>
      <c r="X1" s="620" t="e" cm="1">
        <f t="array" aca="1" ref="X1" ca="1">IF(AUTOEVENTO="Manual",ROUND(SUMPRODUCT((CÁLCULO!$M$15:$M$244=EVENTOS!$C1)*(OFFSET(CÁLCULO!$AQ$15:$AQ$244,0,X$13))),2),0)</f>
        <v>#REF!</v>
      </c>
      <c r="Y1" s="620" t="e" cm="1">
        <f t="array" aca="1" ref="Y1" ca="1">IF(AUTOEVENTO="Manual",ROUND(SUMPRODUCT((CÁLCULO!$M$15:$M$244=EVENTOS!$C1)*(OFFSET(CÁLCULO!$AQ$15:$AQ$244,0,Y$13))),2),0)</f>
        <v>#REF!</v>
      </c>
      <c r="Z1" s="620" t="e" cm="1">
        <f t="array" aca="1" ref="Z1" ca="1">IF(AUTOEVENTO="Manual",ROUND(SUMPRODUCT((CÁLCULO!$M$15:$M$244=EVENTOS!$C1)*(OFFSET(CÁLCULO!$AQ$15:$AQ$244,0,Z$13))),2),0)</f>
        <v>#REF!</v>
      </c>
      <c r="AA1" s="620" t="e" cm="1">
        <f t="array" aca="1" ref="AA1" ca="1">IF(AUTOEVENTO="Manual",ROUND(SUMPRODUCT((CÁLCULO!$M$15:$M$244=EVENTOS!$C1)*(OFFSET(CÁLCULO!$AQ$15:$AQ$244,0,AA$13))),2),0)</f>
        <v>#REF!</v>
      </c>
      <c r="AB1" s="620" t="e" cm="1">
        <f t="array" aca="1" ref="AB1" ca="1">IF(AUTOEVENTO="Manual",ROUND(SUMPRODUCT((CÁLCULO!$M$15:$M$244=EVENTOS!$C1)*(OFFSET(CÁLCULO!$AQ$15:$AQ$244,0,AB$13))),2),0)</f>
        <v>#REF!</v>
      </c>
      <c r="AC1" s="620" t="e" cm="1">
        <f t="array" aca="1" ref="AC1" ca="1">IF(AUTOEVENTO="Manual",ROUND(SUMPRODUCT((CÁLCULO!$M$15:$M$244=EVENTOS!$C1)*(OFFSET(CÁLCULO!$AQ$15:$AQ$244,0,AC$13))),2),0)</f>
        <v>#REF!</v>
      </c>
      <c r="AD1" s="620" t="e" cm="1">
        <f t="array" aca="1" ref="AD1" ca="1">IF(AUTOEVENTO="Manual",ROUND(SUMPRODUCT((CÁLCULO!$M$15:$M$244=EVENTOS!$C1)*(OFFSET(CÁLCULO!$AQ$15:$AQ$244,0,AD$13))),2),0)</f>
        <v>#REF!</v>
      </c>
      <c r="AE1" s="620" t="e" cm="1">
        <f t="array" aca="1" ref="AE1" ca="1">IF(AUTOEVENTO="Manual",ROUND(SUMPRODUCT((CÁLCULO!$M$15:$M$244=EVENTOS!$C1)*(OFFSET(CÁLCULO!$AQ$15:$AQ$244,0,AE$13))),2),0)</f>
        <v>#REF!</v>
      </c>
      <c r="AF1" s="620" t="e" cm="1">
        <f t="array" aca="1" ref="AF1" ca="1">IF(AUTOEVENTO="Manual",ROUND(SUMPRODUCT((CÁLCULO!$M$15:$M$244=EVENTOS!$C1)*(OFFSET(CÁLCULO!$AQ$15:$AQ$244,0,AF$13))),2),0)</f>
        <v>#REF!</v>
      </c>
      <c r="AG1" s="620" t="e" cm="1">
        <f t="array" aca="1" ref="AG1" ca="1">IF(AUTOEVENTO="Manual",ROUND(SUMPRODUCT((CÁLCULO!$M$15:$M$244=EVENTOS!$C1)*(OFFSET(CÁLCULO!$AQ$15:$AQ$244,0,AG$13))),2),0)</f>
        <v>#REF!</v>
      </c>
      <c r="AH1" s="620" t="e" cm="1">
        <f t="array" aca="1" ref="AH1" ca="1">IF(AUTOEVENTO="Manual",ROUND(SUMPRODUCT((CÁLCULO!$M$15:$M$244=EVENTOS!$C1)*(OFFSET(CÁLCULO!$AQ$15:$AQ$244,0,AH$13))),2),0)</f>
        <v>#REF!</v>
      </c>
      <c r="AI1" s="620" t="e" cm="1">
        <f t="array" aca="1" ref="AI1" ca="1">IF(AUTOEVENTO="Manual",ROUND(SUMPRODUCT((CÁLCULO!$M$15:$M$244=EVENTOS!$C1)*(OFFSET(CÁLCULO!$AQ$15:$AQ$244,0,AI$13))),2),0)</f>
        <v>#REF!</v>
      </c>
    </row>
    <row r="2" spans="1:36" ht="30" customHeight="1" x14ac:dyDescent="0.2">
      <c r="F2" s="82" t="s">
        <v>756</v>
      </c>
      <c r="O2" s="622" t="s">
        <v>757</v>
      </c>
      <c r="Y2" s="622" t="s">
        <v>757</v>
      </c>
      <c r="AI2" s="622" t="s">
        <v>757</v>
      </c>
    </row>
    <row r="4" spans="1:3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c r="Z4" s="208" t="s">
        <v>758</v>
      </c>
      <c r="AA4" s="77"/>
      <c r="AB4" s="484"/>
      <c r="AC4" s="484"/>
      <c r="AD4" s="484"/>
      <c r="AE4" s="484"/>
      <c r="AF4" s="484"/>
      <c r="AH4" s="55" t="s">
        <v>650</v>
      </c>
      <c r="AI4" s="504" t="s">
        <v>707</v>
      </c>
    </row>
    <row r="5" spans="1:36" ht="12.75" customHeight="1" x14ac:dyDescent="0.2">
      <c r="C5" s="505" t="str">
        <f>Import.Proponente</f>
        <v>Prefeitura Municipal de Pedro Régis-PB</v>
      </c>
      <c r="D5" s="503"/>
      <c r="E5" s="503"/>
      <c r="F5" s="733" t="str">
        <f>Import.Apelido</f>
        <v>Casa térrea acessível, 2 quartos, Autil=47,46m², conforme Portaria MCID 1416/2023</v>
      </c>
      <c r="G5" s="734"/>
      <c r="H5" s="734"/>
      <c r="I5" s="734"/>
      <c r="J5" s="734"/>
      <c r="K5" s="734"/>
      <c r="L5" s="734"/>
      <c r="M5" s="735"/>
      <c r="N5" s="56" t="str">
        <f>Import.CR</f>
        <v>-</v>
      </c>
      <c r="O5" s="56" t="str">
        <f>Import.SICONV</f>
        <v>-</v>
      </c>
      <c r="P5" s="733" t="str">
        <f>Import.Apelido</f>
        <v>Casa térrea acessível, 2 quartos, Autil=47,46m², conforme Portaria MCID 1416/2023</v>
      </c>
      <c r="Q5" s="734"/>
      <c r="R5" s="734"/>
      <c r="S5" s="734"/>
      <c r="T5" s="734"/>
      <c r="U5" s="734"/>
      <c r="V5" s="734"/>
      <c r="W5" s="735"/>
      <c r="X5" s="56" t="str">
        <f>Import.CR</f>
        <v>-</v>
      </c>
      <c r="Y5" s="56" t="str">
        <f>Import.SICONV</f>
        <v>-</v>
      </c>
      <c r="Z5" s="733" t="str">
        <f>Import.Apelido</f>
        <v>Casa térrea acessível, 2 quartos, Autil=47,46m², conforme Portaria MCID 1416/2023</v>
      </c>
      <c r="AA5" s="734"/>
      <c r="AB5" s="734"/>
      <c r="AC5" s="734"/>
      <c r="AD5" s="734"/>
      <c r="AE5" s="734"/>
      <c r="AF5" s="734"/>
      <c r="AG5" s="735"/>
      <c r="AH5" s="56" t="str">
        <f>Import.CR</f>
        <v>-</v>
      </c>
      <c r="AI5" s="56" t="str">
        <f>Import.SICONV</f>
        <v>-</v>
      </c>
      <c r="AJ5" t="s">
        <v>752</v>
      </c>
    </row>
    <row r="6" spans="1:36" ht="25.15" customHeight="1" x14ac:dyDescent="0.25">
      <c r="B6" t="s">
        <v>937</v>
      </c>
      <c r="C6" t="s">
        <v>759</v>
      </c>
      <c r="F6" s="521" t="str">
        <f ca="1">IF(AUTOEVENTO="MANUAL",
  IF(COUNTIF($G$15:$G$57,"NOME")&gt;0,"Falta preencher o nome do Título do Evento nº "&amp;INDEX($C$15:$C$57,MATCH("NOME",$G$15:$G$57,0)),
  IF(COUNTIF($G$15:$G$57,"VALOR")&gt;0,"Falta atribuir serviços ao Evento nº "&amp;INDEX($C$15:$C$57,MATCH("VALOR",$G$15:$G$57,0))&amp;". Corrigir a atribuição dos eventos na aba CÁLCULO. Ou excluir linhas dos eventos não utilizados.",
  IF(ROUND($F$14,2)&lt;&gt;ROUND(ORÇAMENTO!$X$15,2),"O valor total dos Eventos é diferente do valor total do Orçamento. Corrigir a atribuição dos eventos na aba CÁLCULO",
  IF(COUNTIF($G$15:$G$57,"Nome &gt;100")&gt;0,"O tamanho do Título do Evento no TransfereGOV é limitado a 100 caracteres. Resuma o nome do Título do Evento nº "&amp;INDEX($C$15:$C$57,MATCH("Nome &gt;100",$G$15:$G$57,0)),"")))),"")</f>
        <v/>
      </c>
    </row>
    <row r="7" spans="1:36" ht="4.1500000000000004" customHeight="1" thickBot="1" x14ac:dyDescent="0.25">
      <c r="B7" t="s">
        <v>940</v>
      </c>
    </row>
    <row r="8" spans="1:36" ht="16.5" thickBot="1" x14ac:dyDescent="0.3">
      <c r="B8" t="s">
        <v>941</v>
      </c>
      <c r="C8" s="729" t="s">
        <v>939</v>
      </c>
      <c r="D8" s="730"/>
      <c r="F8" s="521" t="str">
        <f>IF(ACOMPANHAMENTO="BM","",
 IF(Import.Eventos.Nível="","◄ Selecione a forma de definição dos agrupadores de eventos",
 IF(Import.Eventos.Nível="","◄ Selecione a forma de definição dos agrupadores de eventos","")))</f>
        <v/>
      </c>
    </row>
    <row r="9" spans="1:36" ht="12" customHeight="1" x14ac:dyDescent="0.2">
      <c r="B9" t="s">
        <v>939</v>
      </c>
    </row>
    <row r="10" spans="1:36" ht="33.75" customHeight="1" x14ac:dyDescent="0.2">
      <c r="C10" s="586">
        <f ca="1">COUNTIF($C$15:$C$57,"&gt;0")-1</f>
        <v>10</v>
      </c>
      <c r="D10" t="s">
        <v>752</v>
      </c>
      <c r="E10" s="731" t="str">
        <f ca="1">OFFSET(CÁLCULO!$P$12,0,EVENTOS!E$13)</f>
        <v>Casa 1</v>
      </c>
      <c r="F10" t="s">
        <v>752</v>
      </c>
      <c r="G10" s="726"/>
      <c r="H10" s="731" t="str">
        <f ca="1">OFFSET(CÁLCULO!$P$12,0,EVENTOS!H$13)</f>
        <v>Casa 1</v>
      </c>
      <c r="I10" s="731" t="str">
        <f ca="1">OFFSET(CÁLCULO!$P$12,0,EVENTOS!I$13)</f>
        <v>Casa 2</v>
      </c>
      <c r="J10" s="731" t="str">
        <f ca="1">OFFSET(CÁLCULO!$P$12,0,EVENTOS!J$13)</f>
        <v>Casa 3</v>
      </c>
      <c r="K10" s="726" t="str">
        <f ca="1">OFFSET(CÁLCULO!$P$12,0,EVENTOS!K$13)</f>
        <v>Casa 4</v>
      </c>
      <c r="L10" s="726" t="str">
        <f ca="1">OFFSET(CÁLCULO!$P$12,0,EVENTOS!L$13)</f>
        <v>Casa 5</v>
      </c>
      <c r="M10" s="726" t="str">
        <f ca="1">OFFSET(CÁLCULO!$P$12,0,EVENTOS!M$13)</f>
        <v>Casa 6</v>
      </c>
      <c r="N10" s="726" t="str">
        <f ca="1">OFFSET(CÁLCULO!$P$12,0,EVENTOS!N$13)</f>
        <v>Casa 7</v>
      </c>
      <c r="O10" s="726" t="str">
        <f ca="1">OFFSET(CÁLCULO!$P$12,0,EVENTOS!O$13)</f>
        <v>Casa 8</v>
      </c>
      <c r="P10" s="726" t="str">
        <f ca="1">OFFSET(CÁLCULO!$P$12,0,EVENTOS!P$13)</f>
        <v>Casa 9</v>
      </c>
      <c r="Q10" s="726" t="str">
        <f ca="1">OFFSET(CÁLCULO!$P$12,0,EVENTOS!Q$13)</f>
        <v>Casa 10</v>
      </c>
      <c r="R10" s="726" t="str">
        <f ca="1">OFFSET(CÁLCULO!$P$12,0,EVENTOS!R$13)</f>
        <v>Casa 11</v>
      </c>
      <c r="S10" s="726" t="str">
        <f ca="1">OFFSET(CÁLCULO!$P$12,0,EVENTOS!S$13)</f>
        <v>Casa 12</v>
      </c>
      <c r="T10" s="726" t="str">
        <f ca="1">OFFSET(CÁLCULO!$P$12,0,EVENTOS!T$13)</f>
        <v>Casa 13</v>
      </c>
      <c r="U10" s="726" t="str">
        <f ca="1">OFFSET(CÁLCULO!$P$12,0,EVENTOS!U$13)</f>
        <v>Casa 14</v>
      </c>
      <c r="V10" s="726" t="str">
        <f ca="1">OFFSET(CÁLCULO!$P$12,0,EVENTOS!V$13)</f>
        <v>Casa 15</v>
      </c>
      <c r="W10" s="726" t="str">
        <f ca="1">OFFSET(CÁLCULO!$P$12,0,EVENTOS!W$13)</f>
        <v>Casa 16</v>
      </c>
      <c r="X10" s="726" t="str">
        <f ca="1">OFFSET(CÁLCULO!$P$12,0,EVENTOS!X$13)</f>
        <v>Casa 17</v>
      </c>
      <c r="Y10" s="726" t="str">
        <f ca="1">OFFSET(CÁLCULO!$P$12,0,EVENTOS!Y$13)</f>
        <v>Casa 18</v>
      </c>
      <c r="Z10" s="726" t="str">
        <f ca="1">OFFSET(CÁLCULO!$P$12,0,EVENTOS!Z$13)</f>
        <v>Casa 19</v>
      </c>
      <c r="AA10" s="726" t="str">
        <f ca="1">OFFSET(CÁLCULO!$P$12,0,EVENTOS!AA$13)</f>
        <v>Casa 20</v>
      </c>
      <c r="AB10" s="726" t="str">
        <f ca="1">OFFSET(CÁLCULO!$P$12,0,EVENTOS!AB$13)</f>
        <v>.</v>
      </c>
      <c r="AC10" s="726" t="str">
        <f ca="1">OFFSET(CÁLCULO!$P$12,0,EVENTOS!AC$13)</f>
        <v>.</v>
      </c>
      <c r="AD10" s="726" t="str">
        <f ca="1">OFFSET(CÁLCULO!$P$12,0,EVENTOS!AD$13)</f>
        <v>.</v>
      </c>
      <c r="AE10" s="726" t="str">
        <f ca="1">OFFSET(CÁLCULO!$P$12,0,EVENTOS!AE$13)</f>
        <v>.</v>
      </c>
      <c r="AF10" s="726" t="str">
        <f ca="1">OFFSET(CÁLCULO!$P$12,0,EVENTOS!AF$13)</f>
        <v>.</v>
      </c>
      <c r="AG10" s="726" t="str">
        <f ca="1">OFFSET(CÁLCULO!$P$12,0,EVENTOS!AG$13)</f>
        <v>.</v>
      </c>
      <c r="AH10" s="726" t="str">
        <f ca="1">OFFSET(CÁLCULO!$P$12,0,EVENTOS!AH$13)</f>
        <v>.</v>
      </c>
      <c r="AI10" s="726" t="str">
        <f ca="1">OFFSET(CÁLCULO!$P$12,0,EVENTOS!AI$13)</f>
        <v>.</v>
      </c>
    </row>
    <row r="11" spans="1:36" ht="35.1" customHeight="1" x14ac:dyDescent="0.2">
      <c r="A11" s="507" t="s">
        <v>655</v>
      </c>
      <c r="C11" s="732"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
      </c>
      <c r="D11" s="732"/>
      <c r="E11" s="731"/>
      <c r="F11" s="497"/>
      <c r="G11" s="727"/>
      <c r="H11" s="731"/>
      <c r="I11" s="731"/>
      <c r="J11" s="731"/>
      <c r="K11" s="727"/>
      <c r="L11" s="727"/>
      <c r="M11" s="727"/>
      <c r="N11" s="727"/>
      <c r="O11" s="727"/>
      <c r="P11" s="727"/>
      <c r="Q11" s="727"/>
      <c r="R11" s="727"/>
      <c r="S11" s="727"/>
      <c r="T11" s="727"/>
      <c r="U11" s="727"/>
      <c r="V11" s="727"/>
      <c r="W11" s="727"/>
      <c r="X11" s="727"/>
      <c r="Y11" s="727"/>
      <c r="Z11" s="727"/>
      <c r="AA11" s="727"/>
      <c r="AB11" s="727"/>
      <c r="AC11" s="727"/>
      <c r="AD11" s="727"/>
      <c r="AE11" s="727"/>
      <c r="AF11" s="727"/>
      <c r="AG11" s="727"/>
      <c r="AH11" s="727"/>
      <c r="AI11" s="727"/>
    </row>
    <row r="12" spans="1:36" ht="12" customHeight="1" x14ac:dyDescent="0.2">
      <c r="A12" s="508" t="s">
        <v>660</v>
      </c>
      <c r="E12" s="731"/>
      <c r="G12" s="728"/>
      <c r="H12" s="731"/>
      <c r="I12" s="731"/>
      <c r="J12" s="731"/>
      <c r="K12" s="728"/>
      <c r="L12" s="728"/>
      <c r="M12" s="728"/>
      <c r="N12" s="728"/>
      <c r="O12" s="728"/>
      <c r="P12" s="728"/>
      <c r="Q12" s="728"/>
      <c r="R12" s="728"/>
      <c r="S12" s="728"/>
      <c r="T12" s="728"/>
      <c r="U12" s="728"/>
      <c r="V12" s="728"/>
      <c r="W12" s="728"/>
      <c r="X12" s="728"/>
      <c r="Y12" s="728"/>
      <c r="Z12" s="728"/>
      <c r="AA12" s="728"/>
      <c r="AB12" s="728"/>
      <c r="AC12" s="728"/>
      <c r="AD12" s="728"/>
      <c r="AE12" s="728"/>
      <c r="AF12" s="728"/>
      <c r="AG12" s="728"/>
      <c r="AH12" s="728"/>
      <c r="AI12" s="728"/>
    </row>
    <row r="13" spans="1:36" ht="15" x14ac:dyDescent="0.25">
      <c r="A13" s="508"/>
      <c r="C13" s="498" t="s">
        <v>760</v>
      </c>
      <c r="D13" s="623" t="s">
        <v>761</v>
      </c>
      <c r="E13" s="624">
        <f ca="1">IF(NOT(ISNUMBER(OFFSET(E13,0,-1))),1,IF(OR(OFFSET(E13,0,-1)=0,OFFSET(E13,0,-1)+1&gt;CÁLCULO.FrentesPreenchidas),0,OFFSET(E13,0,-1)+1))</f>
        <v>1</v>
      </c>
      <c r="F13" s="545" t="s">
        <v>762</v>
      </c>
      <c r="G13" s="495"/>
      <c r="H13" s="624">
        <f t="shared" ref="H13:AI13" ca="1" si="1">IF(NOT(ISNUMBER(OFFSET(H13,0,-1))),1,IF(OR(OFFSET(H13,0,-1)=0,OFFSET(H13,0,-1)+1&gt;CÁLCULO.FrentesPreenchidas),0,OFFSET(H13,0,-1)+1))</f>
        <v>1</v>
      </c>
      <c r="I13" s="624">
        <f t="shared" ca="1" si="1"/>
        <v>2</v>
      </c>
      <c r="J13" s="624">
        <f t="shared" ca="1" si="1"/>
        <v>3</v>
      </c>
      <c r="K13" s="624">
        <f t="shared" ca="1" si="1"/>
        <v>4</v>
      </c>
      <c r="L13" s="624">
        <f t="shared" ca="1" si="1"/>
        <v>5</v>
      </c>
      <c r="M13" s="624">
        <f t="shared" ca="1" si="1"/>
        <v>6</v>
      </c>
      <c r="N13" s="624">
        <f t="shared" ca="1" si="1"/>
        <v>7</v>
      </c>
      <c r="O13" s="624">
        <f t="shared" ca="1" si="1"/>
        <v>8</v>
      </c>
      <c r="P13" s="624">
        <f t="shared" ca="1" si="1"/>
        <v>9</v>
      </c>
      <c r="Q13" s="624">
        <f t="shared" ca="1" si="1"/>
        <v>10</v>
      </c>
      <c r="R13" s="624">
        <f t="shared" ca="1" si="1"/>
        <v>11</v>
      </c>
      <c r="S13" s="624">
        <f t="shared" ca="1" si="1"/>
        <v>12</v>
      </c>
      <c r="T13" s="624">
        <f t="shared" ca="1" si="1"/>
        <v>13</v>
      </c>
      <c r="U13" s="624">
        <f t="shared" ca="1" si="1"/>
        <v>14</v>
      </c>
      <c r="V13" s="624">
        <f t="shared" ca="1" si="1"/>
        <v>15</v>
      </c>
      <c r="W13" s="624">
        <f t="shared" ca="1" si="1"/>
        <v>16</v>
      </c>
      <c r="X13" s="624">
        <f t="shared" ca="1" si="1"/>
        <v>17</v>
      </c>
      <c r="Y13" s="624">
        <f t="shared" ca="1" si="1"/>
        <v>18</v>
      </c>
      <c r="Z13" s="624">
        <f t="shared" ca="1" si="1"/>
        <v>19</v>
      </c>
      <c r="AA13" s="624">
        <f t="shared" ca="1" si="1"/>
        <v>20</v>
      </c>
      <c r="AB13" s="624">
        <f t="shared" ca="1" si="1"/>
        <v>0</v>
      </c>
      <c r="AC13" s="624">
        <f t="shared" ca="1" si="1"/>
        <v>0</v>
      </c>
      <c r="AD13" s="624">
        <f t="shared" ca="1" si="1"/>
        <v>0</v>
      </c>
      <c r="AE13" s="624">
        <f t="shared" ca="1" si="1"/>
        <v>0</v>
      </c>
      <c r="AF13" s="624">
        <f t="shared" ca="1" si="1"/>
        <v>0</v>
      </c>
      <c r="AG13" s="624">
        <f t="shared" ca="1" si="1"/>
        <v>0</v>
      </c>
      <c r="AH13" s="624">
        <f t="shared" ca="1" si="1"/>
        <v>0</v>
      </c>
      <c r="AI13" s="624">
        <f t="shared" ca="1" si="1"/>
        <v>0</v>
      </c>
    </row>
    <row r="14" spans="1:36" ht="15" customHeight="1" x14ac:dyDescent="0.2">
      <c r="A14" s="506" t="s">
        <v>536</v>
      </c>
      <c r="C14" s="541"/>
      <c r="D14" s="542" t="s">
        <v>763</v>
      </c>
      <c r="E14" s="625">
        <f ca="1">SUM(E$15:E$57)</f>
        <v>0</v>
      </c>
      <c r="F14" s="543">
        <f ca="1">SUM(F$15:F$57)</f>
        <v>0</v>
      </c>
      <c r="H14" s="625">
        <f t="shared" ref="H14:AI14" ca="1" si="2">SUM(H$15:H$57)</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c r="Z14" s="625">
        <f t="shared" ca="1" si="2"/>
        <v>0</v>
      </c>
      <c r="AA14" s="625">
        <f t="shared" ca="1" si="2"/>
        <v>0</v>
      </c>
      <c r="AB14" s="625">
        <f t="shared" ca="1" si="2"/>
        <v>0</v>
      </c>
      <c r="AC14" s="625">
        <f t="shared" ca="1" si="2"/>
        <v>0</v>
      </c>
      <c r="AD14" s="625">
        <f t="shared" ca="1" si="2"/>
        <v>0</v>
      </c>
      <c r="AE14" s="625">
        <f t="shared" ca="1" si="2"/>
        <v>0</v>
      </c>
      <c r="AF14" s="625">
        <f t="shared" ca="1" si="2"/>
        <v>0</v>
      </c>
      <c r="AG14" s="625">
        <f t="shared" ca="1" si="2"/>
        <v>0</v>
      </c>
      <c r="AH14" s="625">
        <f t="shared" ca="1" si="2"/>
        <v>0</v>
      </c>
      <c r="AI14" s="625">
        <f t="shared" ca="1" si="2"/>
        <v>0</v>
      </c>
    </row>
    <row r="15" spans="1:36" x14ac:dyDescent="0.2">
      <c r="A15" s="506" t="str">
        <f t="shared" ref="A15:A56" si="3">IF(D15="","","F")</f>
        <v/>
      </c>
      <c r="B15" t="str">
        <f>IF(OR(C15=" ",D15=""),"",CONCATENATE(C15,". ",D15))</f>
        <v/>
      </c>
      <c r="C15" s="546" cm="1">
        <f t="array" ref="C15">IF(AdmLocal="Automática",1,0)</f>
        <v>0</v>
      </c>
      <c r="D15" s="626" t="str">
        <f>IF(C15=1,"Administração Local","")</f>
        <v/>
      </c>
      <c r="E15" s="627">
        <f ca="1">IF($F$15=0,0,IF(E13=1,$F$15-SUM($I$15:$AJ$15),ROUND(SUM(OFFSET(E15,1,0):OFFSET(E$57,-1,0))/SUM(OFFSET($F15,1,0):OFFSET($F$57,-1,0))*$F$15,2)))</f>
        <v>0</v>
      </c>
      <c r="F15" s="547" cm="1">
        <f t="array" ref="F15">IF($C$15=0,0,ROUND(SUMPRODUCT((CÁLCULO!$M$15:$M$244=EVENTOS!$C15)*(ORÇAMENTO!$X$15:'ORÇAMENTO'!$X$244)),2))</f>
        <v>0</v>
      </c>
      <c r="G15" s="628"/>
      <c r="H15" s="627">
        <f ca="1">IF($F$15=0,0,IF(H13=1,$F$15-SUM($I$15:$AJ$15),ROUND(SUM(OFFSET(H15,1,0):OFFSET(H$57,-1,0))/SUM(OFFSET($F15,1,0):OFFSET($F$57,-1,0))*$F$15,2)))</f>
        <v>0</v>
      </c>
      <c r="I15" s="627">
        <f ca="1">IF($F$15=0,0,IF(I13=1,$F$15-SUM($I$15:$AJ$15),ROUND(SUM(OFFSET(I15,1,0):OFFSET(I$57,-1,0))/SUM(OFFSET($F15,1,0):OFFSET($F$57,-1,0))*$F$15,2)))</f>
        <v>0</v>
      </c>
      <c r="J15" s="627">
        <f ca="1">IF($F$15=0,0,IF(J13=1,$F$15-SUM($I$15:$AJ$15),ROUND(SUM(OFFSET(J15,1,0):OFFSET(J$57,-1,0))/SUM(OFFSET($F15,1,0):OFFSET($F$57,-1,0))*$F$15,2)))</f>
        <v>0</v>
      </c>
      <c r="K15" s="627">
        <f ca="1">IF($F$15=0,0,IF(K13=1,$F$15-SUM($I$15:$AJ$15),ROUND(SUM(OFFSET(K15,1,0):OFFSET(K$57,-1,0))/SUM(OFFSET($F15,1,0):OFFSET($F$57,-1,0))*$F$15,2)))</f>
        <v>0</v>
      </c>
      <c r="L15" s="627">
        <f ca="1">IF($F$15=0,0,IF(L13=1,$F$15-SUM($I$15:$AJ$15),ROUND(SUM(OFFSET(L15,1,0):OFFSET(L$57,-1,0))/SUM(OFFSET($F15,1,0):OFFSET($F$57,-1,0))*$F$15,2)))</f>
        <v>0</v>
      </c>
      <c r="M15" s="627">
        <f ca="1">IF($F$15=0,0,IF(M13=1,$F$15-SUM($I$15:$AJ$15),ROUND(SUM(OFFSET(M15,1,0):OFFSET(M$57,-1,0))/SUM(OFFSET($F15,1,0):OFFSET($F$57,-1,0))*$F$15,2)))</f>
        <v>0</v>
      </c>
      <c r="N15" s="627">
        <f ca="1">IF($F$15=0,0,IF(N13=1,$F$15-SUM($I$15:$AJ$15),ROUND(SUM(OFFSET(N15,1,0):OFFSET(N$57,-1,0))/SUM(OFFSET($F15,1,0):OFFSET($F$57,-1,0))*$F$15,2)))</f>
        <v>0</v>
      </c>
      <c r="O15" s="627">
        <f ca="1">IF($F$15=0,0,IF(O13=1,$F$15-SUM($I$15:$AJ$15),ROUND(SUM(OFFSET(O15,1,0):OFFSET(O$57,-1,0))/SUM(OFFSET($F15,1,0):OFFSET($F$57,-1,0))*$F$15,2)))</f>
        <v>0</v>
      </c>
      <c r="P15" s="627">
        <f ca="1">IF($F$15=0,0,IF(P13=1,$F$15-SUM($I$15:$AJ$15),ROUND(SUM(OFFSET(P15,1,0):OFFSET(P$57,-1,0))/SUM(OFFSET($F15,1,0):OFFSET($F$57,-1,0))*$F$15,2)))</f>
        <v>0</v>
      </c>
      <c r="Q15" s="627">
        <f ca="1">IF($F$15=0,0,IF(Q13=1,$F$15-SUM($I$15:$AJ$15),ROUND(SUM(OFFSET(Q15,1,0):OFFSET(Q$57,-1,0))/SUM(OFFSET($F15,1,0):OFFSET($F$57,-1,0))*$F$15,2)))</f>
        <v>0</v>
      </c>
      <c r="R15" s="627">
        <f ca="1">IF($F$15=0,0,IF(R13=1,$F$15-SUM($I$15:$AJ$15),ROUND(SUM(OFFSET(R15,1,0):OFFSET(R$57,-1,0))/SUM(OFFSET($F15,1,0):OFFSET($F$57,-1,0))*$F$15,2)))</f>
        <v>0</v>
      </c>
      <c r="S15" s="627">
        <f ca="1">IF($F$15=0,0,IF(S13=1,$F$15-SUM($I$15:$AJ$15),ROUND(SUM(OFFSET(S15,1,0):OFFSET(S$57,-1,0))/SUM(OFFSET($F15,1,0):OFFSET($F$57,-1,0))*$F$15,2)))</f>
        <v>0</v>
      </c>
      <c r="T15" s="627">
        <f ca="1">IF($F$15=0,0,IF(T13=1,$F$15-SUM($I$15:$AJ$15),ROUND(SUM(OFFSET(T15,1,0):OFFSET(T$57,-1,0))/SUM(OFFSET($F15,1,0):OFFSET($F$57,-1,0))*$F$15,2)))</f>
        <v>0</v>
      </c>
      <c r="U15" s="627">
        <f ca="1">IF($F$15=0,0,IF(U13=1,$F$15-SUM($I$15:$AJ$15),ROUND(SUM(OFFSET(U15,1,0):OFFSET(U$57,-1,0))/SUM(OFFSET($F15,1,0):OFFSET($F$57,-1,0))*$F$15,2)))</f>
        <v>0</v>
      </c>
      <c r="V15" s="627">
        <f ca="1">IF($F$15=0,0,IF(V13=1,$F$15-SUM($I$15:$AJ$15),ROUND(SUM(OFFSET(V15,1,0):OFFSET(V$57,-1,0))/SUM(OFFSET($F15,1,0):OFFSET($F$57,-1,0))*$F$15,2)))</f>
        <v>0</v>
      </c>
      <c r="W15" s="627">
        <f ca="1">IF($F$15=0,0,IF(W13=1,$F$15-SUM($I$15:$AJ$15),ROUND(SUM(OFFSET(W15,1,0):OFFSET(W$57,-1,0))/SUM(OFFSET($F15,1,0):OFFSET($F$57,-1,0))*$F$15,2)))</f>
        <v>0</v>
      </c>
      <c r="X15" s="627">
        <f ca="1">IF($F$15=0,0,IF(X13=1,$F$15-SUM($I$15:$AJ$15),ROUND(SUM(OFFSET(X15,1,0):OFFSET(X$57,-1,0))/SUM(OFFSET($F15,1,0):OFFSET($F$57,-1,0))*$F$15,2)))</f>
        <v>0</v>
      </c>
      <c r="Y15" s="627">
        <f ca="1">IF($F$15=0,0,IF(Y13=1,$F$15-SUM($I$15:$AJ$15),ROUND(SUM(OFFSET(Y15,1,0):OFFSET(Y$57,-1,0))/SUM(OFFSET($F15,1,0):OFFSET($F$57,-1,0))*$F$15,2)))</f>
        <v>0</v>
      </c>
      <c r="Z15" s="627">
        <f ca="1">IF($F$15=0,0,IF(Z13=1,$F$15-SUM($I$15:$AJ$15),ROUND(SUM(OFFSET(Z15,1,0):OFFSET(Z$57,-1,0))/SUM(OFFSET($F15,1,0):OFFSET($F$57,-1,0))*$F$15,2)))</f>
        <v>0</v>
      </c>
      <c r="AA15" s="627">
        <f ca="1">IF($F$15=0,0,IF(AA13=1,$F$15-SUM($I$15:$AJ$15),ROUND(SUM(OFFSET(AA15,1,0):OFFSET(AA$57,-1,0))/SUM(OFFSET($F15,1,0):OFFSET($F$57,-1,0))*$F$15,2)))</f>
        <v>0</v>
      </c>
      <c r="AB15" s="627">
        <f ca="1">IF($F$15=0,0,IF(AB13=1,$F$15-SUM($I$15:$AJ$15),ROUND(SUM(OFFSET(AB15,1,0):OFFSET(AB$57,-1,0))/SUM(OFFSET($F15,1,0):OFFSET($F$57,-1,0))*$F$15,2)))</f>
        <v>0</v>
      </c>
      <c r="AC15" s="627">
        <f ca="1">IF($F$15=0,0,IF(AC13=1,$F$15-SUM($I$15:$AJ$15),ROUND(SUM(OFFSET(AC15,1,0):OFFSET(AC$57,-1,0))/SUM(OFFSET($F15,1,0):OFFSET($F$57,-1,0))*$F$15,2)))</f>
        <v>0</v>
      </c>
      <c r="AD15" s="627">
        <f ca="1">IF($F$15=0,0,IF(AD13=1,$F$15-SUM($I$15:$AJ$15),ROUND(SUM(OFFSET(AD15,1,0):OFFSET(AD$57,-1,0))/SUM(OFFSET($F15,1,0):OFFSET($F$57,-1,0))*$F$15,2)))</f>
        <v>0</v>
      </c>
      <c r="AE15" s="627">
        <f ca="1">IF($F$15=0,0,IF(AE13=1,$F$15-SUM($I$15:$AJ$15),ROUND(SUM(OFFSET(AE15,1,0):OFFSET(AE$57,-1,0))/SUM(OFFSET($F15,1,0):OFFSET($F$57,-1,0))*$F$15,2)))</f>
        <v>0</v>
      </c>
      <c r="AF15" s="627">
        <f ca="1">IF($F$15=0,0,IF(AF13=1,$F$15-SUM($I$15:$AJ$15),ROUND(SUM(OFFSET(AF15,1,0):OFFSET(AF$57,-1,0))/SUM(OFFSET($F15,1,0):OFFSET($F$57,-1,0))*$F$15,2)))</f>
        <v>0</v>
      </c>
      <c r="AG15" s="627">
        <f ca="1">IF($F$15=0,0,IF(AG13=1,$F$15-SUM($I$15:$AJ$15),ROUND(SUM(OFFSET(AG15,1,0):OFFSET(AG$57,-1,0))/SUM(OFFSET($F15,1,0):OFFSET($F$57,-1,0))*$F$15,2)))</f>
        <v>0</v>
      </c>
      <c r="AH15" s="627">
        <f ca="1">IF($F$15=0,0,IF(AH13=1,$F$15-SUM($I$15:$AJ$15),ROUND(SUM(OFFSET(AH15,1,0):OFFSET(AH$57,-1,0))/SUM(OFFSET($F15,1,0):OFFSET($F$57,-1,0))*$F$15,2)))</f>
        <v>0</v>
      </c>
      <c r="AI15" s="627">
        <f ca="1">IF($F$15=0,0,IF(AI13=1,$F$15-SUM($I$15:$AJ$15),ROUND(SUM(OFFSET(AI15,1,0):OFFSET(AI$57,-1,0))/SUM(OFFSET($F15,1,0):OFFSET($F$57,-1,0))*$F$15,2)))</f>
        <v>0</v>
      </c>
    </row>
    <row r="16" spans="1:36" x14ac:dyDescent="0.2">
      <c r="A16" s="506" t="str">
        <f t="shared" si="3"/>
        <v>F</v>
      </c>
      <c r="B16" t="str">
        <f t="shared" ref="B16:B56" ca="1" si="4">IF(OR(C16=" ",D16=""),"",CONCATENATE(C16,". ",D16))</f>
        <v>1. SERVIÇOS PRELIMINARES</v>
      </c>
      <c r="C16" s="182" cm="1">
        <f t="array" aca="1" ref="C16" ca="1">IF(OR(ROW(C16)=ROW(EVENTOS.firstrow)+1,AND(OFFSET(C16,-1,0)&lt;&gt;" ",OFFSET(C16,-1,1)&lt;&gt;"")),OFFSET(C16,-1,0)+1," ")</f>
        <v>1</v>
      </c>
      <c r="D16" s="496" t="s">
        <v>1173</v>
      </c>
      <c r="E16" s="620" cm="1">
        <f t="array" aca="1" ref="E16" ca="1">IF(AUTOEVENTO="Manual",ROUND(SUMPRODUCT((CÁLCULO!$M$15:$M$244=EVENTOS!$C16)*(OFFSET(CÁLCULO!$AQ$15:$AQ$244,0,E$13))),2),0)</f>
        <v>0</v>
      </c>
      <c r="F16" s="183">
        <f ca="1">IF(AUTOEVENTO="Manual",ROUND(SUMPRODUCT((CÁLCULO!$M$15:$M$244=EVENTOS!$C16)*(OFFSET(CÁLCULO!$AQ$15,0,1):OFFSET(CÁLCULO!$BR$244,0,-1))),2),0)</f>
        <v>0</v>
      </c>
      <c r="G16" s="621" t="str">
        <f t="shared" ref="G16:G39" ca="1" si="5">IF(AND(D16=0,F16&gt;0),"NOME",
 IF(AND(D16&lt;&gt;0,$F$14&gt;0,F16=0),"VALOR",
 IF(AND(Import.TipoArredondamento="TransfereGOV",$A16="F",LEN(D16)&gt;100),"Nome &gt;100","")))</f>
        <v/>
      </c>
      <c r="H16" s="620" cm="1">
        <f t="array" aca="1" ref="H16" ca="1">IF(AUTOEVENTO="Manual",ROUND(SUMPRODUCT((CÁLCULO!$M$15:$M$244=EVENTOS!$C16)*(OFFSET(CÁLCULO!$AQ$15:$AQ$244,0,H$13))),2),0)</f>
        <v>0</v>
      </c>
      <c r="I16" s="620" cm="1">
        <f t="array" aca="1" ref="I16" ca="1">IF(AUTOEVENTO="Manual",ROUND(SUMPRODUCT((CÁLCULO!$M$15:$M$244=EVENTOS!$C16)*(OFFSET(CÁLCULO!$AQ$15:$AQ$244,0,I$13))),2),0)</f>
        <v>0</v>
      </c>
      <c r="J16" s="620" cm="1">
        <f t="array" aca="1" ref="J16" ca="1">IF(AUTOEVENTO="Manual",ROUND(SUMPRODUCT((CÁLCULO!$M$15:$M$244=EVENTOS!$C16)*(OFFSET(CÁLCULO!$AQ$15:$AQ$244,0,J$13))),2),0)</f>
        <v>0</v>
      </c>
      <c r="K16" s="620" cm="1">
        <f t="array" aca="1" ref="K16" ca="1">IF(AUTOEVENTO="Manual",ROUND(SUMPRODUCT((CÁLCULO!$M$15:$M$244=EVENTOS!$C16)*(OFFSET(CÁLCULO!$AQ$15:$AQ$244,0,K$13))),2),0)</f>
        <v>0</v>
      </c>
      <c r="L16" s="620" cm="1">
        <f t="array" aca="1" ref="L16" ca="1">IF(AUTOEVENTO="Manual",ROUND(SUMPRODUCT((CÁLCULO!$M$15:$M$244=EVENTOS!$C16)*(OFFSET(CÁLCULO!$AQ$15:$AQ$244,0,L$13))),2),0)</f>
        <v>0</v>
      </c>
      <c r="M16" s="620" cm="1">
        <f t="array" aca="1" ref="M16" ca="1">IF(AUTOEVENTO="Manual",ROUND(SUMPRODUCT((CÁLCULO!$M$15:$M$244=EVENTOS!$C16)*(OFFSET(CÁLCULO!$AQ$15:$AQ$244,0,M$13))),2),0)</f>
        <v>0</v>
      </c>
      <c r="N16" s="620" cm="1">
        <f t="array" aca="1" ref="N16" ca="1">IF(AUTOEVENTO="Manual",ROUND(SUMPRODUCT((CÁLCULO!$M$15:$M$244=EVENTOS!$C16)*(OFFSET(CÁLCULO!$AQ$15:$AQ$244,0,N$13))),2),0)</f>
        <v>0</v>
      </c>
      <c r="O16" s="620" cm="1">
        <f t="array" aca="1" ref="O16" ca="1">IF(AUTOEVENTO="Manual",ROUND(SUMPRODUCT((CÁLCULO!$M$15:$M$244=EVENTOS!$C16)*(OFFSET(CÁLCULO!$AQ$15:$AQ$244,0,O$13))),2),0)</f>
        <v>0</v>
      </c>
      <c r="P16" s="620" cm="1">
        <f t="array" aca="1" ref="P16" ca="1">IF(AUTOEVENTO="Manual",ROUND(SUMPRODUCT((CÁLCULO!$M$15:$M$244=EVENTOS!$C16)*(OFFSET(CÁLCULO!$AQ$15:$AQ$244,0,P$13))),2),0)</f>
        <v>0</v>
      </c>
      <c r="Q16" s="620" cm="1">
        <f t="array" aca="1" ref="Q16" ca="1">IF(AUTOEVENTO="Manual",ROUND(SUMPRODUCT((CÁLCULO!$M$15:$M$244=EVENTOS!$C16)*(OFFSET(CÁLCULO!$AQ$15:$AQ$244,0,Q$13))),2),0)</f>
        <v>0</v>
      </c>
      <c r="R16" s="620" cm="1">
        <f t="array" aca="1" ref="R16" ca="1">IF(AUTOEVENTO="Manual",ROUND(SUMPRODUCT((CÁLCULO!$M$15:$M$244=EVENTOS!$C16)*(OFFSET(CÁLCULO!$AQ$15:$AQ$244,0,R$13))),2),0)</f>
        <v>0</v>
      </c>
      <c r="S16" s="620" cm="1">
        <f t="array" aca="1" ref="S16" ca="1">IF(AUTOEVENTO="Manual",ROUND(SUMPRODUCT((CÁLCULO!$M$15:$M$244=EVENTOS!$C16)*(OFFSET(CÁLCULO!$AQ$15:$AQ$244,0,S$13))),2),0)</f>
        <v>0</v>
      </c>
      <c r="T16" s="620" cm="1">
        <f t="array" aca="1" ref="T16" ca="1">IF(AUTOEVENTO="Manual",ROUND(SUMPRODUCT((CÁLCULO!$M$15:$M$244=EVENTOS!$C16)*(OFFSET(CÁLCULO!$AQ$15:$AQ$244,0,T$13))),2),0)</f>
        <v>0</v>
      </c>
      <c r="U16" s="620" cm="1">
        <f t="array" aca="1" ref="U16" ca="1">IF(AUTOEVENTO="Manual",ROUND(SUMPRODUCT((CÁLCULO!$M$15:$M$244=EVENTOS!$C16)*(OFFSET(CÁLCULO!$AQ$15:$AQ$244,0,U$13))),2),0)</f>
        <v>0</v>
      </c>
      <c r="V16" s="620" cm="1">
        <f t="array" aca="1" ref="V16" ca="1">IF(AUTOEVENTO="Manual",ROUND(SUMPRODUCT((CÁLCULO!$M$15:$M$244=EVENTOS!$C16)*(OFFSET(CÁLCULO!$AQ$15:$AQ$244,0,V$13))),2),0)</f>
        <v>0</v>
      </c>
      <c r="W16" s="620" cm="1">
        <f t="array" aca="1" ref="W16" ca="1">IF(AUTOEVENTO="Manual",ROUND(SUMPRODUCT((CÁLCULO!$M$15:$M$244=EVENTOS!$C16)*(OFFSET(CÁLCULO!$AQ$15:$AQ$244,0,W$13))),2),0)</f>
        <v>0</v>
      </c>
      <c r="X16" s="620" cm="1">
        <f t="array" aca="1" ref="X16" ca="1">IF(AUTOEVENTO="Manual",ROUND(SUMPRODUCT((CÁLCULO!$M$15:$M$244=EVENTOS!$C16)*(OFFSET(CÁLCULO!$AQ$15:$AQ$244,0,X$13))),2),0)</f>
        <v>0</v>
      </c>
      <c r="Y16" s="620" cm="1">
        <f t="array" aca="1" ref="Y16" ca="1">IF(AUTOEVENTO="Manual",ROUND(SUMPRODUCT((CÁLCULO!$M$15:$M$244=EVENTOS!$C16)*(OFFSET(CÁLCULO!$AQ$15:$AQ$244,0,Y$13))),2),0)</f>
        <v>0</v>
      </c>
      <c r="Z16" s="620" cm="1">
        <f t="array" aca="1" ref="Z16" ca="1">IF(AUTOEVENTO="Manual",ROUND(SUMPRODUCT((CÁLCULO!$M$15:$M$244=EVENTOS!$C16)*(OFFSET(CÁLCULO!$AQ$15:$AQ$244,0,Z$13))),2),0)</f>
        <v>0</v>
      </c>
      <c r="AA16" s="620" cm="1">
        <f t="array" aca="1" ref="AA16" ca="1">IF(AUTOEVENTO="Manual",ROUND(SUMPRODUCT((CÁLCULO!$M$15:$M$244=EVENTOS!$C16)*(OFFSET(CÁLCULO!$AQ$15:$AQ$244,0,AA$13))),2),0)</f>
        <v>0</v>
      </c>
      <c r="AB16" s="620" cm="1">
        <f t="array" aca="1" ref="AB16" ca="1">IF(AUTOEVENTO="Manual",ROUND(SUMPRODUCT((CÁLCULO!$M$15:$M$244=EVENTOS!$C16)*(OFFSET(CÁLCULO!$AQ$15:$AQ$244,0,AB$13))),2),0)</f>
        <v>0</v>
      </c>
      <c r="AC16" s="620" cm="1">
        <f t="array" aca="1" ref="AC16" ca="1">IF(AUTOEVENTO="Manual",ROUND(SUMPRODUCT((CÁLCULO!$M$15:$M$244=EVENTOS!$C16)*(OFFSET(CÁLCULO!$AQ$15:$AQ$244,0,AC$13))),2),0)</f>
        <v>0</v>
      </c>
      <c r="AD16" s="620" cm="1">
        <f t="array" aca="1" ref="AD16" ca="1">IF(AUTOEVENTO="Manual",ROUND(SUMPRODUCT((CÁLCULO!$M$15:$M$244=EVENTOS!$C16)*(OFFSET(CÁLCULO!$AQ$15:$AQ$244,0,AD$13))),2),0)</f>
        <v>0</v>
      </c>
      <c r="AE16" s="620" cm="1">
        <f t="array" aca="1" ref="AE16" ca="1">IF(AUTOEVENTO="Manual",ROUND(SUMPRODUCT((CÁLCULO!$M$15:$M$244=EVENTOS!$C16)*(OFFSET(CÁLCULO!$AQ$15:$AQ$244,0,AE$13))),2),0)</f>
        <v>0</v>
      </c>
      <c r="AF16" s="620" cm="1">
        <f t="array" aca="1" ref="AF16" ca="1">IF(AUTOEVENTO="Manual",ROUND(SUMPRODUCT((CÁLCULO!$M$15:$M$244=EVENTOS!$C16)*(OFFSET(CÁLCULO!$AQ$15:$AQ$244,0,AF$13))),2),0)</f>
        <v>0</v>
      </c>
      <c r="AG16" s="620" cm="1">
        <f t="array" aca="1" ref="AG16" ca="1">IF(AUTOEVENTO="Manual",ROUND(SUMPRODUCT((CÁLCULO!$M$15:$M$244=EVENTOS!$C16)*(OFFSET(CÁLCULO!$AQ$15:$AQ$244,0,AG$13))),2),0)</f>
        <v>0</v>
      </c>
      <c r="AH16" s="620" cm="1">
        <f t="array" aca="1" ref="AH16" ca="1">IF(AUTOEVENTO="Manual",ROUND(SUMPRODUCT((CÁLCULO!$M$15:$M$244=EVENTOS!$C16)*(OFFSET(CÁLCULO!$AQ$15:$AQ$244,0,AH$13))),2),0)</f>
        <v>0</v>
      </c>
      <c r="AI16" s="620" cm="1">
        <f t="array" aca="1" ref="AI16" ca="1">IF(AUTOEVENTO="Manual",ROUND(SUMPRODUCT((CÁLCULO!$M$15:$M$244=EVENTOS!$C16)*(OFFSET(CÁLCULO!$AQ$15:$AQ$244,0,AI$13))),2),0)</f>
        <v>0</v>
      </c>
    </row>
    <row r="17" spans="1:35" x14ac:dyDescent="0.2">
      <c r="A17" s="506" t="str">
        <f t="shared" si="3"/>
        <v>F</v>
      </c>
      <c r="B17" t="str">
        <f t="shared" ca="1" si="4"/>
        <v>2. ADMINISTRAÇÃO DA OBRA</v>
      </c>
      <c r="C17" s="182" cm="1">
        <f t="array" aca="1" ref="C17" ca="1">IF(OR(ROW(C17)=ROW(EVENTOS.firstrow)+1,AND(OFFSET(C17,-1,0)&lt;&gt;" ",OFFSET(C17,-1,1)&lt;&gt;"")),OFFSET(C17,-1,0)+1," ")</f>
        <v>2</v>
      </c>
      <c r="D17" s="496" t="s">
        <v>1243</v>
      </c>
      <c r="E17" s="620" cm="1">
        <f t="array" aca="1" ref="E17" ca="1">IF(AUTOEVENTO="Manual",ROUND(SUMPRODUCT((CÁLCULO!$M$15:$M$244=EVENTOS!$C17)*(OFFSET(CÁLCULO!$AQ$15:$AQ$244,0,E$13))),2),0)</f>
        <v>0</v>
      </c>
      <c r="F17" s="183">
        <f ca="1">IF(AUTOEVENTO="Manual",ROUND(SUMPRODUCT((CÁLCULO!$M$15:$M$244=EVENTOS!$C17)*(OFFSET(CÁLCULO!$AQ$15,0,1):OFFSET(CÁLCULO!$BR$244,0,-1))),2),0)</f>
        <v>0</v>
      </c>
      <c r="G17" s="621" t="str">
        <f t="shared" ca="1" si="5"/>
        <v/>
      </c>
      <c r="H17" s="620" cm="1">
        <f t="array" aca="1" ref="H17" ca="1">IF(AUTOEVENTO="Manual",ROUND(SUMPRODUCT((CÁLCULO!$M$15:$M$244=EVENTOS!$C17)*(OFFSET(CÁLCULO!$AQ$15:$AQ$244,0,H$13))),2),0)</f>
        <v>0</v>
      </c>
      <c r="I17" s="620" cm="1">
        <f t="array" aca="1" ref="I17" ca="1">IF(AUTOEVENTO="Manual",ROUND(SUMPRODUCT((CÁLCULO!$M$15:$M$244=EVENTOS!$C17)*(OFFSET(CÁLCULO!$AQ$15:$AQ$244,0,I$13))),2),0)</f>
        <v>0</v>
      </c>
      <c r="J17" s="620" cm="1">
        <f t="array" aca="1" ref="J17" ca="1">IF(AUTOEVENTO="Manual",ROUND(SUMPRODUCT((CÁLCULO!$M$15:$M$244=EVENTOS!$C17)*(OFFSET(CÁLCULO!$AQ$15:$AQ$244,0,J$13))),2),0)</f>
        <v>0</v>
      </c>
      <c r="K17" s="620" cm="1">
        <f t="array" aca="1" ref="K17" ca="1">IF(AUTOEVENTO="Manual",ROUND(SUMPRODUCT((CÁLCULO!$M$15:$M$244=EVENTOS!$C17)*(OFFSET(CÁLCULO!$AQ$15:$AQ$244,0,K$13))),2),0)</f>
        <v>0</v>
      </c>
      <c r="L17" s="620" cm="1">
        <f t="array" aca="1" ref="L17" ca="1">IF(AUTOEVENTO="Manual",ROUND(SUMPRODUCT((CÁLCULO!$M$15:$M$244=EVENTOS!$C17)*(OFFSET(CÁLCULO!$AQ$15:$AQ$244,0,L$13))),2),0)</f>
        <v>0</v>
      </c>
      <c r="M17" s="620" cm="1">
        <f t="array" aca="1" ref="M17" ca="1">IF(AUTOEVENTO="Manual",ROUND(SUMPRODUCT((CÁLCULO!$M$15:$M$244=EVENTOS!$C17)*(OFFSET(CÁLCULO!$AQ$15:$AQ$244,0,M$13))),2),0)</f>
        <v>0</v>
      </c>
      <c r="N17" s="620" cm="1">
        <f t="array" aca="1" ref="N17" ca="1">IF(AUTOEVENTO="Manual",ROUND(SUMPRODUCT((CÁLCULO!$M$15:$M$244=EVENTOS!$C17)*(OFFSET(CÁLCULO!$AQ$15:$AQ$244,0,N$13))),2),0)</f>
        <v>0</v>
      </c>
      <c r="O17" s="620" cm="1">
        <f t="array" aca="1" ref="O17" ca="1">IF(AUTOEVENTO="Manual",ROUND(SUMPRODUCT((CÁLCULO!$M$15:$M$244=EVENTOS!$C17)*(OFFSET(CÁLCULO!$AQ$15:$AQ$244,0,O$13))),2),0)</f>
        <v>0</v>
      </c>
      <c r="P17" s="620" cm="1">
        <f t="array" aca="1" ref="P17" ca="1">IF(AUTOEVENTO="Manual",ROUND(SUMPRODUCT((CÁLCULO!$M$15:$M$244=EVENTOS!$C17)*(OFFSET(CÁLCULO!$AQ$15:$AQ$244,0,P$13))),2),0)</f>
        <v>0</v>
      </c>
      <c r="Q17" s="620" cm="1">
        <f t="array" aca="1" ref="Q17" ca="1">IF(AUTOEVENTO="Manual",ROUND(SUMPRODUCT((CÁLCULO!$M$15:$M$244=EVENTOS!$C17)*(OFFSET(CÁLCULO!$AQ$15:$AQ$244,0,Q$13))),2),0)</f>
        <v>0</v>
      </c>
      <c r="R17" s="620" cm="1">
        <f t="array" aca="1" ref="R17" ca="1">IF(AUTOEVENTO="Manual",ROUND(SUMPRODUCT((CÁLCULO!$M$15:$M$244=EVENTOS!$C17)*(OFFSET(CÁLCULO!$AQ$15:$AQ$244,0,R$13))),2),0)</f>
        <v>0</v>
      </c>
      <c r="S17" s="620" cm="1">
        <f t="array" aca="1" ref="S17" ca="1">IF(AUTOEVENTO="Manual",ROUND(SUMPRODUCT((CÁLCULO!$M$15:$M$244=EVENTOS!$C17)*(OFFSET(CÁLCULO!$AQ$15:$AQ$244,0,S$13))),2),0)</f>
        <v>0</v>
      </c>
      <c r="T17" s="620" cm="1">
        <f t="array" aca="1" ref="T17" ca="1">IF(AUTOEVENTO="Manual",ROUND(SUMPRODUCT((CÁLCULO!$M$15:$M$244=EVENTOS!$C17)*(OFFSET(CÁLCULO!$AQ$15:$AQ$244,0,T$13))),2),0)</f>
        <v>0</v>
      </c>
      <c r="U17" s="620" cm="1">
        <f t="array" aca="1" ref="U17" ca="1">IF(AUTOEVENTO="Manual",ROUND(SUMPRODUCT((CÁLCULO!$M$15:$M$244=EVENTOS!$C17)*(OFFSET(CÁLCULO!$AQ$15:$AQ$244,0,U$13))),2),0)</f>
        <v>0</v>
      </c>
      <c r="V17" s="620" cm="1">
        <f t="array" aca="1" ref="V17" ca="1">IF(AUTOEVENTO="Manual",ROUND(SUMPRODUCT((CÁLCULO!$M$15:$M$244=EVENTOS!$C17)*(OFFSET(CÁLCULO!$AQ$15:$AQ$244,0,V$13))),2),0)</f>
        <v>0</v>
      </c>
      <c r="W17" s="620" cm="1">
        <f t="array" aca="1" ref="W17" ca="1">IF(AUTOEVENTO="Manual",ROUND(SUMPRODUCT((CÁLCULO!$M$15:$M$244=EVENTOS!$C17)*(OFFSET(CÁLCULO!$AQ$15:$AQ$244,0,W$13))),2),0)</f>
        <v>0</v>
      </c>
      <c r="X17" s="620" cm="1">
        <f t="array" aca="1" ref="X17" ca="1">IF(AUTOEVENTO="Manual",ROUND(SUMPRODUCT((CÁLCULO!$M$15:$M$244=EVENTOS!$C17)*(OFFSET(CÁLCULO!$AQ$15:$AQ$244,0,X$13))),2),0)</f>
        <v>0</v>
      </c>
      <c r="Y17" s="620" cm="1">
        <f t="array" aca="1" ref="Y17" ca="1">IF(AUTOEVENTO="Manual",ROUND(SUMPRODUCT((CÁLCULO!$M$15:$M$244=EVENTOS!$C17)*(OFFSET(CÁLCULO!$AQ$15:$AQ$244,0,Y$13))),2),0)</f>
        <v>0</v>
      </c>
      <c r="Z17" s="620" cm="1">
        <f t="array" aca="1" ref="Z17" ca="1">IF(AUTOEVENTO="Manual",ROUND(SUMPRODUCT((CÁLCULO!$M$15:$M$244=EVENTOS!$C17)*(OFFSET(CÁLCULO!$AQ$15:$AQ$244,0,Z$13))),2),0)</f>
        <v>0</v>
      </c>
      <c r="AA17" s="620" cm="1">
        <f t="array" aca="1" ref="AA17" ca="1">IF(AUTOEVENTO="Manual",ROUND(SUMPRODUCT((CÁLCULO!$M$15:$M$244=EVENTOS!$C17)*(OFFSET(CÁLCULO!$AQ$15:$AQ$244,0,AA$13))),2),0)</f>
        <v>0</v>
      </c>
      <c r="AB17" s="620" cm="1">
        <f t="array" aca="1" ref="AB17" ca="1">IF(AUTOEVENTO="Manual",ROUND(SUMPRODUCT((CÁLCULO!$M$15:$M$244=EVENTOS!$C17)*(OFFSET(CÁLCULO!$AQ$15:$AQ$244,0,AB$13))),2),0)</f>
        <v>0</v>
      </c>
      <c r="AC17" s="620" cm="1">
        <f t="array" aca="1" ref="AC17" ca="1">IF(AUTOEVENTO="Manual",ROUND(SUMPRODUCT((CÁLCULO!$M$15:$M$244=EVENTOS!$C17)*(OFFSET(CÁLCULO!$AQ$15:$AQ$244,0,AC$13))),2),0)</f>
        <v>0</v>
      </c>
      <c r="AD17" s="620" cm="1">
        <f t="array" aca="1" ref="AD17" ca="1">IF(AUTOEVENTO="Manual",ROUND(SUMPRODUCT((CÁLCULO!$M$15:$M$244=EVENTOS!$C17)*(OFFSET(CÁLCULO!$AQ$15:$AQ$244,0,AD$13))),2),0)</f>
        <v>0</v>
      </c>
      <c r="AE17" s="620" cm="1">
        <f t="array" aca="1" ref="AE17" ca="1">IF(AUTOEVENTO="Manual",ROUND(SUMPRODUCT((CÁLCULO!$M$15:$M$244=EVENTOS!$C17)*(OFFSET(CÁLCULO!$AQ$15:$AQ$244,0,AE$13))),2),0)</f>
        <v>0</v>
      </c>
      <c r="AF17" s="620" cm="1">
        <f t="array" aca="1" ref="AF17" ca="1">IF(AUTOEVENTO="Manual",ROUND(SUMPRODUCT((CÁLCULO!$M$15:$M$244=EVENTOS!$C17)*(OFFSET(CÁLCULO!$AQ$15:$AQ$244,0,AF$13))),2),0)</f>
        <v>0</v>
      </c>
      <c r="AG17" s="620" cm="1">
        <f t="array" aca="1" ref="AG17" ca="1">IF(AUTOEVENTO="Manual",ROUND(SUMPRODUCT((CÁLCULO!$M$15:$M$244=EVENTOS!$C17)*(OFFSET(CÁLCULO!$AQ$15:$AQ$244,0,AG$13))),2),0)</f>
        <v>0</v>
      </c>
      <c r="AH17" s="620" cm="1">
        <f t="array" aca="1" ref="AH17" ca="1">IF(AUTOEVENTO="Manual",ROUND(SUMPRODUCT((CÁLCULO!$M$15:$M$244=EVENTOS!$C17)*(OFFSET(CÁLCULO!$AQ$15:$AQ$244,0,AH$13))),2),0)</f>
        <v>0</v>
      </c>
      <c r="AI17" s="620" cm="1">
        <f t="array" aca="1" ref="AI17" ca="1">IF(AUTOEVENTO="Manual",ROUND(SUMPRODUCT((CÁLCULO!$M$15:$M$244=EVENTOS!$C17)*(OFFSET(CÁLCULO!$AQ$15:$AQ$244,0,AI$13))),2),0)</f>
        <v>0</v>
      </c>
    </row>
    <row r="18" spans="1:35" x14ac:dyDescent="0.2">
      <c r="A18" s="506" t="str">
        <f t="shared" si="3"/>
        <v>F</v>
      </c>
      <c r="B18" t="str">
        <f t="shared" ca="1" si="4"/>
        <v>3. FUNDAÇÕES</v>
      </c>
      <c r="C18" s="182" cm="1">
        <f t="array" aca="1" ref="C18" ca="1">IF(OR(ROW(C18)=ROW(EVENTOS.firstrow)+1,AND(OFFSET(C18,-1,0)&lt;&gt;" ",OFFSET(C18,-1,1)&lt;&gt;"")),OFFSET(C18,-1,0)+1," ")</f>
        <v>3</v>
      </c>
      <c r="D18" s="496" t="s">
        <v>1174</v>
      </c>
      <c r="E18" s="620" cm="1">
        <f t="array" aca="1" ref="E18" ca="1">IF(AUTOEVENTO="Manual",ROUND(SUMPRODUCT((CÁLCULO!$M$15:$M$244=EVENTOS!$C18)*(OFFSET(CÁLCULO!$AQ$15:$AQ$244,0,E$13))),2),0)</f>
        <v>0</v>
      </c>
      <c r="F18" s="183">
        <f ca="1">IF(AUTOEVENTO="Manual",ROUND(SUMPRODUCT((CÁLCULO!$M$15:$M$244=EVENTOS!$C18)*(OFFSET(CÁLCULO!$AQ$15,0,1):OFFSET(CÁLCULO!$BR$244,0,-1))),2),0)</f>
        <v>0</v>
      </c>
      <c r="G18" s="621" t="str">
        <f t="shared" ca="1" si="5"/>
        <v/>
      </c>
      <c r="H18" s="620" cm="1">
        <f t="array" aca="1" ref="H18" ca="1">IF(AUTOEVENTO="Manual",ROUND(SUMPRODUCT((CÁLCULO!$M$15:$M$244=EVENTOS!$C18)*(OFFSET(CÁLCULO!$AQ$15:$AQ$244,0,H$13))),2),0)</f>
        <v>0</v>
      </c>
      <c r="I18" s="620" cm="1">
        <f t="array" aca="1" ref="I18" ca="1">IF(AUTOEVENTO="Manual",ROUND(SUMPRODUCT((CÁLCULO!$M$15:$M$244=EVENTOS!$C18)*(OFFSET(CÁLCULO!$AQ$15:$AQ$244,0,I$13))),2),0)</f>
        <v>0</v>
      </c>
      <c r="J18" s="620" cm="1">
        <f t="array" aca="1" ref="J18" ca="1">IF(AUTOEVENTO="Manual",ROUND(SUMPRODUCT((CÁLCULO!$M$15:$M$244=EVENTOS!$C18)*(OFFSET(CÁLCULO!$AQ$15:$AQ$244,0,J$13))),2),0)</f>
        <v>0</v>
      </c>
      <c r="K18" s="620" cm="1">
        <f t="array" aca="1" ref="K18" ca="1">IF(AUTOEVENTO="Manual",ROUND(SUMPRODUCT((CÁLCULO!$M$15:$M$244=EVENTOS!$C18)*(OFFSET(CÁLCULO!$AQ$15:$AQ$244,0,K$13))),2),0)</f>
        <v>0</v>
      </c>
      <c r="L18" s="620" cm="1">
        <f t="array" aca="1" ref="L18" ca="1">IF(AUTOEVENTO="Manual",ROUND(SUMPRODUCT((CÁLCULO!$M$15:$M$244=EVENTOS!$C18)*(OFFSET(CÁLCULO!$AQ$15:$AQ$244,0,L$13))),2),0)</f>
        <v>0</v>
      </c>
      <c r="M18" s="620" cm="1">
        <f t="array" aca="1" ref="M18" ca="1">IF(AUTOEVENTO="Manual",ROUND(SUMPRODUCT((CÁLCULO!$M$15:$M$244=EVENTOS!$C18)*(OFFSET(CÁLCULO!$AQ$15:$AQ$244,0,M$13))),2),0)</f>
        <v>0</v>
      </c>
      <c r="N18" s="620" cm="1">
        <f t="array" aca="1" ref="N18" ca="1">IF(AUTOEVENTO="Manual",ROUND(SUMPRODUCT((CÁLCULO!$M$15:$M$244=EVENTOS!$C18)*(OFFSET(CÁLCULO!$AQ$15:$AQ$244,0,N$13))),2),0)</f>
        <v>0</v>
      </c>
      <c r="O18" s="620" cm="1">
        <f t="array" aca="1" ref="O18" ca="1">IF(AUTOEVENTO="Manual",ROUND(SUMPRODUCT((CÁLCULO!$M$15:$M$244=EVENTOS!$C18)*(OFFSET(CÁLCULO!$AQ$15:$AQ$244,0,O$13))),2),0)</f>
        <v>0</v>
      </c>
      <c r="P18" s="620" cm="1">
        <f t="array" aca="1" ref="P18" ca="1">IF(AUTOEVENTO="Manual",ROUND(SUMPRODUCT((CÁLCULO!$M$15:$M$244=EVENTOS!$C18)*(OFFSET(CÁLCULO!$AQ$15:$AQ$244,0,P$13))),2),0)</f>
        <v>0</v>
      </c>
      <c r="Q18" s="620" cm="1">
        <f t="array" aca="1" ref="Q18" ca="1">IF(AUTOEVENTO="Manual",ROUND(SUMPRODUCT((CÁLCULO!$M$15:$M$244=EVENTOS!$C18)*(OFFSET(CÁLCULO!$AQ$15:$AQ$244,0,Q$13))),2),0)</f>
        <v>0</v>
      </c>
      <c r="R18" s="620" cm="1">
        <f t="array" aca="1" ref="R18" ca="1">IF(AUTOEVENTO="Manual",ROUND(SUMPRODUCT((CÁLCULO!$M$15:$M$244=EVENTOS!$C18)*(OFFSET(CÁLCULO!$AQ$15:$AQ$244,0,R$13))),2),0)</f>
        <v>0</v>
      </c>
      <c r="S18" s="620" cm="1">
        <f t="array" aca="1" ref="S18" ca="1">IF(AUTOEVENTO="Manual",ROUND(SUMPRODUCT((CÁLCULO!$M$15:$M$244=EVENTOS!$C18)*(OFFSET(CÁLCULO!$AQ$15:$AQ$244,0,S$13))),2),0)</f>
        <v>0</v>
      </c>
      <c r="T18" s="620" cm="1">
        <f t="array" aca="1" ref="T18" ca="1">IF(AUTOEVENTO="Manual",ROUND(SUMPRODUCT((CÁLCULO!$M$15:$M$244=EVENTOS!$C18)*(OFFSET(CÁLCULO!$AQ$15:$AQ$244,0,T$13))),2),0)</f>
        <v>0</v>
      </c>
      <c r="U18" s="620" cm="1">
        <f t="array" aca="1" ref="U18" ca="1">IF(AUTOEVENTO="Manual",ROUND(SUMPRODUCT((CÁLCULO!$M$15:$M$244=EVENTOS!$C18)*(OFFSET(CÁLCULO!$AQ$15:$AQ$244,0,U$13))),2),0)</f>
        <v>0</v>
      </c>
      <c r="V18" s="620" cm="1">
        <f t="array" aca="1" ref="V18" ca="1">IF(AUTOEVENTO="Manual",ROUND(SUMPRODUCT((CÁLCULO!$M$15:$M$244=EVENTOS!$C18)*(OFFSET(CÁLCULO!$AQ$15:$AQ$244,0,V$13))),2),0)</f>
        <v>0</v>
      </c>
      <c r="W18" s="620" cm="1">
        <f t="array" aca="1" ref="W18" ca="1">IF(AUTOEVENTO="Manual",ROUND(SUMPRODUCT((CÁLCULO!$M$15:$M$244=EVENTOS!$C18)*(OFFSET(CÁLCULO!$AQ$15:$AQ$244,0,W$13))),2),0)</f>
        <v>0</v>
      </c>
      <c r="X18" s="620" cm="1">
        <f t="array" aca="1" ref="X18" ca="1">IF(AUTOEVENTO="Manual",ROUND(SUMPRODUCT((CÁLCULO!$M$15:$M$244=EVENTOS!$C18)*(OFFSET(CÁLCULO!$AQ$15:$AQ$244,0,X$13))),2),0)</f>
        <v>0</v>
      </c>
      <c r="Y18" s="620" cm="1">
        <f t="array" aca="1" ref="Y18" ca="1">IF(AUTOEVENTO="Manual",ROUND(SUMPRODUCT((CÁLCULO!$M$15:$M$244=EVENTOS!$C18)*(OFFSET(CÁLCULO!$AQ$15:$AQ$244,0,Y$13))),2),0)</f>
        <v>0</v>
      </c>
      <c r="Z18" s="620" cm="1">
        <f t="array" aca="1" ref="Z18" ca="1">IF(AUTOEVENTO="Manual",ROUND(SUMPRODUCT((CÁLCULO!$M$15:$M$244=EVENTOS!$C18)*(OFFSET(CÁLCULO!$AQ$15:$AQ$244,0,Z$13))),2),0)</f>
        <v>0</v>
      </c>
      <c r="AA18" s="620" cm="1">
        <f t="array" aca="1" ref="AA18" ca="1">IF(AUTOEVENTO="Manual",ROUND(SUMPRODUCT((CÁLCULO!$M$15:$M$244=EVENTOS!$C18)*(OFFSET(CÁLCULO!$AQ$15:$AQ$244,0,AA$13))),2),0)</f>
        <v>0</v>
      </c>
      <c r="AB18" s="620" cm="1">
        <f t="array" aca="1" ref="AB18" ca="1">IF(AUTOEVENTO="Manual",ROUND(SUMPRODUCT((CÁLCULO!$M$15:$M$244=EVENTOS!$C18)*(OFFSET(CÁLCULO!$AQ$15:$AQ$244,0,AB$13))),2),0)</f>
        <v>0</v>
      </c>
      <c r="AC18" s="620" cm="1">
        <f t="array" aca="1" ref="AC18" ca="1">IF(AUTOEVENTO="Manual",ROUND(SUMPRODUCT((CÁLCULO!$M$15:$M$244=EVENTOS!$C18)*(OFFSET(CÁLCULO!$AQ$15:$AQ$244,0,AC$13))),2),0)</f>
        <v>0</v>
      </c>
      <c r="AD18" s="620" cm="1">
        <f t="array" aca="1" ref="AD18" ca="1">IF(AUTOEVENTO="Manual",ROUND(SUMPRODUCT((CÁLCULO!$M$15:$M$244=EVENTOS!$C18)*(OFFSET(CÁLCULO!$AQ$15:$AQ$244,0,AD$13))),2),0)</f>
        <v>0</v>
      </c>
      <c r="AE18" s="620" cm="1">
        <f t="array" aca="1" ref="AE18" ca="1">IF(AUTOEVENTO="Manual",ROUND(SUMPRODUCT((CÁLCULO!$M$15:$M$244=EVENTOS!$C18)*(OFFSET(CÁLCULO!$AQ$15:$AQ$244,0,AE$13))),2),0)</f>
        <v>0</v>
      </c>
      <c r="AF18" s="620" cm="1">
        <f t="array" aca="1" ref="AF18" ca="1">IF(AUTOEVENTO="Manual",ROUND(SUMPRODUCT((CÁLCULO!$M$15:$M$244=EVENTOS!$C18)*(OFFSET(CÁLCULO!$AQ$15:$AQ$244,0,AF$13))),2),0)</f>
        <v>0</v>
      </c>
      <c r="AG18" s="620" cm="1">
        <f t="array" aca="1" ref="AG18" ca="1">IF(AUTOEVENTO="Manual",ROUND(SUMPRODUCT((CÁLCULO!$M$15:$M$244=EVENTOS!$C18)*(OFFSET(CÁLCULO!$AQ$15:$AQ$244,0,AG$13))),2),0)</f>
        <v>0</v>
      </c>
      <c r="AH18" s="620" cm="1">
        <f t="array" aca="1" ref="AH18" ca="1">IF(AUTOEVENTO="Manual",ROUND(SUMPRODUCT((CÁLCULO!$M$15:$M$244=EVENTOS!$C18)*(OFFSET(CÁLCULO!$AQ$15:$AQ$244,0,AH$13))),2),0)</f>
        <v>0</v>
      </c>
      <c r="AI18" s="620" cm="1">
        <f t="array" aca="1" ref="AI18" ca="1">IF(AUTOEVENTO="Manual",ROUND(SUMPRODUCT((CÁLCULO!$M$15:$M$244=EVENTOS!$C18)*(OFFSET(CÁLCULO!$AQ$15:$AQ$244,0,AI$13))),2),0)</f>
        <v>0</v>
      </c>
    </row>
    <row r="19" spans="1:35" x14ac:dyDescent="0.2">
      <c r="A19" s="506" t="str">
        <f t="shared" si="3"/>
        <v>F</v>
      </c>
      <c r="B19" t="str">
        <f t="shared" ca="1" si="4"/>
        <v>4. SUPRAESTRUTURA</v>
      </c>
      <c r="C19" s="182" cm="1">
        <f t="array" aca="1" ref="C19" ca="1">IF(OR(ROW(C19)=ROW(EVENTOS.firstrow)+1,AND(OFFSET(C19,-1,0)&lt;&gt;" ",OFFSET(C19,-1,1)&lt;&gt;"")),OFFSET(C19,-1,0)+1," ")</f>
        <v>4</v>
      </c>
      <c r="D19" s="496" t="s">
        <v>1178</v>
      </c>
      <c r="E19" s="620" cm="1">
        <f t="array" aca="1" ref="E19" ca="1">IF(AUTOEVENTO="Manual",ROUND(SUMPRODUCT((CÁLCULO!$M$15:$M$244=EVENTOS!$C19)*(OFFSET(CÁLCULO!$AQ$15:$AQ$244,0,E$13))),2),0)</f>
        <v>0</v>
      </c>
      <c r="F19" s="183">
        <f ca="1">IF(AUTOEVENTO="Manual",ROUND(SUMPRODUCT((CÁLCULO!$M$15:$M$244=EVENTOS!$C19)*(OFFSET(CÁLCULO!$AQ$15,0,1):OFFSET(CÁLCULO!$BR$244,0,-1))),2),0)</f>
        <v>0</v>
      </c>
      <c r="G19" s="621" t="str">
        <f t="shared" ca="1" si="5"/>
        <v/>
      </c>
      <c r="H19" s="620" cm="1">
        <f t="array" aca="1" ref="H19" ca="1">IF(AUTOEVENTO="Manual",ROUND(SUMPRODUCT((CÁLCULO!$M$15:$M$244=EVENTOS!$C19)*(OFFSET(CÁLCULO!$AQ$15:$AQ$244,0,H$13))),2),0)</f>
        <v>0</v>
      </c>
      <c r="I19" s="620" cm="1">
        <f t="array" aca="1" ref="I19" ca="1">IF(AUTOEVENTO="Manual",ROUND(SUMPRODUCT((CÁLCULO!$M$15:$M$244=EVENTOS!$C19)*(OFFSET(CÁLCULO!$AQ$15:$AQ$244,0,I$13))),2),0)</f>
        <v>0</v>
      </c>
      <c r="J19" s="620" cm="1">
        <f t="array" aca="1" ref="J19" ca="1">IF(AUTOEVENTO="Manual",ROUND(SUMPRODUCT((CÁLCULO!$M$15:$M$244=EVENTOS!$C19)*(OFFSET(CÁLCULO!$AQ$15:$AQ$244,0,J$13))),2),0)</f>
        <v>0</v>
      </c>
      <c r="K19" s="620" cm="1">
        <f t="array" aca="1" ref="K19" ca="1">IF(AUTOEVENTO="Manual",ROUND(SUMPRODUCT((CÁLCULO!$M$15:$M$244=EVENTOS!$C19)*(OFFSET(CÁLCULO!$AQ$15:$AQ$244,0,K$13))),2),0)</f>
        <v>0</v>
      </c>
      <c r="L19" s="620" cm="1">
        <f t="array" aca="1" ref="L19" ca="1">IF(AUTOEVENTO="Manual",ROUND(SUMPRODUCT((CÁLCULO!$M$15:$M$244=EVENTOS!$C19)*(OFFSET(CÁLCULO!$AQ$15:$AQ$244,0,L$13))),2),0)</f>
        <v>0</v>
      </c>
      <c r="M19" s="620" cm="1">
        <f t="array" aca="1" ref="M19" ca="1">IF(AUTOEVENTO="Manual",ROUND(SUMPRODUCT((CÁLCULO!$M$15:$M$244=EVENTOS!$C19)*(OFFSET(CÁLCULO!$AQ$15:$AQ$244,0,M$13))),2),0)</f>
        <v>0</v>
      </c>
      <c r="N19" s="620" cm="1">
        <f t="array" aca="1" ref="N19" ca="1">IF(AUTOEVENTO="Manual",ROUND(SUMPRODUCT((CÁLCULO!$M$15:$M$244=EVENTOS!$C19)*(OFFSET(CÁLCULO!$AQ$15:$AQ$244,0,N$13))),2),0)</f>
        <v>0</v>
      </c>
      <c r="O19" s="620" cm="1">
        <f t="array" aca="1" ref="O19" ca="1">IF(AUTOEVENTO="Manual",ROUND(SUMPRODUCT((CÁLCULO!$M$15:$M$244=EVENTOS!$C19)*(OFFSET(CÁLCULO!$AQ$15:$AQ$244,0,O$13))),2),0)</f>
        <v>0</v>
      </c>
      <c r="P19" s="620" cm="1">
        <f t="array" aca="1" ref="P19" ca="1">IF(AUTOEVENTO="Manual",ROUND(SUMPRODUCT((CÁLCULO!$M$15:$M$244=EVENTOS!$C19)*(OFFSET(CÁLCULO!$AQ$15:$AQ$244,0,P$13))),2),0)</f>
        <v>0</v>
      </c>
      <c r="Q19" s="620" cm="1">
        <f t="array" aca="1" ref="Q19" ca="1">IF(AUTOEVENTO="Manual",ROUND(SUMPRODUCT((CÁLCULO!$M$15:$M$244=EVENTOS!$C19)*(OFFSET(CÁLCULO!$AQ$15:$AQ$244,0,Q$13))),2),0)</f>
        <v>0</v>
      </c>
      <c r="R19" s="620" cm="1">
        <f t="array" aca="1" ref="R19" ca="1">IF(AUTOEVENTO="Manual",ROUND(SUMPRODUCT((CÁLCULO!$M$15:$M$244=EVENTOS!$C19)*(OFFSET(CÁLCULO!$AQ$15:$AQ$244,0,R$13))),2),0)</f>
        <v>0</v>
      </c>
      <c r="S19" s="620" cm="1">
        <f t="array" aca="1" ref="S19" ca="1">IF(AUTOEVENTO="Manual",ROUND(SUMPRODUCT((CÁLCULO!$M$15:$M$244=EVENTOS!$C19)*(OFFSET(CÁLCULO!$AQ$15:$AQ$244,0,S$13))),2),0)</f>
        <v>0</v>
      </c>
      <c r="T19" s="620" cm="1">
        <f t="array" aca="1" ref="T19" ca="1">IF(AUTOEVENTO="Manual",ROUND(SUMPRODUCT((CÁLCULO!$M$15:$M$244=EVENTOS!$C19)*(OFFSET(CÁLCULO!$AQ$15:$AQ$244,0,T$13))),2),0)</f>
        <v>0</v>
      </c>
      <c r="U19" s="620" cm="1">
        <f t="array" aca="1" ref="U19" ca="1">IF(AUTOEVENTO="Manual",ROUND(SUMPRODUCT((CÁLCULO!$M$15:$M$244=EVENTOS!$C19)*(OFFSET(CÁLCULO!$AQ$15:$AQ$244,0,U$13))),2),0)</f>
        <v>0</v>
      </c>
      <c r="V19" s="620" cm="1">
        <f t="array" aca="1" ref="V19" ca="1">IF(AUTOEVENTO="Manual",ROUND(SUMPRODUCT((CÁLCULO!$M$15:$M$244=EVENTOS!$C19)*(OFFSET(CÁLCULO!$AQ$15:$AQ$244,0,V$13))),2),0)</f>
        <v>0</v>
      </c>
      <c r="W19" s="620" cm="1">
        <f t="array" aca="1" ref="W19" ca="1">IF(AUTOEVENTO="Manual",ROUND(SUMPRODUCT((CÁLCULO!$M$15:$M$244=EVENTOS!$C19)*(OFFSET(CÁLCULO!$AQ$15:$AQ$244,0,W$13))),2),0)</f>
        <v>0</v>
      </c>
      <c r="X19" s="620" cm="1">
        <f t="array" aca="1" ref="X19" ca="1">IF(AUTOEVENTO="Manual",ROUND(SUMPRODUCT((CÁLCULO!$M$15:$M$244=EVENTOS!$C19)*(OFFSET(CÁLCULO!$AQ$15:$AQ$244,0,X$13))),2),0)</f>
        <v>0</v>
      </c>
      <c r="Y19" s="620" cm="1">
        <f t="array" aca="1" ref="Y19" ca="1">IF(AUTOEVENTO="Manual",ROUND(SUMPRODUCT((CÁLCULO!$M$15:$M$244=EVENTOS!$C19)*(OFFSET(CÁLCULO!$AQ$15:$AQ$244,0,Y$13))),2),0)</f>
        <v>0</v>
      </c>
      <c r="Z19" s="620" cm="1">
        <f t="array" aca="1" ref="Z19" ca="1">IF(AUTOEVENTO="Manual",ROUND(SUMPRODUCT((CÁLCULO!$M$15:$M$244=EVENTOS!$C19)*(OFFSET(CÁLCULO!$AQ$15:$AQ$244,0,Z$13))),2),0)</f>
        <v>0</v>
      </c>
      <c r="AA19" s="620" cm="1">
        <f t="array" aca="1" ref="AA19" ca="1">IF(AUTOEVENTO="Manual",ROUND(SUMPRODUCT((CÁLCULO!$M$15:$M$244=EVENTOS!$C19)*(OFFSET(CÁLCULO!$AQ$15:$AQ$244,0,AA$13))),2),0)</f>
        <v>0</v>
      </c>
      <c r="AB19" s="620" cm="1">
        <f t="array" aca="1" ref="AB19" ca="1">IF(AUTOEVENTO="Manual",ROUND(SUMPRODUCT((CÁLCULO!$M$15:$M$244=EVENTOS!$C19)*(OFFSET(CÁLCULO!$AQ$15:$AQ$244,0,AB$13))),2),0)</f>
        <v>0</v>
      </c>
      <c r="AC19" s="620" cm="1">
        <f t="array" aca="1" ref="AC19" ca="1">IF(AUTOEVENTO="Manual",ROUND(SUMPRODUCT((CÁLCULO!$M$15:$M$244=EVENTOS!$C19)*(OFFSET(CÁLCULO!$AQ$15:$AQ$244,0,AC$13))),2),0)</f>
        <v>0</v>
      </c>
      <c r="AD19" s="620" cm="1">
        <f t="array" aca="1" ref="AD19" ca="1">IF(AUTOEVENTO="Manual",ROUND(SUMPRODUCT((CÁLCULO!$M$15:$M$244=EVENTOS!$C19)*(OFFSET(CÁLCULO!$AQ$15:$AQ$244,0,AD$13))),2),0)</f>
        <v>0</v>
      </c>
      <c r="AE19" s="620" cm="1">
        <f t="array" aca="1" ref="AE19" ca="1">IF(AUTOEVENTO="Manual",ROUND(SUMPRODUCT((CÁLCULO!$M$15:$M$244=EVENTOS!$C19)*(OFFSET(CÁLCULO!$AQ$15:$AQ$244,0,AE$13))),2),0)</f>
        <v>0</v>
      </c>
      <c r="AF19" s="620" cm="1">
        <f t="array" aca="1" ref="AF19" ca="1">IF(AUTOEVENTO="Manual",ROUND(SUMPRODUCT((CÁLCULO!$M$15:$M$244=EVENTOS!$C19)*(OFFSET(CÁLCULO!$AQ$15:$AQ$244,0,AF$13))),2),0)</f>
        <v>0</v>
      </c>
      <c r="AG19" s="620" cm="1">
        <f t="array" aca="1" ref="AG19" ca="1">IF(AUTOEVENTO="Manual",ROUND(SUMPRODUCT((CÁLCULO!$M$15:$M$244=EVENTOS!$C19)*(OFFSET(CÁLCULO!$AQ$15:$AQ$244,0,AG$13))),2),0)</f>
        <v>0</v>
      </c>
      <c r="AH19" s="620" cm="1">
        <f t="array" aca="1" ref="AH19" ca="1">IF(AUTOEVENTO="Manual",ROUND(SUMPRODUCT((CÁLCULO!$M$15:$M$244=EVENTOS!$C19)*(OFFSET(CÁLCULO!$AQ$15:$AQ$244,0,AH$13))),2),0)</f>
        <v>0</v>
      </c>
      <c r="AI19" s="620" cm="1">
        <f t="array" aca="1" ref="AI19" ca="1">IF(AUTOEVENTO="Manual",ROUND(SUMPRODUCT((CÁLCULO!$M$15:$M$244=EVENTOS!$C19)*(OFFSET(CÁLCULO!$AQ$15:$AQ$244,0,AI$13))),2),0)</f>
        <v>0</v>
      </c>
    </row>
    <row r="20" spans="1:35" x14ac:dyDescent="0.2">
      <c r="A20" s="506" t="str">
        <f t="shared" si="3"/>
        <v>F</v>
      </c>
      <c r="B20" t="str">
        <f t="shared" ca="1" si="4"/>
        <v>5. PAREDES E PAINÉIS</v>
      </c>
      <c r="C20" s="182" cm="1">
        <f t="array" aca="1" ref="C20" ca="1">IF(OR(ROW(C20)=ROW(EVENTOS.firstrow)+1,AND(OFFSET(C20,-1,0)&lt;&gt;" ",OFFSET(C20,-1,1)&lt;&gt;"")),OFFSET(C20,-1,0)+1," ")</f>
        <v>5</v>
      </c>
      <c r="D20" s="496" t="s">
        <v>1180</v>
      </c>
      <c r="E20" s="620" cm="1">
        <f t="array" aca="1" ref="E20" ca="1">IF(AUTOEVENTO="Manual",ROUND(SUMPRODUCT((CÁLCULO!$M$15:$M$244=EVENTOS!$C20)*(OFFSET(CÁLCULO!$AQ$15:$AQ$244,0,E$13))),2),0)</f>
        <v>0</v>
      </c>
      <c r="F20" s="183">
        <f ca="1">IF(AUTOEVENTO="Manual",ROUND(SUMPRODUCT((CÁLCULO!$M$15:$M$244=EVENTOS!$C20)*(OFFSET(CÁLCULO!$AQ$15,0,1):OFFSET(CÁLCULO!$BR$244,0,-1))),2),0)</f>
        <v>0</v>
      </c>
      <c r="G20" s="621" t="str">
        <f t="shared" ca="1" si="5"/>
        <v/>
      </c>
      <c r="H20" s="620" cm="1">
        <f t="array" aca="1" ref="H20" ca="1">IF(AUTOEVENTO="Manual",ROUND(SUMPRODUCT((CÁLCULO!$M$15:$M$244=EVENTOS!$C20)*(OFFSET(CÁLCULO!$AQ$15:$AQ$244,0,H$13))),2),0)</f>
        <v>0</v>
      </c>
      <c r="I20" s="620" cm="1">
        <f t="array" aca="1" ref="I20" ca="1">IF(AUTOEVENTO="Manual",ROUND(SUMPRODUCT((CÁLCULO!$M$15:$M$244=EVENTOS!$C20)*(OFFSET(CÁLCULO!$AQ$15:$AQ$244,0,I$13))),2),0)</f>
        <v>0</v>
      </c>
      <c r="J20" s="620" cm="1">
        <f t="array" aca="1" ref="J20" ca="1">IF(AUTOEVENTO="Manual",ROUND(SUMPRODUCT((CÁLCULO!$M$15:$M$244=EVENTOS!$C20)*(OFFSET(CÁLCULO!$AQ$15:$AQ$244,0,J$13))),2),0)</f>
        <v>0</v>
      </c>
      <c r="K20" s="620" cm="1">
        <f t="array" aca="1" ref="K20" ca="1">IF(AUTOEVENTO="Manual",ROUND(SUMPRODUCT((CÁLCULO!$M$15:$M$244=EVENTOS!$C20)*(OFFSET(CÁLCULO!$AQ$15:$AQ$244,0,K$13))),2),0)</f>
        <v>0</v>
      </c>
      <c r="L20" s="620" cm="1">
        <f t="array" aca="1" ref="L20" ca="1">IF(AUTOEVENTO="Manual",ROUND(SUMPRODUCT((CÁLCULO!$M$15:$M$244=EVENTOS!$C20)*(OFFSET(CÁLCULO!$AQ$15:$AQ$244,0,L$13))),2),0)</f>
        <v>0</v>
      </c>
      <c r="M20" s="620" cm="1">
        <f t="array" aca="1" ref="M20" ca="1">IF(AUTOEVENTO="Manual",ROUND(SUMPRODUCT((CÁLCULO!$M$15:$M$244=EVENTOS!$C20)*(OFFSET(CÁLCULO!$AQ$15:$AQ$244,0,M$13))),2),0)</f>
        <v>0</v>
      </c>
      <c r="N20" s="620" cm="1">
        <f t="array" aca="1" ref="N20" ca="1">IF(AUTOEVENTO="Manual",ROUND(SUMPRODUCT((CÁLCULO!$M$15:$M$244=EVENTOS!$C20)*(OFFSET(CÁLCULO!$AQ$15:$AQ$244,0,N$13))),2),0)</f>
        <v>0</v>
      </c>
      <c r="O20" s="620" cm="1">
        <f t="array" aca="1" ref="O20" ca="1">IF(AUTOEVENTO="Manual",ROUND(SUMPRODUCT((CÁLCULO!$M$15:$M$244=EVENTOS!$C20)*(OFFSET(CÁLCULO!$AQ$15:$AQ$244,0,O$13))),2),0)</f>
        <v>0</v>
      </c>
      <c r="P20" s="620" cm="1">
        <f t="array" aca="1" ref="P20" ca="1">IF(AUTOEVENTO="Manual",ROUND(SUMPRODUCT((CÁLCULO!$M$15:$M$244=EVENTOS!$C20)*(OFFSET(CÁLCULO!$AQ$15:$AQ$244,0,P$13))),2),0)</f>
        <v>0</v>
      </c>
      <c r="Q20" s="620" cm="1">
        <f t="array" aca="1" ref="Q20" ca="1">IF(AUTOEVENTO="Manual",ROUND(SUMPRODUCT((CÁLCULO!$M$15:$M$244=EVENTOS!$C20)*(OFFSET(CÁLCULO!$AQ$15:$AQ$244,0,Q$13))),2),0)</f>
        <v>0</v>
      </c>
      <c r="R20" s="620" cm="1">
        <f t="array" aca="1" ref="R20" ca="1">IF(AUTOEVENTO="Manual",ROUND(SUMPRODUCT((CÁLCULO!$M$15:$M$244=EVENTOS!$C20)*(OFFSET(CÁLCULO!$AQ$15:$AQ$244,0,R$13))),2),0)</f>
        <v>0</v>
      </c>
      <c r="S20" s="620" cm="1">
        <f t="array" aca="1" ref="S20" ca="1">IF(AUTOEVENTO="Manual",ROUND(SUMPRODUCT((CÁLCULO!$M$15:$M$244=EVENTOS!$C20)*(OFFSET(CÁLCULO!$AQ$15:$AQ$244,0,S$13))),2),0)</f>
        <v>0</v>
      </c>
      <c r="T20" s="620" cm="1">
        <f t="array" aca="1" ref="T20" ca="1">IF(AUTOEVENTO="Manual",ROUND(SUMPRODUCT((CÁLCULO!$M$15:$M$244=EVENTOS!$C20)*(OFFSET(CÁLCULO!$AQ$15:$AQ$244,0,T$13))),2),0)</f>
        <v>0</v>
      </c>
      <c r="U20" s="620" cm="1">
        <f t="array" aca="1" ref="U20" ca="1">IF(AUTOEVENTO="Manual",ROUND(SUMPRODUCT((CÁLCULO!$M$15:$M$244=EVENTOS!$C20)*(OFFSET(CÁLCULO!$AQ$15:$AQ$244,0,U$13))),2),0)</f>
        <v>0</v>
      </c>
      <c r="V20" s="620" cm="1">
        <f t="array" aca="1" ref="V20" ca="1">IF(AUTOEVENTO="Manual",ROUND(SUMPRODUCT((CÁLCULO!$M$15:$M$244=EVENTOS!$C20)*(OFFSET(CÁLCULO!$AQ$15:$AQ$244,0,V$13))),2),0)</f>
        <v>0</v>
      </c>
      <c r="W20" s="620" cm="1">
        <f t="array" aca="1" ref="W20" ca="1">IF(AUTOEVENTO="Manual",ROUND(SUMPRODUCT((CÁLCULO!$M$15:$M$244=EVENTOS!$C20)*(OFFSET(CÁLCULO!$AQ$15:$AQ$244,0,W$13))),2),0)</f>
        <v>0</v>
      </c>
      <c r="X20" s="620" cm="1">
        <f t="array" aca="1" ref="X20" ca="1">IF(AUTOEVENTO="Manual",ROUND(SUMPRODUCT((CÁLCULO!$M$15:$M$244=EVENTOS!$C20)*(OFFSET(CÁLCULO!$AQ$15:$AQ$244,0,X$13))),2),0)</f>
        <v>0</v>
      </c>
      <c r="Y20" s="620" cm="1">
        <f t="array" aca="1" ref="Y20" ca="1">IF(AUTOEVENTO="Manual",ROUND(SUMPRODUCT((CÁLCULO!$M$15:$M$244=EVENTOS!$C20)*(OFFSET(CÁLCULO!$AQ$15:$AQ$244,0,Y$13))),2),0)</f>
        <v>0</v>
      </c>
      <c r="Z20" s="620" cm="1">
        <f t="array" aca="1" ref="Z20" ca="1">IF(AUTOEVENTO="Manual",ROUND(SUMPRODUCT((CÁLCULO!$M$15:$M$244=EVENTOS!$C20)*(OFFSET(CÁLCULO!$AQ$15:$AQ$244,0,Z$13))),2),0)</f>
        <v>0</v>
      </c>
      <c r="AA20" s="620" cm="1">
        <f t="array" aca="1" ref="AA20" ca="1">IF(AUTOEVENTO="Manual",ROUND(SUMPRODUCT((CÁLCULO!$M$15:$M$244=EVENTOS!$C20)*(OFFSET(CÁLCULO!$AQ$15:$AQ$244,0,AA$13))),2),0)</f>
        <v>0</v>
      </c>
      <c r="AB20" s="620" cm="1">
        <f t="array" aca="1" ref="AB20" ca="1">IF(AUTOEVENTO="Manual",ROUND(SUMPRODUCT((CÁLCULO!$M$15:$M$244=EVENTOS!$C20)*(OFFSET(CÁLCULO!$AQ$15:$AQ$244,0,AB$13))),2),0)</f>
        <v>0</v>
      </c>
      <c r="AC20" s="620" cm="1">
        <f t="array" aca="1" ref="AC20" ca="1">IF(AUTOEVENTO="Manual",ROUND(SUMPRODUCT((CÁLCULO!$M$15:$M$244=EVENTOS!$C20)*(OFFSET(CÁLCULO!$AQ$15:$AQ$244,0,AC$13))),2),0)</f>
        <v>0</v>
      </c>
      <c r="AD20" s="620" cm="1">
        <f t="array" aca="1" ref="AD20" ca="1">IF(AUTOEVENTO="Manual",ROUND(SUMPRODUCT((CÁLCULO!$M$15:$M$244=EVENTOS!$C20)*(OFFSET(CÁLCULO!$AQ$15:$AQ$244,0,AD$13))),2),0)</f>
        <v>0</v>
      </c>
      <c r="AE20" s="620" cm="1">
        <f t="array" aca="1" ref="AE20" ca="1">IF(AUTOEVENTO="Manual",ROUND(SUMPRODUCT((CÁLCULO!$M$15:$M$244=EVENTOS!$C20)*(OFFSET(CÁLCULO!$AQ$15:$AQ$244,0,AE$13))),2),0)</f>
        <v>0</v>
      </c>
      <c r="AF20" s="620" cm="1">
        <f t="array" aca="1" ref="AF20" ca="1">IF(AUTOEVENTO="Manual",ROUND(SUMPRODUCT((CÁLCULO!$M$15:$M$244=EVENTOS!$C20)*(OFFSET(CÁLCULO!$AQ$15:$AQ$244,0,AF$13))),2),0)</f>
        <v>0</v>
      </c>
      <c r="AG20" s="620" cm="1">
        <f t="array" aca="1" ref="AG20" ca="1">IF(AUTOEVENTO="Manual",ROUND(SUMPRODUCT((CÁLCULO!$M$15:$M$244=EVENTOS!$C20)*(OFFSET(CÁLCULO!$AQ$15:$AQ$244,0,AG$13))),2),0)</f>
        <v>0</v>
      </c>
      <c r="AH20" s="620" cm="1">
        <f t="array" aca="1" ref="AH20" ca="1">IF(AUTOEVENTO="Manual",ROUND(SUMPRODUCT((CÁLCULO!$M$15:$M$244=EVENTOS!$C20)*(OFFSET(CÁLCULO!$AQ$15:$AQ$244,0,AH$13))),2),0)</f>
        <v>0</v>
      </c>
      <c r="AI20" s="620" cm="1">
        <f t="array" aca="1" ref="AI20" ca="1">IF(AUTOEVENTO="Manual",ROUND(SUMPRODUCT((CÁLCULO!$M$15:$M$244=EVENTOS!$C20)*(OFFSET(CÁLCULO!$AQ$15:$AQ$244,0,AI$13))),2),0)</f>
        <v>0</v>
      </c>
    </row>
    <row r="21" spans="1:35" x14ac:dyDescent="0.2">
      <c r="A21" s="506" t="str">
        <f t="shared" si="3"/>
        <v>F</v>
      </c>
      <c r="B21" t="str">
        <f t="shared" ca="1" si="4"/>
        <v>6. COBERTURA E PROTEÇÕES</v>
      </c>
      <c r="C21" s="182" cm="1">
        <f t="array" aca="1" ref="C21" ca="1">IF(OR(ROW(C21)=ROW(EVENTOS.firstrow)+1,AND(OFFSET(C21,-1,0)&lt;&gt;" ",OFFSET(C21,-1,1)&lt;&gt;"")),OFFSET(C21,-1,0)+1," ")</f>
        <v>6</v>
      </c>
      <c r="D21" s="496" t="s">
        <v>1184</v>
      </c>
      <c r="E21" s="620" cm="1">
        <f t="array" aca="1" ref="E21" ca="1">IF(AUTOEVENTO="Manual",ROUND(SUMPRODUCT((CÁLCULO!$M$15:$M$244=EVENTOS!$C21)*(OFFSET(CÁLCULO!$AQ$15:$AQ$244,0,E$13))),2),0)</f>
        <v>0</v>
      </c>
      <c r="F21" s="183">
        <f ca="1">IF(AUTOEVENTO="Manual",ROUND(SUMPRODUCT((CÁLCULO!$M$15:$M$244=EVENTOS!$C21)*(OFFSET(CÁLCULO!$AQ$15,0,1):OFFSET(CÁLCULO!$BR$244,0,-1))),2),0)</f>
        <v>0</v>
      </c>
      <c r="G21" s="621" t="str">
        <f t="shared" ca="1" si="5"/>
        <v/>
      </c>
      <c r="H21" s="620" cm="1">
        <f t="array" aca="1" ref="H21" ca="1">IF(AUTOEVENTO="Manual",ROUND(SUMPRODUCT((CÁLCULO!$M$15:$M$244=EVENTOS!$C21)*(OFFSET(CÁLCULO!$AQ$15:$AQ$244,0,H$13))),2),0)</f>
        <v>0</v>
      </c>
      <c r="I21" s="620" cm="1">
        <f t="array" aca="1" ref="I21" ca="1">IF(AUTOEVENTO="Manual",ROUND(SUMPRODUCT((CÁLCULO!$M$15:$M$244=EVENTOS!$C21)*(OFFSET(CÁLCULO!$AQ$15:$AQ$244,0,I$13))),2),0)</f>
        <v>0</v>
      </c>
      <c r="J21" s="620" cm="1">
        <f t="array" aca="1" ref="J21" ca="1">IF(AUTOEVENTO="Manual",ROUND(SUMPRODUCT((CÁLCULO!$M$15:$M$244=EVENTOS!$C21)*(OFFSET(CÁLCULO!$AQ$15:$AQ$244,0,J$13))),2),0)</f>
        <v>0</v>
      </c>
      <c r="K21" s="620" cm="1">
        <f t="array" aca="1" ref="K21" ca="1">IF(AUTOEVENTO="Manual",ROUND(SUMPRODUCT((CÁLCULO!$M$15:$M$244=EVENTOS!$C21)*(OFFSET(CÁLCULO!$AQ$15:$AQ$244,0,K$13))),2),0)</f>
        <v>0</v>
      </c>
      <c r="L21" s="620" cm="1">
        <f t="array" aca="1" ref="L21" ca="1">IF(AUTOEVENTO="Manual",ROUND(SUMPRODUCT((CÁLCULO!$M$15:$M$244=EVENTOS!$C21)*(OFFSET(CÁLCULO!$AQ$15:$AQ$244,0,L$13))),2),0)</f>
        <v>0</v>
      </c>
      <c r="M21" s="620" cm="1">
        <f t="array" aca="1" ref="M21" ca="1">IF(AUTOEVENTO="Manual",ROUND(SUMPRODUCT((CÁLCULO!$M$15:$M$244=EVENTOS!$C21)*(OFFSET(CÁLCULO!$AQ$15:$AQ$244,0,M$13))),2),0)</f>
        <v>0</v>
      </c>
      <c r="N21" s="620" cm="1">
        <f t="array" aca="1" ref="N21" ca="1">IF(AUTOEVENTO="Manual",ROUND(SUMPRODUCT((CÁLCULO!$M$15:$M$244=EVENTOS!$C21)*(OFFSET(CÁLCULO!$AQ$15:$AQ$244,0,N$13))),2),0)</f>
        <v>0</v>
      </c>
      <c r="O21" s="620" cm="1">
        <f t="array" aca="1" ref="O21" ca="1">IF(AUTOEVENTO="Manual",ROUND(SUMPRODUCT((CÁLCULO!$M$15:$M$244=EVENTOS!$C21)*(OFFSET(CÁLCULO!$AQ$15:$AQ$244,0,O$13))),2),0)</f>
        <v>0</v>
      </c>
      <c r="P21" s="620" cm="1">
        <f t="array" aca="1" ref="P21" ca="1">IF(AUTOEVENTO="Manual",ROUND(SUMPRODUCT((CÁLCULO!$M$15:$M$244=EVENTOS!$C21)*(OFFSET(CÁLCULO!$AQ$15:$AQ$244,0,P$13))),2),0)</f>
        <v>0</v>
      </c>
      <c r="Q21" s="620" cm="1">
        <f t="array" aca="1" ref="Q21" ca="1">IF(AUTOEVENTO="Manual",ROUND(SUMPRODUCT((CÁLCULO!$M$15:$M$244=EVENTOS!$C21)*(OFFSET(CÁLCULO!$AQ$15:$AQ$244,0,Q$13))),2),0)</f>
        <v>0</v>
      </c>
      <c r="R21" s="620" cm="1">
        <f t="array" aca="1" ref="R21" ca="1">IF(AUTOEVENTO="Manual",ROUND(SUMPRODUCT((CÁLCULO!$M$15:$M$244=EVENTOS!$C21)*(OFFSET(CÁLCULO!$AQ$15:$AQ$244,0,R$13))),2),0)</f>
        <v>0</v>
      </c>
      <c r="S21" s="620" cm="1">
        <f t="array" aca="1" ref="S21" ca="1">IF(AUTOEVENTO="Manual",ROUND(SUMPRODUCT((CÁLCULO!$M$15:$M$244=EVENTOS!$C21)*(OFFSET(CÁLCULO!$AQ$15:$AQ$244,0,S$13))),2),0)</f>
        <v>0</v>
      </c>
      <c r="T21" s="620" cm="1">
        <f t="array" aca="1" ref="T21" ca="1">IF(AUTOEVENTO="Manual",ROUND(SUMPRODUCT((CÁLCULO!$M$15:$M$244=EVENTOS!$C21)*(OFFSET(CÁLCULO!$AQ$15:$AQ$244,0,T$13))),2),0)</f>
        <v>0</v>
      </c>
      <c r="U21" s="620" cm="1">
        <f t="array" aca="1" ref="U21" ca="1">IF(AUTOEVENTO="Manual",ROUND(SUMPRODUCT((CÁLCULO!$M$15:$M$244=EVENTOS!$C21)*(OFFSET(CÁLCULO!$AQ$15:$AQ$244,0,U$13))),2),0)</f>
        <v>0</v>
      </c>
      <c r="V21" s="620" cm="1">
        <f t="array" aca="1" ref="V21" ca="1">IF(AUTOEVENTO="Manual",ROUND(SUMPRODUCT((CÁLCULO!$M$15:$M$244=EVENTOS!$C21)*(OFFSET(CÁLCULO!$AQ$15:$AQ$244,0,V$13))),2),0)</f>
        <v>0</v>
      </c>
      <c r="W21" s="620" cm="1">
        <f t="array" aca="1" ref="W21" ca="1">IF(AUTOEVENTO="Manual",ROUND(SUMPRODUCT((CÁLCULO!$M$15:$M$244=EVENTOS!$C21)*(OFFSET(CÁLCULO!$AQ$15:$AQ$244,0,W$13))),2),0)</f>
        <v>0</v>
      </c>
      <c r="X21" s="620" cm="1">
        <f t="array" aca="1" ref="X21" ca="1">IF(AUTOEVENTO="Manual",ROUND(SUMPRODUCT((CÁLCULO!$M$15:$M$244=EVENTOS!$C21)*(OFFSET(CÁLCULO!$AQ$15:$AQ$244,0,X$13))),2),0)</f>
        <v>0</v>
      </c>
      <c r="Y21" s="620" cm="1">
        <f t="array" aca="1" ref="Y21" ca="1">IF(AUTOEVENTO="Manual",ROUND(SUMPRODUCT((CÁLCULO!$M$15:$M$244=EVENTOS!$C21)*(OFFSET(CÁLCULO!$AQ$15:$AQ$244,0,Y$13))),2),0)</f>
        <v>0</v>
      </c>
      <c r="Z21" s="620" cm="1">
        <f t="array" aca="1" ref="Z21" ca="1">IF(AUTOEVENTO="Manual",ROUND(SUMPRODUCT((CÁLCULO!$M$15:$M$244=EVENTOS!$C21)*(OFFSET(CÁLCULO!$AQ$15:$AQ$244,0,Z$13))),2),0)</f>
        <v>0</v>
      </c>
      <c r="AA21" s="620" cm="1">
        <f t="array" aca="1" ref="AA21" ca="1">IF(AUTOEVENTO="Manual",ROUND(SUMPRODUCT((CÁLCULO!$M$15:$M$244=EVENTOS!$C21)*(OFFSET(CÁLCULO!$AQ$15:$AQ$244,0,AA$13))),2),0)</f>
        <v>0</v>
      </c>
      <c r="AB21" s="620" cm="1">
        <f t="array" aca="1" ref="AB21" ca="1">IF(AUTOEVENTO="Manual",ROUND(SUMPRODUCT((CÁLCULO!$M$15:$M$244=EVENTOS!$C21)*(OFFSET(CÁLCULO!$AQ$15:$AQ$244,0,AB$13))),2),0)</f>
        <v>0</v>
      </c>
      <c r="AC21" s="620" cm="1">
        <f t="array" aca="1" ref="AC21" ca="1">IF(AUTOEVENTO="Manual",ROUND(SUMPRODUCT((CÁLCULO!$M$15:$M$244=EVENTOS!$C21)*(OFFSET(CÁLCULO!$AQ$15:$AQ$244,0,AC$13))),2),0)</f>
        <v>0</v>
      </c>
      <c r="AD21" s="620" cm="1">
        <f t="array" aca="1" ref="AD21" ca="1">IF(AUTOEVENTO="Manual",ROUND(SUMPRODUCT((CÁLCULO!$M$15:$M$244=EVENTOS!$C21)*(OFFSET(CÁLCULO!$AQ$15:$AQ$244,0,AD$13))),2),0)</f>
        <v>0</v>
      </c>
      <c r="AE21" s="620" cm="1">
        <f t="array" aca="1" ref="AE21" ca="1">IF(AUTOEVENTO="Manual",ROUND(SUMPRODUCT((CÁLCULO!$M$15:$M$244=EVENTOS!$C21)*(OFFSET(CÁLCULO!$AQ$15:$AQ$244,0,AE$13))),2),0)</f>
        <v>0</v>
      </c>
      <c r="AF21" s="620" cm="1">
        <f t="array" aca="1" ref="AF21" ca="1">IF(AUTOEVENTO="Manual",ROUND(SUMPRODUCT((CÁLCULO!$M$15:$M$244=EVENTOS!$C21)*(OFFSET(CÁLCULO!$AQ$15:$AQ$244,0,AF$13))),2),0)</f>
        <v>0</v>
      </c>
      <c r="AG21" s="620" cm="1">
        <f t="array" aca="1" ref="AG21" ca="1">IF(AUTOEVENTO="Manual",ROUND(SUMPRODUCT((CÁLCULO!$M$15:$M$244=EVENTOS!$C21)*(OFFSET(CÁLCULO!$AQ$15:$AQ$244,0,AG$13))),2),0)</f>
        <v>0</v>
      </c>
      <c r="AH21" s="620" cm="1">
        <f t="array" aca="1" ref="AH21" ca="1">IF(AUTOEVENTO="Manual",ROUND(SUMPRODUCT((CÁLCULO!$M$15:$M$244=EVENTOS!$C21)*(OFFSET(CÁLCULO!$AQ$15:$AQ$244,0,AH$13))),2),0)</f>
        <v>0</v>
      </c>
      <c r="AI21" s="620" cm="1">
        <f t="array" aca="1" ref="AI21" ca="1">IF(AUTOEVENTO="Manual",ROUND(SUMPRODUCT((CÁLCULO!$M$15:$M$244=EVENTOS!$C21)*(OFFSET(CÁLCULO!$AQ$15:$AQ$244,0,AI$13))),2),0)</f>
        <v>0</v>
      </c>
    </row>
    <row r="22" spans="1:35" x14ac:dyDescent="0.2">
      <c r="A22" s="506" t="str">
        <f t="shared" si="3"/>
        <v>F</v>
      </c>
      <c r="B22" t="str">
        <f t="shared" ca="1" si="4"/>
        <v>7. REVESTIMENTOS</v>
      </c>
      <c r="C22" s="182" cm="1">
        <f t="array" aca="1" ref="C22" ca="1">IF(OR(ROW(C22)=ROW(EVENTOS.firstrow)+1,AND(OFFSET(C22,-1,0)&lt;&gt;" ",OFFSET(C22,-1,1)&lt;&gt;"")),OFFSET(C22,-1,0)+1," ")</f>
        <v>7</v>
      </c>
      <c r="D22" s="496" t="s">
        <v>1186</v>
      </c>
      <c r="E22" s="620" cm="1">
        <f t="array" aca="1" ref="E22" ca="1">IF(AUTOEVENTO="Manual",ROUND(SUMPRODUCT((CÁLCULO!$M$15:$M$244=EVENTOS!$C22)*(OFFSET(CÁLCULO!$AQ$15:$AQ$244,0,E$13))),2),0)</f>
        <v>0</v>
      </c>
      <c r="F22" s="183">
        <f ca="1">IF(AUTOEVENTO="Manual",ROUND(SUMPRODUCT((CÁLCULO!$M$15:$M$244=EVENTOS!$C22)*(OFFSET(CÁLCULO!$AQ$15,0,1):OFFSET(CÁLCULO!$BR$244,0,-1))),2),0)</f>
        <v>0</v>
      </c>
      <c r="G22" s="621" t="str">
        <f t="shared" ca="1" si="5"/>
        <v/>
      </c>
      <c r="H22" s="620" cm="1">
        <f t="array" aca="1" ref="H22" ca="1">IF(AUTOEVENTO="Manual",ROUND(SUMPRODUCT((CÁLCULO!$M$15:$M$244=EVENTOS!$C22)*(OFFSET(CÁLCULO!$AQ$15:$AQ$244,0,H$13))),2),0)</f>
        <v>0</v>
      </c>
      <c r="I22" s="620" cm="1">
        <f t="array" aca="1" ref="I22" ca="1">IF(AUTOEVENTO="Manual",ROUND(SUMPRODUCT((CÁLCULO!$M$15:$M$244=EVENTOS!$C22)*(OFFSET(CÁLCULO!$AQ$15:$AQ$244,0,I$13))),2),0)</f>
        <v>0</v>
      </c>
      <c r="J22" s="620" cm="1">
        <f t="array" aca="1" ref="J22" ca="1">IF(AUTOEVENTO="Manual",ROUND(SUMPRODUCT((CÁLCULO!$M$15:$M$244=EVENTOS!$C22)*(OFFSET(CÁLCULO!$AQ$15:$AQ$244,0,J$13))),2),0)</f>
        <v>0</v>
      </c>
      <c r="K22" s="620" cm="1">
        <f t="array" aca="1" ref="K22" ca="1">IF(AUTOEVENTO="Manual",ROUND(SUMPRODUCT((CÁLCULO!$M$15:$M$244=EVENTOS!$C22)*(OFFSET(CÁLCULO!$AQ$15:$AQ$244,0,K$13))),2),0)</f>
        <v>0</v>
      </c>
      <c r="L22" s="620" cm="1">
        <f t="array" aca="1" ref="L22" ca="1">IF(AUTOEVENTO="Manual",ROUND(SUMPRODUCT((CÁLCULO!$M$15:$M$244=EVENTOS!$C22)*(OFFSET(CÁLCULO!$AQ$15:$AQ$244,0,L$13))),2),0)</f>
        <v>0</v>
      </c>
      <c r="M22" s="620" cm="1">
        <f t="array" aca="1" ref="M22" ca="1">IF(AUTOEVENTO="Manual",ROUND(SUMPRODUCT((CÁLCULO!$M$15:$M$244=EVENTOS!$C22)*(OFFSET(CÁLCULO!$AQ$15:$AQ$244,0,M$13))),2),0)</f>
        <v>0</v>
      </c>
      <c r="N22" s="620" cm="1">
        <f t="array" aca="1" ref="N22" ca="1">IF(AUTOEVENTO="Manual",ROUND(SUMPRODUCT((CÁLCULO!$M$15:$M$244=EVENTOS!$C22)*(OFFSET(CÁLCULO!$AQ$15:$AQ$244,0,N$13))),2),0)</f>
        <v>0</v>
      </c>
      <c r="O22" s="620" cm="1">
        <f t="array" aca="1" ref="O22" ca="1">IF(AUTOEVENTO="Manual",ROUND(SUMPRODUCT((CÁLCULO!$M$15:$M$244=EVENTOS!$C22)*(OFFSET(CÁLCULO!$AQ$15:$AQ$244,0,O$13))),2),0)</f>
        <v>0</v>
      </c>
      <c r="P22" s="620" cm="1">
        <f t="array" aca="1" ref="P22" ca="1">IF(AUTOEVENTO="Manual",ROUND(SUMPRODUCT((CÁLCULO!$M$15:$M$244=EVENTOS!$C22)*(OFFSET(CÁLCULO!$AQ$15:$AQ$244,0,P$13))),2),0)</f>
        <v>0</v>
      </c>
      <c r="Q22" s="620" cm="1">
        <f t="array" aca="1" ref="Q22" ca="1">IF(AUTOEVENTO="Manual",ROUND(SUMPRODUCT((CÁLCULO!$M$15:$M$244=EVENTOS!$C22)*(OFFSET(CÁLCULO!$AQ$15:$AQ$244,0,Q$13))),2),0)</f>
        <v>0</v>
      </c>
      <c r="R22" s="620" cm="1">
        <f t="array" aca="1" ref="R22" ca="1">IF(AUTOEVENTO="Manual",ROUND(SUMPRODUCT((CÁLCULO!$M$15:$M$244=EVENTOS!$C22)*(OFFSET(CÁLCULO!$AQ$15:$AQ$244,0,R$13))),2),0)</f>
        <v>0</v>
      </c>
      <c r="S22" s="620" cm="1">
        <f t="array" aca="1" ref="S22" ca="1">IF(AUTOEVENTO="Manual",ROUND(SUMPRODUCT((CÁLCULO!$M$15:$M$244=EVENTOS!$C22)*(OFFSET(CÁLCULO!$AQ$15:$AQ$244,0,S$13))),2),0)</f>
        <v>0</v>
      </c>
      <c r="T22" s="620" cm="1">
        <f t="array" aca="1" ref="T22" ca="1">IF(AUTOEVENTO="Manual",ROUND(SUMPRODUCT((CÁLCULO!$M$15:$M$244=EVENTOS!$C22)*(OFFSET(CÁLCULO!$AQ$15:$AQ$244,0,T$13))),2),0)</f>
        <v>0</v>
      </c>
      <c r="U22" s="620" cm="1">
        <f t="array" aca="1" ref="U22" ca="1">IF(AUTOEVENTO="Manual",ROUND(SUMPRODUCT((CÁLCULO!$M$15:$M$244=EVENTOS!$C22)*(OFFSET(CÁLCULO!$AQ$15:$AQ$244,0,U$13))),2),0)</f>
        <v>0</v>
      </c>
      <c r="V22" s="620" cm="1">
        <f t="array" aca="1" ref="V22" ca="1">IF(AUTOEVENTO="Manual",ROUND(SUMPRODUCT((CÁLCULO!$M$15:$M$244=EVENTOS!$C22)*(OFFSET(CÁLCULO!$AQ$15:$AQ$244,0,V$13))),2),0)</f>
        <v>0</v>
      </c>
      <c r="W22" s="620" cm="1">
        <f t="array" aca="1" ref="W22" ca="1">IF(AUTOEVENTO="Manual",ROUND(SUMPRODUCT((CÁLCULO!$M$15:$M$244=EVENTOS!$C22)*(OFFSET(CÁLCULO!$AQ$15:$AQ$244,0,W$13))),2),0)</f>
        <v>0</v>
      </c>
      <c r="X22" s="620" cm="1">
        <f t="array" aca="1" ref="X22" ca="1">IF(AUTOEVENTO="Manual",ROUND(SUMPRODUCT((CÁLCULO!$M$15:$M$244=EVENTOS!$C22)*(OFFSET(CÁLCULO!$AQ$15:$AQ$244,0,X$13))),2),0)</f>
        <v>0</v>
      </c>
      <c r="Y22" s="620" cm="1">
        <f t="array" aca="1" ref="Y22" ca="1">IF(AUTOEVENTO="Manual",ROUND(SUMPRODUCT((CÁLCULO!$M$15:$M$244=EVENTOS!$C22)*(OFFSET(CÁLCULO!$AQ$15:$AQ$244,0,Y$13))),2),0)</f>
        <v>0</v>
      </c>
      <c r="Z22" s="620" cm="1">
        <f t="array" aca="1" ref="Z22" ca="1">IF(AUTOEVENTO="Manual",ROUND(SUMPRODUCT((CÁLCULO!$M$15:$M$244=EVENTOS!$C22)*(OFFSET(CÁLCULO!$AQ$15:$AQ$244,0,Z$13))),2),0)</f>
        <v>0</v>
      </c>
      <c r="AA22" s="620" cm="1">
        <f t="array" aca="1" ref="AA22" ca="1">IF(AUTOEVENTO="Manual",ROUND(SUMPRODUCT((CÁLCULO!$M$15:$M$244=EVENTOS!$C22)*(OFFSET(CÁLCULO!$AQ$15:$AQ$244,0,AA$13))),2),0)</f>
        <v>0</v>
      </c>
      <c r="AB22" s="620" cm="1">
        <f t="array" aca="1" ref="AB22" ca="1">IF(AUTOEVENTO="Manual",ROUND(SUMPRODUCT((CÁLCULO!$M$15:$M$244=EVENTOS!$C22)*(OFFSET(CÁLCULO!$AQ$15:$AQ$244,0,AB$13))),2),0)</f>
        <v>0</v>
      </c>
      <c r="AC22" s="620" cm="1">
        <f t="array" aca="1" ref="AC22" ca="1">IF(AUTOEVENTO="Manual",ROUND(SUMPRODUCT((CÁLCULO!$M$15:$M$244=EVENTOS!$C22)*(OFFSET(CÁLCULO!$AQ$15:$AQ$244,0,AC$13))),2),0)</f>
        <v>0</v>
      </c>
      <c r="AD22" s="620" cm="1">
        <f t="array" aca="1" ref="AD22" ca="1">IF(AUTOEVENTO="Manual",ROUND(SUMPRODUCT((CÁLCULO!$M$15:$M$244=EVENTOS!$C22)*(OFFSET(CÁLCULO!$AQ$15:$AQ$244,0,AD$13))),2),0)</f>
        <v>0</v>
      </c>
      <c r="AE22" s="620" cm="1">
        <f t="array" aca="1" ref="AE22" ca="1">IF(AUTOEVENTO="Manual",ROUND(SUMPRODUCT((CÁLCULO!$M$15:$M$244=EVENTOS!$C22)*(OFFSET(CÁLCULO!$AQ$15:$AQ$244,0,AE$13))),2),0)</f>
        <v>0</v>
      </c>
      <c r="AF22" s="620" cm="1">
        <f t="array" aca="1" ref="AF22" ca="1">IF(AUTOEVENTO="Manual",ROUND(SUMPRODUCT((CÁLCULO!$M$15:$M$244=EVENTOS!$C22)*(OFFSET(CÁLCULO!$AQ$15:$AQ$244,0,AF$13))),2),0)</f>
        <v>0</v>
      </c>
      <c r="AG22" s="620" cm="1">
        <f t="array" aca="1" ref="AG22" ca="1">IF(AUTOEVENTO="Manual",ROUND(SUMPRODUCT((CÁLCULO!$M$15:$M$244=EVENTOS!$C22)*(OFFSET(CÁLCULO!$AQ$15:$AQ$244,0,AG$13))),2),0)</f>
        <v>0</v>
      </c>
      <c r="AH22" s="620" cm="1">
        <f t="array" aca="1" ref="AH22" ca="1">IF(AUTOEVENTO="Manual",ROUND(SUMPRODUCT((CÁLCULO!$M$15:$M$244=EVENTOS!$C22)*(OFFSET(CÁLCULO!$AQ$15:$AQ$244,0,AH$13))),2),0)</f>
        <v>0</v>
      </c>
      <c r="AI22" s="620" cm="1">
        <f t="array" aca="1" ref="AI22" ca="1">IF(AUTOEVENTO="Manual",ROUND(SUMPRODUCT((CÁLCULO!$M$15:$M$244=EVENTOS!$C22)*(OFFSET(CÁLCULO!$AQ$15:$AQ$244,0,AI$13))),2),0)</f>
        <v>0</v>
      </c>
    </row>
    <row r="23" spans="1:35" x14ac:dyDescent="0.2">
      <c r="A23" s="506" t="str">
        <f t="shared" si="3"/>
        <v>F</v>
      </c>
      <c r="B23" t="str">
        <f t="shared" ca="1" si="4"/>
        <v>8. PAVIMENTAÇÕES</v>
      </c>
      <c r="C23" s="182" cm="1">
        <f t="array" aca="1" ref="C23" ca="1">IF(OR(ROW(C23)=ROW(EVENTOS.firstrow)+1,AND(OFFSET(C23,-1,0)&lt;&gt;" ",OFFSET(C23,-1,1)&lt;&gt;"")),OFFSET(C23,-1,0)+1," ")</f>
        <v>8</v>
      </c>
      <c r="D23" s="496" t="s">
        <v>1195</v>
      </c>
      <c r="E23" s="620" cm="1">
        <f t="array" aca="1" ref="E23" ca="1">IF(AUTOEVENTO="Manual",ROUND(SUMPRODUCT((CÁLCULO!$M$15:$M$244=EVENTOS!$C23)*(OFFSET(CÁLCULO!$AQ$15:$AQ$244,0,E$13))),2),0)</f>
        <v>0</v>
      </c>
      <c r="F23" s="183">
        <f ca="1">IF(AUTOEVENTO="Manual",ROUND(SUMPRODUCT((CÁLCULO!$M$15:$M$244=EVENTOS!$C23)*(OFFSET(CÁLCULO!$AQ$15,0,1):OFFSET(CÁLCULO!$BR$244,0,-1))),2),0)</f>
        <v>0</v>
      </c>
      <c r="G23" s="621" t="str">
        <f t="shared" ca="1" si="5"/>
        <v/>
      </c>
      <c r="H23" s="620" cm="1">
        <f t="array" aca="1" ref="H23" ca="1">IF(AUTOEVENTO="Manual",ROUND(SUMPRODUCT((CÁLCULO!$M$15:$M$244=EVENTOS!$C23)*(OFFSET(CÁLCULO!$AQ$15:$AQ$244,0,H$13))),2),0)</f>
        <v>0</v>
      </c>
      <c r="I23" s="620" cm="1">
        <f t="array" aca="1" ref="I23" ca="1">IF(AUTOEVENTO="Manual",ROUND(SUMPRODUCT((CÁLCULO!$M$15:$M$244=EVENTOS!$C23)*(OFFSET(CÁLCULO!$AQ$15:$AQ$244,0,I$13))),2),0)</f>
        <v>0</v>
      </c>
      <c r="J23" s="620" cm="1">
        <f t="array" aca="1" ref="J23" ca="1">IF(AUTOEVENTO="Manual",ROUND(SUMPRODUCT((CÁLCULO!$M$15:$M$244=EVENTOS!$C23)*(OFFSET(CÁLCULO!$AQ$15:$AQ$244,0,J$13))),2),0)</f>
        <v>0</v>
      </c>
      <c r="K23" s="620" cm="1">
        <f t="array" aca="1" ref="K23" ca="1">IF(AUTOEVENTO="Manual",ROUND(SUMPRODUCT((CÁLCULO!$M$15:$M$244=EVENTOS!$C23)*(OFFSET(CÁLCULO!$AQ$15:$AQ$244,0,K$13))),2),0)</f>
        <v>0</v>
      </c>
      <c r="L23" s="620" cm="1">
        <f t="array" aca="1" ref="L23" ca="1">IF(AUTOEVENTO="Manual",ROUND(SUMPRODUCT((CÁLCULO!$M$15:$M$244=EVENTOS!$C23)*(OFFSET(CÁLCULO!$AQ$15:$AQ$244,0,L$13))),2),0)</f>
        <v>0</v>
      </c>
      <c r="M23" s="620" cm="1">
        <f t="array" aca="1" ref="M23" ca="1">IF(AUTOEVENTO="Manual",ROUND(SUMPRODUCT((CÁLCULO!$M$15:$M$244=EVENTOS!$C23)*(OFFSET(CÁLCULO!$AQ$15:$AQ$244,0,M$13))),2),0)</f>
        <v>0</v>
      </c>
      <c r="N23" s="620" cm="1">
        <f t="array" aca="1" ref="N23" ca="1">IF(AUTOEVENTO="Manual",ROUND(SUMPRODUCT((CÁLCULO!$M$15:$M$244=EVENTOS!$C23)*(OFFSET(CÁLCULO!$AQ$15:$AQ$244,0,N$13))),2),0)</f>
        <v>0</v>
      </c>
      <c r="O23" s="620" cm="1">
        <f t="array" aca="1" ref="O23" ca="1">IF(AUTOEVENTO="Manual",ROUND(SUMPRODUCT((CÁLCULO!$M$15:$M$244=EVENTOS!$C23)*(OFFSET(CÁLCULO!$AQ$15:$AQ$244,0,O$13))),2),0)</f>
        <v>0</v>
      </c>
      <c r="P23" s="620" cm="1">
        <f t="array" aca="1" ref="P23" ca="1">IF(AUTOEVENTO="Manual",ROUND(SUMPRODUCT((CÁLCULO!$M$15:$M$244=EVENTOS!$C23)*(OFFSET(CÁLCULO!$AQ$15:$AQ$244,0,P$13))),2),0)</f>
        <v>0</v>
      </c>
      <c r="Q23" s="620" cm="1">
        <f t="array" aca="1" ref="Q23" ca="1">IF(AUTOEVENTO="Manual",ROUND(SUMPRODUCT((CÁLCULO!$M$15:$M$244=EVENTOS!$C23)*(OFFSET(CÁLCULO!$AQ$15:$AQ$244,0,Q$13))),2),0)</f>
        <v>0</v>
      </c>
      <c r="R23" s="620" cm="1">
        <f t="array" aca="1" ref="R23" ca="1">IF(AUTOEVENTO="Manual",ROUND(SUMPRODUCT((CÁLCULO!$M$15:$M$244=EVENTOS!$C23)*(OFFSET(CÁLCULO!$AQ$15:$AQ$244,0,R$13))),2),0)</f>
        <v>0</v>
      </c>
      <c r="S23" s="620" cm="1">
        <f t="array" aca="1" ref="S23" ca="1">IF(AUTOEVENTO="Manual",ROUND(SUMPRODUCT((CÁLCULO!$M$15:$M$244=EVENTOS!$C23)*(OFFSET(CÁLCULO!$AQ$15:$AQ$244,0,S$13))),2),0)</f>
        <v>0</v>
      </c>
      <c r="T23" s="620" cm="1">
        <f t="array" aca="1" ref="T23" ca="1">IF(AUTOEVENTO="Manual",ROUND(SUMPRODUCT((CÁLCULO!$M$15:$M$244=EVENTOS!$C23)*(OFFSET(CÁLCULO!$AQ$15:$AQ$244,0,T$13))),2),0)</f>
        <v>0</v>
      </c>
      <c r="U23" s="620" cm="1">
        <f t="array" aca="1" ref="U23" ca="1">IF(AUTOEVENTO="Manual",ROUND(SUMPRODUCT((CÁLCULO!$M$15:$M$244=EVENTOS!$C23)*(OFFSET(CÁLCULO!$AQ$15:$AQ$244,0,U$13))),2),0)</f>
        <v>0</v>
      </c>
      <c r="V23" s="620" cm="1">
        <f t="array" aca="1" ref="V23" ca="1">IF(AUTOEVENTO="Manual",ROUND(SUMPRODUCT((CÁLCULO!$M$15:$M$244=EVENTOS!$C23)*(OFFSET(CÁLCULO!$AQ$15:$AQ$244,0,V$13))),2),0)</f>
        <v>0</v>
      </c>
      <c r="W23" s="620" cm="1">
        <f t="array" aca="1" ref="W23" ca="1">IF(AUTOEVENTO="Manual",ROUND(SUMPRODUCT((CÁLCULO!$M$15:$M$244=EVENTOS!$C23)*(OFFSET(CÁLCULO!$AQ$15:$AQ$244,0,W$13))),2),0)</f>
        <v>0</v>
      </c>
      <c r="X23" s="620" cm="1">
        <f t="array" aca="1" ref="X23" ca="1">IF(AUTOEVENTO="Manual",ROUND(SUMPRODUCT((CÁLCULO!$M$15:$M$244=EVENTOS!$C23)*(OFFSET(CÁLCULO!$AQ$15:$AQ$244,0,X$13))),2),0)</f>
        <v>0</v>
      </c>
      <c r="Y23" s="620" cm="1">
        <f t="array" aca="1" ref="Y23" ca="1">IF(AUTOEVENTO="Manual",ROUND(SUMPRODUCT((CÁLCULO!$M$15:$M$244=EVENTOS!$C23)*(OFFSET(CÁLCULO!$AQ$15:$AQ$244,0,Y$13))),2),0)</f>
        <v>0</v>
      </c>
      <c r="Z23" s="620" cm="1">
        <f t="array" aca="1" ref="Z23" ca="1">IF(AUTOEVENTO="Manual",ROUND(SUMPRODUCT((CÁLCULO!$M$15:$M$244=EVENTOS!$C23)*(OFFSET(CÁLCULO!$AQ$15:$AQ$244,0,Z$13))),2),0)</f>
        <v>0</v>
      </c>
      <c r="AA23" s="620" cm="1">
        <f t="array" aca="1" ref="AA23" ca="1">IF(AUTOEVENTO="Manual",ROUND(SUMPRODUCT((CÁLCULO!$M$15:$M$244=EVENTOS!$C23)*(OFFSET(CÁLCULO!$AQ$15:$AQ$244,0,AA$13))),2),0)</f>
        <v>0</v>
      </c>
      <c r="AB23" s="620" cm="1">
        <f t="array" aca="1" ref="AB23" ca="1">IF(AUTOEVENTO="Manual",ROUND(SUMPRODUCT((CÁLCULO!$M$15:$M$244=EVENTOS!$C23)*(OFFSET(CÁLCULO!$AQ$15:$AQ$244,0,AB$13))),2),0)</f>
        <v>0</v>
      </c>
      <c r="AC23" s="620" cm="1">
        <f t="array" aca="1" ref="AC23" ca="1">IF(AUTOEVENTO="Manual",ROUND(SUMPRODUCT((CÁLCULO!$M$15:$M$244=EVENTOS!$C23)*(OFFSET(CÁLCULO!$AQ$15:$AQ$244,0,AC$13))),2),0)</f>
        <v>0</v>
      </c>
      <c r="AD23" s="620" cm="1">
        <f t="array" aca="1" ref="AD23" ca="1">IF(AUTOEVENTO="Manual",ROUND(SUMPRODUCT((CÁLCULO!$M$15:$M$244=EVENTOS!$C23)*(OFFSET(CÁLCULO!$AQ$15:$AQ$244,0,AD$13))),2),0)</f>
        <v>0</v>
      </c>
      <c r="AE23" s="620" cm="1">
        <f t="array" aca="1" ref="AE23" ca="1">IF(AUTOEVENTO="Manual",ROUND(SUMPRODUCT((CÁLCULO!$M$15:$M$244=EVENTOS!$C23)*(OFFSET(CÁLCULO!$AQ$15:$AQ$244,0,AE$13))),2),0)</f>
        <v>0</v>
      </c>
      <c r="AF23" s="620" cm="1">
        <f t="array" aca="1" ref="AF23" ca="1">IF(AUTOEVENTO="Manual",ROUND(SUMPRODUCT((CÁLCULO!$M$15:$M$244=EVENTOS!$C23)*(OFFSET(CÁLCULO!$AQ$15:$AQ$244,0,AF$13))),2),0)</f>
        <v>0</v>
      </c>
      <c r="AG23" s="620" cm="1">
        <f t="array" aca="1" ref="AG23" ca="1">IF(AUTOEVENTO="Manual",ROUND(SUMPRODUCT((CÁLCULO!$M$15:$M$244=EVENTOS!$C23)*(OFFSET(CÁLCULO!$AQ$15:$AQ$244,0,AG$13))),2),0)</f>
        <v>0</v>
      </c>
      <c r="AH23" s="620" cm="1">
        <f t="array" aca="1" ref="AH23" ca="1">IF(AUTOEVENTO="Manual",ROUND(SUMPRODUCT((CÁLCULO!$M$15:$M$244=EVENTOS!$C23)*(OFFSET(CÁLCULO!$AQ$15:$AQ$244,0,AH$13))),2),0)</f>
        <v>0</v>
      </c>
      <c r="AI23" s="620" cm="1">
        <f t="array" aca="1" ref="AI23" ca="1">IF(AUTOEVENTO="Manual",ROUND(SUMPRODUCT((CÁLCULO!$M$15:$M$244=EVENTOS!$C23)*(OFFSET(CÁLCULO!$AQ$15:$AQ$244,0,AI$13))),2),0)</f>
        <v>0</v>
      </c>
    </row>
    <row r="24" spans="1:35" x14ac:dyDescent="0.2">
      <c r="A24" s="506" t="str">
        <f t="shared" si="3"/>
        <v>F</v>
      </c>
      <c r="B24" t="str">
        <f t="shared" ca="1" si="4"/>
        <v>9. INSTALAÇÕES</v>
      </c>
      <c r="C24" s="182" cm="1">
        <f t="array" aca="1" ref="C24" ca="1">IF(OR(ROW(C24)=ROW(EVENTOS.firstrow)+1,AND(OFFSET(C24,-1,0)&lt;&gt;" ",OFFSET(C24,-1,1)&lt;&gt;"")),OFFSET(C24,-1,0)+1," ")</f>
        <v>9</v>
      </c>
      <c r="D24" s="496" t="s">
        <v>1199</v>
      </c>
      <c r="E24" s="620" cm="1">
        <f t="array" aca="1" ref="E24" ca="1">IF(AUTOEVENTO="Manual",ROUND(SUMPRODUCT((CÁLCULO!$M$15:$M$244=EVENTOS!$C24)*(OFFSET(CÁLCULO!$AQ$15:$AQ$244,0,E$13))),2),0)</f>
        <v>0</v>
      </c>
      <c r="F24" s="183">
        <f ca="1">IF(AUTOEVENTO="Manual",ROUND(SUMPRODUCT((CÁLCULO!$M$15:$M$244=EVENTOS!$C24)*(OFFSET(CÁLCULO!$AQ$15,0,1):OFFSET(CÁLCULO!$BR$244,0,-1))),2),0)</f>
        <v>0</v>
      </c>
      <c r="G24" s="621" t="str">
        <f t="shared" ca="1" si="5"/>
        <v/>
      </c>
      <c r="H24" s="620" cm="1">
        <f t="array" aca="1" ref="H24" ca="1">IF(AUTOEVENTO="Manual",ROUND(SUMPRODUCT((CÁLCULO!$M$15:$M$244=EVENTOS!$C24)*(OFFSET(CÁLCULO!$AQ$15:$AQ$244,0,H$13))),2),0)</f>
        <v>0</v>
      </c>
      <c r="I24" s="620" cm="1">
        <f t="array" aca="1" ref="I24" ca="1">IF(AUTOEVENTO="Manual",ROUND(SUMPRODUCT((CÁLCULO!$M$15:$M$244=EVENTOS!$C24)*(OFFSET(CÁLCULO!$AQ$15:$AQ$244,0,I$13))),2),0)</f>
        <v>0</v>
      </c>
      <c r="J24" s="620" cm="1">
        <f t="array" aca="1" ref="J24" ca="1">IF(AUTOEVENTO="Manual",ROUND(SUMPRODUCT((CÁLCULO!$M$15:$M$244=EVENTOS!$C24)*(OFFSET(CÁLCULO!$AQ$15:$AQ$244,0,J$13))),2),0)</f>
        <v>0</v>
      </c>
      <c r="K24" s="620" cm="1">
        <f t="array" aca="1" ref="K24" ca="1">IF(AUTOEVENTO="Manual",ROUND(SUMPRODUCT((CÁLCULO!$M$15:$M$244=EVENTOS!$C24)*(OFFSET(CÁLCULO!$AQ$15:$AQ$244,0,K$13))),2),0)</f>
        <v>0</v>
      </c>
      <c r="L24" s="620" cm="1">
        <f t="array" aca="1" ref="L24" ca="1">IF(AUTOEVENTO="Manual",ROUND(SUMPRODUCT((CÁLCULO!$M$15:$M$244=EVENTOS!$C24)*(OFFSET(CÁLCULO!$AQ$15:$AQ$244,0,L$13))),2),0)</f>
        <v>0</v>
      </c>
      <c r="M24" s="620" cm="1">
        <f t="array" aca="1" ref="M24" ca="1">IF(AUTOEVENTO="Manual",ROUND(SUMPRODUCT((CÁLCULO!$M$15:$M$244=EVENTOS!$C24)*(OFFSET(CÁLCULO!$AQ$15:$AQ$244,0,M$13))),2),0)</f>
        <v>0</v>
      </c>
      <c r="N24" s="620" cm="1">
        <f t="array" aca="1" ref="N24" ca="1">IF(AUTOEVENTO="Manual",ROUND(SUMPRODUCT((CÁLCULO!$M$15:$M$244=EVENTOS!$C24)*(OFFSET(CÁLCULO!$AQ$15:$AQ$244,0,N$13))),2),0)</f>
        <v>0</v>
      </c>
      <c r="O24" s="620" cm="1">
        <f t="array" aca="1" ref="O24" ca="1">IF(AUTOEVENTO="Manual",ROUND(SUMPRODUCT((CÁLCULO!$M$15:$M$244=EVENTOS!$C24)*(OFFSET(CÁLCULO!$AQ$15:$AQ$244,0,O$13))),2),0)</f>
        <v>0</v>
      </c>
      <c r="P24" s="620" cm="1">
        <f t="array" aca="1" ref="P24" ca="1">IF(AUTOEVENTO="Manual",ROUND(SUMPRODUCT((CÁLCULO!$M$15:$M$244=EVENTOS!$C24)*(OFFSET(CÁLCULO!$AQ$15:$AQ$244,0,P$13))),2),0)</f>
        <v>0</v>
      </c>
      <c r="Q24" s="620" cm="1">
        <f t="array" aca="1" ref="Q24" ca="1">IF(AUTOEVENTO="Manual",ROUND(SUMPRODUCT((CÁLCULO!$M$15:$M$244=EVENTOS!$C24)*(OFFSET(CÁLCULO!$AQ$15:$AQ$244,0,Q$13))),2),0)</f>
        <v>0</v>
      </c>
      <c r="R24" s="620" cm="1">
        <f t="array" aca="1" ref="R24" ca="1">IF(AUTOEVENTO="Manual",ROUND(SUMPRODUCT((CÁLCULO!$M$15:$M$244=EVENTOS!$C24)*(OFFSET(CÁLCULO!$AQ$15:$AQ$244,0,R$13))),2),0)</f>
        <v>0</v>
      </c>
      <c r="S24" s="620" cm="1">
        <f t="array" aca="1" ref="S24" ca="1">IF(AUTOEVENTO="Manual",ROUND(SUMPRODUCT((CÁLCULO!$M$15:$M$244=EVENTOS!$C24)*(OFFSET(CÁLCULO!$AQ$15:$AQ$244,0,S$13))),2),0)</f>
        <v>0</v>
      </c>
      <c r="T24" s="620" cm="1">
        <f t="array" aca="1" ref="T24" ca="1">IF(AUTOEVENTO="Manual",ROUND(SUMPRODUCT((CÁLCULO!$M$15:$M$244=EVENTOS!$C24)*(OFFSET(CÁLCULO!$AQ$15:$AQ$244,0,T$13))),2),0)</f>
        <v>0</v>
      </c>
      <c r="U24" s="620" cm="1">
        <f t="array" aca="1" ref="U24" ca="1">IF(AUTOEVENTO="Manual",ROUND(SUMPRODUCT((CÁLCULO!$M$15:$M$244=EVENTOS!$C24)*(OFFSET(CÁLCULO!$AQ$15:$AQ$244,0,U$13))),2),0)</f>
        <v>0</v>
      </c>
      <c r="V24" s="620" cm="1">
        <f t="array" aca="1" ref="V24" ca="1">IF(AUTOEVENTO="Manual",ROUND(SUMPRODUCT((CÁLCULO!$M$15:$M$244=EVENTOS!$C24)*(OFFSET(CÁLCULO!$AQ$15:$AQ$244,0,V$13))),2),0)</f>
        <v>0</v>
      </c>
      <c r="W24" s="620" cm="1">
        <f t="array" aca="1" ref="W24" ca="1">IF(AUTOEVENTO="Manual",ROUND(SUMPRODUCT((CÁLCULO!$M$15:$M$244=EVENTOS!$C24)*(OFFSET(CÁLCULO!$AQ$15:$AQ$244,0,W$13))),2),0)</f>
        <v>0</v>
      </c>
      <c r="X24" s="620" cm="1">
        <f t="array" aca="1" ref="X24" ca="1">IF(AUTOEVENTO="Manual",ROUND(SUMPRODUCT((CÁLCULO!$M$15:$M$244=EVENTOS!$C24)*(OFFSET(CÁLCULO!$AQ$15:$AQ$244,0,X$13))),2),0)</f>
        <v>0</v>
      </c>
      <c r="Y24" s="620" cm="1">
        <f t="array" aca="1" ref="Y24" ca="1">IF(AUTOEVENTO="Manual",ROUND(SUMPRODUCT((CÁLCULO!$M$15:$M$244=EVENTOS!$C24)*(OFFSET(CÁLCULO!$AQ$15:$AQ$244,0,Y$13))),2),0)</f>
        <v>0</v>
      </c>
      <c r="Z24" s="620" cm="1">
        <f t="array" aca="1" ref="Z24" ca="1">IF(AUTOEVENTO="Manual",ROUND(SUMPRODUCT((CÁLCULO!$M$15:$M$244=EVENTOS!$C24)*(OFFSET(CÁLCULO!$AQ$15:$AQ$244,0,Z$13))),2),0)</f>
        <v>0</v>
      </c>
      <c r="AA24" s="620" cm="1">
        <f t="array" aca="1" ref="AA24" ca="1">IF(AUTOEVENTO="Manual",ROUND(SUMPRODUCT((CÁLCULO!$M$15:$M$244=EVENTOS!$C24)*(OFFSET(CÁLCULO!$AQ$15:$AQ$244,0,AA$13))),2),0)</f>
        <v>0</v>
      </c>
      <c r="AB24" s="620" cm="1">
        <f t="array" aca="1" ref="AB24" ca="1">IF(AUTOEVENTO="Manual",ROUND(SUMPRODUCT((CÁLCULO!$M$15:$M$244=EVENTOS!$C24)*(OFFSET(CÁLCULO!$AQ$15:$AQ$244,0,AB$13))),2),0)</f>
        <v>0</v>
      </c>
      <c r="AC24" s="620" cm="1">
        <f t="array" aca="1" ref="AC24" ca="1">IF(AUTOEVENTO="Manual",ROUND(SUMPRODUCT((CÁLCULO!$M$15:$M$244=EVENTOS!$C24)*(OFFSET(CÁLCULO!$AQ$15:$AQ$244,0,AC$13))),2),0)</f>
        <v>0</v>
      </c>
      <c r="AD24" s="620" cm="1">
        <f t="array" aca="1" ref="AD24" ca="1">IF(AUTOEVENTO="Manual",ROUND(SUMPRODUCT((CÁLCULO!$M$15:$M$244=EVENTOS!$C24)*(OFFSET(CÁLCULO!$AQ$15:$AQ$244,0,AD$13))),2),0)</f>
        <v>0</v>
      </c>
      <c r="AE24" s="620" cm="1">
        <f t="array" aca="1" ref="AE24" ca="1">IF(AUTOEVENTO="Manual",ROUND(SUMPRODUCT((CÁLCULO!$M$15:$M$244=EVENTOS!$C24)*(OFFSET(CÁLCULO!$AQ$15:$AQ$244,0,AE$13))),2),0)</f>
        <v>0</v>
      </c>
      <c r="AF24" s="620" cm="1">
        <f t="array" aca="1" ref="AF24" ca="1">IF(AUTOEVENTO="Manual",ROUND(SUMPRODUCT((CÁLCULO!$M$15:$M$244=EVENTOS!$C24)*(OFFSET(CÁLCULO!$AQ$15:$AQ$244,0,AF$13))),2),0)</f>
        <v>0</v>
      </c>
      <c r="AG24" s="620" cm="1">
        <f t="array" aca="1" ref="AG24" ca="1">IF(AUTOEVENTO="Manual",ROUND(SUMPRODUCT((CÁLCULO!$M$15:$M$244=EVENTOS!$C24)*(OFFSET(CÁLCULO!$AQ$15:$AQ$244,0,AG$13))),2),0)</f>
        <v>0</v>
      </c>
      <c r="AH24" s="620" cm="1">
        <f t="array" aca="1" ref="AH24" ca="1">IF(AUTOEVENTO="Manual",ROUND(SUMPRODUCT((CÁLCULO!$M$15:$M$244=EVENTOS!$C24)*(OFFSET(CÁLCULO!$AQ$15:$AQ$244,0,AH$13))),2),0)</f>
        <v>0</v>
      </c>
      <c r="AI24" s="620" cm="1">
        <f t="array" aca="1" ref="AI24" ca="1">IF(AUTOEVENTO="Manual",ROUND(SUMPRODUCT((CÁLCULO!$M$15:$M$244=EVENTOS!$C24)*(OFFSET(CÁLCULO!$AQ$15:$AQ$244,0,AI$13))),2),0)</f>
        <v>0</v>
      </c>
    </row>
    <row r="25" spans="1:35" x14ac:dyDescent="0.2">
      <c r="A25" s="506" t="str">
        <f t="shared" si="3"/>
        <v>F</v>
      </c>
      <c r="B25" t="str">
        <f t="shared" ca="1" si="4"/>
        <v>10. COMPLEMENTAÇÕES</v>
      </c>
      <c r="C25" s="182" cm="1">
        <f t="array" aca="1" ref="C25" ca="1">IF(OR(ROW(C25)=ROW(EVENTOS.firstrow)+1,AND(OFFSET(C25,-1,0)&lt;&gt;" ",OFFSET(C25,-1,1)&lt;&gt;"")),OFFSET(C25,-1,0)+1," ")</f>
        <v>10</v>
      </c>
      <c r="D25" s="496" t="s">
        <v>1213</v>
      </c>
      <c r="E25" s="620" cm="1">
        <f t="array" aca="1" ref="E25" ca="1">IF(AUTOEVENTO="Manual",ROUND(SUMPRODUCT((CÁLCULO!$M$15:$M$244=EVENTOS!$C25)*(OFFSET(CÁLCULO!$AQ$15:$AQ$244,0,E$13))),2),0)</f>
        <v>0</v>
      </c>
      <c r="F25" s="183">
        <f ca="1">IF(AUTOEVENTO="Manual",ROUND(SUMPRODUCT((CÁLCULO!$M$15:$M$244=EVENTOS!$C25)*(OFFSET(CÁLCULO!$AQ$15,0,1):OFFSET(CÁLCULO!$BR$244,0,-1))),2),0)</f>
        <v>0</v>
      </c>
      <c r="G25" s="621" t="str">
        <f t="shared" ca="1" si="5"/>
        <v/>
      </c>
      <c r="H25" s="620" cm="1">
        <f t="array" aca="1" ref="H25" ca="1">IF(AUTOEVENTO="Manual",ROUND(SUMPRODUCT((CÁLCULO!$M$15:$M$244=EVENTOS!$C25)*(OFFSET(CÁLCULO!$AQ$15:$AQ$244,0,H$13))),2),0)</f>
        <v>0</v>
      </c>
      <c r="I25" s="620" cm="1">
        <f t="array" aca="1" ref="I25" ca="1">IF(AUTOEVENTO="Manual",ROUND(SUMPRODUCT((CÁLCULO!$M$15:$M$244=EVENTOS!$C25)*(OFFSET(CÁLCULO!$AQ$15:$AQ$244,0,I$13))),2),0)</f>
        <v>0</v>
      </c>
      <c r="J25" s="620" cm="1">
        <f t="array" aca="1" ref="J25" ca="1">IF(AUTOEVENTO="Manual",ROUND(SUMPRODUCT((CÁLCULO!$M$15:$M$244=EVENTOS!$C25)*(OFFSET(CÁLCULO!$AQ$15:$AQ$244,0,J$13))),2),0)</f>
        <v>0</v>
      </c>
      <c r="K25" s="620" cm="1">
        <f t="array" aca="1" ref="K25" ca="1">IF(AUTOEVENTO="Manual",ROUND(SUMPRODUCT((CÁLCULO!$M$15:$M$244=EVENTOS!$C25)*(OFFSET(CÁLCULO!$AQ$15:$AQ$244,0,K$13))),2),0)</f>
        <v>0</v>
      </c>
      <c r="L25" s="620" cm="1">
        <f t="array" aca="1" ref="L25" ca="1">IF(AUTOEVENTO="Manual",ROUND(SUMPRODUCT((CÁLCULO!$M$15:$M$244=EVENTOS!$C25)*(OFFSET(CÁLCULO!$AQ$15:$AQ$244,0,L$13))),2),0)</f>
        <v>0</v>
      </c>
      <c r="M25" s="620" cm="1">
        <f t="array" aca="1" ref="M25" ca="1">IF(AUTOEVENTO="Manual",ROUND(SUMPRODUCT((CÁLCULO!$M$15:$M$244=EVENTOS!$C25)*(OFFSET(CÁLCULO!$AQ$15:$AQ$244,0,M$13))),2),0)</f>
        <v>0</v>
      </c>
      <c r="N25" s="620" cm="1">
        <f t="array" aca="1" ref="N25" ca="1">IF(AUTOEVENTO="Manual",ROUND(SUMPRODUCT((CÁLCULO!$M$15:$M$244=EVENTOS!$C25)*(OFFSET(CÁLCULO!$AQ$15:$AQ$244,0,N$13))),2),0)</f>
        <v>0</v>
      </c>
      <c r="O25" s="620" cm="1">
        <f t="array" aca="1" ref="O25" ca="1">IF(AUTOEVENTO="Manual",ROUND(SUMPRODUCT((CÁLCULO!$M$15:$M$244=EVENTOS!$C25)*(OFFSET(CÁLCULO!$AQ$15:$AQ$244,0,O$13))),2),0)</f>
        <v>0</v>
      </c>
      <c r="P25" s="620" cm="1">
        <f t="array" aca="1" ref="P25" ca="1">IF(AUTOEVENTO="Manual",ROUND(SUMPRODUCT((CÁLCULO!$M$15:$M$244=EVENTOS!$C25)*(OFFSET(CÁLCULO!$AQ$15:$AQ$244,0,P$13))),2),0)</f>
        <v>0</v>
      </c>
      <c r="Q25" s="620" cm="1">
        <f t="array" aca="1" ref="Q25" ca="1">IF(AUTOEVENTO="Manual",ROUND(SUMPRODUCT((CÁLCULO!$M$15:$M$244=EVENTOS!$C25)*(OFFSET(CÁLCULO!$AQ$15:$AQ$244,0,Q$13))),2),0)</f>
        <v>0</v>
      </c>
      <c r="R25" s="620" cm="1">
        <f t="array" aca="1" ref="R25" ca="1">IF(AUTOEVENTO="Manual",ROUND(SUMPRODUCT((CÁLCULO!$M$15:$M$244=EVENTOS!$C25)*(OFFSET(CÁLCULO!$AQ$15:$AQ$244,0,R$13))),2),0)</f>
        <v>0</v>
      </c>
      <c r="S25" s="620" cm="1">
        <f t="array" aca="1" ref="S25" ca="1">IF(AUTOEVENTO="Manual",ROUND(SUMPRODUCT((CÁLCULO!$M$15:$M$244=EVENTOS!$C25)*(OFFSET(CÁLCULO!$AQ$15:$AQ$244,0,S$13))),2),0)</f>
        <v>0</v>
      </c>
      <c r="T25" s="620" cm="1">
        <f t="array" aca="1" ref="T25" ca="1">IF(AUTOEVENTO="Manual",ROUND(SUMPRODUCT((CÁLCULO!$M$15:$M$244=EVENTOS!$C25)*(OFFSET(CÁLCULO!$AQ$15:$AQ$244,0,T$13))),2),0)</f>
        <v>0</v>
      </c>
      <c r="U25" s="620" cm="1">
        <f t="array" aca="1" ref="U25" ca="1">IF(AUTOEVENTO="Manual",ROUND(SUMPRODUCT((CÁLCULO!$M$15:$M$244=EVENTOS!$C25)*(OFFSET(CÁLCULO!$AQ$15:$AQ$244,0,U$13))),2),0)</f>
        <v>0</v>
      </c>
      <c r="V25" s="620" cm="1">
        <f t="array" aca="1" ref="V25" ca="1">IF(AUTOEVENTO="Manual",ROUND(SUMPRODUCT((CÁLCULO!$M$15:$M$244=EVENTOS!$C25)*(OFFSET(CÁLCULO!$AQ$15:$AQ$244,0,V$13))),2),0)</f>
        <v>0</v>
      </c>
      <c r="W25" s="620" cm="1">
        <f t="array" aca="1" ref="W25" ca="1">IF(AUTOEVENTO="Manual",ROUND(SUMPRODUCT((CÁLCULO!$M$15:$M$244=EVENTOS!$C25)*(OFFSET(CÁLCULO!$AQ$15:$AQ$244,0,W$13))),2),0)</f>
        <v>0</v>
      </c>
      <c r="X25" s="620" cm="1">
        <f t="array" aca="1" ref="X25" ca="1">IF(AUTOEVENTO="Manual",ROUND(SUMPRODUCT((CÁLCULO!$M$15:$M$244=EVENTOS!$C25)*(OFFSET(CÁLCULO!$AQ$15:$AQ$244,0,X$13))),2),0)</f>
        <v>0</v>
      </c>
      <c r="Y25" s="620" cm="1">
        <f t="array" aca="1" ref="Y25" ca="1">IF(AUTOEVENTO="Manual",ROUND(SUMPRODUCT((CÁLCULO!$M$15:$M$244=EVENTOS!$C25)*(OFFSET(CÁLCULO!$AQ$15:$AQ$244,0,Y$13))),2),0)</f>
        <v>0</v>
      </c>
      <c r="Z25" s="620" cm="1">
        <f t="array" aca="1" ref="Z25" ca="1">IF(AUTOEVENTO="Manual",ROUND(SUMPRODUCT((CÁLCULO!$M$15:$M$244=EVENTOS!$C25)*(OFFSET(CÁLCULO!$AQ$15:$AQ$244,0,Z$13))),2),0)</f>
        <v>0</v>
      </c>
      <c r="AA25" s="620" cm="1">
        <f t="array" aca="1" ref="AA25" ca="1">IF(AUTOEVENTO="Manual",ROUND(SUMPRODUCT((CÁLCULO!$M$15:$M$244=EVENTOS!$C25)*(OFFSET(CÁLCULO!$AQ$15:$AQ$244,0,AA$13))),2),0)</f>
        <v>0</v>
      </c>
      <c r="AB25" s="620" cm="1">
        <f t="array" aca="1" ref="AB25" ca="1">IF(AUTOEVENTO="Manual",ROUND(SUMPRODUCT((CÁLCULO!$M$15:$M$244=EVENTOS!$C25)*(OFFSET(CÁLCULO!$AQ$15:$AQ$244,0,AB$13))),2),0)</f>
        <v>0</v>
      </c>
      <c r="AC25" s="620" cm="1">
        <f t="array" aca="1" ref="AC25" ca="1">IF(AUTOEVENTO="Manual",ROUND(SUMPRODUCT((CÁLCULO!$M$15:$M$244=EVENTOS!$C25)*(OFFSET(CÁLCULO!$AQ$15:$AQ$244,0,AC$13))),2),0)</f>
        <v>0</v>
      </c>
      <c r="AD25" s="620" cm="1">
        <f t="array" aca="1" ref="AD25" ca="1">IF(AUTOEVENTO="Manual",ROUND(SUMPRODUCT((CÁLCULO!$M$15:$M$244=EVENTOS!$C25)*(OFFSET(CÁLCULO!$AQ$15:$AQ$244,0,AD$13))),2),0)</f>
        <v>0</v>
      </c>
      <c r="AE25" s="620" cm="1">
        <f t="array" aca="1" ref="AE25" ca="1">IF(AUTOEVENTO="Manual",ROUND(SUMPRODUCT((CÁLCULO!$M$15:$M$244=EVENTOS!$C25)*(OFFSET(CÁLCULO!$AQ$15:$AQ$244,0,AE$13))),2),0)</f>
        <v>0</v>
      </c>
      <c r="AF25" s="620" cm="1">
        <f t="array" aca="1" ref="AF25" ca="1">IF(AUTOEVENTO="Manual",ROUND(SUMPRODUCT((CÁLCULO!$M$15:$M$244=EVENTOS!$C25)*(OFFSET(CÁLCULO!$AQ$15:$AQ$244,0,AF$13))),2),0)</f>
        <v>0</v>
      </c>
      <c r="AG25" s="620" cm="1">
        <f t="array" aca="1" ref="AG25" ca="1">IF(AUTOEVENTO="Manual",ROUND(SUMPRODUCT((CÁLCULO!$M$15:$M$244=EVENTOS!$C25)*(OFFSET(CÁLCULO!$AQ$15:$AQ$244,0,AG$13))),2),0)</f>
        <v>0</v>
      </c>
      <c r="AH25" s="620" cm="1">
        <f t="array" aca="1" ref="AH25" ca="1">IF(AUTOEVENTO="Manual",ROUND(SUMPRODUCT((CÁLCULO!$M$15:$M$244=EVENTOS!$C25)*(OFFSET(CÁLCULO!$AQ$15:$AQ$244,0,AH$13))),2),0)</f>
        <v>0</v>
      </c>
      <c r="AI25" s="620" cm="1">
        <f t="array" aca="1" ref="AI25" ca="1">IF(AUTOEVENTO="Manual",ROUND(SUMPRODUCT((CÁLCULO!$M$15:$M$244=EVENTOS!$C25)*(OFFSET(CÁLCULO!$AQ$15:$AQ$244,0,AI$13))),2),0)</f>
        <v>0</v>
      </c>
    </row>
    <row r="26" spans="1:35" x14ac:dyDescent="0.2">
      <c r="A26" s="506" t="str">
        <f t="shared" si="3"/>
        <v/>
      </c>
      <c r="B26" t="str">
        <f t="shared" ca="1" si="4"/>
        <v/>
      </c>
      <c r="C26" s="182" cm="1">
        <f t="array" aca="1" ref="C26" ca="1">IF(OR(ROW(C26)=ROW(EVENTOS.firstrow)+1,AND(OFFSET(C26,-1,0)&lt;&gt;" ",OFFSET(C26,-1,1)&lt;&gt;"")),OFFSET(C26,-1,0)+1," ")</f>
        <v>11</v>
      </c>
      <c r="D26" s="496"/>
      <c r="E26" s="620" cm="1">
        <f t="array" aca="1" ref="E26" ca="1">IF(AUTOEVENTO="Manual",ROUND(SUMPRODUCT((CÁLCULO!$M$15:$M$244=EVENTOS!$C26)*(OFFSET(CÁLCULO!$AQ$15:$AQ$244,0,E$13))),2),0)</f>
        <v>0</v>
      </c>
      <c r="F26" s="183">
        <f ca="1">IF(AUTOEVENTO="Manual",ROUND(SUMPRODUCT((CÁLCULO!$M$15:$M$244=EVENTOS!$C26)*(OFFSET(CÁLCULO!$AQ$15,0,1):OFFSET(CÁLCULO!$BR$244,0,-1))),2),0)</f>
        <v>0</v>
      </c>
      <c r="G26" s="621" t="str">
        <f t="shared" ca="1" si="5"/>
        <v/>
      </c>
      <c r="H26" s="620" cm="1">
        <f t="array" aca="1" ref="H26" ca="1">IF(AUTOEVENTO="Manual",ROUND(SUMPRODUCT((CÁLCULO!$M$15:$M$244=EVENTOS!$C26)*(OFFSET(CÁLCULO!$AQ$15:$AQ$244,0,H$13))),2),0)</f>
        <v>0</v>
      </c>
      <c r="I26" s="620" cm="1">
        <f t="array" aca="1" ref="I26" ca="1">IF(AUTOEVENTO="Manual",ROUND(SUMPRODUCT((CÁLCULO!$M$15:$M$244=EVENTOS!$C26)*(OFFSET(CÁLCULO!$AQ$15:$AQ$244,0,I$13))),2),0)</f>
        <v>0</v>
      </c>
      <c r="J26" s="620" cm="1">
        <f t="array" aca="1" ref="J26" ca="1">IF(AUTOEVENTO="Manual",ROUND(SUMPRODUCT((CÁLCULO!$M$15:$M$244=EVENTOS!$C26)*(OFFSET(CÁLCULO!$AQ$15:$AQ$244,0,J$13))),2),0)</f>
        <v>0</v>
      </c>
      <c r="K26" s="620" cm="1">
        <f t="array" aca="1" ref="K26" ca="1">IF(AUTOEVENTO="Manual",ROUND(SUMPRODUCT((CÁLCULO!$M$15:$M$244=EVENTOS!$C26)*(OFFSET(CÁLCULO!$AQ$15:$AQ$244,0,K$13))),2),0)</f>
        <v>0</v>
      </c>
      <c r="L26" s="620" cm="1">
        <f t="array" aca="1" ref="L26" ca="1">IF(AUTOEVENTO="Manual",ROUND(SUMPRODUCT((CÁLCULO!$M$15:$M$244=EVENTOS!$C26)*(OFFSET(CÁLCULO!$AQ$15:$AQ$244,0,L$13))),2),0)</f>
        <v>0</v>
      </c>
      <c r="M26" s="620" cm="1">
        <f t="array" aca="1" ref="M26" ca="1">IF(AUTOEVENTO="Manual",ROUND(SUMPRODUCT((CÁLCULO!$M$15:$M$244=EVENTOS!$C26)*(OFFSET(CÁLCULO!$AQ$15:$AQ$244,0,M$13))),2),0)</f>
        <v>0</v>
      </c>
      <c r="N26" s="620" cm="1">
        <f t="array" aca="1" ref="N26" ca="1">IF(AUTOEVENTO="Manual",ROUND(SUMPRODUCT((CÁLCULO!$M$15:$M$244=EVENTOS!$C26)*(OFFSET(CÁLCULO!$AQ$15:$AQ$244,0,N$13))),2),0)</f>
        <v>0</v>
      </c>
      <c r="O26" s="620" cm="1">
        <f t="array" aca="1" ref="O26" ca="1">IF(AUTOEVENTO="Manual",ROUND(SUMPRODUCT((CÁLCULO!$M$15:$M$244=EVENTOS!$C26)*(OFFSET(CÁLCULO!$AQ$15:$AQ$244,0,O$13))),2),0)</f>
        <v>0</v>
      </c>
      <c r="P26" s="620" cm="1">
        <f t="array" aca="1" ref="P26" ca="1">IF(AUTOEVENTO="Manual",ROUND(SUMPRODUCT((CÁLCULO!$M$15:$M$244=EVENTOS!$C26)*(OFFSET(CÁLCULO!$AQ$15:$AQ$244,0,P$13))),2),0)</f>
        <v>0</v>
      </c>
      <c r="Q26" s="620" cm="1">
        <f t="array" aca="1" ref="Q26" ca="1">IF(AUTOEVENTO="Manual",ROUND(SUMPRODUCT((CÁLCULO!$M$15:$M$244=EVENTOS!$C26)*(OFFSET(CÁLCULO!$AQ$15:$AQ$244,0,Q$13))),2),0)</f>
        <v>0</v>
      </c>
      <c r="R26" s="620" cm="1">
        <f t="array" aca="1" ref="R26" ca="1">IF(AUTOEVENTO="Manual",ROUND(SUMPRODUCT((CÁLCULO!$M$15:$M$244=EVENTOS!$C26)*(OFFSET(CÁLCULO!$AQ$15:$AQ$244,0,R$13))),2),0)</f>
        <v>0</v>
      </c>
      <c r="S26" s="620" cm="1">
        <f t="array" aca="1" ref="S26" ca="1">IF(AUTOEVENTO="Manual",ROUND(SUMPRODUCT((CÁLCULO!$M$15:$M$244=EVENTOS!$C26)*(OFFSET(CÁLCULO!$AQ$15:$AQ$244,0,S$13))),2),0)</f>
        <v>0</v>
      </c>
      <c r="T26" s="620" cm="1">
        <f t="array" aca="1" ref="T26" ca="1">IF(AUTOEVENTO="Manual",ROUND(SUMPRODUCT((CÁLCULO!$M$15:$M$244=EVENTOS!$C26)*(OFFSET(CÁLCULO!$AQ$15:$AQ$244,0,T$13))),2),0)</f>
        <v>0</v>
      </c>
      <c r="U26" s="620" cm="1">
        <f t="array" aca="1" ref="U26" ca="1">IF(AUTOEVENTO="Manual",ROUND(SUMPRODUCT((CÁLCULO!$M$15:$M$244=EVENTOS!$C26)*(OFFSET(CÁLCULO!$AQ$15:$AQ$244,0,U$13))),2),0)</f>
        <v>0</v>
      </c>
      <c r="V26" s="620" cm="1">
        <f t="array" aca="1" ref="V26" ca="1">IF(AUTOEVENTO="Manual",ROUND(SUMPRODUCT((CÁLCULO!$M$15:$M$244=EVENTOS!$C26)*(OFFSET(CÁLCULO!$AQ$15:$AQ$244,0,V$13))),2),0)</f>
        <v>0</v>
      </c>
      <c r="W26" s="620" cm="1">
        <f t="array" aca="1" ref="W26" ca="1">IF(AUTOEVENTO="Manual",ROUND(SUMPRODUCT((CÁLCULO!$M$15:$M$244=EVENTOS!$C26)*(OFFSET(CÁLCULO!$AQ$15:$AQ$244,0,W$13))),2),0)</f>
        <v>0</v>
      </c>
      <c r="X26" s="620" cm="1">
        <f t="array" aca="1" ref="X26" ca="1">IF(AUTOEVENTO="Manual",ROUND(SUMPRODUCT((CÁLCULO!$M$15:$M$244=EVENTOS!$C26)*(OFFSET(CÁLCULO!$AQ$15:$AQ$244,0,X$13))),2),0)</f>
        <v>0</v>
      </c>
      <c r="Y26" s="620" cm="1">
        <f t="array" aca="1" ref="Y26" ca="1">IF(AUTOEVENTO="Manual",ROUND(SUMPRODUCT((CÁLCULO!$M$15:$M$244=EVENTOS!$C26)*(OFFSET(CÁLCULO!$AQ$15:$AQ$244,0,Y$13))),2),0)</f>
        <v>0</v>
      </c>
      <c r="Z26" s="620" cm="1">
        <f t="array" aca="1" ref="Z26" ca="1">IF(AUTOEVENTO="Manual",ROUND(SUMPRODUCT((CÁLCULO!$M$15:$M$244=EVENTOS!$C26)*(OFFSET(CÁLCULO!$AQ$15:$AQ$244,0,Z$13))),2),0)</f>
        <v>0</v>
      </c>
      <c r="AA26" s="620" cm="1">
        <f t="array" aca="1" ref="AA26" ca="1">IF(AUTOEVENTO="Manual",ROUND(SUMPRODUCT((CÁLCULO!$M$15:$M$244=EVENTOS!$C26)*(OFFSET(CÁLCULO!$AQ$15:$AQ$244,0,AA$13))),2),0)</f>
        <v>0</v>
      </c>
      <c r="AB26" s="620" cm="1">
        <f t="array" aca="1" ref="AB26" ca="1">IF(AUTOEVENTO="Manual",ROUND(SUMPRODUCT((CÁLCULO!$M$15:$M$244=EVENTOS!$C26)*(OFFSET(CÁLCULO!$AQ$15:$AQ$244,0,AB$13))),2),0)</f>
        <v>0</v>
      </c>
      <c r="AC26" s="620" cm="1">
        <f t="array" aca="1" ref="AC26" ca="1">IF(AUTOEVENTO="Manual",ROUND(SUMPRODUCT((CÁLCULO!$M$15:$M$244=EVENTOS!$C26)*(OFFSET(CÁLCULO!$AQ$15:$AQ$244,0,AC$13))),2),0)</f>
        <v>0</v>
      </c>
      <c r="AD26" s="620" cm="1">
        <f t="array" aca="1" ref="AD26" ca="1">IF(AUTOEVENTO="Manual",ROUND(SUMPRODUCT((CÁLCULO!$M$15:$M$244=EVENTOS!$C26)*(OFFSET(CÁLCULO!$AQ$15:$AQ$244,0,AD$13))),2),0)</f>
        <v>0</v>
      </c>
      <c r="AE26" s="620" cm="1">
        <f t="array" aca="1" ref="AE26" ca="1">IF(AUTOEVENTO="Manual",ROUND(SUMPRODUCT((CÁLCULO!$M$15:$M$244=EVENTOS!$C26)*(OFFSET(CÁLCULO!$AQ$15:$AQ$244,0,AE$13))),2),0)</f>
        <v>0</v>
      </c>
      <c r="AF26" s="620" cm="1">
        <f t="array" aca="1" ref="AF26" ca="1">IF(AUTOEVENTO="Manual",ROUND(SUMPRODUCT((CÁLCULO!$M$15:$M$244=EVENTOS!$C26)*(OFFSET(CÁLCULO!$AQ$15:$AQ$244,0,AF$13))),2),0)</f>
        <v>0</v>
      </c>
      <c r="AG26" s="620" cm="1">
        <f t="array" aca="1" ref="AG26" ca="1">IF(AUTOEVENTO="Manual",ROUND(SUMPRODUCT((CÁLCULO!$M$15:$M$244=EVENTOS!$C26)*(OFFSET(CÁLCULO!$AQ$15:$AQ$244,0,AG$13))),2),0)</f>
        <v>0</v>
      </c>
      <c r="AH26" s="620" cm="1">
        <f t="array" aca="1" ref="AH26" ca="1">IF(AUTOEVENTO="Manual",ROUND(SUMPRODUCT((CÁLCULO!$M$15:$M$244=EVENTOS!$C26)*(OFFSET(CÁLCULO!$AQ$15:$AQ$244,0,AH$13))),2),0)</f>
        <v>0</v>
      </c>
      <c r="AI26" s="620" cm="1">
        <f t="array" aca="1" ref="AI26" ca="1">IF(AUTOEVENTO="Manual",ROUND(SUMPRODUCT((CÁLCULO!$M$15:$M$244=EVENTOS!$C26)*(OFFSET(CÁLCULO!$AQ$15:$AQ$244,0,AI$13))),2),0)</f>
        <v>0</v>
      </c>
    </row>
    <row r="27" spans="1:35" x14ac:dyDescent="0.2">
      <c r="A27" s="506" t="str">
        <f t="shared" si="3"/>
        <v/>
      </c>
      <c r="B27" t="str">
        <f t="shared" ca="1" si="4"/>
        <v/>
      </c>
      <c r="C27" s="182" t="str" cm="1">
        <f t="array" aca="1" ref="C27" ca="1">IF(OR(ROW(C27)=ROW(EVENTOS.firstrow)+1,AND(OFFSET(C27,-1,0)&lt;&gt;" ",OFFSET(C27,-1,1)&lt;&gt;"")),OFFSET(C27,-1,0)+1," ")</f>
        <v xml:space="preserve"> </v>
      </c>
      <c r="D27" s="496"/>
      <c r="E27" s="620" cm="1">
        <f t="array" aca="1" ref="E27" ca="1">IF(AUTOEVENTO="Manual",ROUND(SUMPRODUCT((CÁLCULO!$M$15:$M$244=EVENTOS!$C27)*(OFFSET(CÁLCULO!$AQ$15:$AQ$244,0,E$13))),2),0)</f>
        <v>0</v>
      </c>
      <c r="F27" s="183">
        <f ca="1">IF(AUTOEVENTO="Manual",ROUND(SUMPRODUCT((CÁLCULO!$M$15:$M$244=EVENTOS!$C27)*(OFFSET(CÁLCULO!$AQ$15,0,1):OFFSET(CÁLCULO!$BR$244,0,-1))),2),0)</f>
        <v>0</v>
      </c>
      <c r="G27" s="621" t="str">
        <f t="shared" ca="1" si="5"/>
        <v/>
      </c>
      <c r="H27" s="620" cm="1">
        <f t="array" aca="1" ref="H27" ca="1">IF(AUTOEVENTO="Manual",ROUND(SUMPRODUCT((CÁLCULO!$M$15:$M$244=EVENTOS!$C27)*(OFFSET(CÁLCULO!$AQ$15:$AQ$244,0,H$13))),2),0)</f>
        <v>0</v>
      </c>
      <c r="I27" s="620" cm="1">
        <f t="array" aca="1" ref="I27" ca="1">IF(AUTOEVENTO="Manual",ROUND(SUMPRODUCT((CÁLCULO!$M$15:$M$244=EVENTOS!$C27)*(OFFSET(CÁLCULO!$AQ$15:$AQ$244,0,I$13))),2),0)</f>
        <v>0</v>
      </c>
      <c r="J27" s="620" cm="1">
        <f t="array" aca="1" ref="J27" ca="1">IF(AUTOEVENTO="Manual",ROUND(SUMPRODUCT((CÁLCULO!$M$15:$M$244=EVENTOS!$C27)*(OFFSET(CÁLCULO!$AQ$15:$AQ$244,0,J$13))),2),0)</f>
        <v>0</v>
      </c>
      <c r="K27" s="620" cm="1">
        <f t="array" aca="1" ref="K27" ca="1">IF(AUTOEVENTO="Manual",ROUND(SUMPRODUCT((CÁLCULO!$M$15:$M$244=EVENTOS!$C27)*(OFFSET(CÁLCULO!$AQ$15:$AQ$244,0,K$13))),2),0)</f>
        <v>0</v>
      </c>
      <c r="L27" s="620" cm="1">
        <f t="array" aca="1" ref="L27" ca="1">IF(AUTOEVENTO="Manual",ROUND(SUMPRODUCT((CÁLCULO!$M$15:$M$244=EVENTOS!$C27)*(OFFSET(CÁLCULO!$AQ$15:$AQ$244,0,L$13))),2),0)</f>
        <v>0</v>
      </c>
      <c r="M27" s="620" cm="1">
        <f t="array" aca="1" ref="M27" ca="1">IF(AUTOEVENTO="Manual",ROUND(SUMPRODUCT((CÁLCULO!$M$15:$M$244=EVENTOS!$C27)*(OFFSET(CÁLCULO!$AQ$15:$AQ$244,0,M$13))),2),0)</f>
        <v>0</v>
      </c>
      <c r="N27" s="620" cm="1">
        <f t="array" aca="1" ref="N27" ca="1">IF(AUTOEVENTO="Manual",ROUND(SUMPRODUCT((CÁLCULO!$M$15:$M$244=EVENTOS!$C27)*(OFFSET(CÁLCULO!$AQ$15:$AQ$244,0,N$13))),2),0)</f>
        <v>0</v>
      </c>
      <c r="O27" s="620" cm="1">
        <f t="array" aca="1" ref="O27" ca="1">IF(AUTOEVENTO="Manual",ROUND(SUMPRODUCT((CÁLCULO!$M$15:$M$244=EVENTOS!$C27)*(OFFSET(CÁLCULO!$AQ$15:$AQ$244,0,O$13))),2),0)</f>
        <v>0</v>
      </c>
      <c r="P27" s="620" cm="1">
        <f t="array" aca="1" ref="P27" ca="1">IF(AUTOEVENTO="Manual",ROUND(SUMPRODUCT((CÁLCULO!$M$15:$M$244=EVENTOS!$C27)*(OFFSET(CÁLCULO!$AQ$15:$AQ$244,0,P$13))),2),0)</f>
        <v>0</v>
      </c>
      <c r="Q27" s="620" cm="1">
        <f t="array" aca="1" ref="Q27" ca="1">IF(AUTOEVENTO="Manual",ROUND(SUMPRODUCT((CÁLCULO!$M$15:$M$244=EVENTOS!$C27)*(OFFSET(CÁLCULO!$AQ$15:$AQ$244,0,Q$13))),2),0)</f>
        <v>0</v>
      </c>
      <c r="R27" s="620" cm="1">
        <f t="array" aca="1" ref="R27" ca="1">IF(AUTOEVENTO="Manual",ROUND(SUMPRODUCT((CÁLCULO!$M$15:$M$244=EVENTOS!$C27)*(OFFSET(CÁLCULO!$AQ$15:$AQ$244,0,R$13))),2),0)</f>
        <v>0</v>
      </c>
      <c r="S27" s="620" cm="1">
        <f t="array" aca="1" ref="S27" ca="1">IF(AUTOEVENTO="Manual",ROUND(SUMPRODUCT((CÁLCULO!$M$15:$M$244=EVENTOS!$C27)*(OFFSET(CÁLCULO!$AQ$15:$AQ$244,0,S$13))),2),0)</f>
        <v>0</v>
      </c>
      <c r="T27" s="620" cm="1">
        <f t="array" aca="1" ref="T27" ca="1">IF(AUTOEVENTO="Manual",ROUND(SUMPRODUCT((CÁLCULO!$M$15:$M$244=EVENTOS!$C27)*(OFFSET(CÁLCULO!$AQ$15:$AQ$244,0,T$13))),2),0)</f>
        <v>0</v>
      </c>
      <c r="U27" s="620" cm="1">
        <f t="array" aca="1" ref="U27" ca="1">IF(AUTOEVENTO="Manual",ROUND(SUMPRODUCT((CÁLCULO!$M$15:$M$244=EVENTOS!$C27)*(OFFSET(CÁLCULO!$AQ$15:$AQ$244,0,U$13))),2),0)</f>
        <v>0</v>
      </c>
      <c r="V27" s="620" cm="1">
        <f t="array" aca="1" ref="V27" ca="1">IF(AUTOEVENTO="Manual",ROUND(SUMPRODUCT((CÁLCULO!$M$15:$M$244=EVENTOS!$C27)*(OFFSET(CÁLCULO!$AQ$15:$AQ$244,0,V$13))),2),0)</f>
        <v>0</v>
      </c>
      <c r="W27" s="620" cm="1">
        <f t="array" aca="1" ref="W27" ca="1">IF(AUTOEVENTO="Manual",ROUND(SUMPRODUCT((CÁLCULO!$M$15:$M$244=EVENTOS!$C27)*(OFFSET(CÁLCULO!$AQ$15:$AQ$244,0,W$13))),2),0)</f>
        <v>0</v>
      </c>
      <c r="X27" s="620" cm="1">
        <f t="array" aca="1" ref="X27" ca="1">IF(AUTOEVENTO="Manual",ROUND(SUMPRODUCT((CÁLCULO!$M$15:$M$244=EVENTOS!$C27)*(OFFSET(CÁLCULO!$AQ$15:$AQ$244,0,X$13))),2),0)</f>
        <v>0</v>
      </c>
      <c r="Y27" s="620" cm="1">
        <f t="array" aca="1" ref="Y27" ca="1">IF(AUTOEVENTO="Manual",ROUND(SUMPRODUCT((CÁLCULO!$M$15:$M$244=EVENTOS!$C27)*(OFFSET(CÁLCULO!$AQ$15:$AQ$244,0,Y$13))),2),0)</f>
        <v>0</v>
      </c>
      <c r="Z27" s="620" cm="1">
        <f t="array" aca="1" ref="Z27" ca="1">IF(AUTOEVENTO="Manual",ROUND(SUMPRODUCT((CÁLCULO!$M$15:$M$244=EVENTOS!$C27)*(OFFSET(CÁLCULO!$AQ$15:$AQ$244,0,Z$13))),2),0)</f>
        <v>0</v>
      </c>
      <c r="AA27" s="620" cm="1">
        <f t="array" aca="1" ref="AA27" ca="1">IF(AUTOEVENTO="Manual",ROUND(SUMPRODUCT((CÁLCULO!$M$15:$M$244=EVENTOS!$C27)*(OFFSET(CÁLCULO!$AQ$15:$AQ$244,0,AA$13))),2),0)</f>
        <v>0</v>
      </c>
      <c r="AB27" s="620" cm="1">
        <f t="array" aca="1" ref="AB27" ca="1">IF(AUTOEVENTO="Manual",ROUND(SUMPRODUCT((CÁLCULO!$M$15:$M$244=EVENTOS!$C27)*(OFFSET(CÁLCULO!$AQ$15:$AQ$244,0,AB$13))),2),0)</f>
        <v>0</v>
      </c>
      <c r="AC27" s="620" cm="1">
        <f t="array" aca="1" ref="AC27" ca="1">IF(AUTOEVENTO="Manual",ROUND(SUMPRODUCT((CÁLCULO!$M$15:$M$244=EVENTOS!$C27)*(OFFSET(CÁLCULO!$AQ$15:$AQ$244,0,AC$13))),2),0)</f>
        <v>0</v>
      </c>
      <c r="AD27" s="620" cm="1">
        <f t="array" aca="1" ref="AD27" ca="1">IF(AUTOEVENTO="Manual",ROUND(SUMPRODUCT((CÁLCULO!$M$15:$M$244=EVENTOS!$C27)*(OFFSET(CÁLCULO!$AQ$15:$AQ$244,0,AD$13))),2),0)</f>
        <v>0</v>
      </c>
      <c r="AE27" s="620" cm="1">
        <f t="array" aca="1" ref="AE27" ca="1">IF(AUTOEVENTO="Manual",ROUND(SUMPRODUCT((CÁLCULO!$M$15:$M$244=EVENTOS!$C27)*(OFFSET(CÁLCULO!$AQ$15:$AQ$244,0,AE$13))),2),0)</f>
        <v>0</v>
      </c>
      <c r="AF27" s="620" cm="1">
        <f t="array" aca="1" ref="AF27" ca="1">IF(AUTOEVENTO="Manual",ROUND(SUMPRODUCT((CÁLCULO!$M$15:$M$244=EVENTOS!$C27)*(OFFSET(CÁLCULO!$AQ$15:$AQ$244,0,AF$13))),2),0)</f>
        <v>0</v>
      </c>
      <c r="AG27" s="620" cm="1">
        <f t="array" aca="1" ref="AG27" ca="1">IF(AUTOEVENTO="Manual",ROUND(SUMPRODUCT((CÁLCULO!$M$15:$M$244=EVENTOS!$C27)*(OFFSET(CÁLCULO!$AQ$15:$AQ$244,0,AG$13))),2),0)</f>
        <v>0</v>
      </c>
      <c r="AH27" s="620" cm="1">
        <f t="array" aca="1" ref="AH27" ca="1">IF(AUTOEVENTO="Manual",ROUND(SUMPRODUCT((CÁLCULO!$M$15:$M$244=EVENTOS!$C27)*(OFFSET(CÁLCULO!$AQ$15:$AQ$244,0,AH$13))),2),0)</f>
        <v>0</v>
      </c>
      <c r="AI27" s="620" cm="1">
        <f t="array" aca="1" ref="AI27" ca="1">IF(AUTOEVENTO="Manual",ROUND(SUMPRODUCT((CÁLCULO!$M$15:$M$244=EVENTOS!$C27)*(OFFSET(CÁLCULO!$AQ$15:$AQ$244,0,AI$13))),2),0)</f>
        <v>0</v>
      </c>
    </row>
    <row r="28" spans="1:35" x14ac:dyDescent="0.2">
      <c r="A28" s="506" t="str">
        <f t="shared" si="3"/>
        <v/>
      </c>
      <c r="B28" t="str">
        <f t="shared" ca="1" si="4"/>
        <v/>
      </c>
      <c r="C28" s="182" t="str" cm="1">
        <f t="array" aca="1" ref="C28" ca="1">IF(OR(ROW(C28)=ROW(EVENTOS.firstrow)+1,AND(OFFSET(C28,-1,0)&lt;&gt;" ",OFFSET(C28,-1,1)&lt;&gt;"")),OFFSET(C28,-1,0)+1," ")</f>
        <v xml:space="preserve"> </v>
      </c>
      <c r="D28" s="496"/>
      <c r="E28" s="620" cm="1">
        <f t="array" aca="1" ref="E28" ca="1">IF(AUTOEVENTO="Manual",ROUND(SUMPRODUCT((CÁLCULO!$M$15:$M$244=EVENTOS!$C28)*(OFFSET(CÁLCULO!$AQ$15:$AQ$244,0,E$13))),2),0)</f>
        <v>0</v>
      </c>
      <c r="F28" s="183">
        <f ca="1">IF(AUTOEVENTO="Manual",ROUND(SUMPRODUCT((CÁLCULO!$M$15:$M$244=EVENTOS!$C28)*(OFFSET(CÁLCULO!$AQ$15,0,1):OFFSET(CÁLCULO!$BR$244,0,-1))),2),0)</f>
        <v>0</v>
      </c>
      <c r="G28" s="621" t="str">
        <f t="shared" ca="1" si="5"/>
        <v/>
      </c>
      <c r="H28" s="620" cm="1">
        <f t="array" aca="1" ref="H28" ca="1">IF(AUTOEVENTO="Manual",ROUND(SUMPRODUCT((CÁLCULO!$M$15:$M$244=EVENTOS!$C28)*(OFFSET(CÁLCULO!$AQ$15:$AQ$244,0,H$13))),2),0)</f>
        <v>0</v>
      </c>
      <c r="I28" s="620" cm="1">
        <f t="array" aca="1" ref="I28" ca="1">IF(AUTOEVENTO="Manual",ROUND(SUMPRODUCT((CÁLCULO!$M$15:$M$244=EVENTOS!$C28)*(OFFSET(CÁLCULO!$AQ$15:$AQ$244,0,I$13))),2),0)</f>
        <v>0</v>
      </c>
      <c r="J28" s="620" cm="1">
        <f t="array" aca="1" ref="J28" ca="1">IF(AUTOEVENTO="Manual",ROUND(SUMPRODUCT((CÁLCULO!$M$15:$M$244=EVENTOS!$C28)*(OFFSET(CÁLCULO!$AQ$15:$AQ$244,0,J$13))),2),0)</f>
        <v>0</v>
      </c>
      <c r="K28" s="620" cm="1">
        <f t="array" aca="1" ref="K28" ca="1">IF(AUTOEVENTO="Manual",ROUND(SUMPRODUCT((CÁLCULO!$M$15:$M$244=EVENTOS!$C28)*(OFFSET(CÁLCULO!$AQ$15:$AQ$244,0,K$13))),2),0)</f>
        <v>0</v>
      </c>
      <c r="L28" s="620" cm="1">
        <f t="array" aca="1" ref="L28" ca="1">IF(AUTOEVENTO="Manual",ROUND(SUMPRODUCT((CÁLCULO!$M$15:$M$244=EVENTOS!$C28)*(OFFSET(CÁLCULO!$AQ$15:$AQ$244,0,L$13))),2),0)</f>
        <v>0</v>
      </c>
      <c r="M28" s="620" cm="1">
        <f t="array" aca="1" ref="M28" ca="1">IF(AUTOEVENTO="Manual",ROUND(SUMPRODUCT((CÁLCULO!$M$15:$M$244=EVENTOS!$C28)*(OFFSET(CÁLCULO!$AQ$15:$AQ$244,0,M$13))),2),0)</f>
        <v>0</v>
      </c>
      <c r="N28" s="620" cm="1">
        <f t="array" aca="1" ref="N28" ca="1">IF(AUTOEVENTO="Manual",ROUND(SUMPRODUCT((CÁLCULO!$M$15:$M$244=EVENTOS!$C28)*(OFFSET(CÁLCULO!$AQ$15:$AQ$244,0,N$13))),2),0)</f>
        <v>0</v>
      </c>
      <c r="O28" s="620" cm="1">
        <f t="array" aca="1" ref="O28" ca="1">IF(AUTOEVENTO="Manual",ROUND(SUMPRODUCT((CÁLCULO!$M$15:$M$244=EVENTOS!$C28)*(OFFSET(CÁLCULO!$AQ$15:$AQ$244,0,O$13))),2),0)</f>
        <v>0</v>
      </c>
      <c r="P28" s="620" cm="1">
        <f t="array" aca="1" ref="P28" ca="1">IF(AUTOEVENTO="Manual",ROUND(SUMPRODUCT((CÁLCULO!$M$15:$M$244=EVENTOS!$C28)*(OFFSET(CÁLCULO!$AQ$15:$AQ$244,0,P$13))),2),0)</f>
        <v>0</v>
      </c>
      <c r="Q28" s="620" cm="1">
        <f t="array" aca="1" ref="Q28" ca="1">IF(AUTOEVENTO="Manual",ROUND(SUMPRODUCT((CÁLCULO!$M$15:$M$244=EVENTOS!$C28)*(OFFSET(CÁLCULO!$AQ$15:$AQ$244,0,Q$13))),2),0)</f>
        <v>0</v>
      </c>
      <c r="R28" s="620" cm="1">
        <f t="array" aca="1" ref="R28" ca="1">IF(AUTOEVENTO="Manual",ROUND(SUMPRODUCT((CÁLCULO!$M$15:$M$244=EVENTOS!$C28)*(OFFSET(CÁLCULO!$AQ$15:$AQ$244,0,R$13))),2),0)</f>
        <v>0</v>
      </c>
      <c r="S28" s="620" cm="1">
        <f t="array" aca="1" ref="S28" ca="1">IF(AUTOEVENTO="Manual",ROUND(SUMPRODUCT((CÁLCULO!$M$15:$M$244=EVENTOS!$C28)*(OFFSET(CÁLCULO!$AQ$15:$AQ$244,0,S$13))),2),0)</f>
        <v>0</v>
      </c>
      <c r="T28" s="620" cm="1">
        <f t="array" aca="1" ref="T28" ca="1">IF(AUTOEVENTO="Manual",ROUND(SUMPRODUCT((CÁLCULO!$M$15:$M$244=EVENTOS!$C28)*(OFFSET(CÁLCULO!$AQ$15:$AQ$244,0,T$13))),2),0)</f>
        <v>0</v>
      </c>
      <c r="U28" s="620" cm="1">
        <f t="array" aca="1" ref="U28" ca="1">IF(AUTOEVENTO="Manual",ROUND(SUMPRODUCT((CÁLCULO!$M$15:$M$244=EVENTOS!$C28)*(OFFSET(CÁLCULO!$AQ$15:$AQ$244,0,U$13))),2),0)</f>
        <v>0</v>
      </c>
      <c r="V28" s="620" cm="1">
        <f t="array" aca="1" ref="V28" ca="1">IF(AUTOEVENTO="Manual",ROUND(SUMPRODUCT((CÁLCULO!$M$15:$M$244=EVENTOS!$C28)*(OFFSET(CÁLCULO!$AQ$15:$AQ$244,0,V$13))),2),0)</f>
        <v>0</v>
      </c>
      <c r="W28" s="620" cm="1">
        <f t="array" aca="1" ref="W28" ca="1">IF(AUTOEVENTO="Manual",ROUND(SUMPRODUCT((CÁLCULO!$M$15:$M$244=EVENTOS!$C28)*(OFFSET(CÁLCULO!$AQ$15:$AQ$244,0,W$13))),2),0)</f>
        <v>0</v>
      </c>
      <c r="X28" s="620" cm="1">
        <f t="array" aca="1" ref="X28" ca="1">IF(AUTOEVENTO="Manual",ROUND(SUMPRODUCT((CÁLCULO!$M$15:$M$244=EVENTOS!$C28)*(OFFSET(CÁLCULO!$AQ$15:$AQ$244,0,X$13))),2),0)</f>
        <v>0</v>
      </c>
      <c r="Y28" s="620" cm="1">
        <f t="array" aca="1" ref="Y28" ca="1">IF(AUTOEVENTO="Manual",ROUND(SUMPRODUCT((CÁLCULO!$M$15:$M$244=EVENTOS!$C28)*(OFFSET(CÁLCULO!$AQ$15:$AQ$244,0,Y$13))),2),0)</f>
        <v>0</v>
      </c>
      <c r="Z28" s="620" cm="1">
        <f t="array" aca="1" ref="Z28" ca="1">IF(AUTOEVENTO="Manual",ROUND(SUMPRODUCT((CÁLCULO!$M$15:$M$244=EVENTOS!$C28)*(OFFSET(CÁLCULO!$AQ$15:$AQ$244,0,Z$13))),2),0)</f>
        <v>0</v>
      </c>
      <c r="AA28" s="620" cm="1">
        <f t="array" aca="1" ref="AA28" ca="1">IF(AUTOEVENTO="Manual",ROUND(SUMPRODUCT((CÁLCULO!$M$15:$M$244=EVENTOS!$C28)*(OFFSET(CÁLCULO!$AQ$15:$AQ$244,0,AA$13))),2),0)</f>
        <v>0</v>
      </c>
      <c r="AB28" s="620" cm="1">
        <f t="array" aca="1" ref="AB28" ca="1">IF(AUTOEVENTO="Manual",ROUND(SUMPRODUCT((CÁLCULO!$M$15:$M$244=EVENTOS!$C28)*(OFFSET(CÁLCULO!$AQ$15:$AQ$244,0,AB$13))),2),0)</f>
        <v>0</v>
      </c>
      <c r="AC28" s="620" cm="1">
        <f t="array" aca="1" ref="AC28" ca="1">IF(AUTOEVENTO="Manual",ROUND(SUMPRODUCT((CÁLCULO!$M$15:$M$244=EVENTOS!$C28)*(OFFSET(CÁLCULO!$AQ$15:$AQ$244,0,AC$13))),2),0)</f>
        <v>0</v>
      </c>
      <c r="AD28" s="620" cm="1">
        <f t="array" aca="1" ref="AD28" ca="1">IF(AUTOEVENTO="Manual",ROUND(SUMPRODUCT((CÁLCULO!$M$15:$M$244=EVENTOS!$C28)*(OFFSET(CÁLCULO!$AQ$15:$AQ$244,0,AD$13))),2),0)</f>
        <v>0</v>
      </c>
      <c r="AE28" s="620" cm="1">
        <f t="array" aca="1" ref="AE28" ca="1">IF(AUTOEVENTO="Manual",ROUND(SUMPRODUCT((CÁLCULO!$M$15:$M$244=EVENTOS!$C28)*(OFFSET(CÁLCULO!$AQ$15:$AQ$244,0,AE$13))),2),0)</f>
        <v>0</v>
      </c>
      <c r="AF28" s="620" cm="1">
        <f t="array" aca="1" ref="AF28" ca="1">IF(AUTOEVENTO="Manual",ROUND(SUMPRODUCT((CÁLCULO!$M$15:$M$244=EVENTOS!$C28)*(OFFSET(CÁLCULO!$AQ$15:$AQ$244,0,AF$13))),2),0)</f>
        <v>0</v>
      </c>
      <c r="AG28" s="620" cm="1">
        <f t="array" aca="1" ref="AG28" ca="1">IF(AUTOEVENTO="Manual",ROUND(SUMPRODUCT((CÁLCULO!$M$15:$M$244=EVENTOS!$C28)*(OFFSET(CÁLCULO!$AQ$15:$AQ$244,0,AG$13))),2),0)</f>
        <v>0</v>
      </c>
      <c r="AH28" s="620" cm="1">
        <f t="array" aca="1" ref="AH28" ca="1">IF(AUTOEVENTO="Manual",ROUND(SUMPRODUCT((CÁLCULO!$M$15:$M$244=EVENTOS!$C28)*(OFFSET(CÁLCULO!$AQ$15:$AQ$244,0,AH$13))),2),0)</f>
        <v>0</v>
      </c>
      <c r="AI28" s="620" cm="1">
        <f t="array" aca="1" ref="AI28" ca="1">IF(AUTOEVENTO="Manual",ROUND(SUMPRODUCT((CÁLCULO!$M$15:$M$244=EVENTOS!$C28)*(OFFSET(CÁLCULO!$AQ$15:$AQ$244,0,AI$13))),2),0)</f>
        <v>0</v>
      </c>
    </row>
    <row r="29" spans="1:35" x14ac:dyDescent="0.2">
      <c r="A29" s="506" t="str">
        <f t="shared" si="3"/>
        <v/>
      </c>
      <c r="B29" t="str">
        <f t="shared" ca="1" si="4"/>
        <v/>
      </c>
      <c r="C29" s="182" t="str" cm="1">
        <f t="array" aca="1" ref="C29" ca="1">IF(OR(ROW(C29)=ROW(EVENTOS.firstrow)+1,AND(OFFSET(C29,-1,0)&lt;&gt;" ",OFFSET(C29,-1,1)&lt;&gt;"")),OFFSET(C29,-1,0)+1," ")</f>
        <v xml:space="preserve"> </v>
      </c>
      <c r="D29" s="496"/>
      <c r="E29" s="620" cm="1">
        <f t="array" aca="1" ref="E29" ca="1">IF(AUTOEVENTO="Manual",ROUND(SUMPRODUCT((CÁLCULO!$M$15:$M$244=EVENTOS!$C29)*(OFFSET(CÁLCULO!$AQ$15:$AQ$244,0,E$13))),2),0)</f>
        <v>0</v>
      </c>
      <c r="F29" s="183">
        <f ca="1">IF(AUTOEVENTO="Manual",ROUND(SUMPRODUCT((CÁLCULO!$M$15:$M$244=EVENTOS!$C29)*(OFFSET(CÁLCULO!$AQ$15,0,1):OFFSET(CÁLCULO!$BR$244,0,-1))),2),0)</f>
        <v>0</v>
      </c>
      <c r="G29" s="621" t="str">
        <f t="shared" ca="1" si="5"/>
        <v/>
      </c>
      <c r="H29" s="620" cm="1">
        <f t="array" aca="1" ref="H29" ca="1">IF(AUTOEVENTO="Manual",ROUND(SUMPRODUCT((CÁLCULO!$M$15:$M$244=EVENTOS!$C29)*(OFFSET(CÁLCULO!$AQ$15:$AQ$244,0,H$13))),2),0)</f>
        <v>0</v>
      </c>
      <c r="I29" s="620" cm="1">
        <f t="array" aca="1" ref="I29" ca="1">IF(AUTOEVENTO="Manual",ROUND(SUMPRODUCT((CÁLCULO!$M$15:$M$244=EVENTOS!$C29)*(OFFSET(CÁLCULO!$AQ$15:$AQ$244,0,I$13))),2),0)</f>
        <v>0</v>
      </c>
      <c r="J29" s="620" cm="1">
        <f t="array" aca="1" ref="J29" ca="1">IF(AUTOEVENTO="Manual",ROUND(SUMPRODUCT((CÁLCULO!$M$15:$M$244=EVENTOS!$C29)*(OFFSET(CÁLCULO!$AQ$15:$AQ$244,0,J$13))),2),0)</f>
        <v>0</v>
      </c>
      <c r="K29" s="620" cm="1">
        <f t="array" aca="1" ref="K29" ca="1">IF(AUTOEVENTO="Manual",ROUND(SUMPRODUCT((CÁLCULO!$M$15:$M$244=EVENTOS!$C29)*(OFFSET(CÁLCULO!$AQ$15:$AQ$244,0,K$13))),2),0)</f>
        <v>0</v>
      </c>
      <c r="L29" s="620" cm="1">
        <f t="array" aca="1" ref="L29" ca="1">IF(AUTOEVENTO="Manual",ROUND(SUMPRODUCT((CÁLCULO!$M$15:$M$244=EVENTOS!$C29)*(OFFSET(CÁLCULO!$AQ$15:$AQ$244,0,L$13))),2),0)</f>
        <v>0</v>
      </c>
      <c r="M29" s="620" cm="1">
        <f t="array" aca="1" ref="M29" ca="1">IF(AUTOEVENTO="Manual",ROUND(SUMPRODUCT((CÁLCULO!$M$15:$M$244=EVENTOS!$C29)*(OFFSET(CÁLCULO!$AQ$15:$AQ$244,0,M$13))),2),0)</f>
        <v>0</v>
      </c>
      <c r="N29" s="620" cm="1">
        <f t="array" aca="1" ref="N29" ca="1">IF(AUTOEVENTO="Manual",ROUND(SUMPRODUCT((CÁLCULO!$M$15:$M$244=EVENTOS!$C29)*(OFFSET(CÁLCULO!$AQ$15:$AQ$244,0,N$13))),2),0)</f>
        <v>0</v>
      </c>
      <c r="O29" s="620" cm="1">
        <f t="array" aca="1" ref="O29" ca="1">IF(AUTOEVENTO="Manual",ROUND(SUMPRODUCT((CÁLCULO!$M$15:$M$244=EVENTOS!$C29)*(OFFSET(CÁLCULO!$AQ$15:$AQ$244,0,O$13))),2),0)</f>
        <v>0</v>
      </c>
      <c r="P29" s="620" cm="1">
        <f t="array" aca="1" ref="P29" ca="1">IF(AUTOEVENTO="Manual",ROUND(SUMPRODUCT((CÁLCULO!$M$15:$M$244=EVENTOS!$C29)*(OFFSET(CÁLCULO!$AQ$15:$AQ$244,0,P$13))),2),0)</f>
        <v>0</v>
      </c>
      <c r="Q29" s="620" cm="1">
        <f t="array" aca="1" ref="Q29" ca="1">IF(AUTOEVENTO="Manual",ROUND(SUMPRODUCT((CÁLCULO!$M$15:$M$244=EVENTOS!$C29)*(OFFSET(CÁLCULO!$AQ$15:$AQ$244,0,Q$13))),2),0)</f>
        <v>0</v>
      </c>
      <c r="R29" s="620" cm="1">
        <f t="array" aca="1" ref="R29" ca="1">IF(AUTOEVENTO="Manual",ROUND(SUMPRODUCT((CÁLCULO!$M$15:$M$244=EVENTOS!$C29)*(OFFSET(CÁLCULO!$AQ$15:$AQ$244,0,R$13))),2),0)</f>
        <v>0</v>
      </c>
      <c r="S29" s="620" cm="1">
        <f t="array" aca="1" ref="S29" ca="1">IF(AUTOEVENTO="Manual",ROUND(SUMPRODUCT((CÁLCULO!$M$15:$M$244=EVENTOS!$C29)*(OFFSET(CÁLCULO!$AQ$15:$AQ$244,0,S$13))),2),0)</f>
        <v>0</v>
      </c>
      <c r="T29" s="620" cm="1">
        <f t="array" aca="1" ref="T29" ca="1">IF(AUTOEVENTO="Manual",ROUND(SUMPRODUCT((CÁLCULO!$M$15:$M$244=EVENTOS!$C29)*(OFFSET(CÁLCULO!$AQ$15:$AQ$244,0,T$13))),2),0)</f>
        <v>0</v>
      </c>
      <c r="U29" s="620" cm="1">
        <f t="array" aca="1" ref="U29" ca="1">IF(AUTOEVENTO="Manual",ROUND(SUMPRODUCT((CÁLCULO!$M$15:$M$244=EVENTOS!$C29)*(OFFSET(CÁLCULO!$AQ$15:$AQ$244,0,U$13))),2),0)</f>
        <v>0</v>
      </c>
      <c r="V29" s="620" cm="1">
        <f t="array" aca="1" ref="V29" ca="1">IF(AUTOEVENTO="Manual",ROUND(SUMPRODUCT((CÁLCULO!$M$15:$M$244=EVENTOS!$C29)*(OFFSET(CÁLCULO!$AQ$15:$AQ$244,0,V$13))),2),0)</f>
        <v>0</v>
      </c>
      <c r="W29" s="620" cm="1">
        <f t="array" aca="1" ref="W29" ca="1">IF(AUTOEVENTO="Manual",ROUND(SUMPRODUCT((CÁLCULO!$M$15:$M$244=EVENTOS!$C29)*(OFFSET(CÁLCULO!$AQ$15:$AQ$244,0,W$13))),2),0)</f>
        <v>0</v>
      </c>
      <c r="X29" s="620" cm="1">
        <f t="array" aca="1" ref="X29" ca="1">IF(AUTOEVENTO="Manual",ROUND(SUMPRODUCT((CÁLCULO!$M$15:$M$244=EVENTOS!$C29)*(OFFSET(CÁLCULO!$AQ$15:$AQ$244,0,X$13))),2),0)</f>
        <v>0</v>
      </c>
      <c r="Y29" s="620" cm="1">
        <f t="array" aca="1" ref="Y29" ca="1">IF(AUTOEVENTO="Manual",ROUND(SUMPRODUCT((CÁLCULO!$M$15:$M$244=EVENTOS!$C29)*(OFFSET(CÁLCULO!$AQ$15:$AQ$244,0,Y$13))),2),0)</f>
        <v>0</v>
      </c>
      <c r="Z29" s="620" cm="1">
        <f t="array" aca="1" ref="Z29" ca="1">IF(AUTOEVENTO="Manual",ROUND(SUMPRODUCT((CÁLCULO!$M$15:$M$244=EVENTOS!$C29)*(OFFSET(CÁLCULO!$AQ$15:$AQ$244,0,Z$13))),2),0)</f>
        <v>0</v>
      </c>
      <c r="AA29" s="620" cm="1">
        <f t="array" aca="1" ref="AA29" ca="1">IF(AUTOEVENTO="Manual",ROUND(SUMPRODUCT((CÁLCULO!$M$15:$M$244=EVENTOS!$C29)*(OFFSET(CÁLCULO!$AQ$15:$AQ$244,0,AA$13))),2),0)</f>
        <v>0</v>
      </c>
      <c r="AB29" s="620" cm="1">
        <f t="array" aca="1" ref="AB29" ca="1">IF(AUTOEVENTO="Manual",ROUND(SUMPRODUCT((CÁLCULO!$M$15:$M$244=EVENTOS!$C29)*(OFFSET(CÁLCULO!$AQ$15:$AQ$244,0,AB$13))),2),0)</f>
        <v>0</v>
      </c>
      <c r="AC29" s="620" cm="1">
        <f t="array" aca="1" ref="AC29" ca="1">IF(AUTOEVENTO="Manual",ROUND(SUMPRODUCT((CÁLCULO!$M$15:$M$244=EVENTOS!$C29)*(OFFSET(CÁLCULO!$AQ$15:$AQ$244,0,AC$13))),2),0)</f>
        <v>0</v>
      </c>
      <c r="AD29" s="620" cm="1">
        <f t="array" aca="1" ref="AD29" ca="1">IF(AUTOEVENTO="Manual",ROUND(SUMPRODUCT((CÁLCULO!$M$15:$M$244=EVENTOS!$C29)*(OFFSET(CÁLCULO!$AQ$15:$AQ$244,0,AD$13))),2),0)</f>
        <v>0</v>
      </c>
      <c r="AE29" s="620" cm="1">
        <f t="array" aca="1" ref="AE29" ca="1">IF(AUTOEVENTO="Manual",ROUND(SUMPRODUCT((CÁLCULO!$M$15:$M$244=EVENTOS!$C29)*(OFFSET(CÁLCULO!$AQ$15:$AQ$244,0,AE$13))),2),0)</f>
        <v>0</v>
      </c>
      <c r="AF29" s="620" cm="1">
        <f t="array" aca="1" ref="AF29" ca="1">IF(AUTOEVENTO="Manual",ROUND(SUMPRODUCT((CÁLCULO!$M$15:$M$244=EVENTOS!$C29)*(OFFSET(CÁLCULO!$AQ$15:$AQ$244,0,AF$13))),2),0)</f>
        <v>0</v>
      </c>
      <c r="AG29" s="620" cm="1">
        <f t="array" aca="1" ref="AG29" ca="1">IF(AUTOEVENTO="Manual",ROUND(SUMPRODUCT((CÁLCULO!$M$15:$M$244=EVENTOS!$C29)*(OFFSET(CÁLCULO!$AQ$15:$AQ$244,0,AG$13))),2),0)</f>
        <v>0</v>
      </c>
      <c r="AH29" s="620" cm="1">
        <f t="array" aca="1" ref="AH29" ca="1">IF(AUTOEVENTO="Manual",ROUND(SUMPRODUCT((CÁLCULO!$M$15:$M$244=EVENTOS!$C29)*(OFFSET(CÁLCULO!$AQ$15:$AQ$244,0,AH$13))),2),0)</f>
        <v>0</v>
      </c>
      <c r="AI29" s="620" cm="1">
        <f t="array" aca="1" ref="AI29" ca="1">IF(AUTOEVENTO="Manual",ROUND(SUMPRODUCT((CÁLCULO!$M$15:$M$244=EVENTOS!$C29)*(OFFSET(CÁLCULO!$AQ$15:$AQ$244,0,AI$13))),2),0)</f>
        <v>0</v>
      </c>
    </row>
    <row r="30" spans="1:35" x14ac:dyDescent="0.2">
      <c r="A30" s="506" t="str">
        <f t="shared" si="3"/>
        <v/>
      </c>
      <c r="B30" t="str">
        <f t="shared" ca="1" si="4"/>
        <v/>
      </c>
      <c r="C30" s="182" t="str" cm="1">
        <f t="array" aca="1" ref="C30" ca="1">IF(OR(ROW(C30)=ROW(EVENTOS.firstrow)+1,AND(OFFSET(C30,-1,0)&lt;&gt;" ",OFFSET(C30,-1,1)&lt;&gt;"")),OFFSET(C30,-1,0)+1," ")</f>
        <v xml:space="preserve"> </v>
      </c>
      <c r="D30" s="496"/>
      <c r="E30" s="620" cm="1">
        <f t="array" aca="1" ref="E30" ca="1">IF(AUTOEVENTO="Manual",ROUND(SUMPRODUCT((CÁLCULO!$M$15:$M$244=EVENTOS!$C30)*(OFFSET(CÁLCULO!$AQ$15:$AQ$244,0,E$13))),2),0)</f>
        <v>0</v>
      </c>
      <c r="F30" s="183">
        <f ca="1">IF(AUTOEVENTO="Manual",ROUND(SUMPRODUCT((CÁLCULO!$M$15:$M$244=EVENTOS!$C30)*(OFFSET(CÁLCULO!$AQ$15,0,1):OFFSET(CÁLCULO!$BR$244,0,-1))),2),0)</f>
        <v>0</v>
      </c>
      <c r="G30" s="621" t="str">
        <f t="shared" ca="1" si="5"/>
        <v/>
      </c>
      <c r="H30" s="620" cm="1">
        <f t="array" aca="1" ref="H30" ca="1">IF(AUTOEVENTO="Manual",ROUND(SUMPRODUCT((CÁLCULO!$M$15:$M$244=EVENTOS!$C30)*(OFFSET(CÁLCULO!$AQ$15:$AQ$244,0,H$13))),2),0)</f>
        <v>0</v>
      </c>
      <c r="I30" s="620" cm="1">
        <f t="array" aca="1" ref="I30" ca="1">IF(AUTOEVENTO="Manual",ROUND(SUMPRODUCT((CÁLCULO!$M$15:$M$244=EVENTOS!$C30)*(OFFSET(CÁLCULO!$AQ$15:$AQ$244,0,I$13))),2),0)</f>
        <v>0</v>
      </c>
      <c r="J30" s="620" cm="1">
        <f t="array" aca="1" ref="J30" ca="1">IF(AUTOEVENTO="Manual",ROUND(SUMPRODUCT((CÁLCULO!$M$15:$M$244=EVENTOS!$C30)*(OFFSET(CÁLCULO!$AQ$15:$AQ$244,0,J$13))),2),0)</f>
        <v>0</v>
      </c>
      <c r="K30" s="620" cm="1">
        <f t="array" aca="1" ref="K30" ca="1">IF(AUTOEVENTO="Manual",ROUND(SUMPRODUCT((CÁLCULO!$M$15:$M$244=EVENTOS!$C30)*(OFFSET(CÁLCULO!$AQ$15:$AQ$244,0,K$13))),2),0)</f>
        <v>0</v>
      </c>
      <c r="L30" s="620" cm="1">
        <f t="array" aca="1" ref="L30" ca="1">IF(AUTOEVENTO="Manual",ROUND(SUMPRODUCT((CÁLCULO!$M$15:$M$244=EVENTOS!$C30)*(OFFSET(CÁLCULO!$AQ$15:$AQ$244,0,L$13))),2),0)</f>
        <v>0</v>
      </c>
      <c r="M30" s="620" cm="1">
        <f t="array" aca="1" ref="M30" ca="1">IF(AUTOEVENTO="Manual",ROUND(SUMPRODUCT((CÁLCULO!$M$15:$M$244=EVENTOS!$C30)*(OFFSET(CÁLCULO!$AQ$15:$AQ$244,0,M$13))),2),0)</f>
        <v>0</v>
      </c>
      <c r="N30" s="620" cm="1">
        <f t="array" aca="1" ref="N30" ca="1">IF(AUTOEVENTO="Manual",ROUND(SUMPRODUCT((CÁLCULO!$M$15:$M$244=EVENTOS!$C30)*(OFFSET(CÁLCULO!$AQ$15:$AQ$244,0,N$13))),2),0)</f>
        <v>0</v>
      </c>
      <c r="O30" s="620" cm="1">
        <f t="array" aca="1" ref="O30" ca="1">IF(AUTOEVENTO="Manual",ROUND(SUMPRODUCT((CÁLCULO!$M$15:$M$244=EVENTOS!$C30)*(OFFSET(CÁLCULO!$AQ$15:$AQ$244,0,O$13))),2),0)</f>
        <v>0</v>
      </c>
      <c r="P30" s="620" cm="1">
        <f t="array" aca="1" ref="P30" ca="1">IF(AUTOEVENTO="Manual",ROUND(SUMPRODUCT((CÁLCULO!$M$15:$M$244=EVENTOS!$C30)*(OFFSET(CÁLCULO!$AQ$15:$AQ$244,0,P$13))),2),0)</f>
        <v>0</v>
      </c>
      <c r="Q30" s="620" cm="1">
        <f t="array" aca="1" ref="Q30" ca="1">IF(AUTOEVENTO="Manual",ROUND(SUMPRODUCT((CÁLCULO!$M$15:$M$244=EVENTOS!$C30)*(OFFSET(CÁLCULO!$AQ$15:$AQ$244,0,Q$13))),2),0)</f>
        <v>0</v>
      </c>
      <c r="R30" s="620" cm="1">
        <f t="array" aca="1" ref="R30" ca="1">IF(AUTOEVENTO="Manual",ROUND(SUMPRODUCT((CÁLCULO!$M$15:$M$244=EVENTOS!$C30)*(OFFSET(CÁLCULO!$AQ$15:$AQ$244,0,R$13))),2),0)</f>
        <v>0</v>
      </c>
      <c r="S30" s="620" cm="1">
        <f t="array" aca="1" ref="S30" ca="1">IF(AUTOEVENTO="Manual",ROUND(SUMPRODUCT((CÁLCULO!$M$15:$M$244=EVENTOS!$C30)*(OFFSET(CÁLCULO!$AQ$15:$AQ$244,0,S$13))),2),0)</f>
        <v>0</v>
      </c>
      <c r="T30" s="620" cm="1">
        <f t="array" aca="1" ref="T30" ca="1">IF(AUTOEVENTO="Manual",ROUND(SUMPRODUCT((CÁLCULO!$M$15:$M$244=EVENTOS!$C30)*(OFFSET(CÁLCULO!$AQ$15:$AQ$244,0,T$13))),2),0)</f>
        <v>0</v>
      </c>
      <c r="U30" s="620" cm="1">
        <f t="array" aca="1" ref="U30" ca="1">IF(AUTOEVENTO="Manual",ROUND(SUMPRODUCT((CÁLCULO!$M$15:$M$244=EVENTOS!$C30)*(OFFSET(CÁLCULO!$AQ$15:$AQ$244,0,U$13))),2),0)</f>
        <v>0</v>
      </c>
      <c r="V30" s="620" cm="1">
        <f t="array" aca="1" ref="V30" ca="1">IF(AUTOEVENTO="Manual",ROUND(SUMPRODUCT((CÁLCULO!$M$15:$M$244=EVENTOS!$C30)*(OFFSET(CÁLCULO!$AQ$15:$AQ$244,0,V$13))),2),0)</f>
        <v>0</v>
      </c>
      <c r="W30" s="620" cm="1">
        <f t="array" aca="1" ref="W30" ca="1">IF(AUTOEVENTO="Manual",ROUND(SUMPRODUCT((CÁLCULO!$M$15:$M$244=EVENTOS!$C30)*(OFFSET(CÁLCULO!$AQ$15:$AQ$244,0,W$13))),2),0)</f>
        <v>0</v>
      </c>
      <c r="X30" s="620" cm="1">
        <f t="array" aca="1" ref="X30" ca="1">IF(AUTOEVENTO="Manual",ROUND(SUMPRODUCT((CÁLCULO!$M$15:$M$244=EVENTOS!$C30)*(OFFSET(CÁLCULO!$AQ$15:$AQ$244,0,X$13))),2),0)</f>
        <v>0</v>
      </c>
      <c r="Y30" s="620" cm="1">
        <f t="array" aca="1" ref="Y30" ca="1">IF(AUTOEVENTO="Manual",ROUND(SUMPRODUCT((CÁLCULO!$M$15:$M$244=EVENTOS!$C30)*(OFFSET(CÁLCULO!$AQ$15:$AQ$244,0,Y$13))),2),0)</f>
        <v>0</v>
      </c>
      <c r="Z30" s="620" cm="1">
        <f t="array" aca="1" ref="Z30" ca="1">IF(AUTOEVENTO="Manual",ROUND(SUMPRODUCT((CÁLCULO!$M$15:$M$244=EVENTOS!$C30)*(OFFSET(CÁLCULO!$AQ$15:$AQ$244,0,Z$13))),2),0)</f>
        <v>0</v>
      </c>
      <c r="AA30" s="620" cm="1">
        <f t="array" aca="1" ref="AA30" ca="1">IF(AUTOEVENTO="Manual",ROUND(SUMPRODUCT((CÁLCULO!$M$15:$M$244=EVENTOS!$C30)*(OFFSET(CÁLCULO!$AQ$15:$AQ$244,0,AA$13))),2),0)</f>
        <v>0</v>
      </c>
      <c r="AB30" s="620" cm="1">
        <f t="array" aca="1" ref="AB30" ca="1">IF(AUTOEVENTO="Manual",ROUND(SUMPRODUCT((CÁLCULO!$M$15:$M$244=EVENTOS!$C30)*(OFFSET(CÁLCULO!$AQ$15:$AQ$244,0,AB$13))),2),0)</f>
        <v>0</v>
      </c>
      <c r="AC30" s="620" cm="1">
        <f t="array" aca="1" ref="AC30" ca="1">IF(AUTOEVENTO="Manual",ROUND(SUMPRODUCT((CÁLCULO!$M$15:$M$244=EVENTOS!$C30)*(OFFSET(CÁLCULO!$AQ$15:$AQ$244,0,AC$13))),2),0)</f>
        <v>0</v>
      </c>
      <c r="AD30" s="620" cm="1">
        <f t="array" aca="1" ref="AD30" ca="1">IF(AUTOEVENTO="Manual",ROUND(SUMPRODUCT((CÁLCULO!$M$15:$M$244=EVENTOS!$C30)*(OFFSET(CÁLCULO!$AQ$15:$AQ$244,0,AD$13))),2),0)</f>
        <v>0</v>
      </c>
      <c r="AE30" s="620" cm="1">
        <f t="array" aca="1" ref="AE30" ca="1">IF(AUTOEVENTO="Manual",ROUND(SUMPRODUCT((CÁLCULO!$M$15:$M$244=EVENTOS!$C30)*(OFFSET(CÁLCULO!$AQ$15:$AQ$244,0,AE$13))),2),0)</f>
        <v>0</v>
      </c>
      <c r="AF30" s="620" cm="1">
        <f t="array" aca="1" ref="AF30" ca="1">IF(AUTOEVENTO="Manual",ROUND(SUMPRODUCT((CÁLCULO!$M$15:$M$244=EVENTOS!$C30)*(OFFSET(CÁLCULO!$AQ$15:$AQ$244,0,AF$13))),2),0)</f>
        <v>0</v>
      </c>
      <c r="AG30" s="620" cm="1">
        <f t="array" aca="1" ref="AG30" ca="1">IF(AUTOEVENTO="Manual",ROUND(SUMPRODUCT((CÁLCULO!$M$15:$M$244=EVENTOS!$C30)*(OFFSET(CÁLCULO!$AQ$15:$AQ$244,0,AG$13))),2),0)</f>
        <v>0</v>
      </c>
      <c r="AH30" s="620" cm="1">
        <f t="array" aca="1" ref="AH30" ca="1">IF(AUTOEVENTO="Manual",ROUND(SUMPRODUCT((CÁLCULO!$M$15:$M$244=EVENTOS!$C30)*(OFFSET(CÁLCULO!$AQ$15:$AQ$244,0,AH$13))),2),0)</f>
        <v>0</v>
      </c>
      <c r="AI30" s="620" cm="1">
        <f t="array" aca="1" ref="AI30" ca="1">IF(AUTOEVENTO="Manual",ROUND(SUMPRODUCT((CÁLCULO!$M$15:$M$244=EVENTOS!$C30)*(OFFSET(CÁLCULO!$AQ$15:$AQ$244,0,AI$13))),2),0)</f>
        <v>0</v>
      </c>
    </row>
    <row r="31" spans="1:35" x14ac:dyDescent="0.2">
      <c r="A31" s="506" t="str">
        <f t="shared" si="3"/>
        <v/>
      </c>
      <c r="B31" t="str">
        <f t="shared" ca="1" si="4"/>
        <v/>
      </c>
      <c r="C31" s="182" t="str" cm="1">
        <f t="array" aca="1" ref="C31" ca="1">IF(OR(ROW(C31)=ROW(EVENTOS.firstrow)+1,AND(OFFSET(C31,-1,0)&lt;&gt;" ",OFFSET(C31,-1,1)&lt;&gt;"")),OFFSET(C31,-1,0)+1," ")</f>
        <v xml:space="preserve"> </v>
      </c>
      <c r="D31" s="496"/>
      <c r="E31" s="620" cm="1">
        <f t="array" aca="1" ref="E31" ca="1">IF(AUTOEVENTO="Manual",ROUND(SUMPRODUCT((CÁLCULO!$M$15:$M$244=EVENTOS!$C31)*(OFFSET(CÁLCULO!$AQ$15:$AQ$244,0,E$13))),2),0)</f>
        <v>0</v>
      </c>
      <c r="F31" s="183">
        <f ca="1">IF(AUTOEVENTO="Manual",ROUND(SUMPRODUCT((CÁLCULO!$M$15:$M$244=EVENTOS!$C31)*(OFFSET(CÁLCULO!$AQ$15,0,1):OFFSET(CÁLCULO!$BR$244,0,-1))),2),0)</f>
        <v>0</v>
      </c>
      <c r="G31" s="621" t="str">
        <f t="shared" ca="1" si="5"/>
        <v/>
      </c>
      <c r="H31" s="620" cm="1">
        <f t="array" aca="1" ref="H31" ca="1">IF(AUTOEVENTO="Manual",ROUND(SUMPRODUCT((CÁLCULO!$M$15:$M$244=EVENTOS!$C31)*(OFFSET(CÁLCULO!$AQ$15:$AQ$244,0,H$13))),2),0)</f>
        <v>0</v>
      </c>
      <c r="I31" s="620" cm="1">
        <f t="array" aca="1" ref="I31" ca="1">IF(AUTOEVENTO="Manual",ROUND(SUMPRODUCT((CÁLCULO!$M$15:$M$244=EVENTOS!$C31)*(OFFSET(CÁLCULO!$AQ$15:$AQ$244,0,I$13))),2),0)</f>
        <v>0</v>
      </c>
      <c r="J31" s="620" cm="1">
        <f t="array" aca="1" ref="J31" ca="1">IF(AUTOEVENTO="Manual",ROUND(SUMPRODUCT((CÁLCULO!$M$15:$M$244=EVENTOS!$C31)*(OFFSET(CÁLCULO!$AQ$15:$AQ$244,0,J$13))),2),0)</f>
        <v>0</v>
      </c>
      <c r="K31" s="620" cm="1">
        <f t="array" aca="1" ref="K31" ca="1">IF(AUTOEVENTO="Manual",ROUND(SUMPRODUCT((CÁLCULO!$M$15:$M$244=EVENTOS!$C31)*(OFFSET(CÁLCULO!$AQ$15:$AQ$244,0,K$13))),2),0)</f>
        <v>0</v>
      </c>
      <c r="L31" s="620" cm="1">
        <f t="array" aca="1" ref="L31" ca="1">IF(AUTOEVENTO="Manual",ROUND(SUMPRODUCT((CÁLCULO!$M$15:$M$244=EVENTOS!$C31)*(OFFSET(CÁLCULO!$AQ$15:$AQ$244,0,L$13))),2),0)</f>
        <v>0</v>
      </c>
      <c r="M31" s="620" cm="1">
        <f t="array" aca="1" ref="M31" ca="1">IF(AUTOEVENTO="Manual",ROUND(SUMPRODUCT((CÁLCULO!$M$15:$M$244=EVENTOS!$C31)*(OFFSET(CÁLCULO!$AQ$15:$AQ$244,0,M$13))),2),0)</f>
        <v>0</v>
      </c>
      <c r="N31" s="620" cm="1">
        <f t="array" aca="1" ref="N31" ca="1">IF(AUTOEVENTO="Manual",ROUND(SUMPRODUCT((CÁLCULO!$M$15:$M$244=EVENTOS!$C31)*(OFFSET(CÁLCULO!$AQ$15:$AQ$244,0,N$13))),2),0)</f>
        <v>0</v>
      </c>
      <c r="O31" s="620" cm="1">
        <f t="array" aca="1" ref="O31" ca="1">IF(AUTOEVENTO="Manual",ROUND(SUMPRODUCT((CÁLCULO!$M$15:$M$244=EVENTOS!$C31)*(OFFSET(CÁLCULO!$AQ$15:$AQ$244,0,O$13))),2),0)</f>
        <v>0</v>
      </c>
      <c r="P31" s="620" cm="1">
        <f t="array" aca="1" ref="P31" ca="1">IF(AUTOEVENTO="Manual",ROUND(SUMPRODUCT((CÁLCULO!$M$15:$M$244=EVENTOS!$C31)*(OFFSET(CÁLCULO!$AQ$15:$AQ$244,0,P$13))),2),0)</f>
        <v>0</v>
      </c>
      <c r="Q31" s="620" cm="1">
        <f t="array" aca="1" ref="Q31" ca="1">IF(AUTOEVENTO="Manual",ROUND(SUMPRODUCT((CÁLCULO!$M$15:$M$244=EVENTOS!$C31)*(OFFSET(CÁLCULO!$AQ$15:$AQ$244,0,Q$13))),2),0)</f>
        <v>0</v>
      </c>
      <c r="R31" s="620" cm="1">
        <f t="array" aca="1" ref="R31" ca="1">IF(AUTOEVENTO="Manual",ROUND(SUMPRODUCT((CÁLCULO!$M$15:$M$244=EVENTOS!$C31)*(OFFSET(CÁLCULO!$AQ$15:$AQ$244,0,R$13))),2),0)</f>
        <v>0</v>
      </c>
      <c r="S31" s="620" cm="1">
        <f t="array" aca="1" ref="S31" ca="1">IF(AUTOEVENTO="Manual",ROUND(SUMPRODUCT((CÁLCULO!$M$15:$M$244=EVENTOS!$C31)*(OFFSET(CÁLCULO!$AQ$15:$AQ$244,0,S$13))),2),0)</f>
        <v>0</v>
      </c>
      <c r="T31" s="620" cm="1">
        <f t="array" aca="1" ref="T31" ca="1">IF(AUTOEVENTO="Manual",ROUND(SUMPRODUCT((CÁLCULO!$M$15:$M$244=EVENTOS!$C31)*(OFFSET(CÁLCULO!$AQ$15:$AQ$244,0,T$13))),2),0)</f>
        <v>0</v>
      </c>
      <c r="U31" s="620" cm="1">
        <f t="array" aca="1" ref="U31" ca="1">IF(AUTOEVENTO="Manual",ROUND(SUMPRODUCT((CÁLCULO!$M$15:$M$244=EVENTOS!$C31)*(OFFSET(CÁLCULO!$AQ$15:$AQ$244,0,U$13))),2),0)</f>
        <v>0</v>
      </c>
      <c r="V31" s="620" cm="1">
        <f t="array" aca="1" ref="V31" ca="1">IF(AUTOEVENTO="Manual",ROUND(SUMPRODUCT((CÁLCULO!$M$15:$M$244=EVENTOS!$C31)*(OFFSET(CÁLCULO!$AQ$15:$AQ$244,0,V$13))),2),0)</f>
        <v>0</v>
      </c>
      <c r="W31" s="620" cm="1">
        <f t="array" aca="1" ref="W31" ca="1">IF(AUTOEVENTO="Manual",ROUND(SUMPRODUCT((CÁLCULO!$M$15:$M$244=EVENTOS!$C31)*(OFFSET(CÁLCULO!$AQ$15:$AQ$244,0,W$13))),2),0)</f>
        <v>0</v>
      </c>
      <c r="X31" s="620" cm="1">
        <f t="array" aca="1" ref="X31" ca="1">IF(AUTOEVENTO="Manual",ROUND(SUMPRODUCT((CÁLCULO!$M$15:$M$244=EVENTOS!$C31)*(OFFSET(CÁLCULO!$AQ$15:$AQ$244,0,X$13))),2),0)</f>
        <v>0</v>
      </c>
      <c r="Y31" s="620" cm="1">
        <f t="array" aca="1" ref="Y31" ca="1">IF(AUTOEVENTO="Manual",ROUND(SUMPRODUCT((CÁLCULO!$M$15:$M$244=EVENTOS!$C31)*(OFFSET(CÁLCULO!$AQ$15:$AQ$244,0,Y$13))),2),0)</f>
        <v>0</v>
      </c>
      <c r="Z31" s="620" cm="1">
        <f t="array" aca="1" ref="Z31" ca="1">IF(AUTOEVENTO="Manual",ROUND(SUMPRODUCT((CÁLCULO!$M$15:$M$244=EVENTOS!$C31)*(OFFSET(CÁLCULO!$AQ$15:$AQ$244,0,Z$13))),2),0)</f>
        <v>0</v>
      </c>
      <c r="AA31" s="620" cm="1">
        <f t="array" aca="1" ref="AA31" ca="1">IF(AUTOEVENTO="Manual",ROUND(SUMPRODUCT((CÁLCULO!$M$15:$M$244=EVENTOS!$C31)*(OFFSET(CÁLCULO!$AQ$15:$AQ$244,0,AA$13))),2),0)</f>
        <v>0</v>
      </c>
      <c r="AB31" s="620" cm="1">
        <f t="array" aca="1" ref="AB31" ca="1">IF(AUTOEVENTO="Manual",ROUND(SUMPRODUCT((CÁLCULO!$M$15:$M$244=EVENTOS!$C31)*(OFFSET(CÁLCULO!$AQ$15:$AQ$244,0,AB$13))),2),0)</f>
        <v>0</v>
      </c>
      <c r="AC31" s="620" cm="1">
        <f t="array" aca="1" ref="AC31" ca="1">IF(AUTOEVENTO="Manual",ROUND(SUMPRODUCT((CÁLCULO!$M$15:$M$244=EVENTOS!$C31)*(OFFSET(CÁLCULO!$AQ$15:$AQ$244,0,AC$13))),2),0)</f>
        <v>0</v>
      </c>
      <c r="AD31" s="620" cm="1">
        <f t="array" aca="1" ref="AD31" ca="1">IF(AUTOEVENTO="Manual",ROUND(SUMPRODUCT((CÁLCULO!$M$15:$M$244=EVENTOS!$C31)*(OFFSET(CÁLCULO!$AQ$15:$AQ$244,0,AD$13))),2),0)</f>
        <v>0</v>
      </c>
      <c r="AE31" s="620" cm="1">
        <f t="array" aca="1" ref="AE31" ca="1">IF(AUTOEVENTO="Manual",ROUND(SUMPRODUCT((CÁLCULO!$M$15:$M$244=EVENTOS!$C31)*(OFFSET(CÁLCULO!$AQ$15:$AQ$244,0,AE$13))),2),0)</f>
        <v>0</v>
      </c>
      <c r="AF31" s="620" cm="1">
        <f t="array" aca="1" ref="AF31" ca="1">IF(AUTOEVENTO="Manual",ROUND(SUMPRODUCT((CÁLCULO!$M$15:$M$244=EVENTOS!$C31)*(OFFSET(CÁLCULO!$AQ$15:$AQ$244,0,AF$13))),2),0)</f>
        <v>0</v>
      </c>
      <c r="AG31" s="620" cm="1">
        <f t="array" aca="1" ref="AG31" ca="1">IF(AUTOEVENTO="Manual",ROUND(SUMPRODUCT((CÁLCULO!$M$15:$M$244=EVENTOS!$C31)*(OFFSET(CÁLCULO!$AQ$15:$AQ$244,0,AG$13))),2),0)</f>
        <v>0</v>
      </c>
      <c r="AH31" s="620" cm="1">
        <f t="array" aca="1" ref="AH31" ca="1">IF(AUTOEVENTO="Manual",ROUND(SUMPRODUCT((CÁLCULO!$M$15:$M$244=EVENTOS!$C31)*(OFFSET(CÁLCULO!$AQ$15:$AQ$244,0,AH$13))),2),0)</f>
        <v>0</v>
      </c>
      <c r="AI31" s="620" cm="1">
        <f t="array" aca="1" ref="AI31" ca="1">IF(AUTOEVENTO="Manual",ROUND(SUMPRODUCT((CÁLCULO!$M$15:$M$244=EVENTOS!$C31)*(OFFSET(CÁLCULO!$AQ$15:$AQ$244,0,AI$13))),2),0)</f>
        <v>0</v>
      </c>
    </row>
    <row r="32" spans="1:35" x14ac:dyDescent="0.2">
      <c r="A32" s="506" t="str">
        <f t="shared" si="3"/>
        <v/>
      </c>
      <c r="B32" t="str">
        <f t="shared" ca="1" si="4"/>
        <v/>
      </c>
      <c r="C32" s="182" t="str" cm="1">
        <f t="array" aca="1" ref="C32" ca="1">IF(OR(ROW(C32)=ROW(EVENTOS.firstrow)+1,AND(OFFSET(C32,-1,0)&lt;&gt;" ",OFFSET(C32,-1,1)&lt;&gt;"")),OFFSET(C32,-1,0)+1," ")</f>
        <v xml:space="preserve"> </v>
      </c>
      <c r="D32" s="496"/>
      <c r="E32" s="620" cm="1">
        <f t="array" aca="1" ref="E32" ca="1">IF(AUTOEVENTO="Manual",ROUND(SUMPRODUCT((CÁLCULO!$M$15:$M$244=EVENTOS!$C32)*(OFFSET(CÁLCULO!$AQ$15:$AQ$244,0,E$13))),2),0)</f>
        <v>0</v>
      </c>
      <c r="F32" s="183">
        <f ca="1">IF(AUTOEVENTO="Manual",ROUND(SUMPRODUCT((CÁLCULO!$M$15:$M$244=EVENTOS!$C32)*(OFFSET(CÁLCULO!$AQ$15,0,1):OFFSET(CÁLCULO!$BR$244,0,-1))),2),0)</f>
        <v>0</v>
      </c>
      <c r="G32" s="621" t="str">
        <f t="shared" ca="1" si="5"/>
        <v/>
      </c>
      <c r="H32" s="620" cm="1">
        <f t="array" aca="1" ref="H32" ca="1">IF(AUTOEVENTO="Manual",ROUND(SUMPRODUCT((CÁLCULO!$M$15:$M$244=EVENTOS!$C32)*(OFFSET(CÁLCULO!$AQ$15:$AQ$244,0,H$13))),2),0)</f>
        <v>0</v>
      </c>
      <c r="I32" s="620" cm="1">
        <f t="array" aca="1" ref="I32" ca="1">IF(AUTOEVENTO="Manual",ROUND(SUMPRODUCT((CÁLCULO!$M$15:$M$244=EVENTOS!$C32)*(OFFSET(CÁLCULO!$AQ$15:$AQ$244,0,I$13))),2),0)</f>
        <v>0</v>
      </c>
      <c r="J32" s="620" cm="1">
        <f t="array" aca="1" ref="J32" ca="1">IF(AUTOEVENTO="Manual",ROUND(SUMPRODUCT((CÁLCULO!$M$15:$M$244=EVENTOS!$C32)*(OFFSET(CÁLCULO!$AQ$15:$AQ$244,0,J$13))),2),0)</f>
        <v>0</v>
      </c>
      <c r="K32" s="620" cm="1">
        <f t="array" aca="1" ref="K32" ca="1">IF(AUTOEVENTO="Manual",ROUND(SUMPRODUCT((CÁLCULO!$M$15:$M$244=EVENTOS!$C32)*(OFFSET(CÁLCULO!$AQ$15:$AQ$244,0,K$13))),2),0)</f>
        <v>0</v>
      </c>
      <c r="L32" s="620" cm="1">
        <f t="array" aca="1" ref="L32" ca="1">IF(AUTOEVENTO="Manual",ROUND(SUMPRODUCT((CÁLCULO!$M$15:$M$244=EVENTOS!$C32)*(OFFSET(CÁLCULO!$AQ$15:$AQ$244,0,L$13))),2),0)</f>
        <v>0</v>
      </c>
      <c r="M32" s="620" cm="1">
        <f t="array" aca="1" ref="M32" ca="1">IF(AUTOEVENTO="Manual",ROUND(SUMPRODUCT((CÁLCULO!$M$15:$M$244=EVENTOS!$C32)*(OFFSET(CÁLCULO!$AQ$15:$AQ$244,0,M$13))),2),0)</f>
        <v>0</v>
      </c>
      <c r="N32" s="620" cm="1">
        <f t="array" aca="1" ref="N32" ca="1">IF(AUTOEVENTO="Manual",ROUND(SUMPRODUCT((CÁLCULO!$M$15:$M$244=EVENTOS!$C32)*(OFFSET(CÁLCULO!$AQ$15:$AQ$244,0,N$13))),2),0)</f>
        <v>0</v>
      </c>
      <c r="O32" s="620" cm="1">
        <f t="array" aca="1" ref="O32" ca="1">IF(AUTOEVENTO="Manual",ROUND(SUMPRODUCT((CÁLCULO!$M$15:$M$244=EVENTOS!$C32)*(OFFSET(CÁLCULO!$AQ$15:$AQ$244,0,O$13))),2),0)</f>
        <v>0</v>
      </c>
      <c r="P32" s="620" cm="1">
        <f t="array" aca="1" ref="P32" ca="1">IF(AUTOEVENTO="Manual",ROUND(SUMPRODUCT((CÁLCULO!$M$15:$M$244=EVENTOS!$C32)*(OFFSET(CÁLCULO!$AQ$15:$AQ$244,0,P$13))),2),0)</f>
        <v>0</v>
      </c>
      <c r="Q32" s="620" cm="1">
        <f t="array" aca="1" ref="Q32" ca="1">IF(AUTOEVENTO="Manual",ROUND(SUMPRODUCT((CÁLCULO!$M$15:$M$244=EVENTOS!$C32)*(OFFSET(CÁLCULO!$AQ$15:$AQ$244,0,Q$13))),2),0)</f>
        <v>0</v>
      </c>
      <c r="R32" s="620" cm="1">
        <f t="array" aca="1" ref="R32" ca="1">IF(AUTOEVENTO="Manual",ROUND(SUMPRODUCT((CÁLCULO!$M$15:$M$244=EVENTOS!$C32)*(OFFSET(CÁLCULO!$AQ$15:$AQ$244,0,R$13))),2),0)</f>
        <v>0</v>
      </c>
      <c r="S32" s="620" cm="1">
        <f t="array" aca="1" ref="S32" ca="1">IF(AUTOEVENTO="Manual",ROUND(SUMPRODUCT((CÁLCULO!$M$15:$M$244=EVENTOS!$C32)*(OFFSET(CÁLCULO!$AQ$15:$AQ$244,0,S$13))),2),0)</f>
        <v>0</v>
      </c>
      <c r="T32" s="620" cm="1">
        <f t="array" aca="1" ref="T32" ca="1">IF(AUTOEVENTO="Manual",ROUND(SUMPRODUCT((CÁLCULO!$M$15:$M$244=EVENTOS!$C32)*(OFFSET(CÁLCULO!$AQ$15:$AQ$244,0,T$13))),2),0)</f>
        <v>0</v>
      </c>
      <c r="U32" s="620" cm="1">
        <f t="array" aca="1" ref="U32" ca="1">IF(AUTOEVENTO="Manual",ROUND(SUMPRODUCT((CÁLCULO!$M$15:$M$244=EVENTOS!$C32)*(OFFSET(CÁLCULO!$AQ$15:$AQ$244,0,U$13))),2),0)</f>
        <v>0</v>
      </c>
      <c r="V32" s="620" cm="1">
        <f t="array" aca="1" ref="V32" ca="1">IF(AUTOEVENTO="Manual",ROUND(SUMPRODUCT((CÁLCULO!$M$15:$M$244=EVENTOS!$C32)*(OFFSET(CÁLCULO!$AQ$15:$AQ$244,0,V$13))),2),0)</f>
        <v>0</v>
      </c>
      <c r="W32" s="620" cm="1">
        <f t="array" aca="1" ref="W32" ca="1">IF(AUTOEVENTO="Manual",ROUND(SUMPRODUCT((CÁLCULO!$M$15:$M$244=EVENTOS!$C32)*(OFFSET(CÁLCULO!$AQ$15:$AQ$244,0,W$13))),2),0)</f>
        <v>0</v>
      </c>
      <c r="X32" s="620" cm="1">
        <f t="array" aca="1" ref="X32" ca="1">IF(AUTOEVENTO="Manual",ROUND(SUMPRODUCT((CÁLCULO!$M$15:$M$244=EVENTOS!$C32)*(OFFSET(CÁLCULO!$AQ$15:$AQ$244,0,X$13))),2),0)</f>
        <v>0</v>
      </c>
      <c r="Y32" s="620" cm="1">
        <f t="array" aca="1" ref="Y32" ca="1">IF(AUTOEVENTO="Manual",ROUND(SUMPRODUCT((CÁLCULO!$M$15:$M$244=EVENTOS!$C32)*(OFFSET(CÁLCULO!$AQ$15:$AQ$244,0,Y$13))),2),0)</f>
        <v>0</v>
      </c>
      <c r="Z32" s="620" cm="1">
        <f t="array" aca="1" ref="Z32" ca="1">IF(AUTOEVENTO="Manual",ROUND(SUMPRODUCT((CÁLCULO!$M$15:$M$244=EVENTOS!$C32)*(OFFSET(CÁLCULO!$AQ$15:$AQ$244,0,Z$13))),2),0)</f>
        <v>0</v>
      </c>
      <c r="AA32" s="620" cm="1">
        <f t="array" aca="1" ref="AA32" ca="1">IF(AUTOEVENTO="Manual",ROUND(SUMPRODUCT((CÁLCULO!$M$15:$M$244=EVENTOS!$C32)*(OFFSET(CÁLCULO!$AQ$15:$AQ$244,0,AA$13))),2),0)</f>
        <v>0</v>
      </c>
      <c r="AB32" s="620" cm="1">
        <f t="array" aca="1" ref="AB32" ca="1">IF(AUTOEVENTO="Manual",ROUND(SUMPRODUCT((CÁLCULO!$M$15:$M$244=EVENTOS!$C32)*(OFFSET(CÁLCULO!$AQ$15:$AQ$244,0,AB$13))),2),0)</f>
        <v>0</v>
      </c>
      <c r="AC32" s="620" cm="1">
        <f t="array" aca="1" ref="AC32" ca="1">IF(AUTOEVENTO="Manual",ROUND(SUMPRODUCT((CÁLCULO!$M$15:$M$244=EVENTOS!$C32)*(OFFSET(CÁLCULO!$AQ$15:$AQ$244,0,AC$13))),2),0)</f>
        <v>0</v>
      </c>
      <c r="AD32" s="620" cm="1">
        <f t="array" aca="1" ref="AD32" ca="1">IF(AUTOEVENTO="Manual",ROUND(SUMPRODUCT((CÁLCULO!$M$15:$M$244=EVENTOS!$C32)*(OFFSET(CÁLCULO!$AQ$15:$AQ$244,0,AD$13))),2),0)</f>
        <v>0</v>
      </c>
      <c r="AE32" s="620" cm="1">
        <f t="array" aca="1" ref="AE32" ca="1">IF(AUTOEVENTO="Manual",ROUND(SUMPRODUCT((CÁLCULO!$M$15:$M$244=EVENTOS!$C32)*(OFFSET(CÁLCULO!$AQ$15:$AQ$244,0,AE$13))),2),0)</f>
        <v>0</v>
      </c>
      <c r="AF32" s="620" cm="1">
        <f t="array" aca="1" ref="AF32" ca="1">IF(AUTOEVENTO="Manual",ROUND(SUMPRODUCT((CÁLCULO!$M$15:$M$244=EVENTOS!$C32)*(OFFSET(CÁLCULO!$AQ$15:$AQ$244,0,AF$13))),2),0)</f>
        <v>0</v>
      </c>
      <c r="AG32" s="620" cm="1">
        <f t="array" aca="1" ref="AG32" ca="1">IF(AUTOEVENTO="Manual",ROUND(SUMPRODUCT((CÁLCULO!$M$15:$M$244=EVENTOS!$C32)*(OFFSET(CÁLCULO!$AQ$15:$AQ$244,0,AG$13))),2),0)</f>
        <v>0</v>
      </c>
      <c r="AH32" s="620" cm="1">
        <f t="array" aca="1" ref="AH32" ca="1">IF(AUTOEVENTO="Manual",ROUND(SUMPRODUCT((CÁLCULO!$M$15:$M$244=EVENTOS!$C32)*(OFFSET(CÁLCULO!$AQ$15:$AQ$244,0,AH$13))),2),0)</f>
        <v>0</v>
      </c>
      <c r="AI32" s="620" cm="1">
        <f t="array" aca="1" ref="AI32" ca="1">IF(AUTOEVENTO="Manual",ROUND(SUMPRODUCT((CÁLCULO!$M$15:$M$244=EVENTOS!$C32)*(OFFSET(CÁLCULO!$AQ$15:$AQ$244,0,AI$13))),2),0)</f>
        <v>0</v>
      </c>
    </row>
    <row r="33" spans="1:35" x14ac:dyDescent="0.2">
      <c r="A33" s="506" t="str">
        <f t="shared" si="3"/>
        <v/>
      </c>
      <c r="B33" t="str">
        <f t="shared" ca="1" si="4"/>
        <v/>
      </c>
      <c r="C33" s="182" t="str" cm="1">
        <f t="array" aca="1" ref="C33" ca="1">IF(OR(ROW(C33)=ROW(EVENTOS.firstrow)+1,AND(OFFSET(C33,-1,0)&lt;&gt;" ",OFFSET(C33,-1,1)&lt;&gt;"")),OFFSET(C33,-1,0)+1," ")</f>
        <v xml:space="preserve"> </v>
      </c>
      <c r="D33" s="496"/>
      <c r="E33" s="620" cm="1">
        <f t="array" aca="1" ref="E33" ca="1">IF(AUTOEVENTO="Manual",ROUND(SUMPRODUCT((CÁLCULO!$M$15:$M$244=EVENTOS!$C33)*(OFFSET(CÁLCULO!$AQ$15:$AQ$244,0,E$13))),2),0)</f>
        <v>0</v>
      </c>
      <c r="F33" s="183">
        <f ca="1">IF(AUTOEVENTO="Manual",ROUND(SUMPRODUCT((CÁLCULO!$M$15:$M$244=EVENTOS!$C33)*(OFFSET(CÁLCULO!$AQ$15,0,1):OFFSET(CÁLCULO!$BR$244,0,-1))),2),0)</f>
        <v>0</v>
      </c>
      <c r="G33" s="621" t="str">
        <f t="shared" ca="1" si="5"/>
        <v/>
      </c>
      <c r="H33" s="620" cm="1">
        <f t="array" aca="1" ref="H33" ca="1">IF(AUTOEVENTO="Manual",ROUND(SUMPRODUCT((CÁLCULO!$M$15:$M$244=EVENTOS!$C33)*(OFFSET(CÁLCULO!$AQ$15:$AQ$244,0,H$13))),2),0)</f>
        <v>0</v>
      </c>
      <c r="I33" s="620" cm="1">
        <f t="array" aca="1" ref="I33" ca="1">IF(AUTOEVENTO="Manual",ROUND(SUMPRODUCT((CÁLCULO!$M$15:$M$244=EVENTOS!$C33)*(OFFSET(CÁLCULO!$AQ$15:$AQ$244,0,I$13))),2),0)</f>
        <v>0</v>
      </c>
      <c r="J33" s="620" cm="1">
        <f t="array" aca="1" ref="J33" ca="1">IF(AUTOEVENTO="Manual",ROUND(SUMPRODUCT((CÁLCULO!$M$15:$M$244=EVENTOS!$C33)*(OFFSET(CÁLCULO!$AQ$15:$AQ$244,0,J$13))),2),0)</f>
        <v>0</v>
      </c>
      <c r="K33" s="620" cm="1">
        <f t="array" aca="1" ref="K33" ca="1">IF(AUTOEVENTO="Manual",ROUND(SUMPRODUCT((CÁLCULO!$M$15:$M$244=EVENTOS!$C33)*(OFFSET(CÁLCULO!$AQ$15:$AQ$244,0,K$13))),2),0)</f>
        <v>0</v>
      </c>
      <c r="L33" s="620" cm="1">
        <f t="array" aca="1" ref="L33" ca="1">IF(AUTOEVENTO="Manual",ROUND(SUMPRODUCT((CÁLCULO!$M$15:$M$244=EVENTOS!$C33)*(OFFSET(CÁLCULO!$AQ$15:$AQ$244,0,L$13))),2),0)</f>
        <v>0</v>
      </c>
      <c r="M33" s="620" cm="1">
        <f t="array" aca="1" ref="M33" ca="1">IF(AUTOEVENTO="Manual",ROUND(SUMPRODUCT((CÁLCULO!$M$15:$M$244=EVENTOS!$C33)*(OFFSET(CÁLCULO!$AQ$15:$AQ$244,0,M$13))),2),0)</f>
        <v>0</v>
      </c>
      <c r="N33" s="620" cm="1">
        <f t="array" aca="1" ref="N33" ca="1">IF(AUTOEVENTO="Manual",ROUND(SUMPRODUCT((CÁLCULO!$M$15:$M$244=EVENTOS!$C33)*(OFFSET(CÁLCULO!$AQ$15:$AQ$244,0,N$13))),2),0)</f>
        <v>0</v>
      </c>
      <c r="O33" s="620" cm="1">
        <f t="array" aca="1" ref="O33" ca="1">IF(AUTOEVENTO="Manual",ROUND(SUMPRODUCT((CÁLCULO!$M$15:$M$244=EVENTOS!$C33)*(OFFSET(CÁLCULO!$AQ$15:$AQ$244,0,O$13))),2),0)</f>
        <v>0</v>
      </c>
      <c r="P33" s="620" cm="1">
        <f t="array" aca="1" ref="P33" ca="1">IF(AUTOEVENTO="Manual",ROUND(SUMPRODUCT((CÁLCULO!$M$15:$M$244=EVENTOS!$C33)*(OFFSET(CÁLCULO!$AQ$15:$AQ$244,0,P$13))),2),0)</f>
        <v>0</v>
      </c>
      <c r="Q33" s="620" cm="1">
        <f t="array" aca="1" ref="Q33" ca="1">IF(AUTOEVENTO="Manual",ROUND(SUMPRODUCT((CÁLCULO!$M$15:$M$244=EVENTOS!$C33)*(OFFSET(CÁLCULO!$AQ$15:$AQ$244,0,Q$13))),2),0)</f>
        <v>0</v>
      </c>
      <c r="R33" s="620" cm="1">
        <f t="array" aca="1" ref="R33" ca="1">IF(AUTOEVENTO="Manual",ROUND(SUMPRODUCT((CÁLCULO!$M$15:$M$244=EVENTOS!$C33)*(OFFSET(CÁLCULO!$AQ$15:$AQ$244,0,R$13))),2),0)</f>
        <v>0</v>
      </c>
      <c r="S33" s="620" cm="1">
        <f t="array" aca="1" ref="S33" ca="1">IF(AUTOEVENTO="Manual",ROUND(SUMPRODUCT((CÁLCULO!$M$15:$M$244=EVENTOS!$C33)*(OFFSET(CÁLCULO!$AQ$15:$AQ$244,0,S$13))),2),0)</f>
        <v>0</v>
      </c>
      <c r="T33" s="620" cm="1">
        <f t="array" aca="1" ref="T33" ca="1">IF(AUTOEVENTO="Manual",ROUND(SUMPRODUCT((CÁLCULO!$M$15:$M$244=EVENTOS!$C33)*(OFFSET(CÁLCULO!$AQ$15:$AQ$244,0,T$13))),2),0)</f>
        <v>0</v>
      </c>
      <c r="U33" s="620" cm="1">
        <f t="array" aca="1" ref="U33" ca="1">IF(AUTOEVENTO="Manual",ROUND(SUMPRODUCT((CÁLCULO!$M$15:$M$244=EVENTOS!$C33)*(OFFSET(CÁLCULO!$AQ$15:$AQ$244,0,U$13))),2),0)</f>
        <v>0</v>
      </c>
      <c r="V33" s="620" cm="1">
        <f t="array" aca="1" ref="V33" ca="1">IF(AUTOEVENTO="Manual",ROUND(SUMPRODUCT((CÁLCULO!$M$15:$M$244=EVENTOS!$C33)*(OFFSET(CÁLCULO!$AQ$15:$AQ$244,0,V$13))),2),0)</f>
        <v>0</v>
      </c>
      <c r="W33" s="620" cm="1">
        <f t="array" aca="1" ref="W33" ca="1">IF(AUTOEVENTO="Manual",ROUND(SUMPRODUCT((CÁLCULO!$M$15:$M$244=EVENTOS!$C33)*(OFFSET(CÁLCULO!$AQ$15:$AQ$244,0,W$13))),2),0)</f>
        <v>0</v>
      </c>
      <c r="X33" s="620" cm="1">
        <f t="array" aca="1" ref="X33" ca="1">IF(AUTOEVENTO="Manual",ROUND(SUMPRODUCT((CÁLCULO!$M$15:$M$244=EVENTOS!$C33)*(OFFSET(CÁLCULO!$AQ$15:$AQ$244,0,X$13))),2),0)</f>
        <v>0</v>
      </c>
      <c r="Y33" s="620" cm="1">
        <f t="array" aca="1" ref="Y33" ca="1">IF(AUTOEVENTO="Manual",ROUND(SUMPRODUCT((CÁLCULO!$M$15:$M$244=EVENTOS!$C33)*(OFFSET(CÁLCULO!$AQ$15:$AQ$244,0,Y$13))),2),0)</f>
        <v>0</v>
      </c>
      <c r="Z33" s="620" cm="1">
        <f t="array" aca="1" ref="Z33" ca="1">IF(AUTOEVENTO="Manual",ROUND(SUMPRODUCT((CÁLCULO!$M$15:$M$244=EVENTOS!$C33)*(OFFSET(CÁLCULO!$AQ$15:$AQ$244,0,Z$13))),2),0)</f>
        <v>0</v>
      </c>
      <c r="AA33" s="620" cm="1">
        <f t="array" aca="1" ref="AA33" ca="1">IF(AUTOEVENTO="Manual",ROUND(SUMPRODUCT((CÁLCULO!$M$15:$M$244=EVENTOS!$C33)*(OFFSET(CÁLCULO!$AQ$15:$AQ$244,0,AA$13))),2),0)</f>
        <v>0</v>
      </c>
      <c r="AB33" s="620" cm="1">
        <f t="array" aca="1" ref="AB33" ca="1">IF(AUTOEVENTO="Manual",ROUND(SUMPRODUCT((CÁLCULO!$M$15:$M$244=EVENTOS!$C33)*(OFFSET(CÁLCULO!$AQ$15:$AQ$244,0,AB$13))),2),0)</f>
        <v>0</v>
      </c>
      <c r="AC33" s="620" cm="1">
        <f t="array" aca="1" ref="AC33" ca="1">IF(AUTOEVENTO="Manual",ROUND(SUMPRODUCT((CÁLCULO!$M$15:$M$244=EVENTOS!$C33)*(OFFSET(CÁLCULO!$AQ$15:$AQ$244,0,AC$13))),2),0)</f>
        <v>0</v>
      </c>
      <c r="AD33" s="620" cm="1">
        <f t="array" aca="1" ref="AD33" ca="1">IF(AUTOEVENTO="Manual",ROUND(SUMPRODUCT((CÁLCULO!$M$15:$M$244=EVENTOS!$C33)*(OFFSET(CÁLCULO!$AQ$15:$AQ$244,0,AD$13))),2),0)</f>
        <v>0</v>
      </c>
      <c r="AE33" s="620" cm="1">
        <f t="array" aca="1" ref="AE33" ca="1">IF(AUTOEVENTO="Manual",ROUND(SUMPRODUCT((CÁLCULO!$M$15:$M$244=EVENTOS!$C33)*(OFFSET(CÁLCULO!$AQ$15:$AQ$244,0,AE$13))),2),0)</f>
        <v>0</v>
      </c>
      <c r="AF33" s="620" cm="1">
        <f t="array" aca="1" ref="AF33" ca="1">IF(AUTOEVENTO="Manual",ROUND(SUMPRODUCT((CÁLCULO!$M$15:$M$244=EVENTOS!$C33)*(OFFSET(CÁLCULO!$AQ$15:$AQ$244,0,AF$13))),2),0)</f>
        <v>0</v>
      </c>
      <c r="AG33" s="620" cm="1">
        <f t="array" aca="1" ref="AG33" ca="1">IF(AUTOEVENTO="Manual",ROUND(SUMPRODUCT((CÁLCULO!$M$15:$M$244=EVENTOS!$C33)*(OFFSET(CÁLCULO!$AQ$15:$AQ$244,0,AG$13))),2),0)</f>
        <v>0</v>
      </c>
      <c r="AH33" s="620" cm="1">
        <f t="array" aca="1" ref="AH33" ca="1">IF(AUTOEVENTO="Manual",ROUND(SUMPRODUCT((CÁLCULO!$M$15:$M$244=EVENTOS!$C33)*(OFFSET(CÁLCULO!$AQ$15:$AQ$244,0,AH$13))),2),0)</f>
        <v>0</v>
      </c>
      <c r="AI33" s="620" cm="1">
        <f t="array" aca="1" ref="AI33" ca="1">IF(AUTOEVENTO="Manual",ROUND(SUMPRODUCT((CÁLCULO!$M$15:$M$244=EVENTOS!$C33)*(OFFSET(CÁLCULO!$AQ$15:$AQ$244,0,AI$13))),2),0)</f>
        <v>0</v>
      </c>
    </row>
    <row r="34" spans="1:35" x14ac:dyDescent="0.2">
      <c r="A34" s="506" t="str">
        <f t="shared" si="3"/>
        <v/>
      </c>
      <c r="B34" t="str">
        <f t="shared" ca="1" si="4"/>
        <v/>
      </c>
      <c r="C34" s="182" t="str" cm="1">
        <f t="array" aca="1" ref="C34" ca="1">IF(OR(ROW(C34)=ROW(EVENTOS.firstrow)+1,AND(OFFSET(C34,-1,0)&lt;&gt;" ",OFFSET(C34,-1,1)&lt;&gt;"")),OFFSET(C34,-1,0)+1," ")</f>
        <v xml:space="preserve"> </v>
      </c>
      <c r="D34" s="496"/>
      <c r="E34" s="620" cm="1">
        <f t="array" aca="1" ref="E34" ca="1">IF(AUTOEVENTO="Manual",ROUND(SUMPRODUCT((CÁLCULO!$M$15:$M$244=EVENTOS!$C34)*(OFFSET(CÁLCULO!$AQ$15:$AQ$244,0,E$13))),2),0)</f>
        <v>0</v>
      </c>
      <c r="F34" s="183">
        <f ca="1">IF(AUTOEVENTO="Manual",ROUND(SUMPRODUCT((CÁLCULO!$M$15:$M$244=EVENTOS!$C34)*(OFFSET(CÁLCULO!$AQ$15,0,1):OFFSET(CÁLCULO!$BR$244,0,-1))),2),0)</f>
        <v>0</v>
      </c>
      <c r="G34" s="621" t="str">
        <f t="shared" ca="1" si="5"/>
        <v/>
      </c>
      <c r="H34" s="620" cm="1">
        <f t="array" aca="1" ref="H34" ca="1">IF(AUTOEVENTO="Manual",ROUND(SUMPRODUCT((CÁLCULO!$M$15:$M$244=EVENTOS!$C34)*(OFFSET(CÁLCULO!$AQ$15:$AQ$244,0,H$13))),2),0)</f>
        <v>0</v>
      </c>
      <c r="I34" s="620" cm="1">
        <f t="array" aca="1" ref="I34" ca="1">IF(AUTOEVENTO="Manual",ROUND(SUMPRODUCT((CÁLCULO!$M$15:$M$244=EVENTOS!$C34)*(OFFSET(CÁLCULO!$AQ$15:$AQ$244,0,I$13))),2),0)</f>
        <v>0</v>
      </c>
      <c r="J34" s="620" cm="1">
        <f t="array" aca="1" ref="J34" ca="1">IF(AUTOEVENTO="Manual",ROUND(SUMPRODUCT((CÁLCULO!$M$15:$M$244=EVENTOS!$C34)*(OFFSET(CÁLCULO!$AQ$15:$AQ$244,0,J$13))),2),0)</f>
        <v>0</v>
      </c>
      <c r="K34" s="620" cm="1">
        <f t="array" aca="1" ref="K34" ca="1">IF(AUTOEVENTO="Manual",ROUND(SUMPRODUCT((CÁLCULO!$M$15:$M$244=EVENTOS!$C34)*(OFFSET(CÁLCULO!$AQ$15:$AQ$244,0,K$13))),2),0)</f>
        <v>0</v>
      </c>
      <c r="L34" s="620" cm="1">
        <f t="array" aca="1" ref="L34" ca="1">IF(AUTOEVENTO="Manual",ROUND(SUMPRODUCT((CÁLCULO!$M$15:$M$244=EVENTOS!$C34)*(OFFSET(CÁLCULO!$AQ$15:$AQ$244,0,L$13))),2),0)</f>
        <v>0</v>
      </c>
      <c r="M34" s="620" cm="1">
        <f t="array" aca="1" ref="M34" ca="1">IF(AUTOEVENTO="Manual",ROUND(SUMPRODUCT((CÁLCULO!$M$15:$M$244=EVENTOS!$C34)*(OFFSET(CÁLCULO!$AQ$15:$AQ$244,0,M$13))),2),0)</f>
        <v>0</v>
      </c>
      <c r="N34" s="620" cm="1">
        <f t="array" aca="1" ref="N34" ca="1">IF(AUTOEVENTO="Manual",ROUND(SUMPRODUCT((CÁLCULO!$M$15:$M$244=EVENTOS!$C34)*(OFFSET(CÁLCULO!$AQ$15:$AQ$244,0,N$13))),2),0)</f>
        <v>0</v>
      </c>
      <c r="O34" s="620" cm="1">
        <f t="array" aca="1" ref="O34" ca="1">IF(AUTOEVENTO="Manual",ROUND(SUMPRODUCT((CÁLCULO!$M$15:$M$244=EVENTOS!$C34)*(OFFSET(CÁLCULO!$AQ$15:$AQ$244,0,O$13))),2),0)</f>
        <v>0</v>
      </c>
      <c r="P34" s="620" cm="1">
        <f t="array" aca="1" ref="P34" ca="1">IF(AUTOEVENTO="Manual",ROUND(SUMPRODUCT((CÁLCULO!$M$15:$M$244=EVENTOS!$C34)*(OFFSET(CÁLCULO!$AQ$15:$AQ$244,0,P$13))),2),0)</f>
        <v>0</v>
      </c>
      <c r="Q34" s="620" cm="1">
        <f t="array" aca="1" ref="Q34" ca="1">IF(AUTOEVENTO="Manual",ROUND(SUMPRODUCT((CÁLCULO!$M$15:$M$244=EVENTOS!$C34)*(OFFSET(CÁLCULO!$AQ$15:$AQ$244,0,Q$13))),2),0)</f>
        <v>0</v>
      </c>
      <c r="R34" s="620" cm="1">
        <f t="array" aca="1" ref="R34" ca="1">IF(AUTOEVENTO="Manual",ROUND(SUMPRODUCT((CÁLCULO!$M$15:$M$244=EVENTOS!$C34)*(OFFSET(CÁLCULO!$AQ$15:$AQ$244,0,R$13))),2),0)</f>
        <v>0</v>
      </c>
      <c r="S34" s="620" cm="1">
        <f t="array" aca="1" ref="S34" ca="1">IF(AUTOEVENTO="Manual",ROUND(SUMPRODUCT((CÁLCULO!$M$15:$M$244=EVENTOS!$C34)*(OFFSET(CÁLCULO!$AQ$15:$AQ$244,0,S$13))),2),0)</f>
        <v>0</v>
      </c>
      <c r="T34" s="620" cm="1">
        <f t="array" aca="1" ref="T34" ca="1">IF(AUTOEVENTO="Manual",ROUND(SUMPRODUCT((CÁLCULO!$M$15:$M$244=EVENTOS!$C34)*(OFFSET(CÁLCULO!$AQ$15:$AQ$244,0,T$13))),2),0)</f>
        <v>0</v>
      </c>
      <c r="U34" s="620" cm="1">
        <f t="array" aca="1" ref="U34" ca="1">IF(AUTOEVENTO="Manual",ROUND(SUMPRODUCT((CÁLCULO!$M$15:$M$244=EVENTOS!$C34)*(OFFSET(CÁLCULO!$AQ$15:$AQ$244,0,U$13))),2),0)</f>
        <v>0</v>
      </c>
      <c r="V34" s="620" cm="1">
        <f t="array" aca="1" ref="V34" ca="1">IF(AUTOEVENTO="Manual",ROUND(SUMPRODUCT((CÁLCULO!$M$15:$M$244=EVENTOS!$C34)*(OFFSET(CÁLCULO!$AQ$15:$AQ$244,0,V$13))),2),0)</f>
        <v>0</v>
      </c>
      <c r="W34" s="620" cm="1">
        <f t="array" aca="1" ref="W34" ca="1">IF(AUTOEVENTO="Manual",ROUND(SUMPRODUCT((CÁLCULO!$M$15:$M$244=EVENTOS!$C34)*(OFFSET(CÁLCULO!$AQ$15:$AQ$244,0,W$13))),2),0)</f>
        <v>0</v>
      </c>
      <c r="X34" s="620" cm="1">
        <f t="array" aca="1" ref="X34" ca="1">IF(AUTOEVENTO="Manual",ROUND(SUMPRODUCT((CÁLCULO!$M$15:$M$244=EVENTOS!$C34)*(OFFSET(CÁLCULO!$AQ$15:$AQ$244,0,X$13))),2),0)</f>
        <v>0</v>
      </c>
      <c r="Y34" s="620" cm="1">
        <f t="array" aca="1" ref="Y34" ca="1">IF(AUTOEVENTO="Manual",ROUND(SUMPRODUCT((CÁLCULO!$M$15:$M$244=EVENTOS!$C34)*(OFFSET(CÁLCULO!$AQ$15:$AQ$244,0,Y$13))),2),0)</f>
        <v>0</v>
      </c>
      <c r="Z34" s="620" cm="1">
        <f t="array" aca="1" ref="Z34" ca="1">IF(AUTOEVENTO="Manual",ROUND(SUMPRODUCT((CÁLCULO!$M$15:$M$244=EVENTOS!$C34)*(OFFSET(CÁLCULO!$AQ$15:$AQ$244,0,Z$13))),2),0)</f>
        <v>0</v>
      </c>
      <c r="AA34" s="620" cm="1">
        <f t="array" aca="1" ref="AA34" ca="1">IF(AUTOEVENTO="Manual",ROUND(SUMPRODUCT((CÁLCULO!$M$15:$M$244=EVENTOS!$C34)*(OFFSET(CÁLCULO!$AQ$15:$AQ$244,0,AA$13))),2),0)</f>
        <v>0</v>
      </c>
      <c r="AB34" s="620" cm="1">
        <f t="array" aca="1" ref="AB34" ca="1">IF(AUTOEVENTO="Manual",ROUND(SUMPRODUCT((CÁLCULO!$M$15:$M$244=EVENTOS!$C34)*(OFFSET(CÁLCULO!$AQ$15:$AQ$244,0,AB$13))),2),0)</f>
        <v>0</v>
      </c>
      <c r="AC34" s="620" cm="1">
        <f t="array" aca="1" ref="AC34" ca="1">IF(AUTOEVENTO="Manual",ROUND(SUMPRODUCT((CÁLCULO!$M$15:$M$244=EVENTOS!$C34)*(OFFSET(CÁLCULO!$AQ$15:$AQ$244,0,AC$13))),2),0)</f>
        <v>0</v>
      </c>
      <c r="AD34" s="620" cm="1">
        <f t="array" aca="1" ref="AD34" ca="1">IF(AUTOEVENTO="Manual",ROUND(SUMPRODUCT((CÁLCULO!$M$15:$M$244=EVENTOS!$C34)*(OFFSET(CÁLCULO!$AQ$15:$AQ$244,0,AD$13))),2),0)</f>
        <v>0</v>
      </c>
      <c r="AE34" s="620" cm="1">
        <f t="array" aca="1" ref="AE34" ca="1">IF(AUTOEVENTO="Manual",ROUND(SUMPRODUCT((CÁLCULO!$M$15:$M$244=EVENTOS!$C34)*(OFFSET(CÁLCULO!$AQ$15:$AQ$244,0,AE$13))),2),0)</f>
        <v>0</v>
      </c>
      <c r="AF34" s="620" cm="1">
        <f t="array" aca="1" ref="AF34" ca="1">IF(AUTOEVENTO="Manual",ROUND(SUMPRODUCT((CÁLCULO!$M$15:$M$244=EVENTOS!$C34)*(OFFSET(CÁLCULO!$AQ$15:$AQ$244,0,AF$13))),2),0)</f>
        <v>0</v>
      </c>
      <c r="AG34" s="620" cm="1">
        <f t="array" aca="1" ref="AG34" ca="1">IF(AUTOEVENTO="Manual",ROUND(SUMPRODUCT((CÁLCULO!$M$15:$M$244=EVENTOS!$C34)*(OFFSET(CÁLCULO!$AQ$15:$AQ$244,0,AG$13))),2),0)</f>
        <v>0</v>
      </c>
      <c r="AH34" s="620" cm="1">
        <f t="array" aca="1" ref="AH34" ca="1">IF(AUTOEVENTO="Manual",ROUND(SUMPRODUCT((CÁLCULO!$M$15:$M$244=EVENTOS!$C34)*(OFFSET(CÁLCULO!$AQ$15:$AQ$244,0,AH$13))),2),0)</f>
        <v>0</v>
      </c>
      <c r="AI34" s="620" cm="1">
        <f t="array" aca="1" ref="AI34" ca="1">IF(AUTOEVENTO="Manual",ROUND(SUMPRODUCT((CÁLCULO!$M$15:$M$244=EVENTOS!$C34)*(OFFSET(CÁLCULO!$AQ$15:$AQ$244,0,AI$13))),2),0)</f>
        <v>0</v>
      </c>
    </row>
    <row r="35" spans="1:35" x14ac:dyDescent="0.2">
      <c r="A35" s="506" t="str">
        <f t="shared" si="3"/>
        <v/>
      </c>
      <c r="B35" t="str">
        <f t="shared" ca="1" si="4"/>
        <v/>
      </c>
      <c r="C35" s="182" t="str" cm="1">
        <f t="array" aca="1" ref="C35" ca="1">IF(OR(ROW(C35)=ROW(EVENTOS.firstrow)+1,AND(OFFSET(C35,-1,0)&lt;&gt;" ",OFFSET(C35,-1,1)&lt;&gt;"")),OFFSET(C35,-1,0)+1," ")</f>
        <v xml:space="preserve"> </v>
      </c>
      <c r="D35" s="496"/>
      <c r="E35" s="620" cm="1">
        <f t="array" aca="1" ref="E35" ca="1">IF(AUTOEVENTO="Manual",ROUND(SUMPRODUCT((CÁLCULO!$M$15:$M$244=EVENTOS!$C35)*(OFFSET(CÁLCULO!$AQ$15:$AQ$244,0,E$13))),2),0)</f>
        <v>0</v>
      </c>
      <c r="F35" s="183">
        <f ca="1">IF(AUTOEVENTO="Manual",ROUND(SUMPRODUCT((CÁLCULO!$M$15:$M$244=EVENTOS!$C35)*(OFFSET(CÁLCULO!$AQ$15,0,1):OFFSET(CÁLCULO!$BR$244,0,-1))),2),0)</f>
        <v>0</v>
      </c>
      <c r="G35" s="621" t="str">
        <f t="shared" ca="1" si="5"/>
        <v/>
      </c>
      <c r="H35" s="620" cm="1">
        <f t="array" aca="1" ref="H35" ca="1">IF(AUTOEVENTO="Manual",ROUND(SUMPRODUCT((CÁLCULO!$M$15:$M$244=EVENTOS!$C35)*(OFFSET(CÁLCULO!$AQ$15:$AQ$244,0,H$13))),2),0)</f>
        <v>0</v>
      </c>
      <c r="I35" s="620" cm="1">
        <f t="array" aca="1" ref="I35" ca="1">IF(AUTOEVENTO="Manual",ROUND(SUMPRODUCT((CÁLCULO!$M$15:$M$244=EVENTOS!$C35)*(OFFSET(CÁLCULO!$AQ$15:$AQ$244,0,I$13))),2),0)</f>
        <v>0</v>
      </c>
      <c r="J35" s="620" cm="1">
        <f t="array" aca="1" ref="J35" ca="1">IF(AUTOEVENTO="Manual",ROUND(SUMPRODUCT((CÁLCULO!$M$15:$M$244=EVENTOS!$C35)*(OFFSET(CÁLCULO!$AQ$15:$AQ$244,0,J$13))),2),0)</f>
        <v>0</v>
      </c>
      <c r="K35" s="620" cm="1">
        <f t="array" aca="1" ref="K35" ca="1">IF(AUTOEVENTO="Manual",ROUND(SUMPRODUCT((CÁLCULO!$M$15:$M$244=EVENTOS!$C35)*(OFFSET(CÁLCULO!$AQ$15:$AQ$244,0,K$13))),2),0)</f>
        <v>0</v>
      </c>
      <c r="L35" s="620" cm="1">
        <f t="array" aca="1" ref="L35" ca="1">IF(AUTOEVENTO="Manual",ROUND(SUMPRODUCT((CÁLCULO!$M$15:$M$244=EVENTOS!$C35)*(OFFSET(CÁLCULO!$AQ$15:$AQ$244,0,L$13))),2),0)</f>
        <v>0</v>
      </c>
      <c r="M35" s="620" cm="1">
        <f t="array" aca="1" ref="M35" ca="1">IF(AUTOEVENTO="Manual",ROUND(SUMPRODUCT((CÁLCULO!$M$15:$M$244=EVENTOS!$C35)*(OFFSET(CÁLCULO!$AQ$15:$AQ$244,0,M$13))),2),0)</f>
        <v>0</v>
      </c>
      <c r="N35" s="620" cm="1">
        <f t="array" aca="1" ref="N35" ca="1">IF(AUTOEVENTO="Manual",ROUND(SUMPRODUCT((CÁLCULO!$M$15:$M$244=EVENTOS!$C35)*(OFFSET(CÁLCULO!$AQ$15:$AQ$244,0,N$13))),2),0)</f>
        <v>0</v>
      </c>
      <c r="O35" s="620" cm="1">
        <f t="array" aca="1" ref="O35" ca="1">IF(AUTOEVENTO="Manual",ROUND(SUMPRODUCT((CÁLCULO!$M$15:$M$244=EVENTOS!$C35)*(OFFSET(CÁLCULO!$AQ$15:$AQ$244,0,O$13))),2),0)</f>
        <v>0</v>
      </c>
      <c r="P35" s="620" cm="1">
        <f t="array" aca="1" ref="P35" ca="1">IF(AUTOEVENTO="Manual",ROUND(SUMPRODUCT((CÁLCULO!$M$15:$M$244=EVENTOS!$C35)*(OFFSET(CÁLCULO!$AQ$15:$AQ$244,0,P$13))),2),0)</f>
        <v>0</v>
      </c>
      <c r="Q35" s="620" cm="1">
        <f t="array" aca="1" ref="Q35" ca="1">IF(AUTOEVENTO="Manual",ROUND(SUMPRODUCT((CÁLCULO!$M$15:$M$244=EVENTOS!$C35)*(OFFSET(CÁLCULO!$AQ$15:$AQ$244,0,Q$13))),2),0)</f>
        <v>0</v>
      </c>
      <c r="R35" s="620" cm="1">
        <f t="array" aca="1" ref="R35" ca="1">IF(AUTOEVENTO="Manual",ROUND(SUMPRODUCT((CÁLCULO!$M$15:$M$244=EVENTOS!$C35)*(OFFSET(CÁLCULO!$AQ$15:$AQ$244,0,R$13))),2),0)</f>
        <v>0</v>
      </c>
      <c r="S35" s="620" cm="1">
        <f t="array" aca="1" ref="S35" ca="1">IF(AUTOEVENTO="Manual",ROUND(SUMPRODUCT((CÁLCULO!$M$15:$M$244=EVENTOS!$C35)*(OFFSET(CÁLCULO!$AQ$15:$AQ$244,0,S$13))),2),0)</f>
        <v>0</v>
      </c>
      <c r="T35" s="620" cm="1">
        <f t="array" aca="1" ref="T35" ca="1">IF(AUTOEVENTO="Manual",ROUND(SUMPRODUCT((CÁLCULO!$M$15:$M$244=EVENTOS!$C35)*(OFFSET(CÁLCULO!$AQ$15:$AQ$244,0,T$13))),2),0)</f>
        <v>0</v>
      </c>
      <c r="U35" s="620" cm="1">
        <f t="array" aca="1" ref="U35" ca="1">IF(AUTOEVENTO="Manual",ROUND(SUMPRODUCT((CÁLCULO!$M$15:$M$244=EVENTOS!$C35)*(OFFSET(CÁLCULO!$AQ$15:$AQ$244,0,U$13))),2),0)</f>
        <v>0</v>
      </c>
      <c r="V35" s="620" cm="1">
        <f t="array" aca="1" ref="V35" ca="1">IF(AUTOEVENTO="Manual",ROUND(SUMPRODUCT((CÁLCULO!$M$15:$M$244=EVENTOS!$C35)*(OFFSET(CÁLCULO!$AQ$15:$AQ$244,0,V$13))),2),0)</f>
        <v>0</v>
      </c>
      <c r="W35" s="620" cm="1">
        <f t="array" aca="1" ref="W35" ca="1">IF(AUTOEVENTO="Manual",ROUND(SUMPRODUCT((CÁLCULO!$M$15:$M$244=EVENTOS!$C35)*(OFFSET(CÁLCULO!$AQ$15:$AQ$244,0,W$13))),2),0)</f>
        <v>0</v>
      </c>
      <c r="X35" s="620" cm="1">
        <f t="array" aca="1" ref="X35" ca="1">IF(AUTOEVENTO="Manual",ROUND(SUMPRODUCT((CÁLCULO!$M$15:$M$244=EVENTOS!$C35)*(OFFSET(CÁLCULO!$AQ$15:$AQ$244,0,X$13))),2),0)</f>
        <v>0</v>
      </c>
      <c r="Y35" s="620" cm="1">
        <f t="array" aca="1" ref="Y35" ca="1">IF(AUTOEVENTO="Manual",ROUND(SUMPRODUCT((CÁLCULO!$M$15:$M$244=EVENTOS!$C35)*(OFFSET(CÁLCULO!$AQ$15:$AQ$244,0,Y$13))),2),0)</f>
        <v>0</v>
      </c>
      <c r="Z35" s="620" cm="1">
        <f t="array" aca="1" ref="Z35" ca="1">IF(AUTOEVENTO="Manual",ROUND(SUMPRODUCT((CÁLCULO!$M$15:$M$244=EVENTOS!$C35)*(OFFSET(CÁLCULO!$AQ$15:$AQ$244,0,Z$13))),2),0)</f>
        <v>0</v>
      </c>
      <c r="AA35" s="620" cm="1">
        <f t="array" aca="1" ref="AA35" ca="1">IF(AUTOEVENTO="Manual",ROUND(SUMPRODUCT((CÁLCULO!$M$15:$M$244=EVENTOS!$C35)*(OFFSET(CÁLCULO!$AQ$15:$AQ$244,0,AA$13))),2),0)</f>
        <v>0</v>
      </c>
      <c r="AB35" s="620" cm="1">
        <f t="array" aca="1" ref="AB35" ca="1">IF(AUTOEVENTO="Manual",ROUND(SUMPRODUCT((CÁLCULO!$M$15:$M$244=EVENTOS!$C35)*(OFFSET(CÁLCULO!$AQ$15:$AQ$244,0,AB$13))),2),0)</f>
        <v>0</v>
      </c>
      <c r="AC35" s="620" cm="1">
        <f t="array" aca="1" ref="AC35" ca="1">IF(AUTOEVENTO="Manual",ROUND(SUMPRODUCT((CÁLCULO!$M$15:$M$244=EVENTOS!$C35)*(OFFSET(CÁLCULO!$AQ$15:$AQ$244,0,AC$13))),2),0)</f>
        <v>0</v>
      </c>
      <c r="AD35" s="620" cm="1">
        <f t="array" aca="1" ref="AD35" ca="1">IF(AUTOEVENTO="Manual",ROUND(SUMPRODUCT((CÁLCULO!$M$15:$M$244=EVENTOS!$C35)*(OFFSET(CÁLCULO!$AQ$15:$AQ$244,0,AD$13))),2),0)</f>
        <v>0</v>
      </c>
      <c r="AE35" s="620" cm="1">
        <f t="array" aca="1" ref="AE35" ca="1">IF(AUTOEVENTO="Manual",ROUND(SUMPRODUCT((CÁLCULO!$M$15:$M$244=EVENTOS!$C35)*(OFFSET(CÁLCULO!$AQ$15:$AQ$244,0,AE$13))),2),0)</f>
        <v>0</v>
      </c>
      <c r="AF35" s="620" cm="1">
        <f t="array" aca="1" ref="AF35" ca="1">IF(AUTOEVENTO="Manual",ROUND(SUMPRODUCT((CÁLCULO!$M$15:$M$244=EVENTOS!$C35)*(OFFSET(CÁLCULO!$AQ$15:$AQ$244,0,AF$13))),2),0)</f>
        <v>0</v>
      </c>
      <c r="AG35" s="620" cm="1">
        <f t="array" aca="1" ref="AG35" ca="1">IF(AUTOEVENTO="Manual",ROUND(SUMPRODUCT((CÁLCULO!$M$15:$M$244=EVENTOS!$C35)*(OFFSET(CÁLCULO!$AQ$15:$AQ$244,0,AG$13))),2),0)</f>
        <v>0</v>
      </c>
      <c r="AH35" s="620" cm="1">
        <f t="array" aca="1" ref="AH35" ca="1">IF(AUTOEVENTO="Manual",ROUND(SUMPRODUCT((CÁLCULO!$M$15:$M$244=EVENTOS!$C35)*(OFFSET(CÁLCULO!$AQ$15:$AQ$244,0,AH$13))),2),0)</f>
        <v>0</v>
      </c>
      <c r="AI35" s="620" cm="1">
        <f t="array" aca="1" ref="AI35" ca="1">IF(AUTOEVENTO="Manual",ROUND(SUMPRODUCT((CÁLCULO!$M$15:$M$244=EVENTOS!$C35)*(OFFSET(CÁLCULO!$AQ$15:$AQ$244,0,AI$13))),2),0)</f>
        <v>0</v>
      </c>
    </row>
    <row r="36" spans="1:35" x14ac:dyDescent="0.2">
      <c r="A36" s="506" t="str">
        <f t="shared" si="3"/>
        <v/>
      </c>
      <c r="B36" t="str">
        <f t="shared" ca="1" si="4"/>
        <v/>
      </c>
      <c r="C36" s="182" t="str" cm="1">
        <f t="array" aca="1" ref="C36" ca="1">IF(OR(ROW(C36)=ROW(EVENTOS.firstrow)+1,AND(OFFSET(C36,-1,0)&lt;&gt;" ",OFFSET(C36,-1,1)&lt;&gt;"")),OFFSET(C36,-1,0)+1," ")</f>
        <v xml:space="preserve"> </v>
      </c>
      <c r="D36" s="496"/>
      <c r="E36" s="620" cm="1">
        <f t="array" aca="1" ref="E36" ca="1">IF(AUTOEVENTO="Manual",ROUND(SUMPRODUCT((CÁLCULO!$M$15:$M$244=EVENTOS!$C36)*(OFFSET(CÁLCULO!$AQ$15:$AQ$244,0,E$13))),2),0)</f>
        <v>0</v>
      </c>
      <c r="F36" s="183">
        <f ca="1">IF(AUTOEVENTO="Manual",ROUND(SUMPRODUCT((CÁLCULO!$M$15:$M$244=EVENTOS!$C36)*(OFFSET(CÁLCULO!$AQ$15,0,1):OFFSET(CÁLCULO!$BR$244,0,-1))),2),0)</f>
        <v>0</v>
      </c>
      <c r="G36" s="621" t="str">
        <f t="shared" ca="1" si="5"/>
        <v/>
      </c>
      <c r="H36" s="620" cm="1">
        <f t="array" aca="1" ref="H36" ca="1">IF(AUTOEVENTO="Manual",ROUND(SUMPRODUCT((CÁLCULO!$M$15:$M$244=EVENTOS!$C36)*(OFFSET(CÁLCULO!$AQ$15:$AQ$244,0,H$13))),2),0)</f>
        <v>0</v>
      </c>
      <c r="I36" s="620" cm="1">
        <f t="array" aca="1" ref="I36" ca="1">IF(AUTOEVENTO="Manual",ROUND(SUMPRODUCT((CÁLCULO!$M$15:$M$244=EVENTOS!$C36)*(OFFSET(CÁLCULO!$AQ$15:$AQ$244,0,I$13))),2),0)</f>
        <v>0</v>
      </c>
      <c r="J36" s="620" cm="1">
        <f t="array" aca="1" ref="J36" ca="1">IF(AUTOEVENTO="Manual",ROUND(SUMPRODUCT((CÁLCULO!$M$15:$M$244=EVENTOS!$C36)*(OFFSET(CÁLCULO!$AQ$15:$AQ$244,0,J$13))),2),0)</f>
        <v>0</v>
      </c>
      <c r="K36" s="620" cm="1">
        <f t="array" aca="1" ref="K36" ca="1">IF(AUTOEVENTO="Manual",ROUND(SUMPRODUCT((CÁLCULO!$M$15:$M$244=EVENTOS!$C36)*(OFFSET(CÁLCULO!$AQ$15:$AQ$244,0,K$13))),2),0)</f>
        <v>0</v>
      </c>
      <c r="L36" s="620" cm="1">
        <f t="array" aca="1" ref="L36" ca="1">IF(AUTOEVENTO="Manual",ROUND(SUMPRODUCT((CÁLCULO!$M$15:$M$244=EVENTOS!$C36)*(OFFSET(CÁLCULO!$AQ$15:$AQ$244,0,L$13))),2),0)</f>
        <v>0</v>
      </c>
      <c r="M36" s="620" cm="1">
        <f t="array" aca="1" ref="M36" ca="1">IF(AUTOEVENTO="Manual",ROUND(SUMPRODUCT((CÁLCULO!$M$15:$M$244=EVENTOS!$C36)*(OFFSET(CÁLCULO!$AQ$15:$AQ$244,0,M$13))),2),0)</f>
        <v>0</v>
      </c>
      <c r="N36" s="620" cm="1">
        <f t="array" aca="1" ref="N36" ca="1">IF(AUTOEVENTO="Manual",ROUND(SUMPRODUCT((CÁLCULO!$M$15:$M$244=EVENTOS!$C36)*(OFFSET(CÁLCULO!$AQ$15:$AQ$244,0,N$13))),2),0)</f>
        <v>0</v>
      </c>
      <c r="O36" s="620" cm="1">
        <f t="array" aca="1" ref="O36" ca="1">IF(AUTOEVENTO="Manual",ROUND(SUMPRODUCT((CÁLCULO!$M$15:$M$244=EVENTOS!$C36)*(OFFSET(CÁLCULO!$AQ$15:$AQ$244,0,O$13))),2),0)</f>
        <v>0</v>
      </c>
      <c r="P36" s="620" cm="1">
        <f t="array" aca="1" ref="P36" ca="1">IF(AUTOEVENTO="Manual",ROUND(SUMPRODUCT((CÁLCULO!$M$15:$M$244=EVENTOS!$C36)*(OFFSET(CÁLCULO!$AQ$15:$AQ$244,0,P$13))),2),0)</f>
        <v>0</v>
      </c>
      <c r="Q36" s="620" cm="1">
        <f t="array" aca="1" ref="Q36" ca="1">IF(AUTOEVENTO="Manual",ROUND(SUMPRODUCT((CÁLCULO!$M$15:$M$244=EVENTOS!$C36)*(OFFSET(CÁLCULO!$AQ$15:$AQ$244,0,Q$13))),2),0)</f>
        <v>0</v>
      </c>
      <c r="R36" s="620" cm="1">
        <f t="array" aca="1" ref="R36" ca="1">IF(AUTOEVENTO="Manual",ROUND(SUMPRODUCT((CÁLCULO!$M$15:$M$244=EVENTOS!$C36)*(OFFSET(CÁLCULO!$AQ$15:$AQ$244,0,R$13))),2),0)</f>
        <v>0</v>
      </c>
      <c r="S36" s="620" cm="1">
        <f t="array" aca="1" ref="S36" ca="1">IF(AUTOEVENTO="Manual",ROUND(SUMPRODUCT((CÁLCULO!$M$15:$M$244=EVENTOS!$C36)*(OFFSET(CÁLCULO!$AQ$15:$AQ$244,0,S$13))),2),0)</f>
        <v>0</v>
      </c>
      <c r="T36" s="620" cm="1">
        <f t="array" aca="1" ref="T36" ca="1">IF(AUTOEVENTO="Manual",ROUND(SUMPRODUCT((CÁLCULO!$M$15:$M$244=EVENTOS!$C36)*(OFFSET(CÁLCULO!$AQ$15:$AQ$244,0,T$13))),2),0)</f>
        <v>0</v>
      </c>
      <c r="U36" s="620" cm="1">
        <f t="array" aca="1" ref="U36" ca="1">IF(AUTOEVENTO="Manual",ROUND(SUMPRODUCT((CÁLCULO!$M$15:$M$244=EVENTOS!$C36)*(OFFSET(CÁLCULO!$AQ$15:$AQ$244,0,U$13))),2),0)</f>
        <v>0</v>
      </c>
      <c r="V36" s="620" cm="1">
        <f t="array" aca="1" ref="V36" ca="1">IF(AUTOEVENTO="Manual",ROUND(SUMPRODUCT((CÁLCULO!$M$15:$M$244=EVENTOS!$C36)*(OFFSET(CÁLCULO!$AQ$15:$AQ$244,0,V$13))),2),0)</f>
        <v>0</v>
      </c>
      <c r="W36" s="620" cm="1">
        <f t="array" aca="1" ref="W36" ca="1">IF(AUTOEVENTO="Manual",ROUND(SUMPRODUCT((CÁLCULO!$M$15:$M$244=EVENTOS!$C36)*(OFFSET(CÁLCULO!$AQ$15:$AQ$244,0,W$13))),2),0)</f>
        <v>0</v>
      </c>
      <c r="X36" s="620" cm="1">
        <f t="array" aca="1" ref="X36" ca="1">IF(AUTOEVENTO="Manual",ROUND(SUMPRODUCT((CÁLCULO!$M$15:$M$244=EVENTOS!$C36)*(OFFSET(CÁLCULO!$AQ$15:$AQ$244,0,X$13))),2),0)</f>
        <v>0</v>
      </c>
      <c r="Y36" s="620" cm="1">
        <f t="array" aca="1" ref="Y36" ca="1">IF(AUTOEVENTO="Manual",ROUND(SUMPRODUCT((CÁLCULO!$M$15:$M$244=EVENTOS!$C36)*(OFFSET(CÁLCULO!$AQ$15:$AQ$244,0,Y$13))),2),0)</f>
        <v>0</v>
      </c>
      <c r="Z36" s="620" cm="1">
        <f t="array" aca="1" ref="Z36" ca="1">IF(AUTOEVENTO="Manual",ROUND(SUMPRODUCT((CÁLCULO!$M$15:$M$244=EVENTOS!$C36)*(OFFSET(CÁLCULO!$AQ$15:$AQ$244,0,Z$13))),2),0)</f>
        <v>0</v>
      </c>
      <c r="AA36" s="620" cm="1">
        <f t="array" aca="1" ref="AA36" ca="1">IF(AUTOEVENTO="Manual",ROUND(SUMPRODUCT((CÁLCULO!$M$15:$M$244=EVENTOS!$C36)*(OFFSET(CÁLCULO!$AQ$15:$AQ$244,0,AA$13))),2),0)</f>
        <v>0</v>
      </c>
      <c r="AB36" s="620" cm="1">
        <f t="array" aca="1" ref="AB36" ca="1">IF(AUTOEVENTO="Manual",ROUND(SUMPRODUCT((CÁLCULO!$M$15:$M$244=EVENTOS!$C36)*(OFFSET(CÁLCULO!$AQ$15:$AQ$244,0,AB$13))),2),0)</f>
        <v>0</v>
      </c>
      <c r="AC36" s="620" cm="1">
        <f t="array" aca="1" ref="AC36" ca="1">IF(AUTOEVENTO="Manual",ROUND(SUMPRODUCT((CÁLCULO!$M$15:$M$244=EVENTOS!$C36)*(OFFSET(CÁLCULO!$AQ$15:$AQ$244,0,AC$13))),2),0)</f>
        <v>0</v>
      </c>
      <c r="AD36" s="620" cm="1">
        <f t="array" aca="1" ref="AD36" ca="1">IF(AUTOEVENTO="Manual",ROUND(SUMPRODUCT((CÁLCULO!$M$15:$M$244=EVENTOS!$C36)*(OFFSET(CÁLCULO!$AQ$15:$AQ$244,0,AD$13))),2),0)</f>
        <v>0</v>
      </c>
      <c r="AE36" s="620" cm="1">
        <f t="array" aca="1" ref="AE36" ca="1">IF(AUTOEVENTO="Manual",ROUND(SUMPRODUCT((CÁLCULO!$M$15:$M$244=EVENTOS!$C36)*(OFFSET(CÁLCULO!$AQ$15:$AQ$244,0,AE$13))),2),0)</f>
        <v>0</v>
      </c>
      <c r="AF36" s="620" cm="1">
        <f t="array" aca="1" ref="AF36" ca="1">IF(AUTOEVENTO="Manual",ROUND(SUMPRODUCT((CÁLCULO!$M$15:$M$244=EVENTOS!$C36)*(OFFSET(CÁLCULO!$AQ$15:$AQ$244,0,AF$13))),2),0)</f>
        <v>0</v>
      </c>
      <c r="AG36" s="620" cm="1">
        <f t="array" aca="1" ref="AG36" ca="1">IF(AUTOEVENTO="Manual",ROUND(SUMPRODUCT((CÁLCULO!$M$15:$M$244=EVENTOS!$C36)*(OFFSET(CÁLCULO!$AQ$15:$AQ$244,0,AG$13))),2),0)</f>
        <v>0</v>
      </c>
      <c r="AH36" s="620" cm="1">
        <f t="array" aca="1" ref="AH36" ca="1">IF(AUTOEVENTO="Manual",ROUND(SUMPRODUCT((CÁLCULO!$M$15:$M$244=EVENTOS!$C36)*(OFFSET(CÁLCULO!$AQ$15:$AQ$244,0,AH$13))),2),0)</f>
        <v>0</v>
      </c>
      <c r="AI36" s="620" cm="1">
        <f t="array" aca="1" ref="AI36" ca="1">IF(AUTOEVENTO="Manual",ROUND(SUMPRODUCT((CÁLCULO!$M$15:$M$244=EVENTOS!$C36)*(OFFSET(CÁLCULO!$AQ$15:$AQ$244,0,AI$13))),2),0)</f>
        <v>0</v>
      </c>
    </row>
    <row r="37" spans="1:35" x14ac:dyDescent="0.2">
      <c r="A37" s="506" t="str">
        <f t="shared" si="3"/>
        <v/>
      </c>
      <c r="B37" t="str">
        <f t="shared" ca="1" si="4"/>
        <v/>
      </c>
      <c r="C37" s="182" t="str" cm="1">
        <f t="array" aca="1" ref="C37" ca="1">IF(OR(ROW(C37)=ROW(EVENTOS.firstrow)+1,AND(OFFSET(C37,-1,0)&lt;&gt;" ",OFFSET(C37,-1,1)&lt;&gt;"")),OFFSET(C37,-1,0)+1," ")</f>
        <v xml:space="preserve"> </v>
      </c>
      <c r="D37" s="496"/>
      <c r="E37" s="620" cm="1">
        <f t="array" aca="1" ref="E37" ca="1">IF(AUTOEVENTO="Manual",ROUND(SUMPRODUCT((CÁLCULO!$M$15:$M$244=EVENTOS!$C37)*(OFFSET(CÁLCULO!$AQ$15:$AQ$244,0,E$13))),2),0)</f>
        <v>0</v>
      </c>
      <c r="F37" s="183">
        <f ca="1">IF(AUTOEVENTO="Manual",ROUND(SUMPRODUCT((CÁLCULO!$M$15:$M$244=EVENTOS!$C37)*(OFFSET(CÁLCULO!$AQ$15,0,1):OFFSET(CÁLCULO!$BR$244,0,-1))),2),0)</f>
        <v>0</v>
      </c>
      <c r="G37" s="621" t="str">
        <f t="shared" ca="1" si="5"/>
        <v/>
      </c>
      <c r="H37" s="620" cm="1">
        <f t="array" aca="1" ref="H37" ca="1">IF(AUTOEVENTO="Manual",ROUND(SUMPRODUCT((CÁLCULO!$M$15:$M$244=EVENTOS!$C37)*(OFFSET(CÁLCULO!$AQ$15:$AQ$244,0,H$13))),2),0)</f>
        <v>0</v>
      </c>
      <c r="I37" s="620" cm="1">
        <f t="array" aca="1" ref="I37" ca="1">IF(AUTOEVENTO="Manual",ROUND(SUMPRODUCT((CÁLCULO!$M$15:$M$244=EVENTOS!$C37)*(OFFSET(CÁLCULO!$AQ$15:$AQ$244,0,I$13))),2),0)</f>
        <v>0</v>
      </c>
      <c r="J37" s="620" cm="1">
        <f t="array" aca="1" ref="J37" ca="1">IF(AUTOEVENTO="Manual",ROUND(SUMPRODUCT((CÁLCULO!$M$15:$M$244=EVENTOS!$C37)*(OFFSET(CÁLCULO!$AQ$15:$AQ$244,0,J$13))),2),0)</f>
        <v>0</v>
      </c>
      <c r="K37" s="620" cm="1">
        <f t="array" aca="1" ref="K37" ca="1">IF(AUTOEVENTO="Manual",ROUND(SUMPRODUCT((CÁLCULO!$M$15:$M$244=EVENTOS!$C37)*(OFFSET(CÁLCULO!$AQ$15:$AQ$244,0,K$13))),2),0)</f>
        <v>0</v>
      </c>
      <c r="L37" s="620" cm="1">
        <f t="array" aca="1" ref="L37" ca="1">IF(AUTOEVENTO="Manual",ROUND(SUMPRODUCT((CÁLCULO!$M$15:$M$244=EVENTOS!$C37)*(OFFSET(CÁLCULO!$AQ$15:$AQ$244,0,L$13))),2),0)</f>
        <v>0</v>
      </c>
      <c r="M37" s="620" cm="1">
        <f t="array" aca="1" ref="M37" ca="1">IF(AUTOEVENTO="Manual",ROUND(SUMPRODUCT((CÁLCULO!$M$15:$M$244=EVENTOS!$C37)*(OFFSET(CÁLCULO!$AQ$15:$AQ$244,0,M$13))),2),0)</f>
        <v>0</v>
      </c>
      <c r="N37" s="620" cm="1">
        <f t="array" aca="1" ref="N37" ca="1">IF(AUTOEVENTO="Manual",ROUND(SUMPRODUCT((CÁLCULO!$M$15:$M$244=EVENTOS!$C37)*(OFFSET(CÁLCULO!$AQ$15:$AQ$244,0,N$13))),2),0)</f>
        <v>0</v>
      </c>
      <c r="O37" s="620" cm="1">
        <f t="array" aca="1" ref="O37" ca="1">IF(AUTOEVENTO="Manual",ROUND(SUMPRODUCT((CÁLCULO!$M$15:$M$244=EVENTOS!$C37)*(OFFSET(CÁLCULO!$AQ$15:$AQ$244,0,O$13))),2),0)</f>
        <v>0</v>
      </c>
      <c r="P37" s="620" cm="1">
        <f t="array" aca="1" ref="P37" ca="1">IF(AUTOEVENTO="Manual",ROUND(SUMPRODUCT((CÁLCULO!$M$15:$M$244=EVENTOS!$C37)*(OFFSET(CÁLCULO!$AQ$15:$AQ$244,0,P$13))),2),0)</f>
        <v>0</v>
      </c>
      <c r="Q37" s="620" cm="1">
        <f t="array" aca="1" ref="Q37" ca="1">IF(AUTOEVENTO="Manual",ROUND(SUMPRODUCT((CÁLCULO!$M$15:$M$244=EVENTOS!$C37)*(OFFSET(CÁLCULO!$AQ$15:$AQ$244,0,Q$13))),2),0)</f>
        <v>0</v>
      </c>
      <c r="R37" s="620" cm="1">
        <f t="array" aca="1" ref="R37" ca="1">IF(AUTOEVENTO="Manual",ROUND(SUMPRODUCT((CÁLCULO!$M$15:$M$244=EVENTOS!$C37)*(OFFSET(CÁLCULO!$AQ$15:$AQ$244,0,R$13))),2),0)</f>
        <v>0</v>
      </c>
      <c r="S37" s="620" cm="1">
        <f t="array" aca="1" ref="S37" ca="1">IF(AUTOEVENTO="Manual",ROUND(SUMPRODUCT((CÁLCULO!$M$15:$M$244=EVENTOS!$C37)*(OFFSET(CÁLCULO!$AQ$15:$AQ$244,0,S$13))),2),0)</f>
        <v>0</v>
      </c>
      <c r="T37" s="620" cm="1">
        <f t="array" aca="1" ref="T37" ca="1">IF(AUTOEVENTO="Manual",ROUND(SUMPRODUCT((CÁLCULO!$M$15:$M$244=EVENTOS!$C37)*(OFFSET(CÁLCULO!$AQ$15:$AQ$244,0,T$13))),2),0)</f>
        <v>0</v>
      </c>
      <c r="U37" s="620" cm="1">
        <f t="array" aca="1" ref="U37" ca="1">IF(AUTOEVENTO="Manual",ROUND(SUMPRODUCT((CÁLCULO!$M$15:$M$244=EVENTOS!$C37)*(OFFSET(CÁLCULO!$AQ$15:$AQ$244,0,U$13))),2),0)</f>
        <v>0</v>
      </c>
      <c r="V37" s="620" cm="1">
        <f t="array" aca="1" ref="V37" ca="1">IF(AUTOEVENTO="Manual",ROUND(SUMPRODUCT((CÁLCULO!$M$15:$M$244=EVENTOS!$C37)*(OFFSET(CÁLCULO!$AQ$15:$AQ$244,0,V$13))),2),0)</f>
        <v>0</v>
      </c>
      <c r="W37" s="620" cm="1">
        <f t="array" aca="1" ref="W37" ca="1">IF(AUTOEVENTO="Manual",ROUND(SUMPRODUCT((CÁLCULO!$M$15:$M$244=EVENTOS!$C37)*(OFFSET(CÁLCULO!$AQ$15:$AQ$244,0,W$13))),2),0)</f>
        <v>0</v>
      </c>
      <c r="X37" s="620" cm="1">
        <f t="array" aca="1" ref="X37" ca="1">IF(AUTOEVENTO="Manual",ROUND(SUMPRODUCT((CÁLCULO!$M$15:$M$244=EVENTOS!$C37)*(OFFSET(CÁLCULO!$AQ$15:$AQ$244,0,X$13))),2),0)</f>
        <v>0</v>
      </c>
      <c r="Y37" s="620" cm="1">
        <f t="array" aca="1" ref="Y37" ca="1">IF(AUTOEVENTO="Manual",ROUND(SUMPRODUCT((CÁLCULO!$M$15:$M$244=EVENTOS!$C37)*(OFFSET(CÁLCULO!$AQ$15:$AQ$244,0,Y$13))),2),0)</f>
        <v>0</v>
      </c>
      <c r="Z37" s="620" cm="1">
        <f t="array" aca="1" ref="Z37" ca="1">IF(AUTOEVENTO="Manual",ROUND(SUMPRODUCT((CÁLCULO!$M$15:$M$244=EVENTOS!$C37)*(OFFSET(CÁLCULO!$AQ$15:$AQ$244,0,Z$13))),2),0)</f>
        <v>0</v>
      </c>
      <c r="AA37" s="620" cm="1">
        <f t="array" aca="1" ref="AA37" ca="1">IF(AUTOEVENTO="Manual",ROUND(SUMPRODUCT((CÁLCULO!$M$15:$M$244=EVENTOS!$C37)*(OFFSET(CÁLCULO!$AQ$15:$AQ$244,0,AA$13))),2),0)</f>
        <v>0</v>
      </c>
      <c r="AB37" s="620" cm="1">
        <f t="array" aca="1" ref="AB37" ca="1">IF(AUTOEVENTO="Manual",ROUND(SUMPRODUCT((CÁLCULO!$M$15:$M$244=EVENTOS!$C37)*(OFFSET(CÁLCULO!$AQ$15:$AQ$244,0,AB$13))),2),0)</f>
        <v>0</v>
      </c>
      <c r="AC37" s="620" cm="1">
        <f t="array" aca="1" ref="AC37" ca="1">IF(AUTOEVENTO="Manual",ROUND(SUMPRODUCT((CÁLCULO!$M$15:$M$244=EVENTOS!$C37)*(OFFSET(CÁLCULO!$AQ$15:$AQ$244,0,AC$13))),2),0)</f>
        <v>0</v>
      </c>
      <c r="AD37" s="620" cm="1">
        <f t="array" aca="1" ref="AD37" ca="1">IF(AUTOEVENTO="Manual",ROUND(SUMPRODUCT((CÁLCULO!$M$15:$M$244=EVENTOS!$C37)*(OFFSET(CÁLCULO!$AQ$15:$AQ$244,0,AD$13))),2),0)</f>
        <v>0</v>
      </c>
      <c r="AE37" s="620" cm="1">
        <f t="array" aca="1" ref="AE37" ca="1">IF(AUTOEVENTO="Manual",ROUND(SUMPRODUCT((CÁLCULO!$M$15:$M$244=EVENTOS!$C37)*(OFFSET(CÁLCULO!$AQ$15:$AQ$244,0,AE$13))),2),0)</f>
        <v>0</v>
      </c>
      <c r="AF37" s="620" cm="1">
        <f t="array" aca="1" ref="AF37" ca="1">IF(AUTOEVENTO="Manual",ROUND(SUMPRODUCT((CÁLCULO!$M$15:$M$244=EVENTOS!$C37)*(OFFSET(CÁLCULO!$AQ$15:$AQ$244,0,AF$13))),2),0)</f>
        <v>0</v>
      </c>
      <c r="AG37" s="620" cm="1">
        <f t="array" aca="1" ref="AG37" ca="1">IF(AUTOEVENTO="Manual",ROUND(SUMPRODUCT((CÁLCULO!$M$15:$M$244=EVENTOS!$C37)*(OFFSET(CÁLCULO!$AQ$15:$AQ$244,0,AG$13))),2),0)</f>
        <v>0</v>
      </c>
      <c r="AH37" s="620" cm="1">
        <f t="array" aca="1" ref="AH37" ca="1">IF(AUTOEVENTO="Manual",ROUND(SUMPRODUCT((CÁLCULO!$M$15:$M$244=EVENTOS!$C37)*(OFFSET(CÁLCULO!$AQ$15:$AQ$244,0,AH$13))),2),0)</f>
        <v>0</v>
      </c>
      <c r="AI37" s="620" cm="1">
        <f t="array" aca="1" ref="AI37" ca="1">IF(AUTOEVENTO="Manual",ROUND(SUMPRODUCT((CÁLCULO!$M$15:$M$244=EVENTOS!$C37)*(OFFSET(CÁLCULO!$AQ$15:$AQ$244,0,AI$13))),2),0)</f>
        <v>0</v>
      </c>
    </row>
    <row r="38" spans="1:35" x14ac:dyDescent="0.2">
      <c r="A38" s="506" t="str">
        <f t="shared" si="3"/>
        <v/>
      </c>
      <c r="B38" t="str">
        <f t="shared" ca="1" si="4"/>
        <v/>
      </c>
      <c r="C38" s="182" t="str" cm="1">
        <f t="array" aca="1" ref="C38" ca="1">IF(OR(ROW(C38)=ROW(EVENTOS.firstrow)+1,AND(OFFSET(C38,-1,0)&lt;&gt;" ",OFFSET(C38,-1,1)&lt;&gt;"")),OFFSET(C38,-1,0)+1," ")</f>
        <v xml:space="preserve"> </v>
      </c>
      <c r="D38" s="496"/>
      <c r="E38" s="620" cm="1">
        <f t="array" aca="1" ref="E38" ca="1">IF(AUTOEVENTO="Manual",ROUND(SUMPRODUCT((CÁLCULO!$M$15:$M$244=EVENTOS!$C38)*(OFFSET(CÁLCULO!$AQ$15:$AQ$244,0,E$13))),2),0)</f>
        <v>0</v>
      </c>
      <c r="F38" s="183">
        <f ca="1">IF(AUTOEVENTO="Manual",ROUND(SUMPRODUCT((CÁLCULO!$M$15:$M$244=EVENTOS!$C38)*(OFFSET(CÁLCULO!$AQ$15,0,1):OFFSET(CÁLCULO!$BR$244,0,-1))),2),0)</f>
        <v>0</v>
      </c>
      <c r="G38" s="621" t="str">
        <f t="shared" ca="1" si="5"/>
        <v/>
      </c>
      <c r="H38" s="620" cm="1">
        <f t="array" aca="1" ref="H38" ca="1">IF(AUTOEVENTO="Manual",ROUND(SUMPRODUCT((CÁLCULO!$M$15:$M$244=EVENTOS!$C38)*(OFFSET(CÁLCULO!$AQ$15:$AQ$244,0,H$13))),2),0)</f>
        <v>0</v>
      </c>
      <c r="I38" s="620" cm="1">
        <f t="array" aca="1" ref="I38" ca="1">IF(AUTOEVENTO="Manual",ROUND(SUMPRODUCT((CÁLCULO!$M$15:$M$244=EVENTOS!$C38)*(OFFSET(CÁLCULO!$AQ$15:$AQ$244,0,I$13))),2),0)</f>
        <v>0</v>
      </c>
      <c r="J38" s="620" cm="1">
        <f t="array" aca="1" ref="J38" ca="1">IF(AUTOEVENTO="Manual",ROUND(SUMPRODUCT((CÁLCULO!$M$15:$M$244=EVENTOS!$C38)*(OFFSET(CÁLCULO!$AQ$15:$AQ$244,0,J$13))),2),0)</f>
        <v>0</v>
      </c>
      <c r="K38" s="620" cm="1">
        <f t="array" aca="1" ref="K38" ca="1">IF(AUTOEVENTO="Manual",ROUND(SUMPRODUCT((CÁLCULO!$M$15:$M$244=EVENTOS!$C38)*(OFFSET(CÁLCULO!$AQ$15:$AQ$244,0,K$13))),2),0)</f>
        <v>0</v>
      </c>
      <c r="L38" s="620" cm="1">
        <f t="array" aca="1" ref="L38" ca="1">IF(AUTOEVENTO="Manual",ROUND(SUMPRODUCT((CÁLCULO!$M$15:$M$244=EVENTOS!$C38)*(OFFSET(CÁLCULO!$AQ$15:$AQ$244,0,L$13))),2),0)</f>
        <v>0</v>
      </c>
      <c r="M38" s="620" cm="1">
        <f t="array" aca="1" ref="M38" ca="1">IF(AUTOEVENTO="Manual",ROUND(SUMPRODUCT((CÁLCULO!$M$15:$M$244=EVENTOS!$C38)*(OFFSET(CÁLCULO!$AQ$15:$AQ$244,0,M$13))),2),0)</f>
        <v>0</v>
      </c>
      <c r="N38" s="620" cm="1">
        <f t="array" aca="1" ref="N38" ca="1">IF(AUTOEVENTO="Manual",ROUND(SUMPRODUCT((CÁLCULO!$M$15:$M$244=EVENTOS!$C38)*(OFFSET(CÁLCULO!$AQ$15:$AQ$244,0,N$13))),2),0)</f>
        <v>0</v>
      </c>
      <c r="O38" s="620" cm="1">
        <f t="array" aca="1" ref="O38" ca="1">IF(AUTOEVENTO="Manual",ROUND(SUMPRODUCT((CÁLCULO!$M$15:$M$244=EVENTOS!$C38)*(OFFSET(CÁLCULO!$AQ$15:$AQ$244,0,O$13))),2),0)</f>
        <v>0</v>
      </c>
      <c r="P38" s="620" cm="1">
        <f t="array" aca="1" ref="P38" ca="1">IF(AUTOEVENTO="Manual",ROUND(SUMPRODUCT((CÁLCULO!$M$15:$M$244=EVENTOS!$C38)*(OFFSET(CÁLCULO!$AQ$15:$AQ$244,0,P$13))),2),0)</f>
        <v>0</v>
      </c>
      <c r="Q38" s="620" cm="1">
        <f t="array" aca="1" ref="Q38" ca="1">IF(AUTOEVENTO="Manual",ROUND(SUMPRODUCT((CÁLCULO!$M$15:$M$244=EVENTOS!$C38)*(OFFSET(CÁLCULO!$AQ$15:$AQ$244,0,Q$13))),2),0)</f>
        <v>0</v>
      </c>
      <c r="R38" s="620" cm="1">
        <f t="array" aca="1" ref="R38" ca="1">IF(AUTOEVENTO="Manual",ROUND(SUMPRODUCT((CÁLCULO!$M$15:$M$244=EVENTOS!$C38)*(OFFSET(CÁLCULO!$AQ$15:$AQ$244,0,R$13))),2),0)</f>
        <v>0</v>
      </c>
      <c r="S38" s="620" cm="1">
        <f t="array" aca="1" ref="S38" ca="1">IF(AUTOEVENTO="Manual",ROUND(SUMPRODUCT((CÁLCULO!$M$15:$M$244=EVENTOS!$C38)*(OFFSET(CÁLCULO!$AQ$15:$AQ$244,0,S$13))),2),0)</f>
        <v>0</v>
      </c>
      <c r="T38" s="620" cm="1">
        <f t="array" aca="1" ref="T38" ca="1">IF(AUTOEVENTO="Manual",ROUND(SUMPRODUCT((CÁLCULO!$M$15:$M$244=EVENTOS!$C38)*(OFFSET(CÁLCULO!$AQ$15:$AQ$244,0,T$13))),2),0)</f>
        <v>0</v>
      </c>
      <c r="U38" s="620" cm="1">
        <f t="array" aca="1" ref="U38" ca="1">IF(AUTOEVENTO="Manual",ROUND(SUMPRODUCT((CÁLCULO!$M$15:$M$244=EVENTOS!$C38)*(OFFSET(CÁLCULO!$AQ$15:$AQ$244,0,U$13))),2),0)</f>
        <v>0</v>
      </c>
      <c r="V38" s="620" cm="1">
        <f t="array" aca="1" ref="V38" ca="1">IF(AUTOEVENTO="Manual",ROUND(SUMPRODUCT((CÁLCULO!$M$15:$M$244=EVENTOS!$C38)*(OFFSET(CÁLCULO!$AQ$15:$AQ$244,0,V$13))),2),0)</f>
        <v>0</v>
      </c>
      <c r="W38" s="620" cm="1">
        <f t="array" aca="1" ref="W38" ca="1">IF(AUTOEVENTO="Manual",ROUND(SUMPRODUCT((CÁLCULO!$M$15:$M$244=EVENTOS!$C38)*(OFFSET(CÁLCULO!$AQ$15:$AQ$244,0,W$13))),2),0)</f>
        <v>0</v>
      </c>
      <c r="X38" s="620" cm="1">
        <f t="array" aca="1" ref="X38" ca="1">IF(AUTOEVENTO="Manual",ROUND(SUMPRODUCT((CÁLCULO!$M$15:$M$244=EVENTOS!$C38)*(OFFSET(CÁLCULO!$AQ$15:$AQ$244,0,X$13))),2),0)</f>
        <v>0</v>
      </c>
      <c r="Y38" s="620" cm="1">
        <f t="array" aca="1" ref="Y38" ca="1">IF(AUTOEVENTO="Manual",ROUND(SUMPRODUCT((CÁLCULO!$M$15:$M$244=EVENTOS!$C38)*(OFFSET(CÁLCULO!$AQ$15:$AQ$244,0,Y$13))),2),0)</f>
        <v>0</v>
      </c>
      <c r="Z38" s="620" cm="1">
        <f t="array" aca="1" ref="Z38" ca="1">IF(AUTOEVENTO="Manual",ROUND(SUMPRODUCT((CÁLCULO!$M$15:$M$244=EVENTOS!$C38)*(OFFSET(CÁLCULO!$AQ$15:$AQ$244,0,Z$13))),2),0)</f>
        <v>0</v>
      </c>
      <c r="AA38" s="620" cm="1">
        <f t="array" aca="1" ref="AA38" ca="1">IF(AUTOEVENTO="Manual",ROUND(SUMPRODUCT((CÁLCULO!$M$15:$M$244=EVENTOS!$C38)*(OFFSET(CÁLCULO!$AQ$15:$AQ$244,0,AA$13))),2),0)</f>
        <v>0</v>
      </c>
      <c r="AB38" s="620" cm="1">
        <f t="array" aca="1" ref="AB38" ca="1">IF(AUTOEVENTO="Manual",ROUND(SUMPRODUCT((CÁLCULO!$M$15:$M$244=EVENTOS!$C38)*(OFFSET(CÁLCULO!$AQ$15:$AQ$244,0,AB$13))),2),0)</f>
        <v>0</v>
      </c>
      <c r="AC38" s="620" cm="1">
        <f t="array" aca="1" ref="AC38" ca="1">IF(AUTOEVENTO="Manual",ROUND(SUMPRODUCT((CÁLCULO!$M$15:$M$244=EVENTOS!$C38)*(OFFSET(CÁLCULO!$AQ$15:$AQ$244,0,AC$13))),2),0)</f>
        <v>0</v>
      </c>
      <c r="AD38" s="620" cm="1">
        <f t="array" aca="1" ref="AD38" ca="1">IF(AUTOEVENTO="Manual",ROUND(SUMPRODUCT((CÁLCULO!$M$15:$M$244=EVENTOS!$C38)*(OFFSET(CÁLCULO!$AQ$15:$AQ$244,0,AD$13))),2),0)</f>
        <v>0</v>
      </c>
      <c r="AE38" s="620" cm="1">
        <f t="array" aca="1" ref="AE38" ca="1">IF(AUTOEVENTO="Manual",ROUND(SUMPRODUCT((CÁLCULO!$M$15:$M$244=EVENTOS!$C38)*(OFFSET(CÁLCULO!$AQ$15:$AQ$244,0,AE$13))),2),0)</f>
        <v>0</v>
      </c>
      <c r="AF38" s="620" cm="1">
        <f t="array" aca="1" ref="AF38" ca="1">IF(AUTOEVENTO="Manual",ROUND(SUMPRODUCT((CÁLCULO!$M$15:$M$244=EVENTOS!$C38)*(OFFSET(CÁLCULO!$AQ$15:$AQ$244,0,AF$13))),2),0)</f>
        <v>0</v>
      </c>
      <c r="AG38" s="620" cm="1">
        <f t="array" aca="1" ref="AG38" ca="1">IF(AUTOEVENTO="Manual",ROUND(SUMPRODUCT((CÁLCULO!$M$15:$M$244=EVENTOS!$C38)*(OFFSET(CÁLCULO!$AQ$15:$AQ$244,0,AG$13))),2),0)</f>
        <v>0</v>
      </c>
      <c r="AH38" s="620" cm="1">
        <f t="array" aca="1" ref="AH38" ca="1">IF(AUTOEVENTO="Manual",ROUND(SUMPRODUCT((CÁLCULO!$M$15:$M$244=EVENTOS!$C38)*(OFFSET(CÁLCULO!$AQ$15:$AQ$244,0,AH$13))),2),0)</f>
        <v>0</v>
      </c>
      <c r="AI38" s="620" cm="1">
        <f t="array" aca="1" ref="AI38" ca="1">IF(AUTOEVENTO="Manual",ROUND(SUMPRODUCT((CÁLCULO!$M$15:$M$244=EVENTOS!$C38)*(OFFSET(CÁLCULO!$AQ$15:$AQ$244,0,AI$13))),2),0)</f>
        <v>0</v>
      </c>
    </row>
    <row r="39" spans="1:35" x14ac:dyDescent="0.2">
      <c r="A39" s="506" t="str">
        <f t="shared" si="3"/>
        <v/>
      </c>
      <c r="B39" t="str">
        <f t="shared" ca="1" si="4"/>
        <v/>
      </c>
      <c r="C39" s="182" t="str" cm="1">
        <f t="array" aca="1" ref="C39" ca="1">IF(OR(ROW(C39)=ROW(EVENTOS.firstrow)+1,AND(OFFSET(C39,-1,0)&lt;&gt;" ",OFFSET(C39,-1,1)&lt;&gt;"")),OFFSET(C39,-1,0)+1," ")</f>
        <v xml:space="preserve"> </v>
      </c>
      <c r="D39" s="496"/>
      <c r="E39" s="620" cm="1">
        <f t="array" aca="1" ref="E39" ca="1">IF(AUTOEVENTO="Manual",ROUND(SUMPRODUCT((CÁLCULO!$M$15:$M$244=EVENTOS!$C39)*(OFFSET(CÁLCULO!$AQ$15:$AQ$244,0,E$13))),2),0)</f>
        <v>0</v>
      </c>
      <c r="F39" s="183">
        <f ca="1">IF(AUTOEVENTO="Manual",ROUND(SUMPRODUCT((CÁLCULO!$M$15:$M$244=EVENTOS!$C39)*(OFFSET(CÁLCULO!$AQ$15,0,1):OFFSET(CÁLCULO!$BR$244,0,-1))),2),0)</f>
        <v>0</v>
      </c>
      <c r="G39" s="621" t="str">
        <f t="shared" ca="1" si="5"/>
        <v/>
      </c>
      <c r="H39" s="620" cm="1">
        <f t="array" aca="1" ref="H39" ca="1">IF(AUTOEVENTO="Manual",ROUND(SUMPRODUCT((CÁLCULO!$M$15:$M$244=EVENTOS!$C39)*(OFFSET(CÁLCULO!$AQ$15:$AQ$244,0,H$13))),2),0)</f>
        <v>0</v>
      </c>
      <c r="I39" s="620" cm="1">
        <f t="array" aca="1" ref="I39" ca="1">IF(AUTOEVENTO="Manual",ROUND(SUMPRODUCT((CÁLCULO!$M$15:$M$244=EVENTOS!$C39)*(OFFSET(CÁLCULO!$AQ$15:$AQ$244,0,I$13))),2),0)</f>
        <v>0</v>
      </c>
      <c r="J39" s="620" cm="1">
        <f t="array" aca="1" ref="J39" ca="1">IF(AUTOEVENTO="Manual",ROUND(SUMPRODUCT((CÁLCULO!$M$15:$M$244=EVENTOS!$C39)*(OFFSET(CÁLCULO!$AQ$15:$AQ$244,0,J$13))),2),0)</f>
        <v>0</v>
      </c>
      <c r="K39" s="620" cm="1">
        <f t="array" aca="1" ref="K39" ca="1">IF(AUTOEVENTO="Manual",ROUND(SUMPRODUCT((CÁLCULO!$M$15:$M$244=EVENTOS!$C39)*(OFFSET(CÁLCULO!$AQ$15:$AQ$244,0,K$13))),2),0)</f>
        <v>0</v>
      </c>
      <c r="L39" s="620" cm="1">
        <f t="array" aca="1" ref="L39" ca="1">IF(AUTOEVENTO="Manual",ROUND(SUMPRODUCT((CÁLCULO!$M$15:$M$244=EVENTOS!$C39)*(OFFSET(CÁLCULO!$AQ$15:$AQ$244,0,L$13))),2),0)</f>
        <v>0</v>
      </c>
      <c r="M39" s="620" cm="1">
        <f t="array" aca="1" ref="M39" ca="1">IF(AUTOEVENTO="Manual",ROUND(SUMPRODUCT((CÁLCULO!$M$15:$M$244=EVENTOS!$C39)*(OFFSET(CÁLCULO!$AQ$15:$AQ$244,0,M$13))),2),0)</f>
        <v>0</v>
      </c>
      <c r="N39" s="620" cm="1">
        <f t="array" aca="1" ref="N39" ca="1">IF(AUTOEVENTO="Manual",ROUND(SUMPRODUCT((CÁLCULO!$M$15:$M$244=EVENTOS!$C39)*(OFFSET(CÁLCULO!$AQ$15:$AQ$244,0,N$13))),2),0)</f>
        <v>0</v>
      </c>
      <c r="O39" s="620" cm="1">
        <f t="array" aca="1" ref="O39" ca="1">IF(AUTOEVENTO="Manual",ROUND(SUMPRODUCT((CÁLCULO!$M$15:$M$244=EVENTOS!$C39)*(OFFSET(CÁLCULO!$AQ$15:$AQ$244,0,O$13))),2),0)</f>
        <v>0</v>
      </c>
      <c r="P39" s="620" cm="1">
        <f t="array" aca="1" ref="P39" ca="1">IF(AUTOEVENTO="Manual",ROUND(SUMPRODUCT((CÁLCULO!$M$15:$M$244=EVENTOS!$C39)*(OFFSET(CÁLCULO!$AQ$15:$AQ$244,0,P$13))),2),0)</f>
        <v>0</v>
      </c>
      <c r="Q39" s="620" cm="1">
        <f t="array" aca="1" ref="Q39" ca="1">IF(AUTOEVENTO="Manual",ROUND(SUMPRODUCT((CÁLCULO!$M$15:$M$244=EVENTOS!$C39)*(OFFSET(CÁLCULO!$AQ$15:$AQ$244,0,Q$13))),2),0)</f>
        <v>0</v>
      </c>
      <c r="R39" s="620" cm="1">
        <f t="array" aca="1" ref="R39" ca="1">IF(AUTOEVENTO="Manual",ROUND(SUMPRODUCT((CÁLCULO!$M$15:$M$244=EVENTOS!$C39)*(OFFSET(CÁLCULO!$AQ$15:$AQ$244,0,R$13))),2),0)</f>
        <v>0</v>
      </c>
      <c r="S39" s="620" cm="1">
        <f t="array" aca="1" ref="S39" ca="1">IF(AUTOEVENTO="Manual",ROUND(SUMPRODUCT((CÁLCULO!$M$15:$M$244=EVENTOS!$C39)*(OFFSET(CÁLCULO!$AQ$15:$AQ$244,0,S$13))),2),0)</f>
        <v>0</v>
      </c>
      <c r="T39" s="620" cm="1">
        <f t="array" aca="1" ref="T39" ca="1">IF(AUTOEVENTO="Manual",ROUND(SUMPRODUCT((CÁLCULO!$M$15:$M$244=EVENTOS!$C39)*(OFFSET(CÁLCULO!$AQ$15:$AQ$244,0,T$13))),2),0)</f>
        <v>0</v>
      </c>
      <c r="U39" s="620" cm="1">
        <f t="array" aca="1" ref="U39" ca="1">IF(AUTOEVENTO="Manual",ROUND(SUMPRODUCT((CÁLCULO!$M$15:$M$244=EVENTOS!$C39)*(OFFSET(CÁLCULO!$AQ$15:$AQ$244,0,U$13))),2),0)</f>
        <v>0</v>
      </c>
      <c r="V39" s="620" cm="1">
        <f t="array" aca="1" ref="V39" ca="1">IF(AUTOEVENTO="Manual",ROUND(SUMPRODUCT((CÁLCULO!$M$15:$M$244=EVENTOS!$C39)*(OFFSET(CÁLCULO!$AQ$15:$AQ$244,0,V$13))),2),0)</f>
        <v>0</v>
      </c>
      <c r="W39" s="620" cm="1">
        <f t="array" aca="1" ref="W39" ca="1">IF(AUTOEVENTO="Manual",ROUND(SUMPRODUCT((CÁLCULO!$M$15:$M$244=EVENTOS!$C39)*(OFFSET(CÁLCULO!$AQ$15:$AQ$244,0,W$13))),2),0)</f>
        <v>0</v>
      </c>
      <c r="X39" s="620" cm="1">
        <f t="array" aca="1" ref="X39" ca="1">IF(AUTOEVENTO="Manual",ROUND(SUMPRODUCT((CÁLCULO!$M$15:$M$244=EVENTOS!$C39)*(OFFSET(CÁLCULO!$AQ$15:$AQ$244,0,X$13))),2),0)</f>
        <v>0</v>
      </c>
      <c r="Y39" s="620" cm="1">
        <f t="array" aca="1" ref="Y39" ca="1">IF(AUTOEVENTO="Manual",ROUND(SUMPRODUCT((CÁLCULO!$M$15:$M$244=EVENTOS!$C39)*(OFFSET(CÁLCULO!$AQ$15:$AQ$244,0,Y$13))),2),0)</f>
        <v>0</v>
      </c>
      <c r="Z39" s="620" cm="1">
        <f t="array" aca="1" ref="Z39" ca="1">IF(AUTOEVENTO="Manual",ROUND(SUMPRODUCT((CÁLCULO!$M$15:$M$244=EVENTOS!$C39)*(OFFSET(CÁLCULO!$AQ$15:$AQ$244,0,Z$13))),2),0)</f>
        <v>0</v>
      </c>
      <c r="AA39" s="620" cm="1">
        <f t="array" aca="1" ref="AA39" ca="1">IF(AUTOEVENTO="Manual",ROUND(SUMPRODUCT((CÁLCULO!$M$15:$M$244=EVENTOS!$C39)*(OFFSET(CÁLCULO!$AQ$15:$AQ$244,0,AA$13))),2),0)</f>
        <v>0</v>
      </c>
      <c r="AB39" s="620" cm="1">
        <f t="array" aca="1" ref="AB39" ca="1">IF(AUTOEVENTO="Manual",ROUND(SUMPRODUCT((CÁLCULO!$M$15:$M$244=EVENTOS!$C39)*(OFFSET(CÁLCULO!$AQ$15:$AQ$244,0,AB$13))),2),0)</f>
        <v>0</v>
      </c>
      <c r="AC39" s="620" cm="1">
        <f t="array" aca="1" ref="AC39" ca="1">IF(AUTOEVENTO="Manual",ROUND(SUMPRODUCT((CÁLCULO!$M$15:$M$244=EVENTOS!$C39)*(OFFSET(CÁLCULO!$AQ$15:$AQ$244,0,AC$13))),2),0)</f>
        <v>0</v>
      </c>
      <c r="AD39" s="620" cm="1">
        <f t="array" aca="1" ref="AD39" ca="1">IF(AUTOEVENTO="Manual",ROUND(SUMPRODUCT((CÁLCULO!$M$15:$M$244=EVENTOS!$C39)*(OFFSET(CÁLCULO!$AQ$15:$AQ$244,0,AD$13))),2),0)</f>
        <v>0</v>
      </c>
      <c r="AE39" s="620" cm="1">
        <f t="array" aca="1" ref="AE39" ca="1">IF(AUTOEVENTO="Manual",ROUND(SUMPRODUCT((CÁLCULO!$M$15:$M$244=EVENTOS!$C39)*(OFFSET(CÁLCULO!$AQ$15:$AQ$244,0,AE$13))),2),0)</f>
        <v>0</v>
      </c>
      <c r="AF39" s="620" cm="1">
        <f t="array" aca="1" ref="AF39" ca="1">IF(AUTOEVENTO="Manual",ROUND(SUMPRODUCT((CÁLCULO!$M$15:$M$244=EVENTOS!$C39)*(OFFSET(CÁLCULO!$AQ$15:$AQ$244,0,AF$13))),2),0)</f>
        <v>0</v>
      </c>
      <c r="AG39" s="620" cm="1">
        <f t="array" aca="1" ref="AG39" ca="1">IF(AUTOEVENTO="Manual",ROUND(SUMPRODUCT((CÁLCULO!$M$15:$M$244=EVENTOS!$C39)*(OFFSET(CÁLCULO!$AQ$15:$AQ$244,0,AG$13))),2),0)</f>
        <v>0</v>
      </c>
      <c r="AH39" s="620" cm="1">
        <f t="array" aca="1" ref="AH39" ca="1">IF(AUTOEVENTO="Manual",ROUND(SUMPRODUCT((CÁLCULO!$M$15:$M$244=EVENTOS!$C39)*(OFFSET(CÁLCULO!$AQ$15:$AQ$244,0,AH$13))),2),0)</f>
        <v>0</v>
      </c>
      <c r="AI39" s="620" cm="1">
        <f t="array" aca="1" ref="AI39" ca="1">IF(AUTOEVENTO="Manual",ROUND(SUMPRODUCT((CÁLCULO!$M$15:$M$244=EVENTOS!$C39)*(OFFSET(CÁLCULO!$AQ$15:$AQ$244,0,AI$13))),2),0)</f>
        <v>0</v>
      </c>
    </row>
    <row r="40" spans="1:35" x14ac:dyDescent="0.2">
      <c r="A40" s="506" t="str">
        <f t="shared" si="3"/>
        <v/>
      </c>
      <c r="B40" t="str">
        <f t="shared" ca="1" si="4"/>
        <v/>
      </c>
      <c r="C40" s="182" t="str" cm="1">
        <f t="array" aca="1" ref="C40" ca="1">IF(OR(ROW(C40)=ROW(EVENTOS.firstrow)+1,AND(OFFSET(C40,-1,0)&lt;&gt;" ",OFFSET(C40,-1,1)&lt;&gt;"")),OFFSET(C40,-1,0)+1," ")</f>
        <v xml:space="preserve"> </v>
      </c>
      <c r="D40" s="496"/>
      <c r="E40" s="620" cm="1">
        <f t="array" aca="1" ref="E40" ca="1">IF(AUTOEVENTO="Manual",ROUND(SUMPRODUCT((CÁLCULO!$M$15:$M$244=EVENTOS!$C40)*(OFFSET(CÁLCULO!$AQ$15:$AQ$244,0,E$13))),2),0)</f>
        <v>0</v>
      </c>
      <c r="F40" s="183">
        <f ca="1">IF(AUTOEVENTO="Manual",ROUND(SUMPRODUCT((CÁLCULO!$M$15:$M$244=EVENTOS!$C40)*(OFFSET(CÁLCULO!$AQ$15,0,1):OFFSET(CÁLCULO!$BR$244,0,-1))),2),0)</f>
        <v>0</v>
      </c>
      <c r="G40" s="621" t="str">
        <f t="shared" ref="G40:G56" ca="1" si="6">IF(AND(D40=0,F40&gt;0),"NOME",
 IF(AND(D40&lt;&gt;0,$F$14&gt;0,F40=0),"VALOR",
 IF(AND(Import.TipoArredondamento="TransfereGOV",$A40="F",LEN(D40)&gt;100),"Nome &gt;100","")))</f>
        <v/>
      </c>
      <c r="H40" s="620" cm="1">
        <f t="array" aca="1" ref="H40" ca="1">IF(AUTOEVENTO="Manual",ROUND(SUMPRODUCT((CÁLCULO!$M$15:$M$244=EVENTOS!$C40)*(OFFSET(CÁLCULO!$AQ$15:$AQ$244,0,H$13))),2),0)</f>
        <v>0</v>
      </c>
      <c r="I40" s="620" cm="1">
        <f t="array" aca="1" ref="I40" ca="1">IF(AUTOEVENTO="Manual",ROUND(SUMPRODUCT((CÁLCULO!$M$15:$M$244=EVENTOS!$C40)*(OFFSET(CÁLCULO!$AQ$15:$AQ$244,0,I$13))),2),0)</f>
        <v>0</v>
      </c>
      <c r="J40" s="620" cm="1">
        <f t="array" aca="1" ref="J40" ca="1">IF(AUTOEVENTO="Manual",ROUND(SUMPRODUCT((CÁLCULO!$M$15:$M$244=EVENTOS!$C40)*(OFFSET(CÁLCULO!$AQ$15:$AQ$244,0,J$13))),2),0)</f>
        <v>0</v>
      </c>
      <c r="K40" s="620" cm="1">
        <f t="array" aca="1" ref="K40" ca="1">IF(AUTOEVENTO="Manual",ROUND(SUMPRODUCT((CÁLCULO!$M$15:$M$244=EVENTOS!$C40)*(OFFSET(CÁLCULO!$AQ$15:$AQ$244,0,K$13))),2),0)</f>
        <v>0</v>
      </c>
      <c r="L40" s="620" cm="1">
        <f t="array" aca="1" ref="L40" ca="1">IF(AUTOEVENTO="Manual",ROUND(SUMPRODUCT((CÁLCULO!$M$15:$M$244=EVENTOS!$C40)*(OFFSET(CÁLCULO!$AQ$15:$AQ$244,0,L$13))),2),0)</f>
        <v>0</v>
      </c>
      <c r="M40" s="620" cm="1">
        <f t="array" aca="1" ref="M40" ca="1">IF(AUTOEVENTO="Manual",ROUND(SUMPRODUCT((CÁLCULO!$M$15:$M$244=EVENTOS!$C40)*(OFFSET(CÁLCULO!$AQ$15:$AQ$244,0,M$13))),2),0)</f>
        <v>0</v>
      </c>
      <c r="N40" s="620" cm="1">
        <f t="array" aca="1" ref="N40" ca="1">IF(AUTOEVENTO="Manual",ROUND(SUMPRODUCT((CÁLCULO!$M$15:$M$244=EVENTOS!$C40)*(OFFSET(CÁLCULO!$AQ$15:$AQ$244,0,N$13))),2),0)</f>
        <v>0</v>
      </c>
      <c r="O40" s="620" cm="1">
        <f t="array" aca="1" ref="O40" ca="1">IF(AUTOEVENTO="Manual",ROUND(SUMPRODUCT((CÁLCULO!$M$15:$M$244=EVENTOS!$C40)*(OFFSET(CÁLCULO!$AQ$15:$AQ$244,0,O$13))),2),0)</f>
        <v>0</v>
      </c>
      <c r="P40" s="620" cm="1">
        <f t="array" aca="1" ref="P40" ca="1">IF(AUTOEVENTO="Manual",ROUND(SUMPRODUCT((CÁLCULO!$M$15:$M$244=EVENTOS!$C40)*(OFFSET(CÁLCULO!$AQ$15:$AQ$244,0,P$13))),2),0)</f>
        <v>0</v>
      </c>
      <c r="Q40" s="620" cm="1">
        <f t="array" aca="1" ref="Q40" ca="1">IF(AUTOEVENTO="Manual",ROUND(SUMPRODUCT((CÁLCULO!$M$15:$M$244=EVENTOS!$C40)*(OFFSET(CÁLCULO!$AQ$15:$AQ$244,0,Q$13))),2),0)</f>
        <v>0</v>
      </c>
      <c r="R40" s="620" cm="1">
        <f t="array" aca="1" ref="R40" ca="1">IF(AUTOEVENTO="Manual",ROUND(SUMPRODUCT((CÁLCULO!$M$15:$M$244=EVENTOS!$C40)*(OFFSET(CÁLCULO!$AQ$15:$AQ$244,0,R$13))),2),0)</f>
        <v>0</v>
      </c>
      <c r="S40" s="620" cm="1">
        <f t="array" aca="1" ref="S40" ca="1">IF(AUTOEVENTO="Manual",ROUND(SUMPRODUCT((CÁLCULO!$M$15:$M$244=EVENTOS!$C40)*(OFFSET(CÁLCULO!$AQ$15:$AQ$244,0,S$13))),2),0)</f>
        <v>0</v>
      </c>
      <c r="T40" s="620" cm="1">
        <f t="array" aca="1" ref="T40" ca="1">IF(AUTOEVENTO="Manual",ROUND(SUMPRODUCT((CÁLCULO!$M$15:$M$244=EVENTOS!$C40)*(OFFSET(CÁLCULO!$AQ$15:$AQ$244,0,T$13))),2),0)</f>
        <v>0</v>
      </c>
      <c r="U40" s="620" cm="1">
        <f t="array" aca="1" ref="U40" ca="1">IF(AUTOEVENTO="Manual",ROUND(SUMPRODUCT((CÁLCULO!$M$15:$M$244=EVENTOS!$C40)*(OFFSET(CÁLCULO!$AQ$15:$AQ$244,0,U$13))),2),0)</f>
        <v>0</v>
      </c>
      <c r="V40" s="620" cm="1">
        <f t="array" aca="1" ref="V40" ca="1">IF(AUTOEVENTO="Manual",ROUND(SUMPRODUCT((CÁLCULO!$M$15:$M$244=EVENTOS!$C40)*(OFFSET(CÁLCULO!$AQ$15:$AQ$244,0,V$13))),2),0)</f>
        <v>0</v>
      </c>
      <c r="W40" s="620" cm="1">
        <f t="array" aca="1" ref="W40" ca="1">IF(AUTOEVENTO="Manual",ROUND(SUMPRODUCT((CÁLCULO!$M$15:$M$244=EVENTOS!$C40)*(OFFSET(CÁLCULO!$AQ$15:$AQ$244,0,W$13))),2),0)</f>
        <v>0</v>
      </c>
      <c r="X40" s="620" cm="1">
        <f t="array" aca="1" ref="X40" ca="1">IF(AUTOEVENTO="Manual",ROUND(SUMPRODUCT((CÁLCULO!$M$15:$M$244=EVENTOS!$C40)*(OFFSET(CÁLCULO!$AQ$15:$AQ$244,0,X$13))),2),0)</f>
        <v>0</v>
      </c>
      <c r="Y40" s="620" cm="1">
        <f t="array" aca="1" ref="Y40" ca="1">IF(AUTOEVENTO="Manual",ROUND(SUMPRODUCT((CÁLCULO!$M$15:$M$244=EVENTOS!$C40)*(OFFSET(CÁLCULO!$AQ$15:$AQ$244,0,Y$13))),2),0)</f>
        <v>0</v>
      </c>
      <c r="Z40" s="620" cm="1">
        <f t="array" aca="1" ref="Z40" ca="1">IF(AUTOEVENTO="Manual",ROUND(SUMPRODUCT((CÁLCULO!$M$15:$M$244=EVENTOS!$C40)*(OFFSET(CÁLCULO!$AQ$15:$AQ$244,0,Z$13))),2),0)</f>
        <v>0</v>
      </c>
      <c r="AA40" s="620" cm="1">
        <f t="array" aca="1" ref="AA40" ca="1">IF(AUTOEVENTO="Manual",ROUND(SUMPRODUCT((CÁLCULO!$M$15:$M$244=EVENTOS!$C40)*(OFFSET(CÁLCULO!$AQ$15:$AQ$244,0,AA$13))),2),0)</f>
        <v>0</v>
      </c>
      <c r="AB40" s="620" cm="1">
        <f t="array" aca="1" ref="AB40" ca="1">IF(AUTOEVENTO="Manual",ROUND(SUMPRODUCT((CÁLCULO!$M$15:$M$244=EVENTOS!$C40)*(OFFSET(CÁLCULO!$AQ$15:$AQ$244,0,AB$13))),2),0)</f>
        <v>0</v>
      </c>
      <c r="AC40" s="620" cm="1">
        <f t="array" aca="1" ref="AC40" ca="1">IF(AUTOEVENTO="Manual",ROUND(SUMPRODUCT((CÁLCULO!$M$15:$M$244=EVENTOS!$C40)*(OFFSET(CÁLCULO!$AQ$15:$AQ$244,0,AC$13))),2),0)</f>
        <v>0</v>
      </c>
      <c r="AD40" s="620" cm="1">
        <f t="array" aca="1" ref="AD40" ca="1">IF(AUTOEVENTO="Manual",ROUND(SUMPRODUCT((CÁLCULO!$M$15:$M$244=EVENTOS!$C40)*(OFFSET(CÁLCULO!$AQ$15:$AQ$244,0,AD$13))),2),0)</f>
        <v>0</v>
      </c>
      <c r="AE40" s="620" cm="1">
        <f t="array" aca="1" ref="AE40" ca="1">IF(AUTOEVENTO="Manual",ROUND(SUMPRODUCT((CÁLCULO!$M$15:$M$244=EVENTOS!$C40)*(OFFSET(CÁLCULO!$AQ$15:$AQ$244,0,AE$13))),2),0)</f>
        <v>0</v>
      </c>
      <c r="AF40" s="620" cm="1">
        <f t="array" aca="1" ref="AF40" ca="1">IF(AUTOEVENTO="Manual",ROUND(SUMPRODUCT((CÁLCULO!$M$15:$M$244=EVENTOS!$C40)*(OFFSET(CÁLCULO!$AQ$15:$AQ$244,0,AF$13))),2),0)</f>
        <v>0</v>
      </c>
      <c r="AG40" s="620" cm="1">
        <f t="array" aca="1" ref="AG40" ca="1">IF(AUTOEVENTO="Manual",ROUND(SUMPRODUCT((CÁLCULO!$M$15:$M$244=EVENTOS!$C40)*(OFFSET(CÁLCULO!$AQ$15:$AQ$244,0,AG$13))),2),0)</f>
        <v>0</v>
      </c>
      <c r="AH40" s="620" cm="1">
        <f t="array" aca="1" ref="AH40" ca="1">IF(AUTOEVENTO="Manual",ROUND(SUMPRODUCT((CÁLCULO!$M$15:$M$244=EVENTOS!$C40)*(OFFSET(CÁLCULO!$AQ$15:$AQ$244,0,AH$13))),2),0)</f>
        <v>0</v>
      </c>
      <c r="AI40" s="620" cm="1">
        <f t="array" aca="1" ref="AI40" ca="1">IF(AUTOEVENTO="Manual",ROUND(SUMPRODUCT((CÁLCULO!$M$15:$M$244=EVENTOS!$C40)*(OFFSET(CÁLCULO!$AQ$15:$AQ$244,0,AI$13))),2),0)</f>
        <v>0</v>
      </c>
    </row>
    <row r="41" spans="1:35" x14ac:dyDescent="0.2">
      <c r="A41" s="506" t="str">
        <f t="shared" si="3"/>
        <v/>
      </c>
      <c r="B41" t="str">
        <f t="shared" ca="1" si="4"/>
        <v/>
      </c>
      <c r="C41" s="182" t="str" cm="1">
        <f t="array" aca="1" ref="C41" ca="1">IF(OR(ROW(C41)=ROW(EVENTOS.firstrow)+1,AND(OFFSET(C41,-1,0)&lt;&gt;" ",OFFSET(C41,-1,1)&lt;&gt;"")),OFFSET(C41,-1,0)+1," ")</f>
        <v xml:space="preserve"> </v>
      </c>
      <c r="D41" s="496"/>
      <c r="E41" s="620" cm="1">
        <f t="array" aca="1" ref="E41" ca="1">IF(AUTOEVENTO="Manual",ROUND(SUMPRODUCT((CÁLCULO!$M$15:$M$244=EVENTOS!$C41)*(OFFSET(CÁLCULO!$AQ$15:$AQ$244,0,E$13))),2),0)</f>
        <v>0</v>
      </c>
      <c r="F41" s="183">
        <f ca="1">IF(AUTOEVENTO="Manual",ROUND(SUMPRODUCT((CÁLCULO!$M$15:$M$244=EVENTOS!$C41)*(OFFSET(CÁLCULO!$AQ$15,0,1):OFFSET(CÁLCULO!$BR$244,0,-1))),2),0)</f>
        <v>0</v>
      </c>
      <c r="G41" s="621" t="str">
        <f t="shared" ca="1" si="6"/>
        <v/>
      </c>
      <c r="H41" s="620" cm="1">
        <f t="array" aca="1" ref="H41" ca="1">IF(AUTOEVENTO="Manual",ROUND(SUMPRODUCT((CÁLCULO!$M$15:$M$244=EVENTOS!$C41)*(OFFSET(CÁLCULO!$AQ$15:$AQ$244,0,H$13))),2),0)</f>
        <v>0</v>
      </c>
      <c r="I41" s="620" cm="1">
        <f t="array" aca="1" ref="I41" ca="1">IF(AUTOEVENTO="Manual",ROUND(SUMPRODUCT((CÁLCULO!$M$15:$M$244=EVENTOS!$C41)*(OFFSET(CÁLCULO!$AQ$15:$AQ$244,0,I$13))),2),0)</f>
        <v>0</v>
      </c>
      <c r="J41" s="620" cm="1">
        <f t="array" aca="1" ref="J41" ca="1">IF(AUTOEVENTO="Manual",ROUND(SUMPRODUCT((CÁLCULO!$M$15:$M$244=EVENTOS!$C41)*(OFFSET(CÁLCULO!$AQ$15:$AQ$244,0,J$13))),2),0)</f>
        <v>0</v>
      </c>
      <c r="K41" s="620" cm="1">
        <f t="array" aca="1" ref="K41" ca="1">IF(AUTOEVENTO="Manual",ROUND(SUMPRODUCT((CÁLCULO!$M$15:$M$244=EVENTOS!$C41)*(OFFSET(CÁLCULO!$AQ$15:$AQ$244,0,K$13))),2),0)</f>
        <v>0</v>
      </c>
      <c r="L41" s="620" cm="1">
        <f t="array" aca="1" ref="L41" ca="1">IF(AUTOEVENTO="Manual",ROUND(SUMPRODUCT((CÁLCULO!$M$15:$M$244=EVENTOS!$C41)*(OFFSET(CÁLCULO!$AQ$15:$AQ$244,0,L$13))),2),0)</f>
        <v>0</v>
      </c>
      <c r="M41" s="620" cm="1">
        <f t="array" aca="1" ref="M41" ca="1">IF(AUTOEVENTO="Manual",ROUND(SUMPRODUCT((CÁLCULO!$M$15:$M$244=EVENTOS!$C41)*(OFFSET(CÁLCULO!$AQ$15:$AQ$244,0,M$13))),2),0)</f>
        <v>0</v>
      </c>
      <c r="N41" s="620" cm="1">
        <f t="array" aca="1" ref="N41" ca="1">IF(AUTOEVENTO="Manual",ROUND(SUMPRODUCT((CÁLCULO!$M$15:$M$244=EVENTOS!$C41)*(OFFSET(CÁLCULO!$AQ$15:$AQ$244,0,N$13))),2),0)</f>
        <v>0</v>
      </c>
      <c r="O41" s="620" cm="1">
        <f t="array" aca="1" ref="O41" ca="1">IF(AUTOEVENTO="Manual",ROUND(SUMPRODUCT((CÁLCULO!$M$15:$M$244=EVENTOS!$C41)*(OFFSET(CÁLCULO!$AQ$15:$AQ$244,0,O$13))),2),0)</f>
        <v>0</v>
      </c>
      <c r="P41" s="620" cm="1">
        <f t="array" aca="1" ref="P41" ca="1">IF(AUTOEVENTO="Manual",ROUND(SUMPRODUCT((CÁLCULO!$M$15:$M$244=EVENTOS!$C41)*(OFFSET(CÁLCULO!$AQ$15:$AQ$244,0,P$13))),2),0)</f>
        <v>0</v>
      </c>
      <c r="Q41" s="620" cm="1">
        <f t="array" aca="1" ref="Q41" ca="1">IF(AUTOEVENTO="Manual",ROUND(SUMPRODUCT((CÁLCULO!$M$15:$M$244=EVENTOS!$C41)*(OFFSET(CÁLCULO!$AQ$15:$AQ$244,0,Q$13))),2),0)</f>
        <v>0</v>
      </c>
      <c r="R41" s="620" cm="1">
        <f t="array" aca="1" ref="R41" ca="1">IF(AUTOEVENTO="Manual",ROUND(SUMPRODUCT((CÁLCULO!$M$15:$M$244=EVENTOS!$C41)*(OFFSET(CÁLCULO!$AQ$15:$AQ$244,0,R$13))),2),0)</f>
        <v>0</v>
      </c>
      <c r="S41" s="620" cm="1">
        <f t="array" aca="1" ref="S41" ca="1">IF(AUTOEVENTO="Manual",ROUND(SUMPRODUCT((CÁLCULO!$M$15:$M$244=EVENTOS!$C41)*(OFFSET(CÁLCULO!$AQ$15:$AQ$244,0,S$13))),2),0)</f>
        <v>0</v>
      </c>
      <c r="T41" s="620" cm="1">
        <f t="array" aca="1" ref="T41" ca="1">IF(AUTOEVENTO="Manual",ROUND(SUMPRODUCT((CÁLCULO!$M$15:$M$244=EVENTOS!$C41)*(OFFSET(CÁLCULO!$AQ$15:$AQ$244,0,T$13))),2),0)</f>
        <v>0</v>
      </c>
      <c r="U41" s="620" cm="1">
        <f t="array" aca="1" ref="U41" ca="1">IF(AUTOEVENTO="Manual",ROUND(SUMPRODUCT((CÁLCULO!$M$15:$M$244=EVENTOS!$C41)*(OFFSET(CÁLCULO!$AQ$15:$AQ$244,0,U$13))),2),0)</f>
        <v>0</v>
      </c>
      <c r="V41" s="620" cm="1">
        <f t="array" aca="1" ref="V41" ca="1">IF(AUTOEVENTO="Manual",ROUND(SUMPRODUCT((CÁLCULO!$M$15:$M$244=EVENTOS!$C41)*(OFFSET(CÁLCULO!$AQ$15:$AQ$244,0,V$13))),2),0)</f>
        <v>0</v>
      </c>
      <c r="W41" s="620" cm="1">
        <f t="array" aca="1" ref="W41" ca="1">IF(AUTOEVENTO="Manual",ROUND(SUMPRODUCT((CÁLCULO!$M$15:$M$244=EVENTOS!$C41)*(OFFSET(CÁLCULO!$AQ$15:$AQ$244,0,W$13))),2),0)</f>
        <v>0</v>
      </c>
      <c r="X41" s="620" cm="1">
        <f t="array" aca="1" ref="X41" ca="1">IF(AUTOEVENTO="Manual",ROUND(SUMPRODUCT((CÁLCULO!$M$15:$M$244=EVENTOS!$C41)*(OFFSET(CÁLCULO!$AQ$15:$AQ$244,0,X$13))),2),0)</f>
        <v>0</v>
      </c>
      <c r="Y41" s="620" cm="1">
        <f t="array" aca="1" ref="Y41" ca="1">IF(AUTOEVENTO="Manual",ROUND(SUMPRODUCT((CÁLCULO!$M$15:$M$244=EVENTOS!$C41)*(OFFSET(CÁLCULO!$AQ$15:$AQ$244,0,Y$13))),2),0)</f>
        <v>0</v>
      </c>
      <c r="Z41" s="620" cm="1">
        <f t="array" aca="1" ref="Z41" ca="1">IF(AUTOEVENTO="Manual",ROUND(SUMPRODUCT((CÁLCULO!$M$15:$M$244=EVENTOS!$C41)*(OFFSET(CÁLCULO!$AQ$15:$AQ$244,0,Z$13))),2),0)</f>
        <v>0</v>
      </c>
      <c r="AA41" s="620" cm="1">
        <f t="array" aca="1" ref="AA41" ca="1">IF(AUTOEVENTO="Manual",ROUND(SUMPRODUCT((CÁLCULO!$M$15:$M$244=EVENTOS!$C41)*(OFFSET(CÁLCULO!$AQ$15:$AQ$244,0,AA$13))),2),0)</f>
        <v>0</v>
      </c>
      <c r="AB41" s="620" cm="1">
        <f t="array" aca="1" ref="AB41" ca="1">IF(AUTOEVENTO="Manual",ROUND(SUMPRODUCT((CÁLCULO!$M$15:$M$244=EVENTOS!$C41)*(OFFSET(CÁLCULO!$AQ$15:$AQ$244,0,AB$13))),2),0)</f>
        <v>0</v>
      </c>
      <c r="AC41" s="620" cm="1">
        <f t="array" aca="1" ref="AC41" ca="1">IF(AUTOEVENTO="Manual",ROUND(SUMPRODUCT((CÁLCULO!$M$15:$M$244=EVENTOS!$C41)*(OFFSET(CÁLCULO!$AQ$15:$AQ$244,0,AC$13))),2),0)</f>
        <v>0</v>
      </c>
      <c r="AD41" s="620" cm="1">
        <f t="array" aca="1" ref="AD41" ca="1">IF(AUTOEVENTO="Manual",ROUND(SUMPRODUCT((CÁLCULO!$M$15:$M$244=EVENTOS!$C41)*(OFFSET(CÁLCULO!$AQ$15:$AQ$244,0,AD$13))),2),0)</f>
        <v>0</v>
      </c>
      <c r="AE41" s="620" cm="1">
        <f t="array" aca="1" ref="AE41" ca="1">IF(AUTOEVENTO="Manual",ROUND(SUMPRODUCT((CÁLCULO!$M$15:$M$244=EVENTOS!$C41)*(OFFSET(CÁLCULO!$AQ$15:$AQ$244,0,AE$13))),2),0)</f>
        <v>0</v>
      </c>
      <c r="AF41" s="620" cm="1">
        <f t="array" aca="1" ref="AF41" ca="1">IF(AUTOEVENTO="Manual",ROUND(SUMPRODUCT((CÁLCULO!$M$15:$M$244=EVENTOS!$C41)*(OFFSET(CÁLCULO!$AQ$15:$AQ$244,0,AF$13))),2),0)</f>
        <v>0</v>
      </c>
      <c r="AG41" s="620" cm="1">
        <f t="array" aca="1" ref="AG41" ca="1">IF(AUTOEVENTO="Manual",ROUND(SUMPRODUCT((CÁLCULO!$M$15:$M$244=EVENTOS!$C41)*(OFFSET(CÁLCULO!$AQ$15:$AQ$244,0,AG$13))),2),0)</f>
        <v>0</v>
      </c>
      <c r="AH41" s="620" cm="1">
        <f t="array" aca="1" ref="AH41" ca="1">IF(AUTOEVENTO="Manual",ROUND(SUMPRODUCT((CÁLCULO!$M$15:$M$244=EVENTOS!$C41)*(OFFSET(CÁLCULO!$AQ$15:$AQ$244,0,AH$13))),2),0)</f>
        <v>0</v>
      </c>
      <c r="AI41" s="620" cm="1">
        <f t="array" aca="1" ref="AI41" ca="1">IF(AUTOEVENTO="Manual",ROUND(SUMPRODUCT((CÁLCULO!$M$15:$M$244=EVENTOS!$C41)*(OFFSET(CÁLCULO!$AQ$15:$AQ$244,0,AI$13))),2),0)</f>
        <v>0</v>
      </c>
    </row>
    <row r="42" spans="1:35" x14ac:dyDescent="0.2">
      <c r="A42" s="506" t="str">
        <f t="shared" si="3"/>
        <v/>
      </c>
      <c r="B42" t="str">
        <f t="shared" ca="1" si="4"/>
        <v/>
      </c>
      <c r="C42" s="182" t="str" cm="1">
        <f t="array" aca="1" ref="C42" ca="1">IF(OR(ROW(C42)=ROW(EVENTOS.firstrow)+1,AND(OFFSET(C42,-1,0)&lt;&gt;" ",OFFSET(C42,-1,1)&lt;&gt;"")),OFFSET(C42,-1,0)+1," ")</f>
        <v xml:space="preserve"> </v>
      </c>
      <c r="D42" s="496"/>
      <c r="E42" s="620" cm="1">
        <f t="array" aca="1" ref="E42" ca="1">IF(AUTOEVENTO="Manual",ROUND(SUMPRODUCT((CÁLCULO!$M$15:$M$244=EVENTOS!$C42)*(OFFSET(CÁLCULO!$AQ$15:$AQ$244,0,E$13))),2),0)</f>
        <v>0</v>
      </c>
      <c r="F42" s="183">
        <f ca="1">IF(AUTOEVENTO="Manual",ROUND(SUMPRODUCT((CÁLCULO!$M$15:$M$244=EVENTOS!$C42)*(OFFSET(CÁLCULO!$AQ$15,0,1):OFFSET(CÁLCULO!$BR$244,0,-1))),2),0)</f>
        <v>0</v>
      </c>
      <c r="G42" s="621" t="str">
        <f t="shared" ca="1" si="6"/>
        <v/>
      </c>
      <c r="H42" s="620" cm="1">
        <f t="array" aca="1" ref="H42" ca="1">IF(AUTOEVENTO="Manual",ROUND(SUMPRODUCT((CÁLCULO!$M$15:$M$244=EVENTOS!$C42)*(OFFSET(CÁLCULO!$AQ$15:$AQ$244,0,H$13))),2),0)</f>
        <v>0</v>
      </c>
      <c r="I42" s="620" cm="1">
        <f t="array" aca="1" ref="I42" ca="1">IF(AUTOEVENTO="Manual",ROUND(SUMPRODUCT((CÁLCULO!$M$15:$M$244=EVENTOS!$C42)*(OFFSET(CÁLCULO!$AQ$15:$AQ$244,0,I$13))),2),0)</f>
        <v>0</v>
      </c>
      <c r="J42" s="620" cm="1">
        <f t="array" aca="1" ref="J42" ca="1">IF(AUTOEVENTO="Manual",ROUND(SUMPRODUCT((CÁLCULO!$M$15:$M$244=EVENTOS!$C42)*(OFFSET(CÁLCULO!$AQ$15:$AQ$244,0,J$13))),2),0)</f>
        <v>0</v>
      </c>
      <c r="K42" s="620" cm="1">
        <f t="array" aca="1" ref="K42" ca="1">IF(AUTOEVENTO="Manual",ROUND(SUMPRODUCT((CÁLCULO!$M$15:$M$244=EVENTOS!$C42)*(OFFSET(CÁLCULO!$AQ$15:$AQ$244,0,K$13))),2),0)</f>
        <v>0</v>
      </c>
      <c r="L42" s="620" cm="1">
        <f t="array" aca="1" ref="L42" ca="1">IF(AUTOEVENTO="Manual",ROUND(SUMPRODUCT((CÁLCULO!$M$15:$M$244=EVENTOS!$C42)*(OFFSET(CÁLCULO!$AQ$15:$AQ$244,0,L$13))),2),0)</f>
        <v>0</v>
      </c>
      <c r="M42" s="620" cm="1">
        <f t="array" aca="1" ref="M42" ca="1">IF(AUTOEVENTO="Manual",ROUND(SUMPRODUCT((CÁLCULO!$M$15:$M$244=EVENTOS!$C42)*(OFFSET(CÁLCULO!$AQ$15:$AQ$244,0,M$13))),2),0)</f>
        <v>0</v>
      </c>
      <c r="N42" s="620" cm="1">
        <f t="array" aca="1" ref="N42" ca="1">IF(AUTOEVENTO="Manual",ROUND(SUMPRODUCT((CÁLCULO!$M$15:$M$244=EVENTOS!$C42)*(OFFSET(CÁLCULO!$AQ$15:$AQ$244,0,N$13))),2),0)</f>
        <v>0</v>
      </c>
      <c r="O42" s="620" cm="1">
        <f t="array" aca="1" ref="O42" ca="1">IF(AUTOEVENTO="Manual",ROUND(SUMPRODUCT((CÁLCULO!$M$15:$M$244=EVENTOS!$C42)*(OFFSET(CÁLCULO!$AQ$15:$AQ$244,0,O$13))),2),0)</f>
        <v>0</v>
      </c>
      <c r="P42" s="620" cm="1">
        <f t="array" aca="1" ref="P42" ca="1">IF(AUTOEVENTO="Manual",ROUND(SUMPRODUCT((CÁLCULO!$M$15:$M$244=EVENTOS!$C42)*(OFFSET(CÁLCULO!$AQ$15:$AQ$244,0,P$13))),2),0)</f>
        <v>0</v>
      </c>
      <c r="Q42" s="620" cm="1">
        <f t="array" aca="1" ref="Q42" ca="1">IF(AUTOEVENTO="Manual",ROUND(SUMPRODUCT((CÁLCULO!$M$15:$M$244=EVENTOS!$C42)*(OFFSET(CÁLCULO!$AQ$15:$AQ$244,0,Q$13))),2),0)</f>
        <v>0</v>
      </c>
      <c r="R42" s="620" cm="1">
        <f t="array" aca="1" ref="R42" ca="1">IF(AUTOEVENTO="Manual",ROUND(SUMPRODUCT((CÁLCULO!$M$15:$M$244=EVENTOS!$C42)*(OFFSET(CÁLCULO!$AQ$15:$AQ$244,0,R$13))),2),0)</f>
        <v>0</v>
      </c>
      <c r="S42" s="620" cm="1">
        <f t="array" aca="1" ref="S42" ca="1">IF(AUTOEVENTO="Manual",ROUND(SUMPRODUCT((CÁLCULO!$M$15:$M$244=EVENTOS!$C42)*(OFFSET(CÁLCULO!$AQ$15:$AQ$244,0,S$13))),2),0)</f>
        <v>0</v>
      </c>
      <c r="T42" s="620" cm="1">
        <f t="array" aca="1" ref="T42" ca="1">IF(AUTOEVENTO="Manual",ROUND(SUMPRODUCT((CÁLCULO!$M$15:$M$244=EVENTOS!$C42)*(OFFSET(CÁLCULO!$AQ$15:$AQ$244,0,T$13))),2),0)</f>
        <v>0</v>
      </c>
      <c r="U42" s="620" cm="1">
        <f t="array" aca="1" ref="U42" ca="1">IF(AUTOEVENTO="Manual",ROUND(SUMPRODUCT((CÁLCULO!$M$15:$M$244=EVENTOS!$C42)*(OFFSET(CÁLCULO!$AQ$15:$AQ$244,0,U$13))),2),0)</f>
        <v>0</v>
      </c>
      <c r="V42" s="620" cm="1">
        <f t="array" aca="1" ref="V42" ca="1">IF(AUTOEVENTO="Manual",ROUND(SUMPRODUCT((CÁLCULO!$M$15:$M$244=EVENTOS!$C42)*(OFFSET(CÁLCULO!$AQ$15:$AQ$244,0,V$13))),2),0)</f>
        <v>0</v>
      </c>
      <c r="W42" s="620" cm="1">
        <f t="array" aca="1" ref="W42" ca="1">IF(AUTOEVENTO="Manual",ROUND(SUMPRODUCT((CÁLCULO!$M$15:$M$244=EVENTOS!$C42)*(OFFSET(CÁLCULO!$AQ$15:$AQ$244,0,W$13))),2),0)</f>
        <v>0</v>
      </c>
      <c r="X42" s="620" cm="1">
        <f t="array" aca="1" ref="X42" ca="1">IF(AUTOEVENTO="Manual",ROUND(SUMPRODUCT((CÁLCULO!$M$15:$M$244=EVENTOS!$C42)*(OFFSET(CÁLCULO!$AQ$15:$AQ$244,0,X$13))),2),0)</f>
        <v>0</v>
      </c>
      <c r="Y42" s="620" cm="1">
        <f t="array" aca="1" ref="Y42" ca="1">IF(AUTOEVENTO="Manual",ROUND(SUMPRODUCT((CÁLCULO!$M$15:$M$244=EVENTOS!$C42)*(OFFSET(CÁLCULO!$AQ$15:$AQ$244,0,Y$13))),2),0)</f>
        <v>0</v>
      </c>
      <c r="Z42" s="620" cm="1">
        <f t="array" aca="1" ref="Z42" ca="1">IF(AUTOEVENTO="Manual",ROUND(SUMPRODUCT((CÁLCULO!$M$15:$M$244=EVENTOS!$C42)*(OFFSET(CÁLCULO!$AQ$15:$AQ$244,0,Z$13))),2),0)</f>
        <v>0</v>
      </c>
      <c r="AA42" s="620" cm="1">
        <f t="array" aca="1" ref="AA42" ca="1">IF(AUTOEVENTO="Manual",ROUND(SUMPRODUCT((CÁLCULO!$M$15:$M$244=EVENTOS!$C42)*(OFFSET(CÁLCULO!$AQ$15:$AQ$244,0,AA$13))),2),0)</f>
        <v>0</v>
      </c>
      <c r="AB42" s="620" cm="1">
        <f t="array" aca="1" ref="AB42" ca="1">IF(AUTOEVENTO="Manual",ROUND(SUMPRODUCT((CÁLCULO!$M$15:$M$244=EVENTOS!$C42)*(OFFSET(CÁLCULO!$AQ$15:$AQ$244,0,AB$13))),2),0)</f>
        <v>0</v>
      </c>
      <c r="AC42" s="620" cm="1">
        <f t="array" aca="1" ref="AC42" ca="1">IF(AUTOEVENTO="Manual",ROUND(SUMPRODUCT((CÁLCULO!$M$15:$M$244=EVENTOS!$C42)*(OFFSET(CÁLCULO!$AQ$15:$AQ$244,0,AC$13))),2),0)</f>
        <v>0</v>
      </c>
      <c r="AD42" s="620" cm="1">
        <f t="array" aca="1" ref="AD42" ca="1">IF(AUTOEVENTO="Manual",ROUND(SUMPRODUCT((CÁLCULO!$M$15:$M$244=EVENTOS!$C42)*(OFFSET(CÁLCULO!$AQ$15:$AQ$244,0,AD$13))),2),0)</f>
        <v>0</v>
      </c>
      <c r="AE42" s="620" cm="1">
        <f t="array" aca="1" ref="AE42" ca="1">IF(AUTOEVENTO="Manual",ROUND(SUMPRODUCT((CÁLCULO!$M$15:$M$244=EVENTOS!$C42)*(OFFSET(CÁLCULO!$AQ$15:$AQ$244,0,AE$13))),2),0)</f>
        <v>0</v>
      </c>
      <c r="AF42" s="620" cm="1">
        <f t="array" aca="1" ref="AF42" ca="1">IF(AUTOEVENTO="Manual",ROUND(SUMPRODUCT((CÁLCULO!$M$15:$M$244=EVENTOS!$C42)*(OFFSET(CÁLCULO!$AQ$15:$AQ$244,0,AF$13))),2),0)</f>
        <v>0</v>
      </c>
      <c r="AG42" s="620" cm="1">
        <f t="array" aca="1" ref="AG42" ca="1">IF(AUTOEVENTO="Manual",ROUND(SUMPRODUCT((CÁLCULO!$M$15:$M$244=EVENTOS!$C42)*(OFFSET(CÁLCULO!$AQ$15:$AQ$244,0,AG$13))),2),0)</f>
        <v>0</v>
      </c>
      <c r="AH42" s="620" cm="1">
        <f t="array" aca="1" ref="AH42" ca="1">IF(AUTOEVENTO="Manual",ROUND(SUMPRODUCT((CÁLCULO!$M$15:$M$244=EVENTOS!$C42)*(OFFSET(CÁLCULO!$AQ$15:$AQ$244,0,AH$13))),2),0)</f>
        <v>0</v>
      </c>
      <c r="AI42" s="620" cm="1">
        <f t="array" aca="1" ref="AI42" ca="1">IF(AUTOEVENTO="Manual",ROUND(SUMPRODUCT((CÁLCULO!$M$15:$M$244=EVENTOS!$C42)*(OFFSET(CÁLCULO!$AQ$15:$AQ$244,0,AI$13))),2),0)</f>
        <v>0</v>
      </c>
    </row>
    <row r="43" spans="1:35" x14ac:dyDescent="0.2">
      <c r="A43" s="506" t="str">
        <f t="shared" si="3"/>
        <v/>
      </c>
      <c r="B43" t="str">
        <f t="shared" ca="1" si="4"/>
        <v/>
      </c>
      <c r="C43" s="182" t="str" cm="1">
        <f t="array" aca="1" ref="C43" ca="1">IF(OR(ROW(C43)=ROW(EVENTOS.firstrow)+1,AND(OFFSET(C43,-1,0)&lt;&gt;" ",OFFSET(C43,-1,1)&lt;&gt;"")),OFFSET(C43,-1,0)+1," ")</f>
        <v xml:space="preserve"> </v>
      </c>
      <c r="D43" s="496"/>
      <c r="E43" s="620" cm="1">
        <f t="array" aca="1" ref="E43" ca="1">IF(AUTOEVENTO="Manual",ROUND(SUMPRODUCT((CÁLCULO!$M$15:$M$244=EVENTOS!$C43)*(OFFSET(CÁLCULO!$AQ$15:$AQ$244,0,E$13))),2),0)</f>
        <v>0</v>
      </c>
      <c r="F43" s="183">
        <f ca="1">IF(AUTOEVENTO="Manual",ROUND(SUMPRODUCT((CÁLCULO!$M$15:$M$244=EVENTOS!$C43)*(OFFSET(CÁLCULO!$AQ$15,0,1):OFFSET(CÁLCULO!$BR$244,0,-1))),2),0)</f>
        <v>0</v>
      </c>
      <c r="G43" s="621" t="str">
        <f t="shared" ca="1" si="6"/>
        <v/>
      </c>
      <c r="H43" s="620" cm="1">
        <f t="array" aca="1" ref="H43" ca="1">IF(AUTOEVENTO="Manual",ROUND(SUMPRODUCT((CÁLCULO!$M$15:$M$244=EVENTOS!$C43)*(OFFSET(CÁLCULO!$AQ$15:$AQ$244,0,H$13))),2),0)</f>
        <v>0</v>
      </c>
      <c r="I43" s="620" cm="1">
        <f t="array" aca="1" ref="I43" ca="1">IF(AUTOEVENTO="Manual",ROUND(SUMPRODUCT((CÁLCULO!$M$15:$M$244=EVENTOS!$C43)*(OFFSET(CÁLCULO!$AQ$15:$AQ$244,0,I$13))),2),0)</f>
        <v>0</v>
      </c>
      <c r="J43" s="620" cm="1">
        <f t="array" aca="1" ref="J43" ca="1">IF(AUTOEVENTO="Manual",ROUND(SUMPRODUCT((CÁLCULO!$M$15:$M$244=EVENTOS!$C43)*(OFFSET(CÁLCULO!$AQ$15:$AQ$244,0,J$13))),2),0)</f>
        <v>0</v>
      </c>
      <c r="K43" s="620" cm="1">
        <f t="array" aca="1" ref="K43" ca="1">IF(AUTOEVENTO="Manual",ROUND(SUMPRODUCT((CÁLCULO!$M$15:$M$244=EVENTOS!$C43)*(OFFSET(CÁLCULO!$AQ$15:$AQ$244,0,K$13))),2),0)</f>
        <v>0</v>
      </c>
      <c r="L43" s="620" cm="1">
        <f t="array" aca="1" ref="L43" ca="1">IF(AUTOEVENTO="Manual",ROUND(SUMPRODUCT((CÁLCULO!$M$15:$M$244=EVENTOS!$C43)*(OFFSET(CÁLCULO!$AQ$15:$AQ$244,0,L$13))),2),0)</f>
        <v>0</v>
      </c>
      <c r="M43" s="620" cm="1">
        <f t="array" aca="1" ref="M43" ca="1">IF(AUTOEVENTO="Manual",ROUND(SUMPRODUCT((CÁLCULO!$M$15:$M$244=EVENTOS!$C43)*(OFFSET(CÁLCULO!$AQ$15:$AQ$244,0,M$13))),2),0)</f>
        <v>0</v>
      </c>
      <c r="N43" s="620" cm="1">
        <f t="array" aca="1" ref="N43" ca="1">IF(AUTOEVENTO="Manual",ROUND(SUMPRODUCT((CÁLCULO!$M$15:$M$244=EVENTOS!$C43)*(OFFSET(CÁLCULO!$AQ$15:$AQ$244,0,N$13))),2),0)</f>
        <v>0</v>
      </c>
      <c r="O43" s="620" cm="1">
        <f t="array" aca="1" ref="O43" ca="1">IF(AUTOEVENTO="Manual",ROUND(SUMPRODUCT((CÁLCULO!$M$15:$M$244=EVENTOS!$C43)*(OFFSET(CÁLCULO!$AQ$15:$AQ$244,0,O$13))),2),0)</f>
        <v>0</v>
      </c>
      <c r="P43" s="620" cm="1">
        <f t="array" aca="1" ref="P43" ca="1">IF(AUTOEVENTO="Manual",ROUND(SUMPRODUCT((CÁLCULO!$M$15:$M$244=EVENTOS!$C43)*(OFFSET(CÁLCULO!$AQ$15:$AQ$244,0,P$13))),2),0)</f>
        <v>0</v>
      </c>
      <c r="Q43" s="620" cm="1">
        <f t="array" aca="1" ref="Q43" ca="1">IF(AUTOEVENTO="Manual",ROUND(SUMPRODUCT((CÁLCULO!$M$15:$M$244=EVENTOS!$C43)*(OFFSET(CÁLCULO!$AQ$15:$AQ$244,0,Q$13))),2),0)</f>
        <v>0</v>
      </c>
      <c r="R43" s="620" cm="1">
        <f t="array" aca="1" ref="R43" ca="1">IF(AUTOEVENTO="Manual",ROUND(SUMPRODUCT((CÁLCULO!$M$15:$M$244=EVENTOS!$C43)*(OFFSET(CÁLCULO!$AQ$15:$AQ$244,0,R$13))),2),0)</f>
        <v>0</v>
      </c>
      <c r="S43" s="620" cm="1">
        <f t="array" aca="1" ref="S43" ca="1">IF(AUTOEVENTO="Manual",ROUND(SUMPRODUCT((CÁLCULO!$M$15:$M$244=EVENTOS!$C43)*(OFFSET(CÁLCULO!$AQ$15:$AQ$244,0,S$13))),2),0)</f>
        <v>0</v>
      </c>
      <c r="T43" s="620" cm="1">
        <f t="array" aca="1" ref="T43" ca="1">IF(AUTOEVENTO="Manual",ROUND(SUMPRODUCT((CÁLCULO!$M$15:$M$244=EVENTOS!$C43)*(OFFSET(CÁLCULO!$AQ$15:$AQ$244,0,T$13))),2),0)</f>
        <v>0</v>
      </c>
      <c r="U43" s="620" cm="1">
        <f t="array" aca="1" ref="U43" ca="1">IF(AUTOEVENTO="Manual",ROUND(SUMPRODUCT((CÁLCULO!$M$15:$M$244=EVENTOS!$C43)*(OFFSET(CÁLCULO!$AQ$15:$AQ$244,0,U$13))),2),0)</f>
        <v>0</v>
      </c>
      <c r="V43" s="620" cm="1">
        <f t="array" aca="1" ref="V43" ca="1">IF(AUTOEVENTO="Manual",ROUND(SUMPRODUCT((CÁLCULO!$M$15:$M$244=EVENTOS!$C43)*(OFFSET(CÁLCULO!$AQ$15:$AQ$244,0,V$13))),2),0)</f>
        <v>0</v>
      </c>
      <c r="W43" s="620" cm="1">
        <f t="array" aca="1" ref="W43" ca="1">IF(AUTOEVENTO="Manual",ROUND(SUMPRODUCT((CÁLCULO!$M$15:$M$244=EVENTOS!$C43)*(OFFSET(CÁLCULO!$AQ$15:$AQ$244,0,W$13))),2),0)</f>
        <v>0</v>
      </c>
      <c r="X43" s="620" cm="1">
        <f t="array" aca="1" ref="X43" ca="1">IF(AUTOEVENTO="Manual",ROUND(SUMPRODUCT((CÁLCULO!$M$15:$M$244=EVENTOS!$C43)*(OFFSET(CÁLCULO!$AQ$15:$AQ$244,0,X$13))),2),0)</f>
        <v>0</v>
      </c>
      <c r="Y43" s="620" cm="1">
        <f t="array" aca="1" ref="Y43" ca="1">IF(AUTOEVENTO="Manual",ROUND(SUMPRODUCT((CÁLCULO!$M$15:$M$244=EVENTOS!$C43)*(OFFSET(CÁLCULO!$AQ$15:$AQ$244,0,Y$13))),2),0)</f>
        <v>0</v>
      </c>
      <c r="Z43" s="620" cm="1">
        <f t="array" aca="1" ref="Z43" ca="1">IF(AUTOEVENTO="Manual",ROUND(SUMPRODUCT((CÁLCULO!$M$15:$M$244=EVENTOS!$C43)*(OFFSET(CÁLCULO!$AQ$15:$AQ$244,0,Z$13))),2),0)</f>
        <v>0</v>
      </c>
      <c r="AA43" s="620" cm="1">
        <f t="array" aca="1" ref="AA43" ca="1">IF(AUTOEVENTO="Manual",ROUND(SUMPRODUCT((CÁLCULO!$M$15:$M$244=EVENTOS!$C43)*(OFFSET(CÁLCULO!$AQ$15:$AQ$244,0,AA$13))),2),0)</f>
        <v>0</v>
      </c>
      <c r="AB43" s="620" cm="1">
        <f t="array" aca="1" ref="AB43" ca="1">IF(AUTOEVENTO="Manual",ROUND(SUMPRODUCT((CÁLCULO!$M$15:$M$244=EVENTOS!$C43)*(OFFSET(CÁLCULO!$AQ$15:$AQ$244,0,AB$13))),2),0)</f>
        <v>0</v>
      </c>
      <c r="AC43" s="620" cm="1">
        <f t="array" aca="1" ref="AC43" ca="1">IF(AUTOEVENTO="Manual",ROUND(SUMPRODUCT((CÁLCULO!$M$15:$M$244=EVENTOS!$C43)*(OFFSET(CÁLCULO!$AQ$15:$AQ$244,0,AC$13))),2),0)</f>
        <v>0</v>
      </c>
      <c r="AD43" s="620" cm="1">
        <f t="array" aca="1" ref="AD43" ca="1">IF(AUTOEVENTO="Manual",ROUND(SUMPRODUCT((CÁLCULO!$M$15:$M$244=EVENTOS!$C43)*(OFFSET(CÁLCULO!$AQ$15:$AQ$244,0,AD$13))),2),0)</f>
        <v>0</v>
      </c>
      <c r="AE43" s="620" cm="1">
        <f t="array" aca="1" ref="AE43" ca="1">IF(AUTOEVENTO="Manual",ROUND(SUMPRODUCT((CÁLCULO!$M$15:$M$244=EVENTOS!$C43)*(OFFSET(CÁLCULO!$AQ$15:$AQ$244,0,AE$13))),2),0)</f>
        <v>0</v>
      </c>
      <c r="AF43" s="620" cm="1">
        <f t="array" aca="1" ref="AF43" ca="1">IF(AUTOEVENTO="Manual",ROUND(SUMPRODUCT((CÁLCULO!$M$15:$M$244=EVENTOS!$C43)*(OFFSET(CÁLCULO!$AQ$15:$AQ$244,0,AF$13))),2),0)</f>
        <v>0</v>
      </c>
      <c r="AG43" s="620" cm="1">
        <f t="array" aca="1" ref="AG43" ca="1">IF(AUTOEVENTO="Manual",ROUND(SUMPRODUCT((CÁLCULO!$M$15:$M$244=EVENTOS!$C43)*(OFFSET(CÁLCULO!$AQ$15:$AQ$244,0,AG$13))),2),0)</f>
        <v>0</v>
      </c>
      <c r="AH43" s="620" cm="1">
        <f t="array" aca="1" ref="AH43" ca="1">IF(AUTOEVENTO="Manual",ROUND(SUMPRODUCT((CÁLCULO!$M$15:$M$244=EVENTOS!$C43)*(OFFSET(CÁLCULO!$AQ$15:$AQ$244,0,AH$13))),2),0)</f>
        <v>0</v>
      </c>
      <c r="AI43" s="620" cm="1">
        <f t="array" aca="1" ref="AI43" ca="1">IF(AUTOEVENTO="Manual",ROUND(SUMPRODUCT((CÁLCULO!$M$15:$M$244=EVENTOS!$C43)*(OFFSET(CÁLCULO!$AQ$15:$AQ$244,0,AI$13))),2),0)</f>
        <v>0</v>
      </c>
    </row>
    <row r="44" spans="1:35" x14ac:dyDescent="0.2">
      <c r="A44" s="506" t="str">
        <f t="shared" si="3"/>
        <v/>
      </c>
      <c r="B44" t="str">
        <f t="shared" ca="1" si="4"/>
        <v/>
      </c>
      <c r="C44" s="182" t="str" cm="1">
        <f t="array" aca="1" ref="C44" ca="1">IF(OR(ROW(C44)=ROW(EVENTOS.firstrow)+1,AND(OFFSET(C44,-1,0)&lt;&gt;" ",OFFSET(C44,-1,1)&lt;&gt;"")),OFFSET(C44,-1,0)+1," ")</f>
        <v xml:space="preserve"> </v>
      </c>
      <c r="D44" s="496"/>
      <c r="E44" s="620" cm="1">
        <f t="array" aca="1" ref="E44" ca="1">IF(AUTOEVENTO="Manual",ROUND(SUMPRODUCT((CÁLCULO!$M$15:$M$244=EVENTOS!$C44)*(OFFSET(CÁLCULO!$AQ$15:$AQ$244,0,E$13))),2),0)</f>
        <v>0</v>
      </c>
      <c r="F44" s="183">
        <f ca="1">IF(AUTOEVENTO="Manual",ROUND(SUMPRODUCT((CÁLCULO!$M$15:$M$244=EVENTOS!$C44)*(OFFSET(CÁLCULO!$AQ$15,0,1):OFFSET(CÁLCULO!$BR$244,0,-1))),2),0)</f>
        <v>0</v>
      </c>
      <c r="G44" s="621" t="str">
        <f t="shared" ca="1" si="6"/>
        <v/>
      </c>
      <c r="H44" s="620" cm="1">
        <f t="array" aca="1" ref="H44" ca="1">IF(AUTOEVENTO="Manual",ROUND(SUMPRODUCT((CÁLCULO!$M$15:$M$244=EVENTOS!$C44)*(OFFSET(CÁLCULO!$AQ$15:$AQ$244,0,H$13))),2),0)</f>
        <v>0</v>
      </c>
      <c r="I44" s="620" cm="1">
        <f t="array" aca="1" ref="I44" ca="1">IF(AUTOEVENTO="Manual",ROUND(SUMPRODUCT((CÁLCULO!$M$15:$M$244=EVENTOS!$C44)*(OFFSET(CÁLCULO!$AQ$15:$AQ$244,0,I$13))),2),0)</f>
        <v>0</v>
      </c>
      <c r="J44" s="620" cm="1">
        <f t="array" aca="1" ref="J44" ca="1">IF(AUTOEVENTO="Manual",ROUND(SUMPRODUCT((CÁLCULO!$M$15:$M$244=EVENTOS!$C44)*(OFFSET(CÁLCULO!$AQ$15:$AQ$244,0,J$13))),2),0)</f>
        <v>0</v>
      </c>
      <c r="K44" s="620" cm="1">
        <f t="array" aca="1" ref="K44" ca="1">IF(AUTOEVENTO="Manual",ROUND(SUMPRODUCT((CÁLCULO!$M$15:$M$244=EVENTOS!$C44)*(OFFSET(CÁLCULO!$AQ$15:$AQ$244,0,K$13))),2),0)</f>
        <v>0</v>
      </c>
      <c r="L44" s="620" cm="1">
        <f t="array" aca="1" ref="L44" ca="1">IF(AUTOEVENTO="Manual",ROUND(SUMPRODUCT((CÁLCULO!$M$15:$M$244=EVENTOS!$C44)*(OFFSET(CÁLCULO!$AQ$15:$AQ$244,0,L$13))),2),0)</f>
        <v>0</v>
      </c>
      <c r="M44" s="620" cm="1">
        <f t="array" aca="1" ref="M44" ca="1">IF(AUTOEVENTO="Manual",ROUND(SUMPRODUCT((CÁLCULO!$M$15:$M$244=EVENTOS!$C44)*(OFFSET(CÁLCULO!$AQ$15:$AQ$244,0,M$13))),2),0)</f>
        <v>0</v>
      </c>
      <c r="N44" s="620" cm="1">
        <f t="array" aca="1" ref="N44" ca="1">IF(AUTOEVENTO="Manual",ROUND(SUMPRODUCT((CÁLCULO!$M$15:$M$244=EVENTOS!$C44)*(OFFSET(CÁLCULO!$AQ$15:$AQ$244,0,N$13))),2),0)</f>
        <v>0</v>
      </c>
      <c r="O44" s="620" cm="1">
        <f t="array" aca="1" ref="O44" ca="1">IF(AUTOEVENTO="Manual",ROUND(SUMPRODUCT((CÁLCULO!$M$15:$M$244=EVENTOS!$C44)*(OFFSET(CÁLCULO!$AQ$15:$AQ$244,0,O$13))),2),0)</f>
        <v>0</v>
      </c>
      <c r="P44" s="620" cm="1">
        <f t="array" aca="1" ref="P44" ca="1">IF(AUTOEVENTO="Manual",ROUND(SUMPRODUCT((CÁLCULO!$M$15:$M$244=EVENTOS!$C44)*(OFFSET(CÁLCULO!$AQ$15:$AQ$244,0,P$13))),2),0)</f>
        <v>0</v>
      </c>
      <c r="Q44" s="620" cm="1">
        <f t="array" aca="1" ref="Q44" ca="1">IF(AUTOEVENTO="Manual",ROUND(SUMPRODUCT((CÁLCULO!$M$15:$M$244=EVENTOS!$C44)*(OFFSET(CÁLCULO!$AQ$15:$AQ$244,0,Q$13))),2),0)</f>
        <v>0</v>
      </c>
      <c r="R44" s="620" cm="1">
        <f t="array" aca="1" ref="R44" ca="1">IF(AUTOEVENTO="Manual",ROUND(SUMPRODUCT((CÁLCULO!$M$15:$M$244=EVENTOS!$C44)*(OFFSET(CÁLCULO!$AQ$15:$AQ$244,0,R$13))),2),0)</f>
        <v>0</v>
      </c>
      <c r="S44" s="620" cm="1">
        <f t="array" aca="1" ref="S44" ca="1">IF(AUTOEVENTO="Manual",ROUND(SUMPRODUCT((CÁLCULO!$M$15:$M$244=EVENTOS!$C44)*(OFFSET(CÁLCULO!$AQ$15:$AQ$244,0,S$13))),2),0)</f>
        <v>0</v>
      </c>
      <c r="T44" s="620" cm="1">
        <f t="array" aca="1" ref="T44" ca="1">IF(AUTOEVENTO="Manual",ROUND(SUMPRODUCT((CÁLCULO!$M$15:$M$244=EVENTOS!$C44)*(OFFSET(CÁLCULO!$AQ$15:$AQ$244,0,T$13))),2),0)</f>
        <v>0</v>
      </c>
      <c r="U44" s="620" cm="1">
        <f t="array" aca="1" ref="U44" ca="1">IF(AUTOEVENTO="Manual",ROUND(SUMPRODUCT((CÁLCULO!$M$15:$M$244=EVENTOS!$C44)*(OFFSET(CÁLCULO!$AQ$15:$AQ$244,0,U$13))),2),0)</f>
        <v>0</v>
      </c>
      <c r="V44" s="620" cm="1">
        <f t="array" aca="1" ref="V44" ca="1">IF(AUTOEVENTO="Manual",ROUND(SUMPRODUCT((CÁLCULO!$M$15:$M$244=EVENTOS!$C44)*(OFFSET(CÁLCULO!$AQ$15:$AQ$244,0,V$13))),2),0)</f>
        <v>0</v>
      </c>
      <c r="W44" s="620" cm="1">
        <f t="array" aca="1" ref="W44" ca="1">IF(AUTOEVENTO="Manual",ROUND(SUMPRODUCT((CÁLCULO!$M$15:$M$244=EVENTOS!$C44)*(OFFSET(CÁLCULO!$AQ$15:$AQ$244,0,W$13))),2),0)</f>
        <v>0</v>
      </c>
      <c r="X44" s="620" cm="1">
        <f t="array" aca="1" ref="X44" ca="1">IF(AUTOEVENTO="Manual",ROUND(SUMPRODUCT((CÁLCULO!$M$15:$M$244=EVENTOS!$C44)*(OFFSET(CÁLCULO!$AQ$15:$AQ$244,0,X$13))),2),0)</f>
        <v>0</v>
      </c>
      <c r="Y44" s="620" cm="1">
        <f t="array" aca="1" ref="Y44" ca="1">IF(AUTOEVENTO="Manual",ROUND(SUMPRODUCT((CÁLCULO!$M$15:$M$244=EVENTOS!$C44)*(OFFSET(CÁLCULO!$AQ$15:$AQ$244,0,Y$13))),2),0)</f>
        <v>0</v>
      </c>
      <c r="Z44" s="620" cm="1">
        <f t="array" aca="1" ref="Z44" ca="1">IF(AUTOEVENTO="Manual",ROUND(SUMPRODUCT((CÁLCULO!$M$15:$M$244=EVENTOS!$C44)*(OFFSET(CÁLCULO!$AQ$15:$AQ$244,0,Z$13))),2),0)</f>
        <v>0</v>
      </c>
      <c r="AA44" s="620" cm="1">
        <f t="array" aca="1" ref="AA44" ca="1">IF(AUTOEVENTO="Manual",ROUND(SUMPRODUCT((CÁLCULO!$M$15:$M$244=EVENTOS!$C44)*(OFFSET(CÁLCULO!$AQ$15:$AQ$244,0,AA$13))),2),0)</f>
        <v>0</v>
      </c>
      <c r="AB44" s="620" cm="1">
        <f t="array" aca="1" ref="AB44" ca="1">IF(AUTOEVENTO="Manual",ROUND(SUMPRODUCT((CÁLCULO!$M$15:$M$244=EVENTOS!$C44)*(OFFSET(CÁLCULO!$AQ$15:$AQ$244,0,AB$13))),2),0)</f>
        <v>0</v>
      </c>
      <c r="AC44" s="620" cm="1">
        <f t="array" aca="1" ref="AC44" ca="1">IF(AUTOEVENTO="Manual",ROUND(SUMPRODUCT((CÁLCULO!$M$15:$M$244=EVENTOS!$C44)*(OFFSET(CÁLCULO!$AQ$15:$AQ$244,0,AC$13))),2),0)</f>
        <v>0</v>
      </c>
      <c r="AD44" s="620" cm="1">
        <f t="array" aca="1" ref="AD44" ca="1">IF(AUTOEVENTO="Manual",ROUND(SUMPRODUCT((CÁLCULO!$M$15:$M$244=EVENTOS!$C44)*(OFFSET(CÁLCULO!$AQ$15:$AQ$244,0,AD$13))),2),0)</f>
        <v>0</v>
      </c>
      <c r="AE44" s="620" cm="1">
        <f t="array" aca="1" ref="AE44" ca="1">IF(AUTOEVENTO="Manual",ROUND(SUMPRODUCT((CÁLCULO!$M$15:$M$244=EVENTOS!$C44)*(OFFSET(CÁLCULO!$AQ$15:$AQ$244,0,AE$13))),2),0)</f>
        <v>0</v>
      </c>
      <c r="AF44" s="620" cm="1">
        <f t="array" aca="1" ref="AF44" ca="1">IF(AUTOEVENTO="Manual",ROUND(SUMPRODUCT((CÁLCULO!$M$15:$M$244=EVENTOS!$C44)*(OFFSET(CÁLCULO!$AQ$15:$AQ$244,0,AF$13))),2),0)</f>
        <v>0</v>
      </c>
      <c r="AG44" s="620" cm="1">
        <f t="array" aca="1" ref="AG44" ca="1">IF(AUTOEVENTO="Manual",ROUND(SUMPRODUCT((CÁLCULO!$M$15:$M$244=EVENTOS!$C44)*(OFFSET(CÁLCULO!$AQ$15:$AQ$244,0,AG$13))),2),0)</f>
        <v>0</v>
      </c>
      <c r="AH44" s="620" cm="1">
        <f t="array" aca="1" ref="AH44" ca="1">IF(AUTOEVENTO="Manual",ROUND(SUMPRODUCT((CÁLCULO!$M$15:$M$244=EVENTOS!$C44)*(OFFSET(CÁLCULO!$AQ$15:$AQ$244,0,AH$13))),2),0)</f>
        <v>0</v>
      </c>
      <c r="AI44" s="620" cm="1">
        <f t="array" aca="1" ref="AI44" ca="1">IF(AUTOEVENTO="Manual",ROUND(SUMPRODUCT((CÁLCULO!$M$15:$M$244=EVENTOS!$C44)*(OFFSET(CÁLCULO!$AQ$15:$AQ$244,0,AI$13))),2),0)</f>
        <v>0</v>
      </c>
    </row>
    <row r="45" spans="1:35" x14ac:dyDescent="0.2">
      <c r="A45" s="506" t="str">
        <f t="shared" si="3"/>
        <v/>
      </c>
      <c r="B45" t="str">
        <f t="shared" ca="1" si="4"/>
        <v/>
      </c>
      <c r="C45" s="182" t="str" cm="1">
        <f t="array" aca="1" ref="C45" ca="1">IF(OR(ROW(C45)=ROW(EVENTOS.firstrow)+1,AND(OFFSET(C45,-1,0)&lt;&gt;" ",OFFSET(C45,-1,1)&lt;&gt;"")),OFFSET(C45,-1,0)+1," ")</f>
        <v xml:space="preserve"> </v>
      </c>
      <c r="D45" s="496"/>
      <c r="E45" s="620" cm="1">
        <f t="array" aca="1" ref="E45" ca="1">IF(AUTOEVENTO="Manual",ROUND(SUMPRODUCT((CÁLCULO!$M$15:$M$244=EVENTOS!$C45)*(OFFSET(CÁLCULO!$AQ$15:$AQ$244,0,E$13))),2),0)</f>
        <v>0</v>
      </c>
      <c r="F45" s="183">
        <f ca="1">IF(AUTOEVENTO="Manual",ROUND(SUMPRODUCT((CÁLCULO!$M$15:$M$244=EVENTOS!$C45)*(OFFSET(CÁLCULO!$AQ$15,0,1):OFFSET(CÁLCULO!$BR$244,0,-1))),2),0)</f>
        <v>0</v>
      </c>
      <c r="G45" s="621" t="str">
        <f t="shared" ca="1" si="6"/>
        <v/>
      </c>
      <c r="H45" s="620" cm="1">
        <f t="array" aca="1" ref="H45" ca="1">IF(AUTOEVENTO="Manual",ROUND(SUMPRODUCT((CÁLCULO!$M$15:$M$244=EVENTOS!$C45)*(OFFSET(CÁLCULO!$AQ$15:$AQ$244,0,H$13))),2),0)</f>
        <v>0</v>
      </c>
      <c r="I45" s="620" cm="1">
        <f t="array" aca="1" ref="I45" ca="1">IF(AUTOEVENTO="Manual",ROUND(SUMPRODUCT((CÁLCULO!$M$15:$M$244=EVENTOS!$C45)*(OFFSET(CÁLCULO!$AQ$15:$AQ$244,0,I$13))),2),0)</f>
        <v>0</v>
      </c>
      <c r="J45" s="620" cm="1">
        <f t="array" aca="1" ref="J45" ca="1">IF(AUTOEVENTO="Manual",ROUND(SUMPRODUCT((CÁLCULO!$M$15:$M$244=EVENTOS!$C45)*(OFFSET(CÁLCULO!$AQ$15:$AQ$244,0,J$13))),2),0)</f>
        <v>0</v>
      </c>
      <c r="K45" s="620" cm="1">
        <f t="array" aca="1" ref="K45" ca="1">IF(AUTOEVENTO="Manual",ROUND(SUMPRODUCT((CÁLCULO!$M$15:$M$244=EVENTOS!$C45)*(OFFSET(CÁLCULO!$AQ$15:$AQ$244,0,K$13))),2),0)</f>
        <v>0</v>
      </c>
      <c r="L45" s="620" cm="1">
        <f t="array" aca="1" ref="L45" ca="1">IF(AUTOEVENTO="Manual",ROUND(SUMPRODUCT((CÁLCULO!$M$15:$M$244=EVENTOS!$C45)*(OFFSET(CÁLCULO!$AQ$15:$AQ$244,0,L$13))),2),0)</f>
        <v>0</v>
      </c>
      <c r="M45" s="620" cm="1">
        <f t="array" aca="1" ref="M45" ca="1">IF(AUTOEVENTO="Manual",ROUND(SUMPRODUCT((CÁLCULO!$M$15:$M$244=EVENTOS!$C45)*(OFFSET(CÁLCULO!$AQ$15:$AQ$244,0,M$13))),2),0)</f>
        <v>0</v>
      </c>
      <c r="N45" s="620" cm="1">
        <f t="array" aca="1" ref="N45" ca="1">IF(AUTOEVENTO="Manual",ROUND(SUMPRODUCT((CÁLCULO!$M$15:$M$244=EVENTOS!$C45)*(OFFSET(CÁLCULO!$AQ$15:$AQ$244,0,N$13))),2),0)</f>
        <v>0</v>
      </c>
      <c r="O45" s="620" cm="1">
        <f t="array" aca="1" ref="O45" ca="1">IF(AUTOEVENTO="Manual",ROUND(SUMPRODUCT((CÁLCULO!$M$15:$M$244=EVENTOS!$C45)*(OFFSET(CÁLCULO!$AQ$15:$AQ$244,0,O$13))),2),0)</f>
        <v>0</v>
      </c>
      <c r="P45" s="620" cm="1">
        <f t="array" aca="1" ref="P45" ca="1">IF(AUTOEVENTO="Manual",ROUND(SUMPRODUCT((CÁLCULO!$M$15:$M$244=EVENTOS!$C45)*(OFFSET(CÁLCULO!$AQ$15:$AQ$244,0,P$13))),2),0)</f>
        <v>0</v>
      </c>
      <c r="Q45" s="620" cm="1">
        <f t="array" aca="1" ref="Q45" ca="1">IF(AUTOEVENTO="Manual",ROUND(SUMPRODUCT((CÁLCULO!$M$15:$M$244=EVENTOS!$C45)*(OFFSET(CÁLCULO!$AQ$15:$AQ$244,0,Q$13))),2),0)</f>
        <v>0</v>
      </c>
      <c r="R45" s="620" cm="1">
        <f t="array" aca="1" ref="R45" ca="1">IF(AUTOEVENTO="Manual",ROUND(SUMPRODUCT((CÁLCULO!$M$15:$M$244=EVENTOS!$C45)*(OFFSET(CÁLCULO!$AQ$15:$AQ$244,0,R$13))),2),0)</f>
        <v>0</v>
      </c>
      <c r="S45" s="620" cm="1">
        <f t="array" aca="1" ref="S45" ca="1">IF(AUTOEVENTO="Manual",ROUND(SUMPRODUCT((CÁLCULO!$M$15:$M$244=EVENTOS!$C45)*(OFFSET(CÁLCULO!$AQ$15:$AQ$244,0,S$13))),2),0)</f>
        <v>0</v>
      </c>
      <c r="T45" s="620" cm="1">
        <f t="array" aca="1" ref="T45" ca="1">IF(AUTOEVENTO="Manual",ROUND(SUMPRODUCT((CÁLCULO!$M$15:$M$244=EVENTOS!$C45)*(OFFSET(CÁLCULO!$AQ$15:$AQ$244,0,T$13))),2),0)</f>
        <v>0</v>
      </c>
      <c r="U45" s="620" cm="1">
        <f t="array" aca="1" ref="U45" ca="1">IF(AUTOEVENTO="Manual",ROUND(SUMPRODUCT((CÁLCULO!$M$15:$M$244=EVENTOS!$C45)*(OFFSET(CÁLCULO!$AQ$15:$AQ$244,0,U$13))),2),0)</f>
        <v>0</v>
      </c>
      <c r="V45" s="620" cm="1">
        <f t="array" aca="1" ref="V45" ca="1">IF(AUTOEVENTO="Manual",ROUND(SUMPRODUCT((CÁLCULO!$M$15:$M$244=EVENTOS!$C45)*(OFFSET(CÁLCULO!$AQ$15:$AQ$244,0,V$13))),2),0)</f>
        <v>0</v>
      </c>
      <c r="W45" s="620" cm="1">
        <f t="array" aca="1" ref="W45" ca="1">IF(AUTOEVENTO="Manual",ROUND(SUMPRODUCT((CÁLCULO!$M$15:$M$244=EVENTOS!$C45)*(OFFSET(CÁLCULO!$AQ$15:$AQ$244,0,W$13))),2),0)</f>
        <v>0</v>
      </c>
      <c r="X45" s="620" cm="1">
        <f t="array" aca="1" ref="X45" ca="1">IF(AUTOEVENTO="Manual",ROUND(SUMPRODUCT((CÁLCULO!$M$15:$M$244=EVENTOS!$C45)*(OFFSET(CÁLCULO!$AQ$15:$AQ$244,0,X$13))),2),0)</f>
        <v>0</v>
      </c>
      <c r="Y45" s="620" cm="1">
        <f t="array" aca="1" ref="Y45" ca="1">IF(AUTOEVENTO="Manual",ROUND(SUMPRODUCT((CÁLCULO!$M$15:$M$244=EVENTOS!$C45)*(OFFSET(CÁLCULO!$AQ$15:$AQ$244,0,Y$13))),2),0)</f>
        <v>0</v>
      </c>
      <c r="Z45" s="620" cm="1">
        <f t="array" aca="1" ref="Z45" ca="1">IF(AUTOEVENTO="Manual",ROUND(SUMPRODUCT((CÁLCULO!$M$15:$M$244=EVENTOS!$C45)*(OFFSET(CÁLCULO!$AQ$15:$AQ$244,0,Z$13))),2),0)</f>
        <v>0</v>
      </c>
      <c r="AA45" s="620" cm="1">
        <f t="array" aca="1" ref="AA45" ca="1">IF(AUTOEVENTO="Manual",ROUND(SUMPRODUCT((CÁLCULO!$M$15:$M$244=EVENTOS!$C45)*(OFFSET(CÁLCULO!$AQ$15:$AQ$244,0,AA$13))),2),0)</f>
        <v>0</v>
      </c>
      <c r="AB45" s="620" cm="1">
        <f t="array" aca="1" ref="AB45" ca="1">IF(AUTOEVENTO="Manual",ROUND(SUMPRODUCT((CÁLCULO!$M$15:$M$244=EVENTOS!$C45)*(OFFSET(CÁLCULO!$AQ$15:$AQ$244,0,AB$13))),2),0)</f>
        <v>0</v>
      </c>
      <c r="AC45" s="620" cm="1">
        <f t="array" aca="1" ref="AC45" ca="1">IF(AUTOEVENTO="Manual",ROUND(SUMPRODUCT((CÁLCULO!$M$15:$M$244=EVENTOS!$C45)*(OFFSET(CÁLCULO!$AQ$15:$AQ$244,0,AC$13))),2),0)</f>
        <v>0</v>
      </c>
      <c r="AD45" s="620" cm="1">
        <f t="array" aca="1" ref="AD45" ca="1">IF(AUTOEVENTO="Manual",ROUND(SUMPRODUCT((CÁLCULO!$M$15:$M$244=EVENTOS!$C45)*(OFFSET(CÁLCULO!$AQ$15:$AQ$244,0,AD$13))),2),0)</f>
        <v>0</v>
      </c>
      <c r="AE45" s="620" cm="1">
        <f t="array" aca="1" ref="AE45" ca="1">IF(AUTOEVENTO="Manual",ROUND(SUMPRODUCT((CÁLCULO!$M$15:$M$244=EVENTOS!$C45)*(OFFSET(CÁLCULO!$AQ$15:$AQ$244,0,AE$13))),2),0)</f>
        <v>0</v>
      </c>
      <c r="AF45" s="620" cm="1">
        <f t="array" aca="1" ref="AF45" ca="1">IF(AUTOEVENTO="Manual",ROUND(SUMPRODUCT((CÁLCULO!$M$15:$M$244=EVENTOS!$C45)*(OFFSET(CÁLCULO!$AQ$15:$AQ$244,0,AF$13))),2),0)</f>
        <v>0</v>
      </c>
      <c r="AG45" s="620" cm="1">
        <f t="array" aca="1" ref="AG45" ca="1">IF(AUTOEVENTO="Manual",ROUND(SUMPRODUCT((CÁLCULO!$M$15:$M$244=EVENTOS!$C45)*(OFFSET(CÁLCULO!$AQ$15:$AQ$244,0,AG$13))),2),0)</f>
        <v>0</v>
      </c>
      <c r="AH45" s="620" cm="1">
        <f t="array" aca="1" ref="AH45" ca="1">IF(AUTOEVENTO="Manual",ROUND(SUMPRODUCT((CÁLCULO!$M$15:$M$244=EVENTOS!$C45)*(OFFSET(CÁLCULO!$AQ$15:$AQ$244,0,AH$13))),2),0)</f>
        <v>0</v>
      </c>
      <c r="AI45" s="620" cm="1">
        <f t="array" aca="1" ref="AI45" ca="1">IF(AUTOEVENTO="Manual",ROUND(SUMPRODUCT((CÁLCULO!$M$15:$M$244=EVENTOS!$C45)*(OFFSET(CÁLCULO!$AQ$15:$AQ$244,0,AI$13))),2),0)</f>
        <v>0</v>
      </c>
    </row>
    <row r="46" spans="1:35" x14ac:dyDescent="0.2">
      <c r="A46" s="506" t="str">
        <f t="shared" si="3"/>
        <v/>
      </c>
      <c r="B46" t="str">
        <f t="shared" ca="1" si="4"/>
        <v/>
      </c>
      <c r="C46" s="182" t="str" cm="1">
        <f t="array" aca="1" ref="C46" ca="1">IF(OR(ROW(C46)=ROW(EVENTOS.firstrow)+1,AND(OFFSET(C46,-1,0)&lt;&gt;" ",OFFSET(C46,-1,1)&lt;&gt;"")),OFFSET(C46,-1,0)+1," ")</f>
        <v xml:space="preserve"> </v>
      </c>
      <c r="D46" s="496"/>
      <c r="E46" s="620" cm="1">
        <f t="array" aca="1" ref="E46" ca="1">IF(AUTOEVENTO="Manual",ROUND(SUMPRODUCT((CÁLCULO!$M$15:$M$244=EVENTOS!$C46)*(OFFSET(CÁLCULO!$AQ$15:$AQ$244,0,E$13))),2),0)</f>
        <v>0</v>
      </c>
      <c r="F46" s="183">
        <f ca="1">IF(AUTOEVENTO="Manual",ROUND(SUMPRODUCT((CÁLCULO!$M$15:$M$244=EVENTOS!$C46)*(OFFSET(CÁLCULO!$AQ$15,0,1):OFFSET(CÁLCULO!$BR$244,0,-1))),2),0)</f>
        <v>0</v>
      </c>
      <c r="G46" s="621" t="str">
        <f t="shared" ca="1" si="6"/>
        <v/>
      </c>
      <c r="H46" s="620" cm="1">
        <f t="array" aca="1" ref="H46" ca="1">IF(AUTOEVENTO="Manual",ROUND(SUMPRODUCT((CÁLCULO!$M$15:$M$244=EVENTOS!$C46)*(OFFSET(CÁLCULO!$AQ$15:$AQ$244,0,H$13))),2),0)</f>
        <v>0</v>
      </c>
      <c r="I46" s="620" cm="1">
        <f t="array" aca="1" ref="I46" ca="1">IF(AUTOEVENTO="Manual",ROUND(SUMPRODUCT((CÁLCULO!$M$15:$M$244=EVENTOS!$C46)*(OFFSET(CÁLCULO!$AQ$15:$AQ$244,0,I$13))),2),0)</f>
        <v>0</v>
      </c>
      <c r="J46" s="620" cm="1">
        <f t="array" aca="1" ref="J46" ca="1">IF(AUTOEVENTO="Manual",ROUND(SUMPRODUCT((CÁLCULO!$M$15:$M$244=EVENTOS!$C46)*(OFFSET(CÁLCULO!$AQ$15:$AQ$244,0,J$13))),2),0)</f>
        <v>0</v>
      </c>
      <c r="K46" s="620" cm="1">
        <f t="array" aca="1" ref="K46" ca="1">IF(AUTOEVENTO="Manual",ROUND(SUMPRODUCT((CÁLCULO!$M$15:$M$244=EVENTOS!$C46)*(OFFSET(CÁLCULO!$AQ$15:$AQ$244,0,K$13))),2),0)</f>
        <v>0</v>
      </c>
      <c r="L46" s="620" cm="1">
        <f t="array" aca="1" ref="L46" ca="1">IF(AUTOEVENTO="Manual",ROUND(SUMPRODUCT((CÁLCULO!$M$15:$M$244=EVENTOS!$C46)*(OFFSET(CÁLCULO!$AQ$15:$AQ$244,0,L$13))),2),0)</f>
        <v>0</v>
      </c>
      <c r="M46" s="620" cm="1">
        <f t="array" aca="1" ref="M46" ca="1">IF(AUTOEVENTO="Manual",ROUND(SUMPRODUCT((CÁLCULO!$M$15:$M$244=EVENTOS!$C46)*(OFFSET(CÁLCULO!$AQ$15:$AQ$244,0,M$13))),2),0)</f>
        <v>0</v>
      </c>
      <c r="N46" s="620" cm="1">
        <f t="array" aca="1" ref="N46" ca="1">IF(AUTOEVENTO="Manual",ROUND(SUMPRODUCT((CÁLCULO!$M$15:$M$244=EVENTOS!$C46)*(OFFSET(CÁLCULO!$AQ$15:$AQ$244,0,N$13))),2),0)</f>
        <v>0</v>
      </c>
      <c r="O46" s="620" cm="1">
        <f t="array" aca="1" ref="O46" ca="1">IF(AUTOEVENTO="Manual",ROUND(SUMPRODUCT((CÁLCULO!$M$15:$M$244=EVENTOS!$C46)*(OFFSET(CÁLCULO!$AQ$15:$AQ$244,0,O$13))),2),0)</f>
        <v>0</v>
      </c>
      <c r="P46" s="620" cm="1">
        <f t="array" aca="1" ref="P46" ca="1">IF(AUTOEVENTO="Manual",ROUND(SUMPRODUCT((CÁLCULO!$M$15:$M$244=EVENTOS!$C46)*(OFFSET(CÁLCULO!$AQ$15:$AQ$244,0,P$13))),2),0)</f>
        <v>0</v>
      </c>
      <c r="Q46" s="620" cm="1">
        <f t="array" aca="1" ref="Q46" ca="1">IF(AUTOEVENTO="Manual",ROUND(SUMPRODUCT((CÁLCULO!$M$15:$M$244=EVENTOS!$C46)*(OFFSET(CÁLCULO!$AQ$15:$AQ$244,0,Q$13))),2),0)</f>
        <v>0</v>
      </c>
      <c r="R46" s="620" cm="1">
        <f t="array" aca="1" ref="R46" ca="1">IF(AUTOEVENTO="Manual",ROUND(SUMPRODUCT((CÁLCULO!$M$15:$M$244=EVENTOS!$C46)*(OFFSET(CÁLCULO!$AQ$15:$AQ$244,0,R$13))),2),0)</f>
        <v>0</v>
      </c>
      <c r="S46" s="620" cm="1">
        <f t="array" aca="1" ref="S46" ca="1">IF(AUTOEVENTO="Manual",ROUND(SUMPRODUCT((CÁLCULO!$M$15:$M$244=EVENTOS!$C46)*(OFFSET(CÁLCULO!$AQ$15:$AQ$244,0,S$13))),2),0)</f>
        <v>0</v>
      </c>
      <c r="T46" s="620" cm="1">
        <f t="array" aca="1" ref="T46" ca="1">IF(AUTOEVENTO="Manual",ROUND(SUMPRODUCT((CÁLCULO!$M$15:$M$244=EVENTOS!$C46)*(OFFSET(CÁLCULO!$AQ$15:$AQ$244,0,T$13))),2),0)</f>
        <v>0</v>
      </c>
      <c r="U46" s="620" cm="1">
        <f t="array" aca="1" ref="U46" ca="1">IF(AUTOEVENTO="Manual",ROUND(SUMPRODUCT((CÁLCULO!$M$15:$M$244=EVENTOS!$C46)*(OFFSET(CÁLCULO!$AQ$15:$AQ$244,0,U$13))),2),0)</f>
        <v>0</v>
      </c>
      <c r="V46" s="620" cm="1">
        <f t="array" aca="1" ref="V46" ca="1">IF(AUTOEVENTO="Manual",ROUND(SUMPRODUCT((CÁLCULO!$M$15:$M$244=EVENTOS!$C46)*(OFFSET(CÁLCULO!$AQ$15:$AQ$244,0,V$13))),2),0)</f>
        <v>0</v>
      </c>
      <c r="W46" s="620" cm="1">
        <f t="array" aca="1" ref="W46" ca="1">IF(AUTOEVENTO="Manual",ROUND(SUMPRODUCT((CÁLCULO!$M$15:$M$244=EVENTOS!$C46)*(OFFSET(CÁLCULO!$AQ$15:$AQ$244,0,W$13))),2),0)</f>
        <v>0</v>
      </c>
      <c r="X46" s="620" cm="1">
        <f t="array" aca="1" ref="X46" ca="1">IF(AUTOEVENTO="Manual",ROUND(SUMPRODUCT((CÁLCULO!$M$15:$M$244=EVENTOS!$C46)*(OFFSET(CÁLCULO!$AQ$15:$AQ$244,0,X$13))),2),0)</f>
        <v>0</v>
      </c>
      <c r="Y46" s="620" cm="1">
        <f t="array" aca="1" ref="Y46" ca="1">IF(AUTOEVENTO="Manual",ROUND(SUMPRODUCT((CÁLCULO!$M$15:$M$244=EVENTOS!$C46)*(OFFSET(CÁLCULO!$AQ$15:$AQ$244,0,Y$13))),2),0)</f>
        <v>0</v>
      </c>
      <c r="Z46" s="620" cm="1">
        <f t="array" aca="1" ref="Z46" ca="1">IF(AUTOEVENTO="Manual",ROUND(SUMPRODUCT((CÁLCULO!$M$15:$M$244=EVENTOS!$C46)*(OFFSET(CÁLCULO!$AQ$15:$AQ$244,0,Z$13))),2),0)</f>
        <v>0</v>
      </c>
      <c r="AA46" s="620" cm="1">
        <f t="array" aca="1" ref="AA46" ca="1">IF(AUTOEVENTO="Manual",ROUND(SUMPRODUCT((CÁLCULO!$M$15:$M$244=EVENTOS!$C46)*(OFFSET(CÁLCULO!$AQ$15:$AQ$244,0,AA$13))),2),0)</f>
        <v>0</v>
      </c>
      <c r="AB46" s="620" cm="1">
        <f t="array" aca="1" ref="AB46" ca="1">IF(AUTOEVENTO="Manual",ROUND(SUMPRODUCT((CÁLCULO!$M$15:$M$244=EVENTOS!$C46)*(OFFSET(CÁLCULO!$AQ$15:$AQ$244,0,AB$13))),2),0)</f>
        <v>0</v>
      </c>
      <c r="AC46" s="620" cm="1">
        <f t="array" aca="1" ref="AC46" ca="1">IF(AUTOEVENTO="Manual",ROUND(SUMPRODUCT((CÁLCULO!$M$15:$M$244=EVENTOS!$C46)*(OFFSET(CÁLCULO!$AQ$15:$AQ$244,0,AC$13))),2),0)</f>
        <v>0</v>
      </c>
      <c r="AD46" s="620" cm="1">
        <f t="array" aca="1" ref="AD46" ca="1">IF(AUTOEVENTO="Manual",ROUND(SUMPRODUCT((CÁLCULO!$M$15:$M$244=EVENTOS!$C46)*(OFFSET(CÁLCULO!$AQ$15:$AQ$244,0,AD$13))),2),0)</f>
        <v>0</v>
      </c>
      <c r="AE46" s="620" cm="1">
        <f t="array" aca="1" ref="AE46" ca="1">IF(AUTOEVENTO="Manual",ROUND(SUMPRODUCT((CÁLCULO!$M$15:$M$244=EVENTOS!$C46)*(OFFSET(CÁLCULO!$AQ$15:$AQ$244,0,AE$13))),2),0)</f>
        <v>0</v>
      </c>
      <c r="AF46" s="620" cm="1">
        <f t="array" aca="1" ref="AF46" ca="1">IF(AUTOEVENTO="Manual",ROUND(SUMPRODUCT((CÁLCULO!$M$15:$M$244=EVENTOS!$C46)*(OFFSET(CÁLCULO!$AQ$15:$AQ$244,0,AF$13))),2),0)</f>
        <v>0</v>
      </c>
      <c r="AG46" s="620" cm="1">
        <f t="array" aca="1" ref="AG46" ca="1">IF(AUTOEVENTO="Manual",ROUND(SUMPRODUCT((CÁLCULO!$M$15:$M$244=EVENTOS!$C46)*(OFFSET(CÁLCULO!$AQ$15:$AQ$244,0,AG$13))),2),0)</f>
        <v>0</v>
      </c>
      <c r="AH46" s="620" cm="1">
        <f t="array" aca="1" ref="AH46" ca="1">IF(AUTOEVENTO="Manual",ROUND(SUMPRODUCT((CÁLCULO!$M$15:$M$244=EVENTOS!$C46)*(OFFSET(CÁLCULO!$AQ$15:$AQ$244,0,AH$13))),2),0)</f>
        <v>0</v>
      </c>
      <c r="AI46" s="620" cm="1">
        <f t="array" aca="1" ref="AI46" ca="1">IF(AUTOEVENTO="Manual",ROUND(SUMPRODUCT((CÁLCULO!$M$15:$M$244=EVENTOS!$C46)*(OFFSET(CÁLCULO!$AQ$15:$AQ$244,0,AI$13))),2),0)</f>
        <v>0</v>
      </c>
    </row>
    <row r="47" spans="1:35" x14ac:dyDescent="0.2">
      <c r="A47" s="506" t="str">
        <f t="shared" si="3"/>
        <v/>
      </c>
      <c r="B47" t="str">
        <f t="shared" ca="1" si="4"/>
        <v/>
      </c>
      <c r="C47" s="182" t="str" cm="1">
        <f t="array" aca="1" ref="C47" ca="1">IF(OR(ROW(C47)=ROW(EVENTOS.firstrow)+1,AND(OFFSET(C47,-1,0)&lt;&gt;" ",OFFSET(C47,-1,1)&lt;&gt;"")),OFFSET(C47,-1,0)+1," ")</f>
        <v xml:space="preserve"> </v>
      </c>
      <c r="D47" s="496"/>
      <c r="E47" s="620" cm="1">
        <f t="array" aca="1" ref="E47" ca="1">IF(AUTOEVENTO="Manual",ROUND(SUMPRODUCT((CÁLCULO!$M$15:$M$244=EVENTOS!$C47)*(OFFSET(CÁLCULO!$AQ$15:$AQ$244,0,E$13))),2),0)</f>
        <v>0</v>
      </c>
      <c r="F47" s="183">
        <f ca="1">IF(AUTOEVENTO="Manual",ROUND(SUMPRODUCT((CÁLCULO!$M$15:$M$244=EVENTOS!$C47)*(OFFSET(CÁLCULO!$AQ$15,0,1):OFFSET(CÁLCULO!$BR$244,0,-1))),2),0)</f>
        <v>0</v>
      </c>
      <c r="G47" s="621" t="str">
        <f t="shared" ca="1" si="6"/>
        <v/>
      </c>
      <c r="H47" s="620" cm="1">
        <f t="array" aca="1" ref="H47" ca="1">IF(AUTOEVENTO="Manual",ROUND(SUMPRODUCT((CÁLCULO!$M$15:$M$244=EVENTOS!$C47)*(OFFSET(CÁLCULO!$AQ$15:$AQ$244,0,H$13))),2),0)</f>
        <v>0</v>
      </c>
      <c r="I47" s="620" cm="1">
        <f t="array" aca="1" ref="I47" ca="1">IF(AUTOEVENTO="Manual",ROUND(SUMPRODUCT((CÁLCULO!$M$15:$M$244=EVENTOS!$C47)*(OFFSET(CÁLCULO!$AQ$15:$AQ$244,0,I$13))),2),0)</f>
        <v>0</v>
      </c>
      <c r="J47" s="620" cm="1">
        <f t="array" aca="1" ref="J47" ca="1">IF(AUTOEVENTO="Manual",ROUND(SUMPRODUCT((CÁLCULO!$M$15:$M$244=EVENTOS!$C47)*(OFFSET(CÁLCULO!$AQ$15:$AQ$244,0,J$13))),2),0)</f>
        <v>0</v>
      </c>
      <c r="K47" s="620" cm="1">
        <f t="array" aca="1" ref="K47" ca="1">IF(AUTOEVENTO="Manual",ROUND(SUMPRODUCT((CÁLCULO!$M$15:$M$244=EVENTOS!$C47)*(OFFSET(CÁLCULO!$AQ$15:$AQ$244,0,K$13))),2),0)</f>
        <v>0</v>
      </c>
      <c r="L47" s="620" cm="1">
        <f t="array" aca="1" ref="L47" ca="1">IF(AUTOEVENTO="Manual",ROUND(SUMPRODUCT((CÁLCULO!$M$15:$M$244=EVENTOS!$C47)*(OFFSET(CÁLCULO!$AQ$15:$AQ$244,0,L$13))),2),0)</f>
        <v>0</v>
      </c>
      <c r="M47" s="620" cm="1">
        <f t="array" aca="1" ref="M47" ca="1">IF(AUTOEVENTO="Manual",ROUND(SUMPRODUCT((CÁLCULO!$M$15:$M$244=EVENTOS!$C47)*(OFFSET(CÁLCULO!$AQ$15:$AQ$244,0,M$13))),2),0)</f>
        <v>0</v>
      </c>
      <c r="N47" s="620" cm="1">
        <f t="array" aca="1" ref="N47" ca="1">IF(AUTOEVENTO="Manual",ROUND(SUMPRODUCT((CÁLCULO!$M$15:$M$244=EVENTOS!$C47)*(OFFSET(CÁLCULO!$AQ$15:$AQ$244,0,N$13))),2),0)</f>
        <v>0</v>
      </c>
      <c r="O47" s="620" cm="1">
        <f t="array" aca="1" ref="O47" ca="1">IF(AUTOEVENTO="Manual",ROUND(SUMPRODUCT((CÁLCULO!$M$15:$M$244=EVENTOS!$C47)*(OFFSET(CÁLCULO!$AQ$15:$AQ$244,0,O$13))),2),0)</f>
        <v>0</v>
      </c>
      <c r="P47" s="620" cm="1">
        <f t="array" aca="1" ref="P47" ca="1">IF(AUTOEVENTO="Manual",ROUND(SUMPRODUCT((CÁLCULO!$M$15:$M$244=EVENTOS!$C47)*(OFFSET(CÁLCULO!$AQ$15:$AQ$244,0,P$13))),2),0)</f>
        <v>0</v>
      </c>
      <c r="Q47" s="620" cm="1">
        <f t="array" aca="1" ref="Q47" ca="1">IF(AUTOEVENTO="Manual",ROUND(SUMPRODUCT((CÁLCULO!$M$15:$M$244=EVENTOS!$C47)*(OFFSET(CÁLCULO!$AQ$15:$AQ$244,0,Q$13))),2),0)</f>
        <v>0</v>
      </c>
      <c r="R47" s="620" cm="1">
        <f t="array" aca="1" ref="R47" ca="1">IF(AUTOEVENTO="Manual",ROUND(SUMPRODUCT((CÁLCULO!$M$15:$M$244=EVENTOS!$C47)*(OFFSET(CÁLCULO!$AQ$15:$AQ$244,0,R$13))),2),0)</f>
        <v>0</v>
      </c>
      <c r="S47" s="620" cm="1">
        <f t="array" aca="1" ref="S47" ca="1">IF(AUTOEVENTO="Manual",ROUND(SUMPRODUCT((CÁLCULO!$M$15:$M$244=EVENTOS!$C47)*(OFFSET(CÁLCULO!$AQ$15:$AQ$244,0,S$13))),2),0)</f>
        <v>0</v>
      </c>
      <c r="T47" s="620" cm="1">
        <f t="array" aca="1" ref="T47" ca="1">IF(AUTOEVENTO="Manual",ROUND(SUMPRODUCT((CÁLCULO!$M$15:$M$244=EVENTOS!$C47)*(OFFSET(CÁLCULO!$AQ$15:$AQ$244,0,T$13))),2),0)</f>
        <v>0</v>
      </c>
      <c r="U47" s="620" cm="1">
        <f t="array" aca="1" ref="U47" ca="1">IF(AUTOEVENTO="Manual",ROUND(SUMPRODUCT((CÁLCULO!$M$15:$M$244=EVENTOS!$C47)*(OFFSET(CÁLCULO!$AQ$15:$AQ$244,0,U$13))),2),0)</f>
        <v>0</v>
      </c>
      <c r="V47" s="620" cm="1">
        <f t="array" aca="1" ref="V47" ca="1">IF(AUTOEVENTO="Manual",ROUND(SUMPRODUCT((CÁLCULO!$M$15:$M$244=EVENTOS!$C47)*(OFFSET(CÁLCULO!$AQ$15:$AQ$244,0,V$13))),2),0)</f>
        <v>0</v>
      </c>
      <c r="W47" s="620" cm="1">
        <f t="array" aca="1" ref="W47" ca="1">IF(AUTOEVENTO="Manual",ROUND(SUMPRODUCT((CÁLCULO!$M$15:$M$244=EVENTOS!$C47)*(OFFSET(CÁLCULO!$AQ$15:$AQ$244,0,W$13))),2),0)</f>
        <v>0</v>
      </c>
      <c r="X47" s="620" cm="1">
        <f t="array" aca="1" ref="X47" ca="1">IF(AUTOEVENTO="Manual",ROUND(SUMPRODUCT((CÁLCULO!$M$15:$M$244=EVENTOS!$C47)*(OFFSET(CÁLCULO!$AQ$15:$AQ$244,0,X$13))),2),0)</f>
        <v>0</v>
      </c>
      <c r="Y47" s="620" cm="1">
        <f t="array" aca="1" ref="Y47" ca="1">IF(AUTOEVENTO="Manual",ROUND(SUMPRODUCT((CÁLCULO!$M$15:$M$244=EVENTOS!$C47)*(OFFSET(CÁLCULO!$AQ$15:$AQ$244,0,Y$13))),2),0)</f>
        <v>0</v>
      </c>
      <c r="Z47" s="620" cm="1">
        <f t="array" aca="1" ref="Z47" ca="1">IF(AUTOEVENTO="Manual",ROUND(SUMPRODUCT((CÁLCULO!$M$15:$M$244=EVENTOS!$C47)*(OFFSET(CÁLCULO!$AQ$15:$AQ$244,0,Z$13))),2),0)</f>
        <v>0</v>
      </c>
      <c r="AA47" s="620" cm="1">
        <f t="array" aca="1" ref="AA47" ca="1">IF(AUTOEVENTO="Manual",ROUND(SUMPRODUCT((CÁLCULO!$M$15:$M$244=EVENTOS!$C47)*(OFFSET(CÁLCULO!$AQ$15:$AQ$244,0,AA$13))),2),0)</f>
        <v>0</v>
      </c>
      <c r="AB47" s="620" cm="1">
        <f t="array" aca="1" ref="AB47" ca="1">IF(AUTOEVENTO="Manual",ROUND(SUMPRODUCT((CÁLCULO!$M$15:$M$244=EVENTOS!$C47)*(OFFSET(CÁLCULO!$AQ$15:$AQ$244,0,AB$13))),2),0)</f>
        <v>0</v>
      </c>
      <c r="AC47" s="620" cm="1">
        <f t="array" aca="1" ref="AC47" ca="1">IF(AUTOEVENTO="Manual",ROUND(SUMPRODUCT((CÁLCULO!$M$15:$M$244=EVENTOS!$C47)*(OFFSET(CÁLCULO!$AQ$15:$AQ$244,0,AC$13))),2),0)</f>
        <v>0</v>
      </c>
      <c r="AD47" s="620" cm="1">
        <f t="array" aca="1" ref="AD47" ca="1">IF(AUTOEVENTO="Manual",ROUND(SUMPRODUCT((CÁLCULO!$M$15:$M$244=EVENTOS!$C47)*(OFFSET(CÁLCULO!$AQ$15:$AQ$244,0,AD$13))),2),0)</f>
        <v>0</v>
      </c>
      <c r="AE47" s="620" cm="1">
        <f t="array" aca="1" ref="AE47" ca="1">IF(AUTOEVENTO="Manual",ROUND(SUMPRODUCT((CÁLCULO!$M$15:$M$244=EVENTOS!$C47)*(OFFSET(CÁLCULO!$AQ$15:$AQ$244,0,AE$13))),2),0)</f>
        <v>0</v>
      </c>
      <c r="AF47" s="620" cm="1">
        <f t="array" aca="1" ref="AF47" ca="1">IF(AUTOEVENTO="Manual",ROUND(SUMPRODUCT((CÁLCULO!$M$15:$M$244=EVENTOS!$C47)*(OFFSET(CÁLCULO!$AQ$15:$AQ$244,0,AF$13))),2),0)</f>
        <v>0</v>
      </c>
      <c r="AG47" s="620" cm="1">
        <f t="array" aca="1" ref="AG47" ca="1">IF(AUTOEVENTO="Manual",ROUND(SUMPRODUCT((CÁLCULO!$M$15:$M$244=EVENTOS!$C47)*(OFFSET(CÁLCULO!$AQ$15:$AQ$244,0,AG$13))),2),0)</f>
        <v>0</v>
      </c>
      <c r="AH47" s="620" cm="1">
        <f t="array" aca="1" ref="AH47" ca="1">IF(AUTOEVENTO="Manual",ROUND(SUMPRODUCT((CÁLCULO!$M$15:$M$244=EVENTOS!$C47)*(OFFSET(CÁLCULO!$AQ$15:$AQ$244,0,AH$13))),2),0)</f>
        <v>0</v>
      </c>
      <c r="AI47" s="620" cm="1">
        <f t="array" aca="1" ref="AI47" ca="1">IF(AUTOEVENTO="Manual",ROUND(SUMPRODUCT((CÁLCULO!$M$15:$M$244=EVENTOS!$C47)*(OFFSET(CÁLCULO!$AQ$15:$AQ$244,0,AI$13))),2),0)</f>
        <v>0</v>
      </c>
    </row>
    <row r="48" spans="1:35" x14ac:dyDescent="0.2">
      <c r="A48" s="506" t="str">
        <f t="shared" si="3"/>
        <v/>
      </c>
      <c r="B48" t="str">
        <f t="shared" ca="1" si="4"/>
        <v/>
      </c>
      <c r="C48" s="182" t="str" cm="1">
        <f t="array" aca="1" ref="C48" ca="1">IF(OR(ROW(C48)=ROW(EVENTOS.firstrow)+1,AND(OFFSET(C48,-1,0)&lt;&gt;" ",OFFSET(C48,-1,1)&lt;&gt;"")),OFFSET(C48,-1,0)+1," ")</f>
        <v xml:space="preserve"> </v>
      </c>
      <c r="D48" s="496"/>
      <c r="E48" s="620" cm="1">
        <f t="array" aca="1" ref="E48" ca="1">IF(AUTOEVENTO="Manual",ROUND(SUMPRODUCT((CÁLCULO!$M$15:$M$244=EVENTOS!$C48)*(OFFSET(CÁLCULO!$AQ$15:$AQ$244,0,E$13))),2),0)</f>
        <v>0</v>
      </c>
      <c r="F48" s="183">
        <f ca="1">IF(AUTOEVENTO="Manual",ROUND(SUMPRODUCT((CÁLCULO!$M$15:$M$244=EVENTOS!$C48)*(OFFSET(CÁLCULO!$AQ$15,0,1):OFFSET(CÁLCULO!$BR$244,0,-1))),2),0)</f>
        <v>0</v>
      </c>
      <c r="G48" s="621" t="str">
        <f t="shared" ca="1" si="6"/>
        <v/>
      </c>
      <c r="H48" s="620" cm="1">
        <f t="array" aca="1" ref="H48" ca="1">IF(AUTOEVENTO="Manual",ROUND(SUMPRODUCT((CÁLCULO!$M$15:$M$244=EVENTOS!$C48)*(OFFSET(CÁLCULO!$AQ$15:$AQ$244,0,H$13))),2),0)</f>
        <v>0</v>
      </c>
      <c r="I48" s="620" cm="1">
        <f t="array" aca="1" ref="I48" ca="1">IF(AUTOEVENTO="Manual",ROUND(SUMPRODUCT((CÁLCULO!$M$15:$M$244=EVENTOS!$C48)*(OFFSET(CÁLCULO!$AQ$15:$AQ$244,0,I$13))),2),0)</f>
        <v>0</v>
      </c>
      <c r="J48" s="620" cm="1">
        <f t="array" aca="1" ref="J48" ca="1">IF(AUTOEVENTO="Manual",ROUND(SUMPRODUCT((CÁLCULO!$M$15:$M$244=EVENTOS!$C48)*(OFFSET(CÁLCULO!$AQ$15:$AQ$244,0,J$13))),2),0)</f>
        <v>0</v>
      </c>
      <c r="K48" s="620" cm="1">
        <f t="array" aca="1" ref="K48" ca="1">IF(AUTOEVENTO="Manual",ROUND(SUMPRODUCT((CÁLCULO!$M$15:$M$244=EVENTOS!$C48)*(OFFSET(CÁLCULO!$AQ$15:$AQ$244,0,K$13))),2),0)</f>
        <v>0</v>
      </c>
      <c r="L48" s="620" cm="1">
        <f t="array" aca="1" ref="L48" ca="1">IF(AUTOEVENTO="Manual",ROUND(SUMPRODUCT((CÁLCULO!$M$15:$M$244=EVENTOS!$C48)*(OFFSET(CÁLCULO!$AQ$15:$AQ$244,0,L$13))),2),0)</f>
        <v>0</v>
      </c>
      <c r="M48" s="620" cm="1">
        <f t="array" aca="1" ref="M48" ca="1">IF(AUTOEVENTO="Manual",ROUND(SUMPRODUCT((CÁLCULO!$M$15:$M$244=EVENTOS!$C48)*(OFFSET(CÁLCULO!$AQ$15:$AQ$244,0,M$13))),2),0)</f>
        <v>0</v>
      </c>
      <c r="N48" s="620" cm="1">
        <f t="array" aca="1" ref="N48" ca="1">IF(AUTOEVENTO="Manual",ROUND(SUMPRODUCT((CÁLCULO!$M$15:$M$244=EVENTOS!$C48)*(OFFSET(CÁLCULO!$AQ$15:$AQ$244,0,N$13))),2),0)</f>
        <v>0</v>
      </c>
      <c r="O48" s="620" cm="1">
        <f t="array" aca="1" ref="O48" ca="1">IF(AUTOEVENTO="Manual",ROUND(SUMPRODUCT((CÁLCULO!$M$15:$M$244=EVENTOS!$C48)*(OFFSET(CÁLCULO!$AQ$15:$AQ$244,0,O$13))),2),0)</f>
        <v>0</v>
      </c>
      <c r="P48" s="620" cm="1">
        <f t="array" aca="1" ref="P48" ca="1">IF(AUTOEVENTO="Manual",ROUND(SUMPRODUCT((CÁLCULO!$M$15:$M$244=EVENTOS!$C48)*(OFFSET(CÁLCULO!$AQ$15:$AQ$244,0,P$13))),2),0)</f>
        <v>0</v>
      </c>
      <c r="Q48" s="620" cm="1">
        <f t="array" aca="1" ref="Q48" ca="1">IF(AUTOEVENTO="Manual",ROUND(SUMPRODUCT((CÁLCULO!$M$15:$M$244=EVENTOS!$C48)*(OFFSET(CÁLCULO!$AQ$15:$AQ$244,0,Q$13))),2),0)</f>
        <v>0</v>
      </c>
      <c r="R48" s="620" cm="1">
        <f t="array" aca="1" ref="R48" ca="1">IF(AUTOEVENTO="Manual",ROUND(SUMPRODUCT((CÁLCULO!$M$15:$M$244=EVENTOS!$C48)*(OFFSET(CÁLCULO!$AQ$15:$AQ$244,0,R$13))),2),0)</f>
        <v>0</v>
      </c>
      <c r="S48" s="620" cm="1">
        <f t="array" aca="1" ref="S48" ca="1">IF(AUTOEVENTO="Manual",ROUND(SUMPRODUCT((CÁLCULO!$M$15:$M$244=EVENTOS!$C48)*(OFFSET(CÁLCULO!$AQ$15:$AQ$244,0,S$13))),2),0)</f>
        <v>0</v>
      </c>
      <c r="T48" s="620" cm="1">
        <f t="array" aca="1" ref="T48" ca="1">IF(AUTOEVENTO="Manual",ROUND(SUMPRODUCT((CÁLCULO!$M$15:$M$244=EVENTOS!$C48)*(OFFSET(CÁLCULO!$AQ$15:$AQ$244,0,T$13))),2),0)</f>
        <v>0</v>
      </c>
      <c r="U48" s="620" cm="1">
        <f t="array" aca="1" ref="U48" ca="1">IF(AUTOEVENTO="Manual",ROUND(SUMPRODUCT((CÁLCULO!$M$15:$M$244=EVENTOS!$C48)*(OFFSET(CÁLCULO!$AQ$15:$AQ$244,0,U$13))),2),0)</f>
        <v>0</v>
      </c>
      <c r="V48" s="620" cm="1">
        <f t="array" aca="1" ref="V48" ca="1">IF(AUTOEVENTO="Manual",ROUND(SUMPRODUCT((CÁLCULO!$M$15:$M$244=EVENTOS!$C48)*(OFFSET(CÁLCULO!$AQ$15:$AQ$244,0,V$13))),2),0)</f>
        <v>0</v>
      </c>
      <c r="W48" s="620" cm="1">
        <f t="array" aca="1" ref="W48" ca="1">IF(AUTOEVENTO="Manual",ROUND(SUMPRODUCT((CÁLCULO!$M$15:$M$244=EVENTOS!$C48)*(OFFSET(CÁLCULO!$AQ$15:$AQ$244,0,W$13))),2),0)</f>
        <v>0</v>
      </c>
      <c r="X48" s="620" cm="1">
        <f t="array" aca="1" ref="X48" ca="1">IF(AUTOEVENTO="Manual",ROUND(SUMPRODUCT((CÁLCULO!$M$15:$M$244=EVENTOS!$C48)*(OFFSET(CÁLCULO!$AQ$15:$AQ$244,0,X$13))),2),0)</f>
        <v>0</v>
      </c>
      <c r="Y48" s="620" cm="1">
        <f t="array" aca="1" ref="Y48" ca="1">IF(AUTOEVENTO="Manual",ROUND(SUMPRODUCT((CÁLCULO!$M$15:$M$244=EVENTOS!$C48)*(OFFSET(CÁLCULO!$AQ$15:$AQ$244,0,Y$13))),2),0)</f>
        <v>0</v>
      </c>
      <c r="Z48" s="620" cm="1">
        <f t="array" aca="1" ref="Z48" ca="1">IF(AUTOEVENTO="Manual",ROUND(SUMPRODUCT((CÁLCULO!$M$15:$M$244=EVENTOS!$C48)*(OFFSET(CÁLCULO!$AQ$15:$AQ$244,0,Z$13))),2),0)</f>
        <v>0</v>
      </c>
      <c r="AA48" s="620" cm="1">
        <f t="array" aca="1" ref="AA48" ca="1">IF(AUTOEVENTO="Manual",ROUND(SUMPRODUCT((CÁLCULO!$M$15:$M$244=EVENTOS!$C48)*(OFFSET(CÁLCULO!$AQ$15:$AQ$244,0,AA$13))),2),0)</f>
        <v>0</v>
      </c>
      <c r="AB48" s="620" cm="1">
        <f t="array" aca="1" ref="AB48" ca="1">IF(AUTOEVENTO="Manual",ROUND(SUMPRODUCT((CÁLCULO!$M$15:$M$244=EVENTOS!$C48)*(OFFSET(CÁLCULO!$AQ$15:$AQ$244,0,AB$13))),2),0)</f>
        <v>0</v>
      </c>
      <c r="AC48" s="620" cm="1">
        <f t="array" aca="1" ref="AC48" ca="1">IF(AUTOEVENTO="Manual",ROUND(SUMPRODUCT((CÁLCULO!$M$15:$M$244=EVENTOS!$C48)*(OFFSET(CÁLCULO!$AQ$15:$AQ$244,0,AC$13))),2),0)</f>
        <v>0</v>
      </c>
      <c r="AD48" s="620" cm="1">
        <f t="array" aca="1" ref="AD48" ca="1">IF(AUTOEVENTO="Manual",ROUND(SUMPRODUCT((CÁLCULO!$M$15:$M$244=EVENTOS!$C48)*(OFFSET(CÁLCULO!$AQ$15:$AQ$244,0,AD$13))),2),0)</f>
        <v>0</v>
      </c>
      <c r="AE48" s="620" cm="1">
        <f t="array" aca="1" ref="AE48" ca="1">IF(AUTOEVENTO="Manual",ROUND(SUMPRODUCT((CÁLCULO!$M$15:$M$244=EVENTOS!$C48)*(OFFSET(CÁLCULO!$AQ$15:$AQ$244,0,AE$13))),2),0)</f>
        <v>0</v>
      </c>
      <c r="AF48" s="620" cm="1">
        <f t="array" aca="1" ref="AF48" ca="1">IF(AUTOEVENTO="Manual",ROUND(SUMPRODUCT((CÁLCULO!$M$15:$M$244=EVENTOS!$C48)*(OFFSET(CÁLCULO!$AQ$15:$AQ$244,0,AF$13))),2),0)</f>
        <v>0</v>
      </c>
      <c r="AG48" s="620" cm="1">
        <f t="array" aca="1" ref="AG48" ca="1">IF(AUTOEVENTO="Manual",ROUND(SUMPRODUCT((CÁLCULO!$M$15:$M$244=EVENTOS!$C48)*(OFFSET(CÁLCULO!$AQ$15:$AQ$244,0,AG$13))),2),0)</f>
        <v>0</v>
      </c>
      <c r="AH48" s="620" cm="1">
        <f t="array" aca="1" ref="AH48" ca="1">IF(AUTOEVENTO="Manual",ROUND(SUMPRODUCT((CÁLCULO!$M$15:$M$244=EVENTOS!$C48)*(OFFSET(CÁLCULO!$AQ$15:$AQ$244,0,AH$13))),2),0)</f>
        <v>0</v>
      </c>
      <c r="AI48" s="620" cm="1">
        <f t="array" aca="1" ref="AI48" ca="1">IF(AUTOEVENTO="Manual",ROUND(SUMPRODUCT((CÁLCULO!$M$15:$M$244=EVENTOS!$C48)*(OFFSET(CÁLCULO!$AQ$15:$AQ$244,0,AI$13))),2),0)</f>
        <v>0</v>
      </c>
    </row>
    <row r="49" spans="1:35" x14ac:dyDescent="0.2">
      <c r="A49" s="506" t="str">
        <f t="shared" si="3"/>
        <v/>
      </c>
      <c r="B49" t="str">
        <f t="shared" ca="1" si="4"/>
        <v/>
      </c>
      <c r="C49" s="182" t="str" cm="1">
        <f t="array" aca="1" ref="C49" ca="1">IF(OR(ROW(C49)=ROW(EVENTOS.firstrow)+1,AND(OFFSET(C49,-1,0)&lt;&gt;" ",OFFSET(C49,-1,1)&lt;&gt;"")),OFFSET(C49,-1,0)+1," ")</f>
        <v xml:space="preserve"> </v>
      </c>
      <c r="D49" s="496"/>
      <c r="E49" s="620" cm="1">
        <f t="array" aca="1" ref="E49" ca="1">IF(AUTOEVENTO="Manual",ROUND(SUMPRODUCT((CÁLCULO!$M$15:$M$244=EVENTOS!$C49)*(OFFSET(CÁLCULO!$AQ$15:$AQ$244,0,E$13))),2),0)</f>
        <v>0</v>
      </c>
      <c r="F49" s="183">
        <f ca="1">IF(AUTOEVENTO="Manual",ROUND(SUMPRODUCT((CÁLCULO!$M$15:$M$244=EVENTOS!$C49)*(OFFSET(CÁLCULO!$AQ$15,0,1):OFFSET(CÁLCULO!$BR$244,0,-1))),2),0)</f>
        <v>0</v>
      </c>
      <c r="G49" s="621" t="str">
        <f t="shared" ca="1" si="6"/>
        <v/>
      </c>
      <c r="H49" s="620" cm="1">
        <f t="array" aca="1" ref="H49" ca="1">IF(AUTOEVENTO="Manual",ROUND(SUMPRODUCT((CÁLCULO!$M$15:$M$244=EVENTOS!$C49)*(OFFSET(CÁLCULO!$AQ$15:$AQ$244,0,H$13))),2),0)</f>
        <v>0</v>
      </c>
      <c r="I49" s="620" cm="1">
        <f t="array" aca="1" ref="I49" ca="1">IF(AUTOEVENTO="Manual",ROUND(SUMPRODUCT((CÁLCULO!$M$15:$M$244=EVENTOS!$C49)*(OFFSET(CÁLCULO!$AQ$15:$AQ$244,0,I$13))),2),0)</f>
        <v>0</v>
      </c>
      <c r="J49" s="620" cm="1">
        <f t="array" aca="1" ref="J49" ca="1">IF(AUTOEVENTO="Manual",ROUND(SUMPRODUCT((CÁLCULO!$M$15:$M$244=EVENTOS!$C49)*(OFFSET(CÁLCULO!$AQ$15:$AQ$244,0,J$13))),2),0)</f>
        <v>0</v>
      </c>
      <c r="K49" s="620" cm="1">
        <f t="array" aca="1" ref="K49" ca="1">IF(AUTOEVENTO="Manual",ROUND(SUMPRODUCT((CÁLCULO!$M$15:$M$244=EVENTOS!$C49)*(OFFSET(CÁLCULO!$AQ$15:$AQ$244,0,K$13))),2),0)</f>
        <v>0</v>
      </c>
      <c r="L49" s="620" cm="1">
        <f t="array" aca="1" ref="L49" ca="1">IF(AUTOEVENTO="Manual",ROUND(SUMPRODUCT((CÁLCULO!$M$15:$M$244=EVENTOS!$C49)*(OFFSET(CÁLCULO!$AQ$15:$AQ$244,0,L$13))),2),0)</f>
        <v>0</v>
      </c>
      <c r="M49" s="620" cm="1">
        <f t="array" aca="1" ref="M49" ca="1">IF(AUTOEVENTO="Manual",ROUND(SUMPRODUCT((CÁLCULO!$M$15:$M$244=EVENTOS!$C49)*(OFFSET(CÁLCULO!$AQ$15:$AQ$244,0,M$13))),2),0)</f>
        <v>0</v>
      </c>
      <c r="N49" s="620" cm="1">
        <f t="array" aca="1" ref="N49" ca="1">IF(AUTOEVENTO="Manual",ROUND(SUMPRODUCT((CÁLCULO!$M$15:$M$244=EVENTOS!$C49)*(OFFSET(CÁLCULO!$AQ$15:$AQ$244,0,N$13))),2),0)</f>
        <v>0</v>
      </c>
      <c r="O49" s="620" cm="1">
        <f t="array" aca="1" ref="O49" ca="1">IF(AUTOEVENTO="Manual",ROUND(SUMPRODUCT((CÁLCULO!$M$15:$M$244=EVENTOS!$C49)*(OFFSET(CÁLCULO!$AQ$15:$AQ$244,0,O$13))),2),0)</f>
        <v>0</v>
      </c>
      <c r="P49" s="620" cm="1">
        <f t="array" aca="1" ref="P49" ca="1">IF(AUTOEVENTO="Manual",ROUND(SUMPRODUCT((CÁLCULO!$M$15:$M$244=EVENTOS!$C49)*(OFFSET(CÁLCULO!$AQ$15:$AQ$244,0,P$13))),2),0)</f>
        <v>0</v>
      </c>
      <c r="Q49" s="620" cm="1">
        <f t="array" aca="1" ref="Q49" ca="1">IF(AUTOEVENTO="Manual",ROUND(SUMPRODUCT((CÁLCULO!$M$15:$M$244=EVENTOS!$C49)*(OFFSET(CÁLCULO!$AQ$15:$AQ$244,0,Q$13))),2),0)</f>
        <v>0</v>
      </c>
      <c r="R49" s="620" cm="1">
        <f t="array" aca="1" ref="R49" ca="1">IF(AUTOEVENTO="Manual",ROUND(SUMPRODUCT((CÁLCULO!$M$15:$M$244=EVENTOS!$C49)*(OFFSET(CÁLCULO!$AQ$15:$AQ$244,0,R$13))),2),0)</f>
        <v>0</v>
      </c>
      <c r="S49" s="620" cm="1">
        <f t="array" aca="1" ref="S49" ca="1">IF(AUTOEVENTO="Manual",ROUND(SUMPRODUCT((CÁLCULO!$M$15:$M$244=EVENTOS!$C49)*(OFFSET(CÁLCULO!$AQ$15:$AQ$244,0,S$13))),2),0)</f>
        <v>0</v>
      </c>
      <c r="T49" s="620" cm="1">
        <f t="array" aca="1" ref="T49" ca="1">IF(AUTOEVENTO="Manual",ROUND(SUMPRODUCT((CÁLCULO!$M$15:$M$244=EVENTOS!$C49)*(OFFSET(CÁLCULO!$AQ$15:$AQ$244,0,T$13))),2),0)</f>
        <v>0</v>
      </c>
      <c r="U49" s="620" cm="1">
        <f t="array" aca="1" ref="U49" ca="1">IF(AUTOEVENTO="Manual",ROUND(SUMPRODUCT((CÁLCULO!$M$15:$M$244=EVENTOS!$C49)*(OFFSET(CÁLCULO!$AQ$15:$AQ$244,0,U$13))),2),0)</f>
        <v>0</v>
      </c>
      <c r="V49" s="620" cm="1">
        <f t="array" aca="1" ref="V49" ca="1">IF(AUTOEVENTO="Manual",ROUND(SUMPRODUCT((CÁLCULO!$M$15:$M$244=EVENTOS!$C49)*(OFFSET(CÁLCULO!$AQ$15:$AQ$244,0,V$13))),2),0)</f>
        <v>0</v>
      </c>
      <c r="W49" s="620" cm="1">
        <f t="array" aca="1" ref="W49" ca="1">IF(AUTOEVENTO="Manual",ROUND(SUMPRODUCT((CÁLCULO!$M$15:$M$244=EVENTOS!$C49)*(OFFSET(CÁLCULO!$AQ$15:$AQ$244,0,W$13))),2),0)</f>
        <v>0</v>
      </c>
      <c r="X49" s="620" cm="1">
        <f t="array" aca="1" ref="X49" ca="1">IF(AUTOEVENTO="Manual",ROUND(SUMPRODUCT((CÁLCULO!$M$15:$M$244=EVENTOS!$C49)*(OFFSET(CÁLCULO!$AQ$15:$AQ$244,0,X$13))),2),0)</f>
        <v>0</v>
      </c>
      <c r="Y49" s="620" cm="1">
        <f t="array" aca="1" ref="Y49" ca="1">IF(AUTOEVENTO="Manual",ROUND(SUMPRODUCT((CÁLCULO!$M$15:$M$244=EVENTOS!$C49)*(OFFSET(CÁLCULO!$AQ$15:$AQ$244,0,Y$13))),2),0)</f>
        <v>0</v>
      </c>
      <c r="Z49" s="620" cm="1">
        <f t="array" aca="1" ref="Z49" ca="1">IF(AUTOEVENTO="Manual",ROUND(SUMPRODUCT((CÁLCULO!$M$15:$M$244=EVENTOS!$C49)*(OFFSET(CÁLCULO!$AQ$15:$AQ$244,0,Z$13))),2),0)</f>
        <v>0</v>
      </c>
      <c r="AA49" s="620" cm="1">
        <f t="array" aca="1" ref="AA49" ca="1">IF(AUTOEVENTO="Manual",ROUND(SUMPRODUCT((CÁLCULO!$M$15:$M$244=EVENTOS!$C49)*(OFFSET(CÁLCULO!$AQ$15:$AQ$244,0,AA$13))),2),0)</f>
        <v>0</v>
      </c>
      <c r="AB49" s="620" cm="1">
        <f t="array" aca="1" ref="AB49" ca="1">IF(AUTOEVENTO="Manual",ROUND(SUMPRODUCT((CÁLCULO!$M$15:$M$244=EVENTOS!$C49)*(OFFSET(CÁLCULO!$AQ$15:$AQ$244,0,AB$13))),2),0)</f>
        <v>0</v>
      </c>
      <c r="AC49" s="620" cm="1">
        <f t="array" aca="1" ref="AC49" ca="1">IF(AUTOEVENTO="Manual",ROUND(SUMPRODUCT((CÁLCULO!$M$15:$M$244=EVENTOS!$C49)*(OFFSET(CÁLCULO!$AQ$15:$AQ$244,0,AC$13))),2),0)</f>
        <v>0</v>
      </c>
      <c r="AD49" s="620" cm="1">
        <f t="array" aca="1" ref="AD49" ca="1">IF(AUTOEVENTO="Manual",ROUND(SUMPRODUCT((CÁLCULO!$M$15:$M$244=EVENTOS!$C49)*(OFFSET(CÁLCULO!$AQ$15:$AQ$244,0,AD$13))),2),0)</f>
        <v>0</v>
      </c>
      <c r="AE49" s="620" cm="1">
        <f t="array" aca="1" ref="AE49" ca="1">IF(AUTOEVENTO="Manual",ROUND(SUMPRODUCT((CÁLCULO!$M$15:$M$244=EVENTOS!$C49)*(OFFSET(CÁLCULO!$AQ$15:$AQ$244,0,AE$13))),2),0)</f>
        <v>0</v>
      </c>
      <c r="AF49" s="620" cm="1">
        <f t="array" aca="1" ref="AF49" ca="1">IF(AUTOEVENTO="Manual",ROUND(SUMPRODUCT((CÁLCULO!$M$15:$M$244=EVENTOS!$C49)*(OFFSET(CÁLCULO!$AQ$15:$AQ$244,0,AF$13))),2),0)</f>
        <v>0</v>
      </c>
      <c r="AG49" s="620" cm="1">
        <f t="array" aca="1" ref="AG49" ca="1">IF(AUTOEVENTO="Manual",ROUND(SUMPRODUCT((CÁLCULO!$M$15:$M$244=EVENTOS!$C49)*(OFFSET(CÁLCULO!$AQ$15:$AQ$244,0,AG$13))),2),0)</f>
        <v>0</v>
      </c>
      <c r="AH49" s="620" cm="1">
        <f t="array" aca="1" ref="AH49" ca="1">IF(AUTOEVENTO="Manual",ROUND(SUMPRODUCT((CÁLCULO!$M$15:$M$244=EVENTOS!$C49)*(OFFSET(CÁLCULO!$AQ$15:$AQ$244,0,AH$13))),2),0)</f>
        <v>0</v>
      </c>
      <c r="AI49" s="620" cm="1">
        <f t="array" aca="1" ref="AI49" ca="1">IF(AUTOEVENTO="Manual",ROUND(SUMPRODUCT((CÁLCULO!$M$15:$M$244=EVENTOS!$C49)*(OFFSET(CÁLCULO!$AQ$15:$AQ$244,0,AI$13))),2),0)</f>
        <v>0</v>
      </c>
    </row>
    <row r="50" spans="1:35" x14ac:dyDescent="0.2">
      <c r="A50" s="506" t="str">
        <f t="shared" si="3"/>
        <v/>
      </c>
      <c r="B50" t="str">
        <f t="shared" ca="1" si="4"/>
        <v/>
      </c>
      <c r="C50" s="182" t="str" cm="1">
        <f t="array" aca="1" ref="C50" ca="1">IF(OR(ROW(C50)=ROW(EVENTOS.firstrow)+1,AND(OFFSET(C50,-1,0)&lt;&gt;" ",OFFSET(C50,-1,1)&lt;&gt;"")),OFFSET(C50,-1,0)+1," ")</f>
        <v xml:space="preserve"> </v>
      </c>
      <c r="D50" s="496"/>
      <c r="E50" s="620" cm="1">
        <f t="array" aca="1" ref="E50" ca="1">IF(AUTOEVENTO="Manual",ROUND(SUMPRODUCT((CÁLCULO!$M$15:$M$244=EVENTOS!$C50)*(OFFSET(CÁLCULO!$AQ$15:$AQ$244,0,E$13))),2),0)</f>
        <v>0</v>
      </c>
      <c r="F50" s="183">
        <f ca="1">IF(AUTOEVENTO="Manual",ROUND(SUMPRODUCT((CÁLCULO!$M$15:$M$244=EVENTOS!$C50)*(OFFSET(CÁLCULO!$AQ$15,0,1):OFFSET(CÁLCULO!$BR$244,0,-1))),2),0)</f>
        <v>0</v>
      </c>
      <c r="G50" s="621" t="str">
        <f t="shared" ca="1" si="6"/>
        <v/>
      </c>
      <c r="H50" s="620" cm="1">
        <f t="array" aca="1" ref="H50" ca="1">IF(AUTOEVENTO="Manual",ROUND(SUMPRODUCT((CÁLCULO!$M$15:$M$244=EVENTOS!$C50)*(OFFSET(CÁLCULO!$AQ$15:$AQ$244,0,H$13))),2),0)</f>
        <v>0</v>
      </c>
      <c r="I50" s="620" cm="1">
        <f t="array" aca="1" ref="I50" ca="1">IF(AUTOEVENTO="Manual",ROUND(SUMPRODUCT((CÁLCULO!$M$15:$M$244=EVENTOS!$C50)*(OFFSET(CÁLCULO!$AQ$15:$AQ$244,0,I$13))),2),0)</f>
        <v>0</v>
      </c>
      <c r="J50" s="620" cm="1">
        <f t="array" aca="1" ref="J50" ca="1">IF(AUTOEVENTO="Manual",ROUND(SUMPRODUCT((CÁLCULO!$M$15:$M$244=EVENTOS!$C50)*(OFFSET(CÁLCULO!$AQ$15:$AQ$244,0,J$13))),2),0)</f>
        <v>0</v>
      </c>
      <c r="K50" s="620" cm="1">
        <f t="array" aca="1" ref="K50" ca="1">IF(AUTOEVENTO="Manual",ROUND(SUMPRODUCT((CÁLCULO!$M$15:$M$244=EVENTOS!$C50)*(OFFSET(CÁLCULO!$AQ$15:$AQ$244,0,K$13))),2),0)</f>
        <v>0</v>
      </c>
      <c r="L50" s="620" cm="1">
        <f t="array" aca="1" ref="L50" ca="1">IF(AUTOEVENTO="Manual",ROUND(SUMPRODUCT((CÁLCULO!$M$15:$M$244=EVENTOS!$C50)*(OFFSET(CÁLCULO!$AQ$15:$AQ$244,0,L$13))),2),0)</f>
        <v>0</v>
      </c>
      <c r="M50" s="620" cm="1">
        <f t="array" aca="1" ref="M50" ca="1">IF(AUTOEVENTO="Manual",ROUND(SUMPRODUCT((CÁLCULO!$M$15:$M$244=EVENTOS!$C50)*(OFFSET(CÁLCULO!$AQ$15:$AQ$244,0,M$13))),2),0)</f>
        <v>0</v>
      </c>
      <c r="N50" s="620" cm="1">
        <f t="array" aca="1" ref="N50" ca="1">IF(AUTOEVENTO="Manual",ROUND(SUMPRODUCT((CÁLCULO!$M$15:$M$244=EVENTOS!$C50)*(OFFSET(CÁLCULO!$AQ$15:$AQ$244,0,N$13))),2),0)</f>
        <v>0</v>
      </c>
      <c r="O50" s="620" cm="1">
        <f t="array" aca="1" ref="O50" ca="1">IF(AUTOEVENTO="Manual",ROUND(SUMPRODUCT((CÁLCULO!$M$15:$M$244=EVENTOS!$C50)*(OFFSET(CÁLCULO!$AQ$15:$AQ$244,0,O$13))),2),0)</f>
        <v>0</v>
      </c>
      <c r="P50" s="620" cm="1">
        <f t="array" aca="1" ref="P50" ca="1">IF(AUTOEVENTO="Manual",ROUND(SUMPRODUCT((CÁLCULO!$M$15:$M$244=EVENTOS!$C50)*(OFFSET(CÁLCULO!$AQ$15:$AQ$244,0,P$13))),2),0)</f>
        <v>0</v>
      </c>
      <c r="Q50" s="620" cm="1">
        <f t="array" aca="1" ref="Q50" ca="1">IF(AUTOEVENTO="Manual",ROUND(SUMPRODUCT((CÁLCULO!$M$15:$M$244=EVENTOS!$C50)*(OFFSET(CÁLCULO!$AQ$15:$AQ$244,0,Q$13))),2),0)</f>
        <v>0</v>
      </c>
      <c r="R50" s="620" cm="1">
        <f t="array" aca="1" ref="R50" ca="1">IF(AUTOEVENTO="Manual",ROUND(SUMPRODUCT((CÁLCULO!$M$15:$M$244=EVENTOS!$C50)*(OFFSET(CÁLCULO!$AQ$15:$AQ$244,0,R$13))),2),0)</f>
        <v>0</v>
      </c>
      <c r="S50" s="620" cm="1">
        <f t="array" aca="1" ref="S50" ca="1">IF(AUTOEVENTO="Manual",ROUND(SUMPRODUCT((CÁLCULO!$M$15:$M$244=EVENTOS!$C50)*(OFFSET(CÁLCULO!$AQ$15:$AQ$244,0,S$13))),2),0)</f>
        <v>0</v>
      </c>
      <c r="T50" s="620" cm="1">
        <f t="array" aca="1" ref="T50" ca="1">IF(AUTOEVENTO="Manual",ROUND(SUMPRODUCT((CÁLCULO!$M$15:$M$244=EVENTOS!$C50)*(OFFSET(CÁLCULO!$AQ$15:$AQ$244,0,T$13))),2),0)</f>
        <v>0</v>
      </c>
      <c r="U50" s="620" cm="1">
        <f t="array" aca="1" ref="U50" ca="1">IF(AUTOEVENTO="Manual",ROUND(SUMPRODUCT((CÁLCULO!$M$15:$M$244=EVENTOS!$C50)*(OFFSET(CÁLCULO!$AQ$15:$AQ$244,0,U$13))),2),0)</f>
        <v>0</v>
      </c>
      <c r="V50" s="620" cm="1">
        <f t="array" aca="1" ref="V50" ca="1">IF(AUTOEVENTO="Manual",ROUND(SUMPRODUCT((CÁLCULO!$M$15:$M$244=EVENTOS!$C50)*(OFFSET(CÁLCULO!$AQ$15:$AQ$244,0,V$13))),2),0)</f>
        <v>0</v>
      </c>
      <c r="W50" s="620" cm="1">
        <f t="array" aca="1" ref="W50" ca="1">IF(AUTOEVENTO="Manual",ROUND(SUMPRODUCT((CÁLCULO!$M$15:$M$244=EVENTOS!$C50)*(OFFSET(CÁLCULO!$AQ$15:$AQ$244,0,W$13))),2),0)</f>
        <v>0</v>
      </c>
      <c r="X50" s="620" cm="1">
        <f t="array" aca="1" ref="X50" ca="1">IF(AUTOEVENTO="Manual",ROUND(SUMPRODUCT((CÁLCULO!$M$15:$M$244=EVENTOS!$C50)*(OFFSET(CÁLCULO!$AQ$15:$AQ$244,0,X$13))),2),0)</f>
        <v>0</v>
      </c>
      <c r="Y50" s="620" cm="1">
        <f t="array" aca="1" ref="Y50" ca="1">IF(AUTOEVENTO="Manual",ROUND(SUMPRODUCT((CÁLCULO!$M$15:$M$244=EVENTOS!$C50)*(OFFSET(CÁLCULO!$AQ$15:$AQ$244,0,Y$13))),2),0)</f>
        <v>0</v>
      </c>
      <c r="Z50" s="620" cm="1">
        <f t="array" aca="1" ref="Z50" ca="1">IF(AUTOEVENTO="Manual",ROUND(SUMPRODUCT((CÁLCULO!$M$15:$M$244=EVENTOS!$C50)*(OFFSET(CÁLCULO!$AQ$15:$AQ$244,0,Z$13))),2),0)</f>
        <v>0</v>
      </c>
      <c r="AA50" s="620" cm="1">
        <f t="array" aca="1" ref="AA50" ca="1">IF(AUTOEVENTO="Manual",ROUND(SUMPRODUCT((CÁLCULO!$M$15:$M$244=EVENTOS!$C50)*(OFFSET(CÁLCULO!$AQ$15:$AQ$244,0,AA$13))),2),0)</f>
        <v>0</v>
      </c>
      <c r="AB50" s="620" cm="1">
        <f t="array" aca="1" ref="AB50" ca="1">IF(AUTOEVENTO="Manual",ROUND(SUMPRODUCT((CÁLCULO!$M$15:$M$244=EVENTOS!$C50)*(OFFSET(CÁLCULO!$AQ$15:$AQ$244,0,AB$13))),2),0)</f>
        <v>0</v>
      </c>
      <c r="AC50" s="620" cm="1">
        <f t="array" aca="1" ref="AC50" ca="1">IF(AUTOEVENTO="Manual",ROUND(SUMPRODUCT((CÁLCULO!$M$15:$M$244=EVENTOS!$C50)*(OFFSET(CÁLCULO!$AQ$15:$AQ$244,0,AC$13))),2),0)</f>
        <v>0</v>
      </c>
      <c r="AD50" s="620" cm="1">
        <f t="array" aca="1" ref="AD50" ca="1">IF(AUTOEVENTO="Manual",ROUND(SUMPRODUCT((CÁLCULO!$M$15:$M$244=EVENTOS!$C50)*(OFFSET(CÁLCULO!$AQ$15:$AQ$244,0,AD$13))),2),0)</f>
        <v>0</v>
      </c>
      <c r="AE50" s="620" cm="1">
        <f t="array" aca="1" ref="AE50" ca="1">IF(AUTOEVENTO="Manual",ROUND(SUMPRODUCT((CÁLCULO!$M$15:$M$244=EVENTOS!$C50)*(OFFSET(CÁLCULO!$AQ$15:$AQ$244,0,AE$13))),2),0)</f>
        <v>0</v>
      </c>
      <c r="AF50" s="620" cm="1">
        <f t="array" aca="1" ref="AF50" ca="1">IF(AUTOEVENTO="Manual",ROUND(SUMPRODUCT((CÁLCULO!$M$15:$M$244=EVENTOS!$C50)*(OFFSET(CÁLCULO!$AQ$15:$AQ$244,0,AF$13))),2),0)</f>
        <v>0</v>
      </c>
      <c r="AG50" s="620" cm="1">
        <f t="array" aca="1" ref="AG50" ca="1">IF(AUTOEVENTO="Manual",ROUND(SUMPRODUCT((CÁLCULO!$M$15:$M$244=EVENTOS!$C50)*(OFFSET(CÁLCULO!$AQ$15:$AQ$244,0,AG$13))),2),0)</f>
        <v>0</v>
      </c>
      <c r="AH50" s="620" cm="1">
        <f t="array" aca="1" ref="AH50" ca="1">IF(AUTOEVENTO="Manual",ROUND(SUMPRODUCT((CÁLCULO!$M$15:$M$244=EVENTOS!$C50)*(OFFSET(CÁLCULO!$AQ$15:$AQ$244,0,AH$13))),2),0)</f>
        <v>0</v>
      </c>
      <c r="AI50" s="620" cm="1">
        <f t="array" aca="1" ref="AI50" ca="1">IF(AUTOEVENTO="Manual",ROUND(SUMPRODUCT((CÁLCULO!$M$15:$M$244=EVENTOS!$C50)*(OFFSET(CÁLCULO!$AQ$15:$AQ$244,0,AI$13))),2),0)</f>
        <v>0</v>
      </c>
    </row>
    <row r="51" spans="1:35" x14ac:dyDescent="0.2">
      <c r="A51" s="506" t="str">
        <f t="shared" si="3"/>
        <v/>
      </c>
      <c r="B51" t="str">
        <f t="shared" ca="1" si="4"/>
        <v/>
      </c>
      <c r="C51" s="182" t="str" cm="1">
        <f t="array" aca="1" ref="C51" ca="1">IF(OR(ROW(C51)=ROW(EVENTOS.firstrow)+1,AND(OFFSET(C51,-1,0)&lt;&gt;" ",OFFSET(C51,-1,1)&lt;&gt;"")),OFFSET(C51,-1,0)+1," ")</f>
        <v xml:space="preserve"> </v>
      </c>
      <c r="D51" s="496"/>
      <c r="E51" s="620" cm="1">
        <f t="array" aca="1" ref="E51" ca="1">IF(AUTOEVENTO="Manual",ROUND(SUMPRODUCT((CÁLCULO!$M$15:$M$244=EVENTOS!$C51)*(OFFSET(CÁLCULO!$AQ$15:$AQ$244,0,E$13))),2),0)</f>
        <v>0</v>
      </c>
      <c r="F51" s="183">
        <f ca="1">IF(AUTOEVENTO="Manual",ROUND(SUMPRODUCT((CÁLCULO!$M$15:$M$244=EVENTOS!$C51)*(OFFSET(CÁLCULO!$AQ$15,0,1):OFFSET(CÁLCULO!$BR$244,0,-1))),2),0)</f>
        <v>0</v>
      </c>
      <c r="G51" s="621" t="str">
        <f t="shared" ca="1" si="6"/>
        <v/>
      </c>
      <c r="H51" s="620" cm="1">
        <f t="array" aca="1" ref="H51" ca="1">IF(AUTOEVENTO="Manual",ROUND(SUMPRODUCT((CÁLCULO!$M$15:$M$244=EVENTOS!$C51)*(OFFSET(CÁLCULO!$AQ$15:$AQ$244,0,H$13))),2),0)</f>
        <v>0</v>
      </c>
      <c r="I51" s="620" cm="1">
        <f t="array" aca="1" ref="I51" ca="1">IF(AUTOEVENTO="Manual",ROUND(SUMPRODUCT((CÁLCULO!$M$15:$M$244=EVENTOS!$C51)*(OFFSET(CÁLCULO!$AQ$15:$AQ$244,0,I$13))),2),0)</f>
        <v>0</v>
      </c>
      <c r="J51" s="620" cm="1">
        <f t="array" aca="1" ref="J51" ca="1">IF(AUTOEVENTO="Manual",ROUND(SUMPRODUCT((CÁLCULO!$M$15:$M$244=EVENTOS!$C51)*(OFFSET(CÁLCULO!$AQ$15:$AQ$244,0,J$13))),2),0)</f>
        <v>0</v>
      </c>
      <c r="K51" s="620" cm="1">
        <f t="array" aca="1" ref="K51" ca="1">IF(AUTOEVENTO="Manual",ROUND(SUMPRODUCT((CÁLCULO!$M$15:$M$244=EVENTOS!$C51)*(OFFSET(CÁLCULO!$AQ$15:$AQ$244,0,K$13))),2),0)</f>
        <v>0</v>
      </c>
      <c r="L51" s="620" cm="1">
        <f t="array" aca="1" ref="L51" ca="1">IF(AUTOEVENTO="Manual",ROUND(SUMPRODUCT((CÁLCULO!$M$15:$M$244=EVENTOS!$C51)*(OFFSET(CÁLCULO!$AQ$15:$AQ$244,0,L$13))),2),0)</f>
        <v>0</v>
      </c>
      <c r="M51" s="620" cm="1">
        <f t="array" aca="1" ref="M51" ca="1">IF(AUTOEVENTO="Manual",ROUND(SUMPRODUCT((CÁLCULO!$M$15:$M$244=EVENTOS!$C51)*(OFFSET(CÁLCULO!$AQ$15:$AQ$244,0,M$13))),2),0)</f>
        <v>0</v>
      </c>
      <c r="N51" s="620" cm="1">
        <f t="array" aca="1" ref="N51" ca="1">IF(AUTOEVENTO="Manual",ROUND(SUMPRODUCT((CÁLCULO!$M$15:$M$244=EVENTOS!$C51)*(OFFSET(CÁLCULO!$AQ$15:$AQ$244,0,N$13))),2),0)</f>
        <v>0</v>
      </c>
      <c r="O51" s="620" cm="1">
        <f t="array" aca="1" ref="O51" ca="1">IF(AUTOEVENTO="Manual",ROUND(SUMPRODUCT((CÁLCULO!$M$15:$M$244=EVENTOS!$C51)*(OFFSET(CÁLCULO!$AQ$15:$AQ$244,0,O$13))),2),0)</f>
        <v>0</v>
      </c>
      <c r="P51" s="620" cm="1">
        <f t="array" aca="1" ref="P51" ca="1">IF(AUTOEVENTO="Manual",ROUND(SUMPRODUCT((CÁLCULO!$M$15:$M$244=EVENTOS!$C51)*(OFFSET(CÁLCULO!$AQ$15:$AQ$244,0,P$13))),2),0)</f>
        <v>0</v>
      </c>
      <c r="Q51" s="620" cm="1">
        <f t="array" aca="1" ref="Q51" ca="1">IF(AUTOEVENTO="Manual",ROUND(SUMPRODUCT((CÁLCULO!$M$15:$M$244=EVENTOS!$C51)*(OFFSET(CÁLCULO!$AQ$15:$AQ$244,0,Q$13))),2),0)</f>
        <v>0</v>
      </c>
      <c r="R51" s="620" cm="1">
        <f t="array" aca="1" ref="R51" ca="1">IF(AUTOEVENTO="Manual",ROUND(SUMPRODUCT((CÁLCULO!$M$15:$M$244=EVENTOS!$C51)*(OFFSET(CÁLCULO!$AQ$15:$AQ$244,0,R$13))),2),0)</f>
        <v>0</v>
      </c>
      <c r="S51" s="620" cm="1">
        <f t="array" aca="1" ref="S51" ca="1">IF(AUTOEVENTO="Manual",ROUND(SUMPRODUCT((CÁLCULO!$M$15:$M$244=EVENTOS!$C51)*(OFFSET(CÁLCULO!$AQ$15:$AQ$244,0,S$13))),2),0)</f>
        <v>0</v>
      </c>
      <c r="T51" s="620" cm="1">
        <f t="array" aca="1" ref="T51" ca="1">IF(AUTOEVENTO="Manual",ROUND(SUMPRODUCT((CÁLCULO!$M$15:$M$244=EVENTOS!$C51)*(OFFSET(CÁLCULO!$AQ$15:$AQ$244,0,T$13))),2),0)</f>
        <v>0</v>
      </c>
      <c r="U51" s="620" cm="1">
        <f t="array" aca="1" ref="U51" ca="1">IF(AUTOEVENTO="Manual",ROUND(SUMPRODUCT((CÁLCULO!$M$15:$M$244=EVENTOS!$C51)*(OFFSET(CÁLCULO!$AQ$15:$AQ$244,0,U$13))),2),0)</f>
        <v>0</v>
      </c>
      <c r="V51" s="620" cm="1">
        <f t="array" aca="1" ref="V51" ca="1">IF(AUTOEVENTO="Manual",ROUND(SUMPRODUCT((CÁLCULO!$M$15:$M$244=EVENTOS!$C51)*(OFFSET(CÁLCULO!$AQ$15:$AQ$244,0,V$13))),2),0)</f>
        <v>0</v>
      </c>
      <c r="W51" s="620" cm="1">
        <f t="array" aca="1" ref="W51" ca="1">IF(AUTOEVENTO="Manual",ROUND(SUMPRODUCT((CÁLCULO!$M$15:$M$244=EVENTOS!$C51)*(OFFSET(CÁLCULO!$AQ$15:$AQ$244,0,W$13))),2),0)</f>
        <v>0</v>
      </c>
      <c r="X51" s="620" cm="1">
        <f t="array" aca="1" ref="X51" ca="1">IF(AUTOEVENTO="Manual",ROUND(SUMPRODUCT((CÁLCULO!$M$15:$M$244=EVENTOS!$C51)*(OFFSET(CÁLCULO!$AQ$15:$AQ$244,0,X$13))),2),0)</f>
        <v>0</v>
      </c>
      <c r="Y51" s="620" cm="1">
        <f t="array" aca="1" ref="Y51" ca="1">IF(AUTOEVENTO="Manual",ROUND(SUMPRODUCT((CÁLCULO!$M$15:$M$244=EVENTOS!$C51)*(OFFSET(CÁLCULO!$AQ$15:$AQ$244,0,Y$13))),2),0)</f>
        <v>0</v>
      </c>
      <c r="Z51" s="620" cm="1">
        <f t="array" aca="1" ref="Z51" ca="1">IF(AUTOEVENTO="Manual",ROUND(SUMPRODUCT((CÁLCULO!$M$15:$M$244=EVENTOS!$C51)*(OFFSET(CÁLCULO!$AQ$15:$AQ$244,0,Z$13))),2),0)</f>
        <v>0</v>
      </c>
      <c r="AA51" s="620" cm="1">
        <f t="array" aca="1" ref="AA51" ca="1">IF(AUTOEVENTO="Manual",ROUND(SUMPRODUCT((CÁLCULO!$M$15:$M$244=EVENTOS!$C51)*(OFFSET(CÁLCULO!$AQ$15:$AQ$244,0,AA$13))),2),0)</f>
        <v>0</v>
      </c>
      <c r="AB51" s="620" cm="1">
        <f t="array" aca="1" ref="AB51" ca="1">IF(AUTOEVENTO="Manual",ROUND(SUMPRODUCT((CÁLCULO!$M$15:$M$244=EVENTOS!$C51)*(OFFSET(CÁLCULO!$AQ$15:$AQ$244,0,AB$13))),2),0)</f>
        <v>0</v>
      </c>
      <c r="AC51" s="620" cm="1">
        <f t="array" aca="1" ref="AC51" ca="1">IF(AUTOEVENTO="Manual",ROUND(SUMPRODUCT((CÁLCULO!$M$15:$M$244=EVENTOS!$C51)*(OFFSET(CÁLCULO!$AQ$15:$AQ$244,0,AC$13))),2),0)</f>
        <v>0</v>
      </c>
      <c r="AD51" s="620" cm="1">
        <f t="array" aca="1" ref="AD51" ca="1">IF(AUTOEVENTO="Manual",ROUND(SUMPRODUCT((CÁLCULO!$M$15:$M$244=EVENTOS!$C51)*(OFFSET(CÁLCULO!$AQ$15:$AQ$244,0,AD$13))),2),0)</f>
        <v>0</v>
      </c>
      <c r="AE51" s="620" cm="1">
        <f t="array" aca="1" ref="AE51" ca="1">IF(AUTOEVENTO="Manual",ROUND(SUMPRODUCT((CÁLCULO!$M$15:$M$244=EVENTOS!$C51)*(OFFSET(CÁLCULO!$AQ$15:$AQ$244,0,AE$13))),2),0)</f>
        <v>0</v>
      </c>
      <c r="AF51" s="620" cm="1">
        <f t="array" aca="1" ref="AF51" ca="1">IF(AUTOEVENTO="Manual",ROUND(SUMPRODUCT((CÁLCULO!$M$15:$M$244=EVENTOS!$C51)*(OFFSET(CÁLCULO!$AQ$15:$AQ$244,0,AF$13))),2),0)</f>
        <v>0</v>
      </c>
      <c r="AG51" s="620" cm="1">
        <f t="array" aca="1" ref="AG51" ca="1">IF(AUTOEVENTO="Manual",ROUND(SUMPRODUCT((CÁLCULO!$M$15:$M$244=EVENTOS!$C51)*(OFFSET(CÁLCULO!$AQ$15:$AQ$244,0,AG$13))),2),0)</f>
        <v>0</v>
      </c>
      <c r="AH51" s="620" cm="1">
        <f t="array" aca="1" ref="AH51" ca="1">IF(AUTOEVENTO="Manual",ROUND(SUMPRODUCT((CÁLCULO!$M$15:$M$244=EVENTOS!$C51)*(OFFSET(CÁLCULO!$AQ$15:$AQ$244,0,AH$13))),2),0)</f>
        <v>0</v>
      </c>
      <c r="AI51" s="620" cm="1">
        <f t="array" aca="1" ref="AI51" ca="1">IF(AUTOEVENTO="Manual",ROUND(SUMPRODUCT((CÁLCULO!$M$15:$M$244=EVENTOS!$C51)*(OFFSET(CÁLCULO!$AQ$15:$AQ$244,0,AI$13))),2),0)</f>
        <v>0</v>
      </c>
    </row>
    <row r="52" spans="1:35" x14ac:dyDescent="0.2">
      <c r="A52" s="506" t="str">
        <f t="shared" si="3"/>
        <v/>
      </c>
      <c r="B52" t="str">
        <f t="shared" ca="1" si="4"/>
        <v/>
      </c>
      <c r="C52" s="182" t="str" cm="1">
        <f t="array" aca="1" ref="C52" ca="1">IF(OR(ROW(C52)=ROW(EVENTOS.firstrow)+1,AND(OFFSET(C52,-1,0)&lt;&gt;" ",OFFSET(C52,-1,1)&lt;&gt;"")),OFFSET(C52,-1,0)+1," ")</f>
        <v xml:space="preserve"> </v>
      </c>
      <c r="D52" s="496"/>
      <c r="E52" s="620" cm="1">
        <f t="array" aca="1" ref="E52" ca="1">IF(AUTOEVENTO="Manual",ROUND(SUMPRODUCT((CÁLCULO!$M$15:$M$244=EVENTOS!$C52)*(OFFSET(CÁLCULO!$AQ$15:$AQ$244,0,E$13))),2),0)</f>
        <v>0</v>
      </c>
      <c r="F52" s="183">
        <f ca="1">IF(AUTOEVENTO="Manual",ROUND(SUMPRODUCT((CÁLCULO!$M$15:$M$244=EVENTOS!$C52)*(OFFSET(CÁLCULO!$AQ$15,0,1):OFFSET(CÁLCULO!$BR$244,0,-1))),2),0)</f>
        <v>0</v>
      </c>
      <c r="G52" s="621" t="str">
        <f t="shared" ca="1" si="6"/>
        <v/>
      </c>
      <c r="H52" s="620" cm="1">
        <f t="array" aca="1" ref="H52" ca="1">IF(AUTOEVENTO="Manual",ROUND(SUMPRODUCT((CÁLCULO!$M$15:$M$244=EVENTOS!$C52)*(OFFSET(CÁLCULO!$AQ$15:$AQ$244,0,H$13))),2),0)</f>
        <v>0</v>
      </c>
      <c r="I52" s="620" cm="1">
        <f t="array" aca="1" ref="I52" ca="1">IF(AUTOEVENTO="Manual",ROUND(SUMPRODUCT((CÁLCULO!$M$15:$M$244=EVENTOS!$C52)*(OFFSET(CÁLCULO!$AQ$15:$AQ$244,0,I$13))),2),0)</f>
        <v>0</v>
      </c>
      <c r="J52" s="620" cm="1">
        <f t="array" aca="1" ref="J52" ca="1">IF(AUTOEVENTO="Manual",ROUND(SUMPRODUCT((CÁLCULO!$M$15:$M$244=EVENTOS!$C52)*(OFFSET(CÁLCULO!$AQ$15:$AQ$244,0,J$13))),2),0)</f>
        <v>0</v>
      </c>
      <c r="K52" s="620" cm="1">
        <f t="array" aca="1" ref="K52" ca="1">IF(AUTOEVENTO="Manual",ROUND(SUMPRODUCT((CÁLCULO!$M$15:$M$244=EVENTOS!$C52)*(OFFSET(CÁLCULO!$AQ$15:$AQ$244,0,K$13))),2),0)</f>
        <v>0</v>
      </c>
      <c r="L52" s="620" cm="1">
        <f t="array" aca="1" ref="L52" ca="1">IF(AUTOEVENTO="Manual",ROUND(SUMPRODUCT((CÁLCULO!$M$15:$M$244=EVENTOS!$C52)*(OFFSET(CÁLCULO!$AQ$15:$AQ$244,0,L$13))),2),0)</f>
        <v>0</v>
      </c>
      <c r="M52" s="620" cm="1">
        <f t="array" aca="1" ref="M52" ca="1">IF(AUTOEVENTO="Manual",ROUND(SUMPRODUCT((CÁLCULO!$M$15:$M$244=EVENTOS!$C52)*(OFFSET(CÁLCULO!$AQ$15:$AQ$244,0,M$13))),2),0)</f>
        <v>0</v>
      </c>
      <c r="N52" s="620" cm="1">
        <f t="array" aca="1" ref="N52" ca="1">IF(AUTOEVENTO="Manual",ROUND(SUMPRODUCT((CÁLCULO!$M$15:$M$244=EVENTOS!$C52)*(OFFSET(CÁLCULO!$AQ$15:$AQ$244,0,N$13))),2),0)</f>
        <v>0</v>
      </c>
      <c r="O52" s="620" cm="1">
        <f t="array" aca="1" ref="O52" ca="1">IF(AUTOEVENTO="Manual",ROUND(SUMPRODUCT((CÁLCULO!$M$15:$M$244=EVENTOS!$C52)*(OFFSET(CÁLCULO!$AQ$15:$AQ$244,0,O$13))),2),0)</f>
        <v>0</v>
      </c>
      <c r="P52" s="620" cm="1">
        <f t="array" aca="1" ref="P52" ca="1">IF(AUTOEVENTO="Manual",ROUND(SUMPRODUCT((CÁLCULO!$M$15:$M$244=EVENTOS!$C52)*(OFFSET(CÁLCULO!$AQ$15:$AQ$244,0,P$13))),2),0)</f>
        <v>0</v>
      </c>
      <c r="Q52" s="620" cm="1">
        <f t="array" aca="1" ref="Q52" ca="1">IF(AUTOEVENTO="Manual",ROUND(SUMPRODUCT((CÁLCULO!$M$15:$M$244=EVENTOS!$C52)*(OFFSET(CÁLCULO!$AQ$15:$AQ$244,0,Q$13))),2),0)</f>
        <v>0</v>
      </c>
      <c r="R52" s="620" cm="1">
        <f t="array" aca="1" ref="R52" ca="1">IF(AUTOEVENTO="Manual",ROUND(SUMPRODUCT((CÁLCULO!$M$15:$M$244=EVENTOS!$C52)*(OFFSET(CÁLCULO!$AQ$15:$AQ$244,0,R$13))),2),0)</f>
        <v>0</v>
      </c>
      <c r="S52" s="620" cm="1">
        <f t="array" aca="1" ref="S52" ca="1">IF(AUTOEVENTO="Manual",ROUND(SUMPRODUCT((CÁLCULO!$M$15:$M$244=EVENTOS!$C52)*(OFFSET(CÁLCULO!$AQ$15:$AQ$244,0,S$13))),2),0)</f>
        <v>0</v>
      </c>
      <c r="T52" s="620" cm="1">
        <f t="array" aca="1" ref="T52" ca="1">IF(AUTOEVENTO="Manual",ROUND(SUMPRODUCT((CÁLCULO!$M$15:$M$244=EVENTOS!$C52)*(OFFSET(CÁLCULO!$AQ$15:$AQ$244,0,T$13))),2),0)</f>
        <v>0</v>
      </c>
      <c r="U52" s="620" cm="1">
        <f t="array" aca="1" ref="U52" ca="1">IF(AUTOEVENTO="Manual",ROUND(SUMPRODUCT((CÁLCULO!$M$15:$M$244=EVENTOS!$C52)*(OFFSET(CÁLCULO!$AQ$15:$AQ$244,0,U$13))),2),0)</f>
        <v>0</v>
      </c>
      <c r="V52" s="620" cm="1">
        <f t="array" aca="1" ref="V52" ca="1">IF(AUTOEVENTO="Manual",ROUND(SUMPRODUCT((CÁLCULO!$M$15:$M$244=EVENTOS!$C52)*(OFFSET(CÁLCULO!$AQ$15:$AQ$244,0,V$13))),2),0)</f>
        <v>0</v>
      </c>
      <c r="W52" s="620" cm="1">
        <f t="array" aca="1" ref="W52" ca="1">IF(AUTOEVENTO="Manual",ROUND(SUMPRODUCT((CÁLCULO!$M$15:$M$244=EVENTOS!$C52)*(OFFSET(CÁLCULO!$AQ$15:$AQ$244,0,W$13))),2),0)</f>
        <v>0</v>
      </c>
      <c r="X52" s="620" cm="1">
        <f t="array" aca="1" ref="X52" ca="1">IF(AUTOEVENTO="Manual",ROUND(SUMPRODUCT((CÁLCULO!$M$15:$M$244=EVENTOS!$C52)*(OFFSET(CÁLCULO!$AQ$15:$AQ$244,0,X$13))),2),0)</f>
        <v>0</v>
      </c>
      <c r="Y52" s="620" cm="1">
        <f t="array" aca="1" ref="Y52" ca="1">IF(AUTOEVENTO="Manual",ROUND(SUMPRODUCT((CÁLCULO!$M$15:$M$244=EVENTOS!$C52)*(OFFSET(CÁLCULO!$AQ$15:$AQ$244,0,Y$13))),2),0)</f>
        <v>0</v>
      </c>
      <c r="Z52" s="620" cm="1">
        <f t="array" aca="1" ref="Z52" ca="1">IF(AUTOEVENTO="Manual",ROUND(SUMPRODUCT((CÁLCULO!$M$15:$M$244=EVENTOS!$C52)*(OFFSET(CÁLCULO!$AQ$15:$AQ$244,0,Z$13))),2),0)</f>
        <v>0</v>
      </c>
      <c r="AA52" s="620" cm="1">
        <f t="array" aca="1" ref="AA52" ca="1">IF(AUTOEVENTO="Manual",ROUND(SUMPRODUCT((CÁLCULO!$M$15:$M$244=EVENTOS!$C52)*(OFFSET(CÁLCULO!$AQ$15:$AQ$244,0,AA$13))),2),0)</f>
        <v>0</v>
      </c>
      <c r="AB52" s="620" cm="1">
        <f t="array" aca="1" ref="AB52" ca="1">IF(AUTOEVENTO="Manual",ROUND(SUMPRODUCT((CÁLCULO!$M$15:$M$244=EVENTOS!$C52)*(OFFSET(CÁLCULO!$AQ$15:$AQ$244,0,AB$13))),2),0)</f>
        <v>0</v>
      </c>
      <c r="AC52" s="620" cm="1">
        <f t="array" aca="1" ref="AC52" ca="1">IF(AUTOEVENTO="Manual",ROUND(SUMPRODUCT((CÁLCULO!$M$15:$M$244=EVENTOS!$C52)*(OFFSET(CÁLCULO!$AQ$15:$AQ$244,0,AC$13))),2),0)</f>
        <v>0</v>
      </c>
      <c r="AD52" s="620" cm="1">
        <f t="array" aca="1" ref="AD52" ca="1">IF(AUTOEVENTO="Manual",ROUND(SUMPRODUCT((CÁLCULO!$M$15:$M$244=EVENTOS!$C52)*(OFFSET(CÁLCULO!$AQ$15:$AQ$244,0,AD$13))),2),0)</f>
        <v>0</v>
      </c>
      <c r="AE52" s="620" cm="1">
        <f t="array" aca="1" ref="AE52" ca="1">IF(AUTOEVENTO="Manual",ROUND(SUMPRODUCT((CÁLCULO!$M$15:$M$244=EVENTOS!$C52)*(OFFSET(CÁLCULO!$AQ$15:$AQ$244,0,AE$13))),2),0)</f>
        <v>0</v>
      </c>
      <c r="AF52" s="620" cm="1">
        <f t="array" aca="1" ref="AF52" ca="1">IF(AUTOEVENTO="Manual",ROUND(SUMPRODUCT((CÁLCULO!$M$15:$M$244=EVENTOS!$C52)*(OFFSET(CÁLCULO!$AQ$15:$AQ$244,0,AF$13))),2),0)</f>
        <v>0</v>
      </c>
      <c r="AG52" s="620" cm="1">
        <f t="array" aca="1" ref="AG52" ca="1">IF(AUTOEVENTO="Manual",ROUND(SUMPRODUCT((CÁLCULO!$M$15:$M$244=EVENTOS!$C52)*(OFFSET(CÁLCULO!$AQ$15:$AQ$244,0,AG$13))),2),0)</f>
        <v>0</v>
      </c>
      <c r="AH52" s="620" cm="1">
        <f t="array" aca="1" ref="AH52" ca="1">IF(AUTOEVENTO="Manual",ROUND(SUMPRODUCT((CÁLCULO!$M$15:$M$244=EVENTOS!$C52)*(OFFSET(CÁLCULO!$AQ$15:$AQ$244,0,AH$13))),2),0)</f>
        <v>0</v>
      </c>
      <c r="AI52" s="620" cm="1">
        <f t="array" aca="1" ref="AI52" ca="1">IF(AUTOEVENTO="Manual",ROUND(SUMPRODUCT((CÁLCULO!$M$15:$M$244=EVENTOS!$C52)*(OFFSET(CÁLCULO!$AQ$15:$AQ$244,0,AI$13))),2),0)</f>
        <v>0</v>
      </c>
    </row>
    <row r="53" spans="1:35" x14ac:dyDescent="0.2">
      <c r="A53" s="506" t="str">
        <f t="shared" si="3"/>
        <v/>
      </c>
      <c r="B53" t="str">
        <f t="shared" ca="1" si="4"/>
        <v/>
      </c>
      <c r="C53" s="182" t="str" cm="1">
        <f t="array" aca="1" ref="C53" ca="1">IF(OR(ROW(C53)=ROW(EVENTOS.firstrow)+1,AND(OFFSET(C53,-1,0)&lt;&gt;" ",OFFSET(C53,-1,1)&lt;&gt;"")),OFFSET(C53,-1,0)+1," ")</f>
        <v xml:space="preserve"> </v>
      </c>
      <c r="D53" s="496"/>
      <c r="E53" s="620" cm="1">
        <f t="array" aca="1" ref="E53" ca="1">IF(AUTOEVENTO="Manual",ROUND(SUMPRODUCT((CÁLCULO!$M$15:$M$244=EVENTOS!$C53)*(OFFSET(CÁLCULO!$AQ$15:$AQ$244,0,E$13))),2),0)</f>
        <v>0</v>
      </c>
      <c r="F53" s="183">
        <f ca="1">IF(AUTOEVENTO="Manual",ROUND(SUMPRODUCT((CÁLCULO!$M$15:$M$244=EVENTOS!$C53)*(OFFSET(CÁLCULO!$AQ$15,0,1):OFFSET(CÁLCULO!$BR$244,0,-1))),2),0)</f>
        <v>0</v>
      </c>
      <c r="G53" s="621" t="str">
        <f t="shared" ca="1" si="6"/>
        <v/>
      </c>
      <c r="H53" s="620" cm="1">
        <f t="array" aca="1" ref="H53" ca="1">IF(AUTOEVENTO="Manual",ROUND(SUMPRODUCT((CÁLCULO!$M$15:$M$244=EVENTOS!$C53)*(OFFSET(CÁLCULO!$AQ$15:$AQ$244,0,H$13))),2),0)</f>
        <v>0</v>
      </c>
      <c r="I53" s="620" cm="1">
        <f t="array" aca="1" ref="I53" ca="1">IF(AUTOEVENTO="Manual",ROUND(SUMPRODUCT((CÁLCULO!$M$15:$M$244=EVENTOS!$C53)*(OFFSET(CÁLCULO!$AQ$15:$AQ$244,0,I$13))),2),0)</f>
        <v>0</v>
      </c>
      <c r="J53" s="620" cm="1">
        <f t="array" aca="1" ref="J53" ca="1">IF(AUTOEVENTO="Manual",ROUND(SUMPRODUCT((CÁLCULO!$M$15:$M$244=EVENTOS!$C53)*(OFFSET(CÁLCULO!$AQ$15:$AQ$244,0,J$13))),2),0)</f>
        <v>0</v>
      </c>
      <c r="K53" s="620" cm="1">
        <f t="array" aca="1" ref="K53" ca="1">IF(AUTOEVENTO="Manual",ROUND(SUMPRODUCT((CÁLCULO!$M$15:$M$244=EVENTOS!$C53)*(OFFSET(CÁLCULO!$AQ$15:$AQ$244,0,K$13))),2),0)</f>
        <v>0</v>
      </c>
      <c r="L53" s="620" cm="1">
        <f t="array" aca="1" ref="L53" ca="1">IF(AUTOEVENTO="Manual",ROUND(SUMPRODUCT((CÁLCULO!$M$15:$M$244=EVENTOS!$C53)*(OFFSET(CÁLCULO!$AQ$15:$AQ$244,0,L$13))),2),0)</f>
        <v>0</v>
      </c>
      <c r="M53" s="620" cm="1">
        <f t="array" aca="1" ref="M53" ca="1">IF(AUTOEVENTO="Manual",ROUND(SUMPRODUCT((CÁLCULO!$M$15:$M$244=EVENTOS!$C53)*(OFFSET(CÁLCULO!$AQ$15:$AQ$244,0,M$13))),2),0)</f>
        <v>0</v>
      </c>
      <c r="N53" s="620" cm="1">
        <f t="array" aca="1" ref="N53" ca="1">IF(AUTOEVENTO="Manual",ROUND(SUMPRODUCT((CÁLCULO!$M$15:$M$244=EVENTOS!$C53)*(OFFSET(CÁLCULO!$AQ$15:$AQ$244,0,N$13))),2),0)</f>
        <v>0</v>
      </c>
      <c r="O53" s="620" cm="1">
        <f t="array" aca="1" ref="O53" ca="1">IF(AUTOEVENTO="Manual",ROUND(SUMPRODUCT((CÁLCULO!$M$15:$M$244=EVENTOS!$C53)*(OFFSET(CÁLCULO!$AQ$15:$AQ$244,0,O$13))),2),0)</f>
        <v>0</v>
      </c>
      <c r="P53" s="620" cm="1">
        <f t="array" aca="1" ref="P53" ca="1">IF(AUTOEVENTO="Manual",ROUND(SUMPRODUCT((CÁLCULO!$M$15:$M$244=EVENTOS!$C53)*(OFFSET(CÁLCULO!$AQ$15:$AQ$244,0,P$13))),2),0)</f>
        <v>0</v>
      </c>
      <c r="Q53" s="620" cm="1">
        <f t="array" aca="1" ref="Q53" ca="1">IF(AUTOEVENTO="Manual",ROUND(SUMPRODUCT((CÁLCULO!$M$15:$M$244=EVENTOS!$C53)*(OFFSET(CÁLCULO!$AQ$15:$AQ$244,0,Q$13))),2),0)</f>
        <v>0</v>
      </c>
      <c r="R53" s="620" cm="1">
        <f t="array" aca="1" ref="R53" ca="1">IF(AUTOEVENTO="Manual",ROUND(SUMPRODUCT((CÁLCULO!$M$15:$M$244=EVENTOS!$C53)*(OFFSET(CÁLCULO!$AQ$15:$AQ$244,0,R$13))),2),0)</f>
        <v>0</v>
      </c>
      <c r="S53" s="620" cm="1">
        <f t="array" aca="1" ref="S53" ca="1">IF(AUTOEVENTO="Manual",ROUND(SUMPRODUCT((CÁLCULO!$M$15:$M$244=EVENTOS!$C53)*(OFFSET(CÁLCULO!$AQ$15:$AQ$244,0,S$13))),2),0)</f>
        <v>0</v>
      </c>
      <c r="T53" s="620" cm="1">
        <f t="array" aca="1" ref="T53" ca="1">IF(AUTOEVENTO="Manual",ROUND(SUMPRODUCT((CÁLCULO!$M$15:$M$244=EVENTOS!$C53)*(OFFSET(CÁLCULO!$AQ$15:$AQ$244,0,T$13))),2),0)</f>
        <v>0</v>
      </c>
      <c r="U53" s="620" cm="1">
        <f t="array" aca="1" ref="U53" ca="1">IF(AUTOEVENTO="Manual",ROUND(SUMPRODUCT((CÁLCULO!$M$15:$M$244=EVENTOS!$C53)*(OFFSET(CÁLCULO!$AQ$15:$AQ$244,0,U$13))),2),0)</f>
        <v>0</v>
      </c>
      <c r="V53" s="620" cm="1">
        <f t="array" aca="1" ref="V53" ca="1">IF(AUTOEVENTO="Manual",ROUND(SUMPRODUCT((CÁLCULO!$M$15:$M$244=EVENTOS!$C53)*(OFFSET(CÁLCULO!$AQ$15:$AQ$244,0,V$13))),2),0)</f>
        <v>0</v>
      </c>
      <c r="W53" s="620" cm="1">
        <f t="array" aca="1" ref="W53" ca="1">IF(AUTOEVENTO="Manual",ROUND(SUMPRODUCT((CÁLCULO!$M$15:$M$244=EVENTOS!$C53)*(OFFSET(CÁLCULO!$AQ$15:$AQ$244,0,W$13))),2),0)</f>
        <v>0</v>
      </c>
      <c r="X53" s="620" cm="1">
        <f t="array" aca="1" ref="X53" ca="1">IF(AUTOEVENTO="Manual",ROUND(SUMPRODUCT((CÁLCULO!$M$15:$M$244=EVENTOS!$C53)*(OFFSET(CÁLCULO!$AQ$15:$AQ$244,0,X$13))),2),0)</f>
        <v>0</v>
      </c>
      <c r="Y53" s="620" cm="1">
        <f t="array" aca="1" ref="Y53" ca="1">IF(AUTOEVENTO="Manual",ROUND(SUMPRODUCT((CÁLCULO!$M$15:$M$244=EVENTOS!$C53)*(OFFSET(CÁLCULO!$AQ$15:$AQ$244,0,Y$13))),2),0)</f>
        <v>0</v>
      </c>
      <c r="Z53" s="620" cm="1">
        <f t="array" aca="1" ref="Z53" ca="1">IF(AUTOEVENTO="Manual",ROUND(SUMPRODUCT((CÁLCULO!$M$15:$M$244=EVENTOS!$C53)*(OFFSET(CÁLCULO!$AQ$15:$AQ$244,0,Z$13))),2),0)</f>
        <v>0</v>
      </c>
      <c r="AA53" s="620" cm="1">
        <f t="array" aca="1" ref="AA53" ca="1">IF(AUTOEVENTO="Manual",ROUND(SUMPRODUCT((CÁLCULO!$M$15:$M$244=EVENTOS!$C53)*(OFFSET(CÁLCULO!$AQ$15:$AQ$244,0,AA$13))),2),0)</f>
        <v>0</v>
      </c>
      <c r="AB53" s="620" cm="1">
        <f t="array" aca="1" ref="AB53" ca="1">IF(AUTOEVENTO="Manual",ROUND(SUMPRODUCT((CÁLCULO!$M$15:$M$244=EVENTOS!$C53)*(OFFSET(CÁLCULO!$AQ$15:$AQ$244,0,AB$13))),2),0)</f>
        <v>0</v>
      </c>
      <c r="AC53" s="620" cm="1">
        <f t="array" aca="1" ref="AC53" ca="1">IF(AUTOEVENTO="Manual",ROUND(SUMPRODUCT((CÁLCULO!$M$15:$M$244=EVENTOS!$C53)*(OFFSET(CÁLCULO!$AQ$15:$AQ$244,0,AC$13))),2),0)</f>
        <v>0</v>
      </c>
      <c r="AD53" s="620" cm="1">
        <f t="array" aca="1" ref="AD53" ca="1">IF(AUTOEVENTO="Manual",ROUND(SUMPRODUCT((CÁLCULO!$M$15:$M$244=EVENTOS!$C53)*(OFFSET(CÁLCULO!$AQ$15:$AQ$244,0,AD$13))),2),0)</f>
        <v>0</v>
      </c>
      <c r="AE53" s="620" cm="1">
        <f t="array" aca="1" ref="AE53" ca="1">IF(AUTOEVENTO="Manual",ROUND(SUMPRODUCT((CÁLCULO!$M$15:$M$244=EVENTOS!$C53)*(OFFSET(CÁLCULO!$AQ$15:$AQ$244,0,AE$13))),2),0)</f>
        <v>0</v>
      </c>
      <c r="AF53" s="620" cm="1">
        <f t="array" aca="1" ref="AF53" ca="1">IF(AUTOEVENTO="Manual",ROUND(SUMPRODUCT((CÁLCULO!$M$15:$M$244=EVENTOS!$C53)*(OFFSET(CÁLCULO!$AQ$15:$AQ$244,0,AF$13))),2),0)</f>
        <v>0</v>
      </c>
      <c r="AG53" s="620" cm="1">
        <f t="array" aca="1" ref="AG53" ca="1">IF(AUTOEVENTO="Manual",ROUND(SUMPRODUCT((CÁLCULO!$M$15:$M$244=EVENTOS!$C53)*(OFFSET(CÁLCULO!$AQ$15:$AQ$244,0,AG$13))),2),0)</f>
        <v>0</v>
      </c>
      <c r="AH53" s="620" cm="1">
        <f t="array" aca="1" ref="AH53" ca="1">IF(AUTOEVENTO="Manual",ROUND(SUMPRODUCT((CÁLCULO!$M$15:$M$244=EVENTOS!$C53)*(OFFSET(CÁLCULO!$AQ$15:$AQ$244,0,AH$13))),2),0)</f>
        <v>0</v>
      </c>
      <c r="AI53" s="620" cm="1">
        <f t="array" aca="1" ref="AI53" ca="1">IF(AUTOEVENTO="Manual",ROUND(SUMPRODUCT((CÁLCULO!$M$15:$M$244=EVENTOS!$C53)*(OFFSET(CÁLCULO!$AQ$15:$AQ$244,0,AI$13))),2),0)</f>
        <v>0</v>
      </c>
    </row>
    <row r="54" spans="1:35" x14ac:dyDescent="0.2">
      <c r="A54" s="506" t="str">
        <f t="shared" si="3"/>
        <v/>
      </c>
      <c r="B54" t="str">
        <f t="shared" ca="1" si="4"/>
        <v/>
      </c>
      <c r="C54" s="182" t="str" cm="1">
        <f t="array" aca="1" ref="C54" ca="1">IF(OR(ROW(C54)=ROW(EVENTOS.firstrow)+1,AND(OFFSET(C54,-1,0)&lt;&gt;" ",OFFSET(C54,-1,1)&lt;&gt;"")),OFFSET(C54,-1,0)+1," ")</f>
        <v xml:space="preserve"> </v>
      </c>
      <c r="D54" s="496"/>
      <c r="E54" s="620" cm="1">
        <f t="array" aca="1" ref="E54" ca="1">IF(AUTOEVENTO="Manual",ROUND(SUMPRODUCT((CÁLCULO!$M$15:$M$244=EVENTOS!$C54)*(OFFSET(CÁLCULO!$AQ$15:$AQ$244,0,E$13))),2),0)</f>
        <v>0</v>
      </c>
      <c r="F54" s="183">
        <f ca="1">IF(AUTOEVENTO="Manual",ROUND(SUMPRODUCT((CÁLCULO!$M$15:$M$244=EVENTOS!$C54)*(OFFSET(CÁLCULO!$AQ$15,0,1):OFFSET(CÁLCULO!$BR$244,0,-1))),2),0)</f>
        <v>0</v>
      </c>
      <c r="G54" s="621" t="str">
        <f t="shared" ca="1" si="6"/>
        <v/>
      </c>
      <c r="H54" s="620" cm="1">
        <f t="array" aca="1" ref="H54" ca="1">IF(AUTOEVENTO="Manual",ROUND(SUMPRODUCT((CÁLCULO!$M$15:$M$244=EVENTOS!$C54)*(OFFSET(CÁLCULO!$AQ$15:$AQ$244,0,H$13))),2),0)</f>
        <v>0</v>
      </c>
      <c r="I54" s="620" cm="1">
        <f t="array" aca="1" ref="I54" ca="1">IF(AUTOEVENTO="Manual",ROUND(SUMPRODUCT((CÁLCULO!$M$15:$M$244=EVENTOS!$C54)*(OFFSET(CÁLCULO!$AQ$15:$AQ$244,0,I$13))),2),0)</f>
        <v>0</v>
      </c>
      <c r="J54" s="620" cm="1">
        <f t="array" aca="1" ref="J54" ca="1">IF(AUTOEVENTO="Manual",ROUND(SUMPRODUCT((CÁLCULO!$M$15:$M$244=EVENTOS!$C54)*(OFFSET(CÁLCULO!$AQ$15:$AQ$244,0,J$13))),2),0)</f>
        <v>0</v>
      </c>
      <c r="K54" s="620" cm="1">
        <f t="array" aca="1" ref="K54" ca="1">IF(AUTOEVENTO="Manual",ROUND(SUMPRODUCT((CÁLCULO!$M$15:$M$244=EVENTOS!$C54)*(OFFSET(CÁLCULO!$AQ$15:$AQ$244,0,K$13))),2),0)</f>
        <v>0</v>
      </c>
      <c r="L54" s="620" cm="1">
        <f t="array" aca="1" ref="L54" ca="1">IF(AUTOEVENTO="Manual",ROUND(SUMPRODUCT((CÁLCULO!$M$15:$M$244=EVENTOS!$C54)*(OFFSET(CÁLCULO!$AQ$15:$AQ$244,0,L$13))),2),0)</f>
        <v>0</v>
      </c>
      <c r="M54" s="620" cm="1">
        <f t="array" aca="1" ref="M54" ca="1">IF(AUTOEVENTO="Manual",ROUND(SUMPRODUCT((CÁLCULO!$M$15:$M$244=EVENTOS!$C54)*(OFFSET(CÁLCULO!$AQ$15:$AQ$244,0,M$13))),2),0)</f>
        <v>0</v>
      </c>
      <c r="N54" s="620" cm="1">
        <f t="array" aca="1" ref="N54" ca="1">IF(AUTOEVENTO="Manual",ROUND(SUMPRODUCT((CÁLCULO!$M$15:$M$244=EVENTOS!$C54)*(OFFSET(CÁLCULO!$AQ$15:$AQ$244,0,N$13))),2),0)</f>
        <v>0</v>
      </c>
      <c r="O54" s="620" cm="1">
        <f t="array" aca="1" ref="O54" ca="1">IF(AUTOEVENTO="Manual",ROUND(SUMPRODUCT((CÁLCULO!$M$15:$M$244=EVENTOS!$C54)*(OFFSET(CÁLCULO!$AQ$15:$AQ$244,0,O$13))),2),0)</f>
        <v>0</v>
      </c>
      <c r="P54" s="620" cm="1">
        <f t="array" aca="1" ref="P54" ca="1">IF(AUTOEVENTO="Manual",ROUND(SUMPRODUCT((CÁLCULO!$M$15:$M$244=EVENTOS!$C54)*(OFFSET(CÁLCULO!$AQ$15:$AQ$244,0,P$13))),2),0)</f>
        <v>0</v>
      </c>
      <c r="Q54" s="620" cm="1">
        <f t="array" aca="1" ref="Q54" ca="1">IF(AUTOEVENTO="Manual",ROUND(SUMPRODUCT((CÁLCULO!$M$15:$M$244=EVENTOS!$C54)*(OFFSET(CÁLCULO!$AQ$15:$AQ$244,0,Q$13))),2),0)</f>
        <v>0</v>
      </c>
      <c r="R54" s="620" cm="1">
        <f t="array" aca="1" ref="R54" ca="1">IF(AUTOEVENTO="Manual",ROUND(SUMPRODUCT((CÁLCULO!$M$15:$M$244=EVENTOS!$C54)*(OFFSET(CÁLCULO!$AQ$15:$AQ$244,0,R$13))),2),0)</f>
        <v>0</v>
      </c>
      <c r="S54" s="620" cm="1">
        <f t="array" aca="1" ref="S54" ca="1">IF(AUTOEVENTO="Manual",ROUND(SUMPRODUCT((CÁLCULO!$M$15:$M$244=EVENTOS!$C54)*(OFFSET(CÁLCULO!$AQ$15:$AQ$244,0,S$13))),2),0)</f>
        <v>0</v>
      </c>
      <c r="T54" s="620" cm="1">
        <f t="array" aca="1" ref="T54" ca="1">IF(AUTOEVENTO="Manual",ROUND(SUMPRODUCT((CÁLCULO!$M$15:$M$244=EVENTOS!$C54)*(OFFSET(CÁLCULO!$AQ$15:$AQ$244,0,T$13))),2),0)</f>
        <v>0</v>
      </c>
      <c r="U54" s="620" cm="1">
        <f t="array" aca="1" ref="U54" ca="1">IF(AUTOEVENTO="Manual",ROUND(SUMPRODUCT((CÁLCULO!$M$15:$M$244=EVENTOS!$C54)*(OFFSET(CÁLCULO!$AQ$15:$AQ$244,0,U$13))),2),0)</f>
        <v>0</v>
      </c>
      <c r="V54" s="620" cm="1">
        <f t="array" aca="1" ref="V54" ca="1">IF(AUTOEVENTO="Manual",ROUND(SUMPRODUCT((CÁLCULO!$M$15:$M$244=EVENTOS!$C54)*(OFFSET(CÁLCULO!$AQ$15:$AQ$244,0,V$13))),2),0)</f>
        <v>0</v>
      </c>
      <c r="W54" s="620" cm="1">
        <f t="array" aca="1" ref="W54" ca="1">IF(AUTOEVENTO="Manual",ROUND(SUMPRODUCT((CÁLCULO!$M$15:$M$244=EVENTOS!$C54)*(OFFSET(CÁLCULO!$AQ$15:$AQ$244,0,W$13))),2),0)</f>
        <v>0</v>
      </c>
      <c r="X54" s="620" cm="1">
        <f t="array" aca="1" ref="X54" ca="1">IF(AUTOEVENTO="Manual",ROUND(SUMPRODUCT((CÁLCULO!$M$15:$M$244=EVENTOS!$C54)*(OFFSET(CÁLCULO!$AQ$15:$AQ$244,0,X$13))),2),0)</f>
        <v>0</v>
      </c>
      <c r="Y54" s="620" cm="1">
        <f t="array" aca="1" ref="Y54" ca="1">IF(AUTOEVENTO="Manual",ROUND(SUMPRODUCT((CÁLCULO!$M$15:$M$244=EVENTOS!$C54)*(OFFSET(CÁLCULO!$AQ$15:$AQ$244,0,Y$13))),2),0)</f>
        <v>0</v>
      </c>
      <c r="Z54" s="620" cm="1">
        <f t="array" aca="1" ref="Z54" ca="1">IF(AUTOEVENTO="Manual",ROUND(SUMPRODUCT((CÁLCULO!$M$15:$M$244=EVENTOS!$C54)*(OFFSET(CÁLCULO!$AQ$15:$AQ$244,0,Z$13))),2),0)</f>
        <v>0</v>
      </c>
      <c r="AA54" s="620" cm="1">
        <f t="array" aca="1" ref="AA54" ca="1">IF(AUTOEVENTO="Manual",ROUND(SUMPRODUCT((CÁLCULO!$M$15:$M$244=EVENTOS!$C54)*(OFFSET(CÁLCULO!$AQ$15:$AQ$244,0,AA$13))),2),0)</f>
        <v>0</v>
      </c>
      <c r="AB54" s="620" cm="1">
        <f t="array" aca="1" ref="AB54" ca="1">IF(AUTOEVENTO="Manual",ROUND(SUMPRODUCT((CÁLCULO!$M$15:$M$244=EVENTOS!$C54)*(OFFSET(CÁLCULO!$AQ$15:$AQ$244,0,AB$13))),2),0)</f>
        <v>0</v>
      </c>
      <c r="AC54" s="620" cm="1">
        <f t="array" aca="1" ref="AC54" ca="1">IF(AUTOEVENTO="Manual",ROUND(SUMPRODUCT((CÁLCULO!$M$15:$M$244=EVENTOS!$C54)*(OFFSET(CÁLCULO!$AQ$15:$AQ$244,0,AC$13))),2),0)</f>
        <v>0</v>
      </c>
      <c r="AD54" s="620" cm="1">
        <f t="array" aca="1" ref="AD54" ca="1">IF(AUTOEVENTO="Manual",ROUND(SUMPRODUCT((CÁLCULO!$M$15:$M$244=EVENTOS!$C54)*(OFFSET(CÁLCULO!$AQ$15:$AQ$244,0,AD$13))),2),0)</f>
        <v>0</v>
      </c>
      <c r="AE54" s="620" cm="1">
        <f t="array" aca="1" ref="AE54" ca="1">IF(AUTOEVENTO="Manual",ROUND(SUMPRODUCT((CÁLCULO!$M$15:$M$244=EVENTOS!$C54)*(OFFSET(CÁLCULO!$AQ$15:$AQ$244,0,AE$13))),2),0)</f>
        <v>0</v>
      </c>
      <c r="AF54" s="620" cm="1">
        <f t="array" aca="1" ref="AF54" ca="1">IF(AUTOEVENTO="Manual",ROUND(SUMPRODUCT((CÁLCULO!$M$15:$M$244=EVENTOS!$C54)*(OFFSET(CÁLCULO!$AQ$15:$AQ$244,0,AF$13))),2),0)</f>
        <v>0</v>
      </c>
      <c r="AG54" s="620" cm="1">
        <f t="array" aca="1" ref="AG54" ca="1">IF(AUTOEVENTO="Manual",ROUND(SUMPRODUCT((CÁLCULO!$M$15:$M$244=EVENTOS!$C54)*(OFFSET(CÁLCULO!$AQ$15:$AQ$244,0,AG$13))),2),0)</f>
        <v>0</v>
      </c>
      <c r="AH54" s="620" cm="1">
        <f t="array" aca="1" ref="AH54" ca="1">IF(AUTOEVENTO="Manual",ROUND(SUMPRODUCT((CÁLCULO!$M$15:$M$244=EVENTOS!$C54)*(OFFSET(CÁLCULO!$AQ$15:$AQ$244,0,AH$13))),2),0)</f>
        <v>0</v>
      </c>
      <c r="AI54" s="620" cm="1">
        <f t="array" aca="1" ref="AI54" ca="1">IF(AUTOEVENTO="Manual",ROUND(SUMPRODUCT((CÁLCULO!$M$15:$M$244=EVENTOS!$C54)*(OFFSET(CÁLCULO!$AQ$15:$AQ$244,0,AI$13))),2),0)</f>
        <v>0</v>
      </c>
    </row>
    <row r="55" spans="1:35" x14ac:dyDescent="0.2">
      <c r="A55" s="506" t="str">
        <f t="shared" si="3"/>
        <v/>
      </c>
      <c r="B55" t="str">
        <f t="shared" ca="1" si="4"/>
        <v/>
      </c>
      <c r="C55" s="182" t="str" cm="1">
        <f t="array" aca="1" ref="C55" ca="1">IF(OR(ROW(C55)=ROW(EVENTOS.firstrow)+1,AND(OFFSET(C55,-1,0)&lt;&gt;" ",OFFSET(C55,-1,1)&lt;&gt;"")),OFFSET(C55,-1,0)+1," ")</f>
        <v xml:space="preserve"> </v>
      </c>
      <c r="D55" s="496"/>
      <c r="E55" s="620" cm="1">
        <f t="array" aca="1" ref="E55" ca="1">IF(AUTOEVENTO="Manual",ROUND(SUMPRODUCT((CÁLCULO!$M$15:$M$244=EVENTOS!$C55)*(OFFSET(CÁLCULO!$AQ$15:$AQ$244,0,E$13))),2),0)</f>
        <v>0</v>
      </c>
      <c r="F55" s="183">
        <f ca="1">IF(AUTOEVENTO="Manual",ROUND(SUMPRODUCT((CÁLCULO!$M$15:$M$244=EVENTOS!$C55)*(OFFSET(CÁLCULO!$AQ$15,0,1):OFFSET(CÁLCULO!$BR$244,0,-1))),2),0)</f>
        <v>0</v>
      </c>
      <c r="G55" s="621" t="str">
        <f t="shared" ca="1" si="6"/>
        <v/>
      </c>
      <c r="H55" s="620" cm="1">
        <f t="array" aca="1" ref="H55" ca="1">IF(AUTOEVENTO="Manual",ROUND(SUMPRODUCT((CÁLCULO!$M$15:$M$244=EVENTOS!$C55)*(OFFSET(CÁLCULO!$AQ$15:$AQ$244,0,H$13))),2),0)</f>
        <v>0</v>
      </c>
      <c r="I55" s="620" cm="1">
        <f t="array" aca="1" ref="I55" ca="1">IF(AUTOEVENTO="Manual",ROUND(SUMPRODUCT((CÁLCULO!$M$15:$M$244=EVENTOS!$C55)*(OFFSET(CÁLCULO!$AQ$15:$AQ$244,0,I$13))),2),0)</f>
        <v>0</v>
      </c>
      <c r="J55" s="620" cm="1">
        <f t="array" aca="1" ref="J55" ca="1">IF(AUTOEVENTO="Manual",ROUND(SUMPRODUCT((CÁLCULO!$M$15:$M$244=EVENTOS!$C55)*(OFFSET(CÁLCULO!$AQ$15:$AQ$244,0,J$13))),2),0)</f>
        <v>0</v>
      </c>
      <c r="K55" s="620" cm="1">
        <f t="array" aca="1" ref="K55" ca="1">IF(AUTOEVENTO="Manual",ROUND(SUMPRODUCT((CÁLCULO!$M$15:$M$244=EVENTOS!$C55)*(OFFSET(CÁLCULO!$AQ$15:$AQ$244,0,K$13))),2),0)</f>
        <v>0</v>
      </c>
      <c r="L55" s="620" cm="1">
        <f t="array" aca="1" ref="L55" ca="1">IF(AUTOEVENTO="Manual",ROUND(SUMPRODUCT((CÁLCULO!$M$15:$M$244=EVENTOS!$C55)*(OFFSET(CÁLCULO!$AQ$15:$AQ$244,0,L$13))),2),0)</f>
        <v>0</v>
      </c>
      <c r="M55" s="620" cm="1">
        <f t="array" aca="1" ref="M55" ca="1">IF(AUTOEVENTO="Manual",ROUND(SUMPRODUCT((CÁLCULO!$M$15:$M$244=EVENTOS!$C55)*(OFFSET(CÁLCULO!$AQ$15:$AQ$244,0,M$13))),2),0)</f>
        <v>0</v>
      </c>
      <c r="N55" s="620" cm="1">
        <f t="array" aca="1" ref="N55" ca="1">IF(AUTOEVENTO="Manual",ROUND(SUMPRODUCT((CÁLCULO!$M$15:$M$244=EVENTOS!$C55)*(OFFSET(CÁLCULO!$AQ$15:$AQ$244,0,N$13))),2),0)</f>
        <v>0</v>
      </c>
      <c r="O55" s="620" cm="1">
        <f t="array" aca="1" ref="O55" ca="1">IF(AUTOEVENTO="Manual",ROUND(SUMPRODUCT((CÁLCULO!$M$15:$M$244=EVENTOS!$C55)*(OFFSET(CÁLCULO!$AQ$15:$AQ$244,0,O$13))),2),0)</f>
        <v>0</v>
      </c>
      <c r="P55" s="620" cm="1">
        <f t="array" aca="1" ref="P55" ca="1">IF(AUTOEVENTO="Manual",ROUND(SUMPRODUCT((CÁLCULO!$M$15:$M$244=EVENTOS!$C55)*(OFFSET(CÁLCULO!$AQ$15:$AQ$244,0,P$13))),2),0)</f>
        <v>0</v>
      </c>
      <c r="Q55" s="620" cm="1">
        <f t="array" aca="1" ref="Q55" ca="1">IF(AUTOEVENTO="Manual",ROUND(SUMPRODUCT((CÁLCULO!$M$15:$M$244=EVENTOS!$C55)*(OFFSET(CÁLCULO!$AQ$15:$AQ$244,0,Q$13))),2),0)</f>
        <v>0</v>
      </c>
      <c r="R55" s="620" cm="1">
        <f t="array" aca="1" ref="R55" ca="1">IF(AUTOEVENTO="Manual",ROUND(SUMPRODUCT((CÁLCULO!$M$15:$M$244=EVENTOS!$C55)*(OFFSET(CÁLCULO!$AQ$15:$AQ$244,0,R$13))),2),0)</f>
        <v>0</v>
      </c>
      <c r="S55" s="620" cm="1">
        <f t="array" aca="1" ref="S55" ca="1">IF(AUTOEVENTO="Manual",ROUND(SUMPRODUCT((CÁLCULO!$M$15:$M$244=EVENTOS!$C55)*(OFFSET(CÁLCULO!$AQ$15:$AQ$244,0,S$13))),2),0)</f>
        <v>0</v>
      </c>
      <c r="T55" s="620" cm="1">
        <f t="array" aca="1" ref="T55" ca="1">IF(AUTOEVENTO="Manual",ROUND(SUMPRODUCT((CÁLCULO!$M$15:$M$244=EVENTOS!$C55)*(OFFSET(CÁLCULO!$AQ$15:$AQ$244,0,T$13))),2),0)</f>
        <v>0</v>
      </c>
      <c r="U55" s="620" cm="1">
        <f t="array" aca="1" ref="U55" ca="1">IF(AUTOEVENTO="Manual",ROUND(SUMPRODUCT((CÁLCULO!$M$15:$M$244=EVENTOS!$C55)*(OFFSET(CÁLCULO!$AQ$15:$AQ$244,0,U$13))),2),0)</f>
        <v>0</v>
      </c>
      <c r="V55" s="620" cm="1">
        <f t="array" aca="1" ref="V55" ca="1">IF(AUTOEVENTO="Manual",ROUND(SUMPRODUCT((CÁLCULO!$M$15:$M$244=EVENTOS!$C55)*(OFFSET(CÁLCULO!$AQ$15:$AQ$244,0,V$13))),2),0)</f>
        <v>0</v>
      </c>
      <c r="W55" s="620" cm="1">
        <f t="array" aca="1" ref="W55" ca="1">IF(AUTOEVENTO="Manual",ROUND(SUMPRODUCT((CÁLCULO!$M$15:$M$244=EVENTOS!$C55)*(OFFSET(CÁLCULO!$AQ$15:$AQ$244,0,W$13))),2),0)</f>
        <v>0</v>
      </c>
      <c r="X55" s="620" cm="1">
        <f t="array" aca="1" ref="X55" ca="1">IF(AUTOEVENTO="Manual",ROUND(SUMPRODUCT((CÁLCULO!$M$15:$M$244=EVENTOS!$C55)*(OFFSET(CÁLCULO!$AQ$15:$AQ$244,0,X$13))),2),0)</f>
        <v>0</v>
      </c>
      <c r="Y55" s="620" cm="1">
        <f t="array" aca="1" ref="Y55" ca="1">IF(AUTOEVENTO="Manual",ROUND(SUMPRODUCT((CÁLCULO!$M$15:$M$244=EVENTOS!$C55)*(OFFSET(CÁLCULO!$AQ$15:$AQ$244,0,Y$13))),2),0)</f>
        <v>0</v>
      </c>
      <c r="Z55" s="620" cm="1">
        <f t="array" aca="1" ref="Z55" ca="1">IF(AUTOEVENTO="Manual",ROUND(SUMPRODUCT((CÁLCULO!$M$15:$M$244=EVENTOS!$C55)*(OFFSET(CÁLCULO!$AQ$15:$AQ$244,0,Z$13))),2),0)</f>
        <v>0</v>
      </c>
      <c r="AA55" s="620" cm="1">
        <f t="array" aca="1" ref="AA55" ca="1">IF(AUTOEVENTO="Manual",ROUND(SUMPRODUCT((CÁLCULO!$M$15:$M$244=EVENTOS!$C55)*(OFFSET(CÁLCULO!$AQ$15:$AQ$244,0,AA$13))),2),0)</f>
        <v>0</v>
      </c>
      <c r="AB55" s="620" cm="1">
        <f t="array" aca="1" ref="AB55" ca="1">IF(AUTOEVENTO="Manual",ROUND(SUMPRODUCT((CÁLCULO!$M$15:$M$244=EVENTOS!$C55)*(OFFSET(CÁLCULO!$AQ$15:$AQ$244,0,AB$13))),2),0)</f>
        <v>0</v>
      </c>
      <c r="AC55" s="620" cm="1">
        <f t="array" aca="1" ref="AC55" ca="1">IF(AUTOEVENTO="Manual",ROUND(SUMPRODUCT((CÁLCULO!$M$15:$M$244=EVENTOS!$C55)*(OFFSET(CÁLCULO!$AQ$15:$AQ$244,0,AC$13))),2),0)</f>
        <v>0</v>
      </c>
      <c r="AD55" s="620" cm="1">
        <f t="array" aca="1" ref="AD55" ca="1">IF(AUTOEVENTO="Manual",ROUND(SUMPRODUCT((CÁLCULO!$M$15:$M$244=EVENTOS!$C55)*(OFFSET(CÁLCULO!$AQ$15:$AQ$244,0,AD$13))),2),0)</f>
        <v>0</v>
      </c>
      <c r="AE55" s="620" cm="1">
        <f t="array" aca="1" ref="AE55" ca="1">IF(AUTOEVENTO="Manual",ROUND(SUMPRODUCT((CÁLCULO!$M$15:$M$244=EVENTOS!$C55)*(OFFSET(CÁLCULO!$AQ$15:$AQ$244,0,AE$13))),2),0)</f>
        <v>0</v>
      </c>
      <c r="AF55" s="620" cm="1">
        <f t="array" aca="1" ref="AF55" ca="1">IF(AUTOEVENTO="Manual",ROUND(SUMPRODUCT((CÁLCULO!$M$15:$M$244=EVENTOS!$C55)*(OFFSET(CÁLCULO!$AQ$15:$AQ$244,0,AF$13))),2),0)</f>
        <v>0</v>
      </c>
      <c r="AG55" s="620" cm="1">
        <f t="array" aca="1" ref="AG55" ca="1">IF(AUTOEVENTO="Manual",ROUND(SUMPRODUCT((CÁLCULO!$M$15:$M$244=EVENTOS!$C55)*(OFFSET(CÁLCULO!$AQ$15:$AQ$244,0,AG$13))),2),0)</f>
        <v>0</v>
      </c>
      <c r="AH55" s="620" cm="1">
        <f t="array" aca="1" ref="AH55" ca="1">IF(AUTOEVENTO="Manual",ROUND(SUMPRODUCT((CÁLCULO!$M$15:$M$244=EVENTOS!$C55)*(OFFSET(CÁLCULO!$AQ$15:$AQ$244,0,AH$13))),2),0)</f>
        <v>0</v>
      </c>
      <c r="AI55" s="620" cm="1">
        <f t="array" aca="1" ref="AI55" ca="1">IF(AUTOEVENTO="Manual",ROUND(SUMPRODUCT((CÁLCULO!$M$15:$M$244=EVENTOS!$C55)*(OFFSET(CÁLCULO!$AQ$15:$AQ$244,0,AI$13))),2),0)</f>
        <v>0</v>
      </c>
    </row>
    <row r="56" spans="1:35" x14ac:dyDescent="0.2">
      <c r="A56" s="506" t="str">
        <f t="shared" si="3"/>
        <v/>
      </c>
      <c r="B56" t="str">
        <f t="shared" ca="1" si="4"/>
        <v/>
      </c>
      <c r="C56" s="182" t="str" cm="1">
        <f t="array" aca="1" ref="C56" ca="1">IF(OR(ROW(C56)=ROW(EVENTOS.firstrow)+1,AND(OFFSET(C56,-1,0)&lt;&gt;" ",OFFSET(C56,-1,1)&lt;&gt;"")),OFFSET(C56,-1,0)+1," ")</f>
        <v xml:space="preserve"> </v>
      </c>
      <c r="D56" s="496"/>
      <c r="E56" s="620" cm="1">
        <f t="array" aca="1" ref="E56" ca="1">IF(AUTOEVENTO="Manual",ROUND(SUMPRODUCT((CÁLCULO!$M$15:$M$244=EVENTOS!$C56)*(OFFSET(CÁLCULO!$AQ$15:$AQ$244,0,E$13))),2),0)</f>
        <v>0</v>
      </c>
      <c r="F56" s="183">
        <f ca="1">IF(AUTOEVENTO="Manual",ROUND(SUMPRODUCT((CÁLCULO!$M$15:$M$244=EVENTOS!$C56)*(OFFSET(CÁLCULO!$AQ$15,0,1):OFFSET(CÁLCULO!$BR$244,0,-1))),2),0)</f>
        <v>0</v>
      </c>
      <c r="G56" s="621" t="str">
        <f t="shared" ca="1" si="6"/>
        <v/>
      </c>
      <c r="H56" s="620" cm="1">
        <f t="array" aca="1" ref="H56" ca="1">IF(AUTOEVENTO="Manual",ROUND(SUMPRODUCT((CÁLCULO!$M$15:$M$244=EVENTOS!$C56)*(OFFSET(CÁLCULO!$AQ$15:$AQ$244,0,H$13))),2),0)</f>
        <v>0</v>
      </c>
      <c r="I56" s="620" cm="1">
        <f t="array" aca="1" ref="I56" ca="1">IF(AUTOEVENTO="Manual",ROUND(SUMPRODUCT((CÁLCULO!$M$15:$M$244=EVENTOS!$C56)*(OFFSET(CÁLCULO!$AQ$15:$AQ$244,0,I$13))),2),0)</f>
        <v>0</v>
      </c>
      <c r="J56" s="620" cm="1">
        <f t="array" aca="1" ref="J56" ca="1">IF(AUTOEVENTO="Manual",ROUND(SUMPRODUCT((CÁLCULO!$M$15:$M$244=EVENTOS!$C56)*(OFFSET(CÁLCULO!$AQ$15:$AQ$244,0,J$13))),2),0)</f>
        <v>0</v>
      </c>
      <c r="K56" s="620" cm="1">
        <f t="array" aca="1" ref="K56" ca="1">IF(AUTOEVENTO="Manual",ROUND(SUMPRODUCT((CÁLCULO!$M$15:$M$244=EVENTOS!$C56)*(OFFSET(CÁLCULO!$AQ$15:$AQ$244,0,K$13))),2),0)</f>
        <v>0</v>
      </c>
      <c r="L56" s="620" cm="1">
        <f t="array" aca="1" ref="L56" ca="1">IF(AUTOEVENTO="Manual",ROUND(SUMPRODUCT((CÁLCULO!$M$15:$M$244=EVENTOS!$C56)*(OFFSET(CÁLCULO!$AQ$15:$AQ$244,0,L$13))),2),0)</f>
        <v>0</v>
      </c>
      <c r="M56" s="620" cm="1">
        <f t="array" aca="1" ref="M56" ca="1">IF(AUTOEVENTO="Manual",ROUND(SUMPRODUCT((CÁLCULO!$M$15:$M$244=EVENTOS!$C56)*(OFFSET(CÁLCULO!$AQ$15:$AQ$244,0,M$13))),2),0)</f>
        <v>0</v>
      </c>
      <c r="N56" s="620" cm="1">
        <f t="array" aca="1" ref="N56" ca="1">IF(AUTOEVENTO="Manual",ROUND(SUMPRODUCT((CÁLCULO!$M$15:$M$244=EVENTOS!$C56)*(OFFSET(CÁLCULO!$AQ$15:$AQ$244,0,N$13))),2),0)</f>
        <v>0</v>
      </c>
      <c r="O56" s="620" cm="1">
        <f t="array" aca="1" ref="O56" ca="1">IF(AUTOEVENTO="Manual",ROUND(SUMPRODUCT((CÁLCULO!$M$15:$M$244=EVENTOS!$C56)*(OFFSET(CÁLCULO!$AQ$15:$AQ$244,0,O$13))),2),0)</f>
        <v>0</v>
      </c>
      <c r="P56" s="620" cm="1">
        <f t="array" aca="1" ref="P56" ca="1">IF(AUTOEVENTO="Manual",ROUND(SUMPRODUCT((CÁLCULO!$M$15:$M$244=EVENTOS!$C56)*(OFFSET(CÁLCULO!$AQ$15:$AQ$244,0,P$13))),2),0)</f>
        <v>0</v>
      </c>
      <c r="Q56" s="620" cm="1">
        <f t="array" aca="1" ref="Q56" ca="1">IF(AUTOEVENTO="Manual",ROUND(SUMPRODUCT((CÁLCULO!$M$15:$M$244=EVENTOS!$C56)*(OFFSET(CÁLCULO!$AQ$15:$AQ$244,0,Q$13))),2),0)</f>
        <v>0</v>
      </c>
      <c r="R56" s="620" cm="1">
        <f t="array" aca="1" ref="R56" ca="1">IF(AUTOEVENTO="Manual",ROUND(SUMPRODUCT((CÁLCULO!$M$15:$M$244=EVENTOS!$C56)*(OFFSET(CÁLCULO!$AQ$15:$AQ$244,0,R$13))),2),0)</f>
        <v>0</v>
      </c>
      <c r="S56" s="620" cm="1">
        <f t="array" aca="1" ref="S56" ca="1">IF(AUTOEVENTO="Manual",ROUND(SUMPRODUCT((CÁLCULO!$M$15:$M$244=EVENTOS!$C56)*(OFFSET(CÁLCULO!$AQ$15:$AQ$244,0,S$13))),2),0)</f>
        <v>0</v>
      </c>
      <c r="T56" s="620" cm="1">
        <f t="array" aca="1" ref="T56" ca="1">IF(AUTOEVENTO="Manual",ROUND(SUMPRODUCT((CÁLCULO!$M$15:$M$244=EVENTOS!$C56)*(OFFSET(CÁLCULO!$AQ$15:$AQ$244,0,T$13))),2),0)</f>
        <v>0</v>
      </c>
      <c r="U56" s="620" cm="1">
        <f t="array" aca="1" ref="U56" ca="1">IF(AUTOEVENTO="Manual",ROUND(SUMPRODUCT((CÁLCULO!$M$15:$M$244=EVENTOS!$C56)*(OFFSET(CÁLCULO!$AQ$15:$AQ$244,0,U$13))),2),0)</f>
        <v>0</v>
      </c>
      <c r="V56" s="620" cm="1">
        <f t="array" aca="1" ref="V56" ca="1">IF(AUTOEVENTO="Manual",ROUND(SUMPRODUCT((CÁLCULO!$M$15:$M$244=EVENTOS!$C56)*(OFFSET(CÁLCULO!$AQ$15:$AQ$244,0,V$13))),2),0)</f>
        <v>0</v>
      </c>
      <c r="W56" s="620" cm="1">
        <f t="array" aca="1" ref="W56" ca="1">IF(AUTOEVENTO="Manual",ROUND(SUMPRODUCT((CÁLCULO!$M$15:$M$244=EVENTOS!$C56)*(OFFSET(CÁLCULO!$AQ$15:$AQ$244,0,W$13))),2),0)</f>
        <v>0</v>
      </c>
      <c r="X56" s="620" cm="1">
        <f t="array" aca="1" ref="X56" ca="1">IF(AUTOEVENTO="Manual",ROUND(SUMPRODUCT((CÁLCULO!$M$15:$M$244=EVENTOS!$C56)*(OFFSET(CÁLCULO!$AQ$15:$AQ$244,0,X$13))),2),0)</f>
        <v>0</v>
      </c>
      <c r="Y56" s="620" cm="1">
        <f t="array" aca="1" ref="Y56" ca="1">IF(AUTOEVENTO="Manual",ROUND(SUMPRODUCT((CÁLCULO!$M$15:$M$244=EVENTOS!$C56)*(OFFSET(CÁLCULO!$AQ$15:$AQ$244,0,Y$13))),2),0)</f>
        <v>0</v>
      </c>
      <c r="Z56" s="620" cm="1">
        <f t="array" aca="1" ref="Z56" ca="1">IF(AUTOEVENTO="Manual",ROUND(SUMPRODUCT((CÁLCULO!$M$15:$M$244=EVENTOS!$C56)*(OFFSET(CÁLCULO!$AQ$15:$AQ$244,0,Z$13))),2),0)</f>
        <v>0</v>
      </c>
      <c r="AA56" s="620" cm="1">
        <f t="array" aca="1" ref="AA56" ca="1">IF(AUTOEVENTO="Manual",ROUND(SUMPRODUCT((CÁLCULO!$M$15:$M$244=EVENTOS!$C56)*(OFFSET(CÁLCULO!$AQ$15:$AQ$244,0,AA$13))),2),0)</f>
        <v>0</v>
      </c>
      <c r="AB56" s="620" cm="1">
        <f t="array" aca="1" ref="AB56" ca="1">IF(AUTOEVENTO="Manual",ROUND(SUMPRODUCT((CÁLCULO!$M$15:$M$244=EVENTOS!$C56)*(OFFSET(CÁLCULO!$AQ$15:$AQ$244,0,AB$13))),2),0)</f>
        <v>0</v>
      </c>
      <c r="AC56" s="620" cm="1">
        <f t="array" aca="1" ref="AC56" ca="1">IF(AUTOEVENTO="Manual",ROUND(SUMPRODUCT((CÁLCULO!$M$15:$M$244=EVENTOS!$C56)*(OFFSET(CÁLCULO!$AQ$15:$AQ$244,0,AC$13))),2),0)</f>
        <v>0</v>
      </c>
      <c r="AD56" s="620" cm="1">
        <f t="array" aca="1" ref="AD56" ca="1">IF(AUTOEVENTO="Manual",ROUND(SUMPRODUCT((CÁLCULO!$M$15:$M$244=EVENTOS!$C56)*(OFFSET(CÁLCULO!$AQ$15:$AQ$244,0,AD$13))),2),0)</f>
        <v>0</v>
      </c>
      <c r="AE56" s="620" cm="1">
        <f t="array" aca="1" ref="AE56" ca="1">IF(AUTOEVENTO="Manual",ROUND(SUMPRODUCT((CÁLCULO!$M$15:$M$244=EVENTOS!$C56)*(OFFSET(CÁLCULO!$AQ$15:$AQ$244,0,AE$13))),2),0)</f>
        <v>0</v>
      </c>
      <c r="AF56" s="620" cm="1">
        <f t="array" aca="1" ref="AF56" ca="1">IF(AUTOEVENTO="Manual",ROUND(SUMPRODUCT((CÁLCULO!$M$15:$M$244=EVENTOS!$C56)*(OFFSET(CÁLCULO!$AQ$15:$AQ$244,0,AF$13))),2),0)</f>
        <v>0</v>
      </c>
      <c r="AG56" s="620" cm="1">
        <f t="array" aca="1" ref="AG56" ca="1">IF(AUTOEVENTO="Manual",ROUND(SUMPRODUCT((CÁLCULO!$M$15:$M$244=EVENTOS!$C56)*(OFFSET(CÁLCULO!$AQ$15:$AQ$244,0,AG$13))),2),0)</f>
        <v>0</v>
      </c>
      <c r="AH56" s="620" cm="1">
        <f t="array" aca="1" ref="AH56" ca="1">IF(AUTOEVENTO="Manual",ROUND(SUMPRODUCT((CÁLCULO!$M$15:$M$244=EVENTOS!$C56)*(OFFSET(CÁLCULO!$AQ$15:$AQ$244,0,AH$13))),2),0)</f>
        <v>0</v>
      </c>
      <c r="AI56" s="620" cm="1">
        <f t="array" aca="1" ref="AI56" ca="1">IF(AUTOEVENTO="Manual",ROUND(SUMPRODUCT((CÁLCULO!$M$15:$M$244=EVENTOS!$C56)*(OFFSET(CÁLCULO!$AQ$15:$AQ$244,0,AI$13))),2),0)</f>
        <v>0</v>
      </c>
    </row>
    <row r="57" spans="1:35" ht="5.0999999999999996" customHeight="1" x14ac:dyDescent="0.2">
      <c r="A57" s="506" t="s">
        <v>536</v>
      </c>
      <c r="C57" s="629"/>
      <c r="D57" s="630"/>
      <c r="E57" s="631"/>
      <c r="F57" s="184"/>
      <c r="G57" s="631"/>
      <c r="H57" s="631"/>
      <c r="I57" s="631"/>
      <c r="J57" s="631"/>
      <c r="K57" s="631"/>
      <c r="L57" s="631"/>
      <c r="M57" s="631"/>
      <c r="N57" s="631"/>
      <c r="O57" s="631"/>
      <c r="P57" s="631"/>
      <c r="Q57" s="631"/>
      <c r="R57" s="631"/>
      <c r="S57" s="631"/>
      <c r="T57" s="631"/>
      <c r="U57" s="631"/>
      <c r="V57" s="631"/>
      <c r="W57" s="631"/>
      <c r="X57" s="631"/>
      <c r="Y57" s="631"/>
      <c r="Z57" s="631"/>
      <c r="AA57" s="631"/>
      <c r="AB57" s="631"/>
      <c r="AC57" s="631"/>
      <c r="AD57" s="631"/>
      <c r="AE57" s="631"/>
      <c r="AF57" s="631"/>
      <c r="AG57" s="631"/>
      <c r="AH57" s="631"/>
      <c r="AI57" s="631"/>
    </row>
    <row r="58" spans="1:35" x14ac:dyDescent="0.2">
      <c r="A58" s="506" t="s">
        <v>536</v>
      </c>
    </row>
    <row r="59" spans="1:35" x14ac:dyDescent="0.2">
      <c r="A59" s="506" t="s">
        <v>536</v>
      </c>
    </row>
    <row r="60" spans="1:35" ht="15" x14ac:dyDescent="0.2">
      <c r="A60" s="506" t="s">
        <v>536</v>
      </c>
      <c r="D60" s="493" t="str">
        <f>Import.Município</f>
        <v>Pedro Régis-PB</v>
      </c>
      <c r="L60" s="460"/>
      <c r="M60" s="417"/>
      <c r="N60" s="417"/>
      <c r="O60" s="417"/>
      <c r="V60" s="460"/>
      <c r="W60" s="417"/>
      <c r="X60" s="417"/>
      <c r="Y60" s="417"/>
      <c r="AF60" s="460"/>
      <c r="AG60" s="417"/>
      <c r="AH60" s="417"/>
      <c r="AI60" s="417"/>
    </row>
    <row r="61" spans="1:35" x14ac:dyDescent="0.2">
      <c r="A61" s="506" t="s">
        <v>536</v>
      </c>
      <c r="D61" s="9" t="s">
        <v>693</v>
      </c>
      <c r="H61" s="544"/>
      <c r="I61" s="544"/>
      <c r="J61" s="544"/>
      <c r="L61" s="181" t="s">
        <v>696</v>
      </c>
      <c r="V61" s="181" t="s">
        <v>696</v>
      </c>
      <c r="AF61" s="181" t="s">
        <v>696</v>
      </c>
    </row>
    <row r="62" spans="1:35" x14ac:dyDescent="0.2">
      <c r="A62" s="506" t="s">
        <v>536</v>
      </c>
      <c r="H62" s="544"/>
      <c r="I62" s="544"/>
      <c r="J62" s="544"/>
      <c r="L62" s="398" t="str">
        <f t="array" aca="1" ref="L62:L64" ca="1">OFFSET(Import.RespOrçamento,0,-1) &amp; " " &amp; Import.RespOrçamento</f>
        <v>Nome: Thales Mamede Galvão de Oliveira</v>
      </c>
      <c r="V62" s="398" t="str">
        <f t="array" aca="1" ref="V62:V64" ca="1">OFFSET(Import.RespOrçamento,0,-1) &amp; " " &amp; Import.RespOrçamento</f>
        <v>Nome: Thales Mamede Galvão de Oliveira</v>
      </c>
      <c r="AF62" s="398" t="str">
        <f t="array" aca="1" ref="AF62:AF64" ca="1">OFFSET(Import.RespOrçamento,0,-1) &amp; " " &amp; Import.RespOrçamento</f>
        <v>Nome: Thales Mamede Galvão de Oliveira</v>
      </c>
    </row>
    <row r="63" spans="1:35" x14ac:dyDescent="0.2">
      <c r="A63" s="506" t="s">
        <v>536</v>
      </c>
      <c r="D63" s="494">
        <f>DADOS!$C$25</f>
        <v>45981</v>
      </c>
      <c r="L63" s="398" t="str">
        <f ca="1"/>
        <v>CREA/CAU: 162.151.440-4</v>
      </c>
      <c r="V63" s="398" t="str">
        <f ca="1"/>
        <v>CREA/CAU: 162.151.440-4</v>
      </c>
      <c r="AF63" s="398" t="str">
        <f ca="1"/>
        <v>CREA/CAU: 162.151.440-4</v>
      </c>
    </row>
    <row r="64" spans="1:35" x14ac:dyDescent="0.2">
      <c r="A64" s="506" t="s">
        <v>536</v>
      </c>
      <c r="D64" s="9" t="s">
        <v>694</v>
      </c>
      <c r="L64" s="398" t="str">
        <f ca="1"/>
        <v>ART/RRT: -</v>
      </c>
      <c r="V64" s="398" t="str">
        <f ca="1"/>
        <v>ART/RRT: -</v>
      </c>
      <c r="AF64" s="398" t="str">
        <f ca="1"/>
        <v>ART/RRT: -</v>
      </c>
    </row>
  </sheetData>
  <sheetProtection algorithmName="SHA-512" hashValue="uC5zFRuCGQgmAFatnQpVjIuVpmz9QSKo355ydu8enzO94rF/u8alkbVS0cOd8o8gB2rolAdukXWXFQMxVXrCgg==" saltValue="h8nDAVKll161O/kAnlH7lg==" spinCount="100000" sheet="1" objects="1" scenarios="1"/>
  <autoFilter ref="A13:A64" xr:uid="{00000000-0001-0000-0600-000000000000}"/>
  <mergeCells count="35">
    <mergeCell ref="AH10:AH12"/>
    <mergeCell ref="AI10:AI12"/>
    <mergeCell ref="Z5:AG5"/>
    <mergeCell ref="Z10:Z12"/>
    <mergeCell ref="AA10:AA12"/>
    <mergeCell ref="AB10:AB12"/>
    <mergeCell ref="AC10:AC12"/>
    <mergeCell ref="AD10:AD12"/>
    <mergeCell ref="AE10:AE12"/>
    <mergeCell ref="AF10:AF12"/>
    <mergeCell ref="AG10:AG12"/>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AJ1 C13:Y57 Z10:AJ57">
    <cfRule type="expression" dxfId="393" priority="1" stopIfTrue="1">
      <formula>OR(AUTOEVENTO&lt;&gt;"Manual",ACOMPANHAMENTO="BM",C$10=0,C$13=0,$C1=" ")</formula>
    </cfRule>
  </conditionalFormatting>
  <conditionalFormatting sqref="A15 C15:XFD15">
    <cfRule type="expression" dxfId="392"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17" firstPageNumber="0" orientation="portrait"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DT65512"/>
  <sheetViews>
    <sheetView showGridLines="0" zoomScale="85" zoomScaleNormal="85" zoomScaleSheetLayoutView="90" workbookViewId="0">
      <pane xSplit="8" ySplit="15" topLeftCell="I16" activePane="bottomRight" state="frozen"/>
      <selection pane="topRight"/>
      <selection pane="bottomLeft"/>
      <selection pane="bottomRight"/>
    </sheetView>
  </sheetViews>
  <sheetFormatPr defaultRowHeight="0" customHeight="1" zeroHeight="1" x14ac:dyDescent="0.2"/>
  <cols>
    <col min="1" max="1" width="15.42578125" style="7" hidden="1" customWidth="1"/>
    <col min="2" max="2" width="9.28515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28515625" style="7" hidden="1" customWidth="1"/>
    <col min="14" max="14" width="31.5703125" customWidth="1"/>
    <col min="15" max="15" width="9.28515625" hidden="1" customWidth="1"/>
    <col min="16" max="16" width="0.42578125" customWidth="1"/>
    <col min="17" max="42" width="11.5703125" customWidth="1"/>
    <col min="43" max="123" width="9.28515625" hidden="1" customWidth="1"/>
    <col min="124" max="124" width="1.5703125" hidden="1" customWidth="1"/>
  </cols>
  <sheetData>
    <row r="1" spans="1:123" ht="12.75" hidden="1" customHeight="1" x14ac:dyDescent="0.2">
      <c r="M1" s="7">
        <f ca="1">SUM(OFFSET(CÁLCULO!$P$1,0,1):OFFSET(CÁLCULO!$AQ$1,0,-1))</f>
        <v>20</v>
      </c>
      <c r="O1" s="632" cm="1">
        <f t="array" ref="O1">IF(OR(ACOMPANHAMENTO="BM",N1=0,O12=""),0,1)</f>
        <v>0</v>
      </c>
      <c r="P1" t="s">
        <v>764</v>
      </c>
      <c r="Q1" s="632" cm="1">
        <f t="array" ref="Q1">IF(OR(ACOMPANHAMENTO="BM",P1=0,Q12=""),0,1)</f>
        <v>1</v>
      </c>
      <c r="R1" s="632" cm="1">
        <f t="array" ref="R1">IF(OR(ACOMPANHAMENTO="BM",Q1=0,R12=""),0,1)</f>
        <v>1</v>
      </c>
      <c r="S1" s="632" cm="1">
        <f t="array" ref="S1">IF(OR(ACOMPANHAMENTO="BM",R1=0,S12=""),0,1)</f>
        <v>1</v>
      </c>
      <c r="T1" s="632" cm="1">
        <f t="array" ref="T1">IF(OR(ACOMPANHAMENTO="BM",S1=0,T12=""),0,1)</f>
        <v>1</v>
      </c>
      <c r="U1" s="632" cm="1">
        <f t="array" ref="U1">IF(OR(ACOMPANHAMENTO="BM",T1=0,U12=""),0,1)</f>
        <v>1</v>
      </c>
      <c r="V1" s="632" cm="1">
        <f t="array" ref="V1">IF(OR(ACOMPANHAMENTO="BM",U1=0,V12=""),0,1)</f>
        <v>1</v>
      </c>
      <c r="W1" s="632" cm="1">
        <f t="array" ref="W1">IF(OR(ACOMPANHAMENTO="BM",V1=0,W12=""),0,1)</f>
        <v>1</v>
      </c>
      <c r="X1" s="632" cm="1">
        <f t="array" ref="X1">IF(OR(ACOMPANHAMENTO="BM",W1=0,X12=""),0,1)</f>
        <v>1</v>
      </c>
      <c r="Y1" s="632" cm="1">
        <f t="array" ref="Y1">IF(OR(ACOMPANHAMENTO="BM",X1=0,Y12=""),0,1)</f>
        <v>1</v>
      </c>
      <c r="Z1" s="632" cm="1">
        <f t="array" ref="Z1">IF(OR(ACOMPANHAMENTO="BM",Y1=0,Z12=""),0,1)</f>
        <v>1</v>
      </c>
      <c r="AA1" s="632" cm="1">
        <f t="array" ref="AA1">IF(OR(ACOMPANHAMENTO="BM",Z1=0,AA12=""),0,1)</f>
        <v>1</v>
      </c>
      <c r="AB1" s="632" cm="1">
        <f t="array" ref="AB1">IF(OR(ACOMPANHAMENTO="BM",AA1=0,AB12=""),0,1)</f>
        <v>1</v>
      </c>
      <c r="AC1" s="632" cm="1">
        <f t="array" ref="AC1">IF(OR(ACOMPANHAMENTO="BM",AB1=0,AC12=""),0,1)</f>
        <v>1</v>
      </c>
      <c r="AD1" s="632" cm="1">
        <f t="array" ref="AD1">IF(OR(ACOMPANHAMENTO="BM",AC1=0,AD12=""),0,1)</f>
        <v>1</v>
      </c>
      <c r="AE1" s="632" cm="1">
        <f t="array" ref="AE1">IF(OR(ACOMPANHAMENTO="BM",AD1=0,AE12=""),0,1)</f>
        <v>1</v>
      </c>
      <c r="AF1" s="632" cm="1">
        <f t="array" ref="AF1">IF(OR(ACOMPANHAMENTO="BM",AE1=0,AF12=""),0,1)</f>
        <v>1</v>
      </c>
      <c r="AG1" s="632" cm="1">
        <f t="array" ref="AG1">IF(OR(ACOMPANHAMENTO="BM",AF1=0,AG12=""),0,1)</f>
        <v>1</v>
      </c>
      <c r="AH1" s="632" cm="1">
        <f t="array" ref="AH1">IF(OR(ACOMPANHAMENTO="BM",AG1=0,AH12=""),0,1)</f>
        <v>1</v>
      </c>
      <c r="AI1" s="632" cm="1">
        <f t="array" ref="AI1">IF(OR(ACOMPANHAMENTO="BM",AH1=0,AI12=""),0,1)</f>
        <v>1</v>
      </c>
      <c r="AJ1" s="632" cm="1">
        <f t="array" ref="AJ1">IF(OR(ACOMPANHAMENTO="BM",AI1=0,AJ12=""),0,1)</f>
        <v>1</v>
      </c>
      <c r="AK1" s="632" cm="1">
        <f t="array" ref="AK1">IF(OR(ACOMPANHAMENTO="BM",AJ1=0,AK12=""),0,1)</f>
        <v>0</v>
      </c>
      <c r="AL1" s="632" cm="1">
        <f t="array" ref="AL1">IF(OR(ACOMPANHAMENTO="BM",AK1=0,AL12=""),0,1)</f>
        <v>0</v>
      </c>
      <c r="AM1" s="632" cm="1">
        <f t="array" ref="AM1">IF(OR(ACOMPANHAMENTO="BM",AL1=0,AM12=""),0,1)</f>
        <v>0</v>
      </c>
      <c r="AN1" s="632" cm="1">
        <f t="array" ref="AN1">IF(OR(ACOMPANHAMENTO="BM",AM1=0,AN12=""),0,1)</f>
        <v>0</v>
      </c>
      <c r="AO1" s="632" cm="1">
        <f t="array" ref="AO1">IF(OR(ACOMPANHAMENTO="BM",AN1=0,AO12=""),0,1)</f>
        <v>0</v>
      </c>
      <c r="AP1" s="632" cm="1">
        <f t="array" ref="AP1">IF(OR(ACOMPANHAMENTO="BM",AO1=0,AP12=""),0,1)</f>
        <v>0</v>
      </c>
      <c r="AR1" t="s">
        <v>765</v>
      </c>
      <c r="BS1" t="s">
        <v>766</v>
      </c>
      <c r="CT1" t="s">
        <v>767</v>
      </c>
    </row>
    <row r="2" spans="1:123" ht="12.75" hidden="1" customHeight="1" x14ac:dyDescent="0.2"/>
    <row r="3" spans="1:123" ht="12.75" hidden="1" customHeight="1" x14ac:dyDescent="0.2"/>
    <row r="4" spans="1:123" ht="12.75" hidden="1" customHeight="1" x14ac:dyDescent="0.2"/>
    <row r="5" spans="1:123" ht="12.75" hidden="1" customHeight="1" x14ac:dyDescent="0.2"/>
    <row r="6" spans="1:123" ht="15.75" customHeight="1" x14ac:dyDescent="0.2">
      <c r="F6" s="736" t="str" cm="1">
        <f t="array" ref="F6">IF(ACOMPANHAMENTO="BM","MEMÓRIA DE CÁLCULO","PLQ - PLANILHA DE LEVANTAMENTO DE QUANTIDADES")</f>
        <v>PLQ - PLANILHA DE LEVANTAMENTO DE QUANTIDADES</v>
      </c>
      <c r="G6" s="736"/>
      <c r="H6" s="736"/>
      <c r="I6" s="141"/>
      <c r="K6" s="141"/>
      <c r="L6" s="141"/>
      <c r="M6" s="142"/>
      <c r="N6" s="141"/>
      <c r="P6" s="141"/>
      <c r="Q6" s="737" t="s">
        <v>644</v>
      </c>
      <c r="R6" s="738"/>
      <c r="Y6" s="682" t="s">
        <v>644</v>
      </c>
      <c r="Z6" s="682"/>
      <c r="AG6" s="682" t="s">
        <v>644</v>
      </c>
      <c r="AH6" s="682"/>
      <c r="AO6" s="682" t="s">
        <v>644</v>
      </c>
      <c r="AP6" s="682"/>
    </row>
    <row r="7" spans="1:123" ht="15" customHeight="1" x14ac:dyDescent="0.2">
      <c r="F7" s="739" t="str" cm="1">
        <f t="array" ref="F7">IF(ACOMPANHAMENTO="BM","","Memória de Cálculo")&amp;" - "&amp;import.recurso</f>
        <v>Memória de Cálculo - OGU</v>
      </c>
      <c r="G7" s="739"/>
      <c r="H7" s="739"/>
      <c r="I7" s="143"/>
      <c r="K7" s="143"/>
      <c r="L7" s="143"/>
      <c r="M7" s="144"/>
      <c r="N7" s="143"/>
      <c r="P7" s="143"/>
      <c r="Q7" s="740" t="s">
        <v>647</v>
      </c>
      <c r="R7" s="741"/>
      <c r="Y7" s="683" t="s">
        <v>647</v>
      </c>
      <c r="Z7" s="683"/>
      <c r="AG7" s="683" t="s">
        <v>647</v>
      </c>
      <c r="AH7" s="683"/>
      <c r="AO7" s="683" t="s">
        <v>647</v>
      </c>
      <c r="AP7" s="683"/>
    </row>
    <row r="8" spans="1:123" ht="12.75" customHeight="1" x14ac:dyDescent="0.2">
      <c r="AU8" s="476"/>
      <c r="BC8" s="476"/>
      <c r="BK8" s="476"/>
    </row>
    <row r="9" spans="1:123" ht="12.75" customHeight="1" x14ac:dyDescent="0.2">
      <c r="E9" s="684" t="s">
        <v>708</v>
      </c>
      <c r="F9" s="684"/>
      <c r="G9" s="684" t="s">
        <v>707</v>
      </c>
      <c r="H9" s="684"/>
      <c r="I9" s="87" t="s">
        <v>650</v>
      </c>
      <c r="K9" s="145" t="s">
        <v>652</v>
      </c>
      <c r="L9" s="146"/>
      <c r="M9" s="146"/>
      <c r="N9" s="146"/>
      <c r="O9" s="146"/>
      <c r="P9" s="146"/>
      <c r="Q9" s="146"/>
      <c r="R9" s="147"/>
      <c r="S9" s="684" t="s">
        <v>650</v>
      </c>
      <c r="T9" s="684"/>
      <c r="U9" s="684" t="s">
        <v>652</v>
      </c>
      <c r="V9" s="684"/>
      <c r="W9" s="684"/>
      <c r="X9" s="684"/>
      <c r="Y9" s="684"/>
      <c r="Z9" s="684"/>
      <c r="AA9" s="684" t="s">
        <v>650</v>
      </c>
      <c r="AB9" s="684"/>
      <c r="AC9" s="684" t="s">
        <v>652</v>
      </c>
      <c r="AD9" s="684"/>
      <c r="AE9" s="684"/>
      <c r="AF9" s="684"/>
      <c r="AG9" s="684"/>
      <c r="AH9" s="684"/>
      <c r="AI9" s="684" t="s">
        <v>650</v>
      </c>
      <c r="AJ9" s="684"/>
      <c r="AK9" s="684" t="s">
        <v>652</v>
      </c>
      <c r="AL9" s="684"/>
      <c r="AM9" s="684"/>
      <c r="AN9" s="684"/>
      <c r="AO9" s="684"/>
      <c r="AP9" s="684"/>
    </row>
    <row r="10" spans="1:123" ht="12.75" customHeight="1" x14ac:dyDescent="0.2">
      <c r="A10" s="601" t="s">
        <v>768</v>
      </c>
      <c r="E10" s="681" t="str">
        <f>Import.Apelido</f>
        <v>Casa térrea acessível, 2 quartos, Autil=47,46m², conforme Portaria MCID 1416/2023</v>
      </c>
      <c r="F10" s="681"/>
      <c r="G10" s="681" t="str" cm="1">
        <f t="array" ref="G10">Import.TransfereGOV</f>
        <v>-</v>
      </c>
      <c r="H10" s="681"/>
      <c r="I10" s="90" t="str">
        <f>Import.CR</f>
        <v>-</v>
      </c>
      <c r="K10" s="148" t="str">
        <f>Import.Proponente</f>
        <v>Prefeitura Municipal de Pedro Régis-PB</v>
      </c>
      <c r="L10" s="149"/>
      <c r="M10" s="100"/>
      <c r="N10" s="149"/>
      <c r="O10" s="149"/>
      <c r="P10" s="149"/>
      <c r="Q10" s="149"/>
      <c r="R10" s="91"/>
      <c r="S10" s="681" t="str">
        <f>Import.CR</f>
        <v>-</v>
      </c>
      <c r="T10" s="681"/>
      <c r="U10" s="681" t="str">
        <f>Import.Proponente</f>
        <v>Prefeitura Municipal de Pedro Régis-PB</v>
      </c>
      <c r="V10" s="681"/>
      <c r="W10" s="681"/>
      <c r="X10" s="681"/>
      <c r="Y10" s="681"/>
      <c r="Z10" s="681"/>
      <c r="AA10" s="681" t="str">
        <f>Import.CR</f>
        <v>-</v>
      </c>
      <c r="AB10" s="681"/>
      <c r="AC10" s="681" t="str">
        <f>Import.Proponente</f>
        <v>Prefeitura Municipal de Pedro Régis-PB</v>
      </c>
      <c r="AD10" s="681"/>
      <c r="AE10" s="681"/>
      <c r="AF10" s="681"/>
      <c r="AG10" s="681"/>
      <c r="AH10" s="681"/>
      <c r="AI10" s="681" t="str">
        <f>Import.CR</f>
        <v>-</v>
      </c>
      <c r="AJ10" s="681"/>
      <c r="AK10" s="681" t="str">
        <f>Import.Proponente</f>
        <v>Prefeitura Municipal de Pedro Régis-PB</v>
      </c>
      <c r="AL10" s="681"/>
      <c r="AM10" s="681"/>
      <c r="AN10" s="681"/>
      <c r="AO10" s="681"/>
      <c r="AP10" s="681"/>
    </row>
    <row r="11" spans="1:123" ht="15" customHeight="1" x14ac:dyDescent="0.2">
      <c r="A11" s="450" t="str">
        <f>IF(AND(Import.TipoArredondamento="Tradicional",AUTOEVENTO="Manual"),"Automática",IF(CRONOPLE!$B$8="","Sem Adm","Manual"))</f>
        <v>Manual</v>
      </c>
      <c r="F11" s="567" t="str">
        <f ca="1">IF(AND(ACOMPANHAMENTO="PLE",ISERROR(AUTOEVENTO)),"Selecione a forma de definição dos agrupadores de eventos na aba EVENTOS",
  IF(AND(ACOMPANHAMENTO="PLE",CÁLCULO.FrentesPreenchidas=0),"Preencher os nomes das Frentes de Obra",
  IF(COUNTIF($J$15:$J$244,"►E")&gt;0,"Não pode haver serviços sem agrupador de eventos",
  IF(COUNTIF($P$11:$AQ$11,"▼")&gt;0,"Não pode haver frentes de obra sem quantidades",
  IF(COUNTIF($P$11:$AQ$11,"Nome &gt;100")&gt;0,"Nome da frente de obra com mais de 100 caracteres","")))))</f>
        <v>Não pode haver frentes de obra sem quantidades</v>
      </c>
      <c r="N11" s="573" t="str">
        <f ca="1">IF(OR(COUNTIF($J$15:$J$244,"►E")&gt;0,COUNTIF($J$15:$J$244,"►Q")&gt;0),"",
IF(COUNTIF($J$15:$J$244,"►S")&gt;0,"Preencha as quantidades com no máximo duas casas decimais",
IF(COUNTIF($P$11:$AQ$11,"▼")&gt;0,"Falta preencher a frente de obra nº " &amp; HLOOKUP("▼",$P$11:$AQ$13,3,FALSE),
IF(COUNTIF($P$11:$AQ$11,"Nome &gt;100")&gt;0,"Resuma o nome da frente de obra nº " &amp; HLOOKUP("Nome &gt;100",$P$11:$AQ$13,3,FALSE),""))))</f>
        <v>Falta preencher a frente de obra nº 1</v>
      </c>
      <c r="O11" s="566" t="e">
        <f ca="1">IF(AND(O1=1,O15=0),"▼",IF(AND(O1=1,LEN(O12)&gt;100),"Nome &gt;100",""))</f>
        <v>#VALUE!</v>
      </c>
      <c r="P11" s="7"/>
      <c r="Q11" s="566" t="str">
        <f t="shared" ref="Q11:Z11" ca="1" si="0">IF(AND(Q1=1,Q15=0),"▼",IF(AND(Q1=1,LEN(Q12)&gt;100),"Nome &gt;100",""))</f>
        <v>▼</v>
      </c>
      <c r="R11" s="566" t="str">
        <f t="shared" ca="1" si="0"/>
        <v>▼</v>
      </c>
      <c r="S11" s="566" t="str">
        <f t="shared" ca="1" si="0"/>
        <v>▼</v>
      </c>
      <c r="T11" s="566" t="str">
        <f t="shared" ca="1" si="0"/>
        <v>▼</v>
      </c>
      <c r="U11" s="566" t="str">
        <f t="shared" ca="1" si="0"/>
        <v>▼</v>
      </c>
      <c r="V11" s="566" t="str">
        <f t="shared" ca="1" si="0"/>
        <v>▼</v>
      </c>
      <c r="W11" s="566" t="str">
        <f t="shared" ca="1" si="0"/>
        <v>▼</v>
      </c>
      <c r="X11" s="566" t="str">
        <f t="shared" ca="1" si="0"/>
        <v>▼</v>
      </c>
      <c r="Y11" s="566" t="str">
        <f t="shared" ca="1" si="0"/>
        <v>▼</v>
      </c>
      <c r="Z11" s="566" t="str">
        <f t="shared" ca="1" si="0"/>
        <v>▼</v>
      </c>
      <c r="AA11" s="566" t="str">
        <f t="shared" ref="AA11:AH11" ca="1" si="1">IF(AND(AA1=1,AA15=0),"▼",IF(AND(AA1=1,LEN(AA12)&gt;100),"Nome &gt;100",""))</f>
        <v>▼</v>
      </c>
      <c r="AB11" s="566" t="str">
        <f t="shared" ca="1" si="1"/>
        <v>▼</v>
      </c>
      <c r="AC11" s="566" t="str">
        <f t="shared" ca="1" si="1"/>
        <v>▼</v>
      </c>
      <c r="AD11" s="566" t="str">
        <f t="shared" ca="1" si="1"/>
        <v>▼</v>
      </c>
      <c r="AE11" s="566" t="str">
        <f t="shared" ca="1" si="1"/>
        <v>▼</v>
      </c>
      <c r="AF11" s="566" t="str">
        <f t="shared" ca="1" si="1"/>
        <v>▼</v>
      </c>
      <c r="AG11" s="566" t="str">
        <f t="shared" ca="1" si="1"/>
        <v>▼</v>
      </c>
      <c r="AH11" s="566" t="str">
        <f t="shared" ca="1" si="1"/>
        <v>▼</v>
      </c>
      <c r="AI11" s="566" t="str">
        <f t="shared" ref="AI11:AP11" ca="1" si="2">IF(AND(AI1=1,AI15=0),"▼",IF(AND(AI1=1,LEN(AI12)&gt;100),"Nome &gt;100",""))</f>
        <v>▼</v>
      </c>
      <c r="AJ11" s="566" t="str">
        <f t="shared" ca="1" si="2"/>
        <v>▼</v>
      </c>
      <c r="AK11" s="566" t="str">
        <f t="shared" ca="1" si="2"/>
        <v/>
      </c>
      <c r="AL11" s="566" t="str">
        <f t="shared" ca="1" si="2"/>
        <v/>
      </c>
      <c r="AM11" s="566" t="str">
        <f t="shared" ca="1" si="2"/>
        <v/>
      </c>
      <c r="AN11" s="566" t="str">
        <f t="shared" ca="1" si="2"/>
        <v/>
      </c>
      <c r="AO11" s="566" t="str">
        <f t="shared" ca="1" si="2"/>
        <v/>
      </c>
      <c r="AP11" s="566" t="str">
        <f t="shared" ca="1" si="2"/>
        <v/>
      </c>
    </row>
    <row r="12" spans="1:123" ht="70.150000000000006" customHeight="1" x14ac:dyDescent="0.2">
      <c r="A12" s="599" t="str">
        <f>IF(Import.Eventos.Nível="Definir Manualmente","Manual",MATCH(Import.Eventos.Nível,EVENTOS!$B$6:$B$9,0)+1)</f>
        <v>Manual</v>
      </c>
      <c r="B12" s="7" t="s">
        <v>769</v>
      </c>
      <c r="C12" s="489" t="s">
        <v>655</v>
      </c>
      <c r="H12" s="150"/>
      <c r="I12" s="575" t="str">
        <f ca="1">IF(AND(ACOMPANHAMENTO="PLE",CÁLCULO.FrentesPreenchidas=0),"",
  IF(COUNTIF($J$15:$J$244,"►E")&gt;0,"Falta Definir o Agrupador de Evento na linha "&amp;MATCH("►E",$J$15:$J$244,0)+ROW($J$14),
  IF(COUNTIF($J$15:$J$244,"►Q")&gt;0,"Falta preencher a quantidade do serviço na linha "&amp;MATCH("►Q",$J$15:$J$244,0)+ROW($J$14),
  IF(COUNTIF($J$15:$J$244,"►S")&gt;0,"Verifique as quantidades preenchidas na linha "&amp;MATCH("►S",$J$15:$J$244,0)+ROW($J$14),
  IF(AND(COUNTIF($P$11:$AQ$11,"▼")=0,COUNTIF($J$15:$J$244,"◄")&gt;0),"Falta Preencher o Memorial de Cálculo na linha "&amp;MATCH("◄",$J$15:$J$244,0)+ROW($J$14),"")))))</f>
        <v/>
      </c>
      <c r="J12" s="151" t="s">
        <v>764</v>
      </c>
      <c r="K12" s="152" t="s">
        <v>770</v>
      </c>
      <c r="L12" s="151" t="s">
        <v>764</v>
      </c>
      <c r="M12" s="570" cm="1">
        <f t="array" aca="1" ref="M12" ca="1">IF(ACOMPANHAMENTO="BM",0,MAX($M$15:$M$244))</f>
        <v>10</v>
      </c>
      <c r="N12" s="574" t="str">
        <f ca="1">IF(AND(ACOMPANHAMENTO="PLE",CÁLCULO.FrentesPreenchidas=0),"Preencher os nomes das Frentes de Obra ►","FRENTES DE OBRA:")</f>
        <v>FRENTES DE OBRA:</v>
      </c>
      <c r="O12" s="153"/>
      <c r="P12" s="151" t="s">
        <v>764</v>
      </c>
      <c r="Q12" s="452" t="s">
        <v>1215</v>
      </c>
      <c r="R12" s="153" t="s">
        <v>1216</v>
      </c>
      <c r="S12" s="153" t="s">
        <v>1217</v>
      </c>
      <c r="T12" s="520" t="s">
        <v>1218</v>
      </c>
      <c r="U12" s="153" t="s">
        <v>1219</v>
      </c>
      <c r="V12" s="153" t="s">
        <v>1220</v>
      </c>
      <c r="W12" s="153" t="s">
        <v>1221</v>
      </c>
      <c r="X12" s="153" t="s">
        <v>1222</v>
      </c>
      <c r="Y12" s="153" t="s">
        <v>1223</v>
      </c>
      <c r="Z12" s="154" t="s">
        <v>1224</v>
      </c>
      <c r="AA12" s="153" t="s">
        <v>1225</v>
      </c>
      <c r="AB12" s="520" t="s">
        <v>1226</v>
      </c>
      <c r="AC12" s="153" t="s">
        <v>1227</v>
      </c>
      <c r="AD12" s="153" t="s">
        <v>1228</v>
      </c>
      <c r="AE12" s="153" t="s">
        <v>1229</v>
      </c>
      <c r="AF12" s="153" t="s">
        <v>1230</v>
      </c>
      <c r="AG12" s="153" t="s">
        <v>1231</v>
      </c>
      <c r="AH12" s="154" t="s">
        <v>1232</v>
      </c>
      <c r="AI12" s="153" t="s">
        <v>1233</v>
      </c>
      <c r="AJ12" s="520" t="s">
        <v>1234</v>
      </c>
      <c r="AK12" s="153"/>
      <c r="AL12" s="153"/>
      <c r="AM12" s="153"/>
      <c r="AN12" s="153"/>
      <c r="AO12" s="153"/>
      <c r="AP12" s="154"/>
      <c r="AQ12" s="151" t="s">
        <v>764</v>
      </c>
      <c r="AR12" s="155" t="str">
        <f ca="1">IF(OFFSET($P$1,0,AR$13)=0,0,OFFSET($P$12,0,AR$13))</f>
        <v>Casa 1</v>
      </c>
      <c r="AS12" s="155" t="str">
        <f t="shared" ref="AS12:BQ12" ca="1" si="3">IF(OFFSET($P$1,0,AS$13)=0,0,OFFSET($P$12,0,AS$13))</f>
        <v>Casa 2</v>
      </c>
      <c r="AT12" s="155" t="str">
        <f t="shared" ca="1" si="3"/>
        <v>Casa 3</v>
      </c>
      <c r="AU12" s="155" t="str">
        <f t="shared" ca="1" si="3"/>
        <v>Casa 4</v>
      </c>
      <c r="AV12" s="155" t="str">
        <f t="shared" ca="1" si="3"/>
        <v>Casa 5</v>
      </c>
      <c r="AW12" s="155" t="str">
        <f t="shared" ca="1" si="3"/>
        <v>Casa 6</v>
      </c>
      <c r="AX12" s="155" t="str">
        <f t="shared" ca="1" si="3"/>
        <v>Casa 7</v>
      </c>
      <c r="AY12" s="155" t="str">
        <f t="shared" ca="1" si="3"/>
        <v>Casa 8</v>
      </c>
      <c r="AZ12" s="155" t="str">
        <f t="shared" ca="1" si="3"/>
        <v>Casa 9</v>
      </c>
      <c r="BA12" s="155" t="str">
        <f t="shared" ca="1" si="3"/>
        <v>Casa 10</v>
      </c>
      <c r="BB12" s="155" t="str">
        <f t="shared" ca="1" si="3"/>
        <v>Casa 11</v>
      </c>
      <c r="BC12" s="155" t="str">
        <f t="shared" ca="1" si="3"/>
        <v>Casa 12</v>
      </c>
      <c r="BD12" s="155" t="str">
        <f t="shared" ca="1" si="3"/>
        <v>Casa 13</v>
      </c>
      <c r="BE12" s="155" t="str">
        <f t="shared" ca="1" si="3"/>
        <v>Casa 14</v>
      </c>
      <c r="BF12" s="155" t="str">
        <f t="shared" ca="1" si="3"/>
        <v>Casa 15</v>
      </c>
      <c r="BG12" s="155" t="str">
        <f t="shared" ca="1" si="3"/>
        <v>Casa 16</v>
      </c>
      <c r="BH12" s="155" t="str">
        <f t="shared" ca="1" si="3"/>
        <v>Casa 17</v>
      </c>
      <c r="BI12" s="155" t="str">
        <f t="shared" ca="1" si="3"/>
        <v>Casa 18</v>
      </c>
      <c r="BJ12" s="155" t="str">
        <f t="shared" ca="1" si="3"/>
        <v>Casa 19</v>
      </c>
      <c r="BK12" s="155" t="str">
        <f t="shared" ca="1" si="3"/>
        <v>Casa 20</v>
      </c>
      <c r="BL12" s="155">
        <f t="shared" ca="1" si="3"/>
        <v>0</v>
      </c>
      <c r="BM12" s="155">
        <f t="shared" ca="1" si="3"/>
        <v>0</v>
      </c>
      <c r="BN12" s="155">
        <f t="shared" ca="1" si="3"/>
        <v>0</v>
      </c>
      <c r="BO12" s="155">
        <f t="shared" ca="1" si="3"/>
        <v>0</v>
      </c>
      <c r="BP12" s="155">
        <f t="shared" ca="1" si="3"/>
        <v>0</v>
      </c>
      <c r="BQ12" s="155">
        <f t="shared" ca="1" si="3"/>
        <v>0</v>
      </c>
      <c r="BS12" s="155" t="str">
        <f t="shared" ref="BS12:DS12" ca="1" si="4">IF(OFFSET($P$1,0,BS$13)=0,0,OFFSET($P$12,0,BS$13))</f>
        <v>Casa 1</v>
      </c>
      <c r="BT12" s="156" t="str">
        <f t="shared" ca="1" si="4"/>
        <v>Casa 2</v>
      </c>
      <c r="BU12" s="156" t="str">
        <f t="shared" ca="1" si="4"/>
        <v>Casa 3</v>
      </c>
      <c r="BV12" s="156" t="str">
        <f t="shared" ca="1" si="4"/>
        <v>Casa 4</v>
      </c>
      <c r="BW12" s="156" t="str">
        <f t="shared" ca="1" si="4"/>
        <v>Casa 5</v>
      </c>
      <c r="BX12" s="156" t="str">
        <f t="shared" ca="1" si="4"/>
        <v>Casa 6</v>
      </c>
      <c r="BY12" s="156" t="str">
        <f t="shared" ca="1" si="4"/>
        <v>Casa 7</v>
      </c>
      <c r="BZ12" s="156" t="str">
        <f t="shared" ca="1" si="4"/>
        <v>Casa 8</v>
      </c>
      <c r="CA12" s="156" t="str">
        <f t="shared" ca="1" si="4"/>
        <v>Casa 9</v>
      </c>
      <c r="CB12" s="157" t="str">
        <f t="shared" ca="1" si="4"/>
        <v>Casa 10</v>
      </c>
      <c r="CC12" s="156" t="str">
        <f t="shared" ca="1" si="4"/>
        <v>Casa 11</v>
      </c>
      <c r="CD12" s="156" t="str">
        <f t="shared" ca="1" si="4"/>
        <v>Casa 12</v>
      </c>
      <c r="CE12" s="156" t="str">
        <f t="shared" ca="1" si="4"/>
        <v>Casa 13</v>
      </c>
      <c r="CF12" s="156" t="str">
        <f t="shared" ca="1" si="4"/>
        <v>Casa 14</v>
      </c>
      <c r="CG12" s="156" t="str">
        <f t="shared" ca="1" si="4"/>
        <v>Casa 15</v>
      </c>
      <c r="CH12" s="156" t="str">
        <f t="shared" ca="1" si="4"/>
        <v>Casa 16</v>
      </c>
      <c r="CI12" s="156" t="str">
        <f t="shared" ca="1" si="4"/>
        <v>Casa 17</v>
      </c>
      <c r="CJ12" s="157" t="str">
        <f t="shared" ca="1" si="4"/>
        <v>Casa 18</v>
      </c>
      <c r="CK12" s="156" t="str">
        <f t="shared" ca="1" si="4"/>
        <v>Casa 19</v>
      </c>
      <c r="CL12" s="156" t="str">
        <f t="shared" ca="1" si="4"/>
        <v>Casa 20</v>
      </c>
      <c r="CM12" s="156">
        <f t="shared" ca="1" si="4"/>
        <v>0</v>
      </c>
      <c r="CN12" s="156">
        <f t="shared" ca="1" si="4"/>
        <v>0</v>
      </c>
      <c r="CO12" s="156">
        <f t="shared" ca="1" si="4"/>
        <v>0</v>
      </c>
      <c r="CP12" s="156">
        <f t="shared" ca="1" si="4"/>
        <v>0</v>
      </c>
      <c r="CQ12" s="156">
        <f t="shared" ca="1" si="4"/>
        <v>0</v>
      </c>
      <c r="CR12" s="157">
        <f t="shared" ca="1" si="4"/>
        <v>0</v>
      </c>
      <c r="CT12" s="155" t="str">
        <f t="shared" ca="1" si="4"/>
        <v>Casa 1</v>
      </c>
      <c r="CU12" s="156" t="str">
        <f t="shared" ca="1" si="4"/>
        <v>Casa 2</v>
      </c>
      <c r="CV12" s="156" t="str">
        <f t="shared" ca="1" si="4"/>
        <v>Casa 3</v>
      </c>
      <c r="CW12" s="156" t="str">
        <f t="shared" ca="1" si="4"/>
        <v>Casa 4</v>
      </c>
      <c r="CX12" s="156" t="str">
        <f t="shared" ca="1" si="4"/>
        <v>Casa 5</v>
      </c>
      <c r="CY12" s="156" t="str">
        <f t="shared" ca="1" si="4"/>
        <v>Casa 6</v>
      </c>
      <c r="CZ12" s="156" t="str">
        <f t="shared" ca="1" si="4"/>
        <v>Casa 7</v>
      </c>
      <c r="DA12" s="156" t="str">
        <f t="shared" ca="1" si="4"/>
        <v>Casa 8</v>
      </c>
      <c r="DB12" s="156" t="str">
        <f t="shared" ca="1" si="4"/>
        <v>Casa 9</v>
      </c>
      <c r="DC12" s="157" t="str">
        <f t="shared" ca="1" si="4"/>
        <v>Casa 10</v>
      </c>
      <c r="DD12" s="156" t="str">
        <f t="shared" ca="1" si="4"/>
        <v>Casa 11</v>
      </c>
      <c r="DE12" s="156" t="str">
        <f t="shared" ca="1" si="4"/>
        <v>Casa 12</v>
      </c>
      <c r="DF12" s="156" t="str">
        <f t="shared" ca="1" si="4"/>
        <v>Casa 13</v>
      </c>
      <c r="DG12" s="156" t="str">
        <f t="shared" ca="1" si="4"/>
        <v>Casa 14</v>
      </c>
      <c r="DH12" s="156" t="str">
        <f t="shared" ca="1" si="4"/>
        <v>Casa 15</v>
      </c>
      <c r="DI12" s="156" t="str">
        <f t="shared" ca="1" si="4"/>
        <v>Casa 16</v>
      </c>
      <c r="DJ12" s="156" t="str">
        <f t="shared" ca="1" si="4"/>
        <v>Casa 17</v>
      </c>
      <c r="DK12" s="157" t="str">
        <f t="shared" ca="1" si="4"/>
        <v>Casa 18</v>
      </c>
      <c r="DL12" s="156" t="str">
        <f t="shared" ca="1" si="4"/>
        <v>Casa 19</v>
      </c>
      <c r="DM12" s="156" t="str">
        <f t="shared" ca="1" si="4"/>
        <v>Casa 20</v>
      </c>
      <c r="DN12" s="156">
        <f t="shared" ca="1" si="4"/>
        <v>0</v>
      </c>
      <c r="DO12" s="156">
        <f t="shared" ca="1" si="4"/>
        <v>0</v>
      </c>
      <c r="DP12" s="156">
        <f t="shared" ca="1" si="4"/>
        <v>0</v>
      </c>
      <c r="DQ12" s="156">
        <f t="shared" ca="1" si="4"/>
        <v>0</v>
      </c>
      <c r="DR12" s="156">
        <f t="shared" ca="1" si="4"/>
        <v>0</v>
      </c>
      <c r="DS12" s="157">
        <f t="shared" ca="1" si="4"/>
        <v>0</v>
      </c>
    </row>
    <row r="13" spans="1:123"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AP13" ca="1" si="5">OFFSET(Q13,0,-1)+1</f>
        <v>1</v>
      </c>
      <c r="R13" s="158">
        <f t="shared" ca="1" si="5"/>
        <v>2</v>
      </c>
      <c r="S13" s="158">
        <f t="shared" ca="1" si="5"/>
        <v>3</v>
      </c>
      <c r="T13" s="158">
        <f t="shared" ca="1" si="5"/>
        <v>4</v>
      </c>
      <c r="U13" s="158">
        <f t="shared" ca="1" si="5"/>
        <v>5</v>
      </c>
      <c r="V13" s="158">
        <f t="shared" ca="1" si="5"/>
        <v>6</v>
      </c>
      <c r="W13" s="158">
        <f t="shared" ca="1" si="5"/>
        <v>7</v>
      </c>
      <c r="X13" s="158">
        <f t="shared" ca="1" si="5"/>
        <v>8</v>
      </c>
      <c r="Y13" s="158">
        <f t="shared" ca="1" si="5"/>
        <v>9</v>
      </c>
      <c r="Z13" s="160">
        <f t="shared" ca="1" si="5"/>
        <v>10</v>
      </c>
      <c r="AA13" s="158">
        <f t="shared" ca="1" si="5"/>
        <v>11</v>
      </c>
      <c r="AB13" s="158">
        <f t="shared" ca="1" si="5"/>
        <v>12</v>
      </c>
      <c r="AC13" s="158">
        <f t="shared" ca="1" si="5"/>
        <v>13</v>
      </c>
      <c r="AD13" s="158">
        <f t="shared" ca="1" si="5"/>
        <v>14</v>
      </c>
      <c r="AE13" s="158">
        <f t="shared" ca="1" si="5"/>
        <v>15</v>
      </c>
      <c r="AF13" s="158">
        <f t="shared" ca="1" si="5"/>
        <v>16</v>
      </c>
      <c r="AG13" s="158">
        <f t="shared" ca="1" si="5"/>
        <v>17</v>
      </c>
      <c r="AH13" s="160">
        <f t="shared" ca="1" si="5"/>
        <v>18</v>
      </c>
      <c r="AI13" s="158">
        <f t="shared" ca="1" si="5"/>
        <v>19</v>
      </c>
      <c r="AJ13" s="158">
        <f t="shared" ca="1" si="5"/>
        <v>20</v>
      </c>
      <c r="AK13" s="158">
        <f t="shared" ca="1" si="5"/>
        <v>21</v>
      </c>
      <c r="AL13" s="158">
        <f t="shared" ca="1" si="5"/>
        <v>22</v>
      </c>
      <c r="AM13" s="158">
        <f t="shared" ca="1" si="5"/>
        <v>23</v>
      </c>
      <c r="AN13" s="158">
        <f t="shared" ca="1" si="5"/>
        <v>24</v>
      </c>
      <c r="AO13" s="158">
        <f t="shared" ca="1" si="5"/>
        <v>25</v>
      </c>
      <c r="AP13" s="160">
        <f t="shared" ca="1" si="5"/>
        <v>26</v>
      </c>
      <c r="AR13" s="113">
        <f t="shared" ref="AR13:DD13" ca="1" si="6">OFFSET(AR13,0,-1)+1</f>
        <v>1</v>
      </c>
      <c r="AS13" s="161">
        <f t="shared" ca="1" si="6"/>
        <v>2</v>
      </c>
      <c r="AT13" s="161">
        <f t="shared" ca="1" si="6"/>
        <v>3</v>
      </c>
      <c r="AU13" s="161">
        <f t="shared" ca="1" si="6"/>
        <v>4</v>
      </c>
      <c r="AV13" s="161">
        <f t="shared" ca="1" si="6"/>
        <v>5</v>
      </c>
      <c r="AW13" s="161">
        <f t="shared" ca="1" si="6"/>
        <v>6</v>
      </c>
      <c r="AX13" s="161">
        <f t="shared" ca="1" si="6"/>
        <v>7</v>
      </c>
      <c r="AY13" s="161">
        <f t="shared" ca="1" si="6"/>
        <v>8</v>
      </c>
      <c r="AZ13" s="161">
        <f t="shared" ca="1" si="6"/>
        <v>9</v>
      </c>
      <c r="BA13" s="162">
        <f t="shared" ca="1" si="6"/>
        <v>10</v>
      </c>
      <c r="BB13" s="161">
        <f t="shared" ca="1" si="6"/>
        <v>11</v>
      </c>
      <c r="BC13" s="161">
        <f t="shared" ca="1" si="6"/>
        <v>12</v>
      </c>
      <c r="BD13" s="161">
        <f t="shared" ca="1" si="6"/>
        <v>13</v>
      </c>
      <c r="BE13" s="161">
        <f t="shared" ca="1" si="6"/>
        <v>14</v>
      </c>
      <c r="BF13" s="161">
        <f t="shared" ca="1" si="6"/>
        <v>15</v>
      </c>
      <c r="BG13" s="161">
        <f t="shared" ca="1" si="6"/>
        <v>16</v>
      </c>
      <c r="BH13" s="161">
        <f t="shared" ca="1" si="6"/>
        <v>17</v>
      </c>
      <c r="BI13" s="162">
        <f t="shared" ca="1" si="6"/>
        <v>18</v>
      </c>
      <c r="BJ13" s="161">
        <f t="shared" ca="1" si="6"/>
        <v>19</v>
      </c>
      <c r="BK13" s="161">
        <f t="shared" ca="1" si="6"/>
        <v>20</v>
      </c>
      <c r="BL13" s="161">
        <f t="shared" ca="1" si="6"/>
        <v>21</v>
      </c>
      <c r="BM13" s="161">
        <f t="shared" ca="1" si="6"/>
        <v>22</v>
      </c>
      <c r="BN13" s="161">
        <f t="shared" ca="1" si="6"/>
        <v>23</v>
      </c>
      <c r="BO13" s="161">
        <f t="shared" ca="1" si="6"/>
        <v>24</v>
      </c>
      <c r="BP13" s="161">
        <f t="shared" ca="1" si="6"/>
        <v>25</v>
      </c>
      <c r="BQ13" s="162">
        <f t="shared" ca="1" si="6"/>
        <v>26</v>
      </c>
      <c r="BS13" s="113">
        <f t="shared" ca="1" si="6"/>
        <v>1</v>
      </c>
      <c r="BT13" s="161">
        <f t="shared" ca="1" si="6"/>
        <v>2</v>
      </c>
      <c r="BU13" s="161">
        <f t="shared" ca="1" si="6"/>
        <v>3</v>
      </c>
      <c r="BV13" s="161">
        <f t="shared" ca="1" si="6"/>
        <v>4</v>
      </c>
      <c r="BW13" s="161">
        <f t="shared" ca="1" si="6"/>
        <v>5</v>
      </c>
      <c r="BX13" s="161">
        <f t="shared" ca="1" si="6"/>
        <v>6</v>
      </c>
      <c r="BY13" s="161">
        <f t="shared" ca="1" si="6"/>
        <v>7</v>
      </c>
      <c r="BZ13" s="161">
        <f t="shared" ca="1" si="6"/>
        <v>8</v>
      </c>
      <c r="CA13" s="161">
        <f t="shared" ca="1" si="6"/>
        <v>9</v>
      </c>
      <c r="CB13" s="162">
        <f t="shared" ca="1" si="6"/>
        <v>10</v>
      </c>
      <c r="CC13" s="161">
        <f t="shared" ca="1" si="6"/>
        <v>11</v>
      </c>
      <c r="CD13" s="161">
        <f t="shared" ca="1" si="6"/>
        <v>12</v>
      </c>
      <c r="CE13" s="161">
        <f t="shared" ca="1" si="6"/>
        <v>13</v>
      </c>
      <c r="CF13" s="161">
        <f t="shared" ca="1" si="6"/>
        <v>14</v>
      </c>
      <c r="CG13" s="161">
        <f t="shared" ca="1" si="6"/>
        <v>15</v>
      </c>
      <c r="CH13" s="161">
        <f t="shared" ca="1" si="6"/>
        <v>16</v>
      </c>
      <c r="CI13" s="161">
        <f t="shared" ca="1" si="6"/>
        <v>17</v>
      </c>
      <c r="CJ13" s="162">
        <f t="shared" ca="1" si="6"/>
        <v>18</v>
      </c>
      <c r="CK13" s="161">
        <f t="shared" ca="1" si="6"/>
        <v>19</v>
      </c>
      <c r="CL13" s="161">
        <f t="shared" ca="1" si="6"/>
        <v>20</v>
      </c>
      <c r="CM13" s="161">
        <f t="shared" ca="1" si="6"/>
        <v>21</v>
      </c>
      <c r="CN13" s="161">
        <f t="shared" ca="1" si="6"/>
        <v>22</v>
      </c>
      <c r="CO13" s="161">
        <f t="shared" ca="1" si="6"/>
        <v>23</v>
      </c>
      <c r="CP13" s="161">
        <f t="shared" ca="1" si="6"/>
        <v>24</v>
      </c>
      <c r="CQ13" s="161">
        <f t="shared" ca="1" si="6"/>
        <v>25</v>
      </c>
      <c r="CR13" s="162">
        <f t="shared" ca="1" si="6"/>
        <v>26</v>
      </c>
      <c r="CT13" s="113">
        <f t="shared" ca="1" si="6"/>
        <v>1</v>
      </c>
      <c r="CU13" s="161">
        <f t="shared" ca="1" si="6"/>
        <v>2</v>
      </c>
      <c r="CV13" s="161">
        <f t="shared" ca="1" si="6"/>
        <v>3</v>
      </c>
      <c r="CW13" s="161">
        <f t="shared" ca="1" si="6"/>
        <v>4</v>
      </c>
      <c r="CX13" s="161">
        <f t="shared" ca="1" si="6"/>
        <v>5</v>
      </c>
      <c r="CY13" s="161">
        <f t="shared" ca="1" si="6"/>
        <v>6</v>
      </c>
      <c r="CZ13" s="161">
        <f t="shared" ca="1" si="6"/>
        <v>7</v>
      </c>
      <c r="DA13" s="161">
        <f t="shared" ca="1" si="6"/>
        <v>8</v>
      </c>
      <c r="DB13" s="161">
        <f t="shared" ca="1" si="6"/>
        <v>9</v>
      </c>
      <c r="DC13" s="162">
        <f t="shared" ca="1" si="6"/>
        <v>10</v>
      </c>
      <c r="DD13" s="161">
        <f t="shared" ca="1" si="6"/>
        <v>11</v>
      </c>
      <c r="DE13" s="161">
        <f t="shared" ref="DE13:DS13" ca="1" si="7">OFFSET(DE13,0,-1)+1</f>
        <v>12</v>
      </c>
      <c r="DF13" s="161">
        <f t="shared" ca="1" si="7"/>
        <v>13</v>
      </c>
      <c r="DG13" s="161">
        <f t="shared" ca="1" si="7"/>
        <v>14</v>
      </c>
      <c r="DH13" s="161">
        <f t="shared" ca="1" si="7"/>
        <v>15</v>
      </c>
      <c r="DI13" s="161">
        <f t="shared" ca="1" si="7"/>
        <v>16</v>
      </c>
      <c r="DJ13" s="161">
        <f t="shared" ca="1" si="7"/>
        <v>17</v>
      </c>
      <c r="DK13" s="162">
        <f t="shared" ca="1" si="7"/>
        <v>18</v>
      </c>
      <c r="DL13" s="161">
        <f t="shared" ca="1" si="7"/>
        <v>19</v>
      </c>
      <c r="DM13" s="161">
        <f t="shared" ca="1" si="7"/>
        <v>20</v>
      </c>
      <c r="DN13" s="161">
        <f t="shared" ca="1" si="7"/>
        <v>21</v>
      </c>
      <c r="DO13" s="161">
        <f t="shared" ca="1" si="7"/>
        <v>22</v>
      </c>
      <c r="DP13" s="161">
        <f t="shared" ca="1" si="7"/>
        <v>23</v>
      </c>
      <c r="DQ13" s="161">
        <f t="shared" ca="1" si="7"/>
        <v>24</v>
      </c>
      <c r="DR13" s="161">
        <f t="shared" ca="1" si="7"/>
        <v>25</v>
      </c>
      <c r="DS13" s="162">
        <f t="shared" ca="1" si="7"/>
        <v>26</v>
      </c>
    </row>
    <row r="14" spans="1:123" ht="12.75" hidden="1" x14ac:dyDescent="0.2">
      <c r="A14" s="7">
        <f ca="1">IFERROR(IF(AUTOEVENTO="Manual",IF(K14&lt;&gt;"",MIN(VALUE(LEFT(K14,FIND(".",K14)-1)),COUNTA(EVENTOS.Lista)),0),IF(OR($B14&gt;AUTOEVENTO,$B14="S",$B14=0),SUBSTITUTE(OFFSET($A14,-1,0),IF($D14="Serviço",".",""),""),$L14&amp;".")),0)</f>
        <v>0</v>
      </c>
      <c r="B14" s="7">
        <f ca="1">OFFSET(ORÇAMENTO!C$15,$L14,0)</f>
        <v>1</v>
      </c>
      <c r="C14" s="7" t="str">
        <f ca="1">OFFSET(ORÇAMENTO!L$15,$L14,0)</f>
        <v>F</v>
      </c>
      <c r="D14" s="116" t="str">
        <f ca="1">OFFSET(ORÇAMENTO!N$15,$L14,0)</f>
        <v>Meta</v>
      </c>
      <c r="E14" s="117" t="str">
        <f ca="1">OFFSET(ORÇAMENTO!O$15,$L14,0)</f>
        <v>1.</v>
      </c>
      <c r="F14" s="163" t="str">
        <f ca="1">OFFSET(ORÇAMENTO!R$15,$L14,0)</f>
        <v>SERVIÇOS PRELIMINARES</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Q$1=1)*ROUND(Q14:AQ14,15))),"►S",IF(AND(COUNTIF($P$11:$AQ$11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A14" s="169"/>
      <c r="AB14" s="169"/>
      <c r="AC14" s="169"/>
      <c r="AD14" s="169"/>
      <c r="AE14" s="169"/>
      <c r="AF14" s="169"/>
      <c r="AG14" s="169"/>
      <c r="AH14" s="170"/>
      <c r="AI14" s="169"/>
      <c r="AJ14" s="169"/>
      <c r="AK14" s="169"/>
      <c r="AL14" s="169"/>
      <c r="AM14" s="169"/>
      <c r="AN14" s="169"/>
      <c r="AO14" s="169"/>
      <c r="AP14" s="170"/>
      <c r="AR14" s="453">
        <f ca="1">IF(AND($D14="Serviço",AR$12&lt;&gt;0,$H14&gt;0,OR(AUTOEVENTO&lt;&gt;"manual",$M14&lt;&gt;$A$15)),
        IF(Import.TipoArredondamento&lt;&gt;"TransfereGOV",
              ROUND(OFFSET($P14,0,AR$13),15-13*ORÇAMENTO!$AF$7)/$H14*OFFSET(ORÇAMENTO!$X$15,ROW(AR14)-ROW(AR$15),0),
              ROUND(ROUND(OFFSET($P14,0,AR$13),15-13*ORÇAMENTO!$AF$7)*OFFSET(ORÇAMENTO!$W$15,ROW(AR14)-ROW(AR$15),0),15-13*ORÇAMENTO!$AF$11)),
         0)</f>
        <v>0</v>
      </c>
      <c r="AS14" s="453">
        <f ca="1">IF(AND($D14="Serviço",AS$12&lt;&gt;0,$H14&gt;0,OR(AUTOEVENTO&lt;&gt;"manual",$M14&lt;&gt;$A$15)),
        IF(Import.TipoArredondamento&lt;&gt;"TransfereGOV",
              ROUND(OFFSET($P14,0,AS$13),15-13*ORÇAMENTO!$AF$7)/$H14*OFFSET(ORÇAMENTO!$X$15,ROW(AS14)-ROW(AS$15),0),
              ROUND(ROUND(OFFSET($P14,0,AS$13),15-13*ORÇAMENTO!$AF$7)*OFFSET(ORÇAMENTO!$W$15,ROW(AS14)-ROW(AS$15),0),15-13*ORÇAMENTO!$AF$11)),
         0)</f>
        <v>0</v>
      </c>
      <c r="AT14" s="453">
        <f ca="1">IF(AND($D14="Serviço",AT$12&lt;&gt;0,$H14&gt;0,OR(AUTOEVENTO&lt;&gt;"manual",$M14&lt;&gt;$A$15)),
        IF(Import.TipoArredondamento&lt;&gt;"TransfereGOV",
              ROUND(OFFSET($P14,0,AT$13),15-13*ORÇAMENTO!$AF$7)/$H14*OFFSET(ORÇAMENTO!$X$15,ROW(AT14)-ROW(AT$15),0),
              ROUND(ROUND(OFFSET($P14,0,AT$13),15-13*ORÇAMENTO!$AF$7)*OFFSET(ORÇAMENTO!$W$15,ROW(AT14)-ROW(AT$15),0),15-13*ORÇAMENTO!$AF$11)),
         0)</f>
        <v>0</v>
      </c>
      <c r="AU14" s="453">
        <f ca="1">IF(AND($D14="Serviço",AU$12&lt;&gt;0,$H14&gt;0,OR(AUTOEVENTO&lt;&gt;"manual",$M14&lt;&gt;$A$15)),
        IF(Import.TipoArredondamento&lt;&gt;"TransfereGOV",
              ROUND(OFFSET($P14,0,AU$13),15-13*ORÇAMENTO!$AF$7)/$H14*OFFSET(ORÇAMENTO!$X$15,ROW(AU14)-ROW(AU$15),0),
              ROUND(ROUND(OFFSET($P14,0,AU$13),15-13*ORÇAMENTO!$AF$7)*OFFSET(ORÇAMENTO!$W$15,ROW(AU14)-ROW(AU$15),0),15-13*ORÇAMENTO!$AF$11)),
         0)</f>
        <v>0</v>
      </c>
      <c r="AV14" s="453">
        <f ca="1">IF(AND($D14="Serviço",AV$12&lt;&gt;0,$H14&gt;0,OR(AUTOEVENTO&lt;&gt;"manual",$M14&lt;&gt;$A$15)),
        IF(Import.TipoArredondamento&lt;&gt;"TransfereGOV",
              ROUND(OFFSET($P14,0,AV$13),15-13*ORÇAMENTO!$AF$7)/$H14*OFFSET(ORÇAMENTO!$X$15,ROW(AV14)-ROW(AV$15),0),
              ROUND(ROUND(OFFSET($P14,0,AV$13),15-13*ORÇAMENTO!$AF$7)*OFFSET(ORÇAMENTO!$W$15,ROW(AV14)-ROW(AV$15),0),15-13*ORÇAMENTO!$AF$11)),
         0)</f>
        <v>0</v>
      </c>
      <c r="AW14" s="453">
        <f ca="1">IF(AND($D14="Serviço",AW$12&lt;&gt;0,$H14&gt;0,OR(AUTOEVENTO&lt;&gt;"manual",$M14&lt;&gt;$A$15)),
        IF(Import.TipoArredondamento&lt;&gt;"TransfereGOV",
              ROUND(OFFSET($P14,0,AW$13),15-13*ORÇAMENTO!$AF$7)/$H14*OFFSET(ORÇAMENTO!$X$15,ROW(AW14)-ROW(AW$15),0),
              ROUND(ROUND(OFFSET($P14,0,AW$13),15-13*ORÇAMENTO!$AF$7)*OFFSET(ORÇAMENTO!$W$15,ROW(AW14)-ROW(AW$15),0),15-13*ORÇAMENTO!$AF$11)),
         0)</f>
        <v>0</v>
      </c>
      <c r="AX14" s="453">
        <f ca="1">IF(AND($D14="Serviço",AX$12&lt;&gt;0,$H14&gt;0,OR(AUTOEVENTO&lt;&gt;"manual",$M14&lt;&gt;$A$15)),
        IF(Import.TipoArredondamento&lt;&gt;"TransfereGOV",
              ROUND(OFFSET($P14,0,AX$13),15-13*ORÇAMENTO!$AF$7)/$H14*OFFSET(ORÇAMENTO!$X$15,ROW(AX14)-ROW(AX$15),0),
              ROUND(ROUND(OFFSET($P14,0,AX$13),15-13*ORÇAMENTO!$AF$7)*OFFSET(ORÇAMENTO!$W$15,ROW(AX14)-ROW(AX$15),0),15-13*ORÇAMENTO!$AF$11)),
         0)</f>
        <v>0</v>
      </c>
      <c r="AY14" s="453">
        <f ca="1">IF(AND($D14="Serviço",AY$12&lt;&gt;0,$H14&gt;0,OR(AUTOEVENTO&lt;&gt;"manual",$M14&lt;&gt;$A$15)),
        IF(Import.TipoArredondamento&lt;&gt;"TransfereGOV",
              ROUND(OFFSET($P14,0,AY$13),15-13*ORÇAMENTO!$AF$7)/$H14*OFFSET(ORÇAMENTO!$X$15,ROW(AY14)-ROW(AY$15),0),
              ROUND(ROUND(OFFSET($P14,0,AY$13),15-13*ORÇAMENTO!$AF$7)*OFFSET(ORÇAMENTO!$W$15,ROW(AY14)-ROW(AY$15),0),15-13*ORÇAMENTO!$AF$11)),
         0)</f>
        <v>0</v>
      </c>
      <c r="AZ14" s="453">
        <f ca="1">IF(AND($D14="Serviço",AZ$12&lt;&gt;0,$H14&gt;0,OR(AUTOEVENTO&lt;&gt;"manual",$M14&lt;&gt;$A$15)),
        IF(Import.TipoArredondamento&lt;&gt;"TransfereGOV",
              ROUND(OFFSET($P14,0,AZ$13),15-13*ORÇAMENTO!$AF$7)/$H14*OFFSET(ORÇAMENTO!$X$15,ROW(AZ14)-ROW(AZ$15),0),
              ROUND(ROUND(OFFSET($P14,0,AZ$13),15-13*ORÇAMENTO!$AF$7)*OFFSET(ORÇAMENTO!$W$15,ROW(AZ14)-ROW(AZ$15),0),15-13*ORÇAMENTO!$AF$11)),
         0)</f>
        <v>0</v>
      </c>
      <c r="BA14" s="453">
        <f ca="1">IF(AND($D14="Serviço",BA$12&lt;&gt;0,$H14&gt;0,OR(AUTOEVENTO&lt;&gt;"manual",$M14&lt;&gt;$A$15)),
        IF(Import.TipoArredondamento&lt;&gt;"TransfereGOV",
              ROUND(OFFSET($P14,0,BA$13),15-13*ORÇAMENTO!$AF$7)/$H14*OFFSET(ORÇAMENTO!$X$15,ROW(BA14)-ROW(BA$15),0),
              ROUND(ROUND(OFFSET($P14,0,BA$13),15-13*ORÇAMENTO!$AF$7)*OFFSET(ORÇAMENTO!$W$15,ROW(BA14)-ROW(BA$15),0),15-13*ORÇAMENTO!$AF$11)),
         0)</f>
        <v>0</v>
      </c>
      <c r="BB14" s="453">
        <f ca="1">IF(AND($D14="Serviço",BB$12&lt;&gt;0,$H14&gt;0,OR(AUTOEVENTO&lt;&gt;"manual",$M14&lt;&gt;$A$15)),
        IF(Import.TipoArredondamento&lt;&gt;"TransfereGOV",
              ROUND(OFFSET($P14,0,BB$13),15-13*ORÇAMENTO!$AF$7)/$H14*OFFSET(ORÇAMENTO!$X$15,ROW(BB14)-ROW(BB$15),0),
              ROUND(ROUND(OFFSET($P14,0,BB$13),15-13*ORÇAMENTO!$AF$7)*OFFSET(ORÇAMENTO!$W$15,ROW(BB14)-ROW(BB$15),0),15-13*ORÇAMENTO!$AF$11)),
         0)</f>
        <v>0</v>
      </c>
      <c r="BC14" s="453">
        <f ca="1">IF(AND($D14="Serviço",BC$12&lt;&gt;0,$H14&gt;0,OR(AUTOEVENTO&lt;&gt;"manual",$M14&lt;&gt;$A$15)),
        IF(Import.TipoArredondamento&lt;&gt;"TransfereGOV",
              ROUND(OFFSET($P14,0,BC$13),15-13*ORÇAMENTO!$AF$7)/$H14*OFFSET(ORÇAMENTO!$X$15,ROW(BC14)-ROW(BC$15),0),
              ROUND(ROUND(OFFSET($P14,0,BC$13),15-13*ORÇAMENTO!$AF$7)*OFFSET(ORÇAMENTO!$W$15,ROW(BC14)-ROW(BC$15),0),15-13*ORÇAMENTO!$AF$11)),
         0)</f>
        <v>0</v>
      </c>
      <c r="BD14" s="453">
        <f ca="1">IF(AND($D14="Serviço",BD$12&lt;&gt;0,$H14&gt;0,OR(AUTOEVENTO&lt;&gt;"manual",$M14&lt;&gt;$A$15)),
        IF(Import.TipoArredondamento&lt;&gt;"TransfereGOV",
              ROUND(OFFSET($P14,0,BD$13),15-13*ORÇAMENTO!$AF$7)/$H14*OFFSET(ORÇAMENTO!$X$15,ROW(BD14)-ROW(BD$15),0),
              ROUND(ROUND(OFFSET($P14,0,BD$13),15-13*ORÇAMENTO!$AF$7)*OFFSET(ORÇAMENTO!$W$15,ROW(BD14)-ROW(BD$15),0),15-13*ORÇAMENTO!$AF$11)),
         0)</f>
        <v>0</v>
      </c>
      <c r="BE14" s="453">
        <f ca="1">IF(AND($D14="Serviço",BE$12&lt;&gt;0,$H14&gt;0,OR(AUTOEVENTO&lt;&gt;"manual",$M14&lt;&gt;$A$15)),
        IF(Import.TipoArredondamento&lt;&gt;"TransfereGOV",
              ROUND(OFFSET($P14,0,BE$13),15-13*ORÇAMENTO!$AF$7)/$H14*OFFSET(ORÇAMENTO!$X$15,ROW(BE14)-ROW(BE$15),0),
              ROUND(ROUND(OFFSET($P14,0,BE$13),15-13*ORÇAMENTO!$AF$7)*OFFSET(ORÇAMENTO!$W$15,ROW(BE14)-ROW(BE$15),0),15-13*ORÇAMENTO!$AF$11)),
         0)</f>
        <v>0</v>
      </c>
      <c r="BF14" s="453">
        <f ca="1">IF(AND($D14="Serviço",BF$12&lt;&gt;0,$H14&gt;0,OR(AUTOEVENTO&lt;&gt;"manual",$M14&lt;&gt;$A$15)),
        IF(Import.TipoArredondamento&lt;&gt;"TransfereGOV",
              ROUND(OFFSET($P14,0,BF$13),15-13*ORÇAMENTO!$AF$7)/$H14*OFFSET(ORÇAMENTO!$X$15,ROW(BF14)-ROW(BF$15),0),
              ROUND(ROUND(OFFSET($P14,0,BF$13),15-13*ORÇAMENTO!$AF$7)*OFFSET(ORÇAMENTO!$W$15,ROW(BF14)-ROW(BF$15),0),15-13*ORÇAMENTO!$AF$11)),
         0)</f>
        <v>0</v>
      </c>
      <c r="BG14" s="453">
        <f ca="1">IF(AND($D14="Serviço",BG$12&lt;&gt;0,$H14&gt;0,OR(AUTOEVENTO&lt;&gt;"manual",$M14&lt;&gt;$A$15)),
        IF(Import.TipoArredondamento&lt;&gt;"TransfereGOV",
              ROUND(OFFSET($P14,0,BG$13),15-13*ORÇAMENTO!$AF$7)/$H14*OFFSET(ORÇAMENTO!$X$15,ROW(BG14)-ROW(BG$15),0),
              ROUND(ROUND(OFFSET($P14,0,BG$13),15-13*ORÇAMENTO!$AF$7)*OFFSET(ORÇAMENTO!$W$15,ROW(BG14)-ROW(BG$15),0),15-13*ORÇAMENTO!$AF$11)),
         0)</f>
        <v>0</v>
      </c>
      <c r="BH14" s="453">
        <f ca="1">IF(AND($D14="Serviço",BH$12&lt;&gt;0,$H14&gt;0,OR(AUTOEVENTO&lt;&gt;"manual",$M14&lt;&gt;$A$15)),
        IF(Import.TipoArredondamento&lt;&gt;"TransfereGOV",
              ROUND(OFFSET($P14,0,BH$13),15-13*ORÇAMENTO!$AF$7)/$H14*OFFSET(ORÇAMENTO!$X$15,ROW(BH14)-ROW(BH$15),0),
              ROUND(ROUND(OFFSET($P14,0,BH$13),15-13*ORÇAMENTO!$AF$7)*OFFSET(ORÇAMENTO!$W$15,ROW(BH14)-ROW(BH$15),0),15-13*ORÇAMENTO!$AF$11)),
         0)</f>
        <v>0</v>
      </c>
      <c r="BI14" s="453">
        <f ca="1">IF(AND($D14="Serviço",BI$12&lt;&gt;0,$H14&gt;0,OR(AUTOEVENTO&lt;&gt;"manual",$M14&lt;&gt;$A$15)),
        IF(Import.TipoArredondamento&lt;&gt;"TransfereGOV",
              ROUND(OFFSET($P14,0,BI$13),15-13*ORÇAMENTO!$AF$7)/$H14*OFFSET(ORÇAMENTO!$X$15,ROW(BI14)-ROW(BI$15),0),
              ROUND(ROUND(OFFSET($P14,0,BI$13),15-13*ORÇAMENTO!$AF$7)*OFFSET(ORÇAMENTO!$W$15,ROW(BI14)-ROW(BI$15),0),15-13*ORÇAMENTO!$AF$11)),
         0)</f>
        <v>0</v>
      </c>
      <c r="BJ14" s="453">
        <f ca="1">IF(AND($D14="Serviço",BJ$12&lt;&gt;0,$H14&gt;0,OR(AUTOEVENTO&lt;&gt;"manual",$M14&lt;&gt;$A$15)),
        IF(Import.TipoArredondamento&lt;&gt;"TransfereGOV",
              ROUND(OFFSET($P14,0,BJ$13),15-13*ORÇAMENTO!$AF$7)/$H14*OFFSET(ORÇAMENTO!$X$15,ROW(BJ14)-ROW(BJ$15),0),
              ROUND(ROUND(OFFSET($P14,0,BJ$13),15-13*ORÇAMENTO!$AF$7)*OFFSET(ORÇAMENTO!$W$15,ROW(BJ14)-ROW(BJ$15),0),15-13*ORÇAMENTO!$AF$11)),
         0)</f>
        <v>0</v>
      </c>
      <c r="BK14" s="453">
        <f ca="1">IF(AND($D14="Serviço",BK$12&lt;&gt;0,$H14&gt;0,OR(AUTOEVENTO&lt;&gt;"manual",$M14&lt;&gt;$A$15)),
        IF(Import.TipoArredondamento&lt;&gt;"TransfereGOV",
              ROUND(OFFSET($P14,0,BK$13),15-13*ORÇAMENTO!$AF$7)/$H14*OFFSET(ORÇAMENTO!$X$15,ROW(BK14)-ROW(BK$15),0),
              ROUND(ROUND(OFFSET($P14,0,BK$13),15-13*ORÇAMENTO!$AF$7)*OFFSET(ORÇAMENTO!$W$15,ROW(BK14)-ROW(BK$15),0),15-13*ORÇAMENTO!$AF$11)),
         0)</f>
        <v>0</v>
      </c>
      <c r="BL14" s="453">
        <f ca="1">IF(AND($D14="Serviço",BL$12&lt;&gt;0,$H14&gt;0,OR(AUTOEVENTO&lt;&gt;"manual",$M14&lt;&gt;$A$15)),
        IF(Import.TipoArredondamento&lt;&gt;"TransfereGOV",
              ROUND(OFFSET($P14,0,BL$13),15-13*ORÇAMENTO!$AF$7)/$H14*OFFSET(ORÇAMENTO!$X$15,ROW(BL14)-ROW(BL$15),0),
              ROUND(ROUND(OFFSET($P14,0,BL$13),15-13*ORÇAMENTO!$AF$7)*OFFSET(ORÇAMENTO!$W$15,ROW(BL14)-ROW(BL$15),0),15-13*ORÇAMENTO!$AF$11)),
         0)</f>
        <v>0</v>
      </c>
      <c r="BM14" s="453">
        <f ca="1">IF(AND($D14="Serviço",BM$12&lt;&gt;0,$H14&gt;0,OR(AUTOEVENTO&lt;&gt;"manual",$M14&lt;&gt;$A$15)),
        IF(Import.TipoArredondamento&lt;&gt;"TransfereGOV",
              ROUND(OFFSET($P14,0,BM$13),15-13*ORÇAMENTO!$AF$7)/$H14*OFFSET(ORÇAMENTO!$X$15,ROW(BM14)-ROW(BM$15),0),
              ROUND(ROUND(OFFSET($P14,0,BM$13),15-13*ORÇAMENTO!$AF$7)*OFFSET(ORÇAMENTO!$W$15,ROW(BM14)-ROW(BM$15),0),15-13*ORÇAMENTO!$AF$11)),
         0)</f>
        <v>0</v>
      </c>
      <c r="BN14" s="453">
        <f ca="1">IF(AND($D14="Serviço",BN$12&lt;&gt;0,$H14&gt;0,OR(AUTOEVENTO&lt;&gt;"manual",$M14&lt;&gt;$A$15)),
        IF(Import.TipoArredondamento&lt;&gt;"TransfereGOV",
              ROUND(OFFSET($P14,0,BN$13),15-13*ORÇAMENTO!$AF$7)/$H14*OFFSET(ORÇAMENTO!$X$15,ROW(BN14)-ROW(BN$15),0),
              ROUND(ROUND(OFFSET($P14,0,BN$13),15-13*ORÇAMENTO!$AF$7)*OFFSET(ORÇAMENTO!$W$15,ROW(BN14)-ROW(BN$15),0),15-13*ORÇAMENTO!$AF$11)),
         0)</f>
        <v>0</v>
      </c>
      <c r="BO14" s="453">
        <f ca="1">IF(AND($D14="Serviço",BO$12&lt;&gt;0,$H14&gt;0,OR(AUTOEVENTO&lt;&gt;"manual",$M14&lt;&gt;$A$15)),
        IF(Import.TipoArredondamento&lt;&gt;"TransfereGOV",
              ROUND(OFFSET($P14,0,BO$13),15-13*ORÇAMENTO!$AF$7)/$H14*OFFSET(ORÇAMENTO!$X$15,ROW(BO14)-ROW(BO$15),0),
              ROUND(ROUND(OFFSET($P14,0,BO$13),15-13*ORÇAMENTO!$AF$7)*OFFSET(ORÇAMENTO!$W$15,ROW(BO14)-ROW(BO$15),0),15-13*ORÇAMENTO!$AF$11)),
         0)</f>
        <v>0</v>
      </c>
      <c r="BP14" s="453">
        <f ca="1">IF(AND($D14="Serviço",BP$12&lt;&gt;0,$H14&gt;0,OR(AUTOEVENTO&lt;&gt;"manual",$M14&lt;&gt;$A$15)),
        IF(Import.TipoArredondamento&lt;&gt;"TransfereGOV",
              ROUND(OFFSET($P14,0,BP$13),15-13*ORÇAMENTO!$AF$7)/$H14*OFFSET(ORÇAMENTO!$X$15,ROW(BP14)-ROW(BP$15),0),
              ROUND(ROUND(OFFSET($P14,0,BP$13),15-13*ORÇAMENTO!$AF$7)*OFFSET(ORÇAMENTO!$W$15,ROW(BP14)-ROW(BP$15),0),15-13*ORÇAMENTO!$AF$11)),
         0)</f>
        <v>0</v>
      </c>
      <c r="BQ14" s="453">
        <f ca="1">IF(AND($D14="Serviço",BQ$12&lt;&gt;0,$H14&gt;0,OR(AUTOEVENTO&lt;&gt;"manual",$M14&lt;&gt;$A$15)),
        IF(Import.TipoArredondamento&lt;&gt;"TransfereGOV",
              ROUND(OFFSET($P14,0,BQ$13),15-13*ORÇAMENTO!$AF$7)/$H14*OFFSET(ORÇAMENTO!$X$15,ROW(BQ14)-ROW(BQ$15),0),
              ROUND(ROUND(OFFSET($P14,0,BQ$13),15-13*ORÇAMENTO!$AF$7)*OFFSET(ORÇAMENTO!$W$15,ROW(BQ14)-ROW(BQ$15),0),15-13*ORÇAMENTO!$AF$11)),
         0)</f>
        <v>0</v>
      </c>
      <c r="BS14" s="171">
        <f ca="1">IF(OR($D14&lt;&gt;"Serviço",AND(AUTOEVENTO="Manual",$M14=$A$15)),0,
         IF(OFFSET(CRONOPLE!$F$15,$M14-$A$15,BS$13)=0,10^12,OFFSET(CRONOPLE!$F$15,$M14-$A$15,BS$13)))</f>
        <v>0</v>
      </c>
      <c r="BT14" s="171">
        <f ca="1">IF(OR($D14&lt;&gt;"Serviço",AND(AUTOEVENTO="Manual",$M14=$A$15)),0,
         IF(OFFSET(CRONOPLE!$F$15,$M14-$A$15,BT$13)=0,10^12,OFFSET(CRONOPLE!$F$15,$M14-$A$15,BT$13)))</f>
        <v>0</v>
      </c>
      <c r="BU14" s="171">
        <f ca="1">IF(OR($D14&lt;&gt;"Serviço",AND(AUTOEVENTO="Manual",$M14=$A$15)),0,
         IF(OFFSET(CRONOPLE!$F$15,$M14-$A$15,BU$13)=0,10^12,OFFSET(CRONOPLE!$F$15,$M14-$A$15,BU$13)))</f>
        <v>0</v>
      </c>
      <c r="BV14" s="171">
        <f ca="1">IF(OR($D14&lt;&gt;"Serviço",AND(AUTOEVENTO="Manual",$M14=$A$15)),0,
         IF(OFFSET(CRONOPLE!$F$15,$M14-$A$15,BV$13)=0,10^12,OFFSET(CRONOPLE!$F$15,$M14-$A$15,BV$13)))</f>
        <v>0</v>
      </c>
      <c r="BW14" s="171">
        <f ca="1">IF(OR($D14&lt;&gt;"Serviço",AND(AUTOEVENTO="Manual",$M14=$A$15)),0,
         IF(OFFSET(CRONOPLE!$F$15,$M14-$A$15,BW$13)=0,10^12,OFFSET(CRONOPLE!$F$15,$M14-$A$15,BW$13)))</f>
        <v>0</v>
      </c>
      <c r="BX14" s="171">
        <f ca="1">IF(OR($D14&lt;&gt;"Serviço",AND(AUTOEVENTO="Manual",$M14=$A$15)),0,
         IF(OFFSET(CRONOPLE!$F$15,$M14-$A$15,BX$13)=0,10^12,OFFSET(CRONOPLE!$F$15,$M14-$A$15,BX$13)))</f>
        <v>0</v>
      </c>
      <c r="BY14" s="171">
        <f ca="1">IF(OR($D14&lt;&gt;"Serviço",AND(AUTOEVENTO="Manual",$M14=$A$15)),0,
         IF(OFFSET(CRONOPLE!$F$15,$M14-$A$15,BY$13)=0,10^12,OFFSET(CRONOPLE!$F$15,$M14-$A$15,BY$13)))</f>
        <v>0</v>
      </c>
      <c r="BZ14" s="171">
        <f ca="1">IF(OR($D14&lt;&gt;"Serviço",AND(AUTOEVENTO="Manual",$M14=$A$15)),0,
         IF(OFFSET(CRONOPLE!$F$15,$M14-$A$15,BZ$13)=0,10^12,OFFSET(CRONOPLE!$F$15,$M14-$A$15,BZ$13)))</f>
        <v>0</v>
      </c>
      <c r="CA14" s="171">
        <f ca="1">IF(OR($D14&lt;&gt;"Serviço",AND(AUTOEVENTO="Manual",$M14=$A$15)),0,
         IF(OFFSET(CRONOPLE!$F$15,$M14-$A$15,CA$13)=0,10^12,OFFSET(CRONOPLE!$F$15,$M14-$A$15,CA$13)))</f>
        <v>0</v>
      </c>
      <c r="CB14" s="171">
        <f ca="1">IF(OR($D14&lt;&gt;"Serviço",AND(AUTOEVENTO="Manual",$M14=$A$15)),0,
         IF(OFFSET(CRONOPLE!$F$15,$M14-$A$15,CB$13)=0,10^12,OFFSET(CRONOPLE!$F$15,$M14-$A$15,CB$13)))</f>
        <v>0</v>
      </c>
      <c r="CC14" s="171">
        <f ca="1">IF(OR($D14&lt;&gt;"Serviço",AND(AUTOEVENTO="Manual",$M14=$A$15)),0,
         IF(OFFSET(CRONOPLE!$F$15,$M14-$A$15,CC$13)=0,10^12,OFFSET(CRONOPLE!$F$15,$M14-$A$15,CC$13)))</f>
        <v>0</v>
      </c>
      <c r="CD14" s="171">
        <f ca="1">IF(OR($D14&lt;&gt;"Serviço",AND(AUTOEVENTO="Manual",$M14=$A$15)),0,
         IF(OFFSET(CRONOPLE!$F$15,$M14-$A$15,CD$13)=0,10^12,OFFSET(CRONOPLE!$F$15,$M14-$A$15,CD$13)))</f>
        <v>0</v>
      </c>
      <c r="CE14" s="171">
        <f ca="1">IF(OR($D14&lt;&gt;"Serviço",AND(AUTOEVENTO="Manual",$M14=$A$15)),0,
         IF(OFFSET(CRONOPLE!$F$15,$M14-$A$15,CE$13)=0,10^12,OFFSET(CRONOPLE!$F$15,$M14-$A$15,CE$13)))</f>
        <v>0</v>
      </c>
      <c r="CF14" s="171">
        <f ca="1">IF(OR($D14&lt;&gt;"Serviço",AND(AUTOEVENTO="Manual",$M14=$A$15)),0,
         IF(OFFSET(CRONOPLE!$F$15,$M14-$A$15,CF$13)=0,10^12,OFFSET(CRONOPLE!$F$15,$M14-$A$15,CF$13)))</f>
        <v>0</v>
      </c>
      <c r="CG14" s="171">
        <f ca="1">IF(OR($D14&lt;&gt;"Serviço",AND(AUTOEVENTO="Manual",$M14=$A$15)),0,
         IF(OFFSET(CRONOPLE!$F$15,$M14-$A$15,CG$13)=0,10^12,OFFSET(CRONOPLE!$F$15,$M14-$A$15,CG$13)))</f>
        <v>0</v>
      </c>
      <c r="CH14" s="171">
        <f ca="1">IF(OR($D14&lt;&gt;"Serviço",AND(AUTOEVENTO="Manual",$M14=$A$15)),0,
         IF(OFFSET(CRONOPLE!$F$15,$M14-$A$15,CH$13)=0,10^12,OFFSET(CRONOPLE!$F$15,$M14-$A$15,CH$13)))</f>
        <v>0</v>
      </c>
      <c r="CI14" s="171">
        <f ca="1">IF(OR($D14&lt;&gt;"Serviço",AND(AUTOEVENTO="Manual",$M14=$A$15)),0,
         IF(OFFSET(CRONOPLE!$F$15,$M14-$A$15,CI$13)=0,10^12,OFFSET(CRONOPLE!$F$15,$M14-$A$15,CI$13)))</f>
        <v>0</v>
      </c>
      <c r="CJ14" s="171">
        <f ca="1">IF(OR($D14&lt;&gt;"Serviço",AND(AUTOEVENTO="Manual",$M14=$A$15)),0,
         IF(OFFSET(CRONOPLE!$F$15,$M14-$A$15,CJ$13)=0,10^12,OFFSET(CRONOPLE!$F$15,$M14-$A$15,CJ$13)))</f>
        <v>0</v>
      </c>
      <c r="CK14" s="171">
        <f ca="1">IF(OR($D14&lt;&gt;"Serviço",AND(AUTOEVENTO="Manual",$M14=$A$15)),0,
         IF(OFFSET(CRONOPLE!$F$15,$M14-$A$15,CK$13)=0,10^12,OFFSET(CRONOPLE!$F$15,$M14-$A$15,CK$13)))</f>
        <v>0</v>
      </c>
      <c r="CL14" s="171">
        <f ca="1">IF(OR($D14&lt;&gt;"Serviço",AND(AUTOEVENTO="Manual",$M14=$A$15)),0,
         IF(OFFSET(CRONOPLE!$F$15,$M14-$A$15,CL$13)=0,10^12,OFFSET(CRONOPLE!$F$15,$M14-$A$15,CL$13)))</f>
        <v>0</v>
      </c>
      <c r="CM14" s="171">
        <f ca="1">IF(OR($D14&lt;&gt;"Serviço",AND(AUTOEVENTO="Manual",$M14=$A$15)),0,
         IF(OFFSET(CRONOPLE!$F$15,$M14-$A$15,CM$13)=0,10^12,OFFSET(CRONOPLE!$F$15,$M14-$A$15,CM$13)))</f>
        <v>0</v>
      </c>
      <c r="CN14" s="171">
        <f ca="1">IF(OR($D14&lt;&gt;"Serviço",AND(AUTOEVENTO="Manual",$M14=$A$15)),0,
         IF(OFFSET(CRONOPLE!$F$15,$M14-$A$15,CN$13)=0,10^12,OFFSET(CRONOPLE!$F$15,$M14-$A$15,CN$13)))</f>
        <v>0</v>
      </c>
      <c r="CO14" s="171">
        <f ca="1">IF(OR($D14&lt;&gt;"Serviço",AND(AUTOEVENTO="Manual",$M14=$A$15)),0,
         IF(OFFSET(CRONOPLE!$F$15,$M14-$A$15,CO$13)=0,10^12,OFFSET(CRONOPLE!$F$15,$M14-$A$15,CO$13)))</f>
        <v>0</v>
      </c>
      <c r="CP14" s="171">
        <f ca="1">IF(OR($D14&lt;&gt;"Serviço",AND(AUTOEVENTO="Manual",$M14=$A$15)),0,
         IF(OFFSET(CRONOPLE!$F$15,$M14-$A$15,CP$13)=0,10^12,OFFSET(CRONOPLE!$F$15,$M14-$A$15,CP$13)))</f>
        <v>0</v>
      </c>
      <c r="CQ14" s="171">
        <f ca="1">IF(OR($D14&lt;&gt;"Serviço",AND(AUTOEVENTO="Manual",$M14=$A$15)),0,
         IF(OFFSET(CRONOPLE!$F$15,$M14-$A$15,CQ$13)=0,10^12,OFFSET(CRONOPLE!$F$15,$M14-$A$15,CQ$13)))</f>
        <v>0</v>
      </c>
      <c r="CR14" s="171">
        <f ca="1">IF(OR($D14&lt;&gt;"Serviço",AND(AUTOEVENTO="Manual",$M14=$A$15)),0,
         IF(OFFSET(CRONOPLE!$F$15,$M14-$A$15,CR$13)=0,10^12,OFFSET(CRONOPLE!$F$15,$M14-$A$15,CR$13)))</f>
        <v>0</v>
      </c>
      <c r="CT14" s="172" cm="1">
        <f t="array" aca="1" ref="CT14" ca="1">IF(OR($D14&lt;&gt;"Serviço",AND(AUTOEVENTO="Manual",$M14=$A$15),$M14&gt;(ROW(PLE.lastrow)-ROW(PLE.firstrow))),0,
           IF(OFFSET(PLE!$G$15,$M14-$A$15,CT$13)="",10^12,OFFSET(PLE!$G$15,$M14-$A$15,CT$13)))</f>
        <v>0</v>
      </c>
      <c r="CU14" s="172" cm="1">
        <f t="array" aca="1" ref="CU14" ca="1">IF(OR($D14&lt;&gt;"Serviço",AND(AUTOEVENTO="Manual",$M14=$A$15),$M14&gt;(ROW(PLE.lastrow)-ROW(PLE.firstrow))),0,
           IF(OFFSET(PLE!$G$15,$M14-$A$15,CU$13)="",10^12,OFFSET(PLE!$G$15,$M14-$A$15,CU$13)))</f>
        <v>0</v>
      </c>
      <c r="CV14" s="172" cm="1">
        <f t="array" aca="1" ref="CV14" ca="1">IF(OR($D14&lt;&gt;"Serviço",AND(AUTOEVENTO="Manual",$M14=$A$15),$M14&gt;(ROW(PLE.lastrow)-ROW(PLE.firstrow))),0,
           IF(OFFSET(PLE!$G$15,$M14-$A$15,CV$13)="",10^12,OFFSET(PLE!$G$15,$M14-$A$15,CV$13)))</f>
        <v>0</v>
      </c>
      <c r="CW14" s="172" cm="1">
        <f t="array" aca="1" ref="CW14" ca="1">IF(OR($D14&lt;&gt;"Serviço",AND(AUTOEVENTO="Manual",$M14=$A$15),$M14&gt;(ROW(PLE.lastrow)-ROW(PLE.firstrow))),0,
           IF(OFFSET(PLE!$G$15,$M14-$A$15,CW$13)="",10^12,OFFSET(PLE!$G$15,$M14-$A$15,CW$13)))</f>
        <v>0</v>
      </c>
      <c r="CX14" s="172" cm="1">
        <f t="array" aca="1" ref="CX14" ca="1">IF(OR($D14&lt;&gt;"Serviço",AND(AUTOEVENTO="Manual",$M14=$A$15),$M14&gt;(ROW(PLE.lastrow)-ROW(PLE.firstrow))),0,
           IF(OFFSET(PLE!$G$15,$M14-$A$15,CX$13)="",10^12,OFFSET(PLE!$G$15,$M14-$A$15,CX$13)))</f>
        <v>0</v>
      </c>
      <c r="CY14" s="172" cm="1">
        <f t="array" aca="1" ref="CY14" ca="1">IF(OR($D14&lt;&gt;"Serviço",AND(AUTOEVENTO="Manual",$M14=$A$15),$M14&gt;(ROW(PLE.lastrow)-ROW(PLE.firstrow))),0,
           IF(OFFSET(PLE!$G$15,$M14-$A$15,CY$13)="",10^12,OFFSET(PLE!$G$15,$M14-$A$15,CY$13)))</f>
        <v>0</v>
      </c>
      <c r="CZ14" s="172" cm="1">
        <f t="array" aca="1" ref="CZ14" ca="1">IF(OR($D14&lt;&gt;"Serviço",AND(AUTOEVENTO="Manual",$M14=$A$15),$M14&gt;(ROW(PLE.lastrow)-ROW(PLE.firstrow))),0,
           IF(OFFSET(PLE!$G$15,$M14-$A$15,CZ$13)="",10^12,OFFSET(PLE!$G$15,$M14-$A$15,CZ$13)))</f>
        <v>0</v>
      </c>
      <c r="DA14" s="172" cm="1">
        <f t="array" aca="1" ref="DA14" ca="1">IF(OR($D14&lt;&gt;"Serviço",AND(AUTOEVENTO="Manual",$M14=$A$15),$M14&gt;(ROW(PLE.lastrow)-ROW(PLE.firstrow))),0,
           IF(OFFSET(PLE!$G$15,$M14-$A$15,DA$13)="",10^12,OFFSET(PLE!$G$15,$M14-$A$15,DA$13)))</f>
        <v>0</v>
      </c>
      <c r="DB14" s="172" cm="1">
        <f t="array" aca="1" ref="DB14" ca="1">IF(OR($D14&lt;&gt;"Serviço",AND(AUTOEVENTO="Manual",$M14=$A$15),$M14&gt;(ROW(PLE.lastrow)-ROW(PLE.firstrow))),0,
           IF(OFFSET(PLE!$G$15,$M14-$A$15,DB$13)="",10^12,OFFSET(PLE!$G$15,$M14-$A$15,DB$13)))</f>
        <v>0</v>
      </c>
      <c r="DC14" s="172" cm="1">
        <f t="array" aca="1" ref="DC14" ca="1">IF(OR($D14&lt;&gt;"Serviço",AND(AUTOEVENTO="Manual",$M14=$A$15),$M14&gt;(ROW(PLE.lastrow)-ROW(PLE.firstrow))),0,
           IF(OFFSET(PLE!$G$15,$M14-$A$15,DC$13)="",10^12,OFFSET(PLE!$G$15,$M14-$A$15,DC$13)))</f>
        <v>0</v>
      </c>
      <c r="DD14" s="172" cm="1">
        <f t="array" aca="1" ref="DD14" ca="1">IF(OR($D14&lt;&gt;"Serviço",AND(AUTOEVENTO="Manual",$M14=$A$15),$M14&gt;(ROW(PLE.lastrow)-ROW(PLE.firstrow))),0,
           IF(OFFSET(PLE!$G$15,$M14-$A$15,DD$13)="",10^12,OFFSET(PLE!$G$15,$M14-$A$15,DD$13)))</f>
        <v>0</v>
      </c>
      <c r="DE14" s="172" cm="1">
        <f t="array" aca="1" ref="DE14" ca="1">IF(OR($D14&lt;&gt;"Serviço",AND(AUTOEVENTO="Manual",$M14=$A$15),$M14&gt;(ROW(PLE.lastrow)-ROW(PLE.firstrow))),0,
           IF(OFFSET(PLE!$G$15,$M14-$A$15,DE$13)="",10^12,OFFSET(PLE!$G$15,$M14-$A$15,DE$13)))</f>
        <v>0</v>
      </c>
      <c r="DF14" s="172" cm="1">
        <f t="array" aca="1" ref="DF14" ca="1">IF(OR($D14&lt;&gt;"Serviço",AND(AUTOEVENTO="Manual",$M14=$A$15),$M14&gt;(ROW(PLE.lastrow)-ROW(PLE.firstrow))),0,
           IF(OFFSET(PLE!$G$15,$M14-$A$15,DF$13)="",10^12,OFFSET(PLE!$G$15,$M14-$A$15,DF$13)))</f>
        <v>0</v>
      </c>
      <c r="DG14" s="172" cm="1">
        <f t="array" aca="1" ref="DG14" ca="1">IF(OR($D14&lt;&gt;"Serviço",AND(AUTOEVENTO="Manual",$M14=$A$15),$M14&gt;(ROW(PLE.lastrow)-ROW(PLE.firstrow))),0,
           IF(OFFSET(PLE!$G$15,$M14-$A$15,DG$13)="",10^12,OFFSET(PLE!$G$15,$M14-$A$15,DG$13)))</f>
        <v>0</v>
      </c>
      <c r="DH14" s="172" cm="1">
        <f t="array" aca="1" ref="DH14" ca="1">IF(OR($D14&lt;&gt;"Serviço",AND(AUTOEVENTO="Manual",$M14=$A$15),$M14&gt;(ROW(PLE.lastrow)-ROW(PLE.firstrow))),0,
           IF(OFFSET(PLE!$G$15,$M14-$A$15,DH$13)="",10^12,OFFSET(PLE!$G$15,$M14-$A$15,DH$13)))</f>
        <v>0</v>
      </c>
      <c r="DI14" s="172" cm="1">
        <f t="array" aca="1" ref="DI14" ca="1">IF(OR($D14&lt;&gt;"Serviço",AND(AUTOEVENTO="Manual",$M14=$A$15),$M14&gt;(ROW(PLE.lastrow)-ROW(PLE.firstrow))),0,
           IF(OFFSET(PLE!$G$15,$M14-$A$15,DI$13)="",10^12,OFFSET(PLE!$G$15,$M14-$A$15,DI$13)))</f>
        <v>0</v>
      </c>
      <c r="DJ14" s="172" cm="1">
        <f t="array" aca="1" ref="DJ14" ca="1">IF(OR($D14&lt;&gt;"Serviço",AND(AUTOEVENTO="Manual",$M14=$A$15),$M14&gt;(ROW(PLE.lastrow)-ROW(PLE.firstrow))),0,
           IF(OFFSET(PLE!$G$15,$M14-$A$15,DJ$13)="",10^12,OFFSET(PLE!$G$15,$M14-$A$15,DJ$13)))</f>
        <v>0</v>
      </c>
      <c r="DK14" s="172" cm="1">
        <f t="array" aca="1" ref="DK14" ca="1">IF(OR($D14&lt;&gt;"Serviço",AND(AUTOEVENTO="Manual",$M14=$A$15),$M14&gt;(ROW(PLE.lastrow)-ROW(PLE.firstrow))),0,
           IF(OFFSET(PLE!$G$15,$M14-$A$15,DK$13)="",10^12,OFFSET(PLE!$G$15,$M14-$A$15,DK$13)))</f>
        <v>0</v>
      </c>
      <c r="DL14" s="172" cm="1">
        <f t="array" aca="1" ref="DL14" ca="1">IF(OR($D14&lt;&gt;"Serviço",AND(AUTOEVENTO="Manual",$M14=$A$15),$M14&gt;(ROW(PLE.lastrow)-ROW(PLE.firstrow))),0,
           IF(OFFSET(PLE!$G$15,$M14-$A$15,DL$13)="",10^12,OFFSET(PLE!$G$15,$M14-$A$15,DL$13)))</f>
        <v>0</v>
      </c>
      <c r="DM14" s="172" cm="1">
        <f t="array" aca="1" ref="DM14" ca="1">IF(OR($D14&lt;&gt;"Serviço",AND(AUTOEVENTO="Manual",$M14=$A$15),$M14&gt;(ROW(PLE.lastrow)-ROW(PLE.firstrow))),0,
           IF(OFFSET(PLE!$G$15,$M14-$A$15,DM$13)="",10^12,OFFSET(PLE!$G$15,$M14-$A$15,DM$13)))</f>
        <v>0</v>
      </c>
      <c r="DN14" s="172" cm="1">
        <f t="array" aca="1" ref="DN14" ca="1">IF(OR($D14&lt;&gt;"Serviço",AND(AUTOEVENTO="Manual",$M14=$A$15),$M14&gt;(ROW(PLE.lastrow)-ROW(PLE.firstrow))),0,
           IF(OFFSET(PLE!$G$15,$M14-$A$15,DN$13)="",10^12,OFFSET(PLE!$G$15,$M14-$A$15,DN$13)))</f>
        <v>0</v>
      </c>
      <c r="DO14" s="172" cm="1">
        <f t="array" aca="1" ref="DO14" ca="1">IF(OR($D14&lt;&gt;"Serviço",AND(AUTOEVENTO="Manual",$M14=$A$15),$M14&gt;(ROW(PLE.lastrow)-ROW(PLE.firstrow))),0,
           IF(OFFSET(PLE!$G$15,$M14-$A$15,DO$13)="",10^12,OFFSET(PLE!$G$15,$M14-$A$15,DO$13)))</f>
        <v>0</v>
      </c>
      <c r="DP14" s="172" cm="1">
        <f t="array" aca="1" ref="DP14" ca="1">IF(OR($D14&lt;&gt;"Serviço",AND(AUTOEVENTO="Manual",$M14=$A$15),$M14&gt;(ROW(PLE.lastrow)-ROW(PLE.firstrow))),0,
           IF(OFFSET(PLE!$G$15,$M14-$A$15,DP$13)="",10^12,OFFSET(PLE!$G$15,$M14-$A$15,DP$13)))</f>
        <v>0</v>
      </c>
      <c r="DQ14" s="172" cm="1">
        <f t="array" aca="1" ref="DQ14" ca="1">IF(OR($D14&lt;&gt;"Serviço",AND(AUTOEVENTO="Manual",$M14=$A$15),$M14&gt;(ROW(PLE.lastrow)-ROW(PLE.firstrow))),0,
           IF(OFFSET(PLE!$G$15,$M14-$A$15,DQ$13)="",10^12,OFFSET(PLE!$G$15,$M14-$A$15,DQ$13)))</f>
        <v>0</v>
      </c>
      <c r="DR14" s="172" cm="1">
        <f t="array" aca="1" ref="DR14" ca="1">IF(OR($D14&lt;&gt;"Serviço",AND(AUTOEVENTO="Manual",$M14=$A$15),$M14&gt;(ROW(PLE.lastrow)-ROW(PLE.firstrow))),0,
           IF(OFFSET(PLE!$G$15,$M14-$A$15,DR$13)="",10^12,OFFSET(PLE!$G$15,$M14-$A$15,DR$13)))</f>
        <v>0</v>
      </c>
      <c r="DS14" s="172" cm="1">
        <f t="array" aca="1" ref="DS14" ca="1">IF(OR($D14&lt;&gt;"Serviço",AND(AUTOEVENTO="Manual",$M14=$A$15),$M14&gt;(ROW(PLE.lastrow)-ROW(PLE.firstrow))),0,
           IF(OFFSET(PLE!$G$15,$M14-$A$15,DS$13)="",10^12,OFFSET(PLE!$G$15,$M14-$A$15,DS$13)))</f>
        <v>0</v>
      </c>
    </row>
    <row r="15" spans="1:123" ht="12.75" customHeight="1" x14ac:dyDescent="0.2">
      <c r="A15" s="653" cm="1">
        <f t="array" ref="A15">IF(AdmLocal="Automática",1,0)</f>
        <v>0</v>
      </c>
      <c r="B15" s="7" t="str">
        <f ca="1">OFFSET(ORÇAMENTO!C$15,ROW(B15)-ROW(B$15),0)</f>
        <v>L</v>
      </c>
      <c r="C15" s="7" t="str">
        <f ca="1">OFFSET(ORÇAMENTO!L$15,ROW(C15)-ROW(C$15),0)</f>
        <v>F</v>
      </c>
      <c r="D15" s="130" t="str" cm="1">
        <f t="array" ref="D15">IF(TIPOORCAMENTO="LICITADO","CTEF","LOTE")</f>
        <v>LOTE</v>
      </c>
      <c r="E15" s="742" t="str">
        <f>Import.DescLote</f>
        <v>Construção de 20 residencias unifamiliares no Município de Pedro Régis/PB - Novo PAC FNHIS - Sub 50</v>
      </c>
      <c r="F15" s="742"/>
      <c r="G15" s="742"/>
      <c r="H15" s="742"/>
      <c r="I15" s="469"/>
      <c r="J15" s="522"/>
      <c r="K15" s="633"/>
      <c r="L15" s="165">
        <v>0</v>
      </c>
      <c r="M15" s="568">
        <v>0</v>
      </c>
      <c r="N15" s="173" t="s">
        <v>776</v>
      </c>
      <c r="O15" s="174" t="e">
        <f ca="1">OFFSET($AQ$15,0,O$13)</f>
        <v>#VALUE!</v>
      </c>
      <c r="Q15" s="175">
        <f t="shared" ref="Q15:AP15" ca="1" si="8">OFFSET($AQ$15,0,Q$13)</f>
        <v>0</v>
      </c>
      <c r="R15" s="174">
        <f t="shared" ca="1" si="8"/>
        <v>0</v>
      </c>
      <c r="S15" s="174">
        <f t="shared" ca="1" si="8"/>
        <v>0</v>
      </c>
      <c r="T15" s="174">
        <f t="shared" ca="1" si="8"/>
        <v>0</v>
      </c>
      <c r="U15" s="174">
        <f t="shared" ca="1" si="8"/>
        <v>0</v>
      </c>
      <c r="V15" s="174">
        <f t="shared" ca="1" si="8"/>
        <v>0</v>
      </c>
      <c r="W15" s="174">
        <f t="shared" ca="1" si="8"/>
        <v>0</v>
      </c>
      <c r="X15" s="174">
        <f t="shared" ca="1" si="8"/>
        <v>0</v>
      </c>
      <c r="Y15" s="174">
        <f t="shared" ca="1" si="8"/>
        <v>0</v>
      </c>
      <c r="Z15" s="176">
        <f t="shared" ca="1" si="8"/>
        <v>0</v>
      </c>
      <c r="AA15" s="174">
        <f t="shared" ca="1" si="8"/>
        <v>0</v>
      </c>
      <c r="AB15" s="174">
        <f t="shared" ca="1" si="8"/>
        <v>0</v>
      </c>
      <c r="AC15" s="174">
        <f t="shared" ca="1" si="8"/>
        <v>0</v>
      </c>
      <c r="AD15" s="174">
        <f t="shared" ca="1" si="8"/>
        <v>0</v>
      </c>
      <c r="AE15" s="174">
        <f t="shared" ca="1" si="8"/>
        <v>0</v>
      </c>
      <c r="AF15" s="174">
        <f t="shared" ca="1" si="8"/>
        <v>0</v>
      </c>
      <c r="AG15" s="174">
        <f t="shared" ca="1" si="8"/>
        <v>0</v>
      </c>
      <c r="AH15" s="176">
        <f t="shared" ca="1" si="8"/>
        <v>0</v>
      </c>
      <c r="AI15" s="174">
        <f t="shared" ca="1" si="8"/>
        <v>0</v>
      </c>
      <c r="AJ15" s="174">
        <f t="shared" ca="1" si="8"/>
        <v>0</v>
      </c>
      <c r="AK15" s="174">
        <f t="shared" ca="1" si="8"/>
        <v>0</v>
      </c>
      <c r="AL15" s="174">
        <f t="shared" ca="1" si="8"/>
        <v>0</v>
      </c>
      <c r="AM15" s="174">
        <f t="shared" ca="1" si="8"/>
        <v>0</v>
      </c>
      <c r="AN15" s="174">
        <f t="shared" ca="1" si="8"/>
        <v>0</v>
      </c>
      <c r="AO15" s="174">
        <f t="shared" ca="1" si="8"/>
        <v>0</v>
      </c>
      <c r="AP15" s="176">
        <f t="shared" ca="1" si="8"/>
        <v>0</v>
      </c>
      <c r="AR15" s="177">
        <f ca="1">ROUND(SUM(OFFSET(AR$15,1,0):AR$244),2)</f>
        <v>0</v>
      </c>
      <c r="AS15" s="177">
        <f ca="1">SUM(OFFSET(AS$15,1,0):AS$244)</f>
        <v>0</v>
      </c>
      <c r="AT15" s="177">
        <f ca="1">SUM(OFFSET(AT$15,1,0):AT$244)</f>
        <v>0</v>
      </c>
      <c r="AU15" s="177">
        <f ca="1">SUM(OFFSET(AU$15,1,0):AU$244)</f>
        <v>0</v>
      </c>
      <c r="AV15" s="177">
        <f ca="1">SUM(OFFSET(AV$15,1,0):AV$244)</f>
        <v>0</v>
      </c>
      <c r="AW15" s="177">
        <f ca="1">SUM(OFFSET(AW$15,1,0):AW$244)</f>
        <v>0</v>
      </c>
      <c r="AX15" s="177">
        <f ca="1">SUM(OFFSET(AX$15,1,0):AX$244)</f>
        <v>0</v>
      </c>
      <c r="AY15" s="177">
        <f ca="1">SUM(OFFSET(AY$15,1,0):AY$244)</f>
        <v>0</v>
      </c>
      <c r="AZ15" s="177">
        <f ca="1">SUM(OFFSET(AZ$15,1,0):AZ$244)</f>
        <v>0</v>
      </c>
      <c r="BA15" s="177">
        <f ca="1">SUM(OFFSET(BA$15,1,0):BA$244)</f>
        <v>0</v>
      </c>
      <c r="BB15" s="177">
        <f ca="1">SUM(OFFSET(BB$15,1,0):BB$244)</f>
        <v>0</v>
      </c>
      <c r="BC15" s="177">
        <f ca="1">SUM(OFFSET(BC$15,1,0):BC$244)</f>
        <v>0</v>
      </c>
      <c r="BD15" s="177">
        <f ca="1">SUM(OFFSET(BD$15,1,0):BD$244)</f>
        <v>0</v>
      </c>
      <c r="BE15" s="177">
        <f ca="1">SUM(OFFSET(BE$15,1,0):BE$244)</f>
        <v>0</v>
      </c>
      <c r="BF15" s="177">
        <f ca="1">SUM(OFFSET(BF$15,1,0):BF$244)</f>
        <v>0</v>
      </c>
      <c r="BG15" s="177">
        <f ca="1">SUM(OFFSET(BG$15,1,0):BG$244)</f>
        <v>0</v>
      </c>
      <c r="BH15" s="177">
        <f ca="1">SUM(OFFSET(BH$15,1,0):BH$244)</f>
        <v>0</v>
      </c>
      <c r="BI15" s="177">
        <f ca="1">SUM(OFFSET(BI$15,1,0):BI$244)</f>
        <v>0</v>
      </c>
      <c r="BJ15" s="177">
        <f ca="1">SUM(OFFSET(BJ$15,1,0):BJ$244)</f>
        <v>0</v>
      </c>
      <c r="BK15" s="177">
        <f ca="1">SUM(OFFSET(BK$15,1,0):BK$244)</f>
        <v>0</v>
      </c>
      <c r="BL15" s="177">
        <f ca="1">SUM(OFFSET(BL$15,1,0):BL$244)</f>
        <v>0</v>
      </c>
      <c r="BM15" s="177">
        <f ca="1">SUM(OFFSET(BM$15,1,0):BM$244)</f>
        <v>0</v>
      </c>
      <c r="BN15" s="177">
        <f ca="1">SUM(OFFSET(BN$15,1,0):BN$244)</f>
        <v>0</v>
      </c>
      <c r="BO15" s="177">
        <f ca="1">SUM(OFFSET(BO$15,1,0):BO$244)</f>
        <v>0</v>
      </c>
      <c r="BP15" s="177">
        <f ca="1">SUM(OFFSET(BP$15,1,0):BP$244)</f>
        <v>0</v>
      </c>
      <c r="BQ15" s="177">
        <f ca="1">SUM(OFFSET(BQ$15,1,0):BQ$244)</f>
        <v>0</v>
      </c>
      <c r="BS15" s="178">
        <f>10^12</f>
        <v>1000000000000</v>
      </c>
      <c r="BT15" s="178">
        <f t="shared" ref="BT15:CR15" si="9">10^12</f>
        <v>1000000000000</v>
      </c>
      <c r="BU15" s="178">
        <f t="shared" si="9"/>
        <v>1000000000000</v>
      </c>
      <c r="BV15" s="178">
        <f t="shared" si="9"/>
        <v>1000000000000</v>
      </c>
      <c r="BW15" s="178">
        <f t="shared" si="9"/>
        <v>1000000000000</v>
      </c>
      <c r="BX15" s="178">
        <f t="shared" si="9"/>
        <v>1000000000000</v>
      </c>
      <c r="BY15" s="178">
        <f t="shared" si="9"/>
        <v>1000000000000</v>
      </c>
      <c r="BZ15" s="178">
        <f t="shared" si="9"/>
        <v>1000000000000</v>
      </c>
      <c r="CA15" s="178">
        <f t="shared" si="9"/>
        <v>1000000000000</v>
      </c>
      <c r="CB15" s="178">
        <f t="shared" si="9"/>
        <v>1000000000000</v>
      </c>
      <c r="CC15" s="178">
        <f t="shared" si="9"/>
        <v>1000000000000</v>
      </c>
      <c r="CD15" s="178">
        <f t="shared" si="9"/>
        <v>1000000000000</v>
      </c>
      <c r="CE15" s="178">
        <f t="shared" si="9"/>
        <v>1000000000000</v>
      </c>
      <c r="CF15" s="178">
        <f t="shared" si="9"/>
        <v>1000000000000</v>
      </c>
      <c r="CG15" s="178">
        <f t="shared" si="9"/>
        <v>1000000000000</v>
      </c>
      <c r="CH15" s="178">
        <f t="shared" si="9"/>
        <v>1000000000000</v>
      </c>
      <c r="CI15" s="178">
        <f t="shared" si="9"/>
        <v>1000000000000</v>
      </c>
      <c r="CJ15" s="178">
        <f t="shared" si="9"/>
        <v>1000000000000</v>
      </c>
      <c r="CK15" s="178">
        <f t="shared" si="9"/>
        <v>1000000000000</v>
      </c>
      <c r="CL15" s="178">
        <f t="shared" si="9"/>
        <v>1000000000000</v>
      </c>
      <c r="CM15" s="178">
        <f t="shared" si="9"/>
        <v>1000000000000</v>
      </c>
      <c r="CN15" s="178">
        <f t="shared" si="9"/>
        <v>1000000000000</v>
      </c>
      <c r="CO15" s="178">
        <f t="shared" si="9"/>
        <v>1000000000000</v>
      </c>
      <c r="CP15" s="178">
        <f t="shared" si="9"/>
        <v>1000000000000</v>
      </c>
      <c r="CQ15" s="178">
        <f t="shared" si="9"/>
        <v>1000000000000</v>
      </c>
      <c r="CR15" s="178">
        <f t="shared" si="9"/>
        <v>1000000000000</v>
      </c>
      <c r="CT15" s="178">
        <f t="shared" ref="CT15:DS15" si="10">10^12</f>
        <v>1000000000000</v>
      </c>
      <c r="CU15" s="178">
        <f t="shared" si="10"/>
        <v>1000000000000</v>
      </c>
      <c r="CV15" s="178">
        <f t="shared" si="10"/>
        <v>1000000000000</v>
      </c>
      <c r="CW15" s="178">
        <f t="shared" si="10"/>
        <v>1000000000000</v>
      </c>
      <c r="CX15" s="178">
        <f t="shared" si="10"/>
        <v>1000000000000</v>
      </c>
      <c r="CY15" s="178">
        <f t="shared" si="10"/>
        <v>1000000000000</v>
      </c>
      <c r="CZ15" s="178">
        <f t="shared" si="10"/>
        <v>1000000000000</v>
      </c>
      <c r="DA15" s="178">
        <f t="shared" si="10"/>
        <v>1000000000000</v>
      </c>
      <c r="DB15" s="178">
        <f t="shared" si="10"/>
        <v>1000000000000</v>
      </c>
      <c r="DC15" s="178">
        <f t="shared" si="10"/>
        <v>1000000000000</v>
      </c>
      <c r="DD15" s="178">
        <f t="shared" si="10"/>
        <v>1000000000000</v>
      </c>
      <c r="DE15" s="178">
        <f t="shared" si="10"/>
        <v>1000000000000</v>
      </c>
      <c r="DF15" s="178">
        <f t="shared" si="10"/>
        <v>1000000000000</v>
      </c>
      <c r="DG15" s="178">
        <f t="shared" si="10"/>
        <v>1000000000000</v>
      </c>
      <c r="DH15" s="178">
        <f t="shared" si="10"/>
        <v>1000000000000</v>
      </c>
      <c r="DI15" s="178">
        <f t="shared" si="10"/>
        <v>1000000000000</v>
      </c>
      <c r="DJ15" s="178">
        <f t="shared" si="10"/>
        <v>1000000000000</v>
      </c>
      <c r="DK15" s="178">
        <f t="shared" si="10"/>
        <v>1000000000000</v>
      </c>
      <c r="DL15" s="178">
        <f t="shared" si="10"/>
        <v>1000000000000</v>
      </c>
      <c r="DM15" s="178">
        <f t="shared" si="10"/>
        <v>1000000000000</v>
      </c>
      <c r="DN15" s="178">
        <f t="shared" si="10"/>
        <v>1000000000000</v>
      </c>
      <c r="DO15" s="178">
        <f t="shared" si="10"/>
        <v>1000000000000</v>
      </c>
      <c r="DP15" s="178">
        <f t="shared" si="10"/>
        <v>1000000000000</v>
      </c>
      <c r="DQ15" s="178">
        <f t="shared" si="10"/>
        <v>1000000000000</v>
      </c>
      <c r="DR15" s="178">
        <f t="shared" si="10"/>
        <v>1000000000000</v>
      </c>
      <c r="DS15" s="178">
        <f t="shared" si="10"/>
        <v>1000000000000</v>
      </c>
    </row>
    <row r="16" spans="1:123" ht="12.75" x14ac:dyDescent="0.2">
      <c r="A16" s="7">
        <f t="shared" ref="A16:A84" ca="1" si="11">IFERROR(IF(AUTOEVENTO="Manual",IF(K16&lt;&gt;"",MIN(VALUE(LEFT(K16,FIND(".",K16)-1)),COUNTA(EVENTOS.Lista)),0),IF(OR($B16&gt;AUTOEVENTO,$B16="S",$B16=0),SUBSTITUTE(OFFSET($A16,-1,0),IF($D16="Serviço",".",""),""),$L16&amp;".")),0)</f>
        <v>0</v>
      </c>
      <c r="B16" s="7">
        <f ca="1">OFFSET(ORÇAMENTO!C$15,$L16,0)</f>
        <v>1</v>
      </c>
      <c r="C16" s="7" t="str">
        <f ca="1">OFFSET(ORÇAMENTO!L$15,$L16,0)</f>
        <v>F</v>
      </c>
      <c r="D16" s="116" t="str">
        <f ca="1">OFFSET(ORÇAMENTO!N$15,$L16,0)</f>
        <v>Meta</v>
      </c>
      <c r="E16" s="117" t="str">
        <f ca="1">OFFSET(ORÇAMENTO!O$15,$L16,0)</f>
        <v>1.</v>
      </c>
      <c r="F16" s="163" t="str">
        <f ca="1">OFFSET(ORÇAMENTO!R$15,$L16,0)</f>
        <v>SERVIÇOS PRELIMINARES</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Q$1=1)*ROUND(Q16:AQ16,15))),"►S",IF(AND(COUNTIF($P$11:$AQ$11,"▼")=0,H16&gt;0,I16=""),"◄M","")))))</f>
        <v/>
      </c>
      <c r="K16" s="652"/>
      <c r="L16" s="165">
        <f t="shared" ref="L16:L84" ca="1" si="12">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A16" s="169"/>
      <c r="AB16" s="169"/>
      <c r="AC16" s="169"/>
      <c r="AD16" s="169"/>
      <c r="AE16" s="169"/>
      <c r="AF16" s="169"/>
      <c r="AG16" s="169"/>
      <c r="AH16" s="170"/>
      <c r="AI16" s="169"/>
      <c r="AJ16" s="169"/>
      <c r="AK16" s="169"/>
      <c r="AL16" s="169"/>
      <c r="AM16" s="169"/>
      <c r="AN16" s="169"/>
      <c r="AO16" s="169"/>
      <c r="AP16" s="170"/>
      <c r="AR16" s="453">
        <f ca="1">IF(AND($D16="Serviço",AR$12&lt;&gt;0,$H16&gt;0,OR(AUTOEVENTO&lt;&gt;"manual",$M16&lt;&gt;$A$15)),
        IF(Import.TipoArredondamento&lt;&gt;"TransfereGOV",
              ROUND(OFFSET($P16,0,AR$13),15-13*ORÇAMENTO!$AF$7)/$H16*OFFSET(ORÇAMENTO!$X$15,ROW(AR16)-ROW(AR$15),0),
              ROUND(ROUND(OFFSET($P16,0,AR$13),15-13*ORÇAMENTO!$AF$7)*OFFSET(ORÇAMENTO!$W$15,ROW(AR16)-ROW(AR$15),0),15-13*ORÇAMENTO!$AF$11)),
         0)</f>
        <v>0</v>
      </c>
      <c r="AS16" s="453">
        <f ca="1">IF(AND($D16="Serviço",AS$12&lt;&gt;0,$H16&gt;0,OR(AUTOEVENTO&lt;&gt;"manual",$M16&lt;&gt;$A$15)),
        IF(Import.TipoArredondamento&lt;&gt;"TransfereGOV",
              ROUND(OFFSET($P16,0,AS$13),15-13*ORÇAMENTO!$AF$7)/$H16*OFFSET(ORÇAMENTO!$X$15,ROW(AS16)-ROW(AS$15),0),
              ROUND(ROUND(OFFSET($P16,0,AS$13),15-13*ORÇAMENTO!$AF$7)*OFFSET(ORÇAMENTO!$W$15,ROW(AS16)-ROW(AS$15),0),15-13*ORÇAMENTO!$AF$11)),
         0)</f>
        <v>0</v>
      </c>
      <c r="AT16" s="453">
        <f ca="1">IF(AND($D16="Serviço",AT$12&lt;&gt;0,$H16&gt;0,OR(AUTOEVENTO&lt;&gt;"manual",$M16&lt;&gt;$A$15)),
        IF(Import.TipoArredondamento&lt;&gt;"TransfereGOV",
              ROUND(OFFSET($P16,0,AT$13),15-13*ORÇAMENTO!$AF$7)/$H16*OFFSET(ORÇAMENTO!$X$15,ROW(AT16)-ROW(AT$15),0),
              ROUND(ROUND(OFFSET($P16,0,AT$13),15-13*ORÇAMENTO!$AF$7)*OFFSET(ORÇAMENTO!$W$15,ROW(AT16)-ROW(AT$15),0),15-13*ORÇAMENTO!$AF$11)),
         0)</f>
        <v>0</v>
      </c>
      <c r="AU16" s="453">
        <f ca="1">IF(AND($D16="Serviço",AU$12&lt;&gt;0,$H16&gt;0,OR(AUTOEVENTO&lt;&gt;"manual",$M16&lt;&gt;$A$15)),
        IF(Import.TipoArredondamento&lt;&gt;"TransfereGOV",
              ROUND(OFFSET($P16,0,AU$13),15-13*ORÇAMENTO!$AF$7)/$H16*OFFSET(ORÇAMENTO!$X$15,ROW(AU16)-ROW(AU$15),0),
              ROUND(ROUND(OFFSET($P16,0,AU$13),15-13*ORÇAMENTO!$AF$7)*OFFSET(ORÇAMENTO!$W$15,ROW(AU16)-ROW(AU$15),0),15-13*ORÇAMENTO!$AF$11)),
         0)</f>
        <v>0</v>
      </c>
      <c r="AV16" s="453">
        <f ca="1">IF(AND($D16="Serviço",AV$12&lt;&gt;0,$H16&gt;0,OR(AUTOEVENTO&lt;&gt;"manual",$M16&lt;&gt;$A$15)),
        IF(Import.TipoArredondamento&lt;&gt;"TransfereGOV",
              ROUND(OFFSET($P16,0,AV$13),15-13*ORÇAMENTO!$AF$7)/$H16*OFFSET(ORÇAMENTO!$X$15,ROW(AV16)-ROW(AV$15),0),
              ROUND(ROUND(OFFSET($P16,0,AV$13),15-13*ORÇAMENTO!$AF$7)*OFFSET(ORÇAMENTO!$W$15,ROW(AV16)-ROW(AV$15),0),15-13*ORÇAMENTO!$AF$11)),
         0)</f>
        <v>0</v>
      </c>
      <c r="AW16" s="453">
        <f ca="1">IF(AND($D16="Serviço",AW$12&lt;&gt;0,$H16&gt;0,OR(AUTOEVENTO&lt;&gt;"manual",$M16&lt;&gt;$A$15)),
        IF(Import.TipoArredondamento&lt;&gt;"TransfereGOV",
              ROUND(OFFSET($P16,0,AW$13),15-13*ORÇAMENTO!$AF$7)/$H16*OFFSET(ORÇAMENTO!$X$15,ROW(AW16)-ROW(AW$15),0),
              ROUND(ROUND(OFFSET($P16,0,AW$13),15-13*ORÇAMENTO!$AF$7)*OFFSET(ORÇAMENTO!$W$15,ROW(AW16)-ROW(AW$15),0),15-13*ORÇAMENTO!$AF$11)),
         0)</f>
        <v>0</v>
      </c>
      <c r="AX16" s="453">
        <f ca="1">IF(AND($D16="Serviço",AX$12&lt;&gt;0,$H16&gt;0,OR(AUTOEVENTO&lt;&gt;"manual",$M16&lt;&gt;$A$15)),
        IF(Import.TipoArredondamento&lt;&gt;"TransfereGOV",
              ROUND(OFFSET($P16,0,AX$13),15-13*ORÇAMENTO!$AF$7)/$H16*OFFSET(ORÇAMENTO!$X$15,ROW(AX16)-ROW(AX$15),0),
              ROUND(ROUND(OFFSET($P16,0,AX$13),15-13*ORÇAMENTO!$AF$7)*OFFSET(ORÇAMENTO!$W$15,ROW(AX16)-ROW(AX$15),0),15-13*ORÇAMENTO!$AF$11)),
         0)</f>
        <v>0</v>
      </c>
      <c r="AY16" s="453">
        <f ca="1">IF(AND($D16="Serviço",AY$12&lt;&gt;0,$H16&gt;0,OR(AUTOEVENTO&lt;&gt;"manual",$M16&lt;&gt;$A$15)),
        IF(Import.TipoArredondamento&lt;&gt;"TransfereGOV",
              ROUND(OFFSET($P16,0,AY$13),15-13*ORÇAMENTO!$AF$7)/$H16*OFFSET(ORÇAMENTO!$X$15,ROW(AY16)-ROW(AY$15),0),
              ROUND(ROUND(OFFSET($P16,0,AY$13),15-13*ORÇAMENTO!$AF$7)*OFFSET(ORÇAMENTO!$W$15,ROW(AY16)-ROW(AY$15),0),15-13*ORÇAMENTO!$AF$11)),
         0)</f>
        <v>0</v>
      </c>
      <c r="AZ16" s="453">
        <f ca="1">IF(AND($D16="Serviço",AZ$12&lt;&gt;0,$H16&gt;0,OR(AUTOEVENTO&lt;&gt;"manual",$M16&lt;&gt;$A$15)),
        IF(Import.TipoArredondamento&lt;&gt;"TransfereGOV",
              ROUND(OFFSET($P16,0,AZ$13),15-13*ORÇAMENTO!$AF$7)/$H16*OFFSET(ORÇAMENTO!$X$15,ROW(AZ16)-ROW(AZ$15),0),
              ROUND(ROUND(OFFSET($P16,0,AZ$13),15-13*ORÇAMENTO!$AF$7)*OFFSET(ORÇAMENTO!$W$15,ROW(AZ16)-ROW(AZ$15),0),15-13*ORÇAMENTO!$AF$11)),
         0)</f>
        <v>0</v>
      </c>
      <c r="BA16" s="453">
        <f ca="1">IF(AND($D16="Serviço",BA$12&lt;&gt;0,$H16&gt;0,OR(AUTOEVENTO&lt;&gt;"manual",$M16&lt;&gt;$A$15)),
        IF(Import.TipoArredondamento&lt;&gt;"TransfereGOV",
              ROUND(OFFSET($P16,0,BA$13),15-13*ORÇAMENTO!$AF$7)/$H16*OFFSET(ORÇAMENTO!$X$15,ROW(BA16)-ROW(BA$15),0),
              ROUND(ROUND(OFFSET($P16,0,BA$13),15-13*ORÇAMENTO!$AF$7)*OFFSET(ORÇAMENTO!$W$15,ROW(BA16)-ROW(BA$15),0),15-13*ORÇAMENTO!$AF$11)),
         0)</f>
        <v>0</v>
      </c>
      <c r="BB16" s="453">
        <f ca="1">IF(AND($D16="Serviço",BB$12&lt;&gt;0,$H16&gt;0,OR(AUTOEVENTO&lt;&gt;"manual",$M16&lt;&gt;$A$15)),
        IF(Import.TipoArredondamento&lt;&gt;"TransfereGOV",
              ROUND(OFFSET($P16,0,BB$13),15-13*ORÇAMENTO!$AF$7)/$H16*OFFSET(ORÇAMENTO!$X$15,ROW(BB16)-ROW(BB$15),0),
              ROUND(ROUND(OFFSET($P16,0,BB$13),15-13*ORÇAMENTO!$AF$7)*OFFSET(ORÇAMENTO!$W$15,ROW(BB16)-ROW(BB$15),0),15-13*ORÇAMENTO!$AF$11)),
         0)</f>
        <v>0</v>
      </c>
      <c r="BC16" s="453">
        <f ca="1">IF(AND($D16="Serviço",BC$12&lt;&gt;0,$H16&gt;0,OR(AUTOEVENTO&lt;&gt;"manual",$M16&lt;&gt;$A$15)),
        IF(Import.TipoArredondamento&lt;&gt;"TransfereGOV",
              ROUND(OFFSET($P16,0,BC$13),15-13*ORÇAMENTO!$AF$7)/$H16*OFFSET(ORÇAMENTO!$X$15,ROW(BC16)-ROW(BC$15),0),
              ROUND(ROUND(OFFSET($P16,0,BC$13),15-13*ORÇAMENTO!$AF$7)*OFFSET(ORÇAMENTO!$W$15,ROW(BC16)-ROW(BC$15),0),15-13*ORÇAMENTO!$AF$11)),
         0)</f>
        <v>0</v>
      </c>
      <c r="BD16" s="453">
        <f ca="1">IF(AND($D16="Serviço",BD$12&lt;&gt;0,$H16&gt;0,OR(AUTOEVENTO&lt;&gt;"manual",$M16&lt;&gt;$A$15)),
        IF(Import.TipoArredondamento&lt;&gt;"TransfereGOV",
              ROUND(OFFSET($P16,0,BD$13),15-13*ORÇAMENTO!$AF$7)/$H16*OFFSET(ORÇAMENTO!$X$15,ROW(BD16)-ROW(BD$15),0),
              ROUND(ROUND(OFFSET($P16,0,BD$13),15-13*ORÇAMENTO!$AF$7)*OFFSET(ORÇAMENTO!$W$15,ROW(BD16)-ROW(BD$15),0),15-13*ORÇAMENTO!$AF$11)),
         0)</f>
        <v>0</v>
      </c>
      <c r="BE16" s="453">
        <f ca="1">IF(AND($D16="Serviço",BE$12&lt;&gt;0,$H16&gt;0,OR(AUTOEVENTO&lt;&gt;"manual",$M16&lt;&gt;$A$15)),
        IF(Import.TipoArredondamento&lt;&gt;"TransfereGOV",
              ROUND(OFFSET($P16,0,BE$13),15-13*ORÇAMENTO!$AF$7)/$H16*OFFSET(ORÇAMENTO!$X$15,ROW(BE16)-ROW(BE$15),0),
              ROUND(ROUND(OFFSET($P16,0,BE$13),15-13*ORÇAMENTO!$AF$7)*OFFSET(ORÇAMENTO!$W$15,ROW(BE16)-ROW(BE$15),0),15-13*ORÇAMENTO!$AF$11)),
         0)</f>
        <v>0</v>
      </c>
      <c r="BF16" s="453">
        <f ca="1">IF(AND($D16="Serviço",BF$12&lt;&gt;0,$H16&gt;0,OR(AUTOEVENTO&lt;&gt;"manual",$M16&lt;&gt;$A$15)),
        IF(Import.TipoArredondamento&lt;&gt;"TransfereGOV",
              ROUND(OFFSET($P16,0,BF$13),15-13*ORÇAMENTO!$AF$7)/$H16*OFFSET(ORÇAMENTO!$X$15,ROW(BF16)-ROW(BF$15),0),
              ROUND(ROUND(OFFSET($P16,0,BF$13),15-13*ORÇAMENTO!$AF$7)*OFFSET(ORÇAMENTO!$W$15,ROW(BF16)-ROW(BF$15),0),15-13*ORÇAMENTO!$AF$11)),
         0)</f>
        <v>0</v>
      </c>
      <c r="BG16" s="453">
        <f ca="1">IF(AND($D16="Serviço",BG$12&lt;&gt;0,$H16&gt;0,OR(AUTOEVENTO&lt;&gt;"manual",$M16&lt;&gt;$A$15)),
        IF(Import.TipoArredondamento&lt;&gt;"TransfereGOV",
              ROUND(OFFSET($P16,0,BG$13),15-13*ORÇAMENTO!$AF$7)/$H16*OFFSET(ORÇAMENTO!$X$15,ROW(BG16)-ROW(BG$15),0),
              ROUND(ROUND(OFFSET($P16,0,BG$13),15-13*ORÇAMENTO!$AF$7)*OFFSET(ORÇAMENTO!$W$15,ROW(BG16)-ROW(BG$15),0),15-13*ORÇAMENTO!$AF$11)),
         0)</f>
        <v>0</v>
      </c>
      <c r="BH16" s="453">
        <f ca="1">IF(AND($D16="Serviço",BH$12&lt;&gt;0,$H16&gt;0,OR(AUTOEVENTO&lt;&gt;"manual",$M16&lt;&gt;$A$15)),
        IF(Import.TipoArredondamento&lt;&gt;"TransfereGOV",
              ROUND(OFFSET($P16,0,BH$13),15-13*ORÇAMENTO!$AF$7)/$H16*OFFSET(ORÇAMENTO!$X$15,ROW(BH16)-ROW(BH$15),0),
              ROUND(ROUND(OFFSET($P16,0,BH$13),15-13*ORÇAMENTO!$AF$7)*OFFSET(ORÇAMENTO!$W$15,ROW(BH16)-ROW(BH$15),0),15-13*ORÇAMENTO!$AF$11)),
         0)</f>
        <v>0</v>
      </c>
      <c r="BI16" s="453">
        <f ca="1">IF(AND($D16="Serviço",BI$12&lt;&gt;0,$H16&gt;0,OR(AUTOEVENTO&lt;&gt;"manual",$M16&lt;&gt;$A$15)),
        IF(Import.TipoArredondamento&lt;&gt;"TransfereGOV",
              ROUND(OFFSET($P16,0,BI$13),15-13*ORÇAMENTO!$AF$7)/$H16*OFFSET(ORÇAMENTO!$X$15,ROW(BI16)-ROW(BI$15),0),
              ROUND(ROUND(OFFSET($P16,0,BI$13),15-13*ORÇAMENTO!$AF$7)*OFFSET(ORÇAMENTO!$W$15,ROW(BI16)-ROW(BI$15),0),15-13*ORÇAMENTO!$AF$11)),
         0)</f>
        <v>0</v>
      </c>
      <c r="BJ16" s="453">
        <f ca="1">IF(AND($D16="Serviço",BJ$12&lt;&gt;0,$H16&gt;0,OR(AUTOEVENTO&lt;&gt;"manual",$M16&lt;&gt;$A$15)),
        IF(Import.TipoArredondamento&lt;&gt;"TransfereGOV",
              ROUND(OFFSET($P16,0,BJ$13),15-13*ORÇAMENTO!$AF$7)/$H16*OFFSET(ORÇAMENTO!$X$15,ROW(BJ16)-ROW(BJ$15),0),
              ROUND(ROUND(OFFSET($P16,0,BJ$13),15-13*ORÇAMENTO!$AF$7)*OFFSET(ORÇAMENTO!$W$15,ROW(BJ16)-ROW(BJ$15),0),15-13*ORÇAMENTO!$AF$11)),
         0)</f>
        <v>0</v>
      </c>
      <c r="BK16" s="453">
        <f ca="1">IF(AND($D16="Serviço",BK$12&lt;&gt;0,$H16&gt;0,OR(AUTOEVENTO&lt;&gt;"manual",$M16&lt;&gt;$A$15)),
        IF(Import.TipoArredondamento&lt;&gt;"TransfereGOV",
              ROUND(OFFSET($P16,0,BK$13),15-13*ORÇAMENTO!$AF$7)/$H16*OFFSET(ORÇAMENTO!$X$15,ROW(BK16)-ROW(BK$15),0),
              ROUND(ROUND(OFFSET($P16,0,BK$13),15-13*ORÇAMENTO!$AF$7)*OFFSET(ORÇAMENTO!$W$15,ROW(BK16)-ROW(BK$15),0),15-13*ORÇAMENTO!$AF$11)),
         0)</f>
        <v>0</v>
      </c>
      <c r="BL16" s="453">
        <f ca="1">IF(AND($D16="Serviço",BL$12&lt;&gt;0,$H16&gt;0,OR(AUTOEVENTO&lt;&gt;"manual",$M16&lt;&gt;$A$15)),
        IF(Import.TipoArredondamento&lt;&gt;"TransfereGOV",
              ROUND(OFFSET($P16,0,BL$13),15-13*ORÇAMENTO!$AF$7)/$H16*OFFSET(ORÇAMENTO!$X$15,ROW(BL16)-ROW(BL$15),0),
              ROUND(ROUND(OFFSET($P16,0,BL$13),15-13*ORÇAMENTO!$AF$7)*OFFSET(ORÇAMENTO!$W$15,ROW(BL16)-ROW(BL$15),0),15-13*ORÇAMENTO!$AF$11)),
         0)</f>
        <v>0</v>
      </c>
      <c r="BM16" s="453">
        <f ca="1">IF(AND($D16="Serviço",BM$12&lt;&gt;0,$H16&gt;0,OR(AUTOEVENTO&lt;&gt;"manual",$M16&lt;&gt;$A$15)),
        IF(Import.TipoArredondamento&lt;&gt;"TransfereGOV",
              ROUND(OFFSET($P16,0,BM$13),15-13*ORÇAMENTO!$AF$7)/$H16*OFFSET(ORÇAMENTO!$X$15,ROW(BM16)-ROW(BM$15),0),
              ROUND(ROUND(OFFSET($P16,0,BM$13),15-13*ORÇAMENTO!$AF$7)*OFFSET(ORÇAMENTO!$W$15,ROW(BM16)-ROW(BM$15),0),15-13*ORÇAMENTO!$AF$11)),
         0)</f>
        <v>0</v>
      </c>
      <c r="BN16" s="453">
        <f ca="1">IF(AND($D16="Serviço",BN$12&lt;&gt;0,$H16&gt;0,OR(AUTOEVENTO&lt;&gt;"manual",$M16&lt;&gt;$A$15)),
        IF(Import.TipoArredondamento&lt;&gt;"TransfereGOV",
              ROUND(OFFSET($P16,0,BN$13),15-13*ORÇAMENTO!$AF$7)/$H16*OFFSET(ORÇAMENTO!$X$15,ROW(BN16)-ROW(BN$15),0),
              ROUND(ROUND(OFFSET($P16,0,BN$13),15-13*ORÇAMENTO!$AF$7)*OFFSET(ORÇAMENTO!$W$15,ROW(BN16)-ROW(BN$15),0),15-13*ORÇAMENTO!$AF$11)),
         0)</f>
        <v>0</v>
      </c>
      <c r="BO16" s="453">
        <f ca="1">IF(AND($D16="Serviço",BO$12&lt;&gt;0,$H16&gt;0,OR(AUTOEVENTO&lt;&gt;"manual",$M16&lt;&gt;$A$15)),
        IF(Import.TipoArredondamento&lt;&gt;"TransfereGOV",
              ROUND(OFFSET($P16,0,BO$13),15-13*ORÇAMENTO!$AF$7)/$H16*OFFSET(ORÇAMENTO!$X$15,ROW(BO16)-ROW(BO$15),0),
              ROUND(ROUND(OFFSET($P16,0,BO$13),15-13*ORÇAMENTO!$AF$7)*OFFSET(ORÇAMENTO!$W$15,ROW(BO16)-ROW(BO$15),0),15-13*ORÇAMENTO!$AF$11)),
         0)</f>
        <v>0</v>
      </c>
      <c r="BP16" s="453">
        <f ca="1">IF(AND($D16="Serviço",BP$12&lt;&gt;0,$H16&gt;0,OR(AUTOEVENTO&lt;&gt;"manual",$M16&lt;&gt;$A$15)),
        IF(Import.TipoArredondamento&lt;&gt;"TransfereGOV",
              ROUND(OFFSET($P16,0,BP$13),15-13*ORÇAMENTO!$AF$7)/$H16*OFFSET(ORÇAMENTO!$X$15,ROW(BP16)-ROW(BP$15),0),
              ROUND(ROUND(OFFSET($P16,0,BP$13),15-13*ORÇAMENTO!$AF$7)*OFFSET(ORÇAMENTO!$W$15,ROW(BP16)-ROW(BP$15),0),15-13*ORÇAMENTO!$AF$11)),
         0)</f>
        <v>0</v>
      </c>
      <c r="BQ16" s="453">
        <f ca="1">IF(AND($D16="Serviço",BQ$12&lt;&gt;0,$H16&gt;0,OR(AUTOEVENTO&lt;&gt;"manual",$M16&lt;&gt;$A$15)),
        IF(Import.TipoArredondamento&lt;&gt;"TransfereGOV",
              ROUND(OFFSET($P16,0,BQ$13),15-13*ORÇAMENTO!$AF$7)/$H16*OFFSET(ORÇAMENTO!$X$15,ROW(BQ16)-ROW(BQ$15),0),
              ROUND(ROUND(OFFSET($P16,0,BQ$13),15-13*ORÇAMENTO!$AF$7)*OFFSET(ORÇAMENTO!$W$15,ROW(BQ16)-ROW(BQ$15),0),15-13*ORÇAMENTO!$AF$11)),
         0)</f>
        <v>0</v>
      </c>
      <c r="BS16" s="171">
        <f ca="1">IF(OR($D16&lt;&gt;"Serviço",AND(AUTOEVENTO="Manual",$M16=$A$15)),0,
         IF(OFFSET(CRONOPLE!$F$15,$M16-$A$15,BS$13)=0,10^12,OFFSET(CRONOPLE!$F$15,$M16-$A$15,BS$13)))</f>
        <v>0</v>
      </c>
      <c r="BT16" s="171">
        <f ca="1">IF(OR($D16&lt;&gt;"Serviço",AND(AUTOEVENTO="Manual",$M16=$A$15)),0,
         IF(OFFSET(CRONOPLE!$F$15,$M16-$A$15,BT$13)=0,10^12,OFFSET(CRONOPLE!$F$15,$M16-$A$15,BT$13)))</f>
        <v>0</v>
      </c>
      <c r="BU16" s="171">
        <f ca="1">IF(OR($D16&lt;&gt;"Serviço",AND(AUTOEVENTO="Manual",$M16=$A$15)),0,
         IF(OFFSET(CRONOPLE!$F$15,$M16-$A$15,BU$13)=0,10^12,OFFSET(CRONOPLE!$F$15,$M16-$A$15,BU$13)))</f>
        <v>0</v>
      </c>
      <c r="BV16" s="171">
        <f ca="1">IF(OR($D16&lt;&gt;"Serviço",AND(AUTOEVENTO="Manual",$M16=$A$15)),0,
         IF(OFFSET(CRONOPLE!$F$15,$M16-$A$15,BV$13)=0,10^12,OFFSET(CRONOPLE!$F$15,$M16-$A$15,BV$13)))</f>
        <v>0</v>
      </c>
      <c r="BW16" s="171">
        <f ca="1">IF(OR($D16&lt;&gt;"Serviço",AND(AUTOEVENTO="Manual",$M16=$A$15)),0,
         IF(OFFSET(CRONOPLE!$F$15,$M16-$A$15,BW$13)=0,10^12,OFFSET(CRONOPLE!$F$15,$M16-$A$15,BW$13)))</f>
        <v>0</v>
      </c>
      <c r="BX16" s="171">
        <f ca="1">IF(OR($D16&lt;&gt;"Serviço",AND(AUTOEVENTO="Manual",$M16=$A$15)),0,
         IF(OFFSET(CRONOPLE!$F$15,$M16-$A$15,BX$13)=0,10^12,OFFSET(CRONOPLE!$F$15,$M16-$A$15,BX$13)))</f>
        <v>0</v>
      </c>
      <c r="BY16" s="171">
        <f ca="1">IF(OR($D16&lt;&gt;"Serviço",AND(AUTOEVENTO="Manual",$M16=$A$15)),0,
         IF(OFFSET(CRONOPLE!$F$15,$M16-$A$15,BY$13)=0,10^12,OFFSET(CRONOPLE!$F$15,$M16-$A$15,BY$13)))</f>
        <v>0</v>
      </c>
      <c r="BZ16" s="171">
        <f ca="1">IF(OR($D16&lt;&gt;"Serviço",AND(AUTOEVENTO="Manual",$M16=$A$15)),0,
         IF(OFFSET(CRONOPLE!$F$15,$M16-$A$15,BZ$13)=0,10^12,OFFSET(CRONOPLE!$F$15,$M16-$A$15,BZ$13)))</f>
        <v>0</v>
      </c>
      <c r="CA16" s="171">
        <f ca="1">IF(OR($D16&lt;&gt;"Serviço",AND(AUTOEVENTO="Manual",$M16=$A$15)),0,
         IF(OFFSET(CRONOPLE!$F$15,$M16-$A$15,CA$13)=0,10^12,OFFSET(CRONOPLE!$F$15,$M16-$A$15,CA$13)))</f>
        <v>0</v>
      </c>
      <c r="CB16" s="171">
        <f ca="1">IF(OR($D16&lt;&gt;"Serviço",AND(AUTOEVENTO="Manual",$M16=$A$15)),0,
         IF(OFFSET(CRONOPLE!$F$15,$M16-$A$15,CB$13)=0,10^12,OFFSET(CRONOPLE!$F$15,$M16-$A$15,CB$13)))</f>
        <v>0</v>
      </c>
      <c r="CC16" s="171">
        <f ca="1">IF(OR($D16&lt;&gt;"Serviço",AND(AUTOEVENTO="Manual",$M16=$A$15)),0,
         IF(OFFSET(CRONOPLE!$F$15,$M16-$A$15,CC$13)=0,10^12,OFFSET(CRONOPLE!$F$15,$M16-$A$15,CC$13)))</f>
        <v>0</v>
      </c>
      <c r="CD16" s="171">
        <f ca="1">IF(OR($D16&lt;&gt;"Serviço",AND(AUTOEVENTO="Manual",$M16=$A$15)),0,
         IF(OFFSET(CRONOPLE!$F$15,$M16-$A$15,CD$13)=0,10^12,OFFSET(CRONOPLE!$F$15,$M16-$A$15,CD$13)))</f>
        <v>0</v>
      </c>
      <c r="CE16" s="171">
        <f ca="1">IF(OR($D16&lt;&gt;"Serviço",AND(AUTOEVENTO="Manual",$M16=$A$15)),0,
         IF(OFFSET(CRONOPLE!$F$15,$M16-$A$15,CE$13)=0,10^12,OFFSET(CRONOPLE!$F$15,$M16-$A$15,CE$13)))</f>
        <v>0</v>
      </c>
      <c r="CF16" s="171">
        <f ca="1">IF(OR($D16&lt;&gt;"Serviço",AND(AUTOEVENTO="Manual",$M16=$A$15)),0,
         IF(OFFSET(CRONOPLE!$F$15,$M16-$A$15,CF$13)=0,10^12,OFFSET(CRONOPLE!$F$15,$M16-$A$15,CF$13)))</f>
        <v>0</v>
      </c>
      <c r="CG16" s="171">
        <f ca="1">IF(OR($D16&lt;&gt;"Serviço",AND(AUTOEVENTO="Manual",$M16=$A$15)),0,
         IF(OFFSET(CRONOPLE!$F$15,$M16-$A$15,CG$13)=0,10^12,OFFSET(CRONOPLE!$F$15,$M16-$A$15,CG$13)))</f>
        <v>0</v>
      </c>
      <c r="CH16" s="171">
        <f ca="1">IF(OR($D16&lt;&gt;"Serviço",AND(AUTOEVENTO="Manual",$M16=$A$15)),0,
         IF(OFFSET(CRONOPLE!$F$15,$M16-$A$15,CH$13)=0,10^12,OFFSET(CRONOPLE!$F$15,$M16-$A$15,CH$13)))</f>
        <v>0</v>
      </c>
      <c r="CI16" s="171">
        <f ca="1">IF(OR($D16&lt;&gt;"Serviço",AND(AUTOEVENTO="Manual",$M16=$A$15)),0,
         IF(OFFSET(CRONOPLE!$F$15,$M16-$A$15,CI$13)=0,10^12,OFFSET(CRONOPLE!$F$15,$M16-$A$15,CI$13)))</f>
        <v>0</v>
      </c>
      <c r="CJ16" s="171">
        <f ca="1">IF(OR($D16&lt;&gt;"Serviço",AND(AUTOEVENTO="Manual",$M16=$A$15)),0,
         IF(OFFSET(CRONOPLE!$F$15,$M16-$A$15,CJ$13)=0,10^12,OFFSET(CRONOPLE!$F$15,$M16-$A$15,CJ$13)))</f>
        <v>0</v>
      </c>
      <c r="CK16" s="171">
        <f ca="1">IF(OR($D16&lt;&gt;"Serviço",AND(AUTOEVENTO="Manual",$M16=$A$15)),0,
         IF(OFFSET(CRONOPLE!$F$15,$M16-$A$15,CK$13)=0,10^12,OFFSET(CRONOPLE!$F$15,$M16-$A$15,CK$13)))</f>
        <v>0</v>
      </c>
      <c r="CL16" s="171">
        <f ca="1">IF(OR($D16&lt;&gt;"Serviço",AND(AUTOEVENTO="Manual",$M16=$A$15)),0,
         IF(OFFSET(CRONOPLE!$F$15,$M16-$A$15,CL$13)=0,10^12,OFFSET(CRONOPLE!$F$15,$M16-$A$15,CL$13)))</f>
        <v>0</v>
      </c>
      <c r="CM16" s="171">
        <f ca="1">IF(OR($D16&lt;&gt;"Serviço",AND(AUTOEVENTO="Manual",$M16=$A$15)),0,
         IF(OFFSET(CRONOPLE!$F$15,$M16-$A$15,CM$13)=0,10^12,OFFSET(CRONOPLE!$F$15,$M16-$A$15,CM$13)))</f>
        <v>0</v>
      </c>
      <c r="CN16" s="171">
        <f ca="1">IF(OR($D16&lt;&gt;"Serviço",AND(AUTOEVENTO="Manual",$M16=$A$15)),0,
         IF(OFFSET(CRONOPLE!$F$15,$M16-$A$15,CN$13)=0,10^12,OFFSET(CRONOPLE!$F$15,$M16-$A$15,CN$13)))</f>
        <v>0</v>
      </c>
      <c r="CO16" s="171">
        <f ca="1">IF(OR($D16&lt;&gt;"Serviço",AND(AUTOEVENTO="Manual",$M16=$A$15)),0,
         IF(OFFSET(CRONOPLE!$F$15,$M16-$A$15,CO$13)=0,10^12,OFFSET(CRONOPLE!$F$15,$M16-$A$15,CO$13)))</f>
        <v>0</v>
      </c>
      <c r="CP16" s="171">
        <f ca="1">IF(OR($D16&lt;&gt;"Serviço",AND(AUTOEVENTO="Manual",$M16=$A$15)),0,
         IF(OFFSET(CRONOPLE!$F$15,$M16-$A$15,CP$13)=0,10^12,OFFSET(CRONOPLE!$F$15,$M16-$A$15,CP$13)))</f>
        <v>0</v>
      </c>
      <c r="CQ16" s="171">
        <f ca="1">IF(OR($D16&lt;&gt;"Serviço",AND(AUTOEVENTO="Manual",$M16=$A$15)),0,
         IF(OFFSET(CRONOPLE!$F$15,$M16-$A$15,CQ$13)=0,10^12,OFFSET(CRONOPLE!$F$15,$M16-$A$15,CQ$13)))</f>
        <v>0</v>
      </c>
      <c r="CR16" s="171">
        <f ca="1">IF(OR($D16&lt;&gt;"Serviço",AND(AUTOEVENTO="Manual",$M16=$A$15)),0,
         IF(OFFSET(CRONOPLE!$F$15,$M16-$A$15,CR$13)=0,10^12,OFFSET(CRONOPLE!$F$15,$M16-$A$15,CR$13)))</f>
        <v>0</v>
      </c>
      <c r="CT16" s="172" cm="1">
        <f t="array" aca="1" ref="CT16" ca="1">IF(OR($D16&lt;&gt;"Serviço",AND(AUTOEVENTO="Manual",$M16=$A$15),$M16&gt;(ROW(PLE.lastrow)-ROW(PLE.firstrow))),0,
           IF(OFFSET(PLE!$G$15,$M16-$A$15,CT$13)="",10^12,OFFSET(PLE!$G$15,$M16-$A$15,CT$13)))</f>
        <v>0</v>
      </c>
      <c r="CU16" s="172" cm="1">
        <f t="array" aca="1" ref="CU16" ca="1">IF(OR($D16&lt;&gt;"Serviço",AND(AUTOEVENTO="Manual",$M16=$A$15),$M16&gt;(ROW(PLE.lastrow)-ROW(PLE.firstrow))),0,
           IF(OFFSET(PLE!$G$15,$M16-$A$15,CU$13)="",10^12,OFFSET(PLE!$G$15,$M16-$A$15,CU$13)))</f>
        <v>0</v>
      </c>
      <c r="CV16" s="172" cm="1">
        <f t="array" aca="1" ref="CV16" ca="1">IF(OR($D16&lt;&gt;"Serviço",AND(AUTOEVENTO="Manual",$M16=$A$15),$M16&gt;(ROW(PLE.lastrow)-ROW(PLE.firstrow))),0,
           IF(OFFSET(PLE!$G$15,$M16-$A$15,CV$13)="",10^12,OFFSET(PLE!$G$15,$M16-$A$15,CV$13)))</f>
        <v>0</v>
      </c>
      <c r="CW16" s="172" cm="1">
        <f t="array" aca="1" ref="CW16" ca="1">IF(OR($D16&lt;&gt;"Serviço",AND(AUTOEVENTO="Manual",$M16=$A$15),$M16&gt;(ROW(PLE.lastrow)-ROW(PLE.firstrow))),0,
           IF(OFFSET(PLE!$G$15,$M16-$A$15,CW$13)="",10^12,OFFSET(PLE!$G$15,$M16-$A$15,CW$13)))</f>
        <v>0</v>
      </c>
      <c r="CX16" s="172" cm="1">
        <f t="array" aca="1" ref="CX16" ca="1">IF(OR($D16&lt;&gt;"Serviço",AND(AUTOEVENTO="Manual",$M16=$A$15),$M16&gt;(ROW(PLE.lastrow)-ROW(PLE.firstrow))),0,
           IF(OFFSET(PLE!$G$15,$M16-$A$15,CX$13)="",10^12,OFFSET(PLE!$G$15,$M16-$A$15,CX$13)))</f>
        <v>0</v>
      </c>
      <c r="CY16" s="172" cm="1">
        <f t="array" aca="1" ref="CY16" ca="1">IF(OR($D16&lt;&gt;"Serviço",AND(AUTOEVENTO="Manual",$M16=$A$15),$M16&gt;(ROW(PLE.lastrow)-ROW(PLE.firstrow))),0,
           IF(OFFSET(PLE!$G$15,$M16-$A$15,CY$13)="",10^12,OFFSET(PLE!$G$15,$M16-$A$15,CY$13)))</f>
        <v>0</v>
      </c>
      <c r="CZ16" s="172" cm="1">
        <f t="array" aca="1" ref="CZ16" ca="1">IF(OR($D16&lt;&gt;"Serviço",AND(AUTOEVENTO="Manual",$M16=$A$15),$M16&gt;(ROW(PLE.lastrow)-ROW(PLE.firstrow))),0,
           IF(OFFSET(PLE!$G$15,$M16-$A$15,CZ$13)="",10^12,OFFSET(PLE!$G$15,$M16-$A$15,CZ$13)))</f>
        <v>0</v>
      </c>
      <c r="DA16" s="172" cm="1">
        <f t="array" aca="1" ref="DA16" ca="1">IF(OR($D16&lt;&gt;"Serviço",AND(AUTOEVENTO="Manual",$M16=$A$15),$M16&gt;(ROW(PLE.lastrow)-ROW(PLE.firstrow))),0,
           IF(OFFSET(PLE!$G$15,$M16-$A$15,DA$13)="",10^12,OFFSET(PLE!$G$15,$M16-$A$15,DA$13)))</f>
        <v>0</v>
      </c>
      <c r="DB16" s="172" cm="1">
        <f t="array" aca="1" ref="DB16" ca="1">IF(OR($D16&lt;&gt;"Serviço",AND(AUTOEVENTO="Manual",$M16=$A$15),$M16&gt;(ROW(PLE.lastrow)-ROW(PLE.firstrow))),0,
           IF(OFFSET(PLE!$G$15,$M16-$A$15,DB$13)="",10^12,OFFSET(PLE!$G$15,$M16-$A$15,DB$13)))</f>
        <v>0</v>
      </c>
      <c r="DC16" s="172" cm="1">
        <f t="array" aca="1" ref="DC16" ca="1">IF(OR($D16&lt;&gt;"Serviço",AND(AUTOEVENTO="Manual",$M16=$A$15),$M16&gt;(ROW(PLE.lastrow)-ROW(PLE.firstrow))),0,
           IF(OFFSET(PLE!$G$15,$M16-$A$15,DC$13)="",10^12,OFFSET(PLE!$G$15,$M16-$A$15,DC$13)))</f>
        <v>0</v>
      </c>
      <c r="DD16" s="172" cm="1">
        <f t="array" aca="1" ref="DD16" ca="1">IF(OR($D16&lt;&gt;"Serviço",AND(AUTOEVENTO="Manual",$M16=$A$15),$M16&gt;(ROW(PLE.lastrow)-ROW(PLE.firstrow))),0,
           IF(OFFSET(PLE!$G$15,$M16-$A$15,DD$13)="",10^12,OFFSET(PLE!$G$15,$M16-$A$15,DD$13)))</f>
        <v>0</v>
      </c>
      <c r="DE16" s="172" cm="1">
        <f t="array" aca="1" ref="DE16" ca="1">IF(OR($D16&lt;&gt;"Serviço",AND(AUTOEVENTO="Manual",$M16=$A$15),$M16&gt;(ROW(PLE.lastrow)-ROW(PLE.firstrow))),0,
           IF(OFFSET(PLE!$G$15,$M16-$A$15,DE$13)="",10^12,OFFSET(PLE!$G$15,$M16-$A$15,DE$13)))</f>
        <v>0</v>
      </c>
      <c r="DF16" s="172" cm="1">
        <f t="array" aca="1" ref="DF16" ca="1">IF(OR($D16&lt;&gt;"Serviço",AND(AUTOEVENTO="Manual",$M16=$A$15),$M16&gt;(ROW(PLE.lastrow)-ROW(PLE.firstrow))),0,
           IF(OFFSET(PLE!$G$15,$M16-$A$15,DF$13)="",10^12,OFFSET(PLE!$G$15,$M16-$A$15,DF$13)))</f>
        <v>0</v>
      </c>
      <c r="DG16" s="172" cm="1">
        <f t="array" aca="1" ref="DG16" ca="1">IF(OR($D16&lt;&gt;"Serviço",AND(AUTOEVENTO="Manual",$M16=$A$15),$M16&gt;(ROW(PLE.lastrow)-ROW(PLE.firstrow))),0,
           IF(OFFSET(PLE!$G$15,$M16-$A$15,DG$13)="",10^12,OFFSET(PLE!$G$15,$M16-$A$15,DG$13)))</f>
        <v>0</v>
      </c>
      <c r="DH16" s="172" cm="1">
        <f t="array" aca="1" ref="DH16" ca="1">IF(OR($D16&lt;&gt;"Serviço",AND(AUTOEVENTO="Manual",$M16=$A$15),$M16&gt;(ROW(PLE.lastrow)-ROW(PLE.firstrow))),0,
           IF(OFFSET(PLE!$G$15,$M16-$A$15,DH$13)="",10^12,OFFSET(PLE!$G$15,$M16-$A$15,DH$13)))</f>
        <v>0</v>
      </c>
      <c r="DI16" s="172" cm="1">
        <f t="array" aca="1" ref="DI16" ca="1">IF(OR($D16&lt;&gt;"Serviço",AND(AUTOEVENTO="Manual",$M16=$A$15),$M16&gt;(ROW(PLE.lastrow)-ROW(PLE.firstrow))),0,
           IF(OFFSET(PLE!$G$15,$M16-$A$15,DI$13)="",10^12,OFFSET(PLE!$G$15,$M16-$A$15,DI$13)))</f>
        <v>0</v>
      </c>
      <c r="DJ16" s="172" cm="1">
        <f t="array" aca="1" ref="DJ16" ca="1">IF(OR($D16&lt;&gt;"Serviço",AND(AUTOEVENTO="Manual",$M16=$A$15),$M16&gt;(ROW(PLE.lastrow)-ROW(PLE.firstrow))),0,
           IF(OFFSET(PLE!$G$15,$M16-$A$15,DJ$13)="",10^12,OFFSET(PLE!$G$15,$M16-$A$15,DJ$13)))</f>
        <v>0</v>
      </c>
      <c r="DK16" s="172" cm="1">
        <f t="array" aca="1" ref="DK16" ca="1">IF(OR($D16&lt;&gt;"Serviço",AND(AUTOEVENTO="Manual",$M16=$A$15),$M16&gt;(ROW(PLE.lastrow)-ROW(PLE.firstrow))),0,
           IF(OFFSET(PLE!$G$15,$M16-$A$15,DK$13)="",10^12,OFFSET(PLE!$G$15,$M16-$A$15,DK$13)))</f>
        <v>0</v>
      </c>
      <c r="DL16" s="172" cm="1">
        <f t="array" aca="1" ref="DL16" ca="1">IF(OR($D16&lt;&gt;"Serviço",AND(AUTOEVENTO="Manual",$M16=$A$15),$M16&gt;(ROW(PLE.lastrow)-ROW(PLE.firstrow))),0,
           IF(OFFSET(PLE!$G$15,$M16-$A$15,DL$13)="",10^12,OFFSET(PLE!$G$15,$M16-$A$15,DL$13)))</f>
        <v>0</v>
      </c>
      <c r="DM16" s="172" cm="1">
        <f t="array" aca="1" ref="DM16" ca="1">IF(OR($D16&lt;&gt;"Serviço",AND(AUTOEVENTO="Manual",$M16=$A$15),$M16&gt;(ROW(PLE.lastrow)-ROW(PLE.firstrow))),0,
           IF(OFFSET(PLE!$G$15,$M16-$A$15,DM$13)="",10^12,OFFSET(PLE!$G$15,$M16-$A$15,DM$13)))</f>
        <v>0</v>
      </c>
      <c r="DN16" s="172" cm="1">
        <f t="array" aca="1" ref="DN16" ca="1">IF(OR($D16&lt;&gt;"Serviço",AND(AUTOEVENTO="Manual",$M16=$A$15),$M16&gt;(ROW(PLE.lastrow)-ROW(PLE.firstrow))),0,
           IF(OFFSET(PLE!$G$15,$M16-$A$15,DN$13)="",10^12,OFFSET(PLE!$G$15,$M16-$A$15,DN$13)))</f>
        <v>0</v>
      </c>
      <c r="DO16" s="172" cm="1">
        <f t="array" aca="1" ref="DO16" ca="1">IF(OR($D16&lt;&gt;"Serviço",AND(AUTOEVENTO="Manual",$M16=$A$15),$M16&gt;(ROW(PLE.lastrow)-ROW(PLE.firstrow))),0,
           IF(OFFSET(PLE!$G$15,$M16-$A$15,DO$13)="",10^12,OFFSET(PLE!$G$15,$M16-$A$15,DO$13)))</f>
        <v>0</v>
      </c>
      <c r="DP16" s="172" cm="1">
        <f t="array" aca="1" ref="DP16" ca="1">IF(OR($D16&lt;&gt;"Serviço",AND(AUTOEVENTO="Manual",$M16=$A$15),$M16&gt;(ROW(PLE.lastrow)-ROW(PLE.firstrow))),0,
           IF(OFFSET(PLE!$G$15,$M16-$A$15,DP$13)="",10^12,OFFSET(PLE!$G$15,$M16-$A$15,DP$13)))</f>
        <v>0</v>
      </c>
      <c r="DQ16" s="172" cm="1">
        <f t="array" aca="1" ref="DQ16" ca="1">IF(OR($D16&lt;&gt;"Serviço",AND(AUTOEVENTO="Manual",$M16=$A$15),$M16&gt;(ROW(PLE.lastrow)-ROW(PLE.firstrow))),0,
           IF(OFFSET(PLE!$G$15,$M16-$A$15,DQ$13)="",10^12,OFFSET(PLE!$G$15,$M16-$A$15,DQ$13)))</f>
        <v>0</v>
      </c>
      <c r="DR16" s="172" cm="1">
        <f t="array" aca="1" ref="DR16" ca="1">IF(OR($D16&lt;&gt;"Serviço",AND(AUTOEVENTO="Manual",$M16=$A$15),$M16&gt;(ROW(PLE.lastrow)-ROW(PLE.firstrow))),0,
           IF(OFFSET(PLE!$G$15,$M16-$A$15,DR$13)="",10^12,OFFSET(PLE!$G$15,$M16-$A$15,DR$13)))</f>
        <v>0</v>
      </c>
      <c r="DS16" s="172" cm="1">
        <f t="array" aca="1" ref="DS16" ca="1">IF(OR($D16&lt;&gt;"Serviço",AND(AUTOEVENTO="Manual",$M16=$A$15),$M16&gt;(ROW(PLE.lastrow)-ROW(PLE.firstrow))),0,
           IF(OFFSET(PLE!$G$15,$M16-$A$15,DS$13)="",10^12,OFFSET(PLE!$G$15,$M16-$A$15,DS$13)))</f>
        <v>0</v>
      </c>
    </row>
    <row r="17" spans="1:123" ht="12.75" x14ac:dyDescent="0.2">
      <c r="A17" s="7">
        <f t="shared" ca="1" si="11"/>
        <v>0</v>
      </c>
      <c r="B17" s="7">
        <f ca="1">OFFSET(ORÇAMENTO!C$15,$L17,0)</f>
        <v>2</v>
      </c>
      <c r="C17" s="7" t="str">
        <f ca="1">OFFSET(ORÇAMENTO!L$15,$L17,0)</f>
        <v>F</v>
      </c>
      <c r="D17" s="116" t="str">
        <f ca="1">OFFSET(ORÇAMENTO!N$15,$L17,0)</f>
        <v>Nível 2</v>
      </c>
      <c r="E17" s="117" t="str">
        <f ca="1">OFFSET(ORÇAMENTO!O$15,$L17,0)</f>
        <v>1.1.</v>
      </c>
      <c r="F17" s="163" t="str">
        <f ca="1">OFFSET(ORÇAMENTO!R$15,$L17,0)</f>
        <v>LOCAÇÃO</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Q$1=1)*ROUND(Q17:AQ17,15))),"►S",IF(AND(COUNTIF($P$11:$AQ$11,"▼")=0,H17&gt;0,I17=""),"◄M","")))))</f>
        <v/>
      </c>
      <c r="K17" s="652"/>
      <c r="L17" s="165">
        <f t="shared" ca="1" si="12"/>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A17" s="169"/>
      <c r="AB17" s="169"/>
      <c r="AC17" s="169"/>
      <c r="AD17" s="169"/>
      <c r="AE17" s="169"/>
      <c r="AF17" s="169"/>
      <c r="AG17" s="169"/>
      <c r="AH17" s="170"/>
      <c r="AI17" s="169"/>
      <c r="AJ17" s="169"/>
      <c r="AK17" s="169"/>
      <c r="AL17" s="169"/>
      <c r="AM17" s="169"/>
      <c r="AN17" s="169"/>
      <c r="AO17" s="169"/>
      <c r="AP17" s="170"/>
      <c r="AR17" s="453">
        <f ca="1">IF(AND($D17="Serviço",AR$12&lt;&gt;0,$H17&gt;0,OR(AUTOEVENTO&lt;&gt;"manual",$M17&lt;&gt;$A$15)),
        IF(Import.TipoArredondamento&lt;&gt;"TransfereGOV",
              ROUND(OFFSET($P17,0,AR$13),15-13*ORÇAMENTO!$AF$7)/$H17*OFFSET(ORÇAMENTO!$X$15,ROW(AR17)-ROW(AR$15),0),
              ROUND(ROUND(OFFSET($P17,0,AR$13),15-13*ORÇAMENTO!$AF$7)*OFFSET(ORÇAMENTO!$W$15,ROW(AR17)-ROW(AR$15),0),15-13*ORÇAMENTO!$AF$11)),
         0)</f>
        <v>0</v>
      </c>
      <c r="AS17" s="453">
        <f ca="1">IF(AND($D17="Serviço",AS$12&lt;&gt;0,$H17&gt;0,OR(AUTOEVENTO&lt;&gt;"manual",$M17&lt;&gt;$A$15)),
        IF(Import.TipoArredondamento&lt;&gt;"TransfereGOV",
              ROUND(OFFSET($P17,0,AS$13),15-13*ORÇAMENTO!$AF$7)/$H17*OFFSET(ORÇAMENTO!$X$15,ROW(AS17)-ROW(AS$15),0),
              ROUND(ROUND(OFFSET($P17,0,AS$13),15-13*ORÇAMENTO!$AF$7)*OFFSET(ORÇAMENTO!$W$15,ROW(AS17)-ROW(AS$15),0),15-13*ORÇAMENTO!$AF$11)),
         0)</f>
        <v>0</v>
      </c>
      <c r="AT17" s="453">
        <f ca="1">IF(AND($D17="Serviço",AT$12&lt;&gt;0,$H17&gt;0,OR(AUTOEVENTO&lt;&gt;"manual",$M17&lt;&gt;$A$15)),
        IF(Import.TipoArredondamento&lt;&gt;"TransfereGOV",
              ROUND(OFFSET($P17,0,AT$13),15-13*ORÇAMENTO!$AF$7)/$H17*OFFSET(ORÇAMENTO!$X$15,ROW(AT17)-ROW(AT$15),0),
              ROUND(ROUND(OFFSET($P17,0,AT$13),15-13*ORÇAMENTO!$AF$7)*OFFSET(ORÇAMENTO!$W$15,ROW(AT17)-ROW(AT$15),0),15-13*ORÇAMENTO!$AF$11)),
         0)</f>
        <v>0</v>
      </c>
      <c r="AU17" s="453">
        <f ca="1">IF(AND($D17="Serviço",AU$12&lt;&gt;0,$H17&gt;0,OR(AUTOEVENTO&lt;&gt;"manual",$M17&lt;&gt;$A$15)),
        IF(Import.TipoArredondamento&lt;&gt;"TransfereGOV",
              ROUND(OFFSET($P17,0,AU$13),15-13*ORÇAMENTO!$AF$7)/$H17*OFFSET(ORÇAMENTO!$X$15,ROW(AU17)-ROW(AU$15),0),
              ROUND(ROUND(OFFSET($P17,0,AU$13),15-13*ORÇAMENTO!$AF$7)*OFFSET(ORÇAMENTO!$W$15,ROW(AU17)-ROW(AU$15),0),15-13*ORÇAMENTO!$AF$11)),
         0)</f>
        <v>0</v>
      </c>
      <c r="AV17" s="453">
        <f ca="1">IF(AND($D17="Serviço",AV$12&lt;&gt;0,$H17&gt;0,OR(AUTOEVENTO&lt;&gt;"manual",$M17&lt;&gt;$A$15)),
        IF(Import.TipoArredondamento&lt;&gt;"TransfereGOV",
              ROUND(OFFSET($P17,0,AV$13),15-13*ORÇAMENTO!$AF$7)/$H17*OFFSET(ORÇAMENTO!$X$15,ROW(AV17)-ROW(AV$15),0),
              ROUND(ROUND(OFFSET($P17,0,AV$13),15-13*ORÇAMENTO!$AF$7)*OFFSET(ORÇAMENTO!$W$15,ROW(AV17)-ROW(AV$15),0),15-13*ORÇAMENTO!$AF$11)),
         0)</f>
        <v>0</v>
      </c>
      <c r="AW17" s="453">
        <f ca="1">IF(AND($D17="Serviço",AW$12&lt;&gt;0,$H17&gt;0,OR(AUTOEVENTO&lt;&gt;"manual",$M17&lt;&gt;$A$15)),
        IF(Import.TipoArredondamento&lt;&gt;"TransfereGOV",
              ROUND(OFFSET($P17,0,AW$13),15-13*ORÇAMENTO!$AF$7)/$H17*OFFSET(ORÇAMENTO!$X$15,ROW(AW17)-ROW(AW$15),0),
              ROUND(ROUND(OFFSET($P17,0,AW$13),15-13*ORÇAMENTO!$AF$7)*OFFSET(ORÇAMENTO!$W$15,ROW(AW17)-ROW(AW$15),0),15-13*ORÇAMENTO!$AF$11)),
         0)</f>
        <v>0</v>
      </c>
      <c r="AX17" s="453">
        <f ca="1">IF(AND($D17="Serviço",AX$12&lt;&gt;0,$H17&gt;0,OR(AUTOEVENTO&lt;&gt;"manual",$M17&lt;&gt;$A$15)),
        IF(Import.TipoArredondamento&lt;&gt;"TransfereGOV",
              ROUND(OFFSET($P17,0,AX$13),15-13*ORÇAMENTO!$AF$7)/$H17*OFFSET(ORÇAMENTO!$X$15,ROW(AX17)-ROW(AX$15),0),
              ROUND(ROUND(OFFSET($P17,0,AX$13),15-13*ORÇAMENTO!$AF$7)*OFFSET(ORÇAMENTO!$W$15,ROW(AX17)-ROW(AX$15),0),15-13*ORÇAMENTO!$AF$11)),
         0)</f>
        <v>0</v>
      </c>
      <c r="AY17" s="453">
        <f ca="1">IF(AND($D17="Serviço",AY$12&lt;&gt;0,$H17&gt;0,OR(AUTOEVENTO&lt;&gt;"manual",$M17&lt;&gt;$A$15)),
        IF(Import.TipoArredondamento&lt;&gt;"TransfereGOV",
              ROUND(OFFSET($P17,0,AY$13),15-13*ORÇAMENTO!$AF$7)/$H17*OFFSET(ORÇAMENTO!$X$15,ROW(AY17)-ROW(AY$15),0),
              ROUND(ROUND(OFFSET($P17,0,AY$13),15-13*ORÇAMENTO!$AF$7)*OFFSET(ORÇAMENTO!$W$15,ROW(AY17)-ROW(AY$15),0),15-13*ORÇAMENTO!$AF$11)),
         0)</f>
        <v>0</v>
      </c>
      <c r="AZ17" s="453">
        <f ca="1">IF(AND($D17="Serviço",AZ$12&lt;&gt;0,$H17&gt;0,OR(AUTOEVENTO&lt;&gt;"manual",$M17&lt;&gt;$A$15)),
        IF(Import.TipoArredondamento&lt;&gt;"TransfereGOV",
              ROUND(OFFSET($P17,0,AZ$13),15-13*ORÇAMENTO!$AF$7)/$H17*OFFSET(ORÇAMENTO!$X$15,ROW(AZ17)-ROW(AZ$15),0),
              ROUND(ROUND(OFFSET($P17,0,AZ$13),15-13*ORÇAMENTO!$AF$7)*OFFSET(ORÇAMENTO!$W$15,ROW(AZ17)-ROW(AZ$15),0),15-13*ORÇAMENTO!$AF$11)),
         0)</f>
        <v>0</v>
      </c>
      <c r="BA17" s="453">
        <f ca="1">IF(AND($D17="Serviço",BA$12&lt;&gt;0,$H17&gt;0,OR(AUTOEVENTO&lt;&gt;"manual",$M17&lt;&gt;$A$15)),
        IF(Import.TipoArredondamento&lt;&gt;"TransfereGOV",
              ROUND(OFFSET($P17,0,BA$13),15-13*ORÇAMENTO!$AF$7)/$H17*OFFSET(ORÇAMENTO!$X$15,ROW(BA17)-ROW(BA$15),0),
              ROUND(ROUND(OFFSET($P17,0,BA$13),15-13*ORÇAMENTO!$AF$7)*OFFSET(ORÇAMENTO!$W$15,ROW(BA17)-ROW(BA$15),0),15-13*ORÇAMENTO!$AF$11)),
         0)</f>
        <v>0</v>
      </c>
      <c r="BB17" s="453">
        <f ca="1">IF(AND($D17="Serviço",BB$12&lt;&gt;0,$H17&gt;0,OR(AUTOEVENTO&lt;&gt;"manual",$M17&lt;&gt;$A$15)),
        IF(Import.TipoArredondamento&lt;&gt;"TransfereGOV",
              ROUND(OFFSET($P17,0,BB$13),15-13*ORÇAMENTO!$AF$7)/$H17*OFFSET(ORÇAMENTO!$X$15,ROW(BB17)-ROW(BB$15),0),
              ROUND(ROUND(OFFSET($P17,0,BB$13),15-13*ORÇAMENTO!$AF$7)*OFFSET(ORÇAMENTO!$W$15,ROW(BB17)-ROW(BB$15),0),15-13*ORÇAMENTO!$AF$11)),
         0)</f>
        <v>0</v>
      </c>
      <c r="BC17" s="453">
        <f ca="1">IF(AND($D17="Serviço",BC$12&lt;&gt;0,$H17&gt;0,OR(AUTOEVENTO&lt;&gt;"manual",$M17&lt;&gt;$A$15)),
        IF(Import.TipoArredondamento&lt;&gt;"TransfereGOV",
              ROUND(OFFSET($P17,0,BC$13),15-13*ORÇAMENTO!$AF$7)/$H17*OFFSET(ORÇAMENTO!$X$15,ROW(BC17)-ROW(BC$15),0),
              ROUND(ROUND(OFFSET($P17,0,BC$13),15-13*ORÇAMENTO!$AF$7)*OFFSET(ORÇAMENTO!$W$15,ROW(BC17)-ROW(BC$15),0),15-13*ORÇAMENTO!$AF$11)),
         0)</f>
        <v>0</v>
      </c>
      <c r="BD17" s="453">
        <f ca="1">IF(AND($D17="Serviço",BD$12&lt;&gt;0,$H17&gt;0,OR(AUTOEVENTO&lt;&gt;"manual",$M17&lt;&gt;$A$15)),
        IF(Import.TipoArredondamento&lt;&gt;"TransfereGOV",
              ROUND(OFFSET($P17,0,BD$13),15-13*ORÇAMENTO!$AF$7)/$H17*OFFSET(ORÇAMENTO!$X$15,ROW(BD17)-ROW(BD$15),0),
              ROUND(ROUND(OFFSET($P17,0,BD$13),15-13*ORÇAMENTO!$AF$7)*OFFSET(ORÇAMENTO!$W$15,ROW(BD17)-ROW(BD$15),0),15-13*ORÇAMENTO!$AF$11)),
         0)</f>
        <v>0</v>
      </c>
      <c r="BE17" s="453">
        <f ca="1">IF(AND($D17="Serviço",BE$12&lt;&gt;0,$H17&gt;0,OR(AUTOEVENTO&lt;&gt;"manual",$M17&lt;&gt;$A$15)),
        IF(Import.TipoArredondamento&lt;&gt;"TransfereGOV",
              ROUND(OFFSET($P17,0,BE$13),15-13*ORÇAMENTO!$AF$7)/$H17*OFFSET(ORÇAMENTO!$X$15,ROW(BE17)-ROW(BE$15),0),
              ROUND(ROUND(OFFSET($P17,0,BE$13),15-13*ORÇAMENTO!$AF$7)*OFFSET(ORÇAMENTO!$W$15,ROW(BE17)-ROW(BE$15),0),15-13*ORÇAMENTO!$AF$11)),
         0)</f>
        <v>0</v>
      </c>
      <c r="BF17" s="453">
        <f ca="1">IF(AND($D17="Serviço",BF$12&lt;&gt;0,$H17&gt;0,OR(AUTOEVENTO&lt;&gt;"manual",$M17&lt;&gt;$A$15)),
        IF(Import.TipoArredondamento&lt;&gt;"TransfereGOV",
              ROUND(OFFSET($P17,0,BF$13),15-13*ORÇAMENTO!$AF$7)/$H17*OFFSET(ORÇAMENTO!$X$15,ROW(BF17)-ROW(BF$15),0),
              ROUND(ROUND(OFFSET($P17,0,BF$13),15-13*ORÇAMENTO!$AF$7)*OFFSET(ORÇAMENTO!$W$15,ROW(BF17)-ROW(BF$15),0),15-13*ORÇAMENTO!$AF$11)),
         0)</f>
        <v>0</v>
      </c>
      <c r="BG17" s="453">
        <f ca="1">IF(AND($D17="Serviço",BG$12&lt;&gt;0,$H17&gt;0,OR(AUTOEVENTO&lt;&gt;"manual",$M17&lt;&gt;$A$15)),
        IF(Import.TipoArredondamento&lt;&gt;"TransfereGOV",
              ROUND(OFFSET($P17,0,BG$13),15-13*ORÇAMENTO!$AF$7)/$H17*OFFSET(ORÇAMENTO!$X$15,ROW(BG17)-ROW(BG$15),0),
              ROUND(ROUND(OFFSET($P17,0,BG$13),15-13*ORÇAMENTO!$AF$7)*OFFSET(ORÇAMENTO!$W$15,ROW(BG17)-ROW(BG$15),0),15-13*ORÇAMENTO!$AF$11)),
         0)</f>
        <v>0</v>
      </c>
      <c r="BH17" s="453">
        <f ca="1">IF(AND($D17="Serviço",BH$12&lt;&gt;0,$H17&gt;0,OR(AUTOEVENTO&lt;&gt;"manual",$M17&lt;&gt;$A$15)),
        IF(Import.TipoArredondamento&lt;&gt;"TransfereGOV",
              ROUND(OFFSET($P17,0,BH$13),15-13*ORÇAMENTO!$AF$7)/$H17*OFFSET(ORÇAMENTO!$X$15,ROW(BH17)-ROW(BH$15),0),
              ROUND(ROUND(OFFSET($P17,0,BH$13),15-13*ORÇAMENTO!$AF$7)*OFFSET(ORÇAMENTO!$W$15,ROW(BH17)-ROW(BH$15),0),15-13*ORÇAMENTO!$AF$11)),
         0)</f>
        <v>0</v>
      </c>
      <c r="BI17" s="453">
        <f ca="1">IF(AND($D17="Serviço",BI$12&lt;&gt;0,$H17&gt;0,OR(AUTOEVENTO&lt;&gt;"manual",$M17&lt;&gt;$A$15)),
        IF(Import.TipoArredondamento&lt;&gt;"TransfereGOV",
              ROUND(OFFSET($P17,0,BI$13),15-13*ORÇAMENTO!$AF$7)/$H17*OFFSET(ORÇAMENTO!$X$15,ROW(BI17)-ROW(BI$15),0),
              ROUND(ROUND(OFFSET($P17,0,BI$13),15-13*ORÇAMENTO!$AF$7)*OFFSET(ORÇAMENTO!$W$15,ROW(BI17)-ROW(BI$15),0),15-13*ORÇAMENTO!$AF$11)),
         0)</f>
        <v>0</v>
      </c>
      <c r="BJ17" s="453">
        <f ca="1">IF(AND($D17="Serviço",BJ$12&lt;&gt;0,$H17&gt;0,OR(AUTOEVENTO&lt;&gt;"manual",$M17&lt;&gt;$A$15)),
        IF(Import.TipoArredondamento&lt;&gt;"TransfereGOV",
              ROUND(OFFSET($P17,0,BJ$13),15-13*ORÇAMENTO!$AF$7)/$H17*OFFSET(ORÇAMENTO!$X$15,ROW(BJ17)-ROW(BJ$15),0),
              ROUND(ROUND(OFFSET($P17,0,BJ$13),15-13*ORÇAMENTO!$AF$7)*OFFSET(ORÇAMENTO!$W$15,ROW(BJ17)-ROW(BJ$15),0),15-13*ORÇAMENTO!$AF$11)),
         0)</f>
        <v>0</v>
      </c>
      <c r="BK17" s="453">
        <f ca="1">IF(AND($D17="Serviço",BK$12&lt;&gt;0,$H17&gt;0,OR(AUTOEVENTO&lt;&gt;"manual",$M17&lt;&gt;$A$15)),
        IF(Import.TipoArredondamento&lt;&gt;"TransfereGOV",
              ROUND(OFFSET($P17,0,BK$13),15-13*ORÇAMENTO!$AF$7)/$H17*OFFSET(ORÇAMENTO!$X$15,ROW(BK17)-ROW(BK$15),0),
              ROUND(ROUND(OFFSET($P17,0,BK$13),15-13*ORÇAMENTO!$AF$7)*OFFSET(ORÇAMENTO!$W$15,ROW(BK17)-ROW(BK$15),0),15-13*ORÇAMENTO!$AF$11)),
         0)</f>
        <v>0</v>
      </c>
      <c r="BL17" s="453">
        <f ca="1">IF(AND($D17="Serviço",BL$12&lt;&gt;0,$H17&gt;0,OR(AUTOEVENTO&lt;&gt;"manual",$M17&lt;&gt;$A$15)),
        IF(Import.TipoArredondamento&lt;&gt;"TransfereGOV",
              ROUND(OFFSET($P17,0,BL$13),15-13*ORÇAMENTO!$AF$7)/$H17*OFFSET(ORÇAMENTO!$X$15,ROW(BL17)-ROW(BL$15),0),
              ROUND(ROUND(OFFSET($P17,0,BL$13),15-13*ORÇAMENTO!$AF$7)*OFFSET(ORÇAMENTO!$W$15,ROW(BL17)-ROW(BL$15),0),15-13*ORÇAMENTO!$AF$11)),
         0)</f>
        <v>0</v>
      </c>
      <c r="BM17" s="453">
        <f ca="1">IF(AND($D17="Serviço",BM$12&lt;&gt;0,$H17&gt;0,OR(AUTOEVENTO&lt;&gt;"manual",$M17&lt;&gt;$A$15)),
        IF(Import.TipoArredondamento&lt;&gt;"TransfereGOV",
              ROUND(OFFSET($P17,0,BM$13),15-13*ORÇAMENTO!$AF$7)/$H17*OFFSET(ORÇAMENTO!$X$15,ROW(BM17)-ROW(BM$15),0),
              ROUND(ROUND(OFFSET($P17,0,BM$13),15-13*ORÇAMENTO!$AF$7)*OFFSET(ORÇAMENTO!$W$15,ROW(BM17)-ROW(BM$15),0),15-13*ORÇAMENTO!$AF$11)),
         0)</f>
        <v>0</v>
      </c>
      <c r="BN17" s="453">
        <f ca="1">IF(AND($D17="Serviço",BN$12&lt;&gt;0,$H17&gt;0,OR(AUTOEVENTO&lt;&gt;"manual",$M17&lt;&gt;$A$15)),
        IF(Import.TipoArredondamento&lt;&gt;"TransfereGOV",
              ROUND(OFFSET($P17,0,BN$13),15-13*ORÇAMENTO!$AF$7)/$H17*OFFSET(ORÇAMENTO!$X$15,ROW(BN17)-ROW(BN$15),0),
              ROUND(ROUND(OFFSET($P17,0,BN$13),15-13*ORÇAMENTO!$AF$7)*OFFSET(ORÇAMENTO!$W$15,ROW(BN17)-ROW(BN$15),0),15-13*ORÇAMENTO!$AF$11)),
         0)</f>
        <v>0</v>
      </c>
      <c r="BO17" s="453">
        <f ca="1">IF(AND($D17="Serviço",BO$12&lt;&gt;0,$H17&gt;0,OR(AUTOEVENTO&lt;&gt;"manual",$M17&lt;&gt;$A$15)),
        IF(Import.TipoArredondamento&lt;&gt;"TransfereGOV",
              ROUND(OFFSET($P17,0,BO$13),15-13*ORÇAMENTO!$AF$7)/$H17*OFFSET(ORÇAMENTO!$X$15,ROW(BO17)-ROW(BO$15),0),
              ROUND(ROUND(OFFSET($P17,0,BO$13),15-13*ORÇAMENTO!$AF$7)*OFFSET(ORÇAMENTO!$W$15,ROW(BO17)-ROW(BO$15),0),15-13*ORÇAMENTO!$AF$11)),
         0)</f>
        <v>0</v>
      </c>
      <c r="BP17" s="453">
        <f ca="1">IF(AND($D17="Serviço",BP$12&lt;&gt;0,$H17&gt;0,OR(AUTOEVENTO&lt;&gt;"manual",$M17&lt;&gt;$A$15)),
        IF(Import.TipoArredondamento&lt;&gt;"TransfereGOV",
              ROUND(OFFSET($P17,0,BP$13),15-13*ORÇAMENTO!$AF$7)/$H17*OFFSET(ORÇAMENTO!$X$15,ROW(BP17)-ROW(BP$15),0),
              ROUND(ROUND(OFFSET($P17,0,BP$13),15-13*ORÇAMENTO!$AF$7)*OFFSET(ORÇAMENTO!$W$15,ROW(BP17)-ROW(BP$15),0),15-13*ORÇAMENTO!$AF$11)),
         0)</f>
        <v>0</v>
      </c>
      <c r="BQ17" s="453">
        <f ca="1">IF(AND($D17="Serviço",BQ$12&lt;&gt;0,$H17&gt;0,OR(AUTOEVENTO&lt;&gt;"manual",$M17&lt;&gt;$A$15)),
        IF(Import.TipoArredondamento&lt;&gt;"TransfereGOV",
              ROUND(OFFSET($P17,0,BQ$13),15-13*ORÇAMENTO!$AF$7)/$H17*OFFSET(ORÇAMENTO!$X$15,ROW(BQ17)-ROW(BQ$15),0),
              ROUND(ROUND(OFFSET($P17,0,BQ$13),15-13*ORÇAMENTO!$AF$7)*OFFSET(ORÇAMENTO!$W$15,ROW(BQ17)-ROW(BQ$15),0),15-13*ORÇAMENTO!$AF$11)),
         0)</f>
        <v>0</v>
      </c>
      <c r="BS17" s="171">
        <f ca="1">IF(OR($D17&lt;&gt;"Serviço",AND(AUTOEVENTO="Manual",$M17=$A$15)),0,
         IF(OFFSET(CRONOPLE!$F$15,$M17-$A$15,BS$13)=0,10^12,OFFSET(CRONOPLE!$F$15,$M17-$A$15,BS$13)))</f>
        <v>0</v>
      </c>
      <c r="BT17" s="171">
        <f ca="1">IF(OR($D17&lt;&gt;"Serviço",AND(AUTOEVENTO="Manual",$M17=$A$15)),0,
         IF(OFFSET(CRONOPLE!$F$15,$M17-$A$15,BT$13)=0,10^12,OFFSET(CRONOPLE!$F$15,$M17-$A$15,BT$13)))</f>
        <v>0</v>
      </c>
      <c r="BU17" s="171">
        <f ca="1">IF(OR($D17&lt;&gt;"Serviço",AND(AUTOEVENTO="Manual",$M17=$A$15)),0,
         IF(OFFSET(CRONOPLE!$F$15,$M17-$A$15,BU$13)=0,10^12,OFFSET(CRONOPLE!$F$15,$M17-$A$15,BU$13)))</f>
        <v>0</v>
      </c>
      <c r="BV17" s="171">
        <f ca="1">IF(OR($D17&lt;&gt;"Serviço",AND(AUTOEVENTO="Manual",$M17=$A$15)),0,
         IF(OFFSET(CRONOPLE!$F$15,$M17-$A$15,BV$13)=0,10^12,OFFSET(CRONOPLE!$F$15,$M17-$A$15,BV$13)))</f>
        <v>0</v>
      </c>
      <c r="BW17" s="171">
        <f ca="1">IF(OR($D17&lt;&gt;"Serviço",AND(AUTOEVENTO="Manual",$M17=$A$15)),0,
         IF(OFFSET(CRONOPLE!$F$15,$M17-$A$15,BW$13)=0,10^12,OFFSET(CRONOPLE!$F$15,$M17-$A$15,BW$13)))</f>
        <v>0</v>
      </c>
      <c r="BX17" s="171">
        <f ca="1">IF(OR($D17&lt;&gt;"Serviço",AND(AUTOEVENTO="Manual",$M17=$A$15)),0,
         IF(OFFSET(CRONOPLE!$F$15,$M17-$A$15,BX$13)=0,10^12,OFFSET(CRONOPLE!$F$15,$M17-$A$15,BX$13)))</f>
        <v>0</v>
      </c>
      <c r="BY17" s="171">
        <f ca="1">IF(OR($D17&lt;&gt;"Serviço",AND(AUTOEVENTO="Manual",$M17=$A$15)),0,
         IF(OFFSET(CRONOPLE!$F$15,$M17-$A$15,BY$13)=0,10^12,OFFSET(CRONOPLE!$F$15,$M17-$A$15,BY$13)))</f>
        <v>0</v>
      </c>
      <c r="BZ17" s="171">
        <f ca="1">IF(OR($D17&lt;&gt;"Serviço",AND(AUTOEVENTO="Manual",$M17=$A$15)),0,
         IF(OFFSET(CRONOPLE!$F$15,$M17-$A$15,BZ$13)=0,10^12,OFFSET(CRONOPLE!$F$15,$M17-$A$15,BZ$13)))</f>
        <v>0</v>
      </c>
      <c r="CA17" s="171">
        <f ca="1">IF(OR($D17&lt;&gt;"Serviço",AND(AUTOEVENTO="Manual",$M17=$A$15)),0,
         IF(OFFSET(CRONOPLE!$F$15,$M17-$A$15,CA$13)=0,10^12,OFFSET(CRONOPLE!$F$15,$M17-$A$15,CA$13)))</f>
        <v>0</v>
      </c>
      <c r="CB17" s="171">
        <f ca="1">IF(OR($D17&lt;&gt;"Serviço",AND(AUTOEVENTO="Manual",$M17=$A$15)),0,
         IF(OFFSET(CRONOPLE!$F$15,$M17-$A$15,CB$13)=0,10^12,OFFSET(CRONOPLE!$F$15,$M17-$A$15,CB$13)))</f>
        <v>0</v>
      </c>
      <c r="CC17" s="171">
        <f ca="1">IF(OR($D17&lt;&gt;"Serviço",AND(AUTOEVENTO="Manual",$M17=$A$15)),0,
         IF(OFFSET(CRONOPLE!$F$15,$M17-$A$15,CC$13)=0,10^12,OFFSET(CRONOPLE!$F$15,$M17-$A$15,CC$13)))</f>
        <v>0</v>
      </c>
      <c r="CD17" s="171">
        <f ca="1">IF(OR($D17&lt;&gt;"Serviço",AND(AUTOEVENTO="Manual",$M17=$A$15)),0,
         IF(OFFSET(CRONOPLE!$F$15,$M17-$A$15,CD$13)=0,10^12,OFFSET(CRONOPLE!$F$15,$M17-$A$15,CD$13)))</f>
        <v>0</v>
      </c>
      <c r="CE17" s="171">
        <f ca="1">IF(OR($D17&lt;&gt;"Serviço",AND(AUTOEVENTO="Manual",$M17=$A$15)),0,
         IF(OFFSET(CRONOPLE!$F$15,$M17-$A$15,CE$13)=0,10^12,OFFSET(CRONOPLE!$F$15,$M17-$A$15,CE$13)))</f>
        <v>0</v>
      </c>
      <c r="CF17" s="171">
        <f ca="1">IF(OR($D17&lt;&gt;"Serviço",AND(AUTOEVENTO="Manual",$M17=$A$15)),0,
         IF(OFFSET(CRONOPLE!$F$15,$M17-$A$15,CF$13)=0,10^12,OFFSET(CRONOPLE!$F$15,$M17-$A$15,CF$13)))</f>
        <v>0</v>
      </c>
      <c r="CG17" s="171">
        <f ca="1">IF(OR($D17&lt;&gt;"Serviço",AND(AUTOEVENTO="Manual",$M17=$A$15)),0,
         IF(OFFSET(CRONOPLE!$F$15,$M17-$A$15,CG$13)=0,10^12,OFFSET(CRONOPLE!$F$15,$M17-$A$15,CG$13)))</f>
        <v>0</v>
      </c>
      <c r="CH17" s="171">
        <f ca="1">IF(OR($D17&lt;&gt;"Serviço",AND(AUTOEVENTO="Manual",$M17=$A$15)),0,
         IF(OFFSET(CRONOPLE!$F$15,$M17-$A$15,CH$13)=0,10^12,OFFSET(CRONOPLE!$F$15,$M17-$A$15,CH$13)))</f>
        <v>0</v>
      </c>
      <c r="CI17" s="171">
        <f ca="1">IF(OR($D17&lt;&gt;"Serviço",AND(AUTOEVENTO="Manual",$M17=$A$15)),0,
         IF(OFFSET(CRONOPLE!$F$15,$M17-$A$15,CI$13)=0,10^12,OFFSET(CRONOPLE!$F$15,$M17-$A$15,CI$13)))</f>
        <v>0</v>
      </c>
      <c r="CJ17" s="171">
        <f ca="1">IF(OR($D17&lt;&gt;"Serviço",AND(AUTOEVENTO="Manual",$M17=$A$15)),0,
         IF(OFFSET(CRONOPLE!$F$15,$M17-$A$15,CJ$13)=0,10^12,OFFSET(CRONOPLE!$F$15,$M17-$A$15,CJ$13)))</f>
        <v>0</v>
      </c>
      <c r="CK17" s="171">
        <f ca="1">IF(OR($D17&lt;&gt;"Serviço",AND(AUTOEVENTO="Manual",$M17=$A$15)),0,
         IF(OFFSET(CRONOPLE!$F$15,$M17-$A$15,CK$13)=0,10^12,OFFSET(CRONOPLE!$F$15,$M17-$A$15,CK$13)))</f>
        <v>0</v>
      </c>
      <c r="CL17" s="171">
        <f ca="1">IF(OR($D17&lt;&gt;"Serviço",AND(AUTOEVENTO="Manual",$M17=$A$15)),0,
         IF(OFFSET(CRONOPLE!$F$15,$M17-$A$15,CL$13)=0,10^12,OFFSET(CRONOPLE!$F$15,$M17-$A$15,CL$13)))</f>
        <v>0</v>
      </c>
      <c r="CM17" s="171">
        <f ca="1">IF(OR($D17&lt;&gt;"Serviço",AND(AUTOEVENTO="Manual",$M17=$A$15)),0,
         IF(OFFSET(CRONOPLE!$F$15,$M17-$A$15,CM$13)=0,10^12,OFFSET(CRONOPLE!$F$15,$M17-$A$15,CM$13)))</f>
        <v>0</v>
      </c>
      <c r="CN17" s="171">
        <f ca="1">IF(OR($D17&lt;&gt;"Serviço",AND(AUTOEVENTO="Manual",$M17=$A$15)),0,
         IF(OFFSET(CRONOPLE!$F$15,$M17-$A$15,CN$13)=0,10^12,OFFSET(CRONOPLE!$F$15,$M17-$A$15,CN$13)))</f>
        <v>0</v>
      </c>
      <c r="CO17" s="171">
        <f ca="1">IF(OR($D17&lt;&gt;"Serviço",AND(AUTOEVENTO="Manual",$M17=$A$15)),0,
         IF(OFFSET(CRONOPLE!$F$15,$M17-$A$15,CO$13)=0,10^12,OFFSET(CRONOPLE!$F$15,$M17-$A$15,CO$13)))</f>
        <v>0</v>
      </c>
      <c r="CP17" s="171">
        <f ca="1">IF(OR($D17&lt;&gt;"Serviço",AND(AUTOEVENTO="Manual",$M17=$A$15)),0,
         IF(OFFSET(CRONOPLE!$F$15,$M17-$A$15,CP$13)=0,10^12,OFFSET(CRONOPLE!$F$15,$M17-$A$15,CP$13)))</f>
        <v>0</v>
      </c>
      <c r="CQ17" s="171">
        <f ca="1">IF(OR($D17&lt;&gt;"Serviço",AND(AUTOEVENTO="Manual",$M17=$A$15)),0,
         IF(OFFSET(CRONOPLE!$F$15,$M17-$A$15,CQ$13)=0,10^12,OFFSET(CRONOPLE!$F$15,$M17-$A$15,CQ$13)))</f>
        <v>0</v>
      </c>
      <c r="CR17" s="171">
        <f ca="1">IF(OR($D17&lt;&gt;"Serviço",AND(AUTOEVENTO="Manual",$M17=$A$15)),0,
         IF(OFFSET(CRONOPLE!$F$15,$M17-$A$15,CR$13)=0,10^12,OFFSET(CRONOPLE!$F$15,$M17-$A$15,CR$13)))</f>
        <v>0</v>
      </c>
      <c r="CT17" s="172" cm="1">
        <f t="array" aca="1" ref="CT17" ca="1">IF(OR($D17&lt;&gt;"Serviço",AND(AUTOEVENTO="Manual",$M17=$A$15),$M17&gt;(ROW(PLE.lastrow)-ROW(PLE.firstrow))),0,
           IF(OFFSET(PLE!$G$15,$M17-$A$15,CT$13)="",10^12,OFFSET(PLE!$G$15,$M17-$A$15,CT$13)))</f>
        <v>0</v>
      </c>
      <c r="CU17" s="172" cm="1">
        <f t="array" aca="1" ref="CU17" ca="1">IF(OR($D17&lt;&gt;"Serviço",AND(AUTOEVENTO="Manual",$M17=$A$15),$M17&gt;(ROW(PLE.lastrow)-ROW(PLE.firstrow))),0,
           IF(OFFSET(PLE!$G$15,$M17-$A$15,CU$13)="",10^12,OFFSET(PLE!$G$15,$M17-$A$15,CU$13)))</f>
        <v>0</v>
      </c>
      <c r="CV17" s="172" cm="1">
        <f t="array" aca="1" ref="CV17" ca="1">IF(OR($D17&lt;&gt;"Serviço",AND(AUTOEVENTO="Manual",$M17=$A$15),$M17&gt;(ROW(PLE.lastrow)-ROW(PLE.firstrow))),0,
           IF(OFFSET(PLE!$G$15,$M17-$A$15,CV$13)="",10^12,OFFSET(PLE!$G$15,$M17-$A$15,CV$13)))</f>
        <v>0</v>
      </c>
      <c r="CW17" s="172" cm="1">
        <f t="array" aca="1" ref="CW17" ca="1">IF(OR($D17&lt;&gt;"Serviço",AND(AUTOEVENTO="Manual",$M17=$A$15),$M17&gt;(ROW(PLE.lastrow)-ROW(PLE.firstrow))),0,
           IF(OFFSET(PLE!$G$15,$M17-$A$15,CW$13)="",10^12,OFFSET(PLE!$G$15,$M17-$A$15,CW$13)))</f>
        <v>0</v>
      </c>
      <c r="CX17" s="172" cm="1">
        <f t="array" aca="1" ref="CX17" ca="1">IF(OR($D17&lt;&gt;"Serviço",AND(AUTOEVENTO="Manual",$M17=$A$15),$M17&gt;(ROW(PLE.lastrow)-ROW(PLE.firstrow))),0,
           IF(OFFSET(PLE!$G$15,$M17-$A$15,CX$13)="",10^12,OFFSET(PLE!$G$15,$M17-$A$15,CX$13)))</f>
        <v>0</v>
      </c>
      <c r="CY17" s="172" cm="1">
        <f t="array" aca="1" ref="CY17" ca="1">IF(OR($D17&lt;&gt;"Serviço",AND(AUTOEVENTO="Manual",$M17=$A$15),$M17&gt;(ROW(PLE.lastrow)-ROW(PLE.firstrow))),0,
           IF(OFFSET(PLE!$G$15,$M17-$A$15,CY$13)="",10^12,OFFSET(PLE!$G$15,$M17-$A$15,CY$13)))</f>
        <v>0</v>
      </c>
      <c r="CZ17" s="172" cm="1">
        <f t="array" aca="1" ref="CZ17" ca="1">IF(OR($D17&lt;&gt;"Serviço",AND(AUTOEVENTO="Manual",$M17=$A$15),$M17&gt;(ROW(PLE.lastrow)-ROW(PLE.firstrow))),0,
           IF(OFFSET(PLE!$G$15,$M17-$A$15,CZ$13)="",10^12,OFFSET(PLE!$G$15,$M17-$A$15,CZ$13)))</f>
        <v>0</v>
      </c>
      <c r="DA17" s="172" cm="1">
        <f t="array" aca="1" ref="DA17" ca="1">IF(OR($D17&lt;&gt;"Serviço",AND(AUTOEVENTO="Manual",$M17=$A$15),$M17&gt;(ROW(PLE.lastrow)-ROW(PLE.firstrow))),0,
           IF(OFFSET(PLE!$G$15,$M17-$A$15,DA$13)="",10^12,OFFSET(PLE!$G$15,$M17-$A$15,DA$13)))</f>
        <v>0</v>
      </c>
      <c r="DB17" s="172" cm="1">
        <f t="array" aca="1" ref="DB17" ca="1">IF(OR($D17&lt;&gt;"Serviço",AND(AUTOEVENTO="Manual",$M17=$A$15),$M17&gt;(ROW(PLE.lastrow)-ROW(PLE.firstrow))),0,
           IF(OFFSET(PLE!$G$15,$M17-$A$15,DB$13)="",10^12,OFFSET(PLE!$G$15,$M17-$A$15,DB$13)))</f>
        <v>0</v>
      </c>
      <c r="DC17" s="172" cm="1">
        <f t="array" aca="1" ref="DC17" ca="1">IF(OR($D17&lt;&gt;"Serviço",AND(AUTOEVENTO="Manual",$M17=$A$15),$M17&gt;(ROW(PLE.lastrow)-ROW(PLE.firstrow))),0,
           IF(OFFSET(PLE!$G$15,$M17-$A$15,DC$13)="",10^12,OFFSET(PLE!$G$15,$M17-$A$15,DC$13)))</f>
        <v>0</v>
      </c>
      <c r="DD17" s="172" cm="1">
        <f t="array" aca="1" ref="DD17" ca="1">IF(OR($D17&lt;&gt;"Serviço",AND(AUTOEVENTO="Manual",$M17=$A$15),$M17&gt;(ROW(PLE.lastrow)-ROW(PLE.firstrow))),0,
           IF(OFFSET(PLE!$G$15,$M17-$A$15,DD$13)="",10^12,OFFSET(PLE!$G$15,$M17-$A$15,DD$13)))</f>
        <v>0</v>
      </c>
      <c r="DE17" s="172" cm="1">
        <f t="array" aca="1" ref="DE17" ca="1">IF(OR($D17&lt;&gt;"Serviço",AND(AUTOEVENTO="Manual",$M17=$A$15),$M17&gt;(ROW(PLE.lastrow)-ROW(PLE.firstrow))),0,
           IF(OFFSET(PLE!$G$15,$M17-$A$15,DE$13)="",10^12,OFFSET(PLE!$G$15,$M17-$A$15,DE$13)))</f>
        <v>0</v>
      </c>
      <c r="DF17" s="172" cm="1">
        <f t="array" aca="1" ref="DF17" ca="1">IF(OR($D17&lt;&gt;"Serviço",AND(AUTOEVENTO="Manual",$M17=$A$15),$M17&gt;(ROW(PLE.lastrow)-ROW(PLE.firstrow))),0,
           IF(OFFSET(PLE!$G$15,$M17-$A$15,DF$13)="",10^12,OFFSET(PLE!$G$15,$M17-$A$15,DF$13)))</f>
        <v>0</v>
      </c>
      <c r="DG17" s="172" cm="1">
        <f t="array" aca="1" ref="DG17" ca="1">IF(OR($D17&lt;&gt;"Serviço",AND(AUTOEVENTO="Manual",$M17=$A$15),$M17&gt;(ROW(PLE.lastrow)-ROW(PLE.firstrow))),0,
           IF(OFFSET(PLE!$G$15,$M17-$A$15,DG$13)="",10^12,OFFSET(PLE!$G$15,$M17-$A$15,DG$13)))</f>
        <v>0</v>
      </c>
      <c r="DH17" s="172" cm="1">
        <f t="array" aca="1" ref="DH17" ca="1">IF(OR($D17&lt;&gt;"Serviço",AND(AUTOEVENTO="Manual",$M17=$A$15),$M17&gt;(ROW(PLE.lastrow)-ROW(PLE.firstrow))),0,
           IF(OFFSET(PLE!$G$15,$M17-$A$15,DH$13)="",10^12,OFFSET(PLE!$G$15,$M17-$A$15,DH$13)))</f>
        <v>0</v>
      </c>
      <c r="DI17" s="172" cm="1">
        <f t="array" aca="1" ref="DI17" ca="1">IF(OR($D17&lt;&gt;"Serviço",AND(AUTOEVENTO="Manual",$M17=$A$15),$M17&gt;(ROW(PLE.lastrow)-ROW(PLE.firstrow))),0,
           IF(OFFSET(PLE!$G$15,$M17-$A$15,DI$13)="",10^12,OFFSET(PLE!$G$15,$M17-$A$15,DI$13)))</f>
        <v>0</v>
      </c>
      <c r="DJ17" s="172" cm="1">
        <f t="array" aca="1" ref="DJ17" ca="1">IF(OR($D17&lt;&gt;"Serviço",AND(AUTOEVENTO="Manual",$M17=$A$15),$M17&gt;(ROW(PLE.lastrow)-ROW(PLE.firstrow))),0,
           IF(OFFSET(PLE!$G$15,$M17-$A$15,DJ$13)="",10^12,OFFSET(PLE!$G$15,$M17-$A$15,DJ$13)))</f>
        <v>0</v>
      </c>
      <c r="DK17" s="172" cm="1">
        <f t="array" aca="1" ref="DK17" ca="1">IF(OR($D17&lt;&gt;"Serviço",AND(AUTOEVENTO="Manual",$M17=$A$15),$M17&gt;(ROW(PLE.lastrow)-ROW(PLE.firstrow))),0,
           IF(OFFSET(PLE!$G$15,$M17-$A$15,DK$13)="",10^12,OFFSET(PLE!$G$15,$M17-$A$15,DK$13)))</f>
        <v>0</v>
      </c>
      <c r="DL17" s="172" cm="1">
        <f t="array" aca="1" ref="DL17" ca="1">IF(OR($D17&lt;&gt;"Serviço",AND(AUTOEVENTO="Manual",$M17=$A$15),$M17&gt;(ROW(PLE.lastrow)-ROW(PLE.firstrow))),0,
           IF(OFFSET(PLE!$G$15,$M17-$A$15,DL$13)="",10^12,OFFSET(PLE!$G$15,$M17-$A$15,DL$13)))</f>
        <v>0</v>
      </c>
      <c r="DM17" s="172" cm="1">
        <f t="array" aca="1" ref="DM17" ca="1">IF(OR($D17&lt;&gt;"Serviço",AND(AUTOEVENTO="Manual",$M17=$A$15),$M17&gt;(ROW(PLE.lastrow)-ROW(PLE.firstrow))),0,
           IF(OFFSET(PLE!$G$15,$M17-$A$15,DM$13)="",10^12,OFFSET(PLE!$G$15,$M17-$A$15,DM$13)))</f>
        <v>0</v>
      </c>
      <c r="DN17" s="172" cm="1">
        <f t="array" aca="1" ref="DN17" ca="1">IF(OR($D17&lt;&gt;"Serviço",AND(AUTOEVENTO="Manual",$M17=$A$15),$M17&gt;(ROW(PLE.lastrow)-ROW(PLE.firstrow))),0,
           IF(OFFSET(PLE!$G$15,$M17-$A$15,DN$13)="",10^12,OFFSET(PLE!$G$15,$M17-$A$15,DN$13)))</f>
        <v>0</v>
      </c>
      <c r="DO17" s="172" cm="1">
        <f t="array" aca="1" ref="DO17" ca="1">IF(OR($D17&lt;&gt;"Serviço",AND(AUTOEVENTO="Manual",$M17=$A$15),$M17&gt;(ROW(PLE.lastrow)-ROW(PLE.firstrow))),0,
           IF(OFFSET(PLE!$G$15,$M17-$A$15,DO$13)="",10^12,OFFSET(PLE!$G$15,$M17-$A$15,DO$13)))</f>
        <v>0</v>
      </c>
      <c r="DP17" s="172" cm="1">
        <f t="array" aca="1" ref="DP17" ca="1">IF(OR($D17&lt;&gt;"Serviço",AND(AUTOEVENTO="Manual",$M17=$A$15),$M17&gt;(ROW(PLE.lastrow)-ROW(PLE.firstrow))),0,
           IF(OFFSET(PLE!$G$15,$M17-$A$15,DP$13)="",10^12,OFFSET(PLE!$G$15,$M17-$A$15,DP$13)))</f>
        <v>0</v>
      </c>
      <c r="DQ17" s="172" cm="1">
        <f t="array" aca="1" ref="DQ17" ca="1">IF(OR($D17&lt;&gt;"Serviço",AND(AUTOEVENTO="Manual",$M17=$A$15),$M17&gt;(ROW(PLE.lastrow)-ROW(PLE.firstrow))),0,
           IF(OFFSET(PLE!$G$15,$M17-$A$15,DQ$13)="",10^12,OFFSET(PLE!$G$15,$M17-$A$15,DQ$13)))</f>
        <v>0</v>
      </c>
      <c r="DR17" s="172" cm="1">
        <f t="array" aca="1" ref="DR17" ca="1">IF(OR($D17&lt;&gt;"Serviço",AND(AUTOEVENTO="Manual",$M17=$A$15),$M17&gt;(ROW(PLE.lastrow)-ROW(PLE.firstrow))),0,
           IF(OFFSET(PLE!$G$15,$M17-$A$15,DR$13)="",10^12,OFFSET(PLE!$G$15,$M17-$A$15,DR$13)))</f>
        <v>0</v>
      </c>
      <c r="DS17" s="172" cm="1">
        <f t="array" aca="1" ref="DS17" ca="1">IF(OR($D17&lt;&gt;"Serviço",AND(AUTOEVENTO="Manual",$M17=$A$15),$M17&gt;(ROW(PLE.lastrow)-ROW(PLE.firstrow))),0,
           IF(OFFSET(PLE!$G$15,$M17-$A$15,DS$13)="",10^12,OFFSET(PLE!$G$15,$M17-$A$15,DS$13)))</f>
        <v>0</v>
      </c>
    </row>
    <row r="18" spans="1:123" ht="38.25" x14ac:dyDescent="0.2">
      <c r="A18" s="7">
        <f t="shared" ca="1" si="11"/>
        <v>1</v>
      </c>
      <c r="B18" s="7" t="str">
        <f ca="1">OFFSET(ORÇAMENTO!C$15,$L18,0)</f>
        <v>S</v>
      </c>
      <c r="C18" s="7" t="str">
        <f ca="1">OFFSET(ORÇAMENTO!L$15,$L18,0)</f>
        <v/>
      </c>
      <c r="D18" s="116" t="str">
        <f ca="1">OFFSET(ORÇAMENTO!N$15,$L18,0)</f>
        <v>Serviço</v>
      </c>
      <c r="E18" s="117" t="str">
        <f ca="1">OFFSET(ORÇAMENTO!O$15,$L18,0)</f>
        <v>-</v>
      </c>
      <c r="F18" s="163" t="str">
        <f ca="1">OFFSET(ORÇAMENTO!R$15,$L18,0)</f>
        <v>(Código não identificado nas referências)</v>
      </c>
      <c r="G18" s="164" t="str">
        <f ca="1">IF($D18&lt;&gt;"Serviço","",OFFSET(ORÇAMENTO!S$15,$L18,0))</f>
        <v>-</v>
      </c>
      <c r="H18" s="122" cm="1">
        <f t="array" aca="1" ref="H18" ca="1">IF($D18&lt;&gt;"Serviço",0,IF(ACOMPANHAMENTO="BM",ROUND(OFFSET(ORÇAMENTO!AJ$15,$L18,0),15-13*ORÇAMENTO!$AF$7),IF(IFERROR(CÁLCULO.FrentesPreenchidas,0)=0,0,SUM(ROUND(OFFSET($P18,0,1,1,CÁLCULO.FrentesPreenchidas),15-13*ORÇAMENTO!$AF$7)))))</f>
        <v>685.99999999999989</v>
      </c>
      <c r="I18" s="468" t="s">
        <v>1245</v>
      </c>
      <c r="J18" s="651" t="str" cm="1">
        <f t="array" aca="1" ref="J18" ca="1">IF(OR(B18&lt;&gt;"S",CÁLCULO.FrentesPreenchidas=0),"",IF(AND(ACOMPANHAMENTO="PLE",AUTOEVENTO="Manual",OR(H18&gt;0,ORÇAMENTO!AC18="QUANT."),OR(K18="",M18=0,N18="")),"►E",IF(AND(ACOMPANHAMENTO="PLE",ORÇAMENTO!AC18="QUANT."),"►Q",IF(AND(ACOMPANHAMENTO="PLE",H18&lt;&gt;SUMPRODUCT(($Q$1:$AQ$1=1)*ROUND(Q18:AQ18,15))),"►S",IF(AND(COUNTIF($P$11:$AQ$11,"▼")=0,H18&gt;0,I18=""),"◄M","")))))</f>
        <v/>
      </c>
      <c r="K18" s="652" t="s">
        <v>1249</v>
      </c>
      <c r="L18" s="165">
        <f t="shared" ca="1" si="12"/>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SERVIÇOS PRELIMINARES</v>
      </c>
      <c r="O18" s="168"/>
      <c r="Q18" s="168">
        <f>(6.7+6.7+10.45+10.45)</f>
        <v>34.299999999999997</v>
      </c>
      <c r="R18" s="169">
        <v>34.299999999999997</v>
      </c>
      <c r="S18" s="169">
        <v>34.299999999999997</v>
      </c>
      <c r="T18" s="169">
        <v>34.299999999999997</v>
      </c>
      <c r="U18" s="169">
        <v>34.299999999999997</v>
      </c>
      <c r="V18" s="169">
        <v>34.299999999999997</v>
      </c>
      <c r="W18" s="169">
        <v>34.299999999999997</v>
      </c>
      <c r="X18" s="169">
        <v>34.299999999999997</v>
      </c>
      <c r="Y18" s="169">
        <v>34.299999999999997</v>
      </c>
      <c r="Z18" s="170">
        <v>34.299999999999997</v>
      </c>
      <c r="AA18" s="169">
        <v>34.299999999999997</v>
      </c>
      <c r="AB18" s="169">
        <v>34.299999999999997</v>
      </c>
      <c r="AC18" s="169">
        <v>34.299999999999997</v>
      </c>
      <c r="AD18" s="169">
        <v>34.299999999999997</v>
      </c>
      <c r="AE18" s="169">
        <v>34.299999999999997</v>
      </c>
      <c r="AF18" s="169">
        <v>34.299999999999997</v>
      </c>
      <c r="AG18" s="169">
        <v>34.299999999999997</v>
      </c>
      <c r="AH18" s="170">
        <v>34.299999999999997</v>
      </c>
      <c r="AI18" s="169">
        <v>34.299999999999997</v>
      </c>
      <c r="AJ18" s="169">
        <v>34.299999999999997</v>
      </c>
      <c r="AK18" s="169"/>
      <c r="AL18" s="169"/>
      <c r="AM18" s="169"/>
      <c r="AN18" s="169"/>
      <c r="AO18" s="169"/>
      <c r="AP18" s="170"/>
      <c r="AR18" s="453">
        <f ca="1">IF(AND($D18="Serviço",AR$12&lt;&gt;0,$H18&gt;0,OR(AUTOEVENTO&lt;&gt;"manual",$M18&lt;&gt;$A$15)),
        IF(Import.TipoArredondamento&lt;&gt;"TransfereGOV",
              ROUND(OFFSET($P18,0,AR$13),15-13*ORÇAMENTO!$AF$7)/$H18*OFFSET(ORÇAMENTO!$X$15,ROW(AR18)-ROW(AR$15),0),
              ROUND(ROUND(OFFSET($P18,0,AR$13),15-13*ORÇAMENTO!$AF$7)*OFFSET(ORÇAMENTO!$W$15,ROW(AR18)-ROW(AR$15),0),15-13*ORÇAMENTO!$AF$11)),
         0)</f>
        <v>0</v>
      </c>
      <c r="AS18" s="453">
        <f ca="1">IF(AND($D18="Serviço",AS$12&lt;&gt;0,$H18&gt;0,OR(AUTOEVENTO&lt;&gt;"manual",$M18&lt;&gt;$A$15)),
        IF(Import.TipoArredondamento&lt;&gt;"TransfereGOV",
              ROUND(OFFSET($P18,0,AS$13),15-13*ORÇAMENTO!$AF$7)/$H18*OFFSET(ORÇAMENTO!$X$15,ROW(AS18)-ROW(AS$15),0),
              ROUND(ROUND(OFFSET($P18,0,AS$13),15-13*ORÇAMENTO!$AF$7)*OFFSET(ORÇAMENTO!$W$15,ROW(AS18)-ROW(AS$15),0),15-13*ORÇAMENTO!$AF$11)),
         0)</f>
        <v>0</v>
      </c>
      <c r="AT18" s="453">
        <f ca="1">IF(AND($D18="Serviço",AT$12&lt;&gt;0,$H18&gt;0,OR(AUTOEVENTO&lt;&gt;"manual",$M18&lt;&gt;$A$15)),
        IF(Import.TipoArredondamento&lt;&gt;"TransfereGOV",
              ROUND(OFFSET($P18,0,AT$13),15-13*ORÇAMENTO!$AF$7)/$H18*OFFSET(ORÇAMENTO!$X$15,ROW(AT18)-ROW(AT$15),0),
              ROUND(ROUND(OFFSET($P18,0,AT$13),15-13*ORÇAMENTO!$AF$7)*OFFSET(ORÇAMENTO!$W$15,ROW(AT18)-ROW(AT$15),0),15-13*ORÇAMENTO!$AF$11)),
         0)</f>
        <v>0</v>
      </c>
      <c r="AU18" s="453">
        <f ca="1">IF(AND($D18="Serviço",AU$12&lt;&gt;0,$H18&gt;0,OR(AUTOEVENTO&lt;&gt;"manual",$M18&lt;&gt;$A$15)),
        IF(Import.TipoArredondamento&lt;&gt;"TransfereGOV",
              ROUND(OFFSET($P18,0,AU$13),15-13*ORÇAMENTO!$AF$7)/$H18*OFFSET(ORÇAMENTO!$X$15,ROW(AU18)-ROW(AU$15),0),
              ROUND(ROUND(OFFSET($P18,0,AU$13),15-13*ORÇAMENTO!$AF$7)*OFFSET(ORÇAMENTO!$W$15,ROW(AU18)-ROW(AU$15),0),15-13*ORÇAMENTO!$AF$11)),
         0)</f>
        <v>0</v>
      </c>
      <c r="AV18" s="453">
        <f ca="1">IF(AND($D18="Serviço",AV$12&lt;&gt;0,$H18&gt;0,OR(AUTOEVENTO&lt;&gt;"manual",$M18&lt;&gt;$A$15)),
        IF(Import.TipoArredondamento&lt;&gt;"TransfereGOV",
              ROUND(OFFSET($P18,0,AV$13),15-13*ORÇAMENTO!$AF$7)/$H18*OFFSET(ORÇAMENTO!$X$15,ROW(AV18)-ROW(AV$15),0),
              ROUND(ROUND(OFFSET($P18,0,AV$13),15-13*ORÇAMENTO!$AF$7)*OFFSET(ORÇAMENTO!$W$15,ROW(AV18)-ROW(AV$15),0),15-13*ORÇAMENTO!$AF$11)),
         0)</f>
        <v>0</v>
      </c>
      <c r="AW18" s="453">
        <f ca="1">IF(AND($D18="Serviço",AW$12&lt;&gt;0,$H18&gt;0,OR(AUTOEVENTO&lt;&gt;"manual",$M18&lt;&gt;$A$15)),
        IF(Import.TipoArredondamento&lt;&gt;"TransfereGOV",
              ROUND(OFFSET($P18,0,AW$13),15-13*ORÇAMENTO!$AF$7)/$H18*OFFSET(ORÇAMENTO!$X$15,ROW(AW18)-ROW(AW$15),0),
              ROUND(ROUND(OFFSET($P18,0,AW$13),15-13*ORÇAMENTO!$AF$7)*OFFSET(ORÇAMENTO!$W$15,ROW(AW18)-ROW(AW$15),0),15-13*ORÇAMENTO!$AF$11)),
         0)</f>
        <v>0</v>
      </c>
      <c r="AX18" s="453">
        <f ca="1">IF(AND($D18="Serviço",AX$12&lt;&gt;0,$H18&gt;0,OR(AUTOEVENTO&lt;&gt;"manual",$M18&lt;&gt;$A$15)),
        IF(Import.TipoArredondamento&lt;&gt;"TransfereGOV",
              ROUND(OFFSET($P18,0,AX$13),15-13*ORÇAMENTO!$AF$7)/$H18*OFFSET(ORÇAMENTO!$X$15,ROW(AX18)-ROW(AX$15),0),
              ROUND(ROUND(OFFSET($P18,0,AX$13),15-13*ORÇAMENTO!$AF$7)*OFFSET(ORÇAMENTO!$W$15,ROW(AX18)-ROW(AX$15),0),15-13*ORÇAMENTO!$AF$11)),
         0)</f>
        <v>0</v>
      </c>
      <c r="AY18" s="453">
        <f ca="1">IF(AND($D18="Serviço",AY$12&lt;&gt;0,$H18&gt;0,OR(AUTOEVENTO&lt;&gt;"manual",$M18&lt;&gt;$A$15)),
        IF(Import.TipoArredondamento&lt;&gt;"TransfereGOV",
              ROUND(OFFSET($P18,0,AY$13),15-13*ORÇAMENTO!$AF$7)/$H18*OFFSET(ORÇAMENTO!$X$15,ROW(AY18)-ROW(AY$15),0),
              ROUND(ROUND(OFFSET($P18,0,AY$13),15-13*ORÇAMENTO!$AF$7)*OFFSET(ORÇAMENTO!$W$15,ROW(AY18)-ROW(AY$15),0),15-13*ORÇAMENTO!$AF$11)),
         0)</f>
        <v>0</v>
      </c>
      <c r="AZ18" s="453">
        <f ca="1">IF(AND($D18="Serviço",AZ$12&lt;&gt;0,$H18&gt;0,OR(AUTOEVENTO&lt;&gt;"manual",$M18&lt;&gt;$A$15)),
        IF(Import.TipoArredondamento&lt;&gt;"TransfereGOV",
              ROUND(OFFSET($P18,0,AZ$13),15-13*ORÇAMENTO!$AF$7)/$H18*OFFSET(ORÇAMENTO!$X$15,ROW(AZ18)-ROW(AZ$15),0),
              ROUND(ROUND(OFFSET($P18,0,AZ$13),15-13*ORÇAMENTO!$AF$7)*OFFSET(ORÇAMENTO!$W$15,ROW(AZ18)-ROW(AZ$15),0),15-13*ORÇAMENTO!$AF$11)),
         0)</f>
        <v>0</v>
      </c>
      <c r="BA18" s="453">
        <f ca="1">IF(AND($D18="Serviço",BA$12&lt;&gt;0,$H18&gt;0,OR(AUTOEVENTO&lt;&gt;"manual",$M18&lt;&gt;$A$15)),
        IF(Import.TipoArredondamento&lt;&gt;"TransfereGOV",
              ROUND(OFFSET($P18,0,BA$13),15-13*ORÇAMENTO!$AF$7)/$H18*OFFSET(ORÇAMENTO!$X$15,ROW(BA18)-ROW(BA$15),0),
              ROUND(ROUND(OFFSET($P18,0,BA$13),15-13*ORÇAMENTO!$AF$7)*OFFSET(ORÇAMENTO!$W$15,ROW(BA18)-ROW(BA$15),0),15-13*ORÇAMENTO!$AF$11)),
         0)</f>
        <v>0</v>
      </c>
      <c r="BB18" s="453">
        <f ca="1">IF(AND($D18="Serviço",BB$12&lt;&gt;0,$H18&gt;0,OR(AUTOEVENTO&lt;&gt;"manual",$M18&lt;&gt;$A$15)),
        IF(Import.TipoArredondamento&lt;&gt;"TransfereGOV",
              ROUND(OFFSET($P18,0,BB$13),15-13*ORÇAMENTO!$AF$7)/$H18*OFFSET(ORÇAMENTO!$X$15,ROW(BB18)-ROW(BB$15),0),
              ROUND(ROUND(OFFSET($P18,0,BB$13),15-13*ORÇAMENTO!$AF$7)*OFFSET(ORÇAMENTO!$W$15,ROW(BB18)-ROW(BB$15),0),15-13*ORÇAMENTO!$AF$11)),
         0)</f>
        <v>0</v>
      </c>
      <c r="BC18" s="453">
        <f ca="1">IF(AND($D18="Serviço",BC$12&lt;&gt;0,$H18&gt;0,OR(AUTOEVENTO&lt;&gt;"manual",$M18&lt;&gt;$A$15)),
        IF(Import.TipoArredondamento&lt;&gt;"TransfereGOV",
              ROUND(OFFSET($P18,0,BC$13),15-13*ORÇAMENTO!$AF$7)/$H18*OFFSET(ORÇAMENTO!$X$15,ROW(BC18)-ROW(BC$15),0),
              ROUND(ROUND(OFFSET($P18,0,BC$13),15-13*ORÇAMENTO!$AF$7)*OFFSET(ORÇAMENTO!$W$15,ROW(BC18)-ROW(BC$15),0),15-13*ORÇAMENTO!$AF$11)),
         0)</f>
        <v>0</v>
      </c>
      <c r="BD18" s="453">
        <f ca="1">IF(AND($D18="Serviço",BD$12&lt;&gt;0,$H18&gt;0,OR(AUTOEVENTO&lt;&gt;"manual",$M18&lt;&gt;$A$15)),
        IF(Import.TipoArredondamento&lt;&gt;"TransfereGOV",
              ROUND(OFFSET($P18,0,BD$13),15-13*ORÇAMENTO!$AF$7)/$H18*OFFSET(ORÇAMENTO!$X$15,ROW(BD18)-ROW(BD$15),0),
              ROUND(ROUND(OFFSET($P18,0,BD$13),15-13*ORÇAMENTO!$AF$7)*OFFSET(ORÇAMENTO!$W$15,ROW(BD18)-ROW(BD$15),0),15-13*ORÇAMENTO!$AF$11)),
         0)</f>
        <v>0</v>
      </c>
      <c r="BE18" s="453">
        <f ca="1">IF(AND($D18="Serviço",BE$12&lt;&gt;0,$H18&gt;0,OR(AUTOEVENTO&lt;&gt;"manual",$M18&lt;&gt;$A$15)),
        IF(Import.TipoArredondamento&lt;&gt;"TransfereGOV",
              ROUND(OFFSET($P18,0,BE$13),15-13*ORÇAMENTO!$AF$7)/$H18*OFFSET(ORÇAMENTO!$X$15,ROW(BE18)-ROW(BE$15),0),
              ROUND(ROUND(OFFSET($P18,0,BE$13),15-13*ORÇAMENTO!$AF$7)*OFFSET(ORÇAMENTO!$W$15,ROW(BE18)-ROW(BE$15),0),15-13*ORÇAMENTO!$AF$11)),
         0)</f>
        <v>0</v>
      </c>
      <c r="BF18" s="453">
        <f ca="1">IF(AND($D18="Serviço",BF$12&lt;&gt;0,$H18&gt;0,OR(AUTOEVENTO&lt;&gt;"manual",$M18&lt;&gt;$A$15)),
        IF(Import.TipoArredondamento&lt;&gt;"TransfereGOV",
              ROUND(OFFSET($P18,0,BF$13),15-13*ORÇAMENTO!$AF$7)/$H18*OFFSET(ORÇAMENTO!$X$15,ROW(BF18)-ROW(BF$15),0),
              ROUND(ROUND(OFFSET($P18,0,BF$13),15-13*ORÇAMENTO!$AF$7)*OFFSET(ORÇAMENTO!$W$15,ROW(BF18)-ROW(BF$15),0),15-13*ORÇAMENTO!$AF$11)),
         0)</f>
        <v>0</v>
      </c>
      <c r="BG18" s="453">
        <f ca="1">IF(AND($D18="Serviço",BG$12&lt;&gt;0,$H18&gt;0,OR(AUTOEVENTO&lt;&gt;"manual",$M18&lt;&gt;$A$15)),
        IF(Import.TipoArredondamento&lt;&gt;"TransfereGOV",
              ROUND(OFFSET($P18,0,BG$13),15-13*ORÇAMENTO!$AF$7)/$H18*OFFSET(ORÇAMENTO!$X$15,ROW(BG18)-ROW(BG$15),0),
              ROUND(ROUND(OFFSET($P18,0,BG$13),15-13*ORÇAMENTO!$AF$7)*OFFSET(ORÇAMENTO!$W$15,ROW(BG18)-ROW(BG$15),0),15-13*ORÇAMENTO!$AF$11)),
         0)</f>
        <v>0</v>
      </c>
      <c r="BH18" s="453">
        <f ca="1">IF(AND($D18="Serviço",BH$12&lt;&gt;0,$H18&gt;0,OR(AUTOEVENTO&lt;&gt;"manual",$M18&lt;&gt;$A$15)),
        IF(Import.TipoArredondamento&lt;&gt;"TransfereGOV",
              ROUND(OFFSET($P18,0,BH$13),15-13*ORÇAMENTO!$AF$7)/$H18*OFFSET(ORÇAMENTO!$X$15,ROW(BH18)-ROW(BH$15),0),
              ROUND(ROUND(OFFSET($P18,0,BH$13),15-13*ORÇAMENTO!$AF$7)*OFFSET(ORÇAMENTO!$W$15,ROW(BH18)-ROW(BH$15),0),15-13*ORÇAMENTO!$AF$11)),
         0)</f>
        <v>0</v>
      </c>
      <c r="BI18" s="453">
        <f ca="1">IF(AND($D18="Serviço",BI$12&lt;&gt;0,$H18&gt;0,OR(AUTOEVENTO&lt;&gt;"manual",$M18&lt;&gt;$A$15)),
        IF(Import.TipoArredondamento&lt;&gt;"TransfereGOV",
              ROUND(OFFSET($P18,0,BI$13),15-13*ORÇAMENTO!$AF$7)/$H18*OFFSET(ORÇAMENTO!$X$15,ROW(BI18)-ROW(BI$15),0),
              ROUND(ROUND(OFFSET($P18,0,BI$13),15-13*ORÇAMENTO!$AF$7)*OFFSET(ORÇAMENTO!$W$15,ROW(BI18)-ROW(BI$15),0),15-13*ORÇAMENTO!$AF$11)),
         0)</f>
        <v>0</v>
      </c>
      <c r="BJ18" s="453">
        <f ca="1">IF(AND($D18="Serviço",BJ$12&lt;&gt;0,$H18&gt;0,OR(AUTOEVENTO&lt;&gt;"manual",$M18&lt;&gt;$A$15)),
        IF(Import.TipoArredondamento&lt;&gt;"TransfereGOV",
              ROUND(OFFSET($P18,0,BJ$13),15-13*ORÇAMENTO!$AF$7)/$H18*OFFSET(ORÇAMENTO!$X$15,ROW(BJ18)-ROW(BJ$15),0),
              ROUND(ROUND(OFFSET($P18,0,BJ$13),15-13*ORÇAMENTO!$AF$7)*OFFSET(ORÇAMENTO!$W$15,ROW(BJ18)-ROW(BJ$15),0),15-13*ORÇAMENTO!$AF$11)),
         0)</f>
        <v>0</v>
      </c>
      <c r="BK18" s="453">
        <f ca="1">IF(AND($D18="Serviço",BK$12&lt;&gt;0,$H18&gt;0,OR(AUTOEVENTO&lt;&gt;"manual",$M18&lt;&gt;$A$15)),
        IF(Import.TipoArredondamento&lt;&gt;"TransfereGOV",
              ROUND(OFFSET($P18,0,BK$13),15-13*ORÇAMENTO!$AF$7)/$H18*OFFSET(ORÇAMENTO!$X$15,ROW(BK18)-ROW(BK$15),0),
              ROUND(ROUND(OFFSET($P18,0,BK$13),15-13*ORÇAMENTO!$AF$7)*OFFSET(ORÇAMENTO!$W$15,ROW(BK18)-ROW(BK$15),0),15-13*ORÇAMENTO!$AF$11)),
         0)</f>
        <v>0</v>
      </c>
      <c r="BL18" s="453">
        <f ca="1">IF(AND($D18="Serviço",BL$12&lt;&gt;0,$H18&gt;0,OR(AUTOEVENTO&lt;&gt;"manual",$M18&lt;&gt;$A$15)),
        IF(Import.TipoArredondamento&lt;&gt;"TransfereGOV",
              ROUND(OFFSET($P18,0,BL$13),15-13*ORÇAMENTO!$AF$7)/$H18*OFFSET(ORÇAMENTO!$X$15,ROW(BL18)-ROW(BL$15),0),
              ROUND(ROUND(OFFSET($P18,0,BL$13),15-13*ORÇAMENTO!$AF$7)*OFFSET(ORÇAMENTO!$W$15,ROW(BL18)-ROW(BL$15),0),15-13*ORÇAMENTO!$AF$11)),
         0)</f>
        <v>0</v>
      </c>
      <c r="BM18" s="453">
        <f ca="1">IF(AND($D18="Serviço",BM$12&lt;&gt;0,$H18&gt;0,OR(AUTOEVENTO&lt;&gt;"manual",$M18&lt;&gt;$A$15)),
        IF(Import.TipoArredondamento&lt;&gt;"TransfereGOV",
              ROUND(OFFSET($P18,0,BM$13),15-13*ORÇAMENTO!$AF$7)/$H18*OFFSET(ORÇAMENTO!$X$15,ROW(BM18)-ROW(BM$15),0),
              ROUND(ROUND(OFFSET($P18,0,BM$13),15-13*ORÇAMENTO!$AF$7)*OFFSET(ORÇAMENTO!$W$15,ROW(BM18)-ROW(BM$15),0),15-13*ORÇAMENTO!$AF$11)),
         0)</f>
        <v>0</v>
      </c>
      <c r="BN18" s="453">
        <f ca="1">IF(AND($D18="Serviço",BN$12&lt;&gt;0,$H18&gt;0,OR(AUTOEVENTO&lt;&gt;"manual",$M18&lt;&gt;$A$15)),
        IF(Import.TipoArredondamento&lt;&gt;"TransfereGOV",
              ROUND(OFFSET($P18,0,BN$13),15-13*ORÇAMENTO!$AF$7)/$H18*OFFSET(ORÇAMENTO!$X$15,ROW(BN18)-ROW(BN$15),0),
              ROUND(ROUND(OFFSET($P18,0,BN$13),15-13*ORÇAMENTO!$AF$7)*OFFSET(ORÇAMENTO!$W$15,ROW(BN18)-ROW(BN$15),0),15-13*ORÇAMENTO!$AF$11)),
         0)</f>
        <v>0</v>
      </c>
      <c r="BO18" s="453">
        <f ca="1">IF(AND($D18="Serviço",BO$12&lt;&gt;0,$H18&gt;0,OR(AUTOEVENTO&lt;&gt;"manual",$M18&lt;&gt;$A$15)),
        IF(Import.TipoArredondamento&lt;&gt;"TransfereGOV",
              ROUND(OFFSET($P18,0,BO$13),15-13*ORÇAMENTO!$AF$7)/$H18*OFFSET(ORÇAMENTO!$X$15,ROW(BO18)-ROW(BO$15),0),
              ROUND(ROUND(OFFSET($P18,0,BO$13),15-13*ORÇAMENTO!$AF$7)*OFFSET(ORÇAMENTO!$W$15,ROW(BO18)-ROW(BO$15),0),15-13*ORÇAMENTO!$AF$11)),
         0)</f>
        <v>0</v>
      </c>
      <c r="BP18" s="453">
        <f ca="1">IF(AND($D18="Serviço",BP$12&lt;&gt;0,$H18&gt;0,OR(AUTOEVENTO&lt;&gt;"manual",$M18&lt;&gt;$A$15)),
        IF(Import.TipoArredondamento&lt;&gt;"TransfereGOV",
              ROUND(OFFSET($P18,0,BP$13),15-13*ORÇAMENTO!$AF$7)/$H18*OFFSET(ORÇAMENTO!$X$15,ROW(BP18)-ROW(BP$15),0),
              ROUND(ROUND(OFFSET($P18,0,BP$13),15-13*ORÇAMENTO!$AF$7)*OFFSET(ORÇAMENTO!$W$15,ROW(BP18)-ROW(BP$15),0),15-13*ORÇAMENTO!$AF$11)),
         0)</f>
        <v>0</v>
      </c>
      <c r="BQ18" s="453">
        <f ca="1">IF(AND($D18="Serviço",BQ$12&lt;&gt;0,$H18&gt;0,OR(AUTOEVENTO&lt;&gt;"manual",$M18&lt;&gt;$A$15)),
        IF(Import.TipoArredondamento&lt;&gt;"TransfereGOV",
              ROUND(OFFSET($P18,0,BQ$13),15-13*ORÇAMENTO!$AF$7)/$H18*OFFSET(ORÇAMENTO!$X$15,ROW(BQ18)-ROW(BQ$15),0),
              ROUND(ROUND(OFFSET($P18,0,BQ$13),15-13*ORÇAMENTO!$AF$7)*OFFSET(ORÇAMENTO!$W$15,ROW(BQ18)-ROW(BQ$15),0),15-13*ORÇAMENTO!$AF$11)),
         0)</f>
        <v>0</v>
      </c>
      <c r="BS18" s="171">
        <f ca="1">IF(OR($D18&lt;&gt;"Serviço",AND(AUTOEVENTO="Manual",$M18=$A$15)),0,
         IF(OFFSET(CRONOPLE!$F$15,$M18-$A$15,BS$13)=0,10^12,OFFSET(CRONOPLE!$F$15,$M18-$A$15,BS$13)))</f>
        <v>1</v>
      </c>
      <c r="BT18" s="171">
        <f ca="1">IF(OR($D18&lt;&gt;"Serviço",AND(AUTOEVENTO="Manual",$M18=$A$15)),0,
         IF(OFFSET(CRONOPLE!$F$15,$M18-$A$15,BT$13)=0,10^12,OFFSET(CRONOPLE!$F$15,$M18-$A$15,BT$13)))</f>
        <v>2</v>
      </c>
      <c r="BU18" s="171">
        <f ca="1">IF(OR($D18&lt;&gt;"Serviço",AND(AUTOEVENTO="Manual",$M18=$A$15)),0,
         IF(OFFSET(CRONOPLE!$F$15,$M18-$A$15,BU$13)=0,10^12,OFFSET(CRONOPLE!$F$15,$M18-$A$15,BU$13)))</f>
        <v>3</v>
      </c>
      <c r="BV18" s="171">
        <f ca="1">IF(OR($D18&lt;&gt;"Serviço",AND(AUTOEVENTO="Manual",$M18=$A$15)),0,
         IF(OFFSET(CRONOPLE!$F$15,$M18-$A$15,BV$13)=0,10^12,OFFSET(CRONOPLE!$F$15,$M18-$A$15,BV$13)))</f>
        <v>4</v>
      </c>
      <c r="BW18" s="171">
        <f ca="1">IF(OR($D18&lt;&gt;"Serviço",AND(AUTOEVENTO="Manual",$M18=$A$15)),0,
         IF(OFFSET(CRONOPLE!$F$15,$M18-$A$15,BW$13)=0,10^12,OFFSET(CRONOPLE!$F$15,$M18-$A$15,BW$13)))</f>
        <v>5</v>
      </c>
      <c r="BX18" s="171">
        <f ca="1">IF(OR($D18&lt;&gt;"Serviço",AND(AUTOEVENTO="Manual",$M18=$A$15)),0,
         IF(OFFSET(CRONOPLE!$F$15,$M18-$A$15,BX$13)=0,10^12,OFFSET(CRONOPLE!$F$15,$M18-$A$15,BX$13)))</f>
        <v>6</v>
      </c>
      <c r="BY18" s="171">
        <f ca="1">IF(OR($D18&lt;&gt;"Serviço",AND(AUTOEVENTO="Manual",$M18=$A$15)),0,
         IF(OFFSET(CRONOPLE!$F$15,$M18-$A$15,BY$13)=0,10^12,OFFSET(CRONOPLE!$F$15,$M18-$A$15,BY$13)))</f>
        <v>7</v>
      </c>
      <c r="BZ18" s="171">
        <f ca="1">IF(OR($D18&lt;&gt;"Serviço",AND(AUTOEVENTO="Manual",$M18=$A$15)),0,
         IF(OFFSET(CRONOPLE!$F$15,$M18-$A$15,BZ$13)=0,10^12,OFFSET(CRONOPLE!$F$15,$M18-$A$15,BZ$13)))</f>
        <v>8</v>
      </c>
      <c r="CA18" s="171">
        <f ca="1">IF(OR($D18&lt;&gt;"Serviço",AND(AUTOEVENTO="Manual",$M18=$A$15)),0,
         IF(OFFSET(CRONOPLE!$F$15,$M18-$A$15,CA$13)=0,10^12,OFFSET(CRONOPLE!$F$15,$M18-$A$15,CA$13)))</f>
        <v>9</v>
      </c>
      <c r="CB18" s="171">
        <f ca="1">IF(OR($D18&lt;&gt;"Serviço",AND(AUTOEVENTO="Manual",$M18=$A$15)),0,
         IF(OFFSET(CRONOPLE!$F$15,$M18-$A$15,CB$13)=0,10^12,OFFSET(CRONOPLE!$F$15,$M18-$A$15,CB$13)))</f>
        <v>10</v>
      </c>
      <c r="CC18" s="171">
        <f ca="1">IF(OR($D18&lt;&gt;"Serviço",AND(AUTOEVENTO="Manual",$M18=$A$15)),0,
         IF(OFFSET(CRONOPLE!$F$15,$M18-$A$15,CC$13)=0,10^12,OFFSET(CRONOPLE!$F$15,$M18-$A$15,CC$13)))</f>
        <v>11</v>
      </c>
      <c r="CD18" s="171">
        <f ca="1">IF(OR($D18&lt;&gt;"Serviço",AND(AUTOEVENTO="Manual",$M18=$A$15)),0,
         IF(OFFSET(CRONOPLE!$F$15,$M18-$A$15,CD$13)=0,10^12,OFFSET(CRONOPLE!$F$15,$M18-$A$15,CD$13)))</f>
        <v>12</v>
      </c>
      <c r="CE18" s="171">
        <f ca="1">IF(OR($D18&lt;&gt;"Serviço",AND(AUTOEVENTO="Manual",$M18=$A$15)),0,
         IF(OFFSET(CRONOPLE!$F$15,$M18-$A$15,CE$13)=0,10^12,OFFSET(CRONOPLE!$F$15,$M18-$A$15,CE$13)))</f>
        <v>13</v>
      </c>
      <c r="CF18" s="171">
        <f ca="1">IF(OR($D18&lt;&gt;"Serviço",AND(AUTOEVENTO="Manual",$M18=$A$15)),0,
         IF(OFFSET(CRONOPLE!$F$15,$M18-$A$15,CF$13)=0,10^12,OFFSET(CRONOPLE!$F$15,$M18-$A$15,CF$13)))</f>
        <v>14</v>
      </c>
      <c r="CG18" s="171">
        <f ca="1">IF(OR($D18&lt;&gt;"Serviço",AND(AUTOEVENTO="Manual",$M18=$A$15)),0,
         IF(OFFSET(CRONOPLE!$F$15,$M18-$A$15,CG$13)=0,10^12,OFFSET(CRONOPLE!$F$15,$M18-$A$15,CG$13)))</f>
        <v>15</v>
      </c>
      <c r="CH18" s="171">
        <f ca="1">IF(OR($D18&lt;&gt;"Serviço",AND(AUTOEVENTO="Manual",$M18=$A$15)),0,
         IF(OFFSET(CRONOPLE!$F$15,$M18-$A$15,CH$13)=0,10^12,OFFSET(CRONOPLE!$F$15,$M18-$A$15,CH$13)))</f>
        <v>16</v>
      </c>
      <c r="CI18" s="171">
        <f ca="1">IF(OR($D18&lt;&gt;"Serviço",AND(AUTOEVENTO="Manual",$M18=$A$15)),0,
         IF(OFFSET(CRONOPLE!$F$15,$M18-$A$15,CI$13)=0,10^12,OFFSET(CRONOPLE!$F$15,$M18-$A$15,CI$13)))</f>
        <v>17</v>
      </c>
      <c r="CJ18" s="171">
        <f ca="1">IF(OR($D18&lt;&gt;"Serviço",AND(AUTOEVENTO="Manual",$M18=$A$15)),0,
         IF(OFFSET(CRONOPLE!$F$15,$M18-$A$15,CJ$13)=0,10^12,OFFSET(CRONOPLE!$F$15,$M18-$A$15,CJ$13)))</f>
        <v>18</v>
      </c>
      <c r="CK18" s="171">
        <f ca="1">IF(OR($D18&lt;&gt;"Serviço",AND(AUTOEVENTO="Manual",$M18=$A$15)),0,
         IF(OFFSET(CRONOPLE!$F$15,$M18-$A$15,CK$13)=0,10^12,OFFSET(CRONOPLE!$F$15,$M18-$A$15,CK$13)))</f>
        <v>19</v>
      </c>
      <c r="CL18" s="171">
        <f ca="1">IF(OR($D18&lt;&gt;"Serviço",AND(AUTOEVENTO="Manual",$M18=$A$15)),0,
         IF(OFFSET(CRONOPLE!$F$15,$M18-$A$15,CL$13)=0,10^12,OFFSET(CRONOPLE!$F$15,$M18-$A$15,CL$13)))</f>
        <v>20</v>
      </c>
      <c r="CM18" s="171">
        <f ca="1">IF(OR($D18&lt;&gt;"Serviço",AND(AUTOEVENTO="Manual",$M18=$A$15)),0,
         IF(OFFSET(CRONOPLE!$F$15,$M18-$A$15,CM$13)=0,10^12,OFFSET(CRONOPLE!$F$15,$M18-$A$15,CM$13)))</f>
        <v>1000000000000</v>
      </c>
      <c r="CN18" s="171">
        <f ca="1">IF(OR($D18&lt;&gt;"Serviço",AND(AUTOEVENTO="Manual",$M18=$A$15)),0,
         IF(OFFSET(CRONOPLE!$F$15,$M18-$A$15,CN$13)=0,10^12,OFFSET(CRONOPLE!$F$15,$M18-$A$15,CN$13)))</f>
        <v>1000000000000</v>
      </c>
      <c r="CO18" s="171">
        <f ca="1">IF(OR($D18&lt;&gt;"Serviço",AND(AUTOEVENTO="Manual",$M18=$A$15)),0,
         IF(OFFSET(CRONOPLE!$F$15,$M18-$A$15,CO$13)=0,10^12,OFFSET(CRONOPLE!$F$15,$M18-$A$15,CO$13)))</f>
        <v>1000000000000</v>
      </c>
      <c r="CP18" s="171">
        <f ca="1">IF(OR($D18&lt;&gt;"Serviço",AND(AUTOEVENTO="Manual",$M18=$A$15)),0,
         IF(OFFSET(CRONOPLE!$F$15,$M18-$A$15,CP$13)=0,10^12,OFFSET(CRONOPLE!$F$15,$M18-$A$15,CP$13)))</f>
        <v>1000000000000</v>
      </c>
      <c r="CQ18" s="171">
        <f ca="1">IF(OR($D18&lt;&gt;"Serviço",AND(AUTOEVENTO="Manual",$M18=$A$15)),0,
         IF(OFFSET(CRONOPLE!$F$15,$M18-$A$15,CQ$13)=0,10^12,OFFSET(CRONOPLE!$F$15,$M18-$A$15,CQ$13)))</f>
        <v>1000000000000</v>
      </c>
      <c r="CR18" s="171">
        <f ca="1">IF(OR($D18&lt;&gt;"Serviço",AND(AUTOEVENTO="Manual",$M18=$A$15)),0,
         IF(OFFSET(CRONOPLE!$F$15,$M18-$A$15,CR$13)=0,10^12,OFFSET(CRONOPLE!$F$15,$M18-$A$15,CR$13)))</f>
        <v>1000000000000</v>
      </c>
      <c r="CT18" s="172" cm="1">
        <f t="array" aca="1" ref="CT18" ca="1">IF(OR($D18&lt;&gt;"Serviço",AND(AUTOEVENTO="Manual",$M18=$A$15),$M18&gt;(ROW(PLE.lastrow)-ROW(PLE.firstrow))),0,
           IF(OFFSET(PLE!$G$15,$M18-$A$15,CT$13)="",10^12,OFFSET(PLE!$G$15,$M18-$A$15,CT$13)))</f>
        <v>1000000000000</v>
      </c>
      <c r="CU18" s="172" cm="1">
        <f t="array" aca="1" ref="CU18" ca="1">IF(OR($D18&lt;&gt;"Serviço",AND(AUTOEVENTO="Manual",$M18=$A$15),$M18&gt;(ROW(PLE.lastrow)-ROW(PLE.firstrow))),0,
           IF(OFFSET(PLE!$G$15,$M18-$A$15,CU$13)="",10^12,OFFSET(PLE!$G$15,$M18-$A$15,CU$13)))</f>
        <v>1000000000000</v>
      </c>
      <c r="CV18" s="172" cm="1">
        <f t="array" aca="1" ref="CV18" ca="1">IF(OR($D18&lt;&gt;"Serviço",AND(AUTOEVENTO="Manual",$M18=$A$15),$M18&gt;(ROW(PLE.lastrow)-ROW(PLE.firstrow))),0,
           IF(OFFSET(PLE!$G$15,$M18-$A$15,CV$13)="",10^12,OFFSET(PLE!$G$15,$M18-$A$15,CV$13)))</f>
        <v>1000000000000</v>
      </c>
      <c r="CW18" s="172" cm="1">
        <f t="array" aca="1" ref="CW18" ca="1">IF(OR($D18&lt;&gt;"Serviço",AND(AUTOEVENTO="Manual",$M18=$A$15),$M18&gt;(ROW(PLE.lastrow)-ROW(PLE.firstrow))),0,
           IF(OFFSET(PLE!$G$15,$M18-$A$15,CW$13)="",10^12,OFFSET(PLE!$G$15,$M18-$A$15,CW$13)))</f>
        <v>1000000000000</v>
      </c>
      <c r="CX18" s="172" cm="1">
        <f t="array" aca="1" ref="CX18" ca="1">IF(OR($D18&lt;&gt;"Serviço",AND(AUTOEVENTO="Manual",$M18=$A$15),$M18&gt;(ROW(PLE.lastrow)-ROW(PLE.firstrow))),0,
           IF(OFFSET(PLE!$G$15,$M18-$A$15,CX$13)="",10^12,OFFSET(PLE!$G$15,$M18-$A$15,CX$13)))</f>
        <v>1000000000000</v>
      </c>
      <c r="CY18" s="172" cm="1">
        <f t="array" aca="1" ref="CY18" ca="1">IF(OR($D18&lt;&gt;"Serviço",AND(AUTOEVENTO="Manual",$M18=$A$15),$M18&gt;(ROW(PLE.lastrow)-ROW(PLE.firstrow))),0,
           IF(OFFSET(PLE!$G$15,$M18-$A$15,CY$13)="",10^12,OFFSET(PLE!$G$15,$M18-$A$15,CY$13)))</f>
        <v>1000000000000</v>
      </c>
      <c r="CZ18" s="172" cm="1">
        <f t="array" aca="1" ref="CZ18" ca="1">IF(OR($D18&lt;&gt;"Serviço",AND(AUTOEVENTO="Manual",$M18=$A$15),$M18&gt;(ROW(PLE.lastrow)-ROW(PLE.firstrow))),0,
           IF(OFFSET(PLE!$G$15,$M18-$A$15,CZ$13)="",10^12,OFFSET(PLE!$G$15,$M18-$A$15,CZ$13)))</f>
        <v>1000000000000</v>
      </c>
      <c r="DA18" s="172" cm="1">
        <f t="array" aca="1" ref="DA18" ca="1">IF(OR($D18&lt;&gt;"Serviço",AND(AUTOEVENTO="Manual",$M18=$A$15),$M18&gt;(ROW(PLE.lastrow)-ROW(PLE.firstrow))),0,
           IF(OFFSET(PLE!$G$15,$M18-$A$15,DA$13)="",10^12,OFFSET(PLE!$G$15,$M18-$A$15,DA$13)))</f>
        <v>1000000000000</v>
      </c>
      <c r="DB18" s="172" cm="1">
        <f t="array" aca="1" ref="DB18" ca="1">IF(OR($D18&lt;&gt;"Serviço",AND(AUTOEVENTO="Manual",$M18=$A$15),$M18&gt;(ROW(PLE.lastrow)-ROW(PLE.firstrow))),0,
           IF(OFFSET(PLE!$G$15,$M18-$A$15,DB$13)="",10^12,OFFSET(PLE!$G$15,$M18-$A$15,DB$13)))</f>
        <v>1000000000000</v>
      </c>
      <c r="DC18" s="172" cm="1">
        <f t="array" aca="1" ref="DC18" ca="1">IF(OR($D18&lt;&gt;"Serviço",AND(AUTOEVENTO="Manual",$M18=$A$15),$M18&gt;(ROW(PLE.lastrow)-ROW(PLE.firstrow))),0,
           IF(OFFSET(PLE!$G$15,$M18-$A$15,DC$13)="",10^12,OFFSET(PLE!$G$15,$M18-$A$15,DC$13)))</f>
        <v>1000000000000</v>
      </c>
      <c r="DD18" s="172" cm="1">
        <f t="array" aca="1" ref="DD18" ca="1">IF(OR($D18&lt;&gt;"Serviço",AND(AUTOEVENTO="Manual",$M18=$A$15),$M18&gt;(ROW(PLE.lastrow)-ROW(PLE.firstrow))),0,
           IF(OFFSET(PLE!$G$15,$M18-$A$15,DD$13)="",10^12,OFFSET(PLE!$G$15,$M18-$A$15,DD$13)))</f>
        <v>1000000000000</v>
      </c>
      <c r="DE18" s="172" cm="1">
        <f t="array" aca="1" ref="DE18" ca="1">IF(OR($D18&lt;&gt;"Serviço",AND(AUTOEVENTO="Manual",$M18=$A$15),$M18&gt;(ROW(PLE.lastrow)-ROW(PLE.firstrow))),0,
           IF(OFFSET(PLE!$G$15,$M18-$A$15,DE$13)="",10^12,OFFSET(PLE!$G$15,$M18-$A$15,DE$13)))</f>
        <v>1000000000000</v>
      </c>
      <c r="DF18" s="172" cm="1">
        <f t="array" aca="1" ref="DF18" ca="1">IF(OR($D18&lt;&gt;"Serviço",AND(AUTOEVENTO="Manual",$M18=$A$15),$M18&gt;(ROW(PLE.lastrow)-ROW(PLE.firstrow))),0,
           IF(OFFSET(PLE!$G$15,$M18-$A$15,DF$13)="",10^12,OFFSET(PLE!$G$15,$M18-$A$15,DF$13)))</f>
        <v>1000000000000</v>
      </c>
      <c r="DG18" s="172" cm="1">
        <f t="array" aca="1" ref="DG18" ca="1">IF(OR($D18&lt;&gt;"Serviço",AND(AUTOEVENTO="Manual",$M18=$A$15),$M18&gt;(ROW(PLE.lastrow)-ROW(PLE.firstrow))),0,
           IF(OFFSET(PLE!$G$15,$M18-$A$15,DG$13)="",10^12,OFFSET(PLE!$G$15,$M18-$A$15,DG$13)))</f>
        <v>1000000000000</v>
      </c>
      <c r="DH18" s="172" cm="1">
        <f t="array" aca="1" ref="DH18" ca="1">IF(OR($D18&lt;&gt;"Serviço",AND(AUTOEVENTO="Manual",$M18=$A$15),$M18&gt;(ROW(PLE.lastrow)-ROW(PLE.firstrow))),0,
           IF(OFFSET(PLE!$G$15,$M18-$A$15,DH$13)="",10^12,OFFSET(PLE!$G$15,$M18-$A$15,DH$13)))</f>
        <v>1000000000000</v>
      </c>
      <c r="DI18" s="172" cm="1">
        <f t="array" aca="1" ref="DI18" ca="1">IF(OR($D18&lt;&gt;"Serviço",AND(AUTOEVENTO="Manual",$M18=$A$15),$M18&gt;(ROW(PLE.lastrow)-ROW(PLE.firstrow))),0,
           IF(OFFSET(PLE!$G$15,$M18-$A$15,DI$13)="",10^12,OFFSET(PLE!$G$15,$M18-$A$15,DI$13)))</f>
        <v>1000000000000</v>
      </c>
      <c r="DJ18" s="172" cm="1">
        <f t="array" aca="1" ref="DJ18" ca="1">IF(OR($D18&lt;&gt;"Serviço",AND(AUTOEVENTO="Manual",$M18=$A$15),$M18&gt;(ROW(PLE.lastrow)-ROW(PLE.firstrow))),0,
           IF(OFFSET(PLE!$G$15,$M18-$A$15,DJ$13)="",10^12,OFFSET(PLE!$G$15,$M18-$A$15,DJ$13)))</f>
        <v>1000000000000</v>
      </c>
      <c r="DK18" s="172" cm="1">
        <f t="array" aca="1" ref="DK18" ca="1">IF(OR($D18&lt;&gt;"Serviço",AND(AUTOEVENTO="Manual",$M18=$A$15),$M18&gt;(ROW(PLE.lastrow)-ROW(PLE.firstrow))),0,
           IF(OFFSET(PLE!$G$15,$M18-$A$15,DK$13)="",10^12,OFFSET(PLE!$G$15,$M18-$A$15,DK$13)))</f>
        <v>1000000000000</v>
      </c>
      <c r="DL18" s="172" cm="1">
        <f t="array" aca="1" ref="DL18" ca="1">IF(OR($D18&lt;&gt;"Serviço",AND(AUTOEVENTO="Manual",$M18=$A$15),$M18&gt;(ROW(PLE.lastrow)-ROW(PLE.firstrow))),0,
           IF(OFFSET(PLE!$G$15,$M18-$A$15,DL$13)="",10^12,OFFSET(PLE!$G$15,$M18-$A$15,DL$13)))</f>
        <v>1000000000000</v>
      </c>
      <c r="DM18" s="172" cm="1">
        <f t="array" aca="1" ref="DM18" ca="1">IF(OR($D18&lt;&gt;"Serviço",AND(AUTOEVENTO="Manual",$M18=$A$15),$M18&gt;(ROW(PLE.lastrow)-ROW(PLE.firstrow))),0,
           IF(OFFSET(PLE!$G$15,$M18-$A$15,DM$13)="",10^12,OFFSET(PLE!$G$15,$M18-$A$15,DM$13)))</f>
        <v>1000000000000</v>
      </c>
      <c r="DN18" s="172" cm="1">
        <f t="array" aca="1" ref="DN18" ca="1">IF(OR($D18&lt;&gt;"Serviço",AND(AUTOEVENTO="Manual",$M18=$A$15),$M18&gt;(ROW(PLE.lastrow)-ROW(PLE.firstrow))),0,
           IF(OFFSET(PLE!$G$15,$M18-$A$15,DN$13)="",10^12,OFFSET(PLE!$G$15,$M18-$A$15,DN$13)))</f>
        <v>1000000000000</v>
      </c>
      <c r="DO18" s="172" cm="1">
        <f t="array" aca="1" ref="DO18" ca="1">IF(OR($D18&lt;&gt;"Serviço",AND(AUTOEVENTO="Manual",$M18=$A$15),$M18&gt;(ROW(PLE.lastrow)-ROW(PLE.firstrow))),0,
           IF(OFFSET(PLE!$G$15,$M18-$A$15,DO$13)="",10^12,OFFSET(PLE!$G$15,$M18-$A$15,DO$13)))</f>
        <v>1000000000000</v>
      </c>
      <c r="DP18" s="172" cm="1">
        <f t="array" aca="1" ref="DP18" ca="1">IF(OR($D18&lt;&gt;"Serviço",AND(AUTOEVENTO="Manual",$M18=$A$15),$M18&gt;(ROW(PLE.lastrow)-ROW(PLE.firstrow))),0,
           IF(OFFSET(PLE!$G$15,$M18-$A$15,DP$13)="",10^12,OFFSET(PLE!$G$15,$M18-$A$15,DP$13)))</f>
        <v>1000000000000</v>
      </c>
      <c r="DQ18" s="172" cm="1">
        <f t="array" aca="1" ref="DQ18" ca="1">IF(OR($D18&lt;&gt;"Serviço",AND(AUTOEVENTO="Manual",$M18=$A$15),$M18&gt;(ROW(PLE.lastrow)-ROW(PLE.firstrow))),0,
           IF(OFFSET(PLE!$G$15,$M18-$A$15,DQ$13)="",10^12,OFFSET(PLE!$G$15,$M18-$A$15,DQ$13)))</f>
        <v>1000000000000</v>
      </c>
      <c r="DR18" s="172" cm="1">
        <f t="array" aca="1" ref="DR18" ca="1">IF(OR($D18&lt;&gt;"Serviço",AND(AUTOEVENTO="Manual",$M18=$A$15),$M18&gt;(ROW(PLE.lastrow)-ROW(PLE.firstrow))),0,
           IF(OFFSET(PLE!$G$15,$M18-$A$15,DR$13)="",10^12,OFFSET(PLE!$G$15,$M18-$A$15,DR$13)))</f>
        <v>1000000000000</v>
      </c>
      <c r="DS18" s="172" cm="1">
        <f t="array" aca="1" ref="DS18" ca="1">IF(OR($D18&lt;&gt;"Serviço",AND(AUTOEVENTO="Manual",$M18=$A$15),$M18&gt;(ROW(PLE.lastrow)-ROW(PLE.firstrow))),0,
           IF(OFFSET(PLE!$G$15,$M18-$A$15,DS$13)="",10^12,OFFSET(PLE!$G$15,$M18-$A$15,DS$13)))</f>
        <v>1000000000000</v>
      </c>
    </row>
    <row r="19" spans="1:123" ht="12.75" x14ac:dyDescent="0.2">
      <c r="A19" s="7">
        <f t="shared" ca="1" si="11"/>
        <v>0</v>
      </c>
      <c r="B19" s="7">
        <f ca="1">OFFSET(ORÇAMENTO!C$15,$L19,0)</f>
        <v>2</v>
      </c>
      <c r="C19" s="7" t="str">
        <f ca="1">OFFSET(ORÇAMENTO!L$15,$L19,0)</f>
        <v>F</v>
      </c>
      <c r="D19" s="116" t="str">
        <f ca="1">OFFSET(ORÇAMENTO!N$15,$L19,0)</f>
        <v>Nível 2</v>
      </c>
      <c r="E19" s="117" t="str">
        <f ca="1">OFFSET(ORÇAMENTO!O$15,$L19,0)</f>
        <v>1.2.</v>
      </c>
      <c r="F19" s="163" t="str">
        <f ca="1">OFFSET(ORÇAMENTO!R$15,$L19,0)</f>
        <v>CANTEIRO DE OBRAS</v>
      </c>
      <c r="G19" s="164" t="str">
        <f ca="1">IF($D19&lt;&gt;"Serviço","",OFFSET(ORÇAMENTO!S$15,$L19,0))</f>
        <v/>
      </c>
      <c r="H19" s="122" cm="1">
        <f t="array" aca="1" ref="H19" ca="1">IF($D19&lt;&gt;"Serviço",0,IF(ACOMPANHAMENTO="BM",ROUND(OFFSET(ORÇAMENTO!AJ$15,$L19,0),15-13*ORÇAMENTO!$AF$7),IF(IFERROR(CÁLCULO.FrentesPreenchidas,0)=0,0,SUM(ROUND(OFFSET($P19,0,1,1,CÁLCULO.FrentesPreenchidas),15-13*ORÇAMENTO!$AF$7)))))</f>
        <v>0</v>
      </c>
      <c r="I19" s="468"/>
      <c r="J19" s="651" t="str" cm="1">
        <f t="array" aca="1" ref="J19" ca="1">IF(OR(B19&lt;&gt;"S",CÁLCULO.FrentesPreenchidas=0),"",IF(AND(ACOMPANHAMENTO="PLE",AUTOEVENTO="Manual",OR(H19&gt;0,ORÇAMENTO!AC19="QUANT."),OR(K19="",M19=0,N19="")),"►E",IF(AND(ACOMPANHAMENTO="PLE",ORÇAMENTO!AC19="QUANT."),"►Q",IF(AND(ACOMPANHAMENTO="PLE",H19&lt;&gt;SUMPRODUCT(($Q$1:$AQ$1=1)*ROUND(Q19:AQ19,15))),"►S",IF(AND(COUNTIF($P$11:$AQ$11,"▼")=0,H19&gt;0,I19=""),"◄M","")))))</f>
        <v/>
      </c>
      <c r="K19" s="652"/>
      <c r="L19" s="165">
        <f t="shared" ca="1" si="12"/>
        <v>4</v>
      </c>
      <c r="M19" s="166" t="str">
        <f ca="1">IF($D19&lt;&gt;"Serviço","",
          IF(AUTOEVENTO="manual",$A19,
                IF(ISERROR(MATCH($A19,$A$15:OFFSET($A19,-1,0),0)),MAX($M$15:OFFSET(M19,-1,0))+1,
                      INDEX($M$15:OFFSET(M19,-1,0),MATCH($A19,$A$15:OFFSET($A19,-1,0),0)))))</f>
        <v/>
      </c>
      <c r="N19" s="167" t="str">
        <f ca="1">IF($D19&lt;&gt;"Serviço","",
         IF(AUTOEVENTO="Manual",
                IF($A19=0,"&lt;-- defina o número do agrupador",
                       OFFSET(EVENTOS!$D$15,$A19-$A$15,0)),
                OFFSET($F$15,$A19,0)))</f>
        <v/>
      </c>
      <c r="O19" s="168"/>
      <c r="Q19" s="168"/>
      <c r="R19" s="169"/>
      <c r="S19" s="169"/>
      <c r="T19" s="169"/>
      <c r="U19" s="169"/>
      <c r="V19" s="169"/>
      <c r="W19" s="169"/>
      <c r="X19" s="169"/>
      <c r="Y19" s="169"/>
      <c r="Z19" s="170"/>
      <c r="AA19" s="169"/>
      <c r="AB19" s="169"/>
      <c r="AC19" s="169"/>
      <c r="AD19" s="169"/>
      <c r="AE19" s="169"/>
      <c r="AF19" s="169"/>
      <c r="AG19" s="169"/>
      <c r="AH19" s="170"/>
      <c r="AI19" s="169"/>
      <c r="AJ19" s="169"/>
      <c r="AK19" s="169"/>
      <c r="AL19" s="169"/>
      <c r="AM19" s="169"/>
      <c r="AN19" s="169"/>
      <c r="AO19" s="169"/>
      <c r="AP19" s="170"/>
      <c r="AR19" s="453">
        <f ca="1">IF(AND($D19="Serviço",AR$12&lt;&gt;0,$H19&gt;0,OR(AUTOEVENTO&lt;&gt;"manual",$M19&lt;&gt;$A$15)),
        IF(Import.TipoArredondamento&lt;&gt;"TransfereGOV",
              ROUND(OFFSET($P19,0,AR$13),15-13*ORÇAMENTO!$AF$7)/$H19*OFFSET(ORÇAMENTO!$X$15,ROW(AR19)-ROW(AR$15),0),
              ROUND(ROUND(OFFSET($P19,0,AR$13),15-13*ORÇAMENTO!$AF$7)*OFFSET(ORÇAMENTO!$W$15,ROW(AR19)-ROW(AR$15),0),15-13*ORÇAMENTO!$AF$11)),
         0)</f>
        <v>0</v>
      </c>
      <c r="AS19" s="453">
        <f ca="1">IF(AND($D19="Serviço",AS$12&lt;&gt;0,$H19&gt;0,OR(AUTOEVENTO&lt;&gt;"manual",$M19&lt;&gt;$A$15)),
        IF(Import.TipoArredondamento&lt;&gt;"TransfereGOV",
              ROUND(OFFSET($P19,0,AS$13),15-13*ORÇAMENTO!$AF$7)/$H19*OFFSET(ORÇAMENTO!$X$15,ROW(AS19)-ROW(AS$15),0),
              ROUND(ROUND(OFFSET($P19,0,AS$13),15-13*ORÇAMENTO!$AF$7)*OFFSET(ORÇAMENTO!$W$15,ROW(AS19)-ROW(AS$15),0),15-13*ORÇAMENTO!$AF$11)),
         0)</f>
        <v>0</v>
      </c>
      <c r="AT19" s="453">
        <f ca="1">IF(AND($D19="Serviço",AT$12&lt;&gt;0,$H19&gt;0,OR(AUTOEVENTO&lt;&gt;"manual",$M19&lt;&gt;$A$15)),
        IF(Import.TipoArredondamento&lt;&gt;"TransfereGOV",
              ROUND(OFFSET($P19,0,AT$13),15-13*ORÇAMENTO!$AF$7)/$H19*OFFSET(ORÇAMENTO!$X$15,ROW(AT19)-ROW(AT$15),0),
              ROUND(ROUND(OFFSET($P19,0,AT$13),15-13*ORÇAMENTO!$AF$7)*OFFSET(ORÇAMENTO!$W$15,ROW(AT19)-ROW(AT$15),0),15-13*ORÇAMENTO!$AF$11)),
         0)</f>
        <v>0</v>
      </c>
      <c r="AU19" s="453">
        <f ca="1">IF(AND($D19="Serviço",AU$12&lt;&gt;0,$H19&gt;0,OR(AUTOEVENTO&lt;&gt;"manual",$M19&lt;&gt;$A$15)),
        IF(Import.TipoArredondamento&lt;&gt;"TransfereGOV",
              ROUND(OFFSET($P19,0,AU$13),15-13*ORÇAMENTO!$AF$7)/$H19*OFFSET(ORÇAMENTO!$X$15,ROW(AU19)-ROW(AU$15),0),
              ROUND(ROUND(OFFSET($P19,0,AU$13),15-13*ORÇAMENTO!$AF$7)*OFFSET(ORÇAMENTO!$W$15,ROW(AU19)-ROW(AU$15),0),15-13*ORÇAMENTO!$AF$11)),
         0)</f>
        <v>0</v>
      </c>
      <c r="AV19" s="453">
        <f ca="1">IF(AND($D19="Serviço",AV$12&lt;&gt;0,$H19&gt;0,OR(AUTOEVENTO&lt;&gt;"manual",$M19&lt;&gt;$A$15)),
        IF(Import.TipoArredondamento&lt;&gt;"TransfereGOV",
              ROUND(OFFSET($P19,0,AV$13),15-13*ORÇAMENTO!$AF$7)/$H19*OFFSET(ORÇAMENTO!$X$15,ROW(AV19)-ROW(AV$15),0),
              ROUND(ROUND(OFFSET($P19,0,AV$13),15-13*ORÇAMENTO!$AF$7)*OFFSET(ORÇAMENTO!$W$15,ROW(AV19)-ROW(AV$15),0),15-13*ORÇAMENTO!$AF$11)),
         0)</f>
        <v>0</v>
      </c>
      <c r="AW19" s="453">
        <f ca="1">IF(AND($D19="Serviço",AW$12&lt;&gt;0,$H19&gt;0,OR(AUTOEVENTO&lt;&gt;"manual",$M19&lt;&gt;$A$15)),
        IF(Import.TipoArredondamento&lt;&gt;"TransfereGOV",
              ROUND(OFFSET($P19,0,AW$13),15-13*ORÇAMENTO!$AF$7)/$H19*OFFSET(ORÇAMENTO!$X$15,ROW(AW19)-ROW(AW$15),0),
              ROUND(ROUND(OFFSET($P19,0,AW$13),15-13*ORÇAMENTO!$AF$7)*OFFSET(ORÇAMENTO!$W$15,ROW(AW19)-ROW(AW$15),0),15-13*ORÇAMENTO!$AF$11)),
         0)</f>
        <v>0</v>
      </c>
      <c r="AX19" s="453">
        <f ca="1">IF(AND($D19="Serviço",AX$12&lt;&gt;0,$H19&gt;0,OR(AUTOEVENTO&lt;&gt;"manual",$M19&lt;&gt;$A$15)),
        IF(Import.TipoArredondamento&lt;&gt;"TransfereGOV",
              ROUND(OFFSET($P19,0,AX$13),15-13*ORÇAMENTO!$AF$7)/$H19*OFFSET(ORÇAMENTO!$X$15,ROW(AX19)-ROW(AX$15),0),
              ROUND(ROUND(OFFSET($P19,0,AX$13),15-13*ORÇAMENTO!$AF$7)*OFFSET(ORÇAMENTO!$W$15,ROW(AX19)-ROW(AX$15),0),15-13*ORÇAMENTO!$AF$11)),
         0)</f>
        <v>0</v>
      </c>
      <c r="AY19" s="453">
        <f ca="1">IF(AND($D19="Serviço",AY$12&lt;&gt;0,$H19&gt;0,OR(AUTOEVENTO&lt;&gt;"manual",$M19&lt;&gt;$A$15)),
        IF(Import.TipoArredondamento&lt;&gt;"TransfereGOV",
              ROUND(OFFSET($P19,0,AY$13),15-13*ORÇAMENTO!$AF$7)/$H19*OFFSET(ORÇAMENTO!$X$15,ROW(AY19)-ROW(AY$15),0),
              ROUND(ROUND(OFFSET($P19,0,AY$13),15-13*ORÇAMENTO!$AF$7)*OFFSET(ORÇAMENTO!$W$15,ROW(AY19)-ROW(AY$15),0),15-13*ORÇAMENTO!$AF$11)),
         0)</f>
        <v>0</v>
      </c>
      <c r="AZ19" s="453">
        <f ca="1">IF(AND($D19="Serviço",AZ$12&lt;&gt;0,$H19&gt;0,OR(AUTOEVENTO&lt;&gt;"manual",$M19&lt;&gt;$A$15)),
        IF(Import.TipoArredondamento&lt;&gt;"TransfereGOV",
              ROUND(OFFSET($P19,0,AZ$13),15-13*ORÇAMENTO!$AF$7)/$H19*OFFSET(ORÇAMENTO!$X$15,ROW(AZ19)-ROW(AZ$15),0),
              ROUND(ROUND(OFFSET($P19,0,AZ$13),15-13*ORÇAMENTO!$AF$7)*OFFSET(ORÇAMENTO!$W$15,ROW(AZ19)-ROW(AZ$15),0),15-13*ORÇAMENTO!$AF$11)),
         0)</f>
        <v>0</v>
      </c>
      <c r="BA19" s="453">
        <f ca="1">IF(AND($D19="Serviço",BA$12&lt;&gt;0,$H19&gt;0,OR(AUTOEVENTO&lt;&gt;"manual",$M19&lt;&gt;$A$15)),
        IF(Import.TipoArredondamento&lt;&gt;"TransfereGOV",
              ROUND(OFFSET($P19,0,BA$13),15-13*ORÇAMENTO!$AF$7)/$H19*OFFSET(ORÇAMENTO!$X$15,ROW(BA19)-ROW(BA$15),0),
              ROUND(ROUND(OFFSET($P19,0,BA$13),15-13*ORÇAMENTO!$AF$7)*OFFSET(ORÇAMENTO!$W$15,ROW(BA19)-ROW(BA$15),0),15-13*ORÇAMENTO!$AF$11)),
         0)</f>
        <v>0</v>
      </c>
      <c r="BB19" s="453">
        <f ca="1">IF(AND($D19="Serviço",BB$12&lt;&gt;0,$H19&gt;0,OR(AUTOEVENTO&lt;&gt;"manual",$M19&lt;&gt;$A$15)),
        IF(Import.TipoArredondamento&lt;&gt;"TransfereGOV",
              ROUND(OFFSET($P19,0,BB$13),15-13*ORÇAMENTO!$AF$7)/$H19*OFFSET(ORÇAMENTO!$X$15,ROW(BB19)-ROW(BB$15),0),
              ROUND(ROUND(OFFSET($P19,0,BB$13),15-13*ORÇAMENTO!$AF$7)*OFFSET(ORÇAMENTO!$W$15,ROW(BB19)-ROW(BB$15),0),15-13*ORÇAMENTO!$AF$11)),
         0)</f>
        <v>0</v>
      </c>
      <c r="BC19" s="453">
        <f ca="1">IF(AND($D19="Serviço",BC$12&lt;&gt;0,$H19&gt;0,OR(AUTOEVENTO&lt;&gt;"manual",$M19&lt;&gt;$A$15)),
        IF(Import.TipoArredondamento&lt;&gt;"TransfereGOV",
              ROUND(OFFSET($P19,0,BC$13),15-13*ORÇAMENTO!$AF$7)/$H19*OFFSET(ORÇAMENTO!$X$15,ROW(BC19)-ROW(BC$15),0),
              ROUND(ROUND(OFFSET($P19,0,BC$13),15-13*ORÇAMENTO!$AF$7)*OFFSET(ORÇAMENTO!$W$15,ROW(BC19)-ROW(BC$15),0),15-13*ORÇAMENTO!$AF$11)),
         0)</f>
        <v>0</v>
      </c>
      <c r="BD19" s="453">
        <f ca="1">IF(AND($D19="Serviço",BD$12&lt;&gt;0,$H19&gt;0,OR(AUTOEVENTO&lt;&gt;"manual",$M19&lt;&gt;$A$15)),
        IF(Import.TipoArredondamento&lt;&gt;"TransfereGOV",
              ROUND(OFFSET($P19,0,BD$13),15-13*ORÇAMENTO!$AF$7)/$H19*OFFSET(ORÇAMENTO!$X$15,ROW(BD19)-ROW(BD$15),0),
              ROUND(ROUND(OFFSET($P19,0,BD$13),15-13*ORÇAMENTO!$AF$7)*OFFSET(ORÇAMENTO!$W$15,ROW(BD19)-ROW(BD$15),0),15-13*ORÇAMENTO!$AF$11)),
         0)</f>
        <v>0</v>
      </c>
      <c r="BE19" s="453">
        <f ca="1">IF(AND($D19="Serviço",BE$12&lt;&gt;0,$H19&gt;0,OR(AUTOEVENTO&lt;&gt;"manual",$M19&lt;&gt;$A$15)),
        IF(Import.TipoArredondamento&lt;&gt;"TransfereGOV",
              ROUND(OFFSET($P19,0,BE$13),15-13*ORÇAMENTO!$AF$7)/$H19*OFFSET(ORÇAMENTO!$X$15,ROW(BE19)-ROW(BE$15),0),
              ROUND(ROUND(OFFSET($P19,0,BE$13),15-13*ORÇAMENTO!$AF$7)*OFFSET(ORÇAMENTO!$W$15,ROW(BE19)-ROW(BE$15),0),15-13*ORÇAMENTO!$AF$11)),
         0)</f>
        <v>0</v>
      </c>
      <c r="BF19" s="453">
        <f ca="1">IF(AND($D19="Serviço",BF$12&lt;&gt;0,$H19&gt;0,OR(AUTOEVENTO&lt;&gt;"manual",$M19&lt;&gt;$A$15)),
        IF(Import.TipoArredondamento&lt;&gt;"TransfereGOV",
              ROUND(OFFSET($P19,0,BF$13),15-13*ORÇAMENTO!$AF$7)/$H19*OFFSET(ORÇAMENTO!$X$15,ROW(BF19)-ROW(BF$15),0),
              ROUND(ROUND(OFFSET($P19,0,BF$13),15-13*ORÇAMENTO!$AF$7)*OFFSET(ORÇAMENTO!$W$15,ROW(BF19)-ROW(BF$15),0),15-13*ORÇAMENTO!$AF$11)),
         0)</f>
        <v>0</v>
      </c>
      <c r="BG19" s="453">
        <f ca="1">IF(AND($D19="Serviço",BG$12&lt;&gt;0,$H19&gt;0,OR(AUTOEVENTO&lt;&gt;"manual",$M19&lt;&gt;$A$15)),
        IF(Import.TipoArredondamento&lt;&gt;"TransfereGOV",
              ROUND(OFFSET($P19,0,BG$13),15-13*ORÇAMENTO!$AF$7)/$H19*OFFSET(ORÇAMENTO!$X$15,ROW(BG19)-ROW(BG$15),0),
              ROUND(ROUND(OFFSET($P19,0,BG$13),15-13*ORÇAMENTO!$AF$7)*OFFSET(ORÇAMENTO!$W$15,ROW(BG19)-ROW(BG$15),0),15-13*ORÇAMENTO!$AF$11)),
         0)</f>
        <v>0</v>
      </c>
      <c r="BH19" s="453">
        <f ca="1">IF(AND($D19="Serviço",BH$12&lt;&gt;0,$H19&gt;0,OR(AUTOEVENTO&lt;&gt;"manual",$M19&lt;&gt;$A$15)),
        IF(Import.TipoArredondamento&lt;&gt;"TransfereGOV",
              ROUND(OFFSET($P19,0,BH$13),15-13*ORÇAMENTO!$AF$7)/$H19*OFFSET(ORÇAMENTO!$X$15,ROW(BH19)-ROW(BH$15),0),
              ROUND(ROUND(OFFSET($P19,0,BH$13),15-13*ORÇAMENTO!$AF$7)*OFFSET(ORÇAMENTO!$W$15,ROW(BH19)-ROW(BH$15),0),15-13*ORÇAMENTO!$AF$11)),
         0)</f>
        <v>0</v>
      </c>
      <c r="BI19" s="453">
        <f ca="1">IF(AND($D19="Serviço",BI$12&lt;&gt;0,$H19&gt;0,OR(AUTOEVENTO&lt;&gt;"manual",$M19&lt;&gt;$A$15)),
        IF(Import.TipoArredondamento&lt;&gt;"TransfereGOV",
              ROUND(OFFSET($P19,0,BI$13),15-13*ORÇAMENTO!$AF$7)/$H19*OFFSET(ORÇAMENTO!$X$15,ROW(BI19)-ROW(BI$15),0),
              ROUND(ROUND(OFFSET($P19,0,BI$13),15-13*ORÇAMENTO!$AF$7)*OFFSET(ORÇAMENTO!$W$15,ROW(BI19)-ROW(BI$15),0),15-13*ORÇAMENTO!$AF$11)),
         0)</f>
        <v>0</v>
      </c>
      <c r="BJ19" s="453">
        <f ca="1">IF(AND($D19="Serviço",BJ$12&lt;&gt;0,$H19&gt;0,OR(AUTOEVENTO&lt;&gt;"manual",$M19&lt;&gt;$A$15)),
        IF(Import.TipoArredondamento&lt;&gt;"TransfereGOV",
              ROUND(OFFSET($P19,0,BJ$13),15-13*ORÇAMENTO!$AF$7)/$H19*OFFSET(ORÇAMENTO!$X$15,ROW(BJ19)-ROW(BJ$15),0),
              ROUND(ROUND(OFFSET($P19,0,BJ$13),15-13*ORÇAMENTO!$AF$7)*OFFSET(ORÇAMENTO!$W$15,ROW(BJ19)-ROW(BJ$15),0),15-13*ORÇAMENTO!$AF$11)),
         0)</f>
        <v>0</v>
      </c>
      <c r="BK19" s="453">
        <f ca="1">IF(AND($D19="Serviço",BK$12&lt;&gt;0,$H19&gt;0,OR(AUTOEVENTO&lt;&gt;"manual",$M19&lt;&gt;$A$15)),
        IF(Import.TipoArredondamento&lt;&gt;"TransfereGOV",
              ROUND(OFFSET($P19,0,BK$13),15-13*ORÇAMENTO!$AF$7)/$H19*OFFSET(ORÇAMENTO!$X$15,ROW(BK19)-ROW(BK$15),0),
              ROUND(ROUND(OFFSET($P19,0,BK$13),15-13*ORÇAMENTO!$AF$7)*OFFSET(ORÇAMENTO!$W$15,ROW(BK19)-ROW(BK$15),0),15-13*ORÇAMENTO!$AF$11)),
         0)</f>
        <v>0</v>
      </c>
      <c r="BL19" s="453">
        <f ca="1">IF(AND($D19="Serviço",BL$12&lt;&gt;0,$H19&gt;0,OR(AUTOEVENTO&lt;&gt;"manual",$M19&lt;&gt;$A$15)),
        IF(Import.TipoArredondamento&lt;&gt;"TransfereGOV",
              ROUND(OFFSET($P19,0,BL$13),15-13*ORÇAMENTO!$AF$7)/$H19*OFFSET(ORÇAMENTO!$X$15,ROW(BL19)-ROW(BL$15),0),
              ROUND(ROUND(OFFSET($P19,0,BL$13),15-13*ORÇAMENTO!$AF$7)*OFFSET(ORÇAMENTO!$W$15,ROW(BL19)-ROW(BL$15),0),15-13*ORÇAMENTO!$AF$11)),
         0)</f>
        <v>0</v>
      </c>
      <c r="BM19" s="453">
        <f ca="1">IF(AND($D19="Serviço",BM$12&lt;&gt;0,$H19&gt;0,OR(AUTOEVENTO&lt;&gt;"manual",$M19&lt;&gt;$A$15)),
        IF(Import.TipoArredondamento&lt;&gt;"TransfereGOV",
              ROUND(OFFSET($P19,0,BM$13),15-13*ORÇAMENTO!$AF$7)/$H19*OFFSET(ORÇAMENTO!$X$15,ROW(BM19)-ROW(BM$15),0),
              ROUND(ROUND(OFFSET($P19,0,BM$13),15-13*ORÇAMENTO!$AF$7)*OFFSET(ORÇAMENTO!$W$15,ROW(BM19)-ROW(BM$15),0),15-13*ORÇAMENTO!$AF$11)),
         0)</f>
        <v>0</v>
      </c>
      <c r="BN19" s="453">
        <f ca="1">IF(AND($D19="Serviço",BN$12&lt;&gt;0,$H19&gt;0,OR(AUTOEVENTO&lt;&gt;"manual",$M19&lt;&gt;$A$15)),
        IF(Import.TipoArredondamento&lt;&gt;"TransfereGOV",
              ROUND(OFFSET($P19,0,BN$13),15-13*ORÇAMENTO!$AF$7)/$H19*OFFSET(ORÇAMENTO!$X$15,ROW(BN19)-ROW(BN$15),0),
              ROUND(ROUND(OFFSET($P19,0,BN$13),15-13*ORÇAMENTO!$AF$7)*OFFSET(ORÇAMENTO!$W$15,ROW(BN19)-ROW(BN$15),0),15-13*ORÇAMENTO!$AF$11)),
         0)</f>
        <v>0</v>
      </c>
      <c r="BO19" s="453">
        <f ca="1">IF(AND($D19="Serviço",BO$12&lt;&gt;0,$H19&gt;0,OR(AUTOEVENTO&lt;&gt;"manual",$M19&lt;&gt;$A$15)),
        IF(Import.TipoArredondamento&lt;&gt;"TransfereGOV",
              ROUND(OFFSET($P19,0,BO$13),15-13*ORÇAMENTO!$AF$7)/$H19*OFFSET(ORÇAMENTO!$X$15,ROW(BO19)-ROW(BO$15),0),
              ROUND(ROUND(OFFSET($P19,0,BO$13),15-13*ORÇAMENTO!$AF$7)*OFFSET(ORÇAMENTO!$W$15,ROW(BO19)-ROW(BO$15),0),15-13*ORÇAMENTO!$AF$11)),
         0)</f>
        <v>0</v>
      </c>
      <c r="BP19" s="453">
        <f ca="1">IF(AND($D19="Serviço",BP$12&lt;&gt;0,$H19&gt;0,OR(AUTOEVENTO&lt;&gt;"manual",$M19&lt;&gt;$A$15)),
        IF(Import.TipoArredondamento&lt;&gt;"TransfereGOV",
              ROUND(OFFSET($P19,0,BP$13),15-13*ORÇAMENTO!$AF$7)/$H19*OFFSET(ORÇAMENTO!$X$15,ROW(BP19)-ROW(BP$15),0),
              ROUND(ROUND(OFFSET($P19,0,BP$13),15-13*ORÇAMENTO!$AF$7)*OFFSET(ORÇAMENTO!$W$15,ROW(BP19)-ROW(BP$15),0),15-13*ORÇAMENTO!$AF$11)),
         0)</f>
        <v>0</v>
      </c>
      <c r="BQ19" s="453">
        <f ca="1">IF(AND($D19="Serviço",BQ$12&lt;&gt;0,$H19&gt;0,OR(AUTOEVENTO&lt;&gt;"manual",$M19&lt;&gt;$A$15)),
        IF(Import.TipoArredondamento&lt;&gt;"TransfereGOV",
              ROUND(OFFSET($P19,0,BQ$13),15-13*ORÇAMENTO!$AF$7)/$H19*OFFSET(ORÇAMENTO!$X$15,ROW(BQ19)-ROW(BQ$15),0),
              ROUND(ROUND(OFFSET($P19,0,BQ$13),15-13*ORÇAMENTO!$AF$7)*OFFSET(ORÇAMENTO!$W$15,ROW(BQ19)-ROW(BQ$15),0),15-13*ORÇAMENTO!$AF$11)),
         0)</f>
        <v>0</v>
      </c>
      <c r="BS19" s="171">
        <f ca="1">IF(OR($D19&lt;&gt;"Serviço",AND(AUTOEVENTO="Manual",$M19=$A$15)),0,
         IF(OFFSET(CRONOPLE!$F$15,$M19-$A$15,BS$13)=0,10^12,OFFSET(CRONOPLE!$F$15,$M19-$A$15,BS$13)))</f>
        <v>0</v>
      </c>
      <c r="BT19" s="171">
        <f ca="1">IF(OR($D19&lt;&gt;"Serviço",AND(AUTOEVENTO="Manual",$M19=$A$15)),0,
         IF(OFFSET(CRONOPLE!$F$15,$M19-$A$15,BT$13)=0,10^12,OFFSET(CRONOPLE!$F$15,$M19-$A$15,BT$13)))</f>
        <v>0</v>
      </c>
      <c r="BU19" s="171">
        <f ca="1">IF(OR($D19&lt;&gt;"Serviço",AND(AUTOEVENTO="Manual",$M19=$A$15)),0,
         IF(OFFSET(CRONOPLE!$F$15,$M19-$A$15,BU$13)=0,10^12,OFFSET(CRONOPLE!$F$15,$M19-$A$15,BU$13)))</f>
        <v>0</v>
      </c>
      <c r="BV19" s="171">
        <f ca="1">IF(OR($D19&lt;&gt;"Serviço",AND(AUTOEVENTO="Manual",$M19=$A$15)),0,
         IF(OFFSET(CRONOPLE!$F$15,$M19-$A$15,BV$13)=0,10^12,OFFSET(CRONOPLE!$F$15,$M19-$A$15,BV$13)))</f>
        <v>0</v>
      </c>
      <c r="BW19" s="171">
        <f ca="1">IF(OR($D19&lt;&gt;"Serviço",AND(AUTOEVENTO="Manual",$M19=$A$15)),0,
         IF(OFFSET(CRONOPLE!$F$15,$M19-$A$15,BW$13)=0,10^12,OFFSET(CRONOPLE!$F$15,$M19-$A$15,BW$13)))</f>
        <v>0</v>
      </c>
      <c r="BX19" s="171">
        <f ca="1">IF(OR($D19&lt;&gt;"Serviço",AND(AUTOEVENTO="Manual",$M19=$A$15)),0,
         IF(OFFSET(CRONOPLE!$F$15,$M19-$A$15,BX$13)=0,10^12,OFFSET(CRONOPLE!$F$15,$M19-$A$15,BX$13)))</f>
        <v>0</v>
      </c>
      <c r="BY19" s="171">
        <f ca="1">IF(OR($D19&lt;&gt;"Serviço",AND(AUTOEVENTO="Manual",$M19=$A$15)),0,
         IF(OFFSET(CRONOPLE!$F$15,$M19-$A$15,BY$13)=0,10^12,OFFSET(CRONOPLE!$F$15,$M19-$A$15,BY$13)))</f>
        <v>0</v>
      </c>
      <c r="BZ19" s="171">
        <f ca="1">IF(OR($D19&lt;&gt;"Serviço",AND(AUTOEVENTO="Manual",$M19=$A$15)),0,
         IF(OFFSET(CRONOPLE!$F$15,$M19-$A$15,BZ$13)=0,10^12,OFFSET(CRONOPLE!$F$15,$M19-$A$15,BZ$13)))</f>
        <v>0</v>
      </c>
      <c r="CA19" s="171">
        <f ca="1">IF(OR($D19&lt;&gt;"Serviço",AND(AUTOEVENTO="Manual",$M19=$A$15)),0,
         IF(OFFSET(CRONOPLE!$F$15,$M19-$A$15,CA$13)=0,10^12,OFFSET(CRONOPLE!$F$15,$M19-$A$15,CA$13)))</f>
        <v>0</v>
      </c>
      <c r="CB19" s="171">
        <f ca="1">IF(OR($D19&lt;&gt;"Serviço",AND(AUTOEVENTO="Manual",$M19=$A$15)),0,
         IF(OFFSET(CRONOPLE!$F$15,$M19-$A$15,CB$13)=0,10^12,OFFSET(CRONOPLE!$F$15,$M19-$A$15,CB$13)))</f>
        <v>0</v>
      </c>
      <c r="CC19" s="171">
        <f ca="1">IF(OR($D19&lt;&gt;"Serviço",AND(AUTOEVENTO="Manual",$M19=$A$15)),0,
         IF(OFFSET(CRONOPLE!$F$15,$M19-$A$15,CC$13)=0,10^12,OFFSET(CRONOPLE!$F$15,$M19-$A$15,CC$13)))</f>
        <v>0</v>
      </c>
      <c r="CD19" s="171">
        <f ca="1">IF(OR($D19&lt;&gt;"Serviço",AND(AUTOEVENTO="Manual",$M19=$A$15)),0,
         IF(OFFSET(CRONOPLE!$F$15,$M19-$A$15,CD$13)=0,10^12,OFFSET(CRONOPLE!$F$15,$M19-$A$15,CD$13)))</f>
        <v>0</v>
      </c>
      <c r="CE19" s="171">
        <f ca="1">IF(OR($D19&lt;&gt;"Serviço",AND(AUTOEVENTO="Manual",$M19=$A$15)),0,
         IF(OFFSET(CRONOPLE!$F$15,$M19-$A$15,CE$13)=0,10^12,OFFSET(CRONOPLE!$F$15,$M19-$A$15,CE$13)))</f>
        <v>0</v>
      </c>
      <c r="CF19" s="171">
        <f ca="1">IF(OR($D19&lt;&gt;"Serviço",AND(AUTOEVENTO="Manual",$M19=$A$15)),0,
         IF(OFFSET(CRONOPLE!$F$15,$M19-$A$15,CF$13)=0,10^12,OFFSET(CRONOPLE!$F$15,$M19-$A$15,CF$13)))</f>
        <v>0</v>
      </c>
      <c r="CG19" s="171">
        <f ca="1">IF(OR($D19&lt;&gt;"Serviço",AND(AUTOEVENTO="Manual",$M19=$A$15)),0,
         IF(OFFSET(CRONOPLE!$F$15,$M19-$A$15,CG$13)=0,10^12,OFFSET(CRONOPLE!$F$15,$M19-$A$15,CG$13)))</f>
        <v>0</v>
      </c>
      <c r="CH19" s="171">
        <f ca="1">IF(OR($D19&lt;&gt;"Serviço",AND(AUTOEVENTO="Manual",$M19=$A$15)),0,
         IF(OFFSET(CRONOPLE!$F$15,$M19-$A$15,CH$13)=0,10^12,OFFSET(CRONOPLE!$F$15,$M19-$A$15,CH$13)))</f>
        <v>0</v>
      </c>
      <c r="CI19" s="171">
        <f ca="1">IF(OR($D19&lt;&gt;"Serviço",AND(AUTOEVENTO="Manual",$M19=$A$15)),0,
         IF(OFFSET(CRONOPLE!$F$15,$M19-$A$15,CI$13)=0,10^12,OFFSET(CRONOPLE!$F$15,$M19-$A$15,CI$13)))</f>
        <v>0</v>
      </c>
      <c r="CJ19" s="171">
        <f ca="1">IF(OR($D19&lt;&gt;"Serviço",AND(AUTOEVENTO="Manual",$M19=$A$15)),0,
         IF(OFFSET(CRONOPLE!$F$15,$M19-$A$15,CJ$13)=0,10^12,OFFSET(CRONOPLE!$F$15,$M19-$A$15,CJ$13)))</f>
        <v>0</v>
      </c>
      <c r="CK19" s="171">
        <f ca="1">IF(OR($D19&lt;&gt;"Serviço",AND(AUTOEVENTO="Manual",$M19=$A$15)),0,
         IF(OFFSET(CRONOPLE!$F$15,$M19-$A$15,CK$13)=0,10^12,OFFSET(CRONOPLE!$F$15,$M19-$A$15,CK$13)))</f>
        <v>0</v>
      </c>
      <c r="CL19" s="171">
        <f ca="1">IF(OR($D19&lt;&gt;"Serviço",AND(AUTOEVENTO="Manual",$M19=$A$15)),0,
         IF(OFFSET(CRONOPLE!$F$15,$M19-$A$15,CL$13)=0,10^12,OFFSET(CRONOPLE!$F$15,$M19-$A$15,CL$13)))</f>
        <v>0</v>
      </c>
      <c r="CM19" s="171">
        <f ca="1">IF(OR($D19&lt;&gt;"Serviço",AND(AUTOEVENTO="Manual",$M19=$A$15)),0,
         IF(OFFSET(CRONOPLE!$F$15,$M19-$A$15,CM$13)=0,10^12,OFFSET(CRONOPLE!$F$15,$M19-$A$15,CM$13)))</f>
        <v>0</v>
      </c>
      <c r="CN19" s="171">
        <f ca="1">IF(OR($D19&lt;&gt;"Serviço",AND(AUTOEVENTO="Manual",$M19=$A$15)),0,
         IF(OFFSET(CRONOPLE!$F$15,$M19-$A$15,CN$13)=0,10^12,OFFSET(CRONOPLE!$F$15,$M19-$A$15,CN$13)))</f>
        <v>0</v>
      </c>
      <c r="CO19" s="171">
        <f ca="1">IF(OR($D19&lt;&gt;"Serviço",AND(AUTOEVENTO="Manual",$M19=$A$15)),0,
         IF(OFFSET(CRONOPLE!$F$15,$M19-$A$15,CO$13)=0,10^12,OFFSET(CRONOPLE!$F$15,$M19-$A$15,CO$13)))</f>
        <v>0</v>
      </c>
      <c r="CP19" s="171">
        <f ca="1">IF(OR($D19&lt;&gt;"Serviço",AND(AUTOEVENTO="Manual",$M19=$A$15)),0,
         IF(OFFSET(CRONOPLE!$F$15,$M19-$A$15,CP$13)=0,10^12,OFFSET(CRONOPLE!$F$15,$M19-$A$15,CP$13)))</f>
        <v>0</v>
      </c>
      <c r="CQ19" s="171">
        <f ca="1">IF(OR($D19&lt;&gt;"Serviço",AND(AUTOEVENTO="Manual",$M19=$A$15)),0,
         IF(OFFSET(CRONOPLE!$F$15,$M19-$A$15,CQ$13)=0,10^12,OFFSET(CRONOPLE!$F$15,$M19-$A$15,CQ$13)))</f>
        <v>0</v>
      </c>
      <c r="CR19" s="171">
        <f ca="1">IF(OR($D19&lt;&gt;"Serviço",AND(AUTOEVENTO="Manual",$M19=$A$15)),0,
         IF(OFFSET(CRONOPLE!$F$15,$M19-$A$15,CR$13)=0,10^12,OFFSET(CRONOPLE!$F$15,$M19-$A$15,CR$13)))</f>
        <v>0</v>
      </c>
      <c r="CT19" s="172" cm="1">
        <f t="array" aca="1" ref="CT19" ca="1">IF(OR($D19&lt;&gt;"Serviço",AND(AUTOEVENTO="Manual",$M19=$A$15),$M19&gt;(ROW(PLE.lastrow)-ROW(PLE.firstrow))),0,
           IF(OFFSET(PLE!$G$15,$M19-$A$15,CT$13)="",10^12,OFFSET(PLE!$G$15,$M19-$A$15,CT$13)))</f>
        <v>0</v>
      </c>
      <c r="CU19" s="172" cm="1">
        <f t="array" aca="1" ref="CU19" ca="1">IF(OR($D19&lt;&gt;"Serviço",AND(AUTOEVENTO="Manual",$M19=$A$15),$M19&gt;(ROW(PLE.lastrow)-ROW(PLE.firstrow))),0,
           IF(OFFSET(PLE!$G$15,$M19-$A$15,CU$13)="",10^12,OFFSET(PLE!$G$15,$M19-$A$15,CU$13)))</f>
        <v>0</v>
      </c>
      <c r="CV19" s="172" cm="1">
        <f t="array" aca="1" ref="CV19" ca="1">IF(OR($D19&lt;&gt;"Serviço",AND(AUTOEVENTO="Manual",$M19=$A$15),$M19&gt;(ROW(PLE.lastrow)-ROW(PLE.firstrow))),0,
           IF(OFFSET(PLE!$G$15,$M19-$A$15,CV$13)="",10^12,OFFSET(PLE!$G$15,$M19-$A$15,CV$13)))</f>
        <v>0</v>
      </c>
      <c r="CW19" s="172" cm="1">
        <f t="array" aca="1" ref="CW19" ca="1">IF(OR($D19&lt;&gt;"Serviço",AND(AUTOEVENTO="Manual",$M19=$A$15),$M19&gt;(ROW(PLE.lastrow)-ROW(PLE.firstrow))),0,
           IF(OFFSET(PLE!$G$15,$M19-$A$15,CW$13)="",10^12,OFFSET(PLE!$G$15,$M19-$A$15,CW$13)))</f>
        <v>0</v>
      </c>
      <c r="CX19" s="172" cm="1">
        <f t="array" aca="1" ref="CX19" ca="1">IF(OR($D19&lt;&gt;"Serviço",AND(AUTOEVENTO="Manual",$M19=$A$15),$M19&gt;(ROW(PLE.lastrow)-ROW(PLE.firstrow))),0,
           IF(OFFSET(PLE!$G$15,$M19-$A$15,CX$13)="",10^12,OFFSET(PLE!$G$15,$M19-$A$15,CX$13)))</f>
        <v>0</v>
      </c>
      <c r="CY19" s="172" cm="1">
        <f t="array" aca="1" ref="CY19" ca="1">IF(OR($D19&lt;&gt;"Serviço",AND(AUTOEVENTO="Manual",$M19=$A$15),$M19&gt;(ROW(PLE.lastrow)-ROW(PLE.firstrow))),0,
           IF(OFFSET(PLE!$G$15,$M19-$A$15,CY$13)="",10^12,OFFSET(PLE!$G$15,$M19-$A$15,CY$13)))</f>
        <v>0</v>
      </c>
      <c r="CZ19" s="172" cm="1">
        <f t="array" aca="1" ref="CZ19" ca="1">IF(OR($D19&lt;&gt;"Serviço",AND(AUTOEVENTO="Manual",$M19=$A$15),$M19&gt;(ROW(PLE.lastrow)-ROW(PLE.firstrow))),0,
           IF(OFFSET(PLE!$G$15,$M19-$A$15,CZ$13)="",10^12,OFFSET(PLE!$G$15,$M19-$A$15,CZ$13)))</f>
        <v>0</v>
      </c>
      <c r="DA19" s="172" cm="1">
        <f t="array" aca="1" ref="DA19" ca="1">IF(OR($D19&lt;&gt;"Serviço",AND(AUTOEVENTO="Manual",$M19=$A$15),$M19&gt;(ROW(PLE.lastrow)-ROW(PLE.firstrow))),0,
           IF(OFFSET(PLE!$G$15,$M19-$A$15,DA$13)="",10^12,OFFSET(PLE!$G$15,$M19-$A$15,DA$13)))</f>
        <v>0</v>
      </c>
      <c r="DB19" s="172" cm="1">
        <f t="array" aca="1" ref="DB19" ca="1">IF(OR($D19&lt;&gt;"Serviço",AND(AUTOEVENTO="Manual",$M19=$A$15),$M19&gt;(ROW(PLE.lastrow)-ROW(PLE.firstrow))),0,
           IF(OFFSET(PLE!$G$15,$M19-$A$15,DB$13)="",10^12,OFFSET(PLE!$G$15,$M19-$A$15,DB$13)))</f>
        <v>0</v>
      </c>
      <c r="DC19" s="172" cm="1">
        <f t="array" aca="1" ref="DC19" ca="1">IF(OR($D19&lt;&gt;"Serviço",AND(AUTOEVENTO="Manual",$M19=$A$15),$M19&gt;(ROW(PLE.lastrow)-ROW(PLE.firstrow))),0,
           IF(OFFSET(PLE!$G$15,$M19-$A$15,DC$13)="",10^12,OFFSET(PLE!$G$15,$M19-$A$15,DC$13)))</f>
        <v>0</v>
      </c>
      <c r="DD19" s="172" cm="1">
        <f t="array" aca="1" ref="DD19" ca="1">IF(OR($D19&lt;&gt;"Serviço",AND(AUTOEVENTO="Manual",$M19=$A$15),$M19&gt;(ROW(PLE.lastrow)-ROW(PLE.firstrow))),0,
           IF(OFFSET(PLE!$G$15,$M19-$A$15,DD$13)="",10^12,OFFSET(PLE!$G$15,$M19-$A$15,DD$13)))</f>
        <v>0</v>
      </c>
      <c r="DE19" s="172" cm="1">
        <f t="array" aca="1" ref="DE19" ca="1">IF(OR($D19&lt;&gt;"Serviço",AND(AUTOEVENTO="Manual",$M19=$A$15),$M19&gt;(ROW(PLE.lastrow)-ROW(PLE.firstrow))),0,
           IF(OFFSET(PLE!$G$15,$M19-$A$15,DE$13)="",10^12,OFFSET(PLE!$G$15,$M19-$A$15,DE$13)))</f>
        <v>0</v>
      </c>
      <c r="DF19" s="172" cm="1">
        <f t="array" aca="1" ref="DF19" ca="1">IF(OR($D19&lt;&gt;"Serviço",AND(AUTOEVENTO="Manual",$M19=$A$15),$M19&gt;(ROW(PLE.lastrow)-ROW(PLE.firstrow))),0,
           IF(OFFSET(PLE!$G$15,$M19-$A$15,DF$13)="",10^12,OFFSET(PLE!$G$15,$M19-$A$15,DF$13)))</f>
        <v>0</v>
      </c>
      <c r="DG19" s="172" cm="1">
        <f t="array" aca="1" ref="DG19" ca="1">IF(OR($D19&lt;&gt;"Serviço",AND(AUTOEVENTO="Manual",$M19=$A$15),$M19&gt;(ROW(PLE.lastrow)-ROW(PLE.firstrow))),0,
           IF(OFFSET(PLE!$G$15,$M19-$A$15,DG$13)="",10^12,OFFSET(PLE!$G$15,$M19-$A$15,DG$13)))</f>
        <v>0</v>
      </c>
      <c r="DH19" s="172" cm="1">
        <f t="array" aca="1" ref="DH19" ca="1">IF(OR($D19&lt;&gt;"Serviço",AND(AUTOEVENTO="Manual",$M19=$A$15),$M19&gt;(ROW(PLE.lastrow)-ROW(PLE.firstrow))),0,
           IF(OFFSET(PLE!$G$15,$M19-$A$15,DH$13)="",10^12,OFFSET(PLE!$G$15,$M19-$A$15,DH$13)))</f>
        <v>0</v>
      </c>
      <c r="DI19" s="172" cm="1">
        <f t="array" aca="1" ref="DI19" ca="1">IF(OR($D19&lt;&gt;"Serviço",AND(AUTOEVENTO="Manual",$M19=$A$15),$M19&gt;(ROW(PLE.lastrow)-ROW(PLE.firstrow))),0,
           IF(OFFSET(PLE!$G$15,$M19-$A$15,DI$13)="",10^12,OFFSET(PLE!$G$15,$M19-$A$15,DI$13)))</f>
        <v>0</v>
      </c>
      <c r="DJ19" s="172" cm="1">
        <f t="array" aca="1" ref="DJ19" ca="1">IF(OR($D19&lt;&gt;"Serviço",AND(AUTOEVENTO="Manual",$M19=$A$15),$M19&gt;(ROW(PLE.lastrow)-ROW(PLE.firstrow))),0,
           IF(OFFSET(PLE!$G$15,$M19-$A$15,DJ$13)="",10^12,OFFSET(PLE!$G$15,$M19-$A$15,DJ$13)))</f>
        <v>0</v>
      </c>
      <c r="DK19" s="172" cm="1">
        <f t="array" aca="1" ref="DK19" ca="1">IF(OR($D19&lt;&gt;"Serviço",AND(AUTOEVENTO="Manual",$M19=$A$15),$M19&gt;(ROW(PLE.lastrow)-ROW(PLE.firstrow))),0,
           IF(OFFSET(PLE!$G$15,$M19-$A$15,DK$13)="",10^12,OFFSET(PLE!$G$15,$M19-$A$15,DK$13)))</f>
        <v>0</v>
      </c>
      <c r="DL19" s="172" cm="1">
        <f t="array" aca="1" ref="DL19" ca="1">IF(OR($D19&lt;&gt;"Serviço",AND(AUTOEVENTO="Manual",$M19=$A$15),$M19&gt;(ROW(PLE.lastrow)-ROW(PLE.firstrow))),0,
           IF(OFFSET(PLE!$G$15,$M19-$A$15,DL$13)="",10^12,OFFSET(PLE!$G$15,$M19-$A$15,DL$13)))</f>
        <v>0</v>
      </c>
      <c r="DM19" s="172" cm="1">
        <f t="array" aca="1" ref="DM19" ca="1">IF(OR($D19&lt;&gt;"Serviço",AND(AUTOEVENTO="Manual",$M19=$A$15),$M19&gt;(ROW(PLE.lastrow)-ROW(PLE.firstrow))),0,
           IF(OFFSET(PLE!$G$15,$M19-$A$15,DM$13)="",10^12,OFFSET(PLE!$G$15,$M19-$A$15,DM$13)))</f>
        <v>0</v>
      </c>
      <c r="DN19" s="172" cm="1">
        <f t="array" aca="1" ref="DN19" ca="1">IF(OR($D19&lt;&gt;"Serviço",AND(AUTOEVENTO="Manual",$M19=$A$15),$M19&gt;(ROW(PLE.lastrow)-ROW(PLE.firstrow))),0,
           IF(OFFSET(PLE!$G$15,$M19-$A$15,DN$13)="",10^12,OFFSET(PLE!$G$15,$M19-$A$15,DN$13)))</f>
        <v>0</v>
      </c>
      <c r="DO19" s="172" cm="1">
        <f t="array" aca="1" ref="DO19" ca="1">IF(OR($D19&lt;&gt;"Serviço",AND(AUTOEVENTO="Manual",$M19=$A$15),$M19&gt;(ROW(PLE.lastrow)-ROW(PLE.firstrow))),0,
           IF(OFFSET(PLE!$G$15,$M19-$A$15,DO$13)="",10^12,OFFSET(PLE!$G$15,$M19-$A$15,DO$13)))</f>
        <v>0</v>
      </c>
      <c r="DP19" s="172" cm="1">
        <f t="array" aca="1" ref="DP19" ca="1">IF(OR($D19&lt;&gt;"Serviço",AND(AUTOEVENTO="Manual",$M19=$A$15),$M19&gt;(ROW(PLE.lastrow)-ROW(PLE.firstrow))),0,
           IF(OFFSET(PLE!$G$15,$M19-$A$15,DP$13)="",10^12,OFFSET(PLE!$G$15,$M19-$A$15,DP$13)))</f>
        <v>0</v>
      </c>
      <c r="DQ19" s="172" cm="1">
        <f t="array" aca="1" ref="DQ19" ca="1">IF(OR($D19&lt;&gt;"Serviço",AND(AUTOEVENTO="Manual",$M19=$A$15),$M19&gt;(ROW(PLE.lastrow)-ROW(PLE.firstrow))),0,
           IF(OFFSET(PLE!$G$15,$M19-$A$15,DQ$13)="",10^12,OFFSET(PLE!$G$15,$M19-$A$15,DQ$13)))</f>
        <v>0</v>
      </c>
      <c r="DR19" s="172" cm="1">
        <f t="array" aca="1" ref="DR19" ca="1">IF(OR($D19&lt;&gt;"Serviço",AND(AUTOEVENTO="Manual",$M19=$A$15),$M19&gt;(ROW(PLE.lastrow)-ROW(PLE.firstrow))),0,
           IF(OFFSET(PLE!$G$15,$M19-$A$15,DR$13)="",10^12,OFFSET(PLE!$G$15,$M19-$A$15,DR$13)))</f>
        <v>0</v>
      </c>
      <c r="DS19" s="172" cm="1">
        <f t="array" aca="1" ref="DS19" ca="1">IF(OR($D19&lt;&gt;"Serviço",AND(AUTOEVENTO="Manual",$M19=$A$15),$M19&gt;(ROW(PLE.lastrow)-ROW(PLE.firstrow))),0,
           IF(OFFSET(PLE!$G$15,$M19-$A$15,DS$13)="",10^12,OFFSET(PLE!$G$15,$M19-$A$15,DS$13)))</f>
        <v>0</v>
      </c>
    </row>
    <row r="20" spans="1:123" ht="25.5" x14ac:dyDescent="0.2">
      <c r="A20" s="7">
        <f t="shared" ca="1" si="11"/>
        <v>1</v>
      </c>
      <c r="B20" s="7" t="str">
        <f ca="1">OFFSET(ORÇAMENTO!C$15,$L20,0)</f>
        <v>S</v>
      </c>
      <c r="C20" s="7" t="str">
        <f ca="1">OFFSET(ORÇAMENTO!L$15,$L20,0)</f>
        <v/>
      </c>
      <c r="D20" s="116" t="str">
        <f ca="1">OFFSET(ORÇAMENTO!N$15,$L20,0)</f>
        <v>Serviço</v>
      </c>
      <c r="E20" s="117" t="str">
        <f ca="1">OFFSET(ORÇAMENTO!O$15,$L20,0)</f>
        <v>-</v>
      </c>
      <c r="F20" s="163" t="str">
        <f ca="1">OFFSET(ORÇAMENTO!R$15,$L20,0)</f>
        <v>(Código não identificado nas referências)</v>
      </c>
      <c r="G20" s="164" t="str">
        <f ca="1">IF($D20&lt;&gt;"Serviço","",OFFSET(ORÇAMENTO!S$15,$L20,0))</f>
        <v>-</v>
      </c>
      <c r="H20" s="122" cm="1">
        <f t="array" aca="1" ref="H20" ca="1">IF($D20&lt;&gt;"Serviço",0,IF(ACOMPANHAMENTO="BM",ROUND(OFFSET(ORÇAMENTO!AJ$15,$L20,0),15-13*ORÇAMENTO!$AF$7),IF(IFERROR(CÁLCULO.FrentesPreenchidas,0)=0,0,SUM(ROUND(OFFSET($P20,0,1,1,CÁLCULO.FrentesPreenchidas),15-13*ORÇAMENTO!$AF$7)))))</f>
        <v>8</v>
      </c>
      <c r="I20" s="468" t="s">
        <v>1246</v>
      </c>
      <c r="J20" s="651" t="str" cm="1">
        <f t="array" aca="1" ref="J20" ca="1">IF(OR(B20&lt;&gt;"S",CÁLCULO.FrentesPreenchidas=0),"",IF(AND(ACOMPANHAMENTO="PLE",AUTOEVENTO="Manual",OR(H20&gt;0,ORÇAMENTO!AC20="QUANT."),OR(K20="",M20=0,N20="")),"►E",IF(AND(ACOMPANHAMENTO="PLE",ORÇAMENTO!AC20="QUANT."),"►Q",IF(AND(ACOMPANHAMENTO="PLE",H20&lt;&gt;SUMPRODUCT(($Q$1:$AQ$1=1)*ROUND(Q20:AQ20,15))),"►S",IF(AND(COUNTIF($P$11:$AQ$11,"▼")=0,H20&gt;0,I20=""),"◄M","")))))</f>
        <v/>
      </c>
      <c r="K20" s="652" t="s">
        <v>1249</v>
      </c>
      <c r="L20" s="165">
        <f t="shared" ca="1" si="12"/>
        <v>5</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SERVIÇOS PRELIMINARES</v>
      </c>
      <c r="O20" s="168"/>
      <c r="Q20" s="168">
        <v>8</v>
      </c>
      <c r="R20" s="169"/>
      <c r="S20" s="169"/>
      <c r="T20" s="169"/>
      <c r="U20" s="169"/>
      <c r="V20" s="169"/>
      <c r="W20" s="169"/>
      <c r="X20" s="169"/>
      <c r="Y20" s="169"/>
      <c r="Z20" s="170"/>
      <c r="AA20" s="169"/>
      <c r="AB20" s="169"/>
      <c r="AC20" s="169"/>
      <c r="AD20" s="169"/>
      <c r="AE20" s="169"/>
      <c r="AF20" s="169"/>
      <c r="AG20" s="169"/>
      <c r="AH20" s="170"/>
      <c r="AI20" s="169"/>
      <c r="AJ20" s="169"/>
      <c r="AK20" s="169"/>
      <c r="AL20" s="169"/>
      <c r="AM20" s="169"/>
      <c r="AN20" s="169"/>
      <c r="AO20" s="169"/>
      <c r="AP20" s="170"/>
      <c r="AR20" s="453">
        <f ca="1">IF(AND($D20="Serviço",AR$12&lt;&gt;0,$H20&gt;0,OR(AUTOEVENTO&lt;&gt;"manual",$M20&lt;&gt;$A$15)),
        IF(Import.TipoArredondamento&lt;&gt;"TransfereGOV",
              ROUND(OFFSET($P20,0,AR$13),15-13*ORÇAMENTO!$AF$7)/$H20*OFFSET(ORÇAMENTO!$X$15,ROW(AR20)-ROW(AR$15),0),
              ROUND(ROUND(OFFSET($P20,0,AR$13),15-13*ORÇAMENTO!$AF$7)*OFFSET(ORÇAMENTO!$W$15,ROW(AR20)-ROW(AR$15),0),15-13*ORÇAMENTO!$AF$11)),
         0)</f>
        <v>0</v>
      </c>
      <c r="AS20" s="453">
        <f ca="1">IF(AND($D20="Serviço",AS$12&lt;&gt;0,$H20&gt;0,OR(AUTOEVENTO&lt;&gt;"manual",$M20&lt;&gt;$A$15)),
        IF(Import.TipoArredondamento&lt;&gt;"TransfereGOV",
              ROUND(OFFSET($P20,0,AS$13),15-13*ORÇAMENTO!$AF$7)/$H20*OFFSET(ORÇAMENTO!$X$15,ROW(AS20)-ROW(AS$15),0),
              ROUND(ROUND(OFFSET($P20,0,AS$13),15-13*ORÇAMENTO!$AF$7)*OFFSET(ORÇAMENTO!$W$15,ROW(AS20)-ROW(AS$15),0),15-13*ORÇAMENTO!$AF$11)),
         0)</f>
        <v>0</v>
      </c>
      <c r="AT20" s="453">
        <f ca="1">IF(AND($D20="Serviço",AT$12&lt;&gt;0,$H20&gt;0,OR(AUTOEVENTO&lt;&gt;"manual",$M20&lt;&gt;$A$15)),
        IF(Import.TipoArredondamento&lt;&gt;"TransfereGOV",
              ROUND(OFFSET($P20,0,AT$13),15-13*ORÇAMENTO!$AF$7)/$H20*OFFSET(ORÇAMENTO!$X$15,ROW(AT20)-ROW(AT$15),0),
              ROUND(ROUND(OFFSET($P20,0,AT$13),15-13*ORÇAMENTO!$AF$7)*OFFSET(ORÇAMENTO!$W$15,ROW(AT20)-ROW(AT$15),0),15-13*ORÇAMENTO!$AF$11)),
         0)</f>
        <v>0</v>
      </c>
      <c r="AU20" s="453">
        <f ca="1">IF(AND($D20="Serviço",AU$12&lt;&gt;0,$H20&gt;0,OR(AUTOEVENTO&lt;&gt;"manual",$M20&lt;&gt;$A$15)),
        IF(Import.TipoArredondamento&lt;&gt;"TransfereGOV",
              ROUND(OFFSET($P20,0,AU$13),15-13*ORÇAMENTO!$AF$7)/$H20*OFFSET(ORÇAMENTO!$X$15,ROW(AU20)-ROW(AU$15),0),
              ROUND(ROUND(OFFSET($P20,0,AU$13),15-13*ORÇAMENTO!$AF$7)*OFFSET(ORÇAMENTO!$W$15,ROW(AU20)-ROW(AU$15),0),15-13*ORÇAMENTO!$AF$11)),
         0)</f>
        <v>0</v>
      </c>
      <c r="AV20" s="453">
        <f ca="1">IF(AND($D20="Serviço",AV$12&lt;&gt;0,$H20&gt;0,OR(AUTOEVENTO&lt;&gt;"manual",$M20&lt;&gt;$A$15)),
        IF(Import.TipoArredondamento&lt;&gt;"TransfereGOV",
              ROUND(OFFSET($P20,0,AV$13),15-13*ORÇAMENTO!$AF$7)/$H20*OFFSET(ORÇAMENTO!$X$15,ROW(AV20)-ROW(AV$15),0),
              ROUND(ROUND(OFFSET($P20,0,AV$13),15-13*ORÇAMENTO!$AF$7)*OFFSET(ORÇAMENTO!$W$15,ROW(AV20)-ROW(AV$15),0),15-13*ORÇAMENTO!$AF$11)),
         0)</f>
        <v>0</v>
      </c>
      <c r="AW20" s="453">
        <f ca="1">IF(AND($D20="Serviço",AW$12&lt;&gt;0,$H20&gt;0,OR(AUTOEVENTO&lt;&gt;"manual",$M20&lt;&gt;$A$15)),
        IF(Import.TipoArredondamento&lt;&gt;"TransfereGOV",
              ROUND(OFFSET($P20,0,AW$13),15-13*ORÇAMENTO!$AF$7)/$H20*OFFSET(ORÇAMENTO!$X$15,ROW(AW20)-ROW(AW$15),0),
              ROUND(ROUND(OFFSET($P20,0,AW$13),15-13*ORÇAMENTO!$AF$7)*OFFSET(ORÇAMENTO!$W$15,ROW(AW20)-ROW(AW$15),0),15-13*ORÇAMENTO!$AF$11)),
         0)</f>
        <v>0</v>
      </c>
      <c r="AX20" s="453">
        <f ca="1">IF(AND($D20="Serviço",AX$12&lt;&gt;0,$H20&gt;0,OR(AUTOEVENTO&lt;&gt;"manual",$M20&lt;&gt;$A$15)),
        IF(Import.TipoArredondamento&lt;&gt;"TransfereGOV",
              ROUND(OFFSET($P20,0,AX$13),15-13*ORÇAMENTO!$AF$7)/$H20*OFFSET(ORÇAMENTO!$X$15,ROW(AX20)-ROW(AX$15),0),
              ROUND(ROUND(OFFSET($P20,0,AX$13),15-13*ORÇAMENTO!$AF$7)*OFFSET(ORÇAMENTO!$W$15,ROW(AX20)-ROW(AX$15),0),15-13*ORÇAMENTO!$AF$11)),
         0)</f>
        <v>0</v>
      </c>
      <c r="AY20" s="453">
        <f ca="1">IF(AND($D20="Serviço",AY$12&lt;&gt;0,$H20&gt;0,OR(AUTOEVENTO&lt;&gt;"manual",$M20&lt;&gt;$A$15)),
        IF(Import.TipoArredondamento&lt;&gt;"TransfereGOV",
              ROUND(OFFSET($P20,0,AY$13),15-13*ORÇAMENTO!$AF$7)/$H20*OFFSET(ORÇAMENTO!$X$15,ROW(AY20)-ROW(AY$15),0),
              ROUND(ROUND(OFFSET($P20,0,AY$13),15-13*ORÇAMENTO!$AF$7)*OFFSET(ORÇAMENTO!$W$15,ROW(AY20)-ROW(AY$15),0),15-13*ORÇAMENTO!$AF$11)),
         0)</f>
        <v>0</v>
      </c>
      <c r="AZ20" s="453">
        <f ca="1">IF(AND($D20="Serviço",AZ$12&lt;&gt;0,$H20&gt;0,OR(AUTOEVENTO&lt;&gt;"manual",$M20&lt;&gt;$A$15)),
        IF(Import.TipoArredondamento&lt;&gt;"TransfereGOV",
              ROUND(OFFSET($P20,0,AZ$13),15-13*ORÇAMENTO!$AF$7)/$H20*OFFSET(ORÇAMENTO!$X$15,ROW(AZ20)-ROW(AZ$15),0),
              ROUND(ROUND(OFFSET($P20,0,AZ$13),15-13*ORÇAMENTO!$AF$7)*OFFSET(ORÇAMENTO!$W$15,ROW(AZ20)-ROW(AZ$15),0),15-13*ORÇAMENTO!$AF$11)),
         0)</f>
        <v>0</v>
      </c>
      <c r="BA20" s="453">
        <f ca="1">IF(AND($D20="Serviço",BA$12&lt;&gt;0,$H20&gt;0,OR(AUTOEVENTO&lt;&gt;"manual",$M20&lt;&gt;$A$15)),
        IF(Import.TipoArredondamento&lt;&gt;"TransfereGOV",
              ROUND(OFFSET($P20,0,BA$13),15-13*ORÇAMENTO!$AF$7)/$H20*OFFSET(ORÇAMENTO!$X$15,ROW(BA20)-ROW(BA$15),0),
              ROUND(ROUND(OFFSET($P20,0,BA$13),15-13*ORÇAMENTO!$AF$7)*OFFSET(ORÇAMENTO!$W$15,ROW(BA20)-ROW(BA$15),0),15-13*ORÇAMENTO!$AF$11)),
         0)</f>
        <v>0</v>
      </c>
      <c r="BB20" s="453">
        <f ca="1">IF(AND($D20="Serviço",BB$12&lt;&gt;0,$H20&gt;0,OR(AUTOEVENTO&lt;&gt;"manual",$M20&lt;&gt;$A$15)),
        IF(Import.TipoArredondamento&lt;&gt;"TransfereGOV",
              ROUND(OFFSET($P20,0,BB$13),15-13*ORÇAMENTO!$AF$7)/$H20*OFFSET(ORÇAMENTO!$X$15,ROW(BB20)-ROW(BB$15),0),
              ROUND(ROUND(OFFSET($P20,0,BB$13),15-13*ORÇAMENTO!$AF$7)*OFFSET(ORÇAMENTO!$W$15,ROW(BB20)-ROW(BB$15),0),15-13*ORÇAMENTO!$AF$11)),
         0)</f>
        <v>0</v>
      </c>
      <c r="BC20" s="453">
        <f ca="1">IF(AND($D20="Serviço",BC$12&lt;&gt;0,$H20&gt;0,OR(AUTOEVENTO&lt;&gt;"manual",$M20&lt;&gt;$A$15)),
        IF(Import.TipoArredondamento&lt;&gt;"TransfereGOV",
              ROUND(OFFSET($P20,0,BC$13),15-13*ORÇAMENTO!$AF$7)/$H20*OFFSET(ORÇAMENTO!$X$15,ROW(BC20)-ROW(BC$15),0),
              ROUND(ROUND(OFFSET($P20,0,BC$13),15-13*ORÇAMENTO!$AF$7)*OFFSET(ORÇAMENTO!$W$15,ROW(BC20)-ROW(BC$15),0),15-13*ORÇAMENTO!$AF$11)),
         0)</f>
        <v>0</v>
      </c>
      <c r="BD20" s="453">
        <f ca="1">IF(AND($D20="Serviço",BD$12&lt;&gt;0,$H20&gt;0,OR(AUTOEVENTO&lt;&gt;"manual",$M20&lt;&gt;$A$15)),
        IF(Import.TipoArredondamento&lt;&gt;"TransfereGOV",
              ROUND(OFFSET($P20,0,BD$13),15-13*ORÇAMENTO!$AF$7)/$H20*OFFSET(ORÇAMENTO!$X$15,ROW(BD20)-ROW(BD$15),0),
              ROUND(ROUND(OFFSET($P20,0,BD$13),15-13*ORÇAMENTO!$AF$7)*OFFSET(ORÇAMENTO!$W$15,ROW(BD20)-ROW(BD$15),0),15-13*ORÇAMENTO!$AF$11)),
         0)</f>
        <v>0</v>
      </c>
      <c r="BE20" s="453">
        <f ca="1">IF(AND($D20="Serviço",BE$12&lt;&gt;0,$H20&gt;0,OR(AUTOEVENTO&lt;&gt;"manual",$M20&lt;&gt;$A$15)),
        IF(Import.TipoArredondamento&lt;&gt;"TransfereGOV",
              ROUND(OFFSET($P20,0,BE$13),15-13*ORÇAMENTO!$AF$7)/$H20*OFFSET(ORÇAMENTO!$X$15,ROW(BE20)-ROW(BE$15),0),
              ROUND(ROUND(OFFSET($P20,0,BE$13),15-13*ORÇAMENTO!$AF$7)*OFFSET(ORÇAMENTO!$W$15,ROW(BE20)-ROW(BE$15),0),15-13*ORÇAMENTO!$AF$11)),
         0)</f>
        <v>0</v>
      </c>
      <c r="BF20" s="453">
        <f ca="1">IF(AND($D20="Serviço",BF$12&lt;&gt;0,$H20&gt;0,OR(AUTOEVENTO&lt;&gt;"manual",$M20&lt;&gt;$A$15)),
        IF(Import.TipoArredondamento&lt;&gt;"TransfereGOV",
              ROUND(OFFSET($P20,0,BF$13),15-13*ORÇAMENTO!$AF$7)/$H20*OFFSET(ORÇAMENTO!$X$15,ROW(BF20)-ROW(BF$15),0),
              ROUND(ROUND(OFFSET($P20,0,BF$13),15-13*ORÇAMENTO!$AF$7)*OFFSET(ORÇAMENTO!$W$15,ROW(BF20)-ROW(BF$15),0),15-13*ORÇAMENTO!$AF$11)),
         0)</f>
        <v>0</v>
      </c>
      <c r="BG20" s="453">
        <f ca="1">IF(AND($D20="Serviço",BG$12&lt;&gt;0,$H20&gt;0,OR(AUTOEVENTO&lt;&gt;"manual",$M20&lt;&gt;$A$15)),
        IF(Import.TipoArredondamento&lt;&gt;"TransfereGOV",
              ROUND(OFFSET($P20,0,BG$13),15-13*ORÇAMENTO!$AF$7)/$H20*OFFSET(ORÇAMENTO!$X$15,ROW(BG20)-ROW(BG$15),0),
              ROUND(ROUND(OFFSET($P20,0,BG$13),15-13*ORÇAMENTO!$AF$7)*OFFSET(ORÇAMENTO!$W$15,ROW(BG20)-ROW(BG$15),0),15-13*ORÇAMENTO!$AF$11)),
         0)</f>
        <v>0</v>
      </c>
      <c r="BH20" s="453">
        <f ca="1">IF(AND($D20="Serviço",BH$12&lt;&gt;0,$H20&gt;0,OR(AUTOEVENTO&lt;&gt;"manual",$M20&lt;&gt;$A$15)),
        IF(Import.TipoArredondamento&lt;&gt;"TransfereGOV",
              ROUND(OFFSET($P20,0,BH$13),15-13*ORÇAMENTO!$AF$7)/$H20*OFFSET(ORÇAMENTO!$X$15,ROW(BH20)-ROW(BH$15),0),
              ROUND(ROUND(OFFSET($P20,0,BH$13),15-13*ORÇAMENTO!$AF$7)*OFFSET(ORÇAMENTO!$W$15,ROW(BH20)-ROW(BH$15),0),15-13*ORÇAMENTO!$AF$11)),
         0)</f>
        <v>0</v>
      </c>
      <c r="BI20" s="453">
        <f ca="1">IF(AND($D20="Serviço",BI$12&lt;&gt;0,$H20&gt;0,OR(AUTOEVENTO&lt;&gt;"manual",$M20&lt;&gt;$A$15)),
        IF(Import.TipoArredondamento&lt;&gt;"TransfereGOV",
              ROUND(OFFSET($P20,0,BI$13),15-13*ORÇAMENTO!$AF$7)/$H20*OFFSET(ORÇAMENTO!$X$15,ROW(BI20)-ROW(BI$15),0),
              ROUND(ROUND(OFFSET($P20,0,BI$13),15-13*ORÇAMENTO!$AF$7)*OFFSET(ORÇAMENTO!$W$15,ROW(BI20)-ROW(BI$15),0),15-13*ORÇAMENTO!$AF$11)),
         0)</f>
        <v>0</v>
      </c>
      <c r="BJ20" s="453">
        <f ca="1">IF(AND($D20="Serviço",BJ$12&lt;&gt;0,$H20&gt;0,OR(AUTOEVENTO&lt;&gt;"manual",$M20&lt;&gt;$A$15)),
        IF(Import.TipoArredondamento&lt;&gt;"TransfereGOV",
              ROUND(OFFSET($P20,0,BJ$13),15-13*ORÇAMENTO!$AF$7)/$H20*OFFSET(ORÇAMENTO!$X$15,ROW(BJ20)-ROW(BJ$15),0),
              ROUND(ROUND(OFFSET($P20,0,BJ$13),15-13*ORÇAMENTO!$AF$7)*OFFSET(ORÇAMENTO!$W$15,ROW(BJ20)-ROW(BJ$15),0),15-13*ORÇAMENTO!$AF$11)),
         0)</f>
        <v>0</v>
      </c>
      <c r="BK20" s="453">
        <f ca="1">IF(AND($D20="Serviço",BK$12&lt;&gt;0,$H20&gt;0,OR(AUTOEVENTO&lt;&gt;"manual",$M20&lt;&gt;$A$15)),
        IF(Import.TipoArredondamento&lt;&gt;"TransfereGOV",
              ROUND(OFFSET($P20,0,BK$13),15-13*ORÇAMENTO!$AF$7)/$H20*OFFSET(ORÇAMENTO!$X$15,ROW(BK20)-ROW(BK$15),0),
              ROUND(ROUND(OFFSET($P20,0,BK$13),15-13*ORÇAMENTO!$AF$7)*OFFSET(ORÇAMENTO!$W$15,ROW(BK20)-ROW(BK$15),0),15-13*ORÇAMENTO!$AF$11)),
         0)</f>
        <v>0</v>
      </c>
      <c r="BL20" s="453">
        <f ca="1">IF(AND($D20="Serviço",BL$12&lt;&gt;0,$H20&gt;0,OR(AUTOEVENTO&lt;&gt;"manual",$M20&lt;&gt;$A$15)),
        IF(Import.TipoArredondamento&lt;&gt;"TransfereGOV",
              ROUND(OFFSET($P20,0,BL$13),15-13*ORÇAMENTO!$AF$7)/$H20*OFFSET(ORÇAMENTO!$X$15,ROW(BL20)-ROW(BL$15),0),
              ROUND(ROUND(OFFSET($P20,0,BL$13),15-13*ORÇAMENTO!$AF$7)*OFFSET(ORÇAMENTO!$W$15,ROW(BL20)-ROW(BL$15),0),15-13*ORÇAMENTO!$AF$11)),
         0)</f>
        <v>0</v>
      </c>
      <c r="BM20" s="453">
        <f ca="1">IF(AND($D20="Serviço",BM$12&lt;&gt;0,$H20&gt;0,OR(AUTOEVENTO&lt;&gt;"manual",$M20&lt;&gt;$A$15)),
        IF(Import.TipoArredondamento&lt;&gt;"TransfereGOV",
              ROUND(OFFSET($P20,0,BM$13),15-13*ORÇAMENTO!$AF$7)/$H20*OFFSET(ORÇAMENTO!$X$15,ROW(BM20)-ROW(BM$15),0),
              ROUND(ROUND(OFFSET($P20,0,BM$13),15-13*ORÇAMENTO!$AF$7)*OFFSET(ORÇAMENTO!$W$15,ROW(BM20)-ROW(BM$15),0),15-13*ORÇAMENTO!$AF$11)),
         0)</f>
        <v>0</v>
      </c>
      <c r="BN20" s="453">
        <f ca="1">IF(AND($D20="Serviço",BN$12&lt;&gt;0,$H20&gt;0,OR(AUTOEVENTO&lt;&gt;"manual",$M20&lt;&gt;$A$15)),
        IF(Import.TipoArredondamento&lt;&gt;"TransfereGOV",
              ROUND(OFFSET($P20,0,BN$13),15-13*ORÇAMENTO!$AF$7)/$H20*OFFSET(ORÇAMENTO!$X$15,ROW(BN20)-ROW(BN$15),0),
              ROUND(ROUND(OFFSET($P20,0,BN$13),15-13*ORÇAMENTO!$AF$7)*OFFSET(ORÇAMENTO!$W$15,ROW(BN20)-ROW(BN$15),0),15-13*ORÇAMENTO!$AF$11)),
         0)</f>
        <v>0</v>
      </c>
      <c r="BO20" s="453">
        <f ca="1">IF(AND($D20="Serviço",BO$12&lt;&gt;0,$H20&gt;0,OR(AUTOEVENTO&lt;&gt;"manual",$M20&lt;&gt;$A$15)),
        IF(Import.TipoArredondamento&lt;&gt;"TransfereGOV",
              ROUND(OFFSET($P20,0,BO$13),15-13*ORÇAMENTO!$AF$7)/$H20*OFFSET(ORÇAMENTO!$X$15,ROW(BO20)-ROW(BO$15),0),
              ROUND(ROUND(OFFSET($P20,0,BO$13),15-13*ORÇAMENTO!$AF$7)*OFFSET(ORÇAMENTO!$W$15,ROW(BO20)-ROW(BO$15),0),15-13*ORÇAMENTO!$AF$11)),
         0)</f>
        <v>0</v>
      </c>
      <c r="BP20" s="453">
        <f ca="1">IF(AND($D20="Serviço",BP$12&lt;&gt;0,$H20&gt;0,OR(AUTOEVENTO&lt;&gt;"manual",$M20&lt;&gt;$A$15)),
        IF(Import.TipoArredondamento&lt;&gt;"TransfereGOV",
              ROUND(OFFSET($P20,0,BP$13),15-13*ORÇAMENTO!$AF$7)/$H20*OFFSET(ORÇAMENTO!$X$15,ROW(BP20)-ROW(BP$15),0),
              ROUND(ROUND(OFFSET($P20,0,BP$13),15-13*ORÇAMENTO!$AF$7)*OFFSET(ORÇAMENTO!$W$15,ROW(BP20)-ROW(BP$15),0),15-13*ORÇAMENTO!$AF$11)),
         0)</f>
        <v>0</v>
      </c>
      <c r="BQ20" s="453">
        <f ca="1">IF(AND($D20="Serviço",BQ$12&lt;&gt;0,$H20&gt;0,OR(AUTOEVENTO&lt;&gt;"manual",$M20&lt;&gt;$A$15)),
        IF(Import.TipoArredondamento&lt;&gt;"TransfereGOV",
              ROUND(OFFSET($P20,0,BQ$13),15-13*ORÇAMENTO!$AF$7)/$H20*OFFSET(ORÇAMENTO!$X$15,ROW(BQ20)-ROW(BQ$15),0),
              ROUND(ROUND(OFFSET($P20,0,BQ$13),15-13*ORÇAMENTO!$AF$7)*OFFSET(ORÇAMENTO!$W$15,ROW(BQ20)-ROW(BQ$15),0),15-13*ORÇAMENTO!$AF$11)),
         0)</f>
        <v>0</v>
      </c>
      <c r="BS20" s="171">
        <f ca="1">IF(OR($D20&lt;&gt;"Serviço",AND(AUTOEVENTO="Manual",$M20=$A$15)),0,
         IF(OFFSET(CRONOPLE!$F$15,$M20-$A$15,BS$13)=0,10^12,OFFSET(CRONOPLE!$F$15,$M20-$A$15,BS$13)))</f>
        <v>1</v>
      </c>
      <c r="BT20" s="171">
        <f ca="1">IF(OR($D20&lt;&gt;"Serviço",AND(AUTOEVENTO="Manual",$M20=$A$15)),0,
         IF(OFFSET(CRONOPLE!$F$15,$M20-$A$15,BT$13)=0,10^12,OFFSET(CRONOPLE!$F$15,$M20-$A$15,BT$13)))</f>
        <v>2</v>
      </c>
      <c r="BU20" s="171">
        <f ca="1">IF(OR($D20&lt;&gt;"Serviço",AND(AUTOEVENTO="Manual",$M20=$A$15)),0,
         IF(OFFSET(CRONOPLE!$F$15,$M20-$A$15,BU$13)=0,10^12,OFFSET(CRONOPLE!$F$15,$M20-$A$15,BU$13)))</f>
        <v>3</v>
      </c>
      <c r="BV20" s="171">
        <f ca="1">IF(OR($D20&lt;&gt;"Serviço",AND(AUTOEVENTO="Manual",$M20=$A$15)),0,
         IF(OFFSET(CRONOPLE!$F$15,$M20-$A$15,BV$13)=0,10^12,OFFSET(CRONOPLE!$F$15,$M20-$A$15,BV$13)))</f>
        <v>4</v>
      </c>
      <c r="BW20" s="171">
        <f ca="1">IF(OR($D20&lt;&gt;"Serviço",AND(AUTOEVENTO="Manual",$M20=$A$15)),0,
         IF(OFFSET(CRONOPLE!$F$15,$M20-$A$15,BW$13)=0,10^12,OFFSET(CRONOPLE!$F$15,$M20-$A$15,BW$13)))</f>
        <v>5</v>
      </c>
      <c r="BX20" s="171">
        <f ca="1">IF(OR($D20&lt;&gt;"Serviço",AND(AUTOEVENTO="Manual",$M20=$A$15)),0,
         IF(OFFSET(CRONOPLE!$F$15,$M20-$A$15,BX$13)=0,10^12,OFFSET(CRONOPLE!$F$15,$M20-$A$15,BX$13)))</f>
        <v>6</v>
      </c>
      <c r="BY20" s="171">
        <f ca="1">IF(OR($D20&lt;&gt;"Serviço",AND(AUTOEVENTO="Manual",$M20=$A$15)),0,
         IF(OFFSET(CRONOPLE!$F$15,$M20-$A$15,BY$13)=0,10^12,OFFSET(CRONOPLE!$F$15,$M20-$A$15,BY$13)))</f>
        <v>7</v>
      </c>
      <c r="BZ20" s="171">
        <f ca="1">IF(OR($D20&lt;&gt;"Serviço",AND(AUTOEVENTO="Manual",$M20=$A$15)),0,
         IF(OFFSET(CRONOPLE!$F$15,$M20-$A$15,BZ$13)=0,10^12,OFFSET(CRONOPLE!$F$15,$M20-$A$15,BZ$13)))</f>
        <v>8</v>
      </c>
      <c r="CA20" s="171">
        <f ca="1">IF(OR($D20&lt;&gt;"Serviço",AND(AUTOEVENTO="Manual",$M20=$A$15)),0,
         IF(OFFSET(CRONOPLE!$F$15,$M20-$A$15,CA$13)=0,10^12,OFFSET(CRONOPLE!$F$15,$M20-$A$15,CA$13)))</f>
        <v>9</v>
      </c>
      <c r="CB20" s="171">
        <f ca="1">IF(OR($D20&lt;&gt;"Serviço",AND(AUTOEVENTO="Manual",$M20=$A$15)),0,
         IF(OFFSET(CRONOPLE!$F$15,$M20-$A$15,CB$13)=0,10^12,OFFSET(CRONOPLE!$F$15,$M20-$A$15,CB$13)))</f>
        <v>10</v>
      </c>
      <c r="CC20" s="171">
        <f ca="1">IF(OR($D20&lt;&gt;"Serviço",AND(AUTOEVENTO="Manual",$M20=$A$15)),0,
         IF(OFFSET(CRONOPLE!$F$15,$M20-$A$15,CC$13)=0,10^12,OFFSET(CRONOPLE!$F$15,$M20-$A$15,CC$13)))</f>
        <v>11</v>
      </c>
      <c r="CD20" s="171">
        <f ca="1">IF(OR($D20&lt;&gt;"Serviço",AND(AUTOEVENTO="Manual",$M20=$A$15)),0,
         IF(OFFSET(CRONOPLE!$F$15,$M20-$A$15,CD$13)=0,10^12,OFFSET(CRONOPLE!$F$15,$M20-$A$15,CD$13)))</f>
        <v>12</v>
      </c>
      <c r="CE20" s="171">
        <f ca="1">IF(OR($D20&lt;&gt;"Serviço",AND(AUTOEVENTO="Manual",$M20=$A$15)),0,
         IF(OFFSET(CRONOPLE!$F$15,$M20-$A$15,CE$13)=0,10^12,OFFSET(CRONOPLE!$F$15,$M20-$A$15,CE$13)))</f>
        <v>13</v>
      </c>
      <c r="CF20" s="171">
        <f ca="1">IF(OR($D20&lt;&gt;"Serviço",AND(AUTOEVENTO="Manual",$M20=$A$15)),0,
         IF(OFFSET(CRONOPLE!$F$15,$M20-$A$15,CF$13)=0,10^12,OFFSET(CRONOPLE!$F$15,$M20-$A$15,CF$13)))</f>
        <v>14</v>
      </c>
      <c r="CG20" s="171">
        <f ca="1">IF(OR($D20&lt;&gt;"Serviço",AND(AUTOEVENTO="Manual",$M20=$A$15)),0,
         IF(OFFSET(CRONOPLE!$F$15,$M20-$A$15,CG$13)=0,10^12,OFFSET(CRONOPLE!$F$15,$M20-$A$15,CG$13)))</f>
        <v>15</v>
      </c>
      <c r="CH20" s="171">
        <f ca="1">IF(OR($D20&lt;&gt;"Serviço",AND(AUTOEVENTO="Manual",$M20=$A$15)),0,
         IF(OFFSET(CRONOPLE!$F$15,$M20-$A$15,CH$13)=0,10^12,OFFSET(CRONOPLE!$F$15,$M20-$A$15,CH$13)))</f>
        <v>16</v>
      </c>
      <c r="CI20" s="171">
        <f ca="1">IF(OR($D20&lt;&gt;"Serviço",AND(AUTOEVENTO="Manual",$M20=$A$15)),0,
         IF(OFFSET(CRONOPLE!$F$15,$M20-$A$15,CI$13)=0,10^12,OFFSET(CRONOPLE!$F$15,$M20-$A$15,CI$13)))</f>
        <v>17</v>
      </c>
      <c r="CJ20" s="171">
        <f ca="1">IF(OR($D20&lt;&gt;"Serviço",AND(AUTOEVENTO="Manual",$M20=$A$15)),0,
         IF(OFFSET(CRONOPLE!$F$15,$M20-$A$15,CJ$13)=0,10^12,OFFSET(CRONOPLE!$F$15,$M20-$A$15,CJ$13)))</f>
        <v>18</v>
      </c>
      <c r="CK20" s="171">
        <f ca="1">IF(OR($D20&lt;&gt;"Serviço",AND(AUTOEVENTO="Manual",$M20=$A$15)),0,
         IF(OFFSET(CRONOPLE!$F$15,$M20-$A$15,CK$13)=0,10^12,OFFSET(CRONOPLE!$F$15,$M20-$A$15,CK$13)))</f>
        <v>19</v>
      </c>
      <c r="CL20" s="171">
        <f ca="1">IF(OR($D20&lt;&gt;"Serviço",AND(AUTOEVENTO="Manual",$M20=$A$15)),0,
         IF(OFFSET(CRONOPLE!$F$15,$M20-$A$15,CL$13)=0,10^12,OFFSET(CRONOPLE!$F$15,$M20-$A$15,CL$13)))</f>
        <v>20</v>
      </c>
      <c r="CM20" s="171">
        <f ca="1">IF(OR($D20&lt;&gt;"Serviço",AND(AUTOEVENTO="Manual",$M20=$A$15)),0,
         IF(OFFSET(CRONOPLE!$F$15,$M20-$A$15,CM$13)=0,10^12,OFFSET(CRONOPLE!$F$15,$M20-$A$15,CM$13)))</f>
        <v>1000000000000</v>
      </c>
      <c r="CN20" s="171">
        <f ca="1">IF(OR($D20&lt;&gt;"Serviço",AND(AUTOEVENTO="Manual",$M20=$A$15)),0,
         IF(OFFSET(CRONOPLE!$F$15,$M20-$A$15,CN$13)=0,10^12,OFFSET(CRONOPLE!$F$15,$M20-$A$15,CN$13)))</f>
        <v>1000000000000</v>
      </c>
      <c r="CO20" s="171">
        <f ca="1">IF(OR($D20&lt;&gt;"Serviço",AND(AUTOEVENTO="Manual",$M20=$A$15)),0,
         IF(OFFSET(CRONOPLE!$F$15,$M20-$A$15,CO$13)=0,10^12,OFFSET(CRONOPLE!$F$15,$M20-$A$15,CO$13)))</f>
        <v>1000000000000</v>
      </c>
      <c r="CP20" s="171">
        <f ca="1">IF(OR($D20&lt;&gt;"Serviço",AND(AUTOEVENTO="Manual",$M20=$A$15)),0,
         IF(OFFSET(CRONOPLE!$F$15,$M20-$A$15,CP$13)=0,10^12,OFFSET(CRONOPLE!$F$15,$M20-$A$15,CP$13)))</f>
        <v>1000000000000</v>
      </c>
      <c r="CQ20" s="171">
        <f ca="1">IF(OR($D20&lt;&gt;"Serviço",AND(AUTOEVENTO="Manual",$M20=$A$15)),0,
         IF(OFFSET(CRONOPLE!$F$15,$M20-$A$15,CQ$13)=0,10^12,OFFSET(CRONOPLE!$F$15,$M20-$A$15,CQ$13)))</f>
        <v>1000000000000</v>
      </c>
      <c r="CR20" s="171">
        <f ca="1">IF(OR($D20&lt;&gt;"Serviço",AND(AUTOEVENTO="Manual",$M20=$A$15)),0,
         IF(OFFSET(CRONOPLE!$F$15,$M20-$A$15,CR$13)=0,10^12,OFFSET(CRONOPLE!$F$15,$M20-$A$15,CR$13)))</f>
        <v>1000000000000</v>
      </c>
      <c r="CT20" s="172" cm="1">
        <f t="array" aca="1" ref="CT20" ca="1">IF(OR($D20&lt;&gt;"Serviço",AND(AUTOEVENTO="Manual",$M20=$A$15),$M20&gt;(ROW(PLE.lastrow)-ROW(PLE.firstrow))),0,
           IF(OFFSET(PLE!$G$15,$M20-$A$15,CT$13)="",10^12,OFFSET(PLE!$G$15,$M20-$A$15,CT$13)))</f>
        <v>1000000000000</v>
      </c>
      <c r="CU20" s="172" cm="1">
        <f t="array" aca="1" ref="CU20" ca="1">IF(OR($D20&lt;&gt;"Serviço",AND(AUTOEVENTO="Manual",$M20=$A$15),$M20&gt;(ROW(PLE.lastrow)-ROW(PLE.firstrow))),0,
           IF(OFFSET(PLE!$G$15,$M20-$A$15,CU$13)="",10^12,OFFSET(PLE!$G$15,$M20-$A$15,CU$13)))</f>
        <v>1000000000000</v>
      </c>
      <c r="CV20" s="172" cm="1">
        <f t="array" aca="1" ref="CV20" ca="1">IF(OR($D20&lt;&gt;"Serviço",AND(AUTOEVENTO="Manual",$M20=$A$15),$M20&gt;(ROW(PLE.lastrow)-ROW(PLE.firstrow))),0,
           IF(OFFSET(PLE!$G$15,$M20-$A$15,CV$13)="",10^12,OFFSET(PLE!$G$15,$M20-$A$15,CV$13)))</f>
        <v>1000000000000</v>
      </c>
      <c r="CW20" s="172" cm="1">
        <f t="array" aca="1" ref="CW20" ca="1">IF(OR($D20&lt;&gt;"Serviço",AND(AUTOEVENTO="Manual",$M20=$A$15),$M20&gt;(ROW(PLE.lastrow)-ROW(PLE.firstrow))),0,
           IF(OFFSET(PLE!$G$15,$M20-$A$15,CW$13)="",10^12,OFFSET(PLE!$G$15,$M20-$A$15,CW$13)))</f>
        <v>1000000000000</v>
      </c>
      <c r="CX20" s="172" cm="1">
        <f t="array" aca="1" ref="CX20" ca="1">IF(OR($D20&lt;&gt;"Serviço",AND(AUTOEVENTO="Manual",$M20=$A$15),$M20&gt;(ROW(PLE.lastrow)-ROW(PLE.firstrow))),0,
           IF(OFFSET(PLE!$G$15,$M20-$A$15,CX$13)="",10^12,OFFSET(PLE!$G$15,$M20-$A$15,CX$13)))</f>
        <v>1000000000000</v>
      </c>
      <c r="CY20" s="172" cm="1">
        <f t="array" aca="1" ref="CY20" ca="1">IF(OR($D20&lt;&gt;"Serviço",AND(AUTOEVENTO="Manual",$M20=$A$15),$M20&gt;(ROW(PLE.lastrow)-ROW(PLE.firstrow))),0,
           IF(OFFSET(PLE!$G$15,$M20-$A$15,CY$13)="",10^12,OFFSET(PLE!$G$15,$M20-$A$15,CY$13)))</f>
        <v>1000000000000</v>
      </c>
      <c r="CZ20" s="172" cm="1">
        <f t="array" aca="1" ref="CZ20" ca="1">IF(OR($D20&lt;&gt;"Serviço",AND(AUTOEVENTO="Manual",$M20=$A$15),$M20&gt;(ROW(PLE.lastrow)-ROW(PLE.firstrow))),0,
           IF(OFFSET(PLE!$G$15,$M20-$A$15,CZ$13)="",10^12,OFFSET(PLE!$G$15,$M20-$A$15,CZ$13)))</f>
        <v>1000000000000</v>
      </c>
      <c r="DA20" s="172" cm="1">
        <f t="array" aca="1" ref="DA20" ca="1">IF(OR($D20&lt;&gt;"Serviço",AND(AUTOEVENTO="Manual",$M20=$A$15),$M20&gt;(ROW(PLE.lastrow)-ROW(PLE.firstrow))),0,
           IF(OFFSET(PLE!$G$15,$M20-$A$15,DA$13)="",10^12,OFFSET(PLE!$G$15,$M20-$A$15,DA$13)))</f>
        <v>1000000000000</v>
      </c>
      <c r="DB20" s="172" cm="1">
        <f t="array" aca="1" ref="DB20" ca="1">IF(OR($D20&lt;&gt;"Serviço",AND(AUTOEVENTO="Manual",$M20=$A$15),$M20&gt;(ROW(PLE.lastrow)-ROW(PLE.firstrow))),0,
           IF(OFFSET(PLE!$G$15,$M20-$A$15,DB$13)="",10^12,OFFSET(PLE!$G$15,$M20-$A$15,DB$13)))</f>
        <v>1000000000000</v>
      </c>
      <c r="DC20" s="172" cm="1">
        <f t="array" aca="1" ref="DC20" ca="1">IF(OR($D20&lt;&gt;"Serviço",AND(AUTOEVENTO="Manual",$M20=$A$15),$M20&gt;(ROW(PLE.lastrow)-ROW(PLE.firstrow))),0,
           IF(OFFSET(PLE!$G$15,$M20-$A$15,DC$13)="",10^12,OFFSET(PLE!$G$15,$M20-$A$15,DC$13)))</f>
        <v>1000000000000</v>
      </c>
      <c r="DD20" s="172" cm="1">
        <f t="array" aca="1" ref="DD20" ca="1">IF(OR($D20&lt;&gt;"Serviço",AND(AUTOEVENTO="Manual",$M20=$A$15),$M20&gt;(ROW(PLE.lastrow)-ROW(PLE.firstrow))),0,
           IF(OFFSET(PLE!$G$15,$M20-$A$15,DD$13)="",10^12,OFFSET(PLE!$G$15,$M20-$A$15,DD$13)))</f>
        <v>1000000000000</v>
      </c>
      <c r="DE20" s="172" cm="1">
        <f t="array" aca="1" ref="DE20" ca="1">IF(OR($D20&lt;&gt;"Serviço",AND(AUTOEVENTO="Manual",$M20=$A$15),$M20&gt;(ROW(PLE.lastrow)-ROW(PLE.firstrow))),0,
           IF(OFFSET(PLE!$G$15,$M20-$A$15,DE$13)="",10^12,OFFSET(PLE!$G$15,$M20-$A$15,DE$13)))</f>
        <v>1000000000000</v>
      </c>
      <c r="DF20" s="172" cm="1">
        <f t="array" aca="1" ref="DF20" ca="1">IF(OR($D20&lt;&gt;"Serviço",AND(AUTOEVENTO="Manual",$M20=$A$15),$M20&gt;(ROW(PLE.lastrow)-ROW(PLE.firstrow))),0,
           IF(OFFSET(PLE!$G$15,$M20-$A$15,DF$13)="",10^12,OFFSET(PLE!$G$15,$M20-$A$15,DF$13)))</f>
        <v>1000000000000</v>
      </c>
      <c r="DG20" s="172" cm="1">
        <f t="array" aca="1" ref="DG20" ca="1">IF(OR($D20&lt;&gt;"Serviço",AND(AUTOEVENTO="Manual",$M20=$A$15),$M20&gt;(ROW(PLE.lastrow)-ROW(PLE.firstrow))),0,
           IF(OFFSET(PLE!$G$15,$M20-$A$15,DG$13)="",10^12,OFFSET(PLE!$G$15,$M20-$A$15,DG$13)))</f>
        <v>1000000000000</v>
      </c>
      <c r="DH20" s="172" cm="1">
        <f t="array" aca="1" ref="DH20" ca="1">IF(OR($D20&lt;&gt;"Serviço",AND(AUTOEVENTO="Manual",$M20=$A$15),$M20&gt;(ROW(PLE.lastrow)-ROW(PLE.firstrow))),0,
           IF(OFFSET(PLE!$G$15,$M20-$A$15,DH$13)="",10^12,OFFSET(PLE!$G$15,$M20-$A$15,DH$13)))</f>
        <v>1000000000000</v>
      </c>
      <c r="DI20" s="172" cm="1">
        <f t="array" aca="1" ref="DI20" ca="1">IF(OR($D20&lt;&gt;"Serviço",AND(AUTOEVENTO="Manual",$M20=$A$15),$M20&gt;(ROW(PLE.lastrow)-ROW(PLE.firstrow))),0,
           IF(OFFSET(PLE!$G$15,$M20-$A$15,DI$13)="",10^12,OFFSET(PLE!$G$15,$M20-$A$15,DI$13)))</f>
        <v>1000000000000</v>
      </c>
      <c r="DJ20" s="172" cm="1">
        <f t="array" aca="1" ref="DJ20" ca="1">IF(OR($D20&lt;&gt;"Serviço",AND(AUTOEVENTO="Manual",$M20=$A$15),$M20&gt;(ROW(PLE.lastrow)-ROW(PLE.firstrow))),0,
           IF(OFFSET(PLE!$G$15,$M20-$A$15,DJ$13)="",10^12,OFFSET(PLE!$G$15,$M20-$A$15,DJ$13)))</f>
        <v>1000000000000</v>
      </c>
      <c r="DK20" s="172" cm="1">
        <f t="array" aca="1" ref="DK20" ca="1">IF(OR($D20&lt;&gt;"Serviço",AND(AUTOEVENTO="Manual",$M20=$A$15),$M20&gt;(ROW(PLE.lastrow)-ROW(PLE.firstrow))),0,
           IF(OFFSET(PLE!$G$15,$M20-$A$15,DK$13)="",10^12,OFFSET(PLE!$G$15,$M20-$A$15,DK$13)))</f>
        <v>1000000000000</v>
      </c>
      <c r="DL20" s="172" cm="1">
        <f t="array" aca="1" ref="DL20" ca="1">IF(OR($D20&lt;&gt;"Serviço",AND(AUTOEVENTO="Manual",$M20=$A$15),$M20&gt;(ROW(PLE.lastrow)-ROW(PLE.firstrow))),0,
           IF(OFFSET(PLE!$G$15,$M20-$A$15,DL$13)="",10^12,OFFSET(PLE!$G$15,$M20-$A$15,DL$13)))</f>
        <v>1000000000000</v>
      </c>
      <c r="DM20" s="172" cm="1">
        <f t="array" aca="1" ref="DM20" ca="1">IF(OR($D20&lt;&gt;"Serviço",AND(AUTOEVENTO="Manual",$M20=$A$15),$M20&gt;(ROW(PLE.lastrow)-ROW(PLE.firstrow))),0,
           IF(OFFSET(PLE!$G$15,$M20-$A$15,DM$13)="",10^12,OFFSET(PLE!$G$15,$M20-$A$15,DM$13)))</f>
        <v>1000000000000</v>
      </c>
      <c r="DN20" s="172" cm="1">
        <f t="array" aca="1" ref="DN20" ca="1">IF(OR($D20&lt;&gt;"Serviço",AND(AUTOEVENTO="Manual",$M20=$A$15),$M20&gt;(ROW(PLE.lastrow)-ROW(PLE.firstrow))),0,
           IF(OFFSET(PLE!$G$15,$M20-$A$15,DN$13)="",10^12,OFFSET(PLE!$G$15,$M20-$A$15,DN$13)))</f>
        <v>1000000000000</v>
      </c>
      <c r="DO20" s="172" cm="1">
        <f t="array" aca="1" ref="DO20" ca="1">IF(OR($D20&lt;&gt;"Serviço",AND(AUTOEVENTO="Manual",$M20=$A$15),$M20&gt;(ROW(PLE.lastrow)-ROW(PLE.firstrow))),0,
           IF(OFFSET(PLE!$G$15,$M20-$A$15,DO$13)="",10^12,OFFSET(PLE!$G$15,$M20-$A$15,DO$13)))</f>
        <v>1000000000000</v>
      </c>
      <c r="DP20" s="172" cm="1">
        <f t="array" aca="1" ref="DP20" ca="1">IF(OR($D20&lt;&gt;"Serviço",AND(AUTOEVENTO="Manual",$M20=$A$15),$M20&gt;(ROW(PLE.lastrow)-ROW(PLE.firstrow))),0,
           IF(OFFSET(PLE!$G$15,$M20-$A$15,DP$13)="",10^12,OFFSET(PLE!$G$15,$M20-$A$15,DP$13)))</f>
        <v>1000000000000</v>
      </c>
      <c r="DQ20" s="172" cm="1">
        <f t="array" aca="1" ref="DQ20" ca="1">IF(OR($D20&lt;&gt;"Serviço",AND(AUTOEVENTO="Manual",$M20=$A$15),$M20&gt;(ROW(PLE.lastrow)-ROW(PLE.firstrow))),0,
           IF(OFFSET(PLE!$G$15,$M20-$A$15,DQ$13)="",10^12,OFFSET(PLE!$G$15,$M20-$A$15,DQ$13)))</f>
        <v>1000000000000</v>
      </c>
      <c r="DR20" s="172" cm="1">
        <f t="array" aca="1" ref="DR20" ca="1">IF(OR($D20&lt;&gt;"Serviço",AND(AUTOEVENTO="Manual",$M20=$A$15),$M20&gt;(ROW(PLE.lastrow)-ROW(PLE.firstrow))),0,
           IF(OFFSET(PLE!$G$15,$M20-$A$15,DR$13)="",10^12,OFFSET(PLE!$G$15,$M20-$A$15,DR$13)))</f>
        <v>1000000000000</v>
      </c>
      <c r="DS20" s="172" cm="1">
        <f t="array" aca="1" ref="DS20" ca="1">IF(OR($D20&lt;&gt;"Serviço",AND(AUTOEVENTO="Manual",$M20=$A$15),$M20&gt;(ROW(PLE.lastrow)-ROW(PLE.firstrow))),0,
           IF(OFFSET(PLE!$G$15,$M20-$A$15,DS$13)="",10^12,OFFSET(PLE!$G$15,$M20-$A$15,DS$13)))</f>
        <v>1000000000000</v>
      </c>
    </row>
    <row r="21" spans="1:123" ht="25.5" x14ac:dyDescent="0.2">
      <c r="A21" s="7">
        <f t="shared" ca="1" si="11"/>
        <v>1</v>
      </c>
      <c r="B21" s="7" t="str">
        <f ca="1">OFFSET(ORÇAMENTO!C$15,$L21,0)</f>
        <v>S</v>
      </c>
      <c r="C21" s="7" t="str">
        <f ca="1">OFFSET(ORÇAMENTO!L$15,$L21,0)</f>
        <v/>
      </c>
      <c r="D21" s="116" t="str">
        <f ca="1">OFFSET(ORÇAMENTO!N$15,$L21,0)</f>
        <v>Serviço</v>
      </c>
      <c r="E21" s="117" t="str">
        <f ca="1">OFFSET(ORÇAMENTO!O$15,$L21,0)</f>
        <v>-</v>
      </c>
      <c r="F21" s="163" t="str">
        <f ca="1">OFFSET(ORÇAMENTO!R$15,$L21,0)</f>
        <v>(Código não identificado nas referências)</v>
      </c>
      <c r="G21" s="164" t="str">
        <f ca="1">IF($D21&lt;&gt;"Serviço","",OFFSET(ORÇAMENTO!S$15,$L21,0))</f>
        <v>-</v>
      </c>
      <c r="H21" s="122" cm="1">
        <f t="array" aca="1" ref="H21" ca="1">IF($D21&lt;&gt;"Serviço",0,IF(ACOMPANHAMENTO="BM",ROUND(OFFSET(ORÇAMENTO!AJ$15,$L21,0),15-13*ORÇAMENTO!$AF$7),IF(IFERROR(CÁLCULO.FrentesPreenchidas,0)=0,0,SUM(ROUND(OFFSET($P21,0,1,1,CÁLCULO.FrentesPreenchidas),15-13*ORÇAMENTO!$AF$7)))))</f>
        <v>1400.3999999999999</v>
      </c>
      <c r="I21" s="468" t="s">
        <v>1247</v>
      </c>
      <c r="J21" s="651" t="str" cm="1">
        <f t="array" aca="1" ref="J21" ca="1">IF(OR(B21&lt;&gt;"S",CÁLCULO.FrentesPreenchidas=0),"",IF(AND(ACOMPANHAMENTO="PLE",AUTOEVENTO="Manual",OR(H21&gt;0,ORÇAMENTO!AC21="QUANT."),OR(K21="",M21=0,N21="")),"►E",IF(AND(ACOMPANHAMENTO="PLE",ORÇAMENTO!AC21="QUANT."),"►Q",IF(AND(ACOMPANHAMENTO="PLE",H21&lt;&gt;SUMPRODUCT(($Q$1:$AQ$1=1)*ROUND(Q21:AQ21,15))),"►S",IF(AND(COUNTIF($P$11:$AQ$11,"▼")=0,H21&gt;0,I21=""),"◄M","")))))</f>
        <v/>
      </c>
      <c r="K21" s="652" t="s">
        <v>1249</v>
      </c>
      <c r="L21" s="165">
        <f t="shared" ca="1" si="12"/>
        <v>6</v>
      </c>
      <c r="M21" s="166">
        <f ca="1">IF($D21&lt;&gt;"Serviço","",
          IF(AUTOEVENTO="manual",$A21,
                IF(ISERROR(MATCH($A21,$A$15:OFFSET($A21,-1,0),0)),MAX($M$15:OFFSET(M21,-1,0))+1,
                      INDEX($M$15:OFFSET(M21,-1,0),MATCH($A21,$A$15:OFFSET($A21,-1,0),0)))))</f>
        <v>1</v>
      </c>
      <c r="N21" s="167" t="str">
        <f ca="1">IF($D21&lt;&gt;"Serviço","",
         IF(AUTOEVENTO="Manual",
                IF($A21=0,"&lt;-- defina o número do agrupador",
                       OFFSET(EVENTOS!$D$15,$A21-$A$15,0)),
                OFFSET($F$15,$A21,0)))</f>
        <v>SERVIÇOS PRELIMINARES</v>
      </c>
      <c r="O21" s="168"/>
      <c r="Q21" s="168">
        <v>70.02</v>
      </c>
      <c r="R21" s="169">
        <v>70.02</v>
      </c>
      <c r="S21" s="169">
        <v>70.02</v>
      </c>
      <c r="T21" s="169">
        <v>70.02</v>
      </c>
      <c r="U21" s="169">
        <v>70.02</v>
      </c>
      <c r="V21" s="169">
        <v>70.02</v>
      </c>
      <c r="W21" s="169">
        <v>70.02</v>
      </c>
      <c r="X21" s="169">
        <v>70.02</v>
      </c>
      <c r="Y21" s="169">
        <v>70.02</v>
      </c>
      <c r="Z21" s="170">
        <v>70.02</v>
      </c>
      <c r="AA21" s="169">
        <v>70.02</v>
      </c>
      <c r="AB21" s="169">
        <v>70.02</v>
      </c>
      <c r="AC21" s="169">
        <v>70.02</v>
      </c>
      <c r="AD21" s="169">
        <v>70.02</v>
      </c>
      <c r="AE21" s="169">
        <v>70.02</v>
      </c>
      <c r="AF21" s="169">
        <v>70.02</v>
      </c>
      <c r="AG21" s="169">
        <v>70.02</v>
      </c>
      <c r="AH21" s="170">
        <v>70.02</v>
      </c>
      <c r="AI21" s="169">
        <v>70.02</v>
      </c>
      <c r="AJ21" s="169">
        <v>70.02</v>
      </c>
      <c r="AK21" s="169"/>
      <c r="AL21" s="169"/>
      <c r="AM21" s="169"/>
      <c r="AN21" s="169"/>
      <c r="AO21" s="169"/>
      <c r="AP21" s="170"/>
      <c r="AR21" s="453">
        <f ca="1">IF(AND($D21="Serviço",AR$12&lt;&gt;0,$H21&gt;0,OR(AUTOEVENTO&lt;&gt;"manual",$M21&lt;&gt;$A$15)),
        IF(Import.TipoArredondamento&lt;&gt;"TransfereGOV",
              ROUND(OFFSET($P21,0,AR$13),15-13*ORÇAMENTO!$AF$7)/$H21*OFFSET(ORÇAMENTO!$X$15,ROW(AR21)-ROW(AR$15),0),
              ROUND(ROUND(OFFSET($P21,0,AR$13),15-13*ORÇAMENTO!$AF$7)*OFFSET(ORÇAMENTO!$W$15,ROW(AR21)-ROW(AR$15),0),15-13*ORÇAMENTO!$AF$11)),
         0)</f>
        <v>0</v>
      </c>
      <c r="AS21" s="453">
        <f ca="1">IF(AND($D21="Serviço",AS$12&lt;&gt;0,$H21&gt;0,OR(AUTOEVENTO&lt;&gt;"manual",$M21&lt;&gt;$A$15)),
        IF(Import.TipoArredondamento&lt;&gt;"TransfereGOV",
              ROUND(OFFSET($P21,0,AS$13),15-13*ORÇAMENTO!$AF$7)/$H21*OFFSET(ORÇAMENTO!$X$15,ROW(AS21)-ROW(AS$15),0),
              ROUND(ROUND(OFFSET($P21,0,AS$13),15-13*ORÇAMENTO!$AF$7)*OFFSET(ORÇAMENTO!$W$15,ROW(AS21)-ROW(AS$15),0),15-13*ORÇAMENTO!$AF$11)),
         0)</f>
        <v>0</v>
      </c>
      <c r="AT21" s="453">
        <f ca="1">IF(AND($D21="Serviço",AT$12&lt;&gt;0,$H21&gt;0,OR(AUTOEVENTO&lt;&gt;"manual",$M21&lt;&gt;$A$15)),
        IF(Import.TipoArredondamento&lt;&gt;"TransfereGOV",
              ROUND(OFFSET($P21,0,AT$13),15-13*ORÇAMENTO!$AF$7)/$H21*OFFSET(ORÇAMENTO!$X$15,ROW(AT21)-ROW(AT$15),0),
              ROUND(ROUND(OFFSET($P21,0,AT$13),15-13*ORÇAMENTO!$AF$7)*OFFSET(ORÇAMENTO!$W$15,ROW(AT21)-ROW(AT$15),0),15-13*ORÇAMENTO!$AF$11)),
         0)</f>
        <v>0</v>
      </c>
      <c r="AU21" s="453">
        <f ca="1">IF(AND($D21="Serviço",AU$12&lt;&gt;0,$H21&gt;0,OR(AUTOEVENTO&lt;&gt;"manual",$M21&lt;&gt;$A$15)),
        IF(Import.TipoArredondamento&lt;&gt;"TransfereGOV",
              ROUND(OFFSET($P21,0,AU$13),15-13*ORÇAMENTO!$AF$7)/$H21*OFFSET(ORÇAMENTO!$X$15,ROW(AU21)-ROW(AU$15),0),
              ROUND(ROUND(OFFSET($P21,0,AU$13),15-13*ORÇAMENTO!$AF$7)*OFFSET(ORÇAMENTO!$W$15,ROW(AU21)-ROW(AU$15),0),15-13*ORÇAMENTO!$AF$11)),
         0)</f>
        <v>0</v>
      </c>
      <c r="AV21" s="453">
        <f ca="1">IF(AND($D21="Serviço",AV$12&lt;&gt;0,$H21&gt;0,OR(AUTOEVENTO&lt;&gt;"manual",$M21&lt;&gt;$A$15)),
        IF(Import.TipoArredondamento&lt;&gt;"TransfereGOV",
              ROUND(OFFSET($P21,0,AV$13),15-13*ORÇAMENTO!$AF$7)/$H21*OFFSET(ORÇAMENTO!$X$15,ROW(AV21)-ROW(AV$15),0),
              ROUND(ROUND(OFFSET($P21,0,AV$13),15-13*ORÇAMENTO!$AF$7)*OFFSET(ORÇAMENTO!$W$15,ROW(AV21)-ROW(AV$15),0),15-13*ORÇAMENTO!$AF$11)),
         0)</f>
        <v>0</v>
      </c>
      <c r="AW21" s="453">
        <f ca="1">IF(AND($D21="Serviço",AW$12&lt;&gt;0,$H21&gt;0,OR(AUTOEVENTO&lt;&gt;"manual",$M21&lt;&gt;$A$15)),
        IF(Import.TipoArredondamento&lt;&gt;"TransfereGOV",
              ROUND(OFFSET($P21,0,AW$13),15-13*ORÇAMENTO!$AF$7)/$H21*OFFSET(ORÇAMENTO!$X$15,ROW(AW21)-ROW(AW$15),0),
              ROUND(ROUND(OFFSET($P21,0,AW$13),15-13*ORÇAMENTO!$AF$7)*OFFSET(ORÇAMENTO!$W$15,ROW(AW21)-ROW(AW$15),0),15-13*ORÇAMENTO!$AF$11)),
         0)</f>
        <v>0</v>
      </c>
      <c r="AX21" s="453">
        <f ca="1">IF(AND($D21="Serviço",AX$12&lt;&gt;0,$H21&gt;0,OR(AUTOEVENTO&lt;&gt;"manual",$M21&lt;&gt;$A$15)),
        IF(Import.TipoArredondamento&lt;&gt;"TransfereGOV",
              ROUND(OFFSET($P21,0,AX$13),15-13*ORÇAMENTO!$AF$7)/$H21*OFFSET(ORÇAMENTO!$X$15,ROW(AX21)-ROW(AX$15),0),
              ROUND(ROUND(OFFSET($P21,0,AX$13),15-13*ORÇAMENTO!$AF$7)*OFFSET(ORÇAMENTO!$W$15,ROW(AX21)-ROW(AX$15),0),15-13*ORÇAMENTO!$AF$11)),
         0)</f>
        <v>0</v>
      </c>
      <c r="AY21" s="453">
        <f ca="1">IF(AND($D21="Serviço",AY$12&lt;&gt;0,$H21&gt;0,OR(AUTOEVENTO&lt;&gt;"manual",$M21&lt;&gt;$A$15)),
        IF(Import.TipoArredondamento&lt;&gt;"TransfereGOV",
              ROUND(OFFSET($P21,0,AY$13),15-13*ORÇAMENTO!$AF$7)/$H21*OFFSET(ORÇAMENTO!$X$15,ROW(AY21)-ROW(AY$15),0),
              ROUND(ROUND(OFFSET($P21,0,AY$13),15-13*ORÇAMENTO!$AF$7)*OFFSET(ORÇAMENTO!$W$15,ROW(AY21)-ROW(AY$15),0),15-13*ORÇAMENTO!$AF$11)),
         0)</f>
        <v>0</v>
      </c>
      <c r="AZ21" s="453">
        <f ca="1">IF(AND($D21="Serviço",AZ$12&lt;&gt;0,$H21&gt;0,OR(AUTOEVENTO&lt;&gt;"manual",$M21&lt;&gt;$A$15)),
        IF(Import.TipoArredondamento&lt;&gt;"TransfereGOV",
              ROUND(OFFSET($P21,0,AZ$13),15-13*ORÇAMENTO!$AF$7)/$H21*OFFSET(ORÇAMENTO!$X$15,ROW(AZ21)-ROW(AZ$15),0),
              ROUND(ROUND(OFFSET($P21,0,AZ$13),15-13*ORÇAMENTO!$AF$7)*OFFSET(ORÇAMENTO!$W$15,ROW(AZ21)-ROW(AZ$15),0),15-13*ORÇAMENTO!$AF$11)),
         0)</f>
        <v>0</v>
      </c>
      <c r="BA21" s="453">
        <f ca="1">IF(AND($D21="Serviço",BA$12&lt;&gt;0,$H21&gt;0,OR(AUTOEVENTO&lt;&gt;"manual",$M21&lt;&gt;$A$15)),
        IF(Import.TipoArredondamento&lt;&gt;"TransfereGOV",
              ROUND(OFFSET($P21,0,BA$13),15-13*ORÇAMENTO!$AF$7)/$H21*OFFSET(ORÇAMENTO!$X$15,ROW(BA21)-ROW(BA$15),0),
              ROUND(ROUND(OFFSET($P21,0,BA$13),15-13*ORÇAMENTO!$AF$7)*OFFSET(ORÇAMENTO!$W$15,ROW(BA21)-ROW(BA$15),0),15-13*ORÇAMENTO!$AF$11)),
         0)</f>
        <v>0</v>
      </c>
      <c r="BB21" s="453">
        <f ca="1">IF(AND($D21="Serviço",BB$12&lt;&gt;0,$H21&gt;0,OR(AUTOEVENTO&lt;&gt;"manual",$M21&lt;&gt;$A$15)),
        IF(Import.TipoArredondamento&lt;&gt;"TransfereGOV",
              ROUND(OFFSET($P21,0,BB$13),15-13*ORÇAMENTO!$AF$7)/$H21*OFFSET(ORÇAMENTO!$X$15,ROW(BB21)-ROW(BB$15),0),
              ROUND(ROUND(OFFSET($P21,0,BB$13),15-13*ORÇAMENTO!$AF$7)*OFFSET(ORÇAMENTO!$W$15,ROW(BB21)-ROW(BB$15),0),15-13*ORÇAMENTO!$AF$11)),
         0)</f>
        <v>0</v>
      </c>
      <c r="BC21" s="453">
        <f ca="1">IF(AND($D21="Serviço",BC$12&lt;&gt;0,$H21&gt;0,OR(AUTOEVENTO&lt;&gt;"manual",$M21&lt;&gt;$A$15)),
        IF(Import.TipoArredondamento&lt;&gt;"TransfereGOV",
              ROUND(OFFSET($P21,0,BC$13),15-13*ORÇAMENTO!$AF$7)/$H21*OFFSET(ORÇAMENTO!$X$15,ROW(BC21)-ROW(BC$15),0),
              ROUND(ROUND(OFFSET($P21,0,BC$13),15-13*ORÇAMENTO!$AF$7)*OFFSET(ORÇAMENTO!$W$15,ROW(BC21)-ROW(BC$15),0),15-13*ORÇAMENTO!$AF$11)),
         0)</f>
        <v>0</v>
      </c>
      <c r="BD21" s="453">
        <f ca="1">IF(AND($D21="Serviço",BD$12&lt;&gt;0,$H21&gt;0,OR(AUTOEVENTO&lt;&gt;"manual",$M21&lt;&gt;$A$15)),
        IF(Import.TipoArredondamento&lt;&gt;"TransfereGOV",
              ROUND(OFFSET($P21,0,BD$13),15-13*ORÇAMENTO!$AF$7)/$H21*OFFSET(ORÇAMENTO!$X$15,ROW(BD21)-ROW(BD$15),0),
              ROUND(ROUND(OFFSET($P21,0,BD$13),15-13*ORÇAMENTO!$AF$7)*OFFSET(ORÇAMENTO!$W$15,ROW(BD21)-ROW(BD$15),0),15-13*ORÇAMENTO!$AF$11)),
         0)</f>
        <v>0</v>
      </c>
      <c r="BE21" s="453">
        <f ca="1">IF(AND($D21="Serviço",BE$12&lt;&gt;0,$H21&gt;0,OR(AUTOEVENTO&lt;&gt;"manual",$M21&lt;&gt;$A$15)),
        IF(Import.TipoArredondamento&lt;&gt;"TransfereGOV",
              ROUND(OFFSET($P21,0,BE$13),15-13*ORÇAMENTO!$AF$7)/$H21*OFFSET(ORÇAMENTO!$X$15,ROW(BE21)-ROW(BE$15),0),
              ROUND(ROUND(OFFSET($P21,0,BE$13),15-13*ORÇAMENTO!$AF$7)*OFFSET(ORÇAMENTO!$W$15,ROW(BE21)-ROW(BE$15),0),15-13*ORÇAMENTO!$AF$11)),
         0)</f>
        <v>0</v>
      </c>
      <c r="BF21" s="453">
        <f ca="1">IF(AND($D21="Serviço",BF$12&lt;&gt;0,$H21&gt;0,OR(AUTOEVENTO&lt;&gt;"manual",$M21&lt;&gt;$A$15)),
        IF(Import.TipoArredondamento&lt;&gt;"TransfereGOV",
              ROUND(OFFSET($P21,0,BF$13),15-13*ORÇAMENTO!$AF$7)/$H21*OFFSET(ORÇAMENTO!$X$15,ROW(BF21)-ROW(BF$15),0),
              ROUND(ROUND(OFFSET($P21,0,BF$13),15-13*ORÇAMENTO!$AF$7)*OFFSET(ORÇAMENTO!$W$15,ROW(BF21)-ROW(BF$15),0),15-13*ORÇAMENTO!$AF$11)),
         0)</f>
        <v>0</v>
      </c>
      <c r="BG21" s="453">
        <f ca="1">IF(AND($D21="Serviço",BG$12&lt;&gt;0,$H21&gt;0,OR(AUTOEVENTO&lt;&gt;"manual",$M21&lt;&gt;$A$15)),
        IF(Import.TipoArredondamento&lt;&gt;"TransfereGOV",
              ROUND(OFFSET($P21,0,BG$13),15-13*ORÇAMENTO!$AF$7)/$H21*OFFSET(ORÇAMENTO!$X$15,ROW(BG21)-ROW(BG$15),0),
              ROUND(ROUND(OFFSET($P21,0,BG$13),15-13*ORÇAMENTO!$AF$7)*OFFSET(ORÇAMENTO!$W$15,ROW(BG21)-ROW(BG$15),0),15-13*ORÇAMENTO!$AF$11)),
         0)</f>
        <v>0</v>
      </c>
      <c r="BH21" s="453">
        <f ca="1">IF(AND($D21="Serviço",BH$12&lt;&gt;0,$H21&gt;0,OR(AUTOEVENTO&lt;&gt;"manual",$M21&lt;&gt;$A$15)),
        IF(Import.TipoArredondamento&lt;&gt;"TransfereGOV",
              ROUND(OFFSET($P21,0,BH$13),15-13*ORÇAMENTO!$AF$7)/$H21*OFFSET(ORÇAMENTO!$X$15,ROW(BH21)-ROW(BH$15),0),
              ROUND(ROUND(OFFSET($P21,0,BH$13),15-13*ORÇAMENTO!$AF$7)*OFFSET(ORÇAMENTO!$W$15,ROW(BH21)-ROW(BH$15),0),15-13*ORÇAMENTO!$AF$11)),
         0)</f>
        <v>0</v>
      </c>
      <c r="BI21" s="453">
        <f ca="1">IF(AND($D21="Serviço",BI$12&lt;&gt;0,$H21&gt;0,OR(AUTOEVENTO&lt;&gt;"manual",$M21&lt;&gt;$A$15)),
        IF(Import.TipoArredondamento&lt;&gt;"TransfereGOV",
              ROUND(OFFSET($P21,0,BI$13),15-13*ORÇAMENTO!$AF$7)/$H21*OFFSET(ORÇAMENTO!$X$15,ROW(BI21)-ROW(BI$15),0),
              ROUND(ROUND(OFFSET($P21,0,BI$13),15-13*ORÇAMENTO!$AF$7)*OFFSET(ORÇAMENTO!$W$15,ROW(BI21)-ROW(BI$15),0),15-13*ORÇAMENTO!$AF$11)),
         0)</f>
        <v>0</v>
      </c>
      <c r="BJ21" s="453">
        <f ca="1">IF(AND($D21="Serviço",BJ$12&lt;&gt;0,$H21&gt;0,OR(AUTOEVENTO&lt;&gt;"manual",$M21&lt;&gt;$A$15)),
        IF(Import.TipoArredondamento&lt;&gt;"TransfereGOV",
              ROUND(OFFSET($P21,0,BJ$13),15-13*ORÇAMENTO!$AF$7)/$H21*OFFSET(ORÇAMENTO!$X$15,ROW(BJ21)-ROW(BJ$15),0),
              ROUND(ROUND(OFFSET($P21,0,BJ$13),15-13*ORÇAMENTO!$AF$7)*OFFSET(ORÇAMENTO!$W$15,ROW(BJ21)-ROW(BJ$15),0),15-13*ORÇAMENTO!$AF$11)),
         0)</f>
        <v>0</v>
      </c>
      <c r="BK21" s="453">
        <f ca="1">IF(AND($D21="Serviço",BK$12&lt;&gt;0,$H21&gt;0,OR(AUTOEVENTO&lt;&gt;"manual",$M21&lt;&gt;$A$15)),
        IF(Import.TipoArredondamento&lt;&gt;"TransfereGOV",
              ROUND(OFFSET($P21,0,BK$13),15-13*ORÇAMENTO!$AF$7)/$H21*OFFSET(ORÇAMENTO!$X$15,ROW(BK21)-ROW(BK$15),0),
              ROUND(ROUND(OFFSET($P21,0,BK$13),15-13*ORÇAMENTO!$AF$7)*OFFSET(ORÇAMENTO!$W$15,ROW(BK21)-ROW(BK$15),0),15-13*ORÇAMENTO!$AF$11)),
         0)</f>
        <v>0</v>
      </c>
      <c r="BL21" s="453">
        <f ca="1">IF(AND($D21="Serviço",BL$12&lt;&gt;0,$H21&gt;0,OR(AUTOEVENTO&lt;&gt;"manual",$M21&lt;&gt;$A$15)),
        IF(Import.TipoArredondamento&lt;&gt;"TransfereGOV",
              ROUND(OFFSET($P21,0,BL$13),15-13*ORÇAMENTO!$AF$7)/$H21*OFFSET(ORÇAMENTO!$X$15,ROW(BL21)-ROW(BL$15),0),
              ROUND(ROUND(OFFSET($P21,0,BL$13),15-13*ORÇAMENTO!$AF$7)*OFFSET(ORÇAMENTO!$W$15,ROW(BL21)-ROW(BL$15),0),15-13*ORÇAMENTO!$AF$11)),
         0)</f>
        <v>0</v>
      </c>
      <c r="BM21" s="453">
        <f ca="1">IF(AND($D21="Serviço",BM$12&lt;&gt;0,$H21&gt;0,OR(AUTOEVENTO&lt;&gt;"manual",$M21&lt;&gt;$A$15)),
        IF(Import.TipoArredondamento&lt;&gt;"TransfereGOV",
              ROUND(OFFSET($P21,0,BM$13),15-13*ORÇAMENTO!$AF$7)/$H21*OFFSET(ORÇAMENTO!$X$15,ROW(BM21)-ROW(BM$15),0),
              ROUND(ROUND(OFFSET($P21,0,BM$13),15-13*ORÇAMENTO!$AF$7)*OFFSET(ORÇAMENTO!$W$15,ROW(BM21)-ROW(BM$15),0),15-13*ORÇAMENTO!$AF$11)),
         0)</f>
        <v>0</v>
      </c>
      <c r="BN21" s="453">
        <f ca="1">IF(AND($D21="Serviço",BN$12&lt;&gt;0,$H21&gt;0,OR(AUTOEVENTO&lt;&gt;"manual",$M21&lt;&gt;$A$15)),
        IF(Import.TipoArredondamento&lt;&gt;"TransfereGOV",
              ROUND(OFFSET($P21,0,BN$13),15-13*ORÇAMENTO!$AF$7)/$H21*OFFSET(ORÇAMENTO!$X$15,ROW(BN21)-ROW(BN$15),0),
              ROUND(ROUND(OFFSET($P21,0,BN$13),15-13*ORÇAMENTO!$AF$7)*OFFSET(ORÇAMENTO!$W$15,ROW(BN21)-ROW(BN$15),0),15-13*ORÇAMENTO!$AF$11)),
         0)</f>
        <v>0</v>
      </c>
      <c r="BO21" s="453">
        <f ca="1">IF(AND($D21="Serviço",BO$12&lt;&gt;0,$H21&gt;0,OR(AUTOEVENTO&lt;&gt;"manual",$M21&lt;&gt;$A$15)),
        IF(Import.TipoArredondamento&lt;&gt;"TransfereGOV",
              ROUND(OFFSET($P21,0,BO$13),15-13*ORÇAMENTO!$AF$7)/$H21*OFFSET(ORÇAMENTO!$X$15,ROW(BO21)-ROW(BO$15),0),
              ROUND(ROUND(OFFSET($P21,0,BO$13),15-13*ORÇAMENTO!$AF$7)*OFFSET(ORÇAMENTO!$W$15,ROW(BO21)-ROW(BO$15),0),15-13*ORÇAMENTO!$AF$11)),
         0)</f>
        <v>0</v>
      </c>
      <c r="BP21" s="453">
        <f ca="1">IF(AND($D21="Serviço",BP$12&lt;&gt;0,$H21&gt;0,OR(AUTOEVENTO&lt;&gt;"manual",$M21&lt;&gt;$A$15)),
        IF(Import.TipoArredondamento&lt;&gt;"TransfereGOV",
              ROUND(OFFSET($P21,0,BP$13),15-13*ORÇAMENTO!$AF$7)/$H21*OFFSET(ORÇAMENTO!$X$15,ROW(BP21)-ROW(BP$15),0),
              ROUND(ROUND(OFFSET($P21,0,BP$13),15-13*ORÇAMENTO!$AF$7)*OFFSET(ORÇAMENTO!$W$15,ROW(BP21)-ROW(BP$15),0),15-13*ORÇAMENTO!$AF$11)),
         0)</f>
        <v>0</v>
      </c>
      <c r="BQ21" s="453">
        <f ca="1">IF(AND($D21="Serviço",BQ$12&lt;&gt;0,$H21&gt;0,OR(AUTOEVENTO&lt;&gt;"manual",$M21&lt;&gt;$A$15)),
        IF(Import.TipoArredondamento&lt;&gt;"TransfereGOV",
              ROUND(OFFSET($P21,0,BQ$13),15-13*ORÇAMENTO!$AF$7)/$H21*OFFSET(ORÇAMENTO!$X$15,ROW(BQ21)-ROW(BQ$15),0),
              ROUND(ROUND(OFFSET($P21,0,BQ$13),15-13*ORÇAMENTO!$AF$7)*OFFSET(ORÇAMENTO!$W$15,ROW(BQ21)-ROW(BQ$15),0),15-13*ORÇAMENTO!$AF$11)),
         0)</f>
        <v>0</v>
      </c>
      <c r="BS21" s="171">
        <f ca="1">IF(OR($D21&lt;&gt;"Serviço",AND(AUTOEVENTO="Manual",$M21=$A$15)),0,
         IF(OFFSET(CRONOPLE!$F$15,$M21-$A$15,BS$13)=0,10^12,OFFSET(CRONOPLE!$F$15,$M21-$A$15,BS$13)))</f>
        <v>1</v>
      </c>
      <c r="BT21" s="171">
        <f ca="1">IF(OR($D21&lt;&gt;"Serviço",AND(AUTOEVENTO="Manual",$M21=$A$15)),0,
         IF(OFFSET(CRONOPLE!$F$15,$M21-$A$15,BT$13)=0,10^12,OFFSET(CRONOPLE!$F$15,$M21-$A$15,BT$13)))</f>
        <v>2</v>
      </c>
      <c r="BU21" s="171">
        <f ca="1">IF(OR($D21&lt;&gt;"Serviço",AND(AUTOEVENTO="Manual",$M21=$A$15)),0,
         IF(OFFSET(CRONOPLE!$F$15,$M21-$A$15,BU$13)=0,10^12,OFFSET(CRONOPLE!$F$15,$M21-$A$15,BU$13)))</f>
        <v>3</v>
      </c>
      <c r="BV21" s="171">
        <f ca="1">IF(OR($D21&lt;&gt;"Serviço",AND(AUTOEVENTO="Manual",$M21=$A$15)),0,
         IF(OFFSET(CRONOPLE!$F$15,$M21-$A$15,BV$13)=0,10^12,OFFSET(CRONOPLE!$F$15,$M21-$A$15,BV$13)))</f>
        <v>4</v>
      </c>
      <c r="BW21" s="171">
        <f ca="1">IF(OR($D21&lt;&gt;"Serviço",AND(AUTOEVENTO="Manual",$M21=$A$15)),0,
         IF(OFFSET(CRONOPLE!$F$15,$M21-$A$15,BW$13)=0,10^12,OFFSET(CRONOPLE!$F$15,$M21-$A$15,BW$13)))</f>
        <v>5</v>
      </c>
      <c r="BX21" s="171">
        <f ca="1">IF(OR($D21&lt;&gt;"Serviço",AND(AUTOEVENTO="Manual",$M21=$A$15)),0,
         IF(OFFSET(CRONOPLE!$F$15,$M21-$A$15,BX$13)=0,10^12,OFFSET(CRONOPLE!$F$15,$M21-$A$15,BX$13)))</f>
        <v>6</v>
      </c>
      <c r="BY21" s="171">
        <f ca="1">IF(OR($D21&lt;&gt;"Serviço",AND(AUTOEVENTO="Manual",$M21=$A$15)),0,
         IF(OFFSET(CRONOPLE!$F$15,$M21-$A$15,BY$13)=0,10^12,OFFSET(CRONOPLE!$F$15,$M21-$A$15,BY$13)))</f>
        <v>7</v>
      </c>
      <c r="BZ21" s="171">
        <f ca="1">IF(OR($D21&lt;&gt;"Serviço",AND(AUTOEVENTO="Manual",$M21=$A$15)),0,
         IF(OFFSET(CRONOPLE!$F$15,$M21-$A$15,BZ$13)=0,10^12,OFFSET(CRONOPLE!$F$15,$M21-$A$15,BZ$13)))</f>
        <v>8</v>
      </c>
      <c r="CA21" s="171">
        <f ca="1">IF(OR($D21&lt;&gt;"Serviço",AND(AUTOEVENTO="Manual",$M21=$A$15)),0,
         IF(OFFSET(CRONOPLE!$F$15,$M21-$A$15,CA$13)=0,10^12,OFFSET(CRONOPLE!$F$15,$M21-$A$15,CA$13)))</f>
        <v>9</v>
      </c>
      <c r="CB21" s="171">
        <f ca="1">IF(OR($D21&lt;&gt;"Serviço",AND(AUTOEVENTO="Manual",$M21=$A$15)),0,
         IF(OFFSET(CRONOPLE!$F$15,$M21-$A$15,CB$13)=0,10^12,OFFSET(CRONOPLE!$F$15,$M21-$A$15,CB$13)))</f>
        <v>10</v>
      </c>
      <c r="CC21" s="171">
        <f ca="1">IF(OR($D21&lt;&gt;"Serviço",AND(AUTOEVENTO="Manual",$M21=$A$15)),0,
         IF(OFFSET(CRONOPLE!$F$15,$M21-$A$15,CC$13)=0,10^12,OFFSET(CRONOPLE!$F$15,$M21-$A$15,CC$13)))</f>
        <v>11</v>
      </c>
      <c r="CD21" s="171">
        <f ca="1">IF(OR($D21&lt;&gt;"Serviço",AND(AUTOEVENTO="Manual",$M21=$A$15)),0,
         IF(OFFSET(CRONOPLE!$F$15,$M21-$A$15,CD$13)=0,10^12,OFFSET(CRONOPLE!$F$15,$M21-$A$15,CD$13)))</f>
        <v>12</v>
      </c>
      <c r="CE21" s="171">
        <f ca="1">IF(OR($D21&lt;&gt;"Serviço",AND(AUTOEVENTO="Manual",$M21=$A$15)),0,
         IF(OFFSET(CRONOPLE!$F$15,$M21-$A$15,CE$13)=0,10^12,OFFSET(CRONOPLE!$F$15,$M21-$A$15,CE$13)))</f>
        <v>13</v>
      </c>
      <c r="CF21" s="171">
        <f ca="1">IF(OR($D21&lt;&gt;"Serviço",AND(AUTOEVENTO="Manual",$M21=$A$15)),0,
         IF(OFFSET(CRONOPLE!$F$15,$M21-$A$15,CF$13)=0,10^12,OFFSET(CRONOPLE!$F$15,$M21-$A$15,CF$13)))</f>
        <v>14</v>
      </c>
      <c r="CG21" s="171">
        <f ca="1">IF(OR($D21&lt;&gt;"Serviço",AND(AUTOEVENTO="Manual",$M21=$A$15)),0,
         IF(OFFSET(CRONOPLE!$F$15,$M21-$A$15,CG$13)=0,10^12,OFFSET(CRONOPLE!$F$15,$M21-$A$15,CG$13)))</f>
        <v>15</v>
      </c>
      <c r="CH21" s="171">
        <f ca="1">IF(OR($D21&lt;&gt;"Serviço",AND(AUTOEVENTO="Manual",$M21=$A$15)),0,
         IF(OFFSET(CRONOPLE!$F$15,$M21-$A$15,CH$13)=0,10^12,OFFSET(CRONOPLE!$F$15,$M21-$A$15,CH$13)))</f>
        <v>16</v>
      </c>
      <c r="CI21" s="171">
        <f ca="1">IF(OR($D21&lt;&gt;"Serviço",AND(AUTOEVENTO="Manual",$M21=$A$15)),0,
         IF(OFFSET(CRONOPLE!$F$15,$M21-$A$15,CI$13)=0,10^12,OFFSET(CRONOPLE!$F$15,$M21-$A$15,CI$13)))</f>
        <v>17</v>
      </c>
      <c r="CJ21" s="171">
        <f ca="1">IF(OR($D21&lt;&gt;"Serviço",AND(AUTOEVENTO="Manual",$M21=$A$15)),0,
         IF(OFFSET(CRONOPLE!$F$15,$M21-$A$15,CJ$13)=0,10^12,OFFSET(CRONOPLE!$F$15,$M21-$A$15,CJ$13)))</f>
        <v>18</v>
      </c>
      <c r="CK21" s="171">
        <f ca="1">IF(OR($D21&lt;&gt;"Serviço",AND(AUTOEVENTO="Manual",$M21=$A$15)),0,
         IF(OFFSET(CRONOPLE!$F$15,$M21-$A$15,CK$13)=0,10^12,OFFSET(CRONOPLE!$F$15,$M21-$A$15,CK$13)))</f>
        <v>19</v>
      </c>
      <c r="CL21" s="171">
        <f ca="1">IF(OR($D21&lt;&gt;"Serviço",AND(AUTOEVENTO="Manual",$M21=$A$15)),0,
         IF(OFFSET(CRONOPLE!$F$15,$M21-$A$15,CL$13)=0,10^12,OFFSET(CRONOPLE!$F$15,$M21-$A$15,CL$13)))</f>
        <v>20</v>
      </c>
      <c r="CM21" s="171">
        <f ca="1">IF(OR($D21&lt;&gt;"Serviço",AND(AUTOEVENTO="Manual",$M21=$A$15)),0,
         IF(OFFSET(CRONOPLE!$F$15,$M21-$A$15,CM$13)=0,10^12,OFFSET(CRONOPLE!$F$15,$M21-$A$15,CM$13)))</f>
        <v>1000000000000</v>
      </c>
      <c r="CN21" s="171">
        <f ca="1">IF(OR($D21&lt;&gt;"Serviço",AND(AUTOEVENTO="Manual",$M21=$A$15)),0,
         IF(OFFSET(CRONOPLE!$F$15,$M21-$A$15,CN$13)=0,10^12,OFFSET(CRONOPLE!$F$15,$M21-$A$15,CN$13)))</f>
        <v>1000000000000</v>
      </c>
      <c r="CO21" s="171">
        <f ca="1">IF(OR($D21&lt;&gt;"Serviço",AND(AUTOEVENTO="Manual",$M21=$A$15)),0,
         IF(OFFSET(CRONOPLE!$F$15,$M21-$A$15,CO$13)=0,10^12,OFFSET(CRONOPLE!$F$15,$M21-$A$15,CO$13)))</f>
        <v>1000000000000</v>
      </c>
      <c r="CP21" s="171">
        <f ca="1">IF(OR($D21&lt;&gt;"Serviço",AND(AUTOEVENTO="Manual",$M21=$A$15)),0,
         IF(OFFSET(CRONOPLE!$F$15,$M21-$A$15,CP$13)=0,10^12,OFFSET(CRONOPLE!$F$15,$M21-$A$15,CP$13)))</f>
        <v>1000000000000</v>
      </c>
      <c r="CQ21" s="171">
        <f ca="1">IF(OR($D21&lt;&gt;"Serviço",AND(AUTOEVENTO="Manual",$M21=$A$15)),0,
         IF(OFFSET(CRONOPLE!$F$15,$M21-$A$15,CQ$13)=0,10^12,OFFSET(CRONOPLE!$F$15,$M21-$A$15,CQ$13)))</f>
        <v>1000000000000</v>
      </c>
      <c r="CR21" s="171">
        <f ca="1">IF(OR($D21&lt;&gt;"Serviço",AND(AUTOEVENTO="Manual",$M21=$A$15)),0,
         IF(OFFSET(CRONOPLE!$F$15,$M21-$A$15,CR$13)=0,10^12,OFFSET(CRONOPLE!$F$15,$M21-$A$15,CR$13)))</f>
        <v>1000000000000</v>
      </c>
      <c r="CT21" s="172" cm="1">
        <f t="array" aca="1" ref="CT21" ca="1">IF(OR($D21&lt;&gt;"Serviço",AND(AUTOEVENTO="Manual",$M21=$A$15),$M21&gt;(ROW(PLE.lastrow)-ROW(PLE.firstrow))),0,
           IF(OFFSET(PLE!$G$15,$M21-$A$15,CT$13)="",10^12,OFFSET(PLE!$G$15,$M21-$A$15,CT$13)))</f>
        <v>1000000000000</v>
      </c>
      <c r="CU21" s="172" cm="1">
        <f t="array" aca="1" ref="CU21" ca="1">IF(OR($D21&lt;&gt;"Serviço",AND(AUTOEVENTO="Manual",$M21=$A$15),$M21&gt;(ROW(PLE.lastrow)-ROW(PLE.firstrow))),0,
           IF(OFFSET(PLE!$G$15,$M21-$A$15,CU$13)="",10^12,OFFSET(PLE!$G$15,$M21-$A$15,CU$13)))</f>
        <v>1000000000000</v>
      </c>
      <c r="CV21" s="172" cm="1">
        <f t="array" aca="1" ref="CV21" ca="1">IF(OR($D21&lt;&gt;"Serviço",AND(AUTOEVENTO="Manual",$M21=$A$15),$M21&gt;(ROW(PLE.lastrow)-ROW(PLE.firstrow))),0,
           IF(OFFSET(PLE!$G$15,$M21-$A$15,CV$13)="",10^12,OFFSET(PLE!$G$15,$M21-$A$15,CV$13)))</f>
        <v>1000000000000</v>
      </c>
      <c r="CW21" s="172" cm="1">
        <f t="array" aca="1" ref="CW21" ca="1">IF(OR($D21&lt;&gt;"Serviço",AND(AUTOEVENTO="Manual",$M21=$A$15),$M21&gt;(ROW(PLE.lastrow)-ROW(PLE.firstrow))),0,
           IF(OFFSET(PLE!$G$15,$M21-$A$15,CW$13)="",10^12,OFFSET(PLE!$G$15,$M21-$A$15,CW$13)))</f>
        <v>1000000000000</v>
      </c>
      <c r="CX21" s="172" cm="1">
        <f t="array" aca="1" ref="CX21" ca="1">IF(OR($D21&lt;&gt;"Serviço",AND(AUTOEVENTO="Manual",$M21=$A$15),$M21&gt;(ROW(PLE.lastrow)-ROW(PLE.firstrow))),0,
           IF(OFFSET(PLE!$G$15,$M21-$A$15,CX$13)="",10^12,OFFSET(PLE!$G$15,$M21-$A$15,CX$13)))</f>
        <v>1000000000000</v>
      </c>
      <c r="CY21" s="172" cm="1">
        <f t="array" aca="1" ref="CY21" ca="1">IF(OR($D21&lt;&gt;"Serviço",AND(AUTOEVENTO="Manual",$M21=$A$15),$M21&gt;(ROW(PLE.lastrow)-ROW(PLE.firstrow))),0,
           IF(OFFSET(PLE!$G$15,$M21-$A$15,CY$13)="",10^12,OFFSET(PLE!$G$15,$M21-$A$15,CY$13)))</f>
        <v>1000000000000</v>
      </c>
      <c r="CZ21" s="172" cm="1">
        <f t="array" aca="1" ref="CZ21" ca="1">IF(OR($D21&lt;&gt;"Serviço",AND(AUTOEVENTO="Manual",$M21=$A$15),$M21&gt;(ROW(PLE.lastrow)-ROW(PLE.firstrow))),0,
           IF(OFFSET(PLE!$G$15,$M21-$A$15,CZ$13)="",10^12,OFFSET(PLE!$G$15,$M21-$A$15,CZ$13)))</f>
        <v>1000000000000</v>
      </c>
      <c r="DA21" s="172" cm="1">
        <f t="array" aca="1" ref="DA21" ca="1">IF(OR($D21&lt;&gt;"Serviço",AND(AUTOEVENTO="Manual",$M21=$A$15),$M21&gt;(ROW(PLE.lastrow)-ROW(PLE.firstrow))),0,
           IF(OFFSET(PLE!$G$15,$M21-$A$15,DA$13)="",10^12,OFFSET(PLE!$G$15,$M21-$A$15,DA$13)))</f>
        <v>1000000000000</v>
      </c>
      <c r="DB21" s="172" cm="1">
        <f t="array" aca="1" ref="DB21" ca="1">IF(OR($D21&lt;&gt;"Serviço",AND(AUTOEVENTO="Manual",$M21=$A$15),$M21&gt;(ROW(PLE.lastrow)-ROW(PLE.firstrow))),0,
           IF(OFFSET(PLE!$G$15,$M21-$A$15,DB$13)="",10^12,OFFSET(PLE!$G$15,$M21-$A$15,DB$13)))</f>
        <v>1000000000000</v>
      </c>
      <c r="DC21" s="172" cm="1">
        <f t="array" aca="1" ref="DC21" ca="1">IF(OR($D21&lt;&gt;"Serviço",AND(AUTOEVENTO="Manual",$M21=$A$15),$M21&gt;(ROW(PLE.lastrow)-ROW(PLE.firstrow))),0,
           IF(OFFSET(PLE!$G$15,$M21-$A$15,DC$13)="",10^12,OFFSET(PLE!$G$15,$M21-$A$15,DC$13)))</f>
        <v>1000000000000</v>
      </c>
      <c r="DD21" s="172" cm="1">
        <f t="array" aca="1" ref="DD21" ca="1">IF(OR($D21&lt;&gt;"Serviço",AND(AUTOEVENTO="Manual",$M21=$A$15),$M21&gt;(ROW(PLE.lastrow)-ROW(PLE.firstrow))),0,
           IF(OFFSET(PLE!$G$15,$M21-$A$15,DD$13)="",10^12,OFFSET(PLE!$G$15,$M21-$A$15,DD$13)))</f>
        <v>1000000000000</v>
      </c>
      <c r="DE21" s="172" cm="1">
        <f t="array" aca="1" ref="DE21" ca="1">IF(OR($D21&lt;&gt;"Serviço",AND(AUTOEVENTO="Manual",$M21=$A$15),$M21&gt;(ROW(PLE.lastrow)-ROW(PLE.firstrow))),0,
           IF(OFFSET(PLE!$G$15,$M21-$A$15,DE$13)="",10^12,OFFSET(PLE!$G$15,$M21-$A$15,DE$13)))</f>
        <v>1000000000000</v>
      </c>
      <c r="DF21" s="172" cm="1">
        <f t="array" aca="1" ref="DF21" ca="1">IF(OR($D21&lt;&gt;"Serviço",AND(AUTOEVENTO="Manual",$M21=$A$15),$M21&gt;(ROW(PLE.lastrow)-ROW(PLE.firstrow))),0,
           IF(OFFSET(PLE!$G$15,$M21-$A$15,DF$13)="",10^12,OFFSET(PLE!$G$15,$M21-$A$15,DF$13)))</f>
        <v>1000000000000</v>
      </c>
      <c r="DG21" s="172" cm="1">
        <f t="array" aca="1" ref="DG21" ca="1">IF(OR($D21&lt;&gt;"Serviço",AND(AUTOEVENTO="Manual",$M21=$A$15),$M21&gt;(ROW(PLE.lastrow)-ROW(PLE.firstrow))),0,
           IF(OFFSET(PLE!$G$15,$M21-$A$15,DG$13)="",10^12,OFFSET(PLE!$G$15,$M21-$A$15,DG$13)))</f>
        <v>1000000000000</v>
      </c>
      <c r="DH21" s="172" cm="1">
        <f t="array" aca="1" ref="DH21" ca="1">IF(OR($D21&lt;&gt;"Serviço",AND(AUTOEVENTO="Manual",$M21=$A$15),$M21&gt;(ROW(PLE.lastrow)-ROW(PLE.firstrow))),0,
           IF(OFFSET(PLE!$G$15,$M21-$A$15,DH$13)="",10^12,OFFSET(PLE!$G$15,$M21-$A$15,DH$13)))</f>
        <v>1000000000000</v>
      </c>
      <c r="DI21" s="172" cm="1">
        <f t="array" aca="1" ref="DI21" ca="1">IF(OR($D21&lt;&gt;"Serviço",AND(AUTOEVENTO="Manual",$M21=$A$15),$M21&gt;(ROW(PLE.lastrow)-ROW(PLE.firstrow))),0,
           IF(OFFSET(PLE!$G$15,$M21-$A$15,DI$13)="",10^12,OFFSET(PLE!$G$15,$M21-$A$15,DI$13)))</f>
        <v>1000000000000</v>
      </c>
      <c r="DJ21" s="172" cm="1">
        <f t="array" aca="1" ref="DJ21" ca="1">IF(OR($D21&lt;&gt;"Serviço",AND(AUTOEVENTO="Manual",$M21=$A$15),$M21&gt;(ROW(PLE.lastrow)-ROW(PLE.firstrow))),0,
           IF(OFFSET(PLE!$G$15,$M21-$A$15,DJ$13)="",10^12,OFFSET(PLE!$G$15,$M21-$A$15,DJ$13)))</f>
        <v>1000000000000</v>
      </c>
      <c r="DK21" s="172" cm="1">
        <f t="array" aca="1" ref="DK21" ca="1">IF(OR($D21&lt;&gt;"Serviço",AND(AUTOEVENTO="Manual",$M21=$A$15),$M21&gt;(ROW(PLE.lastrow)-ROW(PLE.firstrow))),0,
           IF(OFFSET(PLE!$G$15,$M21-$A$15,DK$13)="",10^12,OFFSET(PLE!$G$15,$M21-$A$15,DK$13)))</f>
        <v>1000000000000</v>
      </c>
      <c r="DL21" s="172" cm="1">
        <f t="array" aca="1" ref="DL21" ca="1">IF(OR($D21&lt;&gt;"Serviço",AND(AUTOEVENTO="Manual",$M21=$A$15),$M21&gt;(ROW(PLE.lastrow)-ROW(PLE.firstrow))),0,
           IF(OFFSET(PLE!$G$15,$M21-$A$15,DL$13)="",10^12,OFFSET(PLE!$G$15,$M21-$A$15,DL$13)))</f>
        <v>1000000000000</v>
      </c>
      <c r="DM21" s="172" cm="1">
        <f t="array" aca="1" ref="DM21" ca="1">IF(OR($D21&lt;&gt;"Serviço",AND(AUTOEVENTO="Manual",$M21=$A$15),$M21&gt;(ROW(PLE.lastrow)-ROW(PLE.firstrow))),0,
           IF(OFFSET(PLE!$G$15,$M21-$A$15,DM$13)="",10^12,OFFSET(PLE!$G$15,$M21-$A$15,DM$13)))</f>
        <v>1000000000000</v>
      </c>
      <c r="DN21" s="172" cm="1">
        <f t="array" aca="1" ref="DN21" ca="1">IF(OR($D21&lt;&gt;"Serviço",AND(AUTOEVENTO="Manual",$M21=$A$15),$M21&gt;(ROW(PLE.lastrow)-ROW(PLE.firstrow))),0,
           IF(OFFSET(PLE!$G$15,$M21-$A$15,DN$13)="",10^12,OFFSET(PLE!$G$15,$M21-$A$15,DN$13)))</f>
        <v>1000000000000</v>
      </c>
      <c r="DO21" s="172" cm="1">
        <f t="array" aca="1" ref="DO21" ca="1">IF(OR($D21&lt;&gt;"Serviço",AND(AUTOEVENTO="Manual",$M21=$A$15),$M21&gt;(ROW(PLE.lastrow)-ROW(PLE.firstrow))),0,
           IF(OFFSET(PLE!$G$15,$M21-$A$15,DO$13)="",10^12,OFFSET(PLE!$G$15,$M21-$A$15,DO$13)))</f>
        <v>1000000000000</v>
      </c>
      <c r="DP21" s="172" cm="1">
        <f t="array" aca="1" ref="DP21" ca="1">IF(OR($D21&lt;&gt;"Serviço",AND(AUTOEVENTO="Manual",$M21=$A$15),$M21&gt;(ROW(PLE.lastrow)-ROW(PLE.firstrow))),0,
           IF(OFFSET(PLE!$G$15,$M21-$A$15,DP$13)="",10^12,OFFSET(PLE!$G$15,$M21-$A$15,DP$13)))</f>
        <v>1000000000000</v>
      </c>
      <c r="DQ21" s="172" cm="1">
        <f t="array" aca="1" ref="DQ21" ca="1">IF(OR($D21&lt;&gt;"Serviço",AND(AUTOEVENTO="Manual",$M21=$A$15),$M21&gt;(ROW(PLE.lastrow)-ROW(PLE.firstrow))),0,
           IF(OFFSET(PLE!$G$15,$M21-$A$15,DQ$13)="",10^12,OFFSET(PLE!$G$15,$M21-$A$15,DQ$13)))</f>
        <v>1000000000000</v>
      </c>
      <c r="DR21" s="172" cm="1">
        <f t="array" aca="1" ref="DR21" ca="1">IF(OR($D21&lt;&gt;"Serviço",AND(AUTOEVENTO="Manual",$M21=$A$15),$M21&gt;(ROW(PLE.lastrow)-ROW(PLE.firstrow))),0,
           IF(OFFSET(PLE!$G$15,$M21-$A$15,DR$13)="",10^12,OFFSET(PLE!$G$15,$M21-$A$15,DR$13)))</f>
        <v>1000000000000</v>
      </c>
      <c r="DS21" s="172" cm="1">
        <f t="array" aca="1" ref="DS21" ca="1">IF(OR($D21&lt;&gt;"Serviço",AND(AUTOEVENTO="Manual",$M21=$A$15),$M21&gt;(ROW(PLE.lastrow)-ROW(PLE.firstrow))),0,
           IF(OFFSET(PLE!$G$15,$M21-$A$15,DS$13)="",10^12,OFFSET(PLE!$G$15,$M21-$A$15,DS$13)))</f>
        <v>1000000000000</v>
      </c>
    </row>
    <row r="22" spans="1:123" ht="12.75" x14ac:dyDescent="0.2">
      <c r="A22" s="7">
        <f t="shared" ca="1" si="11"/>
        <v>0</v>
      </c>
      <c r="B22" s="7">
        <f ca="1">OFFSET(ORÇAMENTO!C$15,$L22,0)</f>
        <v>1</v>
      </c>
      <c r="C22" s="7" t="str">
        <f ca="1">OFFSET(ORÇAMENTO!L$15,$L22,0)</f>
        <v>F</v>
      </c>
      <c r="D22" s="116" t="str">
        <f ca="1">OFFSET(ORÇAMENTO!N$15,$L22,0)</f>
        <v>Meta</v>
      </c>
      <c r="E22" s="117" t="str">
        <f ca="1">OFFSET(ORÇAMENTO!O$15,$L22,0)</f>
        <v>2.</v>
      </c>
      <c r="F22" s="163" t="str">
        <f ca="1">OFFSET(ORÇAMENTO!R$15,$L22,0)</f>
        <v>ADMINISTRAÇÃO DA OBRA</v>
      </c>
      <c r="G22" s="164" t="str">
        <f ca="1">IF($D22&lt;&gt;"Serviço","",OFFSET(ORÇAMENTO!S$15,$L22,0))</f>
        <v/>
      </c>
      <c r="H22" s="122" cm="1">
        <f t="array" aca="1" ref="H22" ca="1">IF($D22&lt;&gt;"Serviço",0,IF(ACOMPANHAMENTO="BM",ROUND(OFFSET(ORÇAMENTO!AJ$15,$L22,0),15-13*ORÇAMENTO!$AF$7),IF(IFERROR(CÁLCULO.FrentesPreenchidas,0)=0,0,SUM(ROUND(OFFSET($P22,0,1,1,CÁLCULO.FrentesPreenchidas),15-13*ORÇAMENTO!$AF$7)))))</f>
        <v>0</v>
      </c>
      <c r="I22" s="468"/>
      <c r="J22" s="651" t="str" cm="1">
        <f t="array" aca="1" ref="J22" ca="1">IF(OR(B22&lt;&gt;"S",CÁLCULO.FrentesPreenchidas=0),"",IF(AND(ACOMPANHAMENTO="PLE",AUTOEVENTO="Manual",OR(H22&gt;0,ORÇAMENTO!AC22="QUANT."),OR(K22="",M22=0,N22="")),"►E",IF(AND(ACOMPANHAMENTO="PLE",ORÇAMENTO!AC22="QUANT."),"►Q",IF(AND(ACOMPANHAMENTO="PLE",H22&lt;&gt;SUMPRODUCT(($Q$1:$AQ$1=1)*ROUND(Q22:AQ22,15))),"►S",IF(AND(COUNTIF($P$11:$AQ$11,"▼")=0,H22&gt;0,I22=""),"◄M","")))))</f>
        <v/>
      </c>
      <c r="K22" s="652"/>
      <c r="L22" s="165">
        <f t="shared" ca="1" si="12"/>
        <v>7</v>
      </c>
      <c r="M22" s="166" t="str">
        <f ca="1">IF($D22&lt;&gt;"Serviço","",
          IF(AUTOEVENTO="manual",$A22,
                IF(ISERROR(MATCH($A22,$A$15:OFFSET($A22,-1,0),0)),MAX($M$15:OFFSET(M22,-1,0))+1,
                      INDEX($M$15:OFFSET(M22,-1,0),MATCH($A22,$A$15:OFFSET($A22,-1,0),0)))))</f>
        <v/>
      </c>
      <c r="N22" s="167" t="str">
        <f ca="1">IF($D22&lt;&gt;"Serviço","",
         IF(AUTOEVENTO="Manual",
                IF($A22=0,"&lt;-- defina o número do agrupador",
                       OFFSET(EVENTOS!$D$15,$A22-$A$15,0)),
                OFFSET($F$15,$A22,0)))</f>
        <v/>
      </c>
      <c r="O22" s="168"/>
      <c r="Q22" s="168"/>
      <c r="R22" s="169"/>
      <c r="S22" s="169"/>
      <c r="T22" s="169"/>
      <c r="U22" s="169"/>
      <c r="V22" s="169"/>
      <c r="W22" s="169"/>
      <c r="X22" s="169"/>
      <c r="Y22" s="169"/>
      <c r="Z22" s="170"/>
      <c r="AA22" s="169"/>
      <c r="AB22" s="169"/>
      <c r="AC22" s="169"/>
      <c r="AD22" s="169"/>
      <c r="AE22" s="169"/>
      <c r="AF22" s="169"/>
      <c r="AG22" s="169"/>
      <c r="AH22" s="170"/>
      <c r="AI22" s="169"/>
      <c r="AJ22" s="169"/>
      <c r="AK22" s="169"/>
      <c r="AL22" s="169"/>
      <c r="AM22" s="169"/>
      <c r="AN22" s="169"/>
      <c r="AO22" s="169"/>
      <c r="AP22" s="170"/>
      <c r="AR22" s="453">
        <f ca="1">IF(AND($D22="Serviço",AR$12&lt;&gt;0,$H22&gt;0,OR(AUTOEVENTO&lt;&gt;"manual",$M22&lt;&gt;$A$15)),
        IF(Import.TipoArredondamento&lt;&gt;"TransfereGOV",
              ROUND(OFFSET($P22,0,AR$13),15-13*ORÇAMENTO!$AF$7)/$H22*OFFSET(ORÇAMENTO!$X$15,ROW(AR22)-ROW(AR$15),0),
              ROUND(ROUND(OFFSET($P22,0,AR$13),15-13*ORÇAMENTO!$AF$7)*OFFSET(ORÇAMENTO!$W$15,ROW(AR22)-ROW(AR$15),0),15-13*ORÇAMENTO!$AF$11)),
         0)</f>
        <v>0</v>
      </c>
      <c r="AS22" s="453">
        <f ca="1">IF(AND($D22="Serviço",AS$12&lt;&gt;0,$H22&gt;0,OR(AUTOEVENTO&lt;&gt;"manual",$M22&lt;&gt;$A$15)),
        IF(Import.TipoArredondamento&lt;&gt;"TransfereGOV",
              ROUND(OFFSET($P22,0,AS$13),15-13*ORÇAMENTO!$AF$7)/$H22*OFFSET(ORÇAMENTO!$X$15,ROW(AS22)-ROW(AS$15),0),
              ROUND(ROUND(OFFSET($P22,0,AS$13),15-13*ORÇAMENTO!$AF$7)*OFFSET(ORÇAMENTO!$W$15,ROW(AS22)-ROW(AS$15),0),15-13*ORÇAMENTO!$AF$11)),
         0)</f>
        <v>0</v>
      </c>
      <c r="AT22" s="453">
        <f ca="1">IF(AND($D22="Serviço",AT$12&lt;&gt;0,$H22&gt;0,OR(AUTOEVENTO&lt;&gt;"manual",$M22&lt;&gt;$A$15)),
        IF(Import.TipoArredondamento&lt;&gt;"TransfereGOV",
              ROUND(OFFSET($P22,0,AT$13),15-13*ORÇAMENTO!$AF$7)/$H22*OFFSET(ORÇAMENTO!$X$15,ROW(AT22)-ROW(AT$15),0),
              ROUND(ROUND(OFFSET($P22,0,AT$13),15-13*ORÇAMENTO!$AF$7)*OFFSET(ORÇAMENTO!$W$15,ROW(AT22)-ROW(AT$15),0),15-13*ORÇAMENTO!$AF$11)),
         0)</f>
        <v>0</v>
      </c>
      <c r="AU22" s="453">
        <f ca="1">IF(AND($D22="Serviço",AU$12&lt;&gt;0,$H22&gt;0,OR(AUTOEVENTO&lt;&gt;"manual",$M22&lt;&gt;$A$15)),
        IF(Import.TipoArredondamento&lt;&gt;"TransfereGOV",
              ROUND(OFFSET($P22,0,AU$13),15-13*ORÇAMENTO!$AF$7)/$H22*OFFSET(ORÇAMENTO!$X$15,ROW(AU22)-ROW(AU$15),0),
              ROUND(ROUND(OFFSET($P22,0,AU$13),15-13*ORÇAMENTO!$AF$7)*OFFSET(ORÇAMENTO!$W$15,ROW(AU22)-ROW(AU$15),0),15-13*ORÇAMENTO!$AF$11)),
         0)</f>
        <v>0</v>
      </c>
      <c r="AV22" s="453">
        <f ca="1">IF(AND($D22="Serviço",AV$12&lt;&gt;0,$H22&gt;0,OR(AUTOEVENTO&lt;&gt;"manual",$M22&lt;&gt;$A$15)),
        IF(Import.TipoArredondamento&lt;&gt;"TransfereGOV",
              ROUND(OFFSET($P22,0,AV$13),15-13*ORÇAMENTO!$AF$7)/$H22*OFFSET(ORÇAMENTO!$X$15,ROW(AV22)-ROW(AV$15),0),
              ROUND(ROUND(OFFSET($P22,0,AV$13),15-13*ORÇAMENTO!$AF$7)*OFFSET(ORÇAMENTO!$W$15,ROW(AV22)-ROW(AV$15),0),15-13*ORÇAMENTO!$AF$11)),
         0)</f>
        <v>0</v>
      </c>
      <c r="AW22" s="453">
        <f ca="1">IF(AND($D22="Serviço",AW$12&lt;&gt;0,$H22&gt;0,OR(AUTOEVENTO&lt;&gt;"manual",$M22&lt;&gt;$A$15)),
        IF(Import.TipoArredondamento&lt;&gt;"TransfereGOV",
              ROUND(OFFSET($P22,0,AW$13),15-13*ORÇAMENTO!$AF$7)/$H22*OFFSET(ORÇAMENTO!$X$15,ROW(AW22)-ROW(AW$15),0),
              ROUND(ROUND(OFFSET($P22,0,AW$13),15-13*ORÇAMENTO!$AF$7)*OFFSET(ORÇAMENTO!$W$15,ROW(AW22)-ROW(AW$15),0),15-13*ORÇAMENTO!$AF$11)),
         0)</f>
        <v>0</v>
      </c>
      <c r="AX22" s="453">
        <f ca="1">IF(AND($D22="Serviço",AX$12&lt;&gt;0,$H22&gt;0,OR(AUTOEVENTO&lt;&gt;"manual",$M22&lt;&gt;$A$15)),
        IF(Import.TipoArredondamento&lt;&gt;"TransfereGOV",
              ROUND(OFFSET($P22,0,AX$13),15-13*ORÇAMENTO!$AF$7)/$H22*OFFSET(ORÇAMENTO!$X$15,ROW(AX22)-ROW(AX$15),0),
              ROUND(ROUND(OFFSET($P22,0,AX$13),15-13*ORÇAMENTO!$AF$7)*OFFSET(ORÇAMENTO!$W$15,ROW(AX22)-ROW(AX$15),0),15-13*ORÇAMENTO!$AF$11)),
         0)</f>
        <v>0</v>
      </c>
      <c r="AY22" s="453">
        <f ca="1">IF(AND($D22="Serviço",AY$12&lt;&gt;0,$H22&gt;0,OR(AUTOEVENTO&lt;&gt;"manual",$M22&lt;&gt;$A$15)),
        IF(Import.TipoArredondamento&lt;&gt;"TransfereGOV",
              ROUND(OFFSET($P22,0,AY$13),15-13*ORÇAMENTO!$AF$7)/$H22*OFFSET(ORÇAMENTO!$X$15,ROW(AY22)-ROW(AY$15),0),
              ROUND(ROUND(OFFSET($P22,0,AY$13),15-13*ORÇAMENTO!$AF$7)*OFFSET(ORÇAMENTO!$W$15,ROW(AY22)-ROW(AY$15),0),15-13*ORÇAMENTO!$AF$11)),
         0)</f>
        <v>0</v>
      </c>
      <c r="AZ22" s="453">
        <f ca="1">IF(AND($D22="Serviço",AZ$12&lt;&gt;0,$H22&gt;0,OR(AUTOEVENTO&lt;&gt;"manual",$M22&lt;&gt;$A$15)),
        IF(Import.TipoArredondamento&lt;&gt;"TransfereGOV",
              ROUND(OFFSET($P22,0,AZ$13),15-13*ORÇAMENTO!$AF$7)/$H22*OFFSET(ORÇAMENTO!$X$15,ROW(AZ22)-ROW(AZ$15),0),
              ROUND(ROUND(OFFSET($P22,0,AZ$13),15-13*ORÇAMENTO!$AF$7)*OFFSET(ORÇAMENTO!$W$15,ROW(AZ22)-ROW(AZ$15),0),15-13*ORÇAMENTO!$AF$11)),
         0)</f>
        <v>0</v>
      </c>
      <c r="BA22" s="453">
        <f ca="1">IF(AND($D22="Serviço",BA$12&lt;&gt;0,$H22&gt;0,OR(AUTOEVENTO&lt;&gt;"manual",$M22&lt;&gt;$A$15)),
        IF(Import.TipoArredondamento&lt;&gt;"TransfereGOV",
              ROUND(OFFSET($P22,0,BA$13),15-13*ORÇAMENTO!$AF$7)/$H22*OFFSET(ORÇAMENTO!$X$15,ROW(BA22)-ROW(BA$15),0),
              ROUND(ROUND(OFFSET($P22,0,BA$13),15-13*ORÇAMENTO!$AF$7)*OFFSET(ORÇAMENTO!$W$15,ROW(BA22)-ROW(BA$15),0),15-13*ORÇAMENTO!$AF$11)),
         0)</f>
        <v>0</v>
      </c>
      <c r="BB22" s="453">
        <f ca="1">IF(AND($D22="Serviço",BB$12&lt;&gt;0,$H22&gt;0,OR(AUTOEVENTO&lt;&gt;"manual",$M22&lt;&gt;$A$15)),
        IF(Import.TipoArredondamento&lt;&gt;"TransfereGOV",
              ROUND(OFFSET($P22,0,BB$13),15-13*ORÇAMENTO!$AF$7)/$H22*OFFSET(ORÇAMENTO!$X$15,ROW(BB22)-ROW(BB$15),0),
              ROUND(ROUND(OFFSET($P22,0,BB$13),15-13*ORÇAMENTO!$AF$7)*OFFSET(ORÇAMENTO!$W$15,ROW(BB22)-ROW(BB$15),0),15-13*ORÇAMENTO!$AF$11)),
         0)</f>
        <v>0</v>
      </c>
      <c r="BC22" s="453">
        <f ca="1">IF(AND($D22="Serviço",BC$12&lt;&gt;0,$H22&gt;0,OR(AUTOEVENTO&lt;&gt;"manual",$M22&lt;&gt;$A$15)),
        IF(Import.TipoArredondamento&lt;&gt;"TransfereGOV",
              ROUND(OFFSET($P22,0,BC$13),15-13*ORÇAMENTO!$AF$7)/$H22*OFFSET(ORÇAMENTO!$X$15,ROW(BC22)-ROW(BC$15),0),
              ROUND(ROUND(OFFSET($P22,0,BC$13),15-13*ORÇAMENTO!$AF$7)*OFFSET(ORÇAMENTO!$W$15,ROW(BC22)-ROW(BC$15),0),15-13*ORÇAMENTO!$AF$11)),
         0)</f>
        <v>0</v>
      </c>
      <c r="BD22" s="453">
        <f ca="1">IF(AND($D22="Serviço",BD$12&lt;&gt;0,$H22&gt;0,OR(AUTOEVENTO&lt;&gt;"manual",$M22&lt;&gt;$A$15)),
        IF(Import.TipoArredondamento&lt;&gt;"TransfereGOV",
              ROUND(OFFSET($P22,0,BD$13),15-13*ORÇAMENTO!$AF$7)/$H22*OFFSET(ORÇAMENTO!$X$15,ROW(BD22)-ROW(BD$15),0),
              ROUND(ROUND(OFFSET($P22,0,BD$13),15-13*ORÇAMENTO!$AF$7)*OFFSET(ORÇAMENTO!$W$15,ROW(BD22)-ROW(BD$15),0),15-13*ORÇAMENTO!$AF$11)),
         0)</f>
        <v>0</v>
      </c>
      <c r="BE22" s="453">
        <f ca="1">IF(AND($D22="Serviço",BE$12&lt;&gt;0,$H22&gt;0,OR(AUTOEVENTO&lt;&gt;"manual",$M22&lt;&gt;$A$15)),
        IF(Import.TipoArredondamento&lt;&gt;"TransfereGOV",
              ROUND(OFFSET($P22,0,BE$13),15-13*ORÇAMENTO!$AF$7)/$H22*OFFSET(ORÇAMENTO!$X$15,ROW(BE22)-ROW(BE$15),0),
              ROUND(ROUND(OFFSET($P22,0,BE$13),15-13*ORÇAMENTO!$AF$7)*OFFSET(ORÇAMENTO!$W$15,ROW(BE22)-ROW(BE$15),0),15-13*ORÇAMENTO!$AF$11)),
         0)</f>
        <v>0</v>
      </c>
      <c r="BF22" s="453">
        <f ca="1">IF(AND($D22="Serviço",BF$12&lt;&gt;0,$H22&gt;0,OR(AUTOEVENTO&lt;&gt;"manual",$M22&lt;&gt;$A$15)),
        IF(Import.TipoArredondamento&lt;&gt;"TransfereGOV",
              ROUND(OFFSET($P22,0,BF$13),15-13*ORÇAMENTO!$AF$7)/$H22*OFFSET(ORÇAMENTO!$X$15,ROW(BF22)-ROW(BF$15),0),
              ROUND(ROUND(OFFSET($P22,0,BF$13),15-13*ORÇAMENTO!$AF$7)*OFFSET(ORÇAMENTO!$W$15,ROW(BF22)-ROW(BF$15),0),15-13*ORÇAMENTO!$AF$11)),
         0)</f>
        <v>0</v>
      </c>
      <c r="BG22" s="453">
        <f ca="1">IF(AND($D22="Serviço",BG$12&lt;&gt;0,$H22&gt;0,OR(AUTOEVENTO&lt;&gt;"manual",$M22&lt;&gt;$A$15)),
        IF(Import.TipoArredondamento&lt;&gt;"TransfereGOV",
              ROUND(OFFSET($P22,0,BG$13),15-13*ORÇAMENTO!$AF$7)/$H22*OFFSET(ORÇAMENTO!$X$15,ROW(BG22)-ROW(BG$15),0),
              ROUND(ROUND(OFFSET($P22,0,BG$13),15-13*ORÇAMENTO!$AF$7)*OFFSET(ORÇAMENTO!$W$15,ROW(BG22)-ROW(BG$15),0),15-13*ORÇAMENTO!$AF$11)),
         0)</f>
        <v>0</v>
      </c>
      <c r="BH22" s="453">
        <f ca="1">IF(AND($D22="Serviço",BH$12&lt;&gt;0,$H22&gt;0,OR(AUTOEVENTO&lt;&gt;"manual",$M22&lt;&gt;$A$15)),
        IF(Import.TipoArredondamento&lt;&gt;"TransfereGOV",
              ROUND(OFFSET($P22,0,BH$13),15-13*ORÇAMENTO!$AF$7)/$H22*OFFSET(ORÇAMENTO!$X$15,ROW(BH22)-ROW(BH$15),0),
              ROUND(ROUND(OFFSET($P22,0,BH$13),15-13*ORÇAMENTO!$AF$7)*OFFSET(ORÇAMENTO!$W$15,ROW(BH22)-ROW(BH$15),0),15-13*ORÇAMENTO!$AF$11)),
         0)</f>
        <v>0</v>
      </c>
      <c r="BI22" s="453">
        <f ca="1">IF(AND($D22="Serviço",BI$12&lt;&gt;0,$H22&gt;0,OR(AUTOEVENTO&lt;&gt;"manual",$M22&lt;&gt;$A$15)),
        IF(Import.TipoArredondamento&lt;&gt;"TransfereGOV",
              ROUND(OFFSET($P22,0,BI$13),15-13*ORÇAMENTO!$AF$7)/$H22*OFFSET(ORÇAMENTO!$X$15,ROW(BI22)-ROW(BI$15),0),
              ROUND(ROUND(OFFSET($P22,0,BI$13),15-13*ORÇAMENTO!$AF$7)*OFFSET(ORÇAMENTO!$W$15,ROW(BI22)-ROW(BI$15),0),15-13*ORÇAMENTO!$AF$11)),
         0)</f>
        <v>0</v>
      </c>
      <c r="BJ22" s="453">
        <f ca="1">IF(AND($D22="Serviço",BJ$12&lt;&gt;0,$H22&gt;0,OR(AUTOEVENTO&lt;&gt;"manual",$M22&lt;&gt;$A$15)),
        IF(Import.TipoArredondamento&lt;&gt;"TransfereGOV",
              ROUND(OFFSET($P22,0,BJ$13),15-13*ORÇAMENTO!$AF$7)/$H22*OFFSET(ORÇAMENTO!$X$15,ROW(BJ22)-ROW(BJ$15),0),
              ROUND(ROUND(OFFSET($P22,0,BJ$13),15-13*ORÇAMENTO!$AF$7)*OFFSET(ORÇAMENTO!$W$15,ROW(BJ22)-ROW(BJ$15),0),15-13*ORÇAMENTO!$AF$11)),
         0)</f>
        <v>0</v>
      </c>
      <c r="BK22" s="453">
        <f ca="1">IF(AND($D22="Serviço",BK$12&lt;&gt;0,$H22&gt;0,OR(AUTOEVENTO&lt;&gt;"manual",$M22&lt;&gt;$A$15)),
        IF(Import.TipoArredondamento&lt;&gt;"TransfereGOV",
              ROUND(OFFSET($P22,0,BK$13),15-13*ORÇAMENTO!$AF$7)/$H22*OFFSET(ORÇAMENTO!$X$15,ROW(BK22)-ROW(BK$15),0),
              ROUND(ROUND(OFFSET($P22,0,BK$13),15-13*ORÇAMENTO!$AF$7)*OFFSET(ORÇAMENTO!$W$15,ROW(BK22)-ROW(BK$15),0),15-13*ORÇAMENTO!$AF$11)),
         0)</f>
        <v>0</v>
      </c>
      <c r="BL22" s="453">
        <f ca="1">IF(AND($D22="Serviço",BL$12&lt;&gt;0,$H22&gt;0,OR(AUTOEVENTO&lt;&gt;"manual",$M22&lt;&gt;$A$15)),
        IF(Import.TipoArredondamento&lt;&gt;"TransfereGOV",
              ROUND(OFFSET($P22,0,BL$13),15-13*ORÇAMENTO!$AF$7)/$H22*OFFSET(ORÇAMENTO!$X$15,ROW(BL22)-ROW(BL$15),0),
              ROUND(ROUND(OFFSET($P22,0,BL$13),15-13*ORÇAMENTO!$AF$7)*OFFSET(ORÇAMENTO!$W$15,ROW(BL22)-ROW(BL$15),0),15-13*ORÇAMENTO!$AF$11)),
         0)</f>
        <v>0</v>
      </c>
      <c r="BM22" s="453">
        <f ca="1">IF(AND($D22="Serviço",BM$12&lt;&gt;0,$H22&gt;0,OR(AUTOEVENTO&lt;&gt;"manual",$M22&lt;&gt;$A$15)),
        IF(Import.TipoArredondamento&lt;&gt;"TransfereGOV",
              ROUND(OFFSET($P22,0,BM$13),15-13*ORÇAMENTO!$AF$7)/$H22*OFFSET(ORÇAMENTO!$X$15,ROW(BM22)-ROW(BM$15),0),
              ROUND(ROUND(OFFSET($P22,0,BM$13),15-13*ORÇAMENTO!$AF$7)*OFFSET(ORÇAMENTO!$W$15,ROW(BM22)-ROW(BM$15),0),15-13*ORÇAMENTO!$AF$11)),
         0)</f>
        <v>0</v>
      </c>
      <c r="BN22" s="453">
        <f ca="1">IF(AND($D22="Serviço",BN$12&lt;&gt;0,$H22&gt;0,OR(AUTOEVENTO&lt;&gt;"manual",$M22&lt;&gt;$A$15)),
        IF(Import.TipoArredondamento&lt;&gt;"TransfereGOV",
              ROUND(OFFSET($P22,0,BN$13),15-13*ORÇAMENTO!$AF$7)/$H22*OFFSET(ORÇAMENTO!$X$15,ROW(BN22)-ROW(BN$15),0),
              ROUND(ROUND(OFFSET($P22,0,BN$13),15-13*ORÇAMENTO!$AF$7)*OFFSET(ORÇAMENTO!$W$15,ROW(BN22)-ROW(BN$15),0),15-13*ORÇAMENTO!$AF$11)),
         0)</f>
        <v>0</v>
      </c>
      <c r="BO22" s="453">
        <f ca="1">IF(AND($D22="Serviço",BO$12&lt;&gt;0,$H22&gt;0,OR(AUTOEVENTO&lt;&gt;"manual",$M22&lt;&gt;$A$15)),
        IF(Import.TipoArredondamento&lt;&gt;"TransfereGOV",
              ROUND(OFFSET($P22,0,BO$13),15-13*ORÇAMENTO!$AF$7)/$H22*OFFSET(ORÇAMENTO!$X$15,ROW(BO22)-ROW(BO$15),0),
              ROUND(ROUND(OFFSET($P22,0,BO$13),15-13*ORÇAMENTO!$AF$7)*OFFSET(ORÇAMENTO!$W$15,ROW(BO22)-ROW(BO$15),0),15-13*ORÇAMENTO!$AF$11)),
         0)</f>
        <v>0</v>
      </c>
      <c r="BP22" s="453">
        <f ca="1">IF(AND($D22="Serviço",BP$12&lt;&gt;0,$H22&gt;0,OR(AUTOEVENTO&lt;&gt;"manual",$M22&lt;&gt;$A$15)),
        IF(Import.TipoArredondamento&lt;&gt;"TransfereGOV",
              ROUND(OFFSET($P22,0,BP$13),15-13*ORÇAMENTO!$AF$7)/$H22*OFFSET(ORÇAMENTO!$X$15,ROW(BP22)-ROW(BP$15),0),
              ROUND(ROUND(OFFSET($P22,0,BP$13),15-13*ORÇAMENTO!$AF$7)*OFFSET(ORÇAMENTO!$W$15,ROW(BP22)-ROW(BP$15),0),15-13*ORÇAMENTO!$AF$11)),
         0)</f>
        <v>0</v>
      </c>
      <c r="BQ22" s="453">
        <f ca="1">IF(AND($D22="Serviço",BQ$12&lt;&gt;0,$H22&gt;0,OR(AUTOEVENTO&lt;&gt;"manual",$M22&lt;&gt;$A$15)),
        IF(Import.TipoArredondamento&lt;&gt;"TransfereGOV",
              ROUND(OFFSET($P22,0,BQ$13),15-13*ORÇAMENTO!$AF$7)/$H22*OFFSET(ORÇAMENTO!$X$15,ROW(BQ22)-ROW(BQ$15),0),
              ROUND(ROUND(OFFSET($P22,0,BQ$13),15-13*ORÇAMENTO!$AF$7)*OFFSET(ORÇAMENTO!$W$15,ROW(BQ22)-ROW(BQ$15),0),15-13*ORÇAMENTO!$AF$11)),
         0)</f>
        <v>0</v>
      </c>
      <c r="BS22" s="171">
        <f ca="1">IF(OR($D22&lt;&gt;"Serviço",AND(AUTOEVENTO="Manual",$M22=$A$15)),0,
         IF(OFFSET(CRONOPLE!$F$15,$M22-$A$15,BS$13)=0,10^12,OFFSET(CRONOPLE!$F$15,$M22-$A$15,BS$13)))</f>
        <v>0</v>
      </c>
      <c r="BT22" s="171">
        <f ca="1">IF(OR($D22&lt;&gt;"Serviço",AND(AUTOEVENTO="Manual",$M22=$A$15)),0,
         IF(OFFSET(CRONOPLE!$F$15,$M22-$A$15,BT$13)=0,10^12,OFFSET(CRONOPLE!$F$15,$M22-$A$15,BT$13)))</f>
        <v>0</v>
      </c>
      <c r="BU22" s="171">
        <f ca="1">IF(OR($D22&lt;&gt;"Serviço",AND(AUTOEVENTO="Manual",$M22=$A$15)),0,
         IF(OFFSET(CRONOPLE!$F$15,$M22-$A$15,BU$13)=0,10^12,OFFSET(CRONOPLE!$F$15,$M22-$A$15,BU$13)))</f>
        <v>0</v>
      </c>
      <c r="BV22" s="171">
        <f ca="1">IF(OR($D22&lt;&gt;"Serviço",AND(AUTOEVENTO="Manual",$M22=$A$15)),0,
         IF(OFFSET(CRONOPLE!$F$15,$M22-$A$15,BV$13)=0,10^12,OFFSET(CRONOPLE!$F$15,$M22-$A$15,BV$13)))</f>
        <v>0</v>
      </c>
      <c r="BW22" s="171">
        <f ca="1">IF(OR($D22&lt;&gt;"Serviço",AND(AUTOEVENTO="Manual",$M22=$A$15)),0,
         IF(OFFSET(CRONOPLE!$F$15,$M22-$A$15,BW$13)=0,10^12,OFFSET(CRONOPLE!$F$15,$M22-$A$15,BW$13)))</f>
        <v>0</v>
      </c>
      <c r="BX22" s="171">
        <f ca="1">IF(OR($D22&lt;&gt;"Serviço",AND(AUTOEVENTO="Manual",$M22=$A$15)),0,
         IF(OFFSET(CRONOPLE!$F$15,$M22-$A$15,BX$13)=0,10^12,OFFSET(CRONOPLE!$F$15,$M22-$A$15,BX$13)))</f>
        <v>0</v>
      </c>
      <c r="BY22" s="171">
        <f ca="1">IF(OR($D22&lt;&gt;"Serviço",AND(AUTOEVENTO="Manual",$M22=$A$15)),0,
         IF(OFFSET(CRONOPLE!$F$15,$M22-$A$15,BY$13)=0,10^12,OFFSET(CRONOPLE!$F$15,$M22-$A$15,BY$13)))</f>
        <v>0</v>
      </c>
      <c r="BZ22" s="171">
        <f ca="1">IF(OR($D22&lt;&gt;"Serviço",AND(AUTOEVENTO="Manual",$M22=$A$15)),0,
         IF(OFFSET(CRONOPLE!$F$15,$M22-$A$15,BZ$13)=0,10^12,OFFSET(CRONOPLE!$F$15,$M22-$A$15,BZ$13)))</f>
        <v>0</v>
      </c>
      <c r="CA22" s="171">
        <f ca="1">IF(OR($D22&lt;&gt;"Serviço",AND(AUTOEVENTO="Manual",$M22=$A$15)),0,
         IF(OFFSET(CRONOPLE!$F$15,$M22-$A$15,CA$13)=0,10^12,OFFSET(CRONOPLE!$F$15,$M22-$A$15,CA$13)))</f>
        <v>0</v>
      </c>
      <c r="CB22" s="171">
        <f ca="1">IF(OR($D22&lt;&gt;"Serviço",AND(AUTOEVENTO="Manual",$M22=$A$15)),0,
         IF(OFFSET(CRONOPLE!$F$15,$M22-$A$15,CB$13)=0,10^12,OFFSET(CRONOPLE!$F$15,$M22-$A$15,CB$13)))</f>
        <v>0</v>
      </c>
      <c r="CC22" s="171">
        <f ca="1">IF(OR($D22&lt;&gt;"Serviço",AND(AUTOEVENTO="Manual",$M22=$A$15)),0,
         IF(OFFSET(CRONOPLE!$F$15,$M22-$A$15,CC$13)=0,10^12,OFFSET(CRONOPLE!$F$15,$M22-$A$15,CC$13)))</f>
        <v>0</v>
      </c>
      <c r="CD22" s="171">
        <f ca="1">IF(OR($D22&lt;&gt;"Serviço",AND(AUTOEVENTO="Manual",$M22=$A$15)),0,
         IF(OFFSET(CRONOPLE!$F$15,$M22-$A$15,CD$13)=0,10^12,OFFSET(CRONOPLE!$F$15,$M22-$A$15,CD$13)))</f>
        <v>0</v>
      </c>
      <c r="CE22" s="171">
        <f ca="1">IF(OR($D22&lt;&gt;"Serviço",AND(AUTOEVENTO="Manual",$M22=$A$15)),0,
         IF(OFFSET(CRONOPLE!$F$15,$M22-$A$15,CE$13)=0,10^12,OFFSET(CRONOPLE!$F$15,$M22-$A$15,CE$13)))</f>
        <v>0</v>
      </c>
      <c r="CF22" s="171">
        <f ca="1">IF(OR($D22&lt;&gt;"Serviço",AND(AUTOEVENTO="Manual",$M22=$A$15)),0,
         IF(OFFSET(CRONOPLE!$F$15,$M22-$A$15,CF$13)=0,10^12,OFFSET(CRONOPLE!$F$15,$M22-$A$15,CF$13)))</f>
        <v>0</v>
      </c>
      <c r="CG22" s="171">
        <f ca="1">IF(OR($D22&lt;&gt;"Serviço",AND(AUTOEVENTO="Manual",$M22=$A$15)),0,
         IF(OFFSET(CRONOPLE!$F$15,$M22-$A$15,CG$13)=0,10^12,OFFSET(CRONOPLE!$F$15,$M22-$A$15,CG$13)))</f>
        <v>0</v>
      </c>
      <c r="CH22" s="171">
        <f ca="1">IF(OR($D22&lt;&gt;"Serviço",AND(AUTOEVENTO="Manual",$M22=$A$15)),0,
         IF(OFFSET(CRONOPLE!$F$15,$M22-$A$15,CH$13)=0,10^12,OFFSET(CRONOPLE!$F$15,$M22-$A$15,CH$13)))</f>
        <v>0</v>
      </c>
      <c r="CI22" s="171">
        <f ca="1">IF(OR($D22&lt;&gt;"Serviço",AND(AUTOEVENTO="Manual",$M22=$A$15)),0,
         IF(OFFSET(CRONOPLE!$F$15,$M22-$A$15,CI$13)=0,10^12,OFFSET(CRONOPLE!$F$15,$M22-$A$15,CI$13)))</f>
        <v>0</v>
      </c>
      <c r="CJ22" s="171">
        <f ca="1">IF(OR($D22&lt;&gt;"Serviço",AND(AUTOEVENTO="Manual",$M22=$A$15)),0,
         IF(OFFSET(CRONOPLE!$F$15,$M22-$A$15,CJ$13)=0,10^12,OFFSET(CRONOPLE!$F$15,$M22-$A$15,CJ$13)))</f>
        <v>0</v>
      </c>
      <c r="CK22" s="171">
        <f ca="1">IF(OR($D22&lt;&gt;"Serviço",AND(AUTOEVENTO="Manual",$M22=$A$15)),0,
         IF(OFFSET(CRONOPLE!$F$15,$M22-$A$15,CK$13)=0,10^12,OFFSET(CRONOPLE!$F$15,$M22-$A$15,CK$13)))</f>
        <v>0</v>
      </c>
      <c r="CL22" s="171">
        <f ca="1">IF(OR($D22&lt;&gt;"Serviço",AND(AUTOEVENTO="Manual",$M22=$A$15)),0,
         IF(OFFSET(CRONOPLE!$F$15,$M22-$A$15,CL$13)=0,10^12,OFFSET(CRONOPLE!$F$15,$M22-$A$15,CL$13)))</f>
        <v>0</v>
      </c>
      <c r="CM22" s="171">
        <f ca="1">IF(OR($D22&lt;&gt;"Serviço",AND(AUTOEVENTO="Manual",$M22=$A$15)),0,
         IF(OFFSET(CRONOPLE!$F$15,$M22-$A$15,CM$13)=0,10^12,OFFSET(CRONOPLE!$F$15,$M22-$A$15,CM$13)))</f>
        <v>0</v>
      </c>
      <c r="CN22" s="171">
        <f ca="1">IF(OR($D22&lt;&gt;"Serviço",AND(AUTOEVENTO="Manual",$M22=$A$15)),0,
         IF(OFFSET(CRONOPLE!$F$15,$M22-$A$15,CN$13)=0,10^12,OFFSET(CRONOPLE!$F$15,$M22-$A$15,CN$13)))</f>
        <v>0</v>
      </c>
      <c r="CO22" s="171">
        <f ca="1">IF(OR($D22&lt;&gt;"Serviço",AND(AUTOEVENTO="Manual",$M22=$A$15)),0,
         IF(OFFSET(CRONOPLE!$F$15,$M22-$A$15,CO$13)=0,10^12,OFFSET(CRONOPLE!$F$15,$M22-$A$15,CO$13)))</f>
        <v>0</v>
      </c>
      <c r="CP22" s="171">
        <f ca="1">IF(OR($D22&lt;&gt;"Serviço",AND(AUTOEVENTO="Manual",$M22=$A$15)),0,
         IF(OFFSET(CRONOPLE!$F$15,$M22-$A$15,CP$13)=0,10^12,OFFSET(CRONOPLE!$F$15,$M22-$A$15,CP$13)))</f>
        <v>0</v>
      </c>
      <c r="CQ22" s="171">
        <f ca="1">IF(OR($D22&lt;&gt;"Serviço",AND(AUTOEVENTO="Manual",$M22=$A$15)),0,
         IF(OFFSET(CRONOPLE!$F$15,$M22-$A$15,CQ$13)=0,10^12,OFFSET(CRONOPLE!$F$15,$M22-$A$15,CQ$13)))</f>
        <v>0</v>
      </c>
      <c r="CR22" s="171">
        <f ca="1">IF(OR($D22&lt;&gt;"Serviço",AND(AUTOEVENTO="Manual",$M22=$A$15)),0,
         IF(OFFSET(CRONOPLE!$F$15,$M22-$A$15,CR$13)=0,10^12,OFFSET(CRONOPLE!$F$15,$M22-$A$15,CR$13)))</f>
        <v>0</v>
      </c>
      <c r="CT22" s="172" cm="1">
        <f t="array" aca="1" ref="CT22" ca="1">IF(OR($D22&lt;&gt;"Serviço",AND(AUTOEVENTO="Manual",$M22=$A$15),$M22&gt;(ROW(PLE.lastrow)-ROW(PLE.firstrow))),0,
           IF(OFFSET(PLE!$G$15,$M22-$A$15,CT$13)="",10^12,OFFSET(PLE!$G$15,$M22-$A$15,CT$13)))</f>
        <v>0</v>
      </c>
      <c r="CU22" s="172" cm="1">
        <f t="array" aca="1" ref="CU22" ca="1">IF(OR($D22&lt;&gt;"Serviço",AND(AUTOEVENTO="Manual",$M22=$A$15),$M22&gt;(ROW(PLE.lastrow)-ROW(PLE.firstrow))),0,
           IF(OFFSET(PLE!$G$15,$M22-$A$15,CU$13)="",10^12,OFFSET(PLE!$G$15,$M22-$A$15,CU$13)))</f>
        <v>0</v>
      </c>
      <c r="CV22" s="172" cm="1">
        <f t="array" aca="1" ref="CV22" ca="1">IF(OR($D22&lt;&gt;"Serviço",AND(AUTOEVENTO="Manual",$M22=$A$15),$M22&gt;(ROW(PLE.lastrow)-ROW(PLE.firstrow))),0,
           IF(OFFSET(PLE!$G$15,$M22-$A$15,CV$13)="",10^12,OFFSET(PLE!$G$15,$M22-$A$15,CV$13)))</f>
        <v>0</v>
      </c>
      <c r="CW22" s="172" cm="1">
        <f t="array" aca="1" ref="CW22" ca="1">IF(OR($D22&lt;&gt;"Serviço",AND(AUTOEVENTO="Manual",$M22=$A$15),$M22&gt;(ROW(PLE.lastrow)-ROW(PLE.firstrow))),0,
           IF(OFFSET(PLE!$G$15,$M22-$A$15,CW$13)="",10^12,OFFSET(PLE!$G$15,$M22-$A$15,CW$13)))</f>
        <v>0</v>
      </c>
      <c r="CX22" s="172" cm="1">
        <f t="array" aca="1" ref="CX22" ca="1">IF(OR($D22&lt;&gt;"Serviço",AND(AUTOEVENTO="Manual",$M22=$A$15),$M22&gt;(ROW(PLE.lastrow)-ROW(PLE.firstrow))),0,
           IF(OFFSET(PLE!$G$15,$M22-$A$15,CX$13)="",10^12,OFFSET(PLE!$G$15,$M22-$A$15,CX$13)))</f>
        <v>0</v>
      </c>
      <c r="CY22" s="172" cm="1">
        <f t="array" aca="1" ref="CY22" ca="1">IF(OR($D22&lt;&gt;"Serviço",AND(AUTOEVENTO="Manual",$M22=$A$15),$M22&gt;(ROW(PLE.lastrow)-ROW(PLE.firstrow))),0,
           IF(OFFSET(PLE!$G$15,$M22-$A$15,CY$13)="",10^12,OFFSET(PLE!$G$15,$M22-$A$15,CY$13)))</f>
        <v>0</v>
      </c>
      <c r="CZ22" s="172" cm="1">
        <f t="array" aca="1" ref="CZ22" ca="1">IF(OR($D22&lt;&gt;"Serviço",AND(AUTOEVENTO="Manual",$M22=$A$15),$M22&gt;(ROW(PLE.lastrow)-ROW(PLE.firstrow))),0,
           IF(OFFSET(PLE!$G$15,$M22-$A$15,CZ$13)="",10^12,OFFSET(PLE!$G$15,$M22-$A$15,CZ$13)))</f>
        <v>0</v>
      </c>
      <c r="DA22" s="172" cm="1">
        <f t="array" aca="1" ref="DA22" ca="1">IF(OR($D22&lt;&gt;"Serviço",AND(AUTOEVENTO="Manual",$M22=$A$15),$M22&gt;(ROW(PLE.lastrow)-ROW(PLE.firstrow))),0,
           IF(OFFSET(PLE!$G$15,$M22-$A$15,DA$13)="",10^12,OFFSET(PLE!$G$15,$M22-$A$15,DA$13)))</f>
        <v>0</v>
      </c>
      <c r="DB22" s="172" cm="1">
        <f t="array" aca="1" ref="DB22" ca="1">IF(OR($D22&lt;&gt;"Serviço",AND(AUTOEVENTO="Manual",$M22=$A$15),$M22&gt;(ROW(PLE.lastrow)-ROW(PLE.firstrow))),0,
           IF(OFFSET(PLE!$G$15,$M22-$A$15,DB$13)="",10^12,OFFSET(PLE!$G$15,$M22-$A$15,DB$13)))</f>
        <v>0</v>
      </c>
      <c r="DC22" s="172" cm="1">
        <f t="array" aca="1" ref="DC22" ca="1">IF(OR($D22&lt;&gt;"Serviço",AND(AUTOEVENTO="Manual",$M22=$A$15),$M22&gt;(ROW(PLE.lastrow)-ROW(PLE.firstrow))),0,
           IF(OFFSET(PLE!$G$15,$M22-$A$15,DC$13)="",10^12,OFFSET(PLE!$G$15,$M22-$A$15,DC$13)))</f>
        <v>0</v>
      </c>
      <c r="DD22" s="172" cm="1">
        <f t="array" aca="1" ref="DD22" ca="1">IF(OR($D22&lt;&gt;"Serviço",AND(AUTOEVENTO="Manual",$M22=$A$15),$M22&gt;(ROW(PLE.lastrow)-ROW(PLE.firstrow))),0,
           IF(OFFSET(PLE!$G$15,$M22-$A$15,DD$13)="",10^12,OFFSET(PLE!$G$15,$M22-$A$15,DD$13)))</f>
        <v>0</v>
      </c>
      <c r="DE22" s="172" cm="1">
        <f t="array" aca="1" ref="DE22" ca="1">IF(OR($D22&lt;&gt;"Serviço",AND(AUTOEVENTO="Manual",$M22=$A$15),$M22&gt;(ROW(PLE.lastrow)-ROW(PLE.firstrow))),0,
           IF(OFFSET(PLE!$G$15,$M22-$A$15,DE$13)="",10^12,OFFSET(PLE!$G$15,$M22-$A$15,DE$13)))</f>
        <v>0</v>
      </c>
      <c r="DF22" s="172" cm="1">
        <f t="array" aca="1" ref="DF22" ca="1">IF(OR($D22&lt;&gt;"Serviço",AND(AUTOEVENTO="Manual",$M22=$A$15),$M22&gt;(ROW(PLE.lastrow)-ROW(PLE.firstrow))),0,
           IF(OFFSET(PLE!$G$15,$M22-$A$15,DF$13)="",10^12,OFFSET(PLE!$G$15,$M22-$A$15,DF$13)))</f>
        <v>0</v>
      </c>
      <c r="DG22" s="172" cm="1">
        <f t="array" aca="1" ref="DG22" ca="1">IF(OR($D22&lt;&gt;"Serviço",AND(AUTOEVENTO="Manual",$M22=$A$15),$M22&gt;(ROW(PLE.lastrow)-ROW(PLE.firstrow))),0,
           IF(OFFSET(PLE!$G$15,$M22-$A$15,DG$13)="",10^12,OFFSET(PLE!$G$15,$M22-$A$15,DG$13)))</f>
        <v>0</v>
      </c>
      <c r="DH22" s="172" cm="1">
        <f t="array" aca="1" ref="DH22" ca="1">IF(OR($D22&lt;&gt;"Serviço",AND(AUTOEVENTO="Manual",$M22=$A$15),$M22&gt;(ROW(PLE.lastrow)-ROW(PLE.firstrow))),0,
           IF(OFFSET(PLE!$G$15,$M22-$A$15,DH$13)="",10^12,OFFSET(PLE!$G$15,$M22-$A$15,DH$13)))</f>
        <v>0</v>
      </c>
      <c r="DI22" s="172" cm="1">
        <f t="array" aca="1" ref="DI22" ca="1">IF(OR($D22&lt;&gt;"Serviço",AND(AUTOEVENTO="Manual",$M22=$A$15),$M22&gt;(ROW(PLE.lastrow)-ROW(PLE.firstrow))),0,
           IF(OFFSET(PLE!$G$15,$M22-$A$15,DI$13)="",10^12,OFFSET(PLE!$G$15,$M22-$A$15,DI$13)))</f>
        <v>0</v>
      </c>
      <c r="DJ22" s="172" cm="1">
        <f t="array" aca="1" ref="DJ22" ca="1">IF(OR($D22&lt;&gt;"Serviço",AND(AUTOEVENTO="Manual",$M22=$A$15),$M22&gt;(ROW(PLE.lastrow)-ROW(PLE.firstrow))),0,
           IF(OFFSET(PLE!$G$15,$M22-$A$15,DJ$13)="",10^12,OFFSET(PLE!$G$15,$M22-$A$15,DJ$13)))</f>
        <v>0</v>
      </c>
      <c r="DK22" s="172" cm="1">
        <f t="array" aca="1" ref="DK22" ca="1">IF(OR($D22&lt;&gt;"Serviço",AND(AUTOEVENTO="Manual",$M22=$A$15),$M22&gt;(ROW(PLE.lastrow)-ROW(PLE.firstrow))),0,
           IF(OFFSET(PLE!$G$15,$M22-$A$15,DK$13)="",10^12,OFFSET(PLE!$G$15,$M22-$A$15,DK$13)))</f>
        <v>0</v>
      </c>
      <c r="DL22" s="172" cm="1">
        <f t="array" aca="1" ref="DL22" ca="1">IF(OR($D22&lt;&gt;"Serviço",AND(AUTOEVENTO="Manual",$M22=$A$15),$M22&gt;(ROW(PLE.lastrow)-ROW(PLE.firstrow))),0,
           IF(OFFSET(PLE!$G$15,$M22-$A$15,DL$13)="",10^12,OFFSET(PLE!$G$15,$M22-$A$15,DL$13)))</f>
        <v>0</v>
      </c>
      <c r="DM22" s="172" cm="1">
        <f t="array" aca="1" ref="DM22" ca="1">IF(OR($D22&lt;&gt;"Serviço",AND(AUTOEVENTO="Manual",$M22=$A$15),$M22&gt;(ROW(PLE.lastrow)-ROW(PLE.firstrow))),0,
           IF(OFFSET(PLE!$G$15,$M22-$A$15,DM$13)="",10^12,OFFSET(PLE!$G$15,$M22-$A$15,DM$13)))</f>
        <v>0</v>
      </c>
      <c r="DN22" s="172" cm="1">
        <f t="array" aca="1" ref="DN22" ca="1">IF(OR($D22&lt;&gt;"Serviço",AND(AUTOEVENTO="Manual",$M22=$A$15),$M22&gt;(ROW(PLE.lastrow)-ROW(PLE.firstrow))),0,
           IF(OFFSET(PLE!$G$15,$M22-$A$15,DN$13)="",10^12,OFFSET(PLE!$G$15,$M22-$A$15,DN$13)))</f>
        <v>0</v>
      </c>
      <c r="DO22" s="172" cm="1">
        <f t="array" aca="1" ref="DO22" ca="1">IF(OR($D22&lt;&gt;"Serviço",AND(AUTOEVENTO="Manual",$M22=$A$15),$M22&gt;(ROW(PLE.lastrow)-ROW(PLE.firstrow))),0,
           IF(OFFSET(PLE!$G$15,$M22-$A$15,DO$13)="",10^12,OFFSET(PLE!$G$15,$M22-$A$15,DO$13)))</f>
        <v>0</v>
      </c>
      <c r="DP22" s="172" cm="1">
        <f t="array" aca="1" ref="DP22" ca="1">IF(OR($D22&lt;&gt;"Serviço",AND(AUTOEVENTO="Manual",$M22=$A$15),$M22&gt;(ROW(PLE.lastrow)-ROW(PLE.firstrow))),0,
           IF(OFFSET(PLE!$G$15,$M22-$A$15,DP$13)="",10^12,OFFSET(PLE!$G$15,$M22-$A$15,DP$13)))</f>
        <v>0</v>
      </c>
      <c r="DQ22" s="172" cm="1">
        <f t="array" aca="1" ref="DQ22" ca="1">IF(OR($D22&lt;&gt;"Serviço",AND(AUTOEVENTO="Manual",$M22=$A$15),$M22&gt;(ROW(PLE.lastrow)-ROW(PLE.firstrow))),0,
           IF(OFFSET(PLE!$G$15,$M22-$A$15,DQ$13)="",10^12,OFFSET(PLE!$G$15,$M22-$A$15,DQ$13)))</f>
        <v>0</v>
      </c>
      <c r="DR22" s="172" cm="1">
        <f t="array" aca="1" ref="DR22" ca="1">IF(OR($D22&lt;&gt;"Serviço",AND(AUTOEVENTO="Manual",$M22=$A$15),$M22&gt;(ROW(PLE.lastrow)-ROW(PLE.firstrow))),0,
           IF(OFFSET(PLE!$G$15,$M22-$A$15,DR$13)="",10^12,OFFSET(PLE!$G$15,$M22-$A$15,DR$13)))</f>
        <v>0</v>
      </c>
      <c r="DS22" s="172" cm="1">
        <f t="array" aca="1" ref="DS22" ca="1">IF(OR($D22&lt;&gt;"Serviço",AND(AUTOEVENTO="Manual",$M22=$A$15),$M22&gt;(ROW(PLE.lastrow)-ROW(PLE.firstrow))),0,
           IF(OFFSET(PLE!$G$15,$M22-$A$15,DS$13)="",10^12,OFFSET(PLE!$G$15,$M22-$A$15,DS$13)))</f>
        <v>0</v>
      </c>
    </row>
    <row r="23" spans="1:123" ht="12.75" x14ac:dyDescent="0.2">
      <c r="A23" s="7">
        <f t="shared" ca="1" si="11"/>
        <v>0</v>
      </c>
      <c r="B23" s="7">
        <f ca="1">OFFSET(ORÇAMENTO!C$15,$L23,0)</f>
        <v>2</v>
      </c>
      <c r="C23" s="7" t="str">
        <f ca="1">OFFSET(ORÇAMENTO!L$15,$L23,0)</f>
        <v>F</v>
      </c>
      <c r="D23" s="116" t="str">
        <f ca="1">OFFSET(ORÇAMENTO!N$15,$L23,0)</f>
        <v>Nível 2</v>
      </c>
      <c r="E23" s="117" t="str">
        <f ca="1">OFFSET(ORÇAMENTO!O$15,$L23,0)</f>
        <v>2.1.</v>
      </c>
      <c r="F23" s="163" t="str">
        <f ca="1">OFFSET(ORÇAMENTO!R$15,$L23,0)</f>
        <v>ADMINISTRAÇÃO DA OBRA</v>
      </c>
      <c r="G23" s="164" t="str">
        <f ca="1">IF($D23&lt;&gt;"Serviço","",OFFSET(ORÇAMENTO!S$15,$L23,0))</f>
        <v/>
      </c>
      <c r="H23" s="122" cm="1">
        <f t="array" aca="1" ref="H23" ca="1">IF($D23&lt;&gt;"Serviço",0,IF(ACOMPANHAMENTO="BM",ROUND(OFFSET(ORÇAMENTO!AJ$15,$L23,0),15-13*ORÇAMENTO!$AF$7),IF(IFERROR(CÁLCULO.FrentesPreenchidas,0)=0,0,SUM(ROUND(OFFSET($P23,0,1,1,CÁLCULO.FrentesPreenchidas),15-13*ORÇAMENTO!$AF$7)))))</f>
        <v>0</v>
      </c>
      <c r="I23" s="468"/>
      <c r="J23" s="651" t="str" cm="1">
        <f t="array" aca="1" ref="J23" ca="1">IF(OR(B23&lt;&gt;"S",CÁLCULO.FrentesPreenchidas=0),"",IF(AND(ACOMPANHAMENTO="PLE",AUTOEVENTO="Manual",OR(H23&gt;0,ORÇAMENTO!AC23="QUANT."),OR(K23="",M23=0,N23="")),"►E",IF(AND(ACOMPANHAMENTO="PLE",ORÇAMENTO!AC23="QUANT."),"►Q",IF(AND(ACOMPANHAMENTO="PLE",H23&lt;&gt;SUMPRODUCT(($Q$1:$AQ$1=1)*ROUND(Q23:AQ23,15))),"►S",IF(AND(COUNTIF($P$11:$AQ$11,"▼")=0,H23&gt;0,I23=""),"◄M","")))))</f>
        <v/>
      </c>
      <c r="K23" s="652"/>
      <c r="L23" s="165">
        <f t="shared" ca="1" si="12"/>
        <v>8</v>
      </c>
      <c r="M23" s="166" t="str">
        <f ca="1">IF($D23&lt;&gt;"Serviço","",
          IF(AUTOEVENTO="manual",$A23,
                IF(ISERROR(MATCH($A23,$A$15:OFFSET($A23,-1,0),0)),MAX($M$15:OFFSET(M23,-1,0))+1,
                      INDEX($M$15:OFFSET(M23,-1,0),MATCH($A23,$A$15:OFFSET($A23,-1,0),0)))))</f>
        <v/>
      </c>
      <c r="N23" s="167" t="str">
        <f ca="1">IF($D23&lt;&gt;"Serviço","",
         IF(AUTOEVENTO="Manual",
                IF($A23=0,"&lt;-- defina o número do agrupador",
                       OFFSET(EVENTOS!$D$15,$A23-$A$15,0)),
                OFFSET($F$15,$A23,0)))</f>
        <v/>
      </c>
      <c r="O23" s="168"/>
      <c r="Q23" s="168"/>
      <c r="R23" s="169"/>
      <c r="S23" s="169"/>
      <c r="T23" s="169"/>
      <c r="U23" s="169"/>
      <c r="V23" s="169"/>
      <c r="W23" s="169"/>
      <c r="X23" s="169"/>
      <c r="Y23" s="169"/>
      <c r="Z23" s="170"/>
      <c r="AA23" s="169"/>
      <c r="AB23" s="169"/>
      <c r="AC23" s="169"/>
      <c r="AD23" s="169"/>
      <c r="AE23" s="169"/>
      <c r="AF23" s="169"/>
      <c r="AG23" s="169"/>
      <c r="AH23" s="170"/>
      <c r="AI23" s="169"/>
      <c r="AJ23" s="169"/>
      <c r="AK23" s="169"/>
      <c r="AL23" s="169"/>
      <c r="AM23" s="169"/>
      <c r="AN23" s="169"/>
      <c r="AO23" s="169"/>
      <c r="AP23" s="170"/>
      <c r="AR23" s="453">
        <f ca="1">IF(AND($D23="Serviço",AR$12&lt;&gt;0,$H23&gt;0,OR(AUTOEVENTO&lt;&gt;"manual",$M23&lt;&gt;$A$15)),
        IF(Import.TipoArredondamento&lt;&gt;"TransfereGOV",
              ROUND(OFFSET($P23,0,AR$13),15-13*ORÇAMENTO!$AF$7)/$H23*OFFSET(ORÇAMENTO!$X$15,ROW(AR23)-ROW(AR$15),0),
              ROUND(ROUND(OFFSET($P23,0,AR$13),15-13*ORÇAMENTO!$AF$7)*OFFSET(ORÇAMENTO!$W$15,ROW(AR23)-ROW(AR$15),0),15-13*ORÇAMENTO!$AF$11)),
         0)</f>
        <v>0</v>
      </c>
      <c r="AS23" s="453">
        <f ca="1">IF(AND($D23="Serviço",AS$12&lt;&gt;0,$H23&gt;0,OR(AUTOEVENTO&lt;&gt;"manual",$M23&lt;&gt;$A$15)),
        IF(Import.TipoArredondamento&lt;&gt;"TransfereGOV",
              ROUND(OFFSET($P23,0,AS$13),15-13*ORÇAMENTO!$AF$7)/$H23*OFFSET(ORÇAMENTO!$X$15,ROW(AS23)-ROW(AS$15),0),
              ROUND(ROUND(OFFSET($P23,0,AS$13),15-13*ORÇAMENTO!$AF$7)*OFFSET(ORÇAMENTO!$W$15,ROW(AS23)-ROW(AS$15),0),15-13*ORÇAMENTO!$AF$11)),
         0)</f>
        <v>0</v>
      </c>
      <c r="AT23" s="453">
        <f ca="1">IF(AND($D23="Serviço",AT$12&lt;&gt;0,$H23&gt;0,OR(AUTOEVENTO&lt;&gt;"manual",$M23&lt;&gt;$A$15)),
        IF(Import.TipoArredondamento&lt;&gt;"TransfereGOV",
              ROUND(OFFSET($P23,0,AT$13),15-13*ORÇAMENTO!$AF$7)/$H23*OFFSET(ORÇAMENTO!$X$15,ROW(AT23)-ROW(AT$15),0),
              ROUND(ROUND(OFFSET($P23,0,AT$13),15-13*ORÇAMENTO!$AF$7)*OFFSET(ORÇAMENTO!$W$15,ROW(AT23)-ROW(AT$15),0),15-13*ORÇAMENTO!$AF$11)),
         0)</f>
        <v>0</v>
      </c>
      <c r="AU23" s="453">
        <f ca="1">IF(AND($D23="Serviço",AU$12&lt;&gt;0,$H23&gt;0,OR(AUTOEVENTO&lt;&gt;"manual",$M23&lt;&gt;$A$15)),
        IF(Import.TipoArredondamento&lt;&gt;"TransfereGOV",
              ROUND(OFFSET($P23,0,AU$13),15-13*ORÇAMENTO!$AF$7)/$H23*OFFSET(ORÇAMENTO!$X$15,ROW(AU23)-ROW(AU$15),0),
              ROUND(ROUND(OFFSET($P23,0,AU$13),15-13*ORÇAMENTO!$AF$7)*OFFSET(ORÇAMENTO!$W$15,ROW(AU23)-ROW(AU$15),0),15-13*ORÇAMENTO!$AF$11)),
         0)</f>
        <v>0</v>
      </c>
      <c r="AV23" s="453">
        <f ca="1">IF(AND($D23="Serviço",AV$12&lt;&gt;0,$H23&gt;0,OR(AUTOEVENTO&lt;&gt;"manual",$M23&lt;&gt;$A$15)),
        IF(Import.TipoArredondamento&lt;&gt;"TransfereGOV",
              ROUND(OFFSET($P23,0,AV$13),15-13*ORÇAMENTO!$AF$7)/$H23*OFFSET(ORÇAMENTO!$X$15,ROW(AV23)-ROW(AV$15),0),
              ROUND(ROUND(OFFSET($P23,0,AV$13),15-13*ORÇAMENTO!$AF$7)*OFFSET(ORÇAMENTO!$W$15,ROW(AV23)-ROW(AV$15),0),15-13*ORÇAMENTO!$AF$11)),
         0)</f>
        <v>0</v>
      </c>
      <c r="AW23" s="453">
        <f ca="1">IF(AND($D23="Serviço",AW$12&lt;&gt;0,$H23&gt;0,OR(AUTOEVENTO&lt;&gt;"manual",$M23&lt;&gt;$A$15)),
        IF(Import.TipoArredondamento&lt;&gt;"TransfereGOV",
              ROUND(OFFSET($P23,0,AW$13),15-13*ORÇAMENTO!$AF$7)/$H23*OFFSET(ORÇAMENTO!$X$15,ROW(AW23)-ROW(AW$15),0),
              ROUND(ROUND(OFFSET($P23,0,AW$13),15-13*ORÇAMENTO!$AF$7)*OFFSET(ORÇAMENTO!$W$15,ROW(AW23)-ROW(AW$15),0),15-13*ORÇAMENTO!$AF$11)),
         0)</f>
        <v>0</v>
      </c>
      <c r="AX23" s="453">
        <f ca="1">IF(AND($D23="Serviço",AX$12&lt;&gt;0,$H23&gt;0,OR(AUTOEVENTO&lt;&gt;"manual",$M23&lt;&gt;$A$15)),
        IF(Import.TipoArredondamento&lt;&gt;"TransfereGOV",
              ROUND(OFFSET($P23,0,AX$13),15-13*ORÇAMENTO!$AF$7)/$H23*OFFSET(ORÇAMENTO!$X$15,ROW(AX23)-ROW(AX$15),0),
              ROUND(ROUND(OFFSET($P23,0,AX$13),15-13*ORÇAMENTO!$AF$7)*OFFSET(ORÇAMENTO!$W$15,ROW(AX23)-ROW(AX$15),0),15-13*ORÇAMENTO!$AF$11)),
         0)</f>
        <v>0</v>
      </c>
      <c r="AY23" s="453">
        <f ca="1">IF(AND($D23="Serviço",AY$12&lt;&gt;0,$H23&gt;0,OR(AUTOEVENTO&lt;&gt;"manual",$M23&lt;&gt;$A$15)),
        IF(Import.TipoArredondamento&lt;&gt;"TransfereGOV",
              ROUND(OFFSET($P23,0,AY$13),15-13*ORÇAMENTO!$AF$7)/$H23*OFFSET(ORÇAMENTO!$X$15,ROW(AY23)-ROW(AY$15),0),
              ROUND(ROUND(OFFSET($P23,0,AY$13),15-13*ORÇAMENTO!$AF$7)*OFFSET(ORÇAMENTO!$W$15,ROW(AY23)-ROW(AY$15),0),15-13*ORÇAMENTO!$AF$11)),
         0)</f>
        <v>0</v>
      </c>
      <c r="AZ23" s="453">
        <f ca="1">IF(AND($D23="Serviço",AZ$12&lt;&gt;0,$H23&gt;0,OR(AUTOEVENTO&lt;&gt;"manual",$M23&lt;&gt;$A$15)),
        IF(Import.TipoArredondamento&lt;&gt;"TransfereGOV",
              ROUND(OFFSET($P23,0,AZ$13),15-13*ORÇAMENTO!$AF$7)/$H23*OFFSET(ORÇAMENTO!$X$15,ROW(AZ23)-ROW(AZ$15),0),
              ROUND(ROUND(OFFSET($P23,0,AZ$13),15-13*ORÇAMENTO!$AF$7)*OFFSET(ORÇAMENTO!$W$15,ROW(AZ23)-ROW(AZ$15),0),15-13*ORÇAMENTO!$AF$11)),
         0)</f>
        <v>0</v>
      </c>
      <c r="BA23" s="453">
        <f ca="1">IF(AND($D23="Serviço",BA$12&lt;&gt;0,$H23&gt;0,OR(AUTOEVENTO&lt;&gt;"manual",$M23&lt;&gt;$A$15)),
        IF(Import.TipoArredondamento&lt;&gt;"TransfereGOV",
              ROUND(OFFSET($P23,0,BA$13),15-13*ORÇAMENTO!$AF$7)/$H23*OFFSET(ORÇAMENTO!$X$15,ROW(BA23)-ROW(BA$15),0),
              ROUND(ROUND(OFFSET($P23,0,BA$13),15-13*ORÇAMENTO!$AF$7)*OFFSET(ORÇAMENTO!$W$15,ROW(BA23)-ROW(BA$15),0),15-13*ORÇAMENTO!$AF$11)),
         0)</f>
        <v>0</v>
      </c>
      <c r="BB23" s="453">
        <f ca="1">IF(AND($D23="Serviço",BB$12&lt;&gt;0,$H23&gt;0,OR(AUTOEVENTO&lt;&gt;"manual",$M23&lt;&gt;$A$15)),
        IF(Import.TipoArredondamento&lt;&gt;"TransfereGOV",
              ROUND(OFFSET($P23,0,BB$13),15-13*ORÇAMENTO!$AF$7)/$H23*OFFSET(ORÇAMENTO!$X$15,ROW(BB23)-ROW(BB$15),0),
              ROUND(ROUND(OFFSET($P23,0,BB$13),15-13*ORÇAMENTO!$AF$7)*OFFSET(ORÇAMENTO!$W$15,ROW(BB23)-ROW(BB$15),0),15-13*ORÇAMENTO!$AF$11)),
         0)</f>
        <v>0</v>
      </c>
      <c r="BC23" s="453">
        <f ca="1">IF(AND($D23="Serviço",BC$12&lt;&gt;0,$H23&gt;0,OR(AUTOEVENTO&lt;&gt;"manual",$M23&lt;&gt;$A$15)),
        IF(Import.TipoArredondamento&lt;&gt;"TransfereGOV",
              ROUND(OFFSET($P23,0,BC$13),15-13*ORÇAMENTO!$AF$7)/$H23*OFFSET(ORÇAMENTO!$X$15,ROW(BC23)-ROW(BC$15),0),
              ROUND(ROUND(OFFSET($P23,0,BC$13),15-13*ORÇAMENTO!$AF$7)*OFFSET(ORÇAMENTO!$W$15,ROW(BC23)-ROW(BC$15),0),15-13*ORÇAMENTO!$AF$11)),
         0)</f>
        <v>0</v>
      </c>
      <c r="BD23" s="453">
        <f ca="1">IF(AND($D23="Serviço",BD$12&lt;&gt;0,$H23&gt;0,OR(AUTOEVENTO&lt;&gt;"manual",$M23&lt;&gt;$A$15)),
        IF(Import.TipoArredondamento&lt;&gt;"TransfereGOV",
              ROUND(OFFSET($P23,0,BD$13),15-13*ORÇAMENTO!$AF$7)/$H23*OFFSET(ORÇAMENTO!$X$15,ROW(BD23)-ROW(BD$15),0),
              ROUND(ROUND(OFFSET($P23,0,BD$13),15-13*ORÇAMENTO!$AF$7)*OFFSET(ORÇAMENTO!$W$15,ROW(BD23)-ROW(BD$15),0),15-13*ORÇAMENTO!$AF$11)),
         0)</f>
        <v>0</v>
      </c>
      <c r="BE23" s="453">
        <f ca="1">IF(AND($D23="Serviço",BE$12&lt;&gt;0,$H23&gt;0,OR(AUTOEVENTO&lt;&gt;"manual",$M23&lt;&gt;$A$15)),
        IF(Import.TipoArredondamento&lt;&gt;"TransfereGOV",
              ROUND(OFFSET($P23,0,BE$13),15-13*ORÇAMENTO!$AF$7)/$H23*OFFSET(ORÇAMENTO!$X$15,ROW(BE23)-ROW(BE$15),0),
              ROUND(ROUND(OFFSET($P23,0,BE$13),15-13*ORÇAMENTO!$AF$7)*OFFSET(ORÇAMENTO!$W$15,ROW(BE23)-ROW(BE$15),0),15-13*ORÇAMENTO!$AF$11)),
         0)</f>
        <v>0</v>
      </c>
      <c r="BF23" s="453">
        <f ca="1">IF(AND($D23="Serviço",BF$12&lt;&gt;0,$H23&gt;0,OR(AUTOEVENTO&lt;&gt;"manual",$M23&lt;&gt;$A$15)),
        IF(Import.TipoArredondamento&lt;&gt;"TransfereGOV",
              ROUND(OFFSET($P23,0,BF$13),15-13*ORÇAMENTO!$AF$7)/$H23*OFFSET(ORÇAMENTO!$X$15,ROW(BF23)-ROW(BF$15),0),
              ROUND(ROUND(OFFSET($P23,0,BF$13),15-13*ORÇAMENTO!$AF$7)*OFFSET(ORÇAMENTO!$W$15,ROW(BF23)-ROW(BF$15),0),15-13*ORÇAMENTO!$AF$11)),
         0)</f>
        <v>0</v>
      </c>
      <c r="BG23" s="453">
        <f ca="1">IF(AND($D23="Serviço",BG$12&lt;&gt;0,$H23&gt;0,OR(AUTOEVENTO&lt;&gt;"manual",$M23&lt;&gt;$A$15)),
        IF(Import.TipoArredondamento&lt;&gt;"TransfereGOV",
              ROUND(OFFSET($P23,0,BG$13),15-13*ORÇAMENTO!$AF$7)/$H23*OFFSET(ORÇAMENTO!$X$15,ROW(BG23)-ROW(BG$15),0),
              ROUND(ROUND(OFFSET($P23,0,BG$13),15-13*ORÇAMENTO!$AF$7)*OFFSET(ORÇAMENTO!$W$15,ROW(BG23)-ROW(BG$15),0),15-13*ORÇAMENTO!$AF$11)),
         0)</f>
        <v>0</v>
      </c>
      <c r="BH23" s="453">
        <f ca="1">IF(AND($D23="Serviço",BH$12&lt;&gt;0,$H23&gt;0,OR(AUTOEVENTO&lt;&gt;"manual",$M23&lt;&gt;$A$15)),
        IF(Import.TipoArredondamento&lt;&gt;"TransfereGOV",
              ROUND(OFFSET($P23,0,BH$13),15-13*ORÇAMENTO!$AF$7)/$H23*OFFSET(ORÇAMENTO!$X$15,ROW(BH23)-ROW(BH$15),0),
              ROUND(ROUND(OFFSET($P23,0,BH$13),15-13*ORÇAMENTO!$AF$7)*OFFSET(ORÇAMENTO!$W$15,ROW(BH23)-ROW(BH$15),0),15-13*ORÇAMENTO!$AF$11)),
         0)</f>
        <v>0</v>
      </c>
      <c r="BI23" s="453">
        <f ca="1">IF(AND($D23="Serviço",BI$12&lt;&gt;0,$H23&gt;0,OR(AUTOEVENTO&lt;&gt;"manual",$M23&lt;&gt;$A$15)),
        IF(Import.TipoArredondamento&lt;&gt;"TransfereGOV",
              ROUND(OFFSET($P23,0,BI$13),15-13*ORÇAMENTO!$AF$7)/$H23*OFFSET(ORÇAMENTO!$X$15,ROW(BI23)-ROW(BI$15),0),
              ROUND(ROUND(OFFSET($P23,0,BI$13),15-13*ORÇAMENTO!$AF$7)*OFFSET(ORÇAMENTO!$W$15,ROW(BI23)-ROW(BI$15),0),15-13*ORÇAMENTO!$AF$11)),
         0)</f>
        <v>0</v>
      </c>
      <c r="BJ23" s="453">
        <f ca="1">IF(AND($D23="Serviço",BJ$12&lt;&gt;0,$H23&gt;0,OR(AUTOEVENTO&lt;&gt;"manual",$M23&lt;&gt;$A$15)),
        IF(Import.TipoArredondamento&lt;&gt;"TransfereGOV",
              ROUND(OFFSET($P23,0,BJ$13),15-13*ORÇAMENTO!$AF$7)/$H23*OFFSET(ORÇAMENTO!$X$15,ROW(BJ23)-ROW(BJ$15),0),
              ROUND(ROUND(OFFSET($P23,0,BJ$13),15-13*ORÇAMENTO!$AF$7)*OFFSET(ORÇAMENTO!$W$15,ROW(BJ23)-ROW(BJ$15),0),15-13*ORÇAMENTO!$AF$11)),
         0)</f>
        <v>0</v>
      </c>
      <c r="BK23" s="453">
        <f ca="1">IF(AND($D23="Serviço",BK$12&lt;&gt;0,$H23&gt;0,OR(AUTOEVENTO&lt;&gt;"manual",$M23&lt;&gt;$A$15)),
        IF(Import.TipoArredondamento&lt;&gt;"TransfereGOV",
              ROUND(OFFSET($P23,0,BK$13),15-13*ORÇAMENTO!$AF$7)/$H23*OFFSET(ORÇAMENTO!$X$15,ROW(BK23)-ROW(BK$15),0),
              ROUND(ROUND(OFFSET($P23,0,BK$13),15-13*ORÇAMENTO!$AF$7)*OFFSET(ORÇAMENTO!$W$15,ROW(BK23)-ROW(BK$15),0),15-13*ORÇAMENTO!$AF$11)),
         0)</f>
        <v>0</v>
      </c>
      <c r="BL23" s="453">
        <f ca="1">IF(AND($D23="Serviço",BL$12&lt;&gt;0,$H23&gt;0,OR(AUTOEVENTO&lt;&gt;"manual",$M23&lt;&gt;$A$15)),
        IF(Import.TipoArredondamento&lt;&gt;"TransfereGOV",
              ROUND(OFFSET($P23,0,BL$13),15-13*ORÇAMENTO!$AF$7)/$H23*OFFSET(ORÇAMENTO!$X$15,ROW(BL23)-ROW(BL$15),0),
              ROUND(ROUND(OFFSET($P23,0,BL$13),15-13*ORÇAMENTO!$AF$7)*OFFSET(ORÇAMENTO!$W$15,ROW(BL23)-ROW(BL$15),0),15-13*ORÇAMENTO!$AF$11)),
         0)</f>
        <v>0</v>
      </c>
      <c r="BM23" s="453">
        <f ca="1">IF(AND($D23="Serviço",BM$12&lt;&gt;0,$H23&gt;0,OR(AUTOEVENTO&lt;&gt;"manual",$M23&lt;&gt;$A$15)),
        IF(Import.TipoArredondamento&lt;&gt;"TransfereGOV",
              ROUND(OFFSET($P23,0,BM$13),15-13*ORÇAMENTO!$AF$7)/$H23*OFFSET(ORÇAMENTO!$X$15,ROW(BM23)-ROW(BM$15),0),
              ROUND(ROUND(OFFSET($P23,0,BM$13),15-13*ORÇAMENTO!$AF$7)*OFFSET(ORÇAMENTO!$W$15,ROW(BM23)-ROW(BM$15),0),15-13*ORÇAMENTO!$AF$11)),
         0)</f>
        <v>0</v>
      </c>
      <c r="BN23" s="453">
        <f ca="1">IF(AND($D23="Serviço",BN$12&lt;&gt;0,$H23&gt;0,OR(AUTOEVENTO&lt;&gt;"manual",$M23&lt;&gt;$A$15)),
        IF(Import.TipoArredondamento&lt;&gt;"TransfereGOV",
              ROUND(OFFSET($P23,0,BN$13),15-13*ORÇAMENTO!$AF$7)/$H23*OFFSET(ORÇAMENTO!$X$15,ROW(BN23)-ROW(BN$15),0),
              ROUND(ROUND(OFFSET($P23,0,BN$13),15-13*ORÇAMENTO!$AF$7)*OFFSET(ORÇAMENTO!$W$15,ROW(BN23)-ROW(BN$15),0),15-13*ORÇAMENTO!$AF$11)),
         0)</f>
        <v>0</v>
      </c>
      <c r="BO23" s="453">
        <f ca="1">IF(AND($D23="Serviço",BO$12&lt;&gt;0,$H23&gt;0,OR(AUTOEVENTO&lt;&gt;"manual",$M23&lt;&gt;$A$15)),
        IF(Import.TipoArredondamento&lt;&gt;"TransfereGOV",
              ROUND(OFFSET($P23,0,BO$13),15-13*ORÇAMENTO!$AF$7)/$H23*OFFSET(ORÇAMENTO!$X$15,ROW(BO23)-ROW(BO$15),0),
              ROUND(ROUND(OFFSET($P23,0,BO$13),15-13*ORÇAMENTO!$AF$7)*OFFSET(ORÇAMENTO!$W$15,ROW(BO23)-ROW(BO$15),0),15-13*ORÇAMENTO!$AF$11)),
         0)</f>
        <v>0</v>
      </c>
      <c r="BP23" s="453">
        <f ca="1">IF(AND($D23="Serviço",BP$12&lt;&gt;0,$H23&gt;0,OR(AUTOEVENTO&lt;&gt;"manual",$M23&lt;&gt;$A$15)),
        IF(Import.TipoArredondamento&lt;&gt;"TransfereGOV",
              ROUND(OFFSET($P23,0,BP$13),15-13*ORÇAMENTO!$AF$7)/$H23*OFFSET(ORÇAMENTO!$X$15,ROW(BP23)-ROW(BP$15),0),
              ROUND(ROUND(OFFSET($P23,0,BP$13),15-13*ORÇAMENTO!$AF$7)*OFFSET(ORÇAMENTO!$W$15,ROW(BP23)-ROW(BP$15),0),15-13*ORÇAMENTO!$AF$11)),
         0)</f>
        <v>0</v>
      </c>
      <c r="BQ23" s="453">
        <f ca="1">IF(AND($D23="Serviço",BQ$12&lt;&gt;0,$H23&gt;0,OR(AUTOEVENTO&lt;&gt;"manual",$M23&lt;&gt;$A$15)),
        IF(Import.TipoArredondamento&lt;&gt;"TransfereGOV",
              ROUND(OFFSET($P23,0,BQ$13),15-13*ORÇAMENTO!$AF$7)/$H23*OFFSET(ORÇAMENTO!$X$15,ROW(BQ23)-ROW(BQ$15),0),
              ROUND(ROUND(OFFSET($P23,0,BQ$13),15-13*ORÇAMENTO!$AF$7)*OFFSET(ORÇAMENTO!$W$15,ROW(BQ23)-ROW(BQ$15),0),15-13*ORÇAMENTO!$AF$11)),
         0)</f>
        <v>0</v>
      </c>
      <c r="BS23" s="171">
        <f ca="1">IF(OR($D23&lt;&gt;"Serviço",AND(AUTOEVENTO="Manual",$M23=$A$15)),0,
         IF(OFFSET(CRONOPLE!$F$15,$M23-$A$15,BS$13)=0,10^12,OFFSET(CRONOPLE!$F$15,$M23-$A$15,BS$13)))</f>
        <v>0</v>
      </c>
      <c r="BT23" s="171">
        <f ca="1">IF(OR($D23&lt;&gt;"Serviço",AND(AUTOEVENTO="Manual",$M23=$A$15)),0,
         IF(OFFSET(CRONOPLE!$F$15,$M23-$A$15,BT$13)=0,10^12,OFFSET(CRONOPLE!$F$15,$M23-$A$15,BT$13)))</f>
        <v>0</v>
      </c>
      <c r="BU23" s="171">
        <f ca="1">IF(OR($D23&lt;&gt;"Serviço",AND(AUTOEVENTO="Manual",$M23=$A$15)),0,
         IF(OFFSET(CRONOPLE!$F$15,$M23-$A$15,BU$13)=0,10^12,OFFSET(CRONOPLE!$F$15,$M23-$A$15,BU$13)))</f>
        <v>0</v>
      </c>
      <c r="BV23" s="171">
        <f ca="1">IF(OR($D23&lt;&gt;"Serviço",AND(AUTOEVENTO="Manual",$M23=$A$15)),0,
         IF(OFFSET(CRONOPLE!$F$15,$M23-$A$15,BV$13)=0,10^12,OFFSET(CRONOPLE!$F$15,$M23-$A$15,BV$13)))</f>
        <v>0</v>
      </c>
      <c r="BW23" s="171">
        <f ca="1">IF(OR($D23&lt;&gt;"Serviço",AND(AUTOEVENTO="Manual",$M23=$A$15)),0,
         IF(OFFSET(CRONOPLE!$F$15,$M23-$A$15,BW$13)=0,10^12,OFFSET(CRONOPLE!$F$15,$M23-$A$15,BW$13)))</f>
        <v>0</v>
      </c>
      <c r="BX23" s="171">
        <f ca="1">IF(OR($D23&lt;&gt;"Serviço",AND(AUTOEVENTO="Manual",$M23=$A$15)),0,
         IF(OFFSET(CRONOPLE!$F$15,$M23-$A$15,BX$13)=0,10^12,OFFSET(CRONOPLE!$F$15,$M23-$A$15,BX$13)))</f>
        <v>0</v>
      </c>
      <c r="BY23" s="171">
        <f ca="1">IF(OR($D23&lt;&gt;"Serviço",AND(AUTOEVENTO="Manual",$M23=$A$15)),0,
         IF(OFFSET(CRONOPLE!$F$15,$M23-$A$15,BY$13)=0,10^12,OFFSET(CRONOPLE!$F$15,$M23-$A$15,BY$13)))</f>
        <v>0</v>
      </c>
      <c r="BZ23" s="171">
        <f ca="1">IF(OR($D23&lt;&gt;"Serviço",AND(AUTOEVENTO="Manual",$M23=$A$15)),0,
         IF(OFFSET(CRONOPLE!$F$15,$M23-$A$15,BZ$13)=0,10^12,OFFSET(CRONOPLE!$F$15,$M23-$A$15,BZ$13)))</f>
        <v>0</v>
      </c>
      <c r="CA23" s="171">
        <f ca="1">IF(OR($D23&lt;&gt;"Serviço",AND(AUTOEVENTO="Manual",$M23=$A$15)),0,
         IF(OFFSET(CRONOPLE!$F$15,$M23-$A$15,CA$13)=0,10^12,OFFSET(CRONOPLE!$F$15,$M23-$A$15,CA$13)))</f>
        <v>0</v>
      </c>
      <c r="CB23" s="171">
        <f ca="1">IF(OR($D23&lt;&gt;"Serviço",AND(AUTOEVENTO="Manual",$M23=$A$15)),0,
         IF(OFFSET(CRONOPLE!$F$15,$M23-$A$15,CB$13)=0,10^12,OFFSET(CRONOPLE!$F$15,$M23-$A$15,CB$13)))</f>
        <v>0</v>
      </c>
      <c r="CC23" s="171">
        <f ca="1">IF(OR($D23&lt;&gt;"Serviço",AND(AUTOEVENTO="Manual",$M23=$A$15)),0,
         IF(OFFSET(CRONOPLE!$F$15,$M23-$A$15,CC$13)=0,10^12,OFFSET(CRONOPLE!$F$15,$M23-$A$15,CC$13)))</f>
        <v>0</v>
      </c>
      <c r="CD23" s="171">
        <f ca="1">IF(OR($D23&lt;&gt;"Serviço",AND(AUTOEVENTO="Manual",$M23=$A$15)),0,
         IF(OFFSET(CRONOPLE!$F$15,$M23-$A$15,CD$13)=0,10^12,OFFSET(CRONOPLE!$F$15,$M23-$A$15,CD$13)))</f>
        <v>0</v>
      </c>
      <c r="CE23" s="171">
        <f ca="1">IF(OR($D23&lt;&gt;"Serviço",AND(AUTOEVENTO="Manual",$M23=$A$15)),0,
         IF(OFFSET(CRONOPLE!$F$15,$M23-$A$15,CE$13)=0,10^12,OFFSET(CRONOPLE!$F$15,$M23-$A$15,CE$13)))</f>
        <v>0</v>
      </c>
      <c r="CF23" s="171">
        <f ca="1">IF(OR($D23&lt;&gt;"Serviço",AND(AUTOEVENTO="Manual",$M23=$A$15)),0,
         IF(OFFSET(CRONOPLE!$F$15,$M23-$A$15,CF$13)=0,10^12,OFFSET(CRONOPLE!$F$15,$M23-$A$15,CF$13)))</f>
        <v>0</v>
      </c>
      <c r="CG23" s="171">
        <f ca="1">IF(OR($D23&lt;&gt;"Serviço",AND(AUTOEVENTO="Manual",$M23=$A$15)),0,
         IF(OFFSET(CRONOPLE!$F$15,$M23-$A$15,CG$13)=0,10^12,OFFSET(CRONOPLE!$F$15,$M23-$A$15,CG$13)))</f>
        <v>0</v>
      </c>
      <c r="CH23" s="171">
        <f ca="1">IF(OR($D23&lt;&gt;"Serviço",AND(AUTOEVENTO="Manual",$M23=$A$15)),0,
         IF(OFFSET(CRONOPLE!$F$15,$M23-$A$15,CH$13)=0,10^12,OFFSET(CRONOPLE!$F$15,$M23-$A$15,CH$13)))</f>
        <v>0</v>
      </c>
      <c r="CI23" s="171">
        <f ca="1">IF(OR($D23&lt;&gt;"Serviço",AND(AUTOEVENTO="Manual",$M23=$A$15)),0,
         IF(OFFSET(CRONOPLE!$F$15,$M23-$A$15,CI$13)=0,10^12,OFFSET(CRONOPLE!$F$15,$M23-$A$15,CI$13)))</f>
        <v>0</v>
      </c>
      <c r="CJ23" s="171">
        <f ca="1">IF(OR($D23&lt;&gt;"Serviço",AND(AUTOEVENTO="Manual",$M23=$A$15)),0,
         IF(OFFSET(CRONOPLE!$F$15,$M23-$A$15,CJ$13)=0,10^12,OFFSET(CRONOPLE!$F$15,$M23-$A$15,CJ$13)))</f>
        <v>0</v>
      </c>
      <c r="CK23" s="171">
        <f ca="1">IF(OR($D23&lt;&gt;"Serviço",AND(AUTOEVENTO="Manual",$M23=$A$15)),0,
         IF(OFFSET(CRONOPLE!$F$15,$M23-$A$15,CK$13)=0,10^12,OFFSET(CRONOPLE!$F$15,$M23-$A$15,CK$13)))</f>
        <v>0</v>
      </c>
      <c r="CL23" s="171">
        <f ca="1">IF(OR($D23&lt;&gt;"Serviço",AND(AUTOEVENTO="Manual",$M23=$A$15)),0,
         IF(OFFSET(CRONOPLE!$F$15,$M23-$A$15,CL$13)=0,10^12,OFFSET(CRONOPLE!$F$15,$M23-$A$15,CL$13)))</f>
        <v>0</v>
      </c>
      <c r="CM23" s="171">
        <f ca="1">IF(OR($D23&lt;&gt;"Serviço",AND(AUTOEVENTO="Manual",$M23=$A$15)),0,
         IF(OFFSET(CRONOPLE!$F$15,$M23-$A$15,CM$13)=0,10^12,OFFSET(CRONOPLE!$F$15,$M23-$A$15,CM$13)))</f>
        <v>0</v>
      </c>
      <c r="CN23" s="171">
        <f ca="1">IF(OR($D23&lt;&gt;"Serviço",AND(AUTOEVENTO="Manual",$M23=$A$15)),0,
         IF(OFFSET(CRONOPLE!$F$15,$M23-$A$15,CN$13)=0,10^12,OFFSET(CRONOPLE!$F$15,$M23-$A$15,CN$13)))</f>
        <v>0</v>
      </c>
      <c r="CO23" s="171">
        <f ca="1">IF(OR($D23&lt;&gt;"Serviço",AND(AUTOEVENTO="Manual",$M23=$A$15)),0,
         IF(OFFSET(CRONOPLE!$F$15,$M23-$A$15,CO$13)=0,10^12,OFFSET(CRONOPLE!$F$15,$M23-$A$15,CO$13)))</f>
        <v>0</v>
      </c>
      <c r="CP23" s="171">
        <f ca="1">IF(OR($D23&lt;&gt;"Serviço",AND(AUTOEVENTO="Manual",$M23=$A$15)),0,
         IF(OFFSET(CRONOPLE!$F$15,$M23-$A$15,CP$13)=0,10^12,OFFSET(CRONOPLE!$F$15,$M23-$A$15,CP$13)))</f>
        <v>0</v>
      </c>
      <c r="CQ23" s="171">
        <f ca="1">IF(OR($D23&lt;&gt;"Serviço",AND(AUTOEVENTO="Manual",$M23=$A$15)),0,
         IF(OFFSET(CRONOPLE!$F$15,$M23-$A$15,CQ$13)=0,10^12,OFFSET(CRONOPLE!$F$15,$M23-$A$15,CQ$13)))</f>
        <v>0</v>
      </c>
      <c r="CR23" s="171">
        <f ca="1">IF(OR($D23&lt;&gt;"Serviço",AND(AUTOEVENTO="Manual",$M23=$A$15)),0,
         IF(OFFSET(CRONOPLE!$F$15,$M23-$A$15,CR$13)=0,10^12,OFFSET(CRONOPLE!$F$15,$M23-$A$15,CR$13)))</f>
        <v>0</v>
      </c>
      <c r="CT23" s="172" cm="1">
        <f t="array" aca="1" ref="CT23" ca="1">IF(OR($D23&lt;&gt;"Serviço",AND(AUTOEVENTO="Manual",$M23=$A$15),$M23&gt;(ROW(PLE.lastrow)-ROW(PLE.firstrow))),0,
           IF(OFFSET(PLE!$G$15,$M23-$A$15,CT$13)="",10^12,OFFSET(PLE!$G$15,$M23-$A$15,CT$13)))</f>
        <v>0</v>
      </c>
      <c r="CU23" s="172" cm="1">
        <f t="array" aca="1" ref="CU23" ca="1">IF(OR($D23&lt;&gt;"Serviço",AND(AUTOEVENTO="Manual",$M23=$A$15),$M23&gt;(ROW(PLE.lastrow)-ROW(PLE.firstrow))),0,
           IF(OFFSET(PLE!$G$15,$M23-$A$15,CU$13)="",10^12,OFFSET(PLE!$G$15,$M23-$A$15,CU$13)))</f>
        <v>0</v>
      </c>
      <c r="CV23" s="172" cm="1">
        <f t="array" aca="1" ref="CV23" ca="1">IF(OR($D23&lt;&gt;"Serviço",AND(AUTOEVENTO="Manual",$M23=$A$15),$M23&gt;(ROW(PLE.lastrow)-ROW(PLE.firstrow))),0,
           IF(OFFSET(PLE!$G$15,$M23-$A$15,CV$13)="",10^12,OFFSET(PLE!$G$15,$M23-$A$15,CV$13)))</f>
        <v>0</v>
      </c>
      <c r="CW23" s="172" cm="1">
        <f t="array" aca="1" ref="CW23" ca="1">IF(OR($D23&lt;&gt;"Serviço",AND(AUTOEVENTO="Manual",$M23=$A$15),$M23&gt;(ROW(PLE.lastrow)-ROW(PLE.firstrow))),0,
           IF(OFFSET(PLE!$G$15,$M23-$A$15,CW$13)="",10^12,OFFSET(PLE!$G$15,$M23-$A$15,CW$13)))</f>
        <v>0</v>
      </c>
      <c r="CX23" s="172" cm="1">
        <f t="array" aca="1" ref="CX23" ca="1">IF(OR($D23&lt;&gt;"Serviço",AND(AUTOEVENTO="Manual",$M23=$A$15),$M23&gt;(ROW(PLE.lastrow)-ROW(PLE.firstrow))),0,
           IF(OFFSET(PLE!$G$15,$M23-$A$15,CX$13)="",10^12,OFFSET(PLE!$G$15,$M23-$A$15,CX$13)))</f>
        <v>0</v>
      </c>
      <c r="CY23" s="172" cm="1">
        <f t="array" aca="1" ref="CY23" ca="1">IF(OR($D23&lt;&gt;"Serviço",AND(AUTOEVENTO="Manual",$M23=$A$15),$M23&gt;(ROW(PLE.lastrow)-ROW(PLE.firstrow))),0,
           IF(OFFSET(PLE!$G$15,$M23-$A$15,CY$13)="",10^12,OFFSET(PLE!$G$15,$M23-$A$15,CY$13)))</f>
        <v>0</v>
      </c>
      <c r="CZ23" s="172" cm="1">
        <f t="array" aca="1" ref="CZ23" ca="1">IF(OR($D23&lt;&gt;"Serviço",AND(AUTOEVENTO="Manual",$M23=$A$15),$M23&gt;(ROW(PLE.lastrow)-ROW(PLE.firstrow))),0,
           IF(OFFSET(PLE!$G$15,$M23-$A$15,CZ$13)="",10^12,OFFSET(PLE!$G$15,$M23-$A$15,CZ$13)))</f>
        <v>0</v>
      </c>
      <c r="DA23" s="172" cm="1">
        <f t="array" aca="1" ref="DA23" ca="1">IF(OR($D23&lt;&gt;"Serviço",AND(AUTOEVENTO="Manual",$M23=$A$15),$M23&gt;(ROW(PLE.lastrow)-ROW(PLE.firstrow))),0,
           IF(OFFSET(PLE!$G$15,$M23-$A$15,DA$13)="",10^12,OFFSET(PLE!$G$15,$M23-$A$15,DA$13)))</f>
        <v>0</v>
      </c>
      <c r="DB23" s="172" cm="1">
        <f t="array" aca="1" ref="DB23" ca="1">IF(OR($D23&lt;&gt;"Serviço",AND(AUTOEVENTO="Manual",$M23=$A$15),$M23&gt;(ROW(PLE.lastrow)-ROW(PLE.firstrow))),0,
           IF(OFFSET(PLE!$G$15,$M23-$A$15,DB$13)="",10^12,OFFSET(PLE!$G$15,$M23-$A$15,DB$13)))</f>
        <v>0</v>
      </c>
      <c r="DC23" s="172" cm="1">
        <f t="array" aca="1" ref="DC23" ca="1">IF(OR($D23&lt;&gt;"Serviço",AND(AUTOEVENTO="Manual",$M23=$A$15),$M23&gt;(ROW(PLE.lastrow)-ROW(PLE.firstrow))),0,
           IF(OFFSET(PLE!$G$15,$M23-$A$15,DC$13)="",10^12,OFFSET(PLE!$G$15,$M23-$A$15,DC$13)))</f>
        <v>0</v>
      </c>
      <c r="DD23" s="172" cm="1">
        <f t="array" aca="1" ref="DD23" ca="1">IF(OR($D23&lt;&gt;"Serviço",AND(AUTOEVENTO="Manual",$M23=$A$15),$M23&gt;(ROW(PLE.lastrow)-ROW(PLE.firstrow))),0,
           IF(OFFSET(PLE!$G$15,$M23-$A$15,DD$13)="",10^12,OFFSET(PLE!$G$15,$M23-$A$15,DD$13)))</f>
        <v>0</v>
      </c>
      <c r="DE23" s="172" cm="1">
        <f t="array" aca="1" ref="DE23" ca="1">IF(OR($D23&lt;&gt;"Serviço",AND(AUTOEVENTO="Manual",$M23=$A$15),$M23&gt;(ROW(PLE.lastrow)-ROW(PLE.firstrow))),0,
           IF(OFFSET(PLE!$G$15,$M23-$A$15,DE$13)="",10^12,OFFSET(PLE!$G$15,$M23-$A$15,DE$13)))</f>
        <v>0</v>
      </c>
      <c r="DF23" s="172" cm="1">
        <f t="array" aca="1" ref="DF23" ca="1">IF(OR($D23&lt;&gt;"Serviço",AND(AUTOEVENTO="Manual",$M23=$A$15),$M23&gt;(ROW(PLE.lastrow)-ROW(PLE.firstrow))),0,
           IF(OFFSET(PLE!$G$15,$M23-$A$15,DF$13)="",10^12,OFFSET(PLE!$G$15,$M23-$A$15,DF$13)))</f>
        <v>0</v>
      </c>
      <c r="DG23" s="172" cm="1">
        <f t="array" aca="1" ref="DG23" ca="1">IF(OR($D23&lt;&gt;"Serviço",AND(AUTOEVENTO="Manual",$M23=$A$15),$M23&gt;(ROW(PLE.lastrow)-ROW(PLE.firstrow))),0,
           IF(OFFSET(PLE!$G$15,$M23-$A$15,DG$13)="",10^12,OFFSET(PLE!$G$15,$M23-$A$15,DG$13)))</f>
        <v>0</v>
      </c>
      <c r="DH23" s="172" cm="1">
        <f t="array" aca="1" ref="DH23" ca="1">IF(OR($D23&lt;&gt;"Serviço",AND(AUTOEVENTO="Manual",$M23=$A$15),$M23&gt;(ROW(PLE.lastrow)-ROW(PLE.firstrow))),0,
           IF(OFFSET(PLE!$G$15,$M23-$A$15,DH$13)="",10^12,OFFSET(PLE!$G$15,$M23-$A$15,DH$13)))</f>
        <v>0</v>
      </c>
      <c r="DI23" s="172" cm="1">
        <f t="array" aca="1" ref="DI23" ca="1">IF(OR($D23&lt;&gt;"Serviço",AND(AUTOEVENTO="Manual",$M23=$A$15),$M23&gt;(ROW(PLE.lastrow)-ROW(PLE.firstrow))),0,
           IF(OFFSET(PLE!$G$15,$M23-$A$15,DI$13)="",10^12,OFFSET(PLE!$G$15,$M23-$A$15,DI$13)))</f>
        <v>0</v>
      </c>
      <c r="DJ23" s="172" cm="1">
        <f t="array" aca="1" ref="DJ23" ca="1">IF(OR($D23&lt;&gt;"Serviço",AND(AUTOEVENTO="Manual",$M23=$A$15),$M23&gt;(ROW(PLE.lastrow)-ROW(PLE.firstrow))),0,
           IF(OFFSET(PLE!$G$15,$M23-$A$15,DJ$13)="",10^12,OFFSET(PLE!$G$15,$M23-$A$15,DJ$13)))</f>
        <v>0</v>
      </c>
      <c r="DK23" s="172" cm="1">
        <f t="array" aca="1" ref="DK23" ca="1">IF(OR($D23&lt;&gt;"Serviço",AND(AUTOEVENTO="Manual",$M23=$A$15),$M23&gt;(ROW(PLE.lastrow)-ROW(PLE.firstrow))),0,
           IF(OFFSET(PLE!$G$15,$M23-$A$15,DK$13)="",10^12,OFFSET(PLE!$G$15,$M23-$A$15,DK$13)))</f>
        <v>0</v>
      </c>
      <c r="DL23" s="172" cm="1">
        <f t="array" aca="1" ref="DL23" ca="1">IF(OR($D23&lt;&gt;"Serviço",AND(AUTOEVENTO="Manual",$M23=$A$15),$M23&gt;(ROW(PLE.lastrow)-ROW(PLE.firstrow))),0,
           IF(OFFSET(PLE!$G$15,$M23-$A$15,DL$13)="",10^12,OFFSET(PLE!$G$15,$M23-$A$15,DL$13)))</f>
        <v>0</v>
      </c>
      <c r="DM23" s="172" cm="1">
        <f t="array" aca="1" ref="DM23" ca="1">IF(OR($D23&lt;&gt;"Serviço",AND(AUTOEVENTO="Manual",$M23=$A$15),$M23&gt;(ROW(PLE.lastrow)-ROW(PLE.firstrow))),0,
           IF(OFFSET(PLE!$G$15,$M23-$A$15,DM$13)="",10^12,OFFSET(PLE!$G$15,$M23-$A$15,DM$13)))</f>
        <v>0</v>
      </c>
      <c r="DN23" s="172" cm="1">
        <f t="array" aca="1" ref="DN23" ca="1">IF(OR($D23&lt;&gt;"Serviço",AND(AUTOEVENTO="Manual",$M23=$A$15),$M23&gt;(ROW(PLE.lastrow)-ROW(PLE.firstrow))),0,
           IF(OFFSET(PLE!$G$15,$M23-$A$15,DN$13)="",10^12,OFFSET(PLE!$G$15,$M23-$A$15,DN$13)))</f>
        <v>0</v>
      </c>
      <c r="DO23" s="172" cm="1">
        <f t="array" aca="1" ref="DO23" ca="1">IF(OR($D23&lt;&gt;"Serviço",AND(AUTOEVENTO="Manual",$M23=$A$15),$M23&gt;(ROW(PLE.lastrow)-ROW(PLE.firstrow))),0,
           IF(OFFSET(PLE!$G$15,$M23-$A$15,DO$13)="",10^12,OFFSET(PLE!$G$15,$M23-$A$15,DO$13)))</f>
        <v>0</v>
      </c>
      <c r="DP23" s="172" cm="1">
        <f t="array" aca="1" ref="DP23" ca="1">IF(OR($D23&lt;&gt;"Serviço",AND(AUTOEVENTO="Manual",$M23=$A$15),$M23&gt;(ROW(PLE.lastrow)-ROW(PLE.firstrow))),0,
           IF(OFFSET(PLE!$G$15,$M23-$A$15,DP$13)="",10^12,OFFSET(PLE!$G$15,$M23-$A$15,DP$13)))</f>
        <v>0</v>
      </c>
      <c r="DQ23" s="172" cm="1">
        <f t="array" aca="1" ref="DQ23" ca="1">IF(OR($D23&lt;&gt;"Serviço",AND(AUTOEVENTO="Manual",$M23=$A$15),$M23&gt;(ROW(PLE.lastrow)-ROW(PLE.firstrow))),0,
           IF(OFFSET(PLE!$G$15,$M23-$A$15,DQ$13)="",10^12,OFFSET(PLE!$G$15,$M23-$A$15,DQ$13)))</f>
        <v>0</v>
      </c>
      <c r="DR23" s="172" cm="1">
        <f t="array" aca="1" ref="DR23" ca="1">IF(OR($D23&lt;&gt;"Serviço",AND(AUTOEVENTO="Manual",$M23=$A$15),$M23&gt;(ROW(PLE.lastrow)-ROW(PLE.firstrow))),0,
           IF(OFFSET(PLE!$G$15,$M23-$A$15,DR$13)="",10^12,OFFSET(PLE!$G$15,$M23-$A$15,DR$13)))</f>
        <v>0</v>
      </c>
      <c r="DS23" s="172" cm="1">
        <f t="array" aca="1" ref="DS23" ca="1">IF(OR($D23&lt;&gt;"Serviço",AND(AUTOEVENTO="Manual",$M23=$A$15),$M23&gt;(ROW(PLE.lastrow)-ROW(PLE.firstrow))),0,
           IF(OFFSET(PLE!$G$15,$M23-$A$15,DS$13)="",10^12,OFFSET(PLE!$G$15,$M23-$A$15,DS$13)))</f>
        <v>0</v>
      </c>
    </row>
    <row r="24" spans="1:123" ht="12.75" x14ac:dyDescent="0.2">
      <c r="A24" s="7">
        <f t="shared" ca="1" si="11"/>
        <v>2</v>
      </c>
      <c r="B24" s="7" t="str">
        <f ca="1">OFFSET(ORÇAMENTO!C$15,$L24,0)</f>
        <v>S</v>
      </c>
      <c r="C24" s="7" t="str">
        <f ca="1">OFFSET(ORÇAMENTO!L$15,$L24,0)</f>
        <v/>
      </c>
      <c r="D24" s="116" t="str">
        <f ca="1">OFFSET(ORÇAMENTO!N$15,$L24,0)</f>
        <v>Serviço</v>
      </c>
      <c r="E24" s="117" t="str">
        <f ca="1">OFFSET(ORÇAMENTO!O$15,$L24,0)</f>
        <v>-</v>
      </c>
      <c r="F24" s="163" t="str">
        <f ca="1">OFFSET(ORÇAMENTO!R$15,$L24,0)</f>
        <v>(Código não identificado nas referências)</v>
      </c>
      <c r="G24" s="164" t="str">
        <f ca="1">IF($D24&lt;&gt;"Serviço","",OFFSET(ORÇAMENTO!S$15,$L24,0))</f>
        <v>-</v>
      </c>
      <c r="H24" s="122" cm="1">
        <f t="array" aca="1" ref="H24" ca="1">IF($D24&lt;&gt;"Serviço",0,IF(ACOMPANHAMENTO="BM",ROUND(OFFSET(ORÇAMENTO!AJ$15,$L24,0),15-13*ORÇAMENTO!$AF$7),IF(IFERROR(CÁLCULO.FrentesPreenchidas,0)=0,0,SUM(ROUND(OFFSET($P24,0,1,1,CÁLCULO.FrentesPreenchidas),15-13*ORÇAMENTO!$AF$7)))))</f>
        <v>1.0000000000000002</v>
      </c>
      <c r="I24" s="468" t="s">
        <v>1248</v>
      </c>
      <c r="J24" s="651" t="str" cm="1">
        <f t="array" aca="1" ref="J24" ca="1">IF(OR(B24&lt;&gt;"S",CÁLCULO.FrentesPreenchidas=0),"",IF(AND(ACOMPANHAMENTO="PLE",AUTOEVENTO="Manual",OR(H24&gt;0,ORÇAMENTO!AC24="QUANT."),OR(K24="",M24=0,N24="")),"►E",IF(AND(ACOMPANHAMENTO="PLE",ORÇAMENTO!AC24="QUANT."),"►Q",IF(AND(ACOMPANHAMENTO="PLE",H24&lt;&gt;SUMPRODUCT(($Q$1:$AQ$1=1)*ROUND(Q24:AQ24,15))),"►S",IF(AND(COUNTIF($P$11:$AQ$11,"▼")=0,H24&gt;0,I24=""),"◄M","")))))</f>
        <v/>
      </c>
      <c r="K24" s="652" t="s">
        <v>1251</v>
      </c>
      <c r="L24" s="165">
        <f t="shared" ca="1" si="12"/>
        <v>9</v>
      </c>
      <c r="M24" s="166">
        <f ca="1">IF($D24&lt;&gt;"Serviço","",
          IF(AUTOEVENTO="manual",$A24,
                IF(ISERROR(MATCH($A24,$A$15:OFFSET($A24,-1,0),0)),MAX($M$15:OFFSET(M24,-1,0))+1,
                      INDEX($M$15:OFFSET(M24,-1,0),MATCH($A24,$A$15:OFFSET($A24,-1,0),0)))))</f>
        <v>2</v>
      </c>
      <c r="N24" s="167" t="str">
        <f ca="1">IF($D24&lt;&gt;"Serviço","",
         IF(AUTOEVENTO="Manual",
                IF($A24=0,"&lt;-- defina o número do agrupador",
                       OFFSET(EVENTOS!$D$15,$A24-$A$15,0)),
                OFFSET($F$15,$A24,0)))</f>
        <v>ADMINISTRAÇÃO DA OBRA</v>
      </c>
      <c r="O24" s="168"/>
      <c r="Q24" s="168">
        <v>0.05</v>
      </c>
      <c r="R24" s="169">
        <v>0.05</v>
      </c>
      <c r="S24" s="169">
        <v>0.05</v>
      </c>
      <c r="T24" s="169">
        <v>0.05</v>
      </c>
      <c r="U24" s="169">
        <v>0.05</v>
      </c>
      <c r="V24" s="169">
        <v>0.05</v>
      </c>
      <c r="W24" s="169">
        <v>0.05</v>
      </c>
      <c r="X24" s="169">
        <v>0.05</v>
      </c>
      <c r="Y24" s="169">
        <v>0.05</v>
      </c>
      <c r="Z24" s="170">
        <v>0.05</v>
      </c>
      <c r="AA24" s="169">
        <v>0.05</v>
      </c>
      <c r="AB24" s="169">
        <v>0.05</v>
      </c>
      <c r="AC24" s="169">
        <v>0.05</v>
      </c>
      <c r="AD24" s="169">
        <v>0.05</v>
      </c>
      <c r="AE24" s="169">
        <v>0.05</v>
      </c>
      <c r="AF24" s="169">
        <v>0.05</v>
      </c>
      <c r="AG24" s="169">
        <v>0.05</v>
      </c>
      <c r="AH24" s="170">
        <v>0.05</v>
      </c>
      <c r="AI24" s="169">
        <v>0.05</v>
      </c>
      <c r="AJ24" s="169">
        <v>0.05</v>
      </c>
      <c r="AK24" s="169"/>
      <c r="AL24" s="169"/>
      <c r="AM24" s="169"/>
      <c r="AN24" s="169"/>
      <c r="AO24" s="169"/>
      <c r="AP24" s="170"/>
      <c r="AR24" s="453">
        <f ca="1">IF(AND($D24="Serviço",AR$12&lt;&gt;0,$H24&gt;0,OR(AUTOEVENTO&lt;&gt;"manual",$M24&lt;&gt;$A$15)),
        IF(Import.TipoArredondamento&lt;&gt;"TransfereGOV",
              ROUND(OFFSET($P24,0,AR$13),15-13*ORÇAMENTO!$AF$7)/$H24*OFFSET(ORÇAMENTO!$X$15,ROW(AR24)-ROW(AR$15),0),
              ROUND(ROUND(OFFSET($P24,0,AR$13),15-13*ORÇAMENTO!$AF$7)*OFFSET(ORÇAMENTO!$W$15,ROW(AR24)-ROW(AR$15),0),15-13*ORÇAMENTO!$AF$11)),
         0)</f>
        <v>0</v>
      </c>
      <c r="AS24" s="453">
        <f ca="1">IF(AND($D24="Serviço",AS$12&lt;&gt;0,$H24&gt;0,OR(AUTOEVENTO&lt;&gt;"manual",$M24&lt;&gt;$A$15)),
        IF(Import.TipoArredondamento&lt;&gt;"TransfereGOV",
              ROUND(OFFSET($P24,0,AS$13),15-13*ORÇAMENTO!$AF$7)/$H24*OFFSET(ORÇAMENTO!$X$15,ROW(AS24)-ROW(AS$15),0),
              ROUND(ROUND(OFFSET($P24,0,AS$13),15-13*ORÇAMENTO!$AF$7)*OFFSET(ORÇAMENTO!$W$15,ROW(AS24)-ROW(AS$15),0),15-13*ORÇAMENTO!$AF$11)),
         0)</f>
        <v>0</v>
      </c>
      <c r="AT24" s="453">
        <f ca="1">IF(AND($D24="Serviço",AT$12&lt;&gt;0,$H24&gt;0,OR(AUTOEVENTO&lt;&gt;"manual",$M24&lt;&gt;$A$15)),
        IF(Import.TipoArredondamento&lt;&gt;"TransfereGOV",
              ROUND(OFFSET($P24,0,AT$13),15-13*ORÇAMENTO!$AF$7)/$H24*OFFSET(ORÇAMENTO!$X$15,ROW(AT24)-ROW(AT$15),0),
              ROUND(ROUND(OFFSET($P24,0,AT$13),15-13*ORÇAMENTO!$AF$7)*OFFSET(ORÇAMENTO!$W$15,ROW(AT24)-ROW(AT$15),0),15-13*ORÇAMENTO!$AF$11)),
         0)</f>
        <v>0</v>
      </c>
      <c r="AU24" s="453">
        <f ca="1">IF(AND($D24="Serviço",AU$12&lt;&gt;0,$H24&gt;0,OR(AUTOEVENTO&lt;&gt;"manual",$M24&lt;&gt;$A$15)),
        IF(Import.TipoArredondamento&lt;&gt;"TransfereGOV",
              ROUND(OFFSET($P24,0,AU$13),15-13*ORÇAMENTO!$AF$7)/$H24*OFFSET(ORÇAMENTO!$X$15,ROW(AU24)-ROW(AU$15),0),
              ROUND(ROUND(OFFSET($P24,0,AU$13),15-13*ORÇAMENTO!$AF$7)*OFFSET(ORÇAMENTO!$W$15,ROW(AU24)-ROW(AU$15),0),15-13*ORÇAMENTO!$AF$11)),
         0)</f>
        <v>0</v>
      </c>
      <c r="AV24" s="453">
        <f ca="1">IF(AND($D24="Serviço",AV$12&lt;&gt;0,$H24&gt;0,OR(AUTOEVENTO&lt;&gt;"manual",$M24&lt;&gt;$A$15)),
        IF(Import.TipoArredondamento&lt;&gt;"TransfereGOV",
              ROUND(OFFSET($P24,0,AV$13),15-13*ORÇAMENTO!$AF$7)/$H24*OFFSET(ORÇAMENTO!$X$15,ROW(AV24)-ROW(AV$15),0),
              ROUND(ROUND(OFFSET($P24,0,AV$13),15-13*ORÇAMENTO!$AF$7)*OFFSET(ORÇAMENTO!$W$15,ROW(AV24)-ROW(AV$15),0),15-13*ORÇAMENTO!$AF$11)),
         0)</f>
        <v>0</v>
      </c>
      <c r="AW24" s="453">
        <f ca="1">IF(AND($D24="Serviço",AW$12&lt;&gt;0,$H24&gt;0,OR(AUTOEVENTO&lt;&gt;"manual",$M24&lt;&gt;$A$15)),
        IF(Import.TipoArredondamento&lt;&gt;"TransfereGOV",
              ROUND(OFFSET($P24,0,AW$13),15-13*ORÇAMENTO!$AF$7)/$H24*OFFSET(ORÇAMENTO!$X$15,ROW(AW24)-ROW(AW$15),0),
              ROUND(ROUND(OFFSET($P24,0,AW$13),15-13*ORÇAMENTO!$AF$7)*OFFSET(ORÇAMENTO!$W$15,ROW(AW24)-ROW(AW$15),0),15-13*ORÇAMENTO!$AF$11)),
         0)</f>
        <v>0</v>
      </c>
      <c r="AX24" s="453">
        <f ca="1">IF(AND($D24="Serviço",AX$12&lt;&gt;0,$H24&gt;0,OR(AUTOEVENTO&lt;&gt;"manual",$M24&lt;&gt;$A$15)),
        IF(Import.TipoArredondamento&lt;&gt;"TransfereGOV",
              ROUND(OFFSET($P24,0,AX$13),15-13*ORÇAMENTO!$AF$7)/$H24*OFFSET(ORÇAMENTO!$X$15,ROW(AX24)-ROW(AX$15),0),
              ROUND(ROUND(OFFSET($P24,0,AX$13),15-13*ORÇAMENTO!$AF$7)*OFFSET(ORÇAMENTO!$W$15,ROW(AX24)-ROW(AX$15),0),15-13*ORÇAMENTO!$AF$11)),
         0)</f>
        <v>0</v>
      </c>
      <c r="AY24" s="453">
        <f ca="1">IF(AND($D24="Serviço",AY$12&lt;&gt;0,$H24&gt;0,OR(AUTOEVENTO&lt;&gt;"manual",$M24&lt;&gt;$A$15)),
        IF(Import.TipoArredondamento&lt;&gt;"TransfereGOV",
              ROUND(OFFSET($P24,0,AY$13),15-13*ORÇAMENTO!$AF$7)/$H24*OFFSET(ORÇAMENTO!$X$15,ROW(AY24)-ROW(AY$15),0),
              ROUND(ROUND(OFFSET($P24,0,AY$13),15-13*ORÇAMENTO!$AF$7)*OFFSET(ORÇAMENTO!$W$15,ROW(AY24)-ROW(AY$15),0),15-13*ORÇAMENTO!$AF$11)),
         0)</f>
        <v>0</v>
      </c>
      <c r="AZ24" s="453">
        <f ca="1">IF(AND($D24="Serviço",AZ$12&lt;&gt;0,$H24&gt;0,OR(AUTOEVENTO&lt;&gt;"manual",$M24&lt;&gt;$A$15)),
        IF(Import.TipoArredondamento&lt;&gt;"TransfereGOV",
              ROUND(OFFSET($P24,0,AZ$13),15-13*ORÇAMENTO!$AF$7)/$H24*OFFSET(ORÇAMENTO!$X$15,ROW(AZ24)-ROW(AZ$15),0),
              ROUND(ROUND(OFFSET($P24,0,AZ$13),15-13*ORÇAMENTO!$AF$7)*OFFSET(ORÇAMENTO!$W$15,ROW(AZ24)-ROW(AZ$15),0),15-13*ORÇAMENTO!$AF$11)),
         0)</f>
        <v>0</v>
      </c>
      <c r="BA24" s="453">
        <f ca="1">IF(AND($D24="Serviço",BA$12&lt;&gt;0,$H24&gt;0,OR(AUTOEVENTO&lt;&gt;"manual",$M24&lt;&gt;$A$15)),
        IF(Import.TipoArredondamento&lt;&gt;"TransfereGOV",
              ROUND(OFFSET($P24,0,BA$13),15-13*ORÇAMENTO!$AF$7)/$H24*OFFSET(ORÇAMENTO!$X$15,ROW(BA24)-ROW(BA$15),0),
              ROUND(ROUND(OFFSET($P24,0,BA$13),15-13*ORÇAMENTO!$AF$7)*OFFSET(ORÇAMENTO!$W$15,ROW(BA24)-ROW(BA$15),0),15-13*ORÇAMENTO!$AF$11)),
         0)</f>
        <v>0</v>
      </c>
      <c r="BB24" s="453">
        <f ca="1">IF(AND($D24="Serviço",BB$12&lt;&gt;0,$H24&gt;0,OR(AUTOEVENTO&lt;&gt;"manual",$M24&lt;&gt;$A$15)),
        IF(Import.TipoArredondamento&lt;&gt;"TransfereGOV",
              ROUND(OFFSET($P24,0,BB$13),15-13*ORÇAMENTO!$AF$7)/$H24*OFFSET(ORÇAMENTO!$X$15,ROW(BB24)-ROW(BB$15),0),
              ROUND(ROUND(OFFSET($P24,0,BB$13),15-13*ORÇAMENTO!$AF$7)*OFFSET(ORÇAMENTO!$W$15,ROW(BB24)-ROW(BB$15),0),15-13*ORÇAMENTO!$AF$11)),
         0)</f>
        <v>0</v>
      </c>
      <c r="BC24" s="453">
        <f ca="1">IF(AND($D24="Serviço",BC$12&lt;&gt;0,$H24&gt;0,OR(AUTOEVENTO&lt;&gt;"manual",$M24&lt;&gt;$A$15)),
        IF(Import.TipoArredondamento&lt;&gt;"TransfereGOV",
              ROUND(OFFSET($P24,0,BC$13),15-13*ORÇAMENTO!$AF$7)/$H24*OFFSET(ORÇAMENTO!$X$15,ROW(BC24)-ROW(BC$15),0),
              ROUND(ROUND(OFFSET($P24,0,BC$13),15-13*ORÇAMENTO!$AF$7)*OFFSET(ORÇAMENTO!$W$15,ROW(BC24)-ROW(BC$15),0),15-13*ORÇAMENTO!$AF$11)),
         0)</f>
        <v>0</v>
      </c>
      <c r="BD24" s="453">
        <f ca="1">IF(AND($D24="Serviço",BD$12&lt;&gt;0,$H24&gt;0,OR(AUTOEVENTO&lt;&gt;"manual",$M24&lt;&gt;$A$15)),
        IF(Import.TipoArredondamento&lt;&gt;"TransfereGOV",
              ROUND(OFFSET($P24,0,BD$13),15-13*ORÇAMENTO!$AF$7)/$H24*OFFSET(ORÇAMENTO!$X$15,ROW(BD24)-ROW(BD$15),0),
              ROUND(ROUND(OFFSET($P24,0,BD$13),15-13*ORÇAMENTO!$AF$7)*OFFSET(ORÇAMENTO!$W$15,ROW(BD24)-ROW(BD$15),0),15-13*ORÇAMENTO!$AF$11)),
         0)</f>
        <v>0</v>
      </c>
      <c r="BE24" s="453">
        <f ca="1">IF(AND($D24="Serviço",BE$12&lt;&gt;0,$H24&gt;0,OR(AUTOEVENTO&lt;&gt;"manual",$M24&lt;&gt;$A$15)),
        IF(Import.TipoArredondamento&lt;&gt;"TransfereGOV",
              ROUND(OFFSET($P24,0,BE$13),15-13*ORÇAMENTO!$AF$7)/$H24*OFFSET(ORÇAMENTO!$X$15,ROW(BE24)-ROW(BE$15),0),
              ROUND(ROUND(OFFSET($P24,0,BE$13),15-13*ORÇAMENTO!$AF$7)*OFFSET(ORÇAMENTO!$W$15,ROW(BE24)-ROW(BE$15),0),15-13*ORÇAMENTO!$AF$11)),
         0)</f>
        <v>0</v>
      </c>
      <c r="BF24" s="453">
        <f ca="1">IF(AND($D24="Serviço",BF$12&lt;&gt;0,$H24&gt;0,OR(AUTOEVENTO&lt;&gt;"manual",$M24&lt;&gt;$A$15)),
        IF(Import.TipoArredondamento&lt;&gt;"TransfereGOV",
              ROUND(OFFSET($P24,0,BF$13),15-13*ORÇAMENTO!$AF$7)/$H24*OFFSET(ORÇAMENTO!$X$15,ROW(BF24)-ROW(BF$15),0),
              ROUND(ROUND(OFFSET($P24,0,BF$13),15-13*ORÇAMENTO!$AF$7)*OFFSET(ORÇAMENTO!$W$15,ROW(BF24)-ROW(BF$15),0),15-13*ORÇAMENTO!$AF$11)),
         0)</f>
        <v>0</v>
      </c>
      <c r="BG24" s="453">
        <f ca="1">IF(AND($D24="Serviço",BG$12&lt;&gt;0,$H24&gt;0,OR(AUTOEVENTO&lt;&gt;"manual",$M24&lt;&gt;$A$15)),
        IF(Import.TipoArredondamento&lt;&gt;"TransfereGOV",
              ROUND(OFFSET($P24,0,BG$13),15-13*ORÇAMENTO!$AF$7)/$H24*OFFSET(ORÇAMENTO!$X$15,ROW(BG24)-ROW(BG$15),0),
              ROUND(ROUND(OFFSET($P24,0,BG$13),15-13*ORÇAMENTO!$AF$7)*OFFSET(ORÇAMENTO!$W$15,ROW(BG24)-ROW(BG$15),0),15-13*ORÇAMENTO!$AF$11)),
         0)</f>
        <v>0</v>
      </c>
      <c r="BH24" s="453">
        <f ca="1">IF(AND($D24="Serviço",BH$12&lt;&gt;0,$H24&gt;0,OR(AUTOEVENTO&lt;&gt;"manual",$M24&lt;&gt;$A$15)),
        IF(Import.TipoArredondamento&lt;&gt;"TransfereGOV",
              ROUND(OFFSET($P24,0,BH$13),15-13*ORÇAMENTO!$AF$7)/$H24*OFFSET(ORÇAMENTO!$X$15,ROW(BH24)-ROW(BH$15),0),
              ROUND(ROUND(OFFSET($P24,0,BH$13),15-13*ORÇAMENTO!$AF$7)*OFFSET(ORÇAMENTO!$W$15,ROW(BH24)-ROW(BH$15),0),15-13*ORÇAMENTO!$AF$11)),
         0)</f>
        <v>0</v>
      </c>
      <c r="BI24" s="453">
        <f ca="1">IF(AND($D24="Serviço",BI$12&lt;&gt;0,$H24&gt;0,OR(AUTOEVENTO&lt;&gt;"manual",$M24&lt;&gt;$A$15)),
        IF(Import.TipoArredondamento&lt;&gt;"TransfereGOV",
              ROUND(OFFSET($P24,0,BI$13),15-13*ORÇAMENTO!$AF$7)/$H24*OFFSET(ORÇAMENTO!$X$15,ROW(BI24)-ROW(BI$15),0),
              ROUND(ROUND(OFFSET($P24,0,BI$13),15-13*ORÇAMENTO!$AF$7)*OFFSET(ORÇAMENTO!$W$15,ROW(BI24)-ROW(BI$15),0),15-13*ORÇAMENTO!$AF$11)),
         0)</f>
        <v>0</v>
      </c>
      <c r="BJ24" s="453">
        <f ca="1">IF(AND($D24="Serviço",BJ$12&lt;&gt;0,$H24&gt;0,OR(AUTOEVENTO&lt;&gt;"manual",$M24&lt;&gt;$A$15)),
        IF(Import.TipoArredondamento&lt;&gt;"TransfereGOV",
              ROUND(OFFSET($P24,0,BJ$13),15-13*ORÇAMENTO!$AF$7)/$H24*OFFSET(ORÇAMENTO!$X$15,ROW(BJ24)-ROW(BJ$15),0),
              ROUND(ROUND(OFFSET($P24,0,BJ$13),15-13*ORÇAMENTO!$AF$7)*OFFSET(ORÇAMENTO!$W$15,ROW(BJ24)-ROW(BJ$15),0),15-13*ORÇAMENTO!$AF$11)),
         0)</f>
        <v>0</v>
      </c>
      <c r="BK24" s="453">
        <f ca="1">IF(AND($D24="Serviço",BK$12&lt;&gt;0,$H24&gt;0,OR(AUTOEVENTO&lt;&gt;"manual",$M24&lt;&gt;$A$15)),
        IF(Import.TipoArredondamento&lt;&gt;"TransfereGOV",
              ROUND(OFFSET($P24,0,BK$13),15-13*ORÇAMENTO!$AF$7)/$H24*OFFSET(ORÇAMENTO!$X$15,ROW(BK24)-ROW(BK$15),0),
              ROUND(ROUND(OFFSET($P24,0,BK$13),15-13*ORÇAMENTO!$AF$7)*OFFSET(ORÇAMENTO!$W$15,ROW(BK24)-ROW(BK$15),0),15-13*ORÇAMENTO!$AF$11)),
         0)</f>
        <v>0</v>
      </c>
      <c r="BL24" s="453">
        <f ca="1">IF(AND($D24="Serviço",BL$12&lt;&gt;0,$H24&gt;0,OR(AUTOEVENTO&lt;&gt;"manual",$M24&lt;&gt;$A$15)),
        IF(Import.TipoArredondamento&lt;&gt;"TransfereGOV",
              ROUND(OFFSET($P24,0,BL$13),15-13*ORÇAMENTO!$AF$7)/$H24*OFFSET(ORÇAMENTO!$X$15,ROW(BL24)-ROW(BL$15),0),
              ROUND(ROUND(OFFSET($P24,0,BL$13),15-13*ORÇAMENTO!$AF$7)*OFFSET(ORÇAMENTO!$W$15,ROW(BL24)-ROW(BL$15),0),15-13*ORÇAMENTO!$AF$11)),
         0)</f>
        <v>0</v>
      </c>
      <c r="BM24" s="453">
        <f ca="1">IF(AND($D24="Serviço",BM$12&lt;&gt;0,$H24&gt;0,OR(AUTOEVENTO&lt;&gt;"manual",$M24&lt;&gt;$A$15)),
        IF(Import.TipoArredondamento&lt;&gt;"TransfereGOV",
              ROUND(OFFSET($P24,0,BM$13),15-13*ORÇAMENTO!$AF$7)/$H24*OFFSET(ORÇAMENTO!$X$15,ROW(BM24)-ROW(BM$15),0),
              ROUND(ROUND(OFFSET($P24,0,BM$13),15-13*ORÇAMENTO!$AF$7)*OFFSET(ORÇAMENTO!$W$15,ROW(BM24)-ROW(BM$15),0),15-13*ORÇAMENTO!$AF$11)),
         0)</f>
        <v>0</v>
      </c>
      <c r="BN24" s="453">
        <f ca="1">IF(AND($D24="Serviço",BN$12&lt;&gt;0,$H24&gt;0,OR(AUTOEVENTO&lt;&gt;"manual",$M24&lt;&gt;$A$15)),
        IF(Import.TipoArredondamento&lt;&gt;"TransfereGOV",
              ROUND(OFFSET($P24,0,BN$13),15-13*ORÇAMENTO!$AF$7)/$H24*OFFSET(ORÇAMENTO!$X$15,ROW(BN24)-ROW(BN$15),0),
              ROUND(ROUND(OFFSET($P24,0,BN$13),15-13*ORÇAMENTO!$AF$7)*OFFSET(ORÇAMENTO!$W$15,ROW(BN24)-ROW(BN$15),0),15-13*ORÇAMENTO!$AF$11)),
         0)</f>
        <v>0</v>
      </c>
      <c r="BO24" s="453">
        <f ca="1">IF(AND($D24="Serviço",BO$12&lt;&gt;0,$H24&gt;0,OR(AUTOEVENTO&lt;&gt;"manual",$M24&lt;&gt;$A$15)),
        IF(Import.TipoArredondamento&lt;&gt;"TransfereGOV",
              ROUND(OFFSET($P24,0,BO$13),15-13*ORÇAMENTO!$AF$7)/$H24*OFFSET(ORÇAMENTO!$X$15,ROW(BO24)-ROW(BO$15),0),
              ROUND(ROUND(OFFSET($P24,0,BO$13),15-13*ORÇAMENTO!$AF$7)*OFFSET(ORÇAMENTO!$W$15,ROW(BO24)-ROW(BO$15),0),15-13*ORÇAMENTO!$AF$11)),
         0)</f>
        <v>0</v>
      </c>
      <c r="BP24" s="453">
        <f ca="1">IF(AND($D24="Serviço",BP$12&lt;&gt;0,$H24&gt;0,OR(AUTOEVENTO&lt;&gt;"manual",$M24&lt;&gt;$A$15)),
        IF(Import.TipoArredondamento&lt;&gt;"TransfereGOV",
              ROUND(OFFSET($P24,0,BP$13),15-13*ORÇAMENTO!$AF$7)/$H24*OFFSET(ORÇAMENTO!$X$15,ROW(BP24)-ROW(BP$15),0),
              ROUND(ROUND(OFFSET($P24,0,BP$13),15-13*ORÇAMENTO!$AF$7)*OFFSET(ORÇAMENTO!$W$15,ROW(BP24)-ROW(BP$15),0),15-13*ORÇAMENTO!$AF$11)),
         0)</f>
        <v>0</v>
      </c>
      <c r="BQ24" s="453">
        <f ca="1">IF(AND($D24="Serviço",BQ$12&lt;&gt;0,$H24&gt;0,OR(AUTOEVENTO&lt;&gt;"manual",$M24&lt;&gt;$A$15)),
        IF(Import.TipoArredondamento&lt;&gt;"TransfereGOV",
              ROUND(OFFSET($P24,0,BQ$13),15-13*ORÇAMENTO!$AF$7)/$H24*OFFSET(ORÇAMENTO!$X$15,ROW(BQ24)-ROW(BQ$15),0),
              ROUND(ROUND(OFFSET($P24,0,BQ$13),15-13*ORÇAMENTO!$AF$7)*OFFSET(ORÇAMENTO!$W$15,ROW(BQ24)-ROW(BQ$15),0),15-13*ORÇAMENTO!$AF$11)),
         0)</f>
        <v>0</v>
      </c>
      <c r="BS24" s="171">
        <f ca="1">IF(OR($D24&lt;&gt;"Serviço",AND(AUTOEVENTO="Manual",$M24=$A$15)),0,
         IF(OFFSET(CRONOPLE!$F$15,$M24-$A$15,BS$13)=0,10^12,OFFSET(CRONOPLE!$F$15,$M24-$A$15,BS$13)))</f>
        <v>1</v>
      </c>
      <c r="BT24" s="171">
        <f ca="1">IF(OR($D24&lt;&gt;"Serviço",AND(AUTOEVENTO="Manual",$M24=$A$15)),0,
         IF(OFFSET(CRONOPLE!$F$15,$M24-$A$15,BT$13)=0,10^12,OFFSET(CRONOPLE!$F$15,$M24-$A$15,BT$13)))</f>
        <v>2</v>
      </c>
      <c r="BU24" s="171">
        <f ca="1">IF(OR($D24&lt;&gt;"Serviço",AND(AUTOEVENTO="Manual",$M24=$A$15)),0,
         IF(OFFSET(CRONOPLE!$F$15,$M24-$A$15,BU$13)=0,10^12,OFFSET(CRONOPLE!$F$15,$M24-$A$15,BU$13)))</f>
        <v>3</v>
      </c>
      <c r="BV24" s="171">
        <f ca="1">IF(OR($D24&lt;&gt;"Serviço",AND(AUTOEVENTO="Manual",$M24=$A$15)),0,
         IF(OFFSET(CRONOPLE!$F$15,$M24-$A$15,BV$13)=0,10^12,OFFSET(CRONOPLE!$F$15,$M24-$A$15,BV$13)))</f>
        <v>4</v>
      </c>
      <c r="BW24" s="171">
        <f ca="1">IF(OR($D24&lt;&gt;"Serviço",AND(AUTOEVENTO="Manual",$M24=$A$15)),0,
         IF(OFFSET(CRONOPLE!$F$15,$M24-$A$15,BW$13)=0,10^12,OFFSET(CRONOPLE!$F$15,$M24-$A$15,BW$13)))</f>
        <v>5</v>
      </c>
      <c r="BX24" s="171">
        <f ca="1">IF(OR($D24&lt;&gt;"Serviço",AND(AUTOEVENTO="Manual",$M24=$A$15)),0,
         IF(OFFSET(CRONOPLE!$F$15,$M24-$A$15,BX$13)=0,10^12,OFFSET(CRONOPLE!$F$15,$M24-$A$15,BX$13)))</f>
        <v>6</v>
      </c>
      <c r="BY24" s="171">
        <f ca="1">IF(OR($D24&lt;&gt;"Serviço",AND(AUTOEVENTO="Manual",$M24=$A$15)),0,
         IF(OFFSET(CRONOPLE!$F$15,$M24-$A$15,BY$13)=0,10^12,OFFSET(CRONOPLE!$F$15,$M24-$A$15,BY$13)))</f>
        <v>7</v>
      </c>
      <c r="BZ24" s="171">
        <f ca="1">IF(OR($D24&lt;&gt;"Serviço",AND(AUTOEVENTO="Manual",$M24=$A$15)),0,
         IF(OFFSET(CRONOPLE!$F$15,$M24-$A$15,BZ$13)=0,10^12,OFFSET(CRONOPLE!$F$15,$M24-$A$15,BZ$13)))</f>
        <v>8</v>
      </c>
      <c r="CA24" s="171">
        <f ca="1">IF(OR($D24&lt;&gt;"Serviço",AND(AUTOEVENTO="Manual",$M24=$A$15)),0,
         IF(OFFSET(CRONOPLE!$F$15,$M24-$A$15,CA$13)=0,10^12,OFFSET(CRONOPLE!$F$15,$M24-$A$15,CA$13)))</f>
        <v>9</v>
      </c>
      <c r="CB24" s="171">
        <f ca="1">IF(OR($D24&lt;&gt;"Serviço",AND(AUTOEVENTO="Manual",$M24=$A$15)),0,
         IF(OFFSET(CRONOPLE!$F$15,$M24-$A$15,CB$13)=0,10^12,OFFSET(CRONOPLE!$F$15,$M24-$A$15,CB$13)))</f>
        <v>10</v>
      </c>
      <c r="CC24" s="171">
        <f ca="1">IF(OR($D24&lt;&gt;"Serviço",AND(AUTOEVENTO="Manual",$M24=$A$15)),0,
         IF(OFFSET(CRONOPLE!$F$15,$M24-$A$15,CC$13)=0,10^12,OFFSET(CRONOPLE!$F$15,$M24-$A$15,CC$13)))</f>
        <v>11</v>
      </c>
      <c r="CD24" s="171">
        <f ca="1">IF(OR($D24&lt;&gt;"Serviço",AND(AUTOEVENTO="Manual",$M24=$A$15)),0,
         IF(OFFSET(CRONOPLE!$F$15,$M24-$A$15,CD$13)=0,10^12,OFFSET(CRONOPLE!$F$15,$M24-$A$15,CD$13)))</f>
        <v>12</v>
      </c>
      <c r="CE24" s="171">
        <f ca="1">IF(OR($D24&lt;&gt;"Serviço",AND(AUTOEVENTO="Manual",$M24=$A$15)),0,
         IF(OFFSET(CRONOPLE!$F$15,$M24-$A$15,CE$13)=0,10^12,OFFSET(CRONOPLE!$F$15,$M24-$A$15,CE$13)))</f>
        <v>13</v>
      </c>
      <c r="CF24" s="171">
        <f ca="1">IF(OR($D24&lt;&gt;"Serviço",AND(AUTOEVENTO="Manual",$M24=$A$15)),0,
         IF(OFFSET(CRONOPLE!$F$15,$M24-$A$15,CF$13)=0,10^12,OFFSET(CRONOPLE!$F$15,$M24-$A$15,CF$13)))</f>
        <v>14</v>
      </c>
      <c r="CG24" s="171">
        <f ca="1">IF(OR($D24&lt;&gt;"Serviço",AND(AUTOEVENTO="Manual",$M24=$A$15)),0,
         IF(OFFSET(CRONOPLE!$F$15,$M24-$A$15,CG$13)=0,10^12,OFFSET(CRONOPLE!$F$15,$M24-$A$15,CG$13)))</f>
        <v>15</v>
      </c>
      <c r="CH24" s="171">
        <f ca="1">IF(OR($D24&lt;&gt;"Serviço",AND(AUTOEVENTO="Manual",$M24=$A$15)),0,
         IF(OFFSET(CRONOPLE!$F$15,$M24-$A$15,CH$13)=0,10^12,OFFSET(CRONOPLE!$F$15,$M24-$A$15,CH$13)))</f>
        <v>16</v>
      </c>
      <c r="CI24" s="171">
        <f ca="1">IF(OR($D24&lt;&gt;"Serviço",AND(AUTOEVENTO="Manual",$M24=$A$15)),0,
         IF(OFFSET(CRONOPLE!$F$15,$M24-$A$15,CI$13)=0,10^12,OFFSET(CRONOPLE!$F$15,$M24-$A$15,CI$13)))</f>
        <v>17</v>
      </c>
      <c r="CJ24" s="171">
        <f ca="1">IF(OR($D24&lt;&gt;"Serviço",AND(AUTOEVENTO="Manual",$M24=$A$15)),0,
         IF(OFFSET(CRONOPLE!$F$15,$M24-$A$15,CJ$13)=0,10^12,OFFSET(CRONOPLE!$F$15,$M24-$A$15,CJ$13)))</f>
        <v>18</v>
      </c>
      <c r="CK24" s="171">
        <f ca="1">IF(OR($D24&lt;&gt;"Serviço",AND(AUTOEVENTO="Manual",$M24=$A$15)),0,
         IF(OFFSET(CRONOPLE!$F$15,$M24-$A$15,CK$13)=0,10^12,OFFSET(CRONOPLE!$F$15,$M24-$A$15,CK$13)))</f>
        <v>19</v>
      </c>
      <c r="CL24" s="171">
        <f ca="1">IF(OR($D24&lt;&gt;"Serviço",AND(AUTOEVENTO="Manual",$M24=$A$15)),0,
         IF(OFFSET(CRONOPLE!$F$15,$M24-$A$15,CL$13)=0,10^12,OFFSET(CRONOPLE!$F$15,$M24-$A$15,CL$13)))</f>
        <v>20</v>
      </c>
      <c r="CM24" s="171">
        <f ca="1">IF(OR($D24&lt;&gt;"Serviço",AND(AUTOEVENTO="Manual",$M24=$A$15)),0,
         IF(OFFSET(CRONOPLE!$F$15,$M24-$A$15,CM$13)=0,10^12,OFFSET(CRONOPLE!$F$15,$M24-$A$15,CM$13)))</f>
        <v>1000000000000</v>
      </c>
      <c r="CN24" s="171">
        <f ca="1">IF(OR($D24&lt;&gt;"Serviço",AND(AUTOEVENTO="Manual",$M24=$A$15)),0,
         IF(OFFSET(CRONOPLE!$F$15,$M24-$A$15,CN$13)=0,10^12,OFFSET(CRONOPLE!$F$15,$M24-$A$15,CN$13)))</f>
        <v>1000000000000</v>
      </c>
      <c r="CO24" s="171">
        <f ca="1">IF(OR($D24&lt;&gt;"Serviço",AND(AUTOEVENTO="Manual",$M24=$A$15)),0,
         IF(OFFSET(CRONOPLE!$F$15,$M24-$A$15,CO$13)=0,10^12,OFFSET(CRONOPLE!$F$15,$M24-$A$15,CO$13)))</f>
        <v>1000000000000</v>
      </c>
      <c r="CP24" s="171">
        <f ca="1">IF(OR($D24&lt;&gt;"Serviço",AND(AUTOEVENTO="Manual",$M24=$A$15)),0,
         IF(OFFSET(CRONOPLE!$F$15,$M24-$A$15,CP$13)=0,10^12,OFFSET(CRONOPLE!$F$15,$M24-$A$15,CP$13)))</f>
        <v>1000000000000</v>
      </c>
      <c r="CQ24" s="171">
        <f ca="1">IF(OR($D24&lt;&gt;"Serviço",AND(AUTOEVENTO="Manual",$M24=$A$15)),0,
         IF(OFFSET(CRONOPLE!$F$15,$M24-$A$15,CQ$13)=0,10^12,OFFSET(CRONOPLE!$F$15,$M24-$A$15,CQ$13)))</f>
        <v>1000000000000</v>
      </c>
      <c r="CR24" s="171">
        <f ca="1">IF(OR($D24&lt;&gt;"Serviço",AND(AUTOEVENTO="Manual",$M24=$A$15)),0,
         IF(OFFSET(CRONOPLE!$F$15,$M24-$A$15,CR$13)=0,10^12,OFFSET(CRONOPLE!$F$15,$M24-$A$15,CR$13)))</f>
        <v>1000000000000</v>
      </c>
      <c r="CT24" s="172" cm="1">
        <f t="array" aca="1" ref="CT24" ca="1">IF(OR($D24&lt;&gt;"Serviço",AND(AUTOEVENTO="Manual",$M24=$A$15),$M24&gt;(ROW(PLE.lastrow)-ROW(PLE.firstrow))),0,
           IF(OFFSET(PLE!$G$15,$M24-$A$15,CT$13)="",10^12,OFFSET(PLE!$G$15,$M24-$A$15,CT$13)))</f>
        <v>1000000000000</v>
      </c>
      <c r="CU24" s="172" cm="1">
        <f t="array" aca="1" ref="CU24" ca="1">IF(OR($D24&lt;&gt;"Serviço",AND(AUTOEVENTO="Manual",$M24=$A$15),$M24&gt;(ROW(PLE.lastrow)-ROW(PLE.firstrow))),0,
           IF(OFFSET(PLE!$G$15,$M24-$A$15,CU$13)="",10^12,OFFSET(PLE!$G$15,$M24-$A$15,CU$13)))</f>
        <v>1000000000000</v>
      </c>
      <c r="CV24" s="172" cm="1">
        <f t="array" aca="1" ref="CV24" ca="1">IF(OR($D24&lt;&gt;"Serviço",AND(AUTOEVENTO="Manual",$M24=$A$15),$M24&gt;(ROW(PLE.lastrow)-ROW(PLE.firstrow))),0,
           IF(OFFSET(PLE!$G$15,$M24-$A$15,CV$13)="",10^12,OFFSET(PLE!$G$15,$M24-$A$15,CV$13)))</f>
        <v>1000000000000</v>
      </c>
      <c r="CW24" s="172" cm="1">
        <f t="array" aca="1" ref="CW24" ca="1">IF(OR($D24&lt;&gt;"Serviço",AND(AUTOEVENTO="Manual",$M24=$A$15),$M24&gt;(ROW(PLE.lastrow)-ROW(PLE.firstrow))),0,
           IF(OFFSET(PLE!$G$15,$M24-$A$15,CW$13)="",10^12,OFFSET(PLE!$G$15,$M24-$A$15,CW$13)))</f>
        <v>1000000000000</v>
      </c>
      <c r="CX24" s="172" cm="1">
        <f t="array" aca="1" ref="CX24" ca="1">IF(OR($D24&lt;&gt;"Serviço",AND(AUTOEVENTO="Manual",$M24=$A$15),$M24&gt;(ROW(PLE.lastrow)-ROW(PLE.firstrow))),0,
           IF(OFFSET(PLE!$G$15,$M24-$A$15,CX$13)="",10^12,OFFSET(PLE!$G$15,$M24-$A$15,CX$13)))</f>
        <v>1000000000000</v>
      </c>
      <c r="CY24" s="172" cm="1">
        <f t="array" aca="1" ref="CY24" ca="1">IF(OR($D24&lt;&gt;"Serviço",AND(AUTOEVENTO="Manual",$M24=$A$15),$M24&gt;(ROW(PLE.lastrow)-ROW(PLE.firstrow))),0,
           IF(OFFSET(PLE!$G$15,$M24-$A$15,CY$13)="",10^12,OFFSET(PLE!$G$15,$M24-$A$15,CY$13)))</f>
        <v>1000000000000</v>
      </c>
      <c r="CZ24" s="172" cm="1">
        <f t="array" aca="1" ref="CZ24" ca="1">IF(OR($D24&lt;&gt;"Serviço",AND(AUTOEVENTO="Manual",$M24=$A$15),$M24&gt;(ROW(PLE.lastrow)-ROW(PLE.firstrow))),0,
           IF(OFFSET(PLE!$G$15,$M24-$A$15,CZ$13)="",10^12,OFFSET(PLE!$G$15,$M24-$A$15,CZ$13)))</f>
        <v>1000000000000</v>
      </c>
      <c r="DA24" s="172" cm="1">
        <f t="array" aca="1" ref="DA24" ca="1">IF(OR($D24&lt;&gt;"Serviço",AND(AUTOEVENTO="Manual",$M24=$A$15),$M24&gt;(ROW(PLE.lastrow)-ROW(PLE.firstrow))),0,
           IF(OFFSET(PLE!$G$15,$M24-$A$15,DA$13)="",10^12,OFFSET(PLE!$G$15,$M24-$A$15,DA$13)))</f>
        <v>1000000000000</v>
      </c>
      <c r="DB24" s="172" cm="1">
        <f t="array" aca="1" ref="DB24" ca="1">IF(OR($D24&lt;&gt;"Serviço",AND(AUTOEVENTO="Manual",$M24=$A$15),$M24&gt;(ROW(PLE.lastrow)-ROW(PLE.firstrow))),0,
           IF(OFFSET(PLE!$G$15,$M24-$A$15,DB$13)="",10^12,OFFSET(PLE!$G$15,$M24-$A$15,DB$13)))</f>
        <v>1000000000000</v>
      </c>
      <c r="DC24" s="172" cm="1">
        <f t="array" aca="1" ref="DC24" ca="1">IF(OR($D24&lt;&gt;"Serviço",AND(AUTOEVENTO="Manual",$M24=$A$15),$M24&gt;(ROW(PLE.lastrow)-ROW(PLE.firstrow))),0,
           IF(OFFSET(PLE!$G$15,$M24-$A$15,DC$13)="",10^12,OFFSET(PLE!$G$15,$M24-$A$15,DC$13)))</f>
        <v>1000000000000</v>
      </c>
      <c r="DD24" s="172" cm="1">
        <f t="array" aca="1" ref="DD24" ca="1">IF(OR($D24&lt;&gt;"Serviço",AND(AUTOEVENTO="Manual",$M24=$A$15),$M24&gt;(ROW(PLE.lastrow)-ROW(PLE.firstrow))),0,
           IF(OFFSET(PLE!$G$15,$M24-$A$15,DD$13)="",10^12,OFFSET(PLE!$G$15,$M24-$A$15,DD$13)))</f>
        <v>1000000000000</v>
      </c>
      <c r="DE24" s="172" cm="1">
        <f t="array" aca="1" ref="DE24" ca="1">IF(OR($D24&lt;&gt;"Serviço",AND(AUTOEVENTO="Manual",$M24=$A$15),$M24&gt;(ROW(PLE.lastrow)-ROW(PLE.firstrow))),0,
           IF(OFFSET(PLE!$G$15,$M24-$A$15,DE$13)="",10^12,OFFSET(PLE!$G$15,$M24-$A$15,DE$13)))</f>
        <v>1000000000000</v>
      </c>
      <c r="DF24" s="172" cm="1">
        <f t="array" aca="1" ref="DF24" ca="1">IF(OR($D24&lt;&gt;"Serviço",AND(AUTOEVENTO="Manual",$M24=$A$15),$M24&gt;(ROW(PLE.lastrow)-ROW(PLE.firstrow))),0,
           IF(OFFSET(PLE!$G$15,$M24-$A$15,DF$13)="",10^12,OFFSET(PLE!$G$15,$M24-$A$15,DF$13)))</f>
        <v>1000000000000</v>
      </c>
      <c r="DG24" s="172" cm="1">
        <f t="array" aca="1" ref="DG24" ca="1">IF(OR($D24&lt;&gt;"Serviço",AND(AUTOEVENTO="Manual",$M24=$A$15),$M24&gt;(ROW(PLE.lastrow)-ROW(PLE.firstrow))),0,
           IF(OFFSET(PLE!$G$15,$M24-$A$15,DG$13)="",10^12,OFFSET(PLE!$G$15,$M24-$A$15,DG$13)))</f>
        <v>1000000000000</v>
      </c>
      <c r="DH24" s="172" cm="1">
        <f t="array" aca="1" ref="DH24" ca="1">IF(OR($D24&lt;&gt;"Serviço",AND(AUTOEVENTO="Manual",$M24=$A$15),$M24&gt;(ROW(PLE.lastrow)-ROW(PLE.firstrow))),0,
           IF(OFFSET(PLE!$G$15,$M24-$A$15,DH$13)="",10^12,OFFSET(PLE!$G$15,$M24-$A$15,DH$13)))</f>
        <v>1000000000000</v>
      </c>
      <c r="DI24" s="172" cm="1">
        <f t="array" aca="1" ref="DI24" ca="1">IF(OR($D24&lt;&gt;"Serviço",AND(AUTOEVENTO="Manual",$M24=$A$15),$M24&gt;(ROW(PLE.lastrow)-ROW(PLE.firstrow))),0,
           IF(OFFSET(PLE!$G$15,$M24-$A$15,DI$13)="",10^12,OFFSET(PLE!$G$15,$M24-$A$15,DI$13)))</f>
        <v>1000000000000</v>
      </c>
      <c r="DJ24" s="172" cm="1">
        <f t="array" aca="1" ref="DJ24" ca="1">IF(OR($D24&lt;&gt;"Serviço",AND(AUTOEVENTO="Manual",$M24=$A$15),$M24&gt;(ROW(PLE.lastrow)-ROW(PLE.firstrow))),0,
           IF(OFFSET(PLE!$G$15,$M24-$A$15,DJ$13)="",10^12,OFFSET(PLE!$G$15,$M24-$A$15,DJ$13)))</f>
        <v>1000000000000</v>
      </c>
      <c r="DK24" s="172" cm="1">
        <f t="array" aca="1" ref="DK24" ca="1">IF(OR($D24&lt;&gt;"Serviço",AND(AUTOEVENTO="Manual",$M24=$A$15),$M24&gt;(ROW(PLE.lastrow)-ROW(PLE.firstrow))),0,
           IF(OFFSET(PLE!$G$15,$M24-$A$15,DK$13)="",10^12,OFFSET(PLE!$G$15,$M24-$A$15,DK$13)))</f>
        <v>1000000000000</v>
      </c>
      <c r="DL24" s="172" cm="1">
        <f t="array" aca="1" ref="DL24" ca="1">IF(OR($D24&lt;&gt;"Serviço",AND(AUTOEVENTO="Manual",$M24=$A$15),$M24&gt;(ROW(PLE.lastrow)-ROW(PLE.firstrow))),0,
           IF(OFFSET(PLE!$G$15,$M24-$A$15,DL$13)="",10^12,OFFSET(PLE!$G$15,$M24-$A$15,DL$13)))</f>
        <v>1000000000000</v>
      </c>
      <c r="DM24" s="172" cm="1">
        <f t="array" aca="1" ref="DM24" ca="1">IF(OR($D24&lt;&gt;"Serviço",AND(AUTOEVENTO="Manual",$M24=$A$15),$M24&gt;(ROW(PLE.lastrow)-ROW(PLE.firstrow))),0,
           IF(OFFSET(PLE!$G$15,$M24-$A$15,DM$13)="",10^12,OFFSET(PLE!$G$15,$M24-$A$15,DM$13)))</f>
        <v>1000000000000</v>
      </c>
      <c r="DN24" s="172" cm="1">
        <f t="array" aca="1" ref="DN24" ca="1">IF(OR($D24&lt;&gt;"Serviço",AND(AUTOEVENTO="Manual",$M24=$A$15),$M24&gt;(ROW(PLE.lastrow)-ROW(PLE.firstrow))),0,
           IF(OFFSET(PLE!$G$15,$M24-$A$15,DN$13)="",10^12,OFFSET(PLE!$G$15,$M24-$A$15,DN$13)))</f>
        <v>1000000000000</v>
      </c>
      <c r="DO24" s="172" cm="1">
        <f t="array" aca="1" ref="DO24" ca="1">IF(OR($D24&lt;&gt;"Serviço",AND(AUTOEVENTO="Manual",$M24=$A$15),$M24&gt;(ROW(PLE.lastrow)-ROW(PLE.firstrow))),0,
           IF(OFFSET(PLE!$G$15,$M24-$A$15,DO$13)="",10^12,OFFSET(PLE!$G$15,$M24-$A$15,DO$13)))</f>
        <v>1000000000000</v>
      </c>
      <c r="DP24" s="172" cm="1">
        <f t="array" aca="1" ref="DP24" ca="1">IF(OR($D24&lt;&gt;"Serviço",AND(AUTOEVENTO="Manual",$M24=$A$15),$M24&gt;(ROW(PLE.lastrow)-ROW(PLE.firstrow))),0,
           IF(OFFSET(PLE!$G$15,$M24-$A$15,DP$13)="",10^12,OFFSET(PLE!$G$15,$M24-$A$15,DP$13)))</f>
        <v>1000000000000</v>
      </c>
      <c r="DQ24" s="172" cm="1">
        <f t="array" aca="1" ref="DQ24" ca="1">IF(OR($D24&lt;&gt;"Serviço",AND(AUTOEVENTO="Manual",$M24=$A$15),$M24&gt;(ROW(PLE.lastrow)-ROW(PLE.firstrow))),0,
           IF(OFFSET(PLE!$G$15,$M24-$A$15,DQ$13)="",10^12,OFFSET(PLE!$G$15,$M24-$A$15,DQ$13)))</f>
        <v>1000000000000</v>
      </c>
      <c r="DR24" s="172" cm="1">
        <f t="array" aca="1" ref="DR24" ca="1">IF(OR($D24&lt;&gt;"Serviço",AND(AUTOEVENTO="Manual",$M24=$A$15),$M24&gt;(ROW(PLE.lastrow)-ROW(PLE.firstrow))),0,
           IF(OFFSET(PLE!$G$15,$M24-$A$15,DR$13)="",10^12,OFFSET(PLE!$G$15,$M24-$A$15,DR$13)))</f>
        <v>1000000000000</v>
      </c>
      <c r="DS24" s="172" cm="1">
        <f t="array" aca="1" ref="DS24" ca="1">IF(OR($D24&lt;&gt;"Serviço",AND(AUTOEVENTO="Manual",$M24=$A$15),$M24&gt;(ROW(PLE.lastrow)-ROW(PLE.firstrow))),0,
           IF(OFFSET(PLE!$G$15,$M24-$A$15,DS$13)="",10^12,OFFSET(PLE!$G$15,$M24-$A$15,DS$13)))</f>
        <v>1000000000000</v>
      </c>
    </row>
    <row r="25" spans="1:123" ht="12.75" x14ac:dyDescent="0.2">
      <c r="A25" s="7">
        <f t="shared" ca="1" si="11"/>
        <v>0</v>
      </c>
      <c r="B25" s="7">
        <f ca="1">OFFSET(ORÇAMENTO!C$15,$L25,0)</f>
        <v>1</v>
      </c>
      <c r="C25" s="7" t="str">
        <f ca="1">OFFSET(ORÇAMENTO!L$15,$L25,0)</f>
        <v>F</v>
      </c>
      <c r="D25" s="116" t="str">
        <f ca="1">OFFSET(ORÇAMENTO!N$15,$L25,0)</f>
        <v>Meta</v>
      </c>
      <c r="E25" s="117" t="str">
        <f ca="1">OFFSET(ORÇAMENTO!O$15,$L25,0)</f>
        <v>3.</v>
      </c>
      <c r="F25" s="163" t="str">
        <f ca="1">OFFSET(ORÇAMENTO!R$15,$L25,0)</f>
        <v>FUNDAÇÕES</v>
      </c>
      <c r="G25" s="164" t="str">
        <f ca="1">IF($D25&lt;&gt;"Serviço","",OFFSET(ORÇAMENTO!S$15,$L25,0))</f>
        <v/>
      </c>
      <c r="H25" s="122" cm="1">
        <f t="array" aca="1" ref="H25" ca="1">IF($D25&lt;&gt;"Serviço",0,IF(ACOMPANHAMENTO="BM",ROUND(OFFSET(ORÇAMENTO!AJ$15,$L25,0),15-13*ORÇAMENTO!$AF$7),IF(IFERROR(CÁLCULO.FrentesPreenchidas,0)=0,0,SUM(ROUND(OFFSET($P25,0,1,1,CÁLCULO.FrentesPreenchidas),15-13*ORÇAMENTO!$AF$7)))))</f>
        <v>0</v>
      </c>
      <c r="I25" s="468"/>
      <c r="J25" s="651" t="str" cm="1">
        <f t="array" aca="1" ref="J25" ca="1">IF(OR(B25&lt;&gt;"S",CÁLCULO.FrentesPreenchidas=0),"",IF(AND(ACOMPANHAMENTO="PLE",AUTOEVENTO="Manual",OR(H25&gt;0,ORÇAMENTO!AC25="QUANT."),OR(K25="",M25=0,N25="")),"►E",IF(AND(ACOMPANHAMENTO="PLE",ORÇAMENTO!AC25="QUANT."),"►Q",IF(AND(ACOMPANHAMENTO="PLE",H25&lt;&gt;SUMPRODUCT(($Q$1:$AQ$1=1)*ROUND(Q25:AQ25,15))),"►S",IF(AND(COUNTIF($P$11:$AQ$11,"▼")=0,H25&gt;0,I25=""),"◄M","")))))</f>
        <v/>
      </c>
      <c r="K25" s="652"/>
      <c r="L25" s="165">
        <f t="shared" ca="1" si="12"/>
        <v>10</v>
      </c>
      <c r="M25" s="166" t="str">
        <f ca="1">IF($D25&lt;&gt;"Serviço","",
          IF(AUTOEVENTO="manual",$A25,
                IF(ISERROR(MATCH($A25,$A$15:OFFSET($A25,-1,0),0)),MAX($M$15:OFFSET(M25,-1,0))+1,
                      INDEX($M$15:OFFSET(M25,-1,0),MATCH($A25,$A$15:OFFSET($A25,-1,0),0)))))</f>
        <v/>
      </c>
      <c r="N25" s="167" t="str">
        <f ca="1">IF($D25&lt;&gt;"Serviço","",
         IF(AUTOEVENTO="Manual",
                IF($A25=0,"&lt;-- defina o número do agrupador",
                       OFFSET(EVENTOS!$D$15,$A25-$A$15,0)),
                OFFSET($F$15,$A25,0)))</f>
        <v/>
      </c>
      <c r="O25" s="168"/>
      <c r="Q25" s="168"/>
      <c r="R25" s="169"/>
      <c r="S25" s="169"/>
      <c r="T25" s="169"/>
      <c r="U25" s="169"/>
      <c r="V25" s="169"/>
      <c r="W25" s="169"/>
      <c r="X25" s="169"/>
      <c r="Y25" s="169"/>
      <c r="Z25" s="170"/>
      <c r="AA25" s="169"/>
      <c r="AB25" s="169"/>
      <c r="AC25" s="169"/>
      <c r="AD25" s="169"/>
      <c r="AE25" s="169"/>
      <c r="AF25" s="169"/>
      <c r="AG25" s="169"/>
      <c r="AH25" s="170"/>
      <c r="AI25" s="169"/>
      <c r="AJ25" s="169"/>
      <c r="AK25" s="169"/>
      <c r="AL25" s="169"/>
      <c r="AM25" s="169"/>
      <c r="AN25" s="169"/>
      <c r="AO25" s="169"/>
      <c r="AP25" s="170"/>
      <c r="AR25" s="453">
        <f ca="1">IF(AND($D25="Serviço",AR$12&lt;&gt;0,$H25&gt;0,OR(AUTOEVENTO&lt;&gt;"manual",$M25&lt;&gt;$A$15)),
        IF(Import.TipoArredondamento&lt;&gt;"TransfereGOV",
              ROUND(OFFSET($P25,0,AR$13),15-13*ORÇAMENTO!$AF$7)/$H25*OFFSET(ORÇAMENTO!$X$15,ROW(AR25)-ROW(AR$15),0),
              ROUND(ROUND(OFFSET($P25,0,AR$13),15-13*ORÇAMENTO!$AF$7)*OFFSET(ORÇAMENTO!$W$15,ROW(AR25)-ROW(AR$15),0),15-13*ORÇAMENTO!$AF$11)),
         0)</f>
        <v>0</v>
      </c>
      <c r="AS25" s="453">
        <f ca="1">IF(AND($D25="Serviço",AS$12&lt;&gt;0,$H25&gt;0,OR(AUTOEVENTO&lt;&gt;"manual",$M25&lt;&gt;$A$15)),
        IF(Import.TipoArredondamento&lt;&gt;"TransfereGOV",
              ROUND(OFFSET($P25,0,AS$13),15-13*ORÇAMENTO!$AF$7)/$H25*OFFSET(ORÇAMENTO!$X$15,ROW(AS25)-ROW(AS$15),0),
              ROUND(ROUND(OFFSET($P25,0,AS$13),15-13*ORÇAMENTO!$AF$7)*OFFSET(ORÇAMENTO!$W$15,ROW(AS25)-ROW(AS$15),0),15-13*ORÇAMENTO!$AF$11)),
         0)</f>
        <v>0</v>
      </c>
      <c r="AT25" s="453">
        <f ca="1">IF(AND($D25="Serviço",AT$12&lt;&gt;0,$H25&gt;0,OR(AUTOEVENTO&lt;&gt;"manual",$M25&lt;&gt;$A$15)),
        IF(Import.TipoArredondamento&lt;&gt;"TransfereGOV",
              ROUND(OFFSET($P25,0,AT$13),15-13*ORÇAMENTO!$AF$7)/$H25*OFFSET(ORÇAMENTO!$X$15,ROW(AT25)-ROW(AT$15),0),
              ROUND(ROUND(OFFSET($P25,0,AT$13),15-13*ORÇAMENTO!$AF$7)*OFFSET(ORÇAMENTO!$W$15,ROW(AT25)-ROW(AT$15),0),15-13*ORÇAMENTO!$AF$11)),
         0)</f>
        <v>0</v>
      </c>
      <c r="AU25" s="453">
        <f ca="1">IF(AND($D25="Serviço",AU$12&lt;&gt;0,$H25&gt;0,OR(AUTOEVENTO&lt;&gt;"manual",$M25&lt;&gt;$A$15)),
        IF(Import.TipoArredondamento&lt;&gt;"TransfereGOV",
              ROUND(OFFSET($P25,0,AU$13),15-13*ORÇAMENTO!$AF$7)/$H25*OFFSET(ORÇAMENTO!$X$15,ROW(AU25)-ROW(AU$15),0),
              ROUND(ROUND(OFFSET($P25,0,AU$13),15-13*ORÇAMENTO!$AF$7)*OFFSET(ORÇAMENTO!$W$15,ROW(AU25)-ROW(AU$15),0),15-13*ORÇAMENTO!$AF$11)),
         0)</f>
        <v>0</v>
      </c>
      <c r="AV25" s="453">
        <f ca="1">IF(AND($D25="Serviço",AV$12&lt;&gt;0,$H25&gt;0,OR(AUTOEVENTO&lt;&gt;"manual",$M25&lt;&gt;$A$15)),
        IF(Import.TipoArredondamento&lt;&gt;"TransfereGOV",
              ROUND(OFFSET($P25,0,AV$13),15-13*ORÇAMENTO!$AF$7)/$H25*OFFSET(ORÇAMENTO!$X$15,ROW(AV25)-ROW(AV$15),0),
              ROUND(ROUND(OFFSET($P25,0,AV$13),15-13*ORÇAMENTO!$AF$7)*OFFSET(ORÇAMENTO!$W$15,ROW(AV25)-ROW(AV$15),0),15-13*ORÇAMENTO!$AF$11)),
         0)</f>
        <v>0</v>
      </c>
      <c r="AW25" s="453">
        <f ca="1">IF(AND($D25="Serviço",AW$12&lt;&gt;0,$H25&gt;0,OR(AUTOEVENTO&lt;&gt;"manual",$M25&lt;&gt;$A$15)),
        IF(Import.TipoArredondamento&lt;&gt;"TransfereGOV",
              ROUND(OFFSET($P25,0,AW$13),15-13*ORÇAMENTO!$AF$7)/$H25*OFFSET(ORÇAMENTO!$X$15,ROW(AW25)-ROW(AW$15),0),
              ROUND(ROUND(OFFSET($P25,0,AW$13),15-13*ORÇAMENTO!$AF$7)*OFFSET(ORÇAMENTO!$W$15,ROW(AW25)-ROW(AW$15),0),15-13*ORÇAMENTO!$AF$11)),
         0)</f>
        <v>0</v>
      </c>
      <c r="AX25" s="453">
        <f ca="1">IF(AND($D25="Serviço",AX$12&lt;&gt;0,$H25&gt;0,OR(AUTOEVENTO&lt;&gt;"manual",$M25&lt;&gt;$A$15)),
        IF(Import.TipoArredondamento&lt;&gt;"TransfereGOV",
              ROUND(OFFSET($P25,0,AX$13),15-13*ORÇAMENTO!$AF$7)/$H25*OFFSET(ORÇAMENTO!$X$15,ROW(AX25)-ROW(AX$15),0),
              ROUND(ROUND(OFFSET($P25,0,AX$13),15-13*ORÇAMENTO!$AF$7)*OFFSET(ORÇAMENTO!$W$15,ROW(AX25)-ROW(AX$15),0),15-13*ORÇAMENTO!$AF$11)),
         0)</f>
        <v>0</v>
      </c>
      <c r="AY25" s="453">
        <f ca="1">IF(AND($D25="Serviço",AY$12&lt;&gt;0,$H25&gt;0,OR(AUTOEVENTO&lt;&gt;"manual",$M25&lt;&gt;$A$15)),
        IF(Import.TipoArredondamento&lt;&gt;"TransfereGOV",
              ROUND(OFFSET($P25,0,AY$13),15-13*ORÇAMENTO!$AF$7)/$H25*OFFSET(ORÇAMENTO!$X$15,ROW(AY25)-ROW(AY$15),0),
              ROUND(ROUND(OFFSET($P25,0,AY$13),15-13*ORÇAMENTO!$AF$7)*OFFSET(ORÇAMENTO!$W$15,ROW(AY25)-ROW(AY$15),0),15-13*ORÇAMENTO!$AF$11)),
         0)</f>
        <v>0</v>
      </c>
      <c r="AZ25" s="453">
        <f ca="1">IF(AND($D25="Serviço",AZ$12&lt;&gt;0,$H25&gt;0,OR(AUTOEVENTO&lt;&gt;"manual",$M25&lt;&gt;$A$15)),
        IF(Import.TipoArredondamento&lt;&gt;"TransfereGOV",
              ROUND(OFFSET($P25,0,AZ$13),15-13*ORÇAMENTO!$AF$7)/$H25*OFFSET(ORÇAMENTO!$X$15,ROW(AZ25)-ROW(AZ$15),0),
              ROUND(ROUND(OFFSET($P25,0,AZ$13),15-13*ORÇAMENTO!$AF$7)*OFFSET(ORÇAMENTO!$W$15,ROW(AZ25)-ROW(AZ$15),0),15-13*ORÇAMENTO!$AF$11)),
         0)</f>
        <v>0</v>
      </c>
      <c r="BA25" s="453">
        <f ca="1">IF(AND($D25="Serviço",BA$12&lt;&gt;0,$H25&gt;0,OR(AUTOEVENTO&lt;&gt;"manual",$M25&lt;&gt;$A$15)),
        IF(Import.TipoArredondamento&lt;&gt;"TransfereGOV",
              ROUND(OFFSET($P25,0,BA$13),15-13*ORÇAMENTO!$AF$7)/$H25*OFFSET(ORÇAMENTO!$X$15,ROW(BA25)-ROW(BA$15),0),
              ROUND(ROUND(OFFSET($P25,0,BA$13),15-13*ORÇAMENTO!$AF$7)*OFFSET(ORÇAMENTO!$W$15,ROW(BA25)-ROW(BA$15),0),15-13*ORÇAMENTO!$AF$11)),
         0)</f>
        <v>0</v>
      </c>
      <c r="BB25" s="453">
        <f ca="1">IF(AND($D25="Serviço",BB$12&lt;&gt;0,$H25&gt;0,OR(AUTOEVENTO&lt;&gt;"manual",$M25&lt;&gt;$A$15)),
        IF(Import.TipoArredondamento&lt;&gt;"TransfereGOV",
              ROUND(OFFSET($P25,0,BB$13),15-13*ORÇAMENTO!$AF$7)/$H25*OFFSET(ORÇAMENTO!$X$15,ROW(BB25)-ROW(BB$15),0),
              ROUND(ROUND(OFFSET($P25,0,BB$13),15-13*ORÇAMENTO!$AF$7)*OFFSET(ORÇAMENTO!$W$15,ROW(BB25)-ROW(BB$15),0),15-13*ORÇAMENTO!$AF$11)),
         0)</f>
        <v>0</v>
      </c>
      <c r="BC25" s="453">
        <f ca="1">IF(AND($D25="Serviço",BC$12&lt;&gt;0,$H25&gt;0,OR(AUTOEVENTO&lt;&gt;"manual",$M25&lt;&gt;$A$15)),
        IF(Import.TipoArredondamento&lt;&gt;"TransfereGOV",
              ROUND(OFFSET($P25,0,BC$13),15-13*ORÇAMENTO!$AF$7)/$H25*OFFSET(ORÇAMENTO!$X$15,ROW(BC25)-ROW(BC$15),0),
              ROUND(ROUND(OFFSET($P25,0,BC$13),15-13*ORÇAMENTO!$AF$7)*OFFSET(ORÇAMENTO!$W$15,ROW(BC25)-ROW(BC$15),0),15-13*ORÇAMENTO!$AF$11)),
         0)</f>
        <v>0</v>
      </c>
      <c r="BD25" s="453">
        <f ca="1">IF(AND($D25="Serviço",BD$12&lt;&gt;0,$H25&gt;0,OR(AUTOEVENTO&lt;&gt;"manual",$M25&lt;&gt;$A$15)),
        IF(Import.TipoArredondamento&lt;&gt;"TransfereGOV",
              ROUND(OFFSET($P25,0,BD$13),15-13*ORÇAMENTO!$AF$7)/$H25*OFFSET(ORÇAMENTO!$X$15,ROW(BD25)-ROW(BD$15),0),
              ROUND(ROUND(OFFSET($P25,0,BD$13),15-13*ORÇAMENTO!$AF$7)*OFFSET(ORÇAMENTO!$W$15,ROW(BD25)-ROW(BD$15),0),15-13*ORÇAMENTO!$AF$11)),
         0)</f>
        <v>0</v>
      </c>
      <c r="BE25" s="453">
        <f ca="1">IF(AND($D25="Serviço",BE$12&lt;&gt;0,$H25&gt;0,OR(AUTOEVENTO&lt;&gt;"manual",$M25&lt;&gt;$A$15)),
        IF(Import.TipoArredondamento&lt;&gt;"TransfereGOV",
              ROUND(OFFSET($P25,0,BE$13),15-13*ORÇAMENTO!$AF$7)/$H25*OFFSET(ORÇAMENTO!$X$15,ROW(BE25)-ROW(BE$15),0),
              ROUND(ROUND(OFFSET($P25,0,BE$13),15-13*ORÇAMENTO!$AF$7)*OFFSET(ORÇAMENTO!$W$15,ROW(BE25)-ROW(BE$15),0),15-13*ORÇAMENTO!$AF$11)),
         0)</f>
        <v>0</v>
      </c>
      <c r="BF25" s="453">
        <f ca="1">IF(AND($D25="Serviço",BF$12&lt;&gt;0,$H25&gt;0,OR(AUTOEVENTO&lt;&gt;"manual",$M25&lt;&gt;$A$15)),
        IF(Import.TipoArredondamento&lt;&gt;"TransfereGOV",
              ROUND(OFFSET($P25,0,BF$13),15-13*ORÇAMENTO!$AF$7)/$H25*OFFSET(ORÇAMENTO!$X$15,ROW(BF25)-ROW(BF$15),0),
              ROUND(ROUND(OFFSET($P25,0,BF$13),15-13*ORÇAMENTO!$AF$7)*OFFSET(ORÇAMENTO!$W$15,ROW(BF25)-ROW(BF$15),0),15-13*ORÇAMENTO!$AF$11)),
         0)</f>
        <v>0</v>
      </c>
      <c r="BG25" s="453">
        <f ca="1">IF(AND($D25="Serviço",BG$12&lt;&gt;0,$H25&gt;0,OR(AUTOEVENTO&lt;&gt;"manual",$M25&lt;&gt;$A$15)),
        IF(Import.TipoArredondamento&lt;&gt;"TransfereGOV",
              ROUND(OFFSET($P25,0,BG$13),15-13*ORÇAMENTO!$AF$7)/$H25*OFFSET(ORÇAMENTO!$X$15,ROW(BG25)-ROW(BG$15),0),
              ROUND(ROUND(OFFSET($P25,0,BG$13),15-13*ORÇAMENTO!$AF$7)*OFFSET(ORÇAMENTO!$W$15,ROW(BG25)-ROW(BG$15),0),15-13*ORÇAMENTO!$AF$11)),
         0)</f>
        <v>0</v>
      </c>
      <c r="BH25" s="453">
        <f ca="1">IF(AND($D25="Serviço",BH$12&lt;&gt;0,$H25&gt;0,OR(AUTOEVENTO&lt;&gt;"manual",$M25&lt;&gt;$A$15)),
        IF(Import.TipoArredondamento&lt;&gt;"TransfereGOV",
              ROUND(OFFSET($P25,0,BH$13),15-13*ORÇAMENTO!$AF$7)/$H25*OFFSET(ORÇAMENTO!$X$15,ROW(BH25)-ROW(BH$15),0),
              ROUND(ROUND(OFFSET($P25,0,BH$13),15-13*ORÇAMENTO!$AF$7)*OFFSET(ORÇAMENTO!$W$15,ROW(BH25)-ROW(BH$15),0),15-13*ORÇAMENTO!$AF$11)),
         0)</f>
        <v>0</v>
      </c>
      <c r="BI25" s="453">
        <f ca="1">IF(AND($D25="Serviço",BI$12&lt;&gt;0,$H25&gt;0,OR(AUTOEVENTO&lt;&gt;"manual",$M25&lt;&gt;$A$15)),
        IF(Import.TipoArredondamento&lt;&gt;"TransfereGOV",
              ROUND(OFFSET($P25,0,BI$13),15-13*ORÇAMENTO!$AF$7)/$H25*OFFSET(ORÇAMENTO!$X$15,ROW(BI25)-ROW(BI$15),0),
              ROUND(ROUND(OFFSET($P25,0,BI$13),15-13*ORÇAMENTO!$AF$7)*OFFSET(ORÇAMENTO!$W$15,ROW(BI25)-ROW(BI$15),0),15-13*ORÇAMENTO!$AF$11)),
         0)</f>
        <v>0</v>
      </c>
      <c r="BJ25" s="453">
        <f ca="1">IF(AND($D25="Serviço",BJ$12&lt;&gt;0,$H25&gt;0,OR(AUTOEVENTO&lt;&gt;"manual",$M25&lt;&gt;$A$15)),
        IF(Import.TipoArredondamento&lt;&gt;"TransfereGOV",
              ROUND(OFFSET($P25,0,BJ$13),15-13*ORÇAMENTO!$AF$7)/$H25*OFFSET(ORÇAMENTO!$X$15,ROW(BJ25)-ROW(BJ$15),0),
              ROUND(ROUND(OFFSET($P25,0,BJ$13),15-13*ORÇAMENTO!$AF$7)*OFFSET(ORÇAMENTO!$W$15,ROW(BJ25)-ROW(BJ$15),0),15-13*ORÇAMENTO!$AF$11)),
         0)</f>
        <v>0</v>
      </c>
      <c r="BK25" s="453">
        <f ca="1">IF(AND($D25="Serviço",BK$12&lt;&gt;0,$H25&gt;0,OR(AUTOEVENTO&lt;&gt;"manual",$M25&lt;&gt;$A$15)),
        IF(Import.TipoArredondamento&lt;&gt;"TransfereGOV",
              ROUND(OFFSET($P25,0,BK$13),15-13*ORÇAMENTO!$AF$7)/$H25*OFFSET(ORÇAMENTO!$X$15,ROW(BK25)-ROW(BK$15),0),
              ROUND(ROUND(OFFSET($P25,0,BK$13),15-13*ORÇAMENTO!$AF$7)*OFFSET(ORÇAMENTO!$W$15,ROW(BK25)-ROW(BK$15),0),15-13*ORÇAMENTO!$AF$11)),
         0)</f>
        <v>0</v>
      </c>
      <c r="BL25" s="453">
        <f ca="1">IF(AND($D25="Serviço",BL$12&lt;&gt;0,$H25&gt;0,OR(AUTOEVENTO&lt;&gt;"manual",$M25&lt;&gt;$A$15)),
        IF(Import.TipoArredondamento&lt;&gt;"TransfereGOV",
              ROUND(OFFSET($P25,0,BL$13),15-13*ORÇAMENTO!$AF$7)/$H25*OFFSET(ORÇAMENTO!$X$15,ROW(BL25)-ROW(BL$15),0),
              ROUND(ROUND(OFFSET($P25,0,BL$13),15-13*ORÇAMENTO!$AF$7)*OFFSET(ORÇAMENTO!$W$15,ROW(BL25)-ROW(BL$15),0),15-13*ORÇAMENTO!$AF$11)),
         0)</f>
        <v>0</v>
      </c>
      <c r="BM25" s="453">
        <f ca="1">IF(AND($D25="Serviço",BM$12&lt;&gt;0,$H25&gt;0,OR(AUTOEVENTO&lt;&gt;"manual",$M25&lt;&gt;$A$15)),
        IF(Import.TipoArredondamento&lt;&gt;"TransfereGOV",
              ROUND(OFFSET($P25,0,BM$13),15-13*ORÇAMENTO!$AF$7)/$H25*OFFSET(ORÇAMENTO!$X$15,ROW(BM25)-ROW(BM$15),0),
              ROUND(ROUND(OFFSET($P25,0,BM$13),15-13*ORÇAMENTO!$AF$7)*OFFSET(ORÇAMENTO!$W$15,ROW(BM25)-ROW(BM$15),0),15-13*ORÇAMENTO!$AF$11)),
         0)</f>
        <v>0</v>
      </c>
      <c r="BN25" s="453">
        <f ca="1">IF(AND($D25="Serviço",BN$12&lt;&gt;0,$H25&gt;0,OR(AUTOEVENTO&lt;&gt;"manual",$M25&lt;&gt;$A$15)),
        IF(Import.TipoArredondamento&lt;&gt;"TransfereGOV",
              ROUND(OFFSET($P25,0,BN$13),15-13*ORÇAMENTO!$AF$7)/$H25*OFFSET(ORÇAMENTO!$X$15,ROW(BN25)-ROW(BN$15),0),
              ROUND(ROUND(OFFSET($P25,0,BN$13),15-13*ORÇAMENTO!$AF$7)*OFFSET(ORÇAMENTO!$W$15,ROW(BN25)-ROW(BN$15),0),15-13*ORÇAMENTO!$AF$11)),
         0)</f>
        <v>0</v>
      </c>
      <c r="BO25" s="453">
        <f ca="1">IF(AND($D25="Serviço",BO$12&lt;&gt;0,$H25&gt;0,OR(AUTOEVENTO&lt;&gt;"manual",$M25&lt;&gt;$A$15)),
        IF(Import.TipoArredondamento&lt;&gt;"TransfereGOV",
              ROUND(OFFSET($P25,0,BO$13),15-13*ORÇAMENTO!$AF$7)/$H25*OFFSET(ORÇAMENTO!$X$15,ROW(BO25)-ROW(BO$15),0),
              ROUND(ROUND(OFFSET($P25,0,BO$13),15-13*ORÇAMENTO!$AF$7)*OFFSET(ORÇAMENTO!$W$15,ROW(BO25)-ROW(BO$15),0),15-13*ORÇAMENTO!$AF$11)),
         0)</f>
        <v>0</v>
      </c>
      <c r="BP25" s="453">
        <f ca="1">IF(AND($D25="Serviço",BP$12&lt;&gt;0,$H25&gt;0,OR(AUTOEVENTO&lt;&gt;"manual",$M25&lt;&gt;$A$15)),
        IF(Import.TipoArredondamento&lt;&gt;"TransfereGOV",
              ROUND(OFFSET($P25,0,BP$13),15-13*ORÇAMENTO!$AF$7)/$H25*OFFSET(ORÇAMENTO!$X$15,ROW(BP25)-ROW(BP$15),0),
              ROUND(ROUND(OFFSET($P25,0,BP$13),15-13*ORÇAMENTO!$AF$7)*OFFSET(ORÇAMENTO!$W$15,ROW(BP25)-ROW(BP$15),0),15-13*ORÇAMENTO!$AF$11)),
         0)</f>
        <v>0</v>
      </c>
      <c r="BQ25" s="453">
        <f ca="1">IF(AND($D25="Serviço",BQ$12&lt;&gt;0,$H25&gt;0,OR(AUTOEVENTO&lt;&gt;"manual",$M25&lt;&gt;$A$15)),
        IF(Import.TipoArredondamento&lt;&gt;"TransfereGOV",
              ROUND(OFFSET($P25,0,BQ$13),15-13*ORÇAMENTO!$AF$7)/$H25*OFFSET(ORÇAMENTO!$X$15,ROW(BQ25)-ROW(BQ$15),0),
              ROUND(ROUND(OFFSET($P25,0,BQ$13),15-13*ORÇAMENTO!$AF$7)*OFFSET(ORÇAMENTO!$W$15,ROW(BQ25)-ROW(BQ$15),0),15-13*ORÇAMENTO!$AF$11)),
         0)</f>
        <v>0</v>
      </c>
      <c r="BS25" s="171">
        <f ca="1">IF(OR($D25&lt;&gt;"Serviço",AND(AUTOEVENTO="Manual",$M25=$A$15)),0,
         IF(OFFSET(CRONOPLE!$F$15,$M25-$A$15,BS$13)=0,10^12,OFFSET(CRONOPLE!$F$15,$M25-$A$15,BS$13)))</f>
        <v>0</v>
      </c>
      <c r="BT25" s="171">
        <f ca="1">IF(OR($D25&lt;&gt;"Serviço",AND(AUTOEVENTO="Manual",$M25=$A$15)),0,
         IF(OFFSET(CRONOPLE!$F$15,$M25-$A$15,BT$13)=0,10^12,OFFSET(CRONOPLE!$F$15,$M25-$A$15,BT$13)))</f>
        <v>0</v>
      </c>
      <c r="BU25" s="171">
        <f ca="1">IF(OR($D25&lt;&gt;"Serviço",AND(AUTOEVENTO="Manual",$M25=$A$15)),0,
         IF(OFFSET(CRONOPLE!$F$15,$M25-$A$15,BU$13)=0,10^12,OFFSET(CRONOPLE!$F$15,$M25-$A$15,BU$13)))</f>
        <v>0</v>
      </c>
      <c r="BV25" s="171">
        <f ca="1">IF(OR($D25&lt;&gt;"Serviço",AND(AUTOEVENTO="Manual",$M25=$A$15)),0,
         IF(OFFSET(CRONOPLE!$F$15,$M25-$A$15,BV$13)=0,10^12,OFFSET(CRONOPLE!$F$15,$M25-$A$15,BV$13)))</f>
        <v>0</v>
      </c>
      <c r="BW25" s="171">
        <f ca="1">IF(OR($D25&lt;&gt;"Serviço",AND(AUTOEVENTO="Manual",$M25=$A$15)),0,
         IF(OFFSET(CRONOPLE!$F$15,$M25-$A$15,BW$13)=0,10^12,OFFSET(CRONOPLE!$F$15,$M25-$A$15,BW$13)))</f>
        <v>0</v>
      </c>
      <c r="BX25" s="171">
        <f ca="1">IF(OR($D25&lt;&gt;"Serviço",AND(AUTOEVENTO="Manual",$M25=$A$15)),0,
         IF(OFFSET(CRONOPLE!$F$15,$M25-$A$15,BX$13)=0,10^12,OFFSET(CRONOPLE!$F$15,$M25-$A$15,BX$13)))</f>
        <v>0</v>
      </c>
      <c r="BY25" s="171">
        <f ca="1">IF(OR($D25&lt;&gt;"Serviço",AND(AUTOEVENTO="Manual",$M25=$A$15)),0,
         IF(OFFSET(CRONOPLE!$F$15,$M25-$A$15,BY$13)=0,10^12,OFFSET(CRONOPLE!$F$15,$M25-$A$15,BY$13)))</f>
        <v>0</v>
      </c>
      <c r="BZ25" s="171">
        <f ca="1">IF(OR($D25&lt;&gt;"Serviço",AND(AUTOEVENTO="Manual",$M25=$A$15)),0,
         IF(OFFSET(CRONOPLE!$F$15,$M25-$A$15,BZ$13)=0,10^12,OFFSET(CRONOPLE!$F$15,$M25-$A$15,BZ$13)))</f>
        <v>0</v>
      </c>
      <c r="CA25" s="171">
        <f ca="1">IF(OR($D25&lt;&gt;"Serviço",AND(AUTOEVENTO="Manual",$M25=$A$15)),0,
         IF(OFFSET(CRONOPLE!$F$15,$M25-$A$15,CA$13)=0,10^12,OFFSET(CRONOPLE!$F$15,$M25-$A$15,CA$13)))</f>
        <v>0</v>
      </c>
      <c r="CB25" s="171">
        <f ca="1">IF(OR($D25&lt;&gt;"Serviço",AND(AUTOEVENTO="Manual",$M25=$A$15)),0,
         IF(OFFSET(CRONOPLE!$F$15,$M25-$A$15,CB$13)=0,10^12,OFFSET(CRONOPLE!$F$15,$M25-$A$15,CB$13)))</f>
        <v>0</v>
      </c>
      <c r="CC25" s="171">
        <f ca="1">IF(OR($D25&lt;&gt;"Serviço",AND(AUTOEVENTO="Manual",$M25=$A$15)),0,
         IF(OFFSET(CRONOPLE!$F$15,$M25-$A$15,CC$13)=0,10^12,OFFSET(CRONOPLE!$F$15,$M25-$A$15,CC$13)))</f>
        <v>0</v>
      </c>
      <c r="CD25" s="171">
        <f ca="1">IF(OR($D25&lt;&gt;"Serviço",AND(AUTOEVENTO="Manual",$M25=$A$15)),0,
         IF(OFFSET(CRONOPLE!$F$15,$M25-$A$15,CD$13)=0,10^12,OFFSET(CRONOPLE!$F$15,$M25-$A$15,CD$13)))</f>
        <v>0</v>
      </c>
      <c r="CE25" s="171">
        <f ca="1">IF(OR($D25&lt;&gt;"Serviço",AND(AUTOEVENTO="Manual",$M25=$A$15)),0,
         IF(OFFSET(CRONOPLE!$F$15,$M25-$A$15,CE$13)=0,10^12,OFFSET(CRONOPLE!$F$15,$M25-$A$15,CE$13)))</f>
        <v>0</v>
      </c>
      <c r="CF25" s="171">
        <f ca="1">IF(OR($D25&lt;&gt;"Serviço",AND(AUTOEVENTO="Manual",$M25=$A$15)),0,
         IF(OFFSET(CRONOPLE!$F$15,$M25-$A$15,CF$13)=0,10^12,OFFSET(CRONOPLE!$F$15,$M25-$A$15,CF$13)))</f>
        <v>0</v>
      </c>
      <c r="CG25" s="171">
        <f ca="1">IF(OR($D25&lt;&gt;"Serviço",AND(AUTOEVENTO="Manual",$M25=$A$15)),0,
         IF(OFFSET(CRONOPLE!$F$15,$M25-$A$15,CG$13)=0,10^12,OFFSET(CRONOPLE!$F$15,$M25-$A$15,CG$13)))</f>
        <v>0</v>
      </c>
      <c r="CH25" s="171">
        <f ca="1">IF(OR($D25&lt;&gt;"Serviço",AND(AUTOEVENTO="Manual",$M25=$A$15)),0,
         IF(OFFSET(CRONOPLE!$F$15,$M25-$A$15,CH$13)=0,10^12,OFFSET(CRONOPLE!$F$15,$M25-$A$15,CH$13)))</f>
        <v>0</v>
      </c>
      <c r="CI25" s="171">
        <f ca="1">IF(OR($D25&lt;&gt;"Serviço",AND(AUTOEVENTO="Manual",$M25=$A$15)),0,
         IF(OFFSET(CRONOPLE!$F$15,$M25-$A$15,CI$13)=0,10^12,OFFSET(CRONOPLE!$F$15,$M25-$A$15,CI$13)))</f>
        <v>0</v>
      </c>
      <c r="CJ25" s="171">
        <f ca="1">IF(OR($D25&lt;&gt;"Serviço",AND(AUTOEVENTO="Manual",$M25=$A$15)),0,
         IF(OFFSET(CRONOPLE!$F$15,$M25-$A$15,CJ$13)=0,10^12,OFFSET(CRONOPLE!$F$15,$M25-$A$15,CJ$13)))</f>
        <v>0</v>
      </c>
      <c r="CK25" s="171">
        <f ca="1">IF(OR($D25&lt;&gt;"Serviço",AND(AUTOEVENTO="Manual",$M25=$A$15)),0,
         IF(OFFSET(CRONOPLE!$F$15,$M25-$A$15,CK$13)=0,10^12,OFFSET(CRONOPLE!$F$15,$M25-$A$15,CK$13)))</f>
        <v>0</v>
      </c>
      <c r="CL25" s="171">
        <f ca="1">IF(OR($D25&lt;&gt;"Serviço",AND(AUTOEVENTO="Manual",$M25=$A$15)),0,
         IF(OFFSET(CRONOPLE!$F$15,$M25-$A$15,CL$13)=0,10^12,OFFSET(CRONOPLE!$F$15,$M25-$A$15,CL$13)))</f>
        <v>0</v>
      </c>
      <c r="CM25" s="171">
        <f ca="1">IF(OR($D25&lt;&gt;"Serviço",AND(AUTOEVENTO="Manual",$M25=$A$15)),0,
         IF(OFFSET(CRONOPLE!$F$15,$M25-$A$15,CM$13)=0,10^12,OFFSET(CRONOPLE!$F$15,$M25-$A$15,CM$13)))</f>
        <v>0</v>
      </c>
      <c r="CN25" s="171">
        <f ca="1">IF(OR($D25&lt;&gt;"Serviço",AND(AUTOEVENTO="Manual",$M25=$A$15)),0,
         IF(OFFSET(CRONOPLE!$F$15,$M25-$A$15,CN$13)=0,10^12,OFFSET(CRONOPLE!$F$15,$M25-$A$15,CN$13)))</f>
        <v>0</v>
      </c>
      <c r="CO25" s="171">
        <f ca="1">IF(OR($D25&lt;&gt;"Serviço",AND(AUTOEVENTO="Manual",$M25=$A$15)),0,
         IF(OFFSET(CRONOPLE!$F$15,$M25-$A$15,CO$13)=0,10^12,OFFSET(CRONOPLE!$F$15,$M25-$A$15,CO$13)))</f>
        <v>0</v>
      </c>
      <c r="CP25" s="171">
        <f ca="1">IF(OR($D25&lt;&gt;"Serviço",AND(AUTOEVENTO="Manual",$M25=$A$15)),0,
         IF(OFFSET(CRONOPLE!$F$15,$M25-$A$15,CP$13)=0,10^12,OFFSET(CRONOPLE!$F$15,$M25-$A$15,CP$13)))</f>
        <v>0</v>
      </c>
      <c r="CQ25" s="171">
        <f ca="1">IF(OR($D25&lt;&gt;"Serviço",AND(AUTOEVENTO="Manual",$M25=$A$15)),0,
         IF(OFFSET(CRONOPLE!$F$15,$M25-$A$15,CQ$13)=0,10^12,OFFSET(CRONOPLE!$F$15,$M25-$A$15,CQ$13)))</f>
        <v>0</v>
      </c>
      <c r="CR25" s="171">
        <f ca="1">IF(OR($D25&lt;&gt;"Serviço",AND(AUTOEVENTO="Manual",$M25=$A$15)),0,
         IF(OFFSET(CRONOPLE!$F$15,$M25-$A$15,CR$13)=0,10^12,OFFSET(CRONOPLE!$F$15,$M25-$A$15,CR$13)))</f>
        <v>0</v>
      </c>
      <c r="CT25" s="172" cm="1">
        <f t="array" aca="1" ref="CT25" ca="1">IF(OR($D25&lt;&gt;"Serviço",AND(AUTOEVENTO="Manual",$M25=$A$15),$M25&gt;(ROW(PLE.lastrow)-ROW(PLE.firstrow))),0,
           IF(OFFSET(PLE!$G$15,$M25-$A$15,CT$13)="",10^12,OFFSET(PLE!$G$15,$M25-$A$15,CT$13)))</f>
        <v>0</v>
      </c>
      <c r="CU25" s="172" cm="1">
        <f t="array" aca="1" ref="CU25" ca="1">IF(OR($D25&lt;&gt;"Serviço",AND(AUTOEVENTO="Manual",$M25=$A$15),$M25&gt;(ROW(PLE.lastrow)-ROW(PLE.firstrow))),0,
           IF(OFFSET(PLE!$G$15,$M25-$A$15,CU$13)="",10^12,OFFSET(PLE!$G$15,$M25-$A$15,CU$13)))</f>
        <v>0</v>
      </c>
      <c r="CV25" s="172" cm="1">
        <f t="array" aca="1" ref="CV25" ca="1">IF(OR($D25&lt;&gt;"Serviço",AND(AUTOEVENTO="Manual",$M25=$A$15),$M25&gt;(ROW(PLE.lastrow)-ROW(PLE.firstrow))),0,
           IF(OFFSET(PLE!$G$15,$M25-$A$15,CV$13)="",10^12,OFFSET(PLE!$G$15,$M25-$A$15,CV$13)))</f>
        <v>0</v>
      </c>
      <c r="CW25" s="172" cm="1">
        <f t="array" aca="1" ref="CW25" ca="1">IF(OR($D25&lt;&gt;"Serviço",AND(AUTOEVENTO="Manual",$M25=$A$15),$M25&gt;(ROW(PLE.lastrow)-ROW(PLE.firstrow))),0,
           IF(OFFSET(PLE!$G$15,$M25-$A$15,CW$13)="",10^12,OFFSET(PLE!$G$15,$M25-$A$15,CW$13)))</f>
        <v>0</v>
      </c>
      <c r="CX25" s="172" cm="1">
        <f t="array" aca="1" ref="CX25" ca="1">IF(OR($D25&lt;&gt;"Serviço",AND(AUTOEVENTO="Manual",$M25=$A$15),$M25&gt;(ROW(PLE.lastrow)-ROW(PLE.firstrow))),0,
           IF(OFFSET(PLE!$G$15,$M25-$A$15,CX$13)="",10^12,OFFSET(PLE!$G$15,$M25-$A$15,CX$13)))</f>
        <v>0</v>
      </c>
      <c r="CY25" s="172" cm="1">
        <f t="array" aca="1" ref="CY25" ca="1">IF(OR($D25&lt;&gt;"Serviço",AND(AUTOEVENTO="Manual",$M25=$A$15),$M25&gt;(ROW(PLE.lastrow)-ROW(PLE.firstrow))),0,
           IF(OFFSET(PLE!$G$15,$M25-$A$15,CY$13)="",10^12,OFFSET(PLE!$G$15,$M25-$A$15,CY$13)))</f>
        <v>0</v>
      </c>
      <c r="CZ25" s="172" cm="1">
        <f t="array" aca="1" ref="CZ25" ca="1">IF(OR($D25&lt;&gt;"Serviço",AND(AUTOEVENTO="Manual",$M25=$A$15),$M25&gt;(ROW(PLE.lastrow)-ROW(PLE.firstrow))),0,
           IF(OFFSET(PLE!$G$15,$M25-$A$15,CZ$13)="",10^12,OFFSET(PLE!$G$15,$M25-$A$15,CZ$13)))</f>
        <v>0</v>
      </c>
      <c r="DA25" s="172" cm="1">
        <f t="array" aca="1" ref="DA25" ca="1">IF(OR($D25&lt;&gt;"Serviço",AND(AUTOEVENTO="Manual",$M25=$A$15),$M25&gt;(ROW(PLE.lastrow)-ROW(PLE.firstrow))),0,
           IF(OFFSET(PLE!$G$15,$M25-$A$15,DA$13)="",10^12,OFFSET(PLE!$G$15,$M25-$A$15,DA$13)))</f>
        <v>0</v>
      </c>
      <c r="DB25" s="172" cm="1">
        <f t="array" aca="1" ref="DB25" ca="1">IF(OR($D25&lt;&gt;"Serviço",AND(AUTOEVENTO="Manual",$M25=$A$15),$M25&gt;(ROW(PLE.lastrow)-ROW(PLE.firstrow))),0,
           IF(OFFSET(PLE!$G$15,$M25-$A$15,DB$13)="",10^12,OFFSET(PLE!$G$15,$M25-$A$15,DB$13)))</f>
        <v>0</v>
      </c>
      <c r="DC25" s="172" cm="1">
        <f t="array" aca="1" ref="DC25" ca="1">IF(OR($D25&lt;&gt;"Serviço",AND(AUTOEVENTO="Manual",$M25=$A$15),$M25&gt;(ROW(PLE.lastrow)-ROW(PLE.firstrow))),0,
           IF(OFFSET(PLE!$G$15,$M25-$A$15,DC$13)="",10^12,OFFSET(PLE!$G$15,$M25-$A$15,DC$13)))</f>
        <v>0</v>
      </c>
      <c r="DD25" s="172" cm="1">
        <f t="array" aca="1" ref="DD25" ca="1">IF(OR($D25&lt;&gt;"Serviço",AND(AUTOEVENTO="Manual",$M25=$A$15),$M25&gt;(ROW(PLE.lastrow)-ROW(PLE.firstrow))),0,
           IF(OFFSET(PLE!$G$15,$M25-$A$15,DD$13)="",10^12,OFFSET(PLE!$G$15,$M25-$A$15,DD$13)))</f>
        <v>0</v>
      </c>
      <c r="DE25" s="172" cm="1">
        <f t="array" aca="1" ref="DE25" ca="1">IF(OR($D25&lt;&gt;"Serviço",AND(AUTOEVENTO="Manual",$M25=$A$15),$M25&gt;(ROW(PLE.lastrow)-ROW(PLE.firstrow))),0,
           IF(OFFSET(PLE!$G$15,$M25-$A$15,DE$13)="",10^12,OFFSET(PLE!$G$15,$M25-$A$15,DE$13)))</f>
        <v>0</v>
      </c>
      <c r="DF25" s="172" cm="1">
        <f t="array" aca="1" ref="DF25" ca="1">IF(OR($D25&lt;&gt;"Serviço",AND(AUTOEVENTO="Manual",$M25=$A$15),$M25&gt;(ROW(PLE.lastrow)-ROW(PLE.firstrow))),0,
           IF(OFFSET(PLE!$G$15,$M25-$A$15,DF$13)="",10^12,OFFSET(PLE!$G$15,$M25-$A$15,DF$13)))</f>
        <v>0</v>
      </c>
      <c r="DG25" s="172" cm="1">
        <f t="array" aca="1" ref="DG25" ca="1">IF(OR($D25&lt;&gt;"Serviço",AND(AUTOEVENTO="Manual",$M25=$A$15),$M25&gt;(ROW(PLE.lastrow)-ROW(PLE.firstrow))),0,
           IF(OFFSET(PLE!$G$15,$M25-$A$15,DG$13)="",10^12,OFFSET(PLE!$G$15,$M25-$A$15,DG$13)))</f>
        <v>0</v>
      </c>
      <c r="DH25" s="172" cm="1">
        <f t="array" aca="1" ref="DH25" ca="1">IF(OR($D25&lt;&gt;"Serviço",AND(AUTOEVENTO="Manual",$M25=$A$15),$M25&gt;(ROW(PLE.lastrow)-ROW(PLE.firstrow))),0,
           IF(OFFSET(PLE!$G$15,$M25-$A$15,DH$13)="",10^12,OFFSET(PLE!$G$15,$M25-$A$15,DH$13)))</f>
        <v>0</v>
      </c>
      <c r="DI25" s="172" cm="1">
        <f t="array" aca="1" ref="DI25" ca="1">IF(OR($D25&lt;&gt;"Serviço",AND(AUTOEVENTO="Manual",$M25=$A$15),$M25&gt;(ROW(PLE.lastrow)-ROW(PLE.firstrow))),0,
           IF(OFFSET(PLE!$G$15,$M25-$A$15,DI$13)="",10^12,OFFSET(PLE!$G$15,$M25-$A$15,DI$13)))</f>
        <v>0</v>
      </c>
      <c r="DJ25" s="172" cm="1">
        <f t="array" aca="1" ref="DJ25" ca="1">IF(OR($D25&lt;&gt;"Serviço",AND(AUTOEVENTO="Manual",$M25=$A$15),$M25&gt;(ROW(PLE.lastrow)-ROW(PLE.firstrow))),0,
           IF(OFFSET(PLE!$G$15,$M25-$A$15,DJ$13)="",10^12,OFFSET(PLE!$G$15,$M25-$A$15,DJ$13)))</f>
        <v>0</v>
      </c>
      <c r="DK25" s="172" cm="1">
        <f t="array" aca="1" ref="DK25" ca="1">IF(OR($D25&lt;&gt;"Serviço",AND(AUTOEVENTO="Manual",$M25=$A$15),$M25&gt;(ROW(PLE.lastrow)-ROW(PLE.firstrow))),0,
           IF(OFFSET(PLE!$G$15,$M25-$A$15,DK$13)="",10^12,OFFSET(PLE!$G$15,$M25-$A$15,DK$13)))</f>
        <v>0</v>
      </c>
      <c r="DL25" s="172" cm="1">
        <f t="array" aca="1" ref="DL25" ca="1">IF(OR($D25&lt;&gt;"Serviço",AND(AUTOEVENTO="Manual",$M25=$A$15),$M25&gt;(ROW(PLE.lastrow)-ROW(PLE.firstrow))),0,
           IF(OFFSET(PLE!$G$15,$M25-$A$15,DL$13)="",10^12,OFFSET(PLE!$G$15,$M25-$A$15,DL$13)))</f>
        <v>0</v>
      </c>
      <c r="DM25" s="172" cm="1">
        <f t="array" aca="1" ref="DM25" ca="1">IF(OR($D25&lt;&gt;"Serviço",AND(AUTOEVENTO="Manual",$M25=$A$15),$M25&gt;(ROW(PLE.lastrow)-ROW(PLE.firstrow))),0,
           IF(OFFSET(PLE!$G$15,$M25-$A$15,DM$13)="",10^12,OFFSET(PLE!$G$15,$M25-$A$15,DM$13)))</f>
        <v>0</v>
      </c>
      <c r="DN25" s="172" cm="1">
        <f t="array" aca="1" ref="DN25" ca="1">IF(OR($D25&lt;&gt;"Serviço",AND(AUTOEVENTO="Manual",$M25=$A$15),$M25&gt;(ROW(PLE.lastrow)-ROW(PLE.firstrow))),0,
           IF(OFFSET(PLE!$G$15,$M25-$A$15,DN$13)="",10^12,OFFSET(PLE!$G$15,$M25-$A$15,DN$13)))</f>
        <v>0</v>
      </c>
      <c r="DO25" s="172" cm="1">
        <f t="array" aca="1" ref="DO25" ca="1">IF(OR($D25&lt;&gt;"Serviço",AND(AUTOEVENTO="Manual",$M25=$A$15),$M25&gt;(ROW(PLE.lastrow)-ROW(PLE.firstrow))),0,
           IF(OFFSET(PLE!$G$15,$M25-$A$15,DO$13)="",10^12,OFFSET(PLE!$G$15,$M25-$A$15,DO$13)))</f>
        <v>0</v>
      </c>
      <c r="DP25" s="172" cm="1">
        <f t="array" aca="1" ref="DP25" ca="1">IF(OR($D25&lt;&gt;"Serviço",AND(AUTOEVENTO="Manual",$M25=$A$15),$M25&gt;(ROW(PLE.lastrow)-ROW(PLE.firstrow))),0,
           IF(OFFSET(PLE!$G$15,$M25-$A$15,DP$13)="",10^12,OFFSET(PLE!$G$15,$M25-$A$15,DP$13)))</f>
        <v>0</v>
      </c>
      <c r="DQ25" s="172" cm="1">
        <f t="array" aca="1" ref="DQ25" ca="1">IF(OR($D25&lt;&gt;"Serviço",AND(AUTOEVENTO="Manual",$M25=$A$15),$M25&gt;(ROW(PLE.lastrow)-ROW(PLE.firstrow))),0,
           IF(OFFSET(PLE!$G$15,$M25-$A$15,DQ$13)="",10^12,OFFSET(PLE!$G$15,$M25-$A$15,DQ$13)))</f>
        <v>0</v>
      </c>
      <c r="DR25" s="172" cm="1">
        <f t="array" aca="1" ref="DR25" ca="1">IF(OR($D25&lt;&gt;"Serviço",AND(AUTOEVENTO="Manual",$M25=$A$15),$M25&gt;(ROW(PLE.lastrow)-ROW(PLE.firstrow))),0,
           IF(OFFSET(PLE!$G$15,$M25-$A$15,DR$13)="",10^12,OFFSET(PLE!$G$15,$M25-$A$15,DR$13)))</f>
        <v>0</v>
      </c>
      <c r="DS25" s="172" cm="1">
        <f t="array" aca="1" ref="DS25" ca="1">IF(OR($D25&lt;&gt;"Serviço",AND(AUTOEVENTO="Manual",$M25=$A$15),$M25&gt;(ROW(PLE.lastrow)-ROW(PLE.firstrow))),0,
           IF(OFFSET(PLE!$G$15,$M25-$A$15,DS$13)="",10^12,OFFSET(PLE!$G$15,$M25-$A$15,DS$13)))</f>
        <v>0</v>
      </c>
    </row>
    <row r="26" spans="1:123" ht="12.75" x14ac:dyDescent="0.2">
      <c r="A26" s="7">
        <f t="shared" ca="1" si="11"/>
        <v>0</v>
      </c>
      <c r="B26" s="7">
        <f ca="1">OFFSET(ORÇAMENTO!C$15,$L26,0)</f>
        <v>2</v>
      </c>
      <c r="C26" s="7" t="str">
        <f ca="1">OFFSET(ORÇAMENTO!L$15,$L26,0)</f>
        <v>F</v>
      </c>
      <c r="D26" s="116" t="str">
        <f ca="1">OFFSET(ORÇAMENTO!N$15,$L26,0)</f>
        <v>Nível 2</v>
      </c>
      <c r="E26" s="117" t="str">
        <f ca="1">OFFSET(ORÇAMENTO!O$15,$L26,0)</f>
        <v>3.1.</v>
      </c>
      <c r="F26" s="163" t="str">
        <f ca="1">OFFSET(ORÇAMENTO!R$15,$L26,0)</f>
        <v>SAPATA</v>
      </c>
      <c r="G26" s="164" t="str">
        <f ca="1">IF($D26&lt;&gt;"Serviço","",OFFSET(ORÇAMENTO!S$15,$L26,0))</f>
        <v/>
      </c>
      <c r="H26" s="122" cm="1">
        <f t="array" aca="1" ref="H26" ca="1">IF($D26&lt;&gt;"Serviço",0,IF(ACOMPANHAMENTO="BM",ROUND(OFFSET(ORÇAMENTO!AJ$15,$L26,0),15-13*ORÇAMENTO!$AF$7),IF(IFERROR(CÁLCULO.FrentesPreenchidas,0)=0,0,SUM(ROUND(OFFSET($P26,0,1,1,CÁLCULO.FrentesPreenchidas),15-13*ORÇAMENTO!$AF$7)))))</f>
        <v>0</v>
      </c>
      <c r="I26" s="468"/>
      <c r="J26" s="651" t="str" cm="1">
        <f t="array" aca="1" ref="J26" ca="1">IF(OR(B26&lt;&gt;"S",CÁLCULO.FrentesPreenchidas=0),"",IF(AND(ACOMPANHAMENTO="PLE",AUTOEVENTO="Manual",OR(H26&gt;0,ORÇAMENTO!AC26="QUANT."),OR(K26="",M26=0,N26="")),"►E",IF(AND(ACOMPANHAMENTO="PLE",ORÇAMENTO!AC26="QUANT."),"►Q",IF(AND(ACOMPANHAMENTO="PLE",H26&lt;&gt;SUMPRODUCT(($Q$1:$AQ$1=1)*ROUND(Q26:AQ26,15))),"►S",IF(AND(COUNTIF($P$11:$AQ$11,"▼")=0,H26&gt;0,I26=""),"◄M","")))))</f>
        <v/>
      </c>
      <c r="K26" s="652"/>
      <c r="L26" s="165">
        <f t="shared" ca="1" si="12"/>
        <v>11</v>
      </c>
      <c r="M26" s="166" t="str">
        <f ca="1">IF($D26&lt;&gt;"Serviço","",
          IF(AUTOEVENTO="manual",$A26,
                IF(ISERROR(MATCH($A26,$A$15:OFFSET($A26,-1,0),0)),MAX($M$15:OFFSET(M26,-1,0))+1,
                      INDEX($M$15:OFFSET(M26,-1,0),MATCH($A26,$A$15:OFFSET($A26,-1,0),0)))))</f>
        <v/>
      </c>
      <c r="N26" s="167" t="str">
        <f ca="1">IF($D26&lt;&gt;"Serviço","",
         IF(AUTOEVENTO="Manual",
                IF($A26=0,"&lt;-- defina o número do agrupador",
                       OFFSET(EVENTOS!$D$15,$A26-$A$15,0)),
                OFFSET($F$15,$A26,0)))</f>
        <v/>
      </c>
      <c r="O26" s="168"/>
      <c r="Q26" s="168"/>
      <c r="R26" s="169"/>
      <c r="S26" s="169"/>
      <c r="T26" s="169"/>
      <c r="U26" s="169"/>
      <c r="V26" s="169"/>
      <c r="W26" s="169"/>
      <c r="X26" s="169"/>
      <c r="Y26" s="169"/>
      <c r="Z26" s="170"/>
      <c r="AA26" s="169"/>
      <c r="AB26" s="169"/>
      <c r="AC26" s="169"/>
      <c r="AD26" s="169"/>
      <c r="AE26" s="169"/>
      <c r="AF26" s="169"/>
      <c r="AG26" s="169"/>
      <c r="AH26" s="170"/>
      <c r="AI26" s="169"/>
      <c r="AJ26" s="169"/>
      <c r="AK26" s="169"/>
      <c r="AL26" s="169"/>
      <c r="AM26" s="169"/>
      <c r="AN26" s="169"/>
      <c r="AO26" s="169"/>
      <c r="AP26" s="170"/>
      <c r="AR26" s="453">
        <f ca="1">IF(AND($D26="Serviço",AR$12&lt;&gt;0,$H26&gt;0,OR(AUTOEVENTO&lt;&gt;"manual",$M26&lt;&gt;$A$15)),
        IF(Import.TipoArredondamento&lt;&gt;"TransfereGOV",
              ROUND(OFFSET($P26,0,AR$13),15-13*ORÇAMENTO!$AF$7)/$H26*OFFSET(ORÇAMENTO!$X$15,ROW(AR26)-ROW(AR$15),0),
              ROUND(ROUND(OFFSET($P26,0,AR$13),15-13*ORÇAMENTO!$AF$7)*OFFSET(ORÇAMENTO!$W$15,ROW(AR26)-ROW(AR$15),0),15-13*ORÇAMENTO!$AF$11)),
         0)</f>
        <v>0</v>
      </c>
      <c r="AS26" s="453">
        <f ca="1">IF(AND($D26="Serviço",AS$12&lt;&gt;0,$H26&gt;0,OR(AUTOEVENTO&lt;&gt;"manual",$M26&lt;&gt;$A$15)),
        IF(Import.TipoArredondamento&lt;&gt;"TransfereGOV",
              ROUND(OFFSET($P26,0,AS$13),15-13*ORÇAMENTO!$AF$7)/$H26*OFFSET(ORÇAMENTO!$X$15,ROW(AS26)-ROW(AS$15),0),
              ROUND(ROUND(OFFSET($P26,0,AS$13),15-13*ORÇAMENTO!$AF$7)*OFFSET(ORÇAMENTO!$W$15,ROW(AS26)-ROW(AS$15),0),15-13*ORÇAMENTO!$AF$11)),
         0)</f>
        <v>0</v>
      </c>
      <c r="AT26" s="453">
        <f ca="1">IF(AND($D26="Serviço",AT$12&lt;&gt;0,$H26&gt;0,OR(AUTOEVENTO&lt;&gt;"manual",$M26&lt;&gt;$A$15)),
        IF(Import.TipoArredondamento&lt;&gt;"TransfereGOV",
              ROUND(OFFSET($P26,0,AT$13),15-13*ORÇAMENTO!$AF$7)/$H26*OFFSET(ORÇAMENTO!$X$15,ROW(AT26)-ROW(AT$15),0),
              ROUND(ROUND(OFFSET($P26,0,AT$13),15-13*ORÇAMENTO!$AF$7)*OFFSET(ORÇAMENTO!$W$15,ROW(AT26)-ROW(AT$15),0),15-13*ORÇAMENTO!$AF$11)),
         0)</f>
        <v>0</v>
      </c>
      <c r="AU26" s="453">
        <f ca="1">IF(AND($D26="Serviço",AU$12&lt;&gt;0,$H26&gt;0,OR(AUTOEVENTO&lt;&gt;"manual",$M26&lt;&gt;$A$15)),
        IF(Import.TipoArredondamento&lt;&gt;"TransfereGOV",
              ROUND(OFFSET($P26,0,AU$13),15-13*ORÇAMENTO!$AF$7)/$H26*OFFSET(ORÇAMENTO!$X$15,ROW(AU26)-ROW(AU$15),0),
              ROUND(ROUND(OFFSET($P26,0,AU$13),15-13*ORÇAMENTO!$AF$7)*OFFSET(ORÇAMENTO!$W$15,ROW(AU26)-ROW(AU$15),0),15-13*ORÇAMENTO!$AF$11)),
         0)</f>
        <v>0</v>
      </c>
      <c r="AV26" s="453">
        <f ca="1">IF(AND($D26="Serviço",AV$12&lt;&gt;0,$H26&gt;0,OR(AUTOEVENTO&lt;&gt;"manual",$M26&lt;&gt;$A$15)),
        IF(Import.TipoArredondamento&lt;&gt;"TransfereGOV",
              ROUND(OFFSET($P26,0,AV$13),15-13*ORÇAMENTO!$AF$7)/$H26*OFFSET(ORÇAMENTO!$X$15,ROW(AV26)-ROW(AV$15),0),
              ROUND(ROUND(OFFSET($P26,0,AV$13),15-13*ORÇAMENTO!$AF$7)*OFFSET(ORÇAMENTO!$W$15,ROW(AV26)-ROW(AV$15),0),15-13*ORÇAMENTO!$AF$11)),
         0)</f>
        <v>0</v>
      </c>
      <c r="AW26" s="453">
        <f ca="1">IF(AND($D26="Serviço",AW$12&lt;&gt;0,$H26&gt;0,OR(AUTOEVENTO&lt;&gt;"manual",$M26&lt;&gt;$A$15)),
        IF(Import.TipoArredondamento&lt;&gt;"TransfereGOV",
              ROUND(OFFSET($P26,0,AW$13),15-13*ORÇAMENTO!$AF$7)/$H26*OFFSET(ORÇAMENTO!$X$15,ROW(AW26)-ROW(AW$15),0),
              ROUND(ROUND(OFFSET($P26,0,AW$13),15-13*ORÇAMENTO!$AF$7)*OFFSET(ORÇAMENTO!$W$15,ROW(AW26)-ROW(AW$15),0),15-13*ORÇAMENTO!$AF$11)),
         0)</f>
        <v>0</v>
      </c>
      <c r="AX26" s="453">
        <f ca="1">IF(AND($D26="Serviço",AX$12&lt;&gt;0,$H26&gt;0,OR(AUTOEVENTO&lt;&gt;"manual",$M26&lt;&gt;$A$15)),
        IF(Import.TipoArredondamento&lt;&gt;"TransfereGOV",
              ROUND(OFFSET($P26,0,AX$13),15-13*ORÇAMENTO!$AF$7)/$H26*OFFSET(ORÇAMENTO!$X$15,ROW(AX26)-ROW(AX$15),0),
              ROUND(ROUND(OFFSET($P26,0,AX$13),15-13*ORÇAMENTO!$AF$7)*OFFSET(ORÇAMENTO!$W$15,ROW(AX26)-ROW(AX$15),0),15-13*ORÇAMENTO!$AF$11)),
         0)</f>
        <v>0</v>
      </c>
      <c r="AY26" s="453">
        <f ca="1">IF(AND($D26="Serviço",AY$12&lt;&gt;0,$H26&gt;0,OR(AUTOEVENTO&lt;&gt;"manual",$M26&lt;&gt;$A$15)),
        IF(Import.TipoArredondamento&lt;&gt;"TransfereGOV",
              ROUND(OFFSET($P26,0,AY$13),15-13*ORÇAMENTO!$AF$7)/$H26*OFFSET(ORÇAMENTO!$X$15,ROW(AY26)-ROW(AY$15),0),
              ROUND(ROUND(OFFSET($P26,0,AY$13),15-13*ORÇAMENTO!$AF$7)*OFFSET(ORÇAMENTO!$W$15,ROW(AY26)-ROW(AY$15),0),15-13*ORÇAMENTO!$AF$11)),
         0)</f>
        <v>0</v>
      </c>
      <c r="AZ26" s="453">
        <f ca="1">IF(AND($D26="Serviço",AZ$12&lt;&gt;0,$H26&gt;0,OR(AUTOEVENTO&lt;&gt;"manual",$M26&lt;&gt;$A$15)),
        IF(Import.TipoArredondamento&lt;&gt;"TransfereGOV",
              ROUND(OFFSET($P26,0,AZ$13),15-13*ORÇAMENTO!$AF$7)/$H26*OFFSET(ORÇAMENTO!$X$15,ROW(AZ26)-ROW(AZ$15),0),
              ROUND(ROUND(OFFSET($P26,0,AZ$13),15-13*ORÇAMENTO!$AF$7)*OFFSET(ORÇAMENTO!$W$15,ROW(AZ26)-ROW(AZ$15),0),15-13*ORÇAMENTO!$AF$11)),
         0)</f>
        <v>0</v>
      </c>
      <c r="BA26" s="453">
        <f ca="1">IF(AND($D26="Serviço",BA$12&lt;&gt;0,$H26&gt;0,OR(AUTOEVENTO&lt;&gt;"manual",$M26&lt;&gt;$A$15)),
        IF(Import.TipoArredondamento&lt;&gt;"TransfereGOV",
              ROUND(OFFSET($P26,0,BA$13),15-13*ORÇAMENTO!$AF$7)/$H26*OFFSET(ORÇAMENTO!$X$15,ROW(BA26)-ROW(BA$15),0),
              ROUND(ROUND(OFFSET($P26,0,BA$13),15-13*ORÇAMENTO!$AF$7)*OFFSET(ORÇAMENTO!$W$15,ROW(BA26)-ROW(BA$15),0),15-13*ORÇAMENTO!$AF$11)),
         0)</f>
        <v>0</v>
      </c>
      <c r="BB26" s="453">
        <f ca="1">IF(AND($D26="Serviço",BB$12&lt;&gt;0,$H26&gt;0,OR(AUTOEVENTO&lt;&gt;"manual",$M26&lt;&gt;$A$15)),
        IF(Import.TipoArredondamento&lt;&gt;"TransfereGOV",
              ROUND(OFFSET($P26,0,BB$13),15-13*ORÇAMENTO!$AF$7)/$H26*OFFSET(ORÇAMENTO!$X$15,ROW(BB26)-ROW(BB$15),0),
              ROUND(ROUND(OFFSET($P26,0,BB$13),15-13*ORÇAMENTO!$AF$7)*OFFSET(ORÇAMENTO!$W$15,ROW(BB26)-ROW(BB$15),0),15-13*ORÇAMENTO!$AF$11)),
         0)</f>
        <v>0</v>
      </c>
      <c r="BC26" s="453">
        <f ca="1">IF(AND($D26="Serviço",BC$12&lt;&gt;0,$H26&gt;0,OR(AUTOEVENTO&lt;&gt;"manual",$M26&lt;&gt;$A$15)),
        IF(Import.TipoArredondamento&lt;&gt;"TransfereGOV",
              ROUND(OFFSET($P26,0,BC$13),15-13*ORÇAMENTO!$AF$7)/$H26*OFFSET(ORÇAMENTO!$X$15,ROW(BC26)-ROW(BC$15),0),
              ROUND(ROUND(OFFSET($P26,0,BC$13),15-13*ORÇAMENTO!$AF$7)*OFFSET(ORÇAMENTO!$W$15,ROW(BC26)-ROW(BC$15),0),15-13*ORÇAMENTO!$AF$11)),
         0)</f>
        <v>0</v>
      </c>
      <c r="BD26" s="453">
        <f ca="1">IF(AND($D26="Serviço",BD$12&lt;&gt;0,$H26&gt;0,OR(AUTOEVENTO&lt;&gt;"manual",$M26&lt;&gt;$A$15)),
        IF(Import.TipoArredondamento&lt;&gt;"TransfereGOV",
              ROUND(OFFSET($P26,0,BD$13),15-13*ORÇAMENTO!$AF$7)/$H26*OFFSET(ORÇAMENTO!$X$15,ROW(BD26)-ROW(BD$15),0),
              ROUND(ROUND(OFFSET($P26,0,BD$13),15-13*ORÇAMENTO!$AF$7)*OFFSET(ORÇAMENTO!$W$15,ROW(BD26)-ROW(BD$15),0),15-13*ORÇAMENTO!$AF$11)),
         0)</f>
        <v>0</v>
      </c>
      <c r="BE26" s="453">
        <f ca="1">IF(AND($D26="Serviço",BE$12&lt;&gt;0,$H26&gt;0,OR(AUTOEVENTO&lt;&gt;"manual",$M26&lt;&gt;$A$15)),
        IF(Import.TipoArredondamento&lt;&gt;"TransfereGOV",
              ROUND(OFFSET($P26,0,BE$13),15-13*ORÇAMENTO!$AF$7)/$H26*OFFSET(ORÇAMENTO!$X$15,ROW(BE26)-ROW(BE$15),0),
              ROUND(ROUND(OFFSET($P26,0,BE$13),15-13*ORÇAMENTO!$AF$7)*OFFSET(ORÇAMENTO!$W$15,ROW(BE26)-ROW(BE$15),0),15-13*ORÇAMENTO!$AF$11)),
         0)</f>
        <v>0</v>
      </c>
      <c r="BF26" s="453">
        <f ca="1">IF(AND($D26="Serviço",BF$12&lt;&gt;0,$H26&gt;0,OR(AUTOEVENTO&lt;&gt;"manual",$M26&lt;&gt;$A$15)),
        IF(Import.TipoArredondamento&lt;&gt;"TransfereGOV",
              ROUND(OFFSET($P26,0,BF$13),15-13*ORÇAMENTO!$AF$7)/$H26*OFFSET(ORÇAMENTO!$X$15,ROW(BF26)-ROW(BF$15),0),
              ROUND(ROUND(OFFSET($P26,0,BF$13),15-13*ORÇAMENTO!$AF$7)*OFFSET(ORÇAMENTO!$W$15,ROW(BF26)-ROW(BF$15),0),15-13*ORÇAMENTO!$AF$11)),
         0)</f>
        <v>0</v>
      </c>
      <c r="BG26" s="453">
        <f ca="1">IF(AND($D26="Serviço",BG$12&lt;&gt;0,$H26&gt;0,OR(AUTOEVENTO&lt;&gt;"manual",$M26&lt;&gt;$A$15)),
        IF(Import.TipoArredondamento&lt;&gt;"TransfereGOV",
              ROUND(OFFSET($P26,0,BG$13),15-13*ORÇAMENTO!$AF$7)/$H26*OFFSET(ORÇAMENTO!$X$15,ROW(BG26)-ROW(BG$15),0),
              ROUND(ROUND(OFFSET($P26,0,BG$13),15-13*ORÇAMENTO!$AF$7)*OFFSET(ORÇAMENTO!$W$15,ROW(BG26)-ROW(BG$15),0),15-13*ORÇAMENTO!$AF$11)),
         0)</f>
        <v>0</v>
      </c>
      <c r="BH26" s="453">
        <f ca="1">IF(AND($D26="Serviço",BH$12&lt;&gt;0,$H26&gt;0,OR(AUTOEVENTO&lt;&gt;"manual",$M26&lt;&gt;$A$15)),
        IF(Import.TipoArredondamento&lt;&gt;"TransfereGOV",
              ROUND(OFFSET($P26,0,BH$13),15-13*ORÇAMENTO!$AF$7)/$H26*OFFSET(ORÇAMENTO!$X$15,ROW(BH26)-ROW(BH$15),0),
              ROUND(ROUND(OFFSET($P26,0,BH$13),15-13*ORÇAMENTO!$AF$7)*OFFSET(ORÇAMENTO!$W$15,ROW(BH26)-ROW(BH$15),0),15-13*ORÇAMENTO!$AF$11)),
         0)</f>
        <v>0</v>
      </c>
      <c r="BI26" s="453">
        <f ca="1">IF(AND($D26="Serviço",BI$12&lt;&gt;0,$H26&gt;0,OR(AUTOEVENTO&lt;&gt;"manual",$M26&lt;&gt;$A$15)),
        IF(Import.TipoArredondamento&lt;&gt;"TransfereGOV",
              ROUND(OFFSET($P26,0,BI$13),15-13*ORÇAMENTO!$AF$7)/$H26*OFFSET(ORÇAMENTO!$X$15,ROW(BI26)-ROW(BI$15),0),
              ROUND(ROUND(OFFSET($P26,0,BI$13),15-13*ORÇAMENTO!$AF$7)*OFFSET(ORÇAMENTO!$W$15,ROW(BI26)-ROW(BI$15),0),15-13*ORÇAMENTO!$AF$11)),
         0)</f>
        <v>0</v>
      </c>
      <c r="BJ26" s="453">
        <f ca="1">IF(AND($D26="Serviço",BJ$12&lt;&gt;0,$H26&gt;0,OR(AUTOEVENTO&lt;&gt;"manual",$M26&lt;&gt;$A$15)),
        IF(Import.TipoArredondamento&lt;&gt;"TransfereGOV",
              ROUND(OFFSET($P26,0,BJ$13),15-13*ORÇAMENTO!$AF$7)/$H26*OFFSET(ORÇAMENTO!$X$15,ROW(BJ26)-ROW(BJ$15),0),
              ROUND(ROUND(OFFSET($P26,0,BJ$13),15-13*ORÇAMENTO!$AF$7)*OFFSET(ORÇAMENTO!$W$15,ROW(BJ26)-ROW(BJ$15),0),15-13*ORÇAMENTO!$AF$11)),
         0)</f>
        <v>0</v>
      </c>
      <c r="BK26" s="453">
        <f ca="1">IF(AND($D26="Serviço",BK$12&lt;&gt;0,$H26&gt;0,OR(AUTOEVENTO&lt;&gt;"manual",$M26&lt;&gt;$A$15)),
        IF(Import.TipoArredondamento&lt;&gt;"TransfereGOV",
              ROUND(OFFSET($P26,0,BK$13),15-13*ORÇAMENTO!$AF$7)/$H26*OFFSET(ORÇAMENTO!$X$15,ROW(BK26)-ROW(BK$15),0),
              ROUND(ROUND(OFFSET($P26,0,BK$13),15-13*ORÇAMENTO!$AF$7)*OFFSET(ORÇAMENTO!$W$15,ROW(BK26)-ROW(BK$15),0),15-13*ORÇAMENTO!$AF$11)),
         0)</f>
        <v>0</v>
      </c>
      <c r="BL26" s="453">
        <f ca="1">IF(AND($D26="Serviço",BL$12&lt;&gt;0,$H26&gt;0,OR(AUTOEVENTO&lt;&gt;"manual",$M26&lt;&gt;$A$15)),
        IF(Import.TipoArredondamento&lt;&gt;"TransfereGOV",
              ROUND(OFFSET($P26,0,BL$13),15-13*ORÇAMENTO!$AF$7)/$H26*OFFSET(ORÇAMENTO!$X$15,ROW(BL26)-ROW(BL$15),0),
              ROUND(ROUND(OFFSET($P26,0,BL$13),15-13*ORÇAMENTO!$AF$7)*OFFSET(ORÇAMENTO!$W$15,ROW(BL26)-ROW(BL$15),0),15-13*ORÇAMENTO!$AF$11)),
         0)</f>
        <v>0</v>
      </c>
      <c r="BM26" s="453">
        <f ca="1">IF(AND($D26="Serviço",BM$12&lt;&gt;0,$H26&gt;0,OR(AUTOEVENTO&lt;&gt;"manual",$M26&lt;&gt;$A$15)),
        IF(Import.TipoArredondamento&lt;&gt;"TransfereGOV",
              ROUND(OFFSET($P26,0,BM$13),15-13*ORÇAMENTO!$AF$7)/$H26*OFFSET(ORÇAMENTO!$X$15,ROW(BM26)-ROW(BM$15),0),
              ROUND(ROUND(OFFSET($P26,0,BM$13),15-13*ORÇAMENTO!$AF$7)*OFFSET(ORÇAMENTO!$W$15,ROW(BM26)-ROW(BM$15),0),15-13*ORÇAMENTO!$AF$11)),
         0)</f>
        <v>0</v>
      </c>
      <c r="BN26" s="453">
        <f ca="1">IF(AND($D26="Serviço",BN$12&lt;&gt;0,$H26&gt;0,OR(AUTOEVENTO&lt;&gt;"manual",$M26&lt;&gt;$A$15)),
        IF(Import.TipoArredondamento&lt;&gt;"TransfereGOV",
              ROUND(OFFSET($P26,0,BN$13),15-13*ORÇAMENTO!$AF$7)/$H26*OFFSET(ORÇAMENTO!$X$15,ROW(BN26)-ROW(BN$15),0),
              ROUND(ROUND(OFFSET($P26,0,BN$13),15-13*ORÇAMENTO!$AF$7)*OFFSET(ORÇAMENTO!$W$15,ROW(BN26)-ROW(BN$15),0),15-13*ORÇAMENTO!$AF$11)),
         0)</f>
        <v>0</v>
      </c>
      <c r="BO26" s="453">
        <f ca="1">IF(AND($D26="Serviço",BO$12&lt;&gt;0,$H26&gt;0,OR(AUTOEVENTO&lt;&gt;"manual",$M26&lt;&gt;$A$15)),
        IF(Import.TipoArredondamento&lt;&gt;"TransfereGOV",
              ROUND(OFFSET($P26,0,BO$13),15-13*ORÇAMENTO!$AF$7)/$H26*OFFSET(ORÇAMENTO!$X$15,ROW(BO26)-ROW(BO$15),0),
              ROUND(ROUND(OFFSET($P26,0,BO$13),15-13*ORÇAMENTO!$AF$7)*OFFSET(ORÇAMENTO!$W$15,ROW(BO26)-ROW(BO$15),0),15-13*ORÇAMENTO!$AF$11)),
         0)</f>
        <v>0</v>
      </c>
      <c r="BP26" s="453">
        <f ca="1">IF(AND($D26="Serviço",BP$12&lt;&gt;0,$H26&gt;0,OR(AUTOEVENTO&lt;&gt;"manual",$M26&lt;&gt;$A$15)),
        IF(Import.TipoArredondamento&lt;&gt;"TransfereGOV",
              ROUND(OFFSET($P26,0,BP$13),15-13*ORÇAMENTO!$AF$7)/$H26*OFFSET(ORÇAMENTO!$X$15,ROW(BP26)-ROW(BP$15),0),
              ROUND(ROUND(OFFSET($P26,0,BP$13),15-13*ORÇAMENTO!$AF$7)*OFFSET(ORÇAMENTO!$W$15,ROW(BP26)-ROW(BP$15),0),15-13*ORÇAMENTO!$AF$11)),
         0)</f>
        <v>0</v>
      </c>
      <c r="BQ26" s="453">
        <f ca="1">IF(AND($D26="Serviço",BQ$12&lt;&gt;0,$H26&gt;0,OR(AUTOEVENTO&lt;&gt;"manual",$M26&lt;&gt;$A$15)),
        IF(Import.TipoArredondamento&lt;&gt;"TransfereGOV",
              ROUND(OFFSET($P26,0,BQ$13),15-13*ORÇAMENTO!$AF$7)/$H26*OFFSET(ORÇAMENTO!$X$15,ROW(BQ26)-ROW(BQ$15),0),
              ROUND(ROUND(OFFSET($P26,0,BQ$13),15-13*ORÇAMENTO!$AF$7)*OFFSET(ORÇAMENTO!$W$15,ROW(BQ26)-ROW(BQ$15),0),15-13*ORÇAMENTO!$AF$11)),
         0)</f>
        <v>0</v>
      </c>
      <c r="BS26" s="171">
        <f ca="1">IF(OR($D26&lt;&gt;"Serviço",AND(AUTOEVENTO="Manual",$M26=$A$15)),0,
         IF(OFFSET(CRONOPLE!$F$15,$M26-$A$15,BS$13)=0,10^12,OFFSET(CRONOPLE!$F$15,$M26-$A$15,BS$13)))</f>
        <v>0</v>
      </c>
      <c r="BT26" s="171">
        <f ca="1">IF(OR($D26&lt;&gt;"Serviço",AND(AUTOEVENTO="Manual",$M26=$A$15)),0,
         IF(OFFSET(CRONOPLE!$F$15,$M26-$A$15,BT$13)=0,10^12,OFFSET(CRONOPLE!$F$15,$M26-$A$15,BT$13)))</f>
        <v>0</v>
      </c>
      <c r="BU26" s="171">
        <f ca="1">IF(OR($D26&lt;&gt;"Serviço",AND(AUTOEVENTO="Manual",$M26=$A$15)),0,
         IF(OFFSET(CRONOPLE!$F$15,$M26-$A$15,BU$13)=0,10^12,OFFSET(CRONOPLE!$F$15,$M26-$A$15,BU$13)))</f>
        <v>0</v>
      </c>
      <c r="BV26" s="171">
        <f ca="1">IF(OR($D26&lt;&gt;"Serviço",AND(AUTOEVENTO="Manual",$M26=$A$15)),0,
         IF(OFFSET(CRONOPLE!$F$15,$M26-$A$15,BV$13)=0,10^12,OFFSET(CRONOPLE!$F$15,$M26-$A$15,BV$13)))</f>
        <v>0</v>
      </c>
      <c r="BW26" s="171">
        <f ca="1">IF(OR($D26&lt;&gt;"Serviço",AND(AUTOEVENTO="Manual",$M26=$A$15)),0,
         IF(OFFSET(CRONOPLE!$F$15,$M26-$A$15,BW$13)=0,10^12,OFFSET(CRONOPLE!$F$15,$M26-$A$15,BW$13)))</f>
        <v>0</v>
      </c>
      <c r="BX26" s="171">
        <f ca="1">IF(OR($D26&lt;&gt;"Serviço",AND(AUTOEVENTO="Manual",$M26=$A$15)),0,
         IF(OFFSET(CRONOPLE!$F$15,$M26-$A$15,BX$13)=0,10^12,OFFSET(CRONOPLE!$F$15,$M26-$A$15,BX$13)))</f>
        <v>0</v>
      </c>
      <c r="BY26" s="171">
        <f ca="1">IF(OR($D26&lt;&gt;"Serviço",AND(AUTOEVENTO="Manual",$M26=$A$15)),0,
         IF(OFFSET(CRONOPLE!$F$15,$M26-$A$15,BY$13)=0,10^12,OFFSET(CRONOPLE!$F$15,$M26-$A$15,BY$13)))</f>
        <v>0</v>
      </c>
      <c r="BZ26" s="171">
        <f ca="1">IF(OR($D26&lt;&gt;"Serviço",AND(AUTOEVENTO="Manual",$M26=$A$15)),0,
         IF(OFFSET(CRONOPLE!$F$15,$M26-$A$15,BZ$13)=0,10^12,OFFSET(CRONOPLE!$F$15,$M26-$A$15,BZ$13)))</f>
        <v>0</v>
      </c>
      <c r="CA26" s="171">
        <f ca="1">IF(OR($D26&lt;&gt;"Serviço",AND(AUTOEVENTO="Manual",$M26=$A$15)),0,
         IF(OFFSET(CRONOPLE!$F$15,$M26-$A$15,CA$13)=0,10^12,OFFSET(CRONOPLE!$F$15,$M26-$A$15,CA$13)))</f>
        <v>0</v>
      </c>
      <c r="CB26" s="171">
        <f ca="1">IF(OR($D26&lt;&gt;"Serviço",AND(AUTOEVENTO="Manual",$M26=$A$15)),0,
         IF(OFFSET(CRONOPLE!$F$15,$M26-$A$15,CB$13)=0,10^12,OFFSET(CRONOPLE!$F$15,$M26-$A$15,CB$13)))</f>
        <v>0</v>
      </c>
      <c r="CC26" s="171">
        <f ca="1">IF(OR($D26&lt;&gt;"Serviço",AND(AUTOEVENTO="Manual",$M26=$A$15)),0,
         IF(OFFSET(CRONOPLE!$F$15,$M26-$A$15,CC$13)=0,10^12,OFFSET(CRONOPLE!$F$15,$M26-$A$15,CC$13)))</f>
        <v>0</v>
      </c>
      <c r="CD26" s="171">
        <f ca="1">IF(OR($D26&lt;&gt;"Serviço",AND(AUTOEVENTO="Manual",$M26=$A$15)),0,
         IF(OFFSET(CRONOPLE!$F$15,$M26-$A$15,CD$13)=0,10^12,OFFSET(CRONOPLE!$F$15,$M26-$A$15,CD$13)))</f>
        <v>0</v>
      </c>
      <c r="CE26" s="171">
        <f ca="1">IF(OR($D26&lt;&gt;"Serviço",AND(AUTOEVENTO="Manual",$M26=$A$15)),0,
         IF(OFFSET(CRONOPLE!$F$15,$M26-$A$15,CE$13)=0,10^12,OFFSET(CRONOPLE!$F$15,$M26-$A$15,CE$13)))</f>
        <v>0</v>
      </c>
      <c r="CF26" s="171">
        <f ca="1">IF(OR($D26&lt;&gt;"Serviço",AND(AUTOEVENTO="Manual",$M26=$A$15)),0,
         IF(OFFSET(CRONOPLE!$F$15,$M26-$A$15,CF$13)=0,10^12,OFFSET(CRONOPLE!$F$15,$M26-$A$15,CF$13)))</f>
        <v>0</v>
      </c>
      <c r="CG26" s="171">
        <f ca="1">IF(OR($D26&lt;&gt;"Serviço",AND(AUTOEVENTO="Manual",$M26=$A$15)),0,
         IF(OFFSET(CRONOPLE!$F$15,$M26-$A$15,CG$13)=0,10^12,OFFSET(CRONOPLE!$F$15,$M26-$A$15,CG$13)))</f>
        <v>0</v>
      </c>
      <c r="CH26" s="171">
        <f ca="1">IF(OR($D26&lt;&gt;"Serviço",AND(AUTOEVENTO="Manual",$M26=$A$15)),0,
         IF(OFFSET(CRONOPLE!$F$15,$M26-$A$15,CH$13)=0,10^12,OFFSET(CRONOPLE!$F$15,$M26-$A$15,CH$13)))</f>
        <v>0</v>
      </c>
      <c r="CI26" s="171">
        <f ca="1">IF(OR($D26&lt;&gt;"Serviço",AND(AUTOEVENTO="Manual",$M26=$A$15)),0,
         IF(OFFSET(CRONOPLE!$F$15,$M26-$A$15,CI$13)=0,10^12,OFFSET(CRONOPLE!$F$15,$M26-$A$15,CI$13)))</f>
        <v>0</v>
      </c>
      <c r="CJ26" s="171">
        <f ca="1">IF(OR($D26&lt;&gt;"Serviço",AND(AUTOEVENTO="Manual",$M26=$A$15)),0,
         IF(OFFSET(CRONOPLE!$F$15,$M26-$A$15,CJ$13)=0,10^12,OFFSET(CRONOPLE!$F$15,$M26-$A$15,CJ$13)))</f>
        <v>0</v>
      </c>
      <c r="CK26" s="171">
        <f ca="1">IF(OR($D26&lt;&gt;"Serviço",AND(AUTOEVENTO="Manual",$M26=$A$15)),0,
         IF(OFFSET(CRONOPLE!$F$15,$M26-$A$15,CK$13)=0,10^12,OFFSET(CRONOPLE!$F$15,$M26-$A$15,CK$13)))</f>
        <v>0</v>
      </c>
      <c r="CL26" s="171">
        <f ca="1">IF(OR($D26&lt;&gt;"Serviço",AND(AUTOEVENTO="Manual",$M26=$A$15)),0,
         IF(OFFSET(CRONOPLE!$F$15,$M26-$A$15,CL$13)=0,10^12,OFFSET(CRONOPLE!$F$15,$M26-$A$15,CL$13)))</f>
        <v>0</v>
      </c>
      <c r="CM26" s="171">
        <f ca="1">IF(OR($D26&lt;&gt;"Serviço",AND(AUTOEVENTO="Manual",$M26=$A$15)),0,
         IF(OFFSET(CRONOPLE!$F$15,$M26-$A$15,CM$13)=0,10^12,OFFSET(CRONOPLE!$F$15,$M26-$A$15,CM$13)))</f>
        <v>0</v>
      </c>
      <c r="CN26" s="171">
        <f ca="1">IF(OR($D26&lt;&gt;"Serviço",AND(AUTOEVENTO="Manual",$M26=$A$15)),0,
         IF(OFFSET(CRONOPLE!$F$15,$M26-$A$15,CN$13)=0,10^12,OFFSET(CRONOPLE!$F$15,$M26-$A$15,CN$13)))</f>
        <v>0</v>
      </c>
      <c r="CO26" s="171">
        <f ca="1">IF(OR($D26&lt;&gt;"Serviço",AND(AUTOEVENTO="Manual",$M26=$A$15)),0,
         IF(OFFSET(CRONOPLE!$F$15,$M26-$A$15,CO$13)=0,10^12,OFFSET(CRONOPLE!$F$15,$M26-$A$15,CO$13)))</f>
        <v>0</v>
      </c>
      <c r="CP26" s="171">
        <f ca="1">IF(OR($D26&lt;&gt;"Serviço",AND(AUTOEVENTO="Manual",$M26=$A$15)),0,
         IF(OFFSET(CRONOPLE!$F$15,$M26-$A$15,CP$13)=0,10^12,OFFSET(CRONOPLE!$F$15,$M26-$A$15,CP$13)))</f>
        <v>0</v>
      </c>
      <c r="CQ26" s="171">
        <f ca="1">IF(OR($D26&lt;&gt;"Serviço",AND(AUTOEVENTO="Manual",$M26=$A$15)),0,
         IF(OFFSET(CRONOPLE!$F$15,$M26-$A$15,CQ$13)=0,10^12,OFFSET(CRONOPLE!$F$15,$M26-$A$15,CQ$13)))</f>
        <v>0</v>
      </c>
      <c r="CR26" s="171">
        <f ca="1">IF(OR($D26&lt;&gt;"Serviço",AND(AUTOEVENTO="Manual",$M26=$A$15)),0,
         IF(OFFSET(CRONOPLE!$F$15,$M26-$A$15,CR$13)=0,10^12,OFFSET(CRONOPLE!$F$15,$M26-$A$15,CR$13)))</f>
        <v>0</v>
      </c>
      <c r="CT26" s="172" cm="1">
        <f t="array" aca="1" ref="CT26" ca="1">IF(OR($D26&lt;&gt;"Serviço",AND(AUTOEVENTO="Manual",$M26=$A$15),$M26&gt;(ROW(PLE.lastrow)-ROW(PLE.firstrow))),0,
           IF(OFFSET(PLE!$G$15,$M26-$A$15,CT$13)="",10^12,OFFSET(PLE!$G$15,$M26-$A$15,CT$13)))</f>
        <v>0</v>
      </c>
      <c r="CU26" s="172" cm="1">
        <f t="array" aca="1" ref="CU26" ca="1">IF(OR($D26&lt;&gt;"Serviço",AND(AUTOEVENTO="Manual",$M26=$A$15),$M26&gt;(ROW(PLE.lastrow)-ROW(PLE.firstrow))),0,
           IF(OFFSET(PLE!$G$15,$M26-$A$15,CU$13)="",10^12,OFFSET(PLE!$G$15,$M26-$A$15,CU$13)))</f>
        <v>0</v>
      </c>
      <c r="CV26" s="172" cm="1">
        <f t="array" aca="1" ref="CV26" ca="1">IF(OR($D26&lt;&gt;"Serviço",AND(AUTOEVENTO="Manual",$M26=$A$15),$M26&gt;(ROW(PLE.lastrow)-ROW(PLE.firstrow))),0,
           IF(OFFSET(PLE!$G$15,$M26-$A$15,CV$13)="",10^12,OFFSET(PLE!$G$15,$M26-$A$15,CV$13)))</f>
        <v>0</v>
      </c>
      <c r="CW26" s="172" cm="1">
        <f t="array" aca="1" ref="CW26" ca="1">IF(OR($D26&lt;&gt;"Serviço",AND(AUTOEVENTO="Manual",$M26=$A$15),$M26&gt;(ROW(PLE.lastrow)-ROW(PLE.firstrow))),0,
           IF(OFFSET(PLE!$G$15,$M26-$A$15,CW$13)="",10^12,OFFSET(PLE!$G$15,$M26-$A$15,CW$13)))</f>
        <v>0</v>
      </c>
      <c r="CX26" s="172" cm="1">
        <f t="array" aca="1" ref="CX26" ca="1">IF(OR($D26&lt;&gt;"Serviço",AND(AUTOEVENTO="Manual",$M26=$A$15),$M26&gt;(ROW(PLE.lastrow)-ROW(PLE.firstrow))),0,
           IF(OFFSET(PLE!$G$15,$M26-$A$15,CX$13)="",10^12,OFFSET(PLE!$G$15,$M26-$A$15,CX$13)))</f>
        <v>0</v>
      </c>
      <c r="CY26" s="172" cm="1">
        <f t="array" aca="1" ref="CY26" ca="1">IF(OR($D26&lt;&gt;"Serviço",AND(AUTOEVENTO="Manual",$M26=$A$15),$M26&gt;(ROW(PLE.lastrow)-ROW(PLE.firstrow))),0,
           IF(OFFSET(PLE!$G$15,$M26-$A$15,CY$13)="",10^12,OFFSET(PLE!$G$15,$M26-$A$15,CY$13)))</f>
        <v>0</v>
      </c>
      <c r="CZ26" s="172" cm="1">
        <f t="array" aca="1" ref="CZ26" ca="1">IF(OR($D26&lt;&gt;"Serviço",AND(AUTOEVENTO="Manual",$M26=$A$15),$M26&gt;(ROW(PLE.lastrow)-ROW(PLE.firstrow))),0,
           IF(OFFSET(PLE!$G$15,$M26-$A$15,CZ$13)="",10^12,OFFSET(PLE!$G$15,$M26-$A$15,CZ$13)))</f>
        <v>0</v>
      </c>
      <c r="DA26" s="172" cm="1">
        <f t="array" aca="1" ref="DA26" ca="1">IF(OR($D26&lt;&gt;"Serviço",AND(AUTOEVENTO="Manual",$M26=$A$15),$M26&gt;(ROW(PLE.lastrow)-ROW(PLE.firstrow))),0,
           IF(OFFSET(PLE!$G$15,$M26-$A$15,DA$13)="",10^12,OFFSET(PLE!$G$15,$M26-$A$15,DA$13)))</f>
        <v>0</v>
      </c>
      <c r="DB26" s="172" cm="1">
        <f t="array" aca="1" ref="DB26" ca="1">IF(OR($D26&lt;&gt;"Serviço",AND(AUTOEVENTO="Manual",$M26=$A$15),$M26&gt;(ROW(PLE.lastrow)-ROW(PLE.firstrow))),0,
           IF(OFFSET(PLE!$G$15,$M26-$A$15,DB$13)="",10^12,OFFSET(PLE!$G$15,$M26-$A$15,DB$13)))</f>
        <v>0</v>
      </c>
      <c r="DC26" s="172" cm="1">
        <f t="array" aca="1" ref="DC26" ca="1">IF(OR($D26&lt;&gt;"Serviço",AND(AUTOEVENTO="Manual",$M26=$A$15),$M26&gt;(ROW(PLE.lastrow)-ROW(PLE.firstrow))),0,
           IF(OFFSET(PLE!$G$15,$M26-$A$15,DC$13)="",10^12,OFFSET(PLE!$G$15,$M26-$A$15,DC$13)))</f>
        <v>0</v>
      </c>
      <c r="DD26" s="172" cm="1">
        <f t="array" aca="1" ref="DD26" ca="1">IF(OR($D26&lt;&gt;"Serviço",AND(AUTOEVENTO="Manual",$M26=$A$15),$M26&gt;(ROW(PLE.lastrow)-ROW(PLE.firstrow))),0,
           IF(OFFSET(PLE!$G$15,$M26-$A$15,DD$13)="",10^12,OFFSET(PLE!$G$15,$M26-$A$15,DD$13)))</f>
        <v>0</v>
      </c>
      <c r="DE26" s="172" cm="1">
        <f t="array" aca="1" ref="DE26" ca="1">IF(OR($D26&lt;&gt;"Serviço",AND(AUTOEVENTO="Manual",$M26=$A$15),$M26&gt;(ROW(PLE.lastrow)-ROW(PLE.firstrow))),0,
           IF(OFFSET(PLE!$G$15,$M26-$A$15,DE$13)="",10^12,OFFSET(PLE!$G$15,$M26-$A$15,DE$13)))</f>
        <v>0</v>
      </c>
      <c r="DF26" s="172" cm="1">
        <f t="array" aca="1" ref="DF26" ca="1">IF(OR($D26&lt;&gt;"Serviço",AND(AUTOEVENTO="Manual",$M26=$A$15),$M26&gt;(ROW(PLE.lastrow)-ROW(PLE.firstrow))),0,
           IF(OFFSET(PLE!$G$15,$M26-$A$15,DF$13)="",10^12,OFFSET(PLE!$G$15,$M26-$A$15,DF$13)))</f>
        <v>0</v>
      </c>
      <c r="DG26" s="172" cm="1">
        <f t="array" aca="1" ref="DG26" ca="1">IF(OR($D26&lt;&gt;"Serviço",AND(AUTOEVENTO="Manual",$M26=$A$15),$M26&gt;(ROW(PLE.lastrow)-ROW(PLE.firstrow))),0,
           IF(OFFSET(PLE!$G$15,$M26-$A$15,DG$13)="",10^12,OFFSET(PLE!$G$15,$M26-$A$15,DG$13)))</f>
        <v>0</v>
      </c>
      <c r="DH26" s="172" cm="1">
        <f t="array" aca="1" ref="DH26" ca="1">IF(OR($D26&lt;&gt;"Serviço",AND(AUTOEVENTO="Manual",$M26=$A$15),$M26&gt;(ROW(PLE.lastrow)-ROW(PLE.firstrow))),0,
           IF(OFFSET(PLE!$G$15,$M26-$A$15,DH$13)="",10^12,OFFSET(PLE!$G$15,$M26-$A$15,DH$13)))</f>
        <v>0</v>
      </c>
      <c r="DI26" s="172" cm="1">
        <f t="array" aca="1" ref="DI26" ca="1">IF(OR($D26&lt;&gt;"Serviço",AND(AUTOEVENTO="Manual",$M26=$A$15),$M26&gt;(ROW(PLE.lastrow)-ROW(PLE.firstrow))),0,
           IF(OFFSET(PLE!$G$15,$M26-$A$15,DI$13)="",10^12,OFFSET(PLE!$G$15,$M26-$A$15,DI$13)))</f>
        <v>0</v>
      </c>
      <c r="DJ26" s="172" cm="1">
        <f t="array" aca="1" ref="DJ26" ca="1">IF(OR($D26&lt;&gt;"Serviço",AND(AUTOEVENTO="Manual",$M26=$A$15),$M26&gt;(ROW(PLE.lastrow)-ROW(PLE.firstrow))),0,
           IF(OFFSET(PLE!$G$15,$M26-$A$15,DJ$13)="",10^12,OFFSET(PLE!$G$15,$M26-$A$15,DJ$13)))</f>
        <v>0</v>
      </c>
      <c r="DK26" s="172" cm="1">
        <f t="array" aca="1" ref="DK26" ca="1">IF(OR($D26&lt;&gt;"Serviço",AND(AUTOEVENTO="Manual",$M26=$A$15),$M26&gt;(ROW(PLE.lastrow)-ROW(PLE.firstrow))),0,
           IF(OFFSET(PLE!$G$15,$M26-$A$15,DK$13)="",10^12,OFFSET(PLE!$G$15,$M26-$A$15,DK$13)))</f>
        <v>0</v>
      </c>
      <c r="DL26" s="172" cm="1">
        <f t="array" aca="1" ref="DL26" ca="1">IF(OR($D26&lt;&gt;"Serviço",AND(AUTOEVENTO="Manual",$M26=$A$15),$M26&gt;(ROW(PLE.lastrow)-ROW(PLE.firstrow))),0,
           IF(OFFSET(PLE!$G$15,$M26-$A$15,DL$13)="",10^12,OFFSET(PLE!$G$15,$M26-$A$15,DL$13)))</f>
        <v>0</v>
      </c>
      <c r="DM26" s="172" cm="1">
        <f t="array" aca="1" ref="DM26" ca="1">IF(OR($D26&lt;&gt;"Serviço",AND(AUTOEVENTO="Manual",$M26=$A$15),$M26&gt;(ROW(PLE.lastrow)-ROW(PLE.firstrow))),0,
           IF(OFFSET(PLE!$G$15,$M26-$A$15,DM$13)="",10^12,OFFSET(PLE!$G$15,$M26-$A$15,DM$13)))</f>
        <v>0</v>
      </c>
      <c r="DN26" s="172" cm="1">
        <f t="array" aca="1" ref="DN26" ca="1">IF(OR($D26&lt;&gt;"Serviço",AND(AUTOEVENTO="Manual",$M26=$A$15),$M26&gt;(ROW(PLE.lastrow)-ROW(PLE.firstrow))),0,
           IF(OFFSET(PLE!$G$15,$M26-$A$15,DN$13)="",10^12,OFFSET(PLE!$G$15,$M26-$A$15,DN$13)))</f>
        <v>0</v>
      </c>
      <c r="DO26" s="172" cm="1">
        <f t="array" aca="1" ref="DO26" ca="1">IF(OR($D26&lt;&gt;"Serviço",AND(AUTOEVENTO="Manual",$M26=$A$15),$M26&gt;(ROW(PLE.lastrow)-ROW(PLE.firstrow))),0,
           IF(OFFSET(PLE!$G$15,$M26-$A$15,DO$13)="",10^12,OFFSET(PLE!$G$15,$M26-$A$15,DO$13)))</f>
        <v>0</v>
      </c>
      <c r="DP26" s="172" cm="1">
        <f t="array" aca="1" ref="DP26" ca="1">IF(OR($D26&lt;&gt;"Serviço",AND(AUTOEVENTO="Manual",$M26=$A$15),$M26&gt;(ROW(PLE.lastrow)-ROW(PLE.firstrow))),0,
           IF(OFFSET(PLE!$G$15,$M26-$A$15,DP$13)="",10^12,OFFSET(PLE!$G$15,$M26-$A$15,DP$13)))</f>
        <v>0</v>
      </c>
      <c r="DQ26" s="172" cm="1">
        <f t="array" aca="1" ref="DQ26" ca="1">IF(OR($D26&lt;&gt;"Serviço",AND(AUTOEVENTO="Manual",$M26=$A$15),$M26&gt;(ROW(PLE.lastrow)-ROW(PLE.firstrow))),0,
           IF(OFFSET(PLE!$G$15,$M26-$A$15,DQ$13)="",10^12,OFFSET(PLE!$G$15,$M26-$A$15,DQ$13)))</f>
        <v>0</v>
      </c>
      <c r="DR26" s="172" cm="1">
        <f t="array" aca="1" ref="DR26" ca="1">IF(OR($D26&lt;&gt;"Serviço",AND(AUTOEVENTO="Manual",$M26=$A$15),$M26&gt;(ROW(PLE.lastrow)-ROW(PLE.firstrow))),0,
           IF(OFFSET(PLE!$G$15,$M26-$A$15,DR$13)="",10^12,OFFSET(PLE!$G$15,$M26-$A$15,DR$13)))</f>
        <v>0</v>
      </c>
      <c r="DS26" s="172" cm="1">
        <f t="array" aca="1" ref="DS26" ca="1">IF(OR($D26&lt;&gt;"Serviço",AND(AUTOEVENTO="Manual",$M26=$A$15),$M26&gt;(ROW(PLE.lastrow)-ROW(PLE.firstrow))),0,
           IF(OFFSET(PLE!$G$15,$M26-$A$15,DS$13)="",10^12,OFFSET(PLE!$G$15,$M26-$A$15,DS$13)))</f>
        <v>0</v>
      </c>
    </row>
    <row r="27" spans="1:123" ht="38.25" x14ac:dyDescent="0.2">
      <c r="A27" s="7">
        <f t="shared" ca="1" si="11"/>
        <v>3</v>
      </c>
      <c r="B27" s="7" t="str">
        <f ca="1">OFFSET(ORÇAMENTO!C$15,$L27,0)</f>
        <v>S</v>
      </c>
      <c r="C27" s="7" t="str">
        <f ca="1">OFFSET(ORÇAMENTO!L$15,$L27,0)</f>
        <v/>
      </c>
      <c r="D27" s="116" t="str">
        <f ca="1">OFFSET(ORÇAMENTO!N$15,$L27,0)</f>
        <v>Serviço</v>
      </c>
      <c r="E27" s="117" t="str">
        <f ca="1">OFFSET(ORÇAMENTO!O$15,$L27,0)</f>
        <v>-</v>
      </c>
      <c r="F27" s="163" t="str">
        <f ca="1">OFFSET(ORÇAMENTO!R$15,$L27,0)</f>
        <v>(Código não identificado nas referências)</v>
      </c>
      <c r="G27" s="164" t="str">
        <f ca="1">IF($D27&lt;&gt;"Serviço","",OFFSET(ORÇAMENTO!S$15,$L27,0))</f>
        <v>-</v>
      </c>
      <c r="H27" s="122" cm="1">
        <f t="array" aca="1" ref="H27" ca="1">IF($D27&lt;&gt;"Serviço",0,IF(ACOMPANHAMENTO="BM",ROUND(OFFSET(ORÇAMENTO!AJ$15,$L27,0),15-13*ORÇAMENTO!$AF$7),IF(IFERROR(CÁLCULO.FrentesPreenchidas,0)=0,0,SUM(ROUND(OFFSET($P27,0,1,1,CÁLCULO.FrentesPreenchidas),15-13*ORÇAMENTO!$AF$7)))))</f>
        <v>174.8</v>
      </c>
      <c r="I27" s="468" t="s">
        <v>1235</v>
      </c>
      <c r="J27" s="651" t="str" cm="1">
        <f t="array" aca="1" ref="J27" ca="1">IF(OR(B27&lt;&gt;"S",CÁLCULO.FrentesPreenchidas=0),"",IF(AND(ACOMPANHAMENTO="PLE",AUTOEVENTO="Manual",OR(H27&gt;0,ORÇAMENTO!AC27="QUANT."),OR(K27="",M27=0,N27="")),"►E",IF(AND(ACOMPANHAMENTO="PLE",ORÇAMENTO!AC27="QUANT."),"►Q",IF(AND(ACOMPANHAMENTO="PLE",H27&lt;&gt;SUMPRODUCT(($Q$1:$AQ$1=1)*ROUND(Q27:AQ27,15))),"►S",IF(AND(COUNTIF($P$11:$AQ$11,"▼")=0,H27&gt;0,I27=""),"◄M","")))))</f>
        <v/>
      </c>
      <c r="K27" s="652" t="s">
        <v>1250</v>
      </c>
      <c r="L27" s="165">
        <f t="shared" ca="1" si="12"/>
        <v>12</v>
      </c>
      <c r="M27" s="166">
        <f ca="1">IF($D27&lt;&gt;"Serviço","",
          IF(AUTOEVENTO="manual",$A27,
                IF(ISERROR(MATCH($A27,$A$15:OFFSET($A27,-1,0),0)),MAX($M$15:OFFSET(M27,-1,0))+1,
                      INDEX($M$15:OFFSET(M27,-1,0),MATCH($A27,$A$15:OFFSET($A27,-1,0),0)))))</f>
        <v>3</v>
      </c>
      <c r="N27" s="167" t="str">
        <f ca="1">IF($D27&lt;&gt;"Serviço","",
         IF(AUTOEVENTO="Manual",
                IF($A27=0,"&lt;-- defina o número do agrupador",
                       OFFSET(EVENTOS!$D$15,$A27-$A$15,0)),
                OFFSET($F$15,$A27,0)))</f>
        <v>FUNDAÇÕES</v>
      </c>
      <c r="O27" s="168"/>
      <c r="Q27" s="168">
        <v>8.74</v>
      </c>
      <c r="R27" s="169">
        <v>8.74</v>
      </c>
      <c r="S27" s="169">
        <v>8.74</v>
      </c>
      <c r="T27" s="169">
        <v>8.74</v>
      </c>
      <c r="U27" s="169">
        <v>8.74</v>
      </c>
      <c r="V27" s="169">
        <v>8.74</v>
      </c>
      <c r="W27" s="169">
        <v>8.74</v>
      </c>
      <c r="X27" s="169">
        <v>8.74</v>
      </c>
      <c r="Y27" s="169">
        <v>8.74</v>
      </c>
      <c r="Z27" s="170">
        <v>8.74</v>
      </c>
      <c r="AA27" s="169">
        <v>8.74</v>
      </c>
      <c r="AB27" s="169">
        <v>8.74</v>
      </c>
      <c r="AC27" s="169">
        <v>8.74</v>
      </c>
      <c r="AD27" s="169">
        <v>8.74</v>
      </c>
      <c r="AE27" s="169">
        <v>8.74</v>
      </c>
      <c r="AF27" s="169">
        <v>8.74</v>
      </c>
      <c r="AG27" s="169">
        <v>8.74</v>
      </c>
      <c r="AH27" s="170">
        <v>8.74</v>
      </c>
      <c r="AI27" s="169">
        <v>8.74</v>
      </c>
      <c r="AJ27" s="169">
        <v>8.74</v>
      </c>
      <c r="AK27" s="169"/>
      <c r="AL27" s="169"/>
      <c r="AM27" s="169"/>
      <c r="AN27" s="169"/>
      <c r="AO27" s="169"/>
      <c r="AP27" s="170"/>
      <c r="AR27" s="453">
        <f ca="1">IF(AND($D27="Serviço",AR$12&lt;&gt;0,$H27&gt;0,OR(AUTOEVENTO&lt;&gt;"manual",$M27&lt;&gt;$A$15)),
        IF(Import.TipoArredondamento&lt;&gt;"TransfereGOV",
              ROUND(OFFSET($P27,0,AR$13),15-13*ORÇAMENTO!$AF$7)/$H27*OFFSET(ORÇAMENTO!$X$15,ROW(AR27)-ROW(AR$15),0),
              ROUND(ROUND(OFFSET($P27,0,AR$13),15-13*ORÇAMENTO!$AF$7)*OFFSET(ORÇAMENTO!$W$15,ROW(AR27)-ROW(AR$15),0),15-13*ORÇAMENTO!$AF$11)),
         0)</f>
        <v>0</v>
      </c>
      <c r="AS27" s="453">
        <f ca="1">IF(AND($D27="Serviço",AS$12&lt;&gt;0,$H27&gt;0,OR(AUTOEVENTO&lt;&gt;"manual",$M27&lt;&gt;$A$15)),
        IF(Import.TipoArredondamento&lt;&gt;"TransfereGOV",
              ROUND(OFFSET($P27,0,AS$13),15-13*ORÇAMENTO!$AF$7)/$H27*OFFSET(ORÇAMENTO!$X$15,ROW(AS27)-ROW(AS$15),0),
              ROUND(ROUND(OFFSET($P27,0,AS$13),15-13*ORÇAMENTO!$AF$7)*OFFSET(ORÇAMENTO!$W$15,ROW(AS27)-ROW(AS$15),0),15-13*ORÇAMENTO!$AF$11)),
         0)</f>
        <v>0</v>
      </c>
      <c r="AT27" s="453">
        <f ca="1">IF(AND($D27="Serviço",AT$12&lt;&gt;0,$H27&gt;0,OR(AUTOEVENTO&lt;&gt;"manual",$M27&lt;&gt;$A$15)),
        IF(Import.TipoArredondamento&lt;&gt;"TransfereGOV",
              ROUND(OFFSET($P27,0,AT$13),15-13*ORÇAMENTO!$AF$7)/$H27*OFFSET(ORÇAMENTO!$X$15,ROW(AT27)-ROW(AT$15),0),
              ROUND(ROUND(OFFSET($P27,0,AT$13),15-13*ORÇAMENTO!$AF$7)*OFFSET(ORÇAMENTO!$W$15,ROW(AT27)-ROW(AT$15),0),15-13*ORÇAMENTO!$AF$11)),
         0)</f>
        <v>0</v>
      </c>
      <c r="AU27" s="453">
        <f ca="1">IF(AND($D27="Serviço",AU$12&lt;&gt;0,$H27&gt;0,OR(AUTOEVENTO&lt;&gt;"manual",$M27&lt;&gt;$A$15)),
        IF(Import.TipoArredondamento&lt;&gt;"TransfereGOV",
              ROUND(OFFSET($P27,0,AU$13),15-13*ORÇAMENTO!$AF$7)/$H27*OFFSET(ORÇAMENTO!$X$15,ROW(AU27)-ROW(AU$15),0),
              ROUND(ROUND(OFFSET($P27,0,AU$13),15-13*ORÇAMENTO!$AF$7)*OFFSET(ORÇAMENTO!$W$15,ROW(AU27)-ROW(AU$15),0),15-13*ORÇAMENTO!$AF$11)),
         0)</f>
        <v>0</v>
      </c>
      <c r="AV27" s="453">
        <f ca="1">IF(AND($D27="Serviço",AV$12&lt;&gt;0,$H27&gt;0,OR(AUTOEVENTO&lt;&gt;"manual",$M27&lt;&gt;$A$15)),
        IF(Import.TipoArredondamento&lt;&gt;"TransfereGOV",
              ROUND(OFFSET($P27,0,AV$13),15-13*ORÇAMENTO!$AF$7)/$H27*OFFSET(ORÇAMENTO!$X$15,ROW(AV27)-ROW(AV$15),0),
              ROUND(ROUND(OFFSET($P27,0,AV$13),15-13*ORÇAMENTO!$AF$7)*OFFSET(ORÇAMENTO!$W$15,ROW(AV27)-ROW(AV$15),0),15-13*ORÇAMENTO!$AF$11)),
         0)</f>
        <v>0</v>
      </c>
      <c r="AW27" s="453">
        <f ca="1">IF(AND($D27="Serviço",AW$12&lt;&gt;0,$H27&gt;0,OR(AUTOEVENTO&lt;&gt;"manual",$M27&lt;&gt;$A$15)),
        IF(Import.TipoArredondamento&lt;&gt;"TransfereGOV",
              ROUND(OFFSET($P27,0,AW$13),15-13*ORÇAMENTO!$AF$7)/$H27*OFFSET(ORÇAMENTO!$X$15,ROW(AW27)-ROW(AW$15),0),
              ROUND(ROUND(OFFSET($P27,0,AW$13),15-13*ORÇAMENTO!$AF$7)*OFFSET(ORÇAMENTO!$W$15,ROW(AW27)-ROW(AW$15),0),15-13*ORÇAMENTO!$AF$11)),
         0)</f>
        <v>0</v>
      </c>
      <c r="AX27" s="453">
        <f ca="1">IF(AND($D27="Serviço",AX$12&lt;&gt;0,$H27&gt;0,OR(AUTOEVENTO&lt;&gt;"manual",$M27&lt;&gt;$A$15)),
        IF(Import.TipoArredondamento&lt;&gt;"TransfereGOV",
              ROUND(OFFSET($P27,0,AX$13),15-13*ORÇAMENTO!$AF$7)/$H27*OFFSET(ORÇAMENTO!$X$15,ROW(AX27)-ROW(AX$15),0),
              ROUND(ROUND(OFFSET($P27,0,AX$13),15-13*ORÇAMENTO!$AF$7)*OFFSET(ORÇAMENTO!$W$15,ROW(AX27)-ROW(AX$15),0),15-13*ORÇAMENTO!$AF$11)),
         0)</f>
        <v>0</v>
      </c>
      <c r="AY27" s="453">
        <f ca="1">IF(AND($D27="Serviço",AY$12&lt;&gt;0,$H27&gt;0,OR(AUTOEVENTO&lt;&gt;"manual",$M27&lt;&gt;$A$15)),
        IF(Import.TipoArredondamento&lt;&gt;"TransfereGOV",
              ROUND(OFFSET($P27,0,AY$13),15-13*ORÇAMENTO!$AF$7)/$H27*OFFSET(ORÇAMENTO!$X$15,ROW(AY27)-ROW(AY$15),0),
              ROUND(ROUND(OFFSET($P27,0,AY$13),15-13*ORÇAMENTO!$AF$7)*OFFSET(ORÇAMENTO!$W$15,ROW(AY27)-ROW(AY$15),0),15-13*ORÇAMENTO!$AF$11)),
         0)</f>
        <v>0</v>
      </c>
      <c r="AZ27" s="453">
        <f ca="1">IF(AND($D27="Serviço",AZ$12&lt;&gt;0,$H27&gt;0,OR(AUTOEVENTO&lt;&gt;"manual",$M27&lt;&gt;$A$15)),
        IF(Import.TipoArredondamento&lt;&gt;"TransfereGOV",
              ROUND(OFFSET($P27,0,AZ$13),15-13*ORÇAMENTO!$AF$7)/$H27*OFFSET(ORÇAMENTO!$X$15,ROW(AZ27)-ROW(AZ$15),0),
              ROUND(ROUND(OFFSET($P27,0,AZ$13),15-13*ORÇAMENTO!$AF$7)*OFFSET(ORÇAMENTO!$W$15,ROW(AZ27)-ROW(AZ$15),0),15-13*ORÇAMENTO!$AF$11)),
         0)</f>
        <v>0</v>
      </c>
      <c r="BA27" s="453">
        <f ca="1">IF(AND($D27="Serviço",BA$12&lt;&gt;0,$H27&gt;0,OR(AUTOEVENTO&lt;&gt;"manual",$M27&lt;&gt;$A$15)),
        IF(Import.TipoArredondamento&lt;&gt;"TransfereGOV",
              ROUND(OFFSET($P27,0,BA$13),15-13*ORÇAMENTO!$AF$7)/$H27*OFFSET(ORÇAMENTO!$X$15,ROW(BA27)-ROW(BA$15),0),
              ROUND(ROUND(OFFSET($P27,0,BA$13),15-13*ORÇAMENTO!$AF$7)*OFFSET(ORÇAMENTO!$W$15,ROW(BA27)-ROW(BA$15),0),15-13*ORÇAMENTO!$AF$11)),
         0)</f>
        <v>0</v>
      </c>
      <c r="BB27" s="453">
        <f ca="1">IF(AND($D27="Serviço",BB$12&lt;&gt;0,$H27&gt;0,OR(AUTOEVENTO&lt;&gt;"manual",$M27&lt;&gt;$A$15)),
        IF(Import.TipoArredondamento&lt;&gt;"TransfereGOV",
              ROUND(OFFSET($P27,0,BB$13),15-13*ORÇAMENTO!$AF$7)/$H27*OFFSET(ORÇAMENTO!$X$15,ROW(BB27)-ROW(BB$15),0),
              ROUND(ROUND(OFFSET($P27,0,BB$13),15-13*ORÇAMENTO!$AF$7)*OFFSET(ORÇAMENTO!$W$15,ROW(BB27)-ROW(BB$15),0),15-13*ORÇAMENTO!$AF$11)),
         0)</f>
        <v>0</v>
      </c>
      <c r="BC27" s="453">
        <f ca="1">IF(AND($D27="Serviço",BC$12&lt;&gt;0,$H27&gt;0,OR(AUTOEVENTO&lt;&gt;"manual",$M27&lt;&gt;$A$15)),
        IF(Import.TipoArredondamento&lt;&gt;"TransfereGOV",
              ROUND(OFFSET($P27,0,BC$13),15-13*ORÇAMENTO!$AF$7)/$H27*OFFSET(ORÇAMENTO!$X$15,ROW(BC27)-ROW(BC$15),0),
              ROUND(ROUND(OFFSET($P27,0,BC$13),15-13*ORÇAMENTO!$AF$7)*OFFSET(ORÇAMENTO!$W$15,ROW(BC27)-ROW(BC$15),0),15-13*ORÇAMENTO!$AF$11)),
         0)</f>
        <v>0</v>
      </c>
      <c r="BD27" s="453">
        <f ca="1">IF(AND($D27="Serviço",BD$12&lt;&gt;0,$H27&gt;0,OR(AUTOEVENTO&lt;&gt;"manual",$M27&lt;&gt;$A$15)),
        IF(Import.TipoArredondamento&lt;&gt;"TransfereGOV",
              ROUND(OFFSET($P27,0,BD$13),15-13*ORÇAMENTO!$AF$7)/$H27*OFFSET(ORÇAMENTO!$X$15,ROW(BD27)-ROW(BD$15),0),
              ROUND(ROUND(OFFSET($P27,0,BD$13),15-13*ORÇAMENTO!$AF$7)*OFFSET(ORÇAMENTO!$W$15,ROW(BD27)-ROW(BD$15),0),15-13*ORÇAMENTO!$AF$11)),
         0)</f>
        <v>0</v>
      </c>
      <c r="BE27" s="453">
        <f ca="1">IF(AND($D27="Serviço",BE$12&lt;&gt;0,$H27&gt;0,OR(AUTOEVENTO&lt;&gt;"manual",$M27&lt;&gt;$A$15)),
        IF(Import.TipoArredondamento&lt;&gt;"TransfereGOV",
              ROUND(OFFSET($P27,0,BE$13),15-13*ORÇAMENTO!$AF$7)/$H27*OFFSET(ORÇAMENTO!$X$15,ROW(BE27)-ROW(BE$15),0),
              ROUND(ROUND(OFFSET($P27,0,BE$13),15-13*ORÇAMENTO!$AF$7)*OFFSET(ORÇAMENTO!$W$15,ROW(BE27)-ROW(BE$15),0),15-13*ORÇAMENTO!$AF$11)),
         0)</f>
        <v>0</v>
      </c>
      <c r="BF27" s="453">
        <f ca="1">IF(AND($D27="Serviço",BF$12&lt;&gt;0,$H27&gt;0,OR(AUTOEVENTO&lt;&gt;"manual",$M27&lt;&gt;$A$15)),
        IF(Import.TipoArredondamento&lt;&gt;"TransfereGOV",
              ROUND(OFFSET($P27,0,BF$13),15-13*ORÇAMENTO!$AF$7)/$H27*OFFSET(ORÇAMENTO!$X$15,ROW(BF27)-ROW(BF$15),0),
              ROUND(ROUND(OFFSET($P27,0,BF$13),15-13*ORÇAMENTO!$AF$7)*OFFSET(ORÇAMENTO!$W$15,ROW(BF27)-ROW(BF$15),0),15-13*ORÇAMENTO!$AF$11)),
         0)</f>
        <v>0</v>
      </c>
      <c r="BG27" s="453">
        <f ca="1">IF(AND($D27="Serviço",BG$12&lt;&gt;0,$H27&gt;0,OR(AUTOEVENTO&lt;&gt;"manual",$M27&lt;&gt;$A$15)),
        IF(Import.TipoArredondamento&lt;&gt;"TransfereGOV",
              ROUND(OFFSET($P27,0,BG$13),15-13*ORÇAMENTO!$AF$7)/$H27*OFFSET(ORÇAMENTO!$X$15,ROW(BG27)-ROW(BG$15),0),
              ROUND(ROUND(OFFSET($P27,0,BG$13),15-13*ORÇAMENTO!$AF$7)*OFFSET(ORÇAMENTO!$W$15,ROW(BG27)-ROW(BG$15),0),15-13*ORÇAMENTO!$AF$11)),
         0)</f>
        <v>0</v>
      </c>
      <c r="BH27" s="453">
        <f ca="1">IF(AND($D27="Serviço",BH$12&lt;&gt;0,$H27&gt;0,OR(AUTOEVENTO&lt;&gt;"manual",$M27&lt;&gt;$A$15)),
        IF(Import.TipoArredondamento&lt;&gt;"TransfereGOV",
              ROUND(OFFSET($P27,0,BH$13),15-13*ORÇAMENTO!$AF$7)/$H27*OFFSET(ORÇAMENTO!$X$15,ROW(BH27)-ROW(BH$15),0),
              ROUND(ROUND(OFFSET($P27,0,BH$13),15-13*ORÇAMENTO!$AF$7)*OFFSET(ORÇAMENTO!$W$15,ROW(BH27)-ROW(BH$15),0),15-13*ORÇAMENTO!$AF$11)),
         0)</f>
        <v>0</v>
      </c>
      <c r="BI27" s="453">
        <f ca="1">IF(AND($D27="Serviço",BI$12&lt;&gt;0,$H27&gt;0,OR(AUTOEVENTO&lt;&gt;"manual",$M27&lt;&gt;$A$15)),
        IF(Import.TipoArredondamento&lt;&gt;"TransfereGOV",
              ROUND(OFFSET($P27,0,BI$13),15-13*ORÇAMENTO!$AF$7)/$H27*OFFSET(ORÇAMENTO!$X$15,ROW(BI27)-ROW(BI$15),0),
              ROUND(ROUND(OFFSET($P27,0,BI$13),15-13*ORÇAMENTO!$AF$7)*OFFSET(ORÇAMENTO!$W$15,ROW(BI27)-ROW(BI$15),0),15-13*ORÇAMENTO!$AF$11)),
         0)</f>
        <v>0</v>
      </c>
      <c r="BJ27" s="453">
        <f ca="1">IF(AND($D27="Serviço",BJ$12&lt;&gt;0,$H27&gt;0,OR(AUTOEVENTO&lt;&gt;"manual",$M27&lt;&gt;$A$15)),
        IF(Import.TipoArredondamento&lt;&gt;"TransfereGOV",
              ROUND(OFFSET($P27,0,BJ$13),15-13*ORÇAMENTO!$AF$7)/$H27*OFFSET(ORÇAMENTO!$X$15,ROW(BJ27)-ROW(BJ$15),0),
              ROUND(ROUND(OFFSET($P27,0,BJ$13),15-13*ORÇAMENTO!$AF$7)*OFFSET(ORÇAMENTO!$W$15,ROW(BJ27)-ROW(BJ$15),0),15-13*ORÇAMENTO!$AF$11)),
         0)</f>
        <v>0</v>
      </c>
      <c r="BK27" s="453">
        <f ca="1">IF(AND($D27="Serviço",BK$12&lt;&gt;0,$H27&gt;0,OR(AUTOEVENTO&lt;&gt;"manual",$M27&lt;&gt;$A$15)),
        IF(Import.TipoArredondamento&lt;&gt;"TransfereGOV",
              ROUND(OFFSET($P27,0,BK$13),15-13*ORÇAMENTO!$AF$7)/$H27*OFFSET(ORÇAMENTO!$X$15,ROW(BK27)-ROW(BK$15),0),
              ROUND(ROUND(OFFSET($P27,0,BK$13),15-13*ORÇAMENTO!$AF$7)*OFFSET(ORÇAMENTO!$W$15,ROW(BK27)-ROW(BK$15),0),15-13*ORÇAMENTO!$AF$11)),
         0)</f>
        <v>0</v>
      </c>
      <c r="BL27" s="453">
        <f ca="1">IF(AND($D27="Serviço",BL$12&lt;&gt;0,$H27&gt;0,OR(AUTOEVENTO&lt;&gt;"manual",$M27&lt;&gt;$A$15)),
        IF(Import.TipoArredondamento&lt;&gt;"TransfereGOV",
              ROUND(OFFSET($P27,0,BL$13),15-13*ORÇAMENTO!$AF$7)/$H27*OFFSET(ORÇAMENTO!$X$15,ROW(BL27)-ROW(BL$15),0),
              ROUND(ROUND(OFFSET($P27,0,BL$13),15-13*ORÇAMENTO!$AF$7)*OFFSET(ORÇAMENTO!$W$15,ROW(BL27)-ROW(BL$15),0),15-13*ORÇAMENTO!$AF$11)),
         0)</f>
        <v>0</v>
      </c>
      <c r="BM27" s="453">
        <f ca="1">IF(AND($D27="Serviço",BM$12&lt;&gt;0,$H27&gt;0,OR(AUTOEVENTO&lt;&gt;"manual",$M27&lt;&gt;$A$15)),
        IF(Import.TipoArredondamento&lt;&gt;"TransfereGOV",
              ROUND(OFFSET($P27,0,BM$13),15-13*ORÇAMENTO!$AF$7)/$H27*OFFSET(ORÇAMENTO!$X$15,ROW(BM27)-ROW(BM$15),0),
              ROUND(ROUND(OFFSET($P27,0,BM$13),15-13*ORÇAMENTO!$AF$7)*OFFSET(ORÇAMENTO!$W$15,ROW(BM27)-ROW(BM$15),0),15-13*ORÇAMENTO!$AF$11)),
         0)</f>
        <v>0</v>
      </c>
      <c r="BN27" s="453">
        <f ca="1">IF(AND($D27="Serviço",BN$12&lt;&gt;0,$H27&gt;0,OR(AUTOEVENTO&lt;&gt;"manual",$M27&lt;&gt;$A$15)),
        IF(Import.TipoArredondamento&lt;&gt;"TransfereGOV",
              ROUND(OFFSET($P27,0,BN$13),15-13*ORÇAMENTO!$AF$7)/$H27*OFFSET(ORÇAMENTO!$X$15,ROW(BN27)-ROW(BN$15),0),
              ROUND(ROUND(OFFSET($P27,0,BN$13),15-13*ORÇAMENTO!$AF$7)*OFFSET(ORÇAMENTO!$W$15,ROW(BN27)-ROW(BN$15),0),15-13*ORÇAMENTO!$AF$11)),
         0)</f>
        <v>0</v>
      </c>
      <c r="BO27" s="453">
        <f ca="1">IF(AND($D27="Serviço",BO$12&lt;&gt;0,$H27&gt;0,OR(AUTOEVENTO&lt;&gt;"manual",$M27&lt;&gt;$A$15)),
        IF(Import.TipoArredondamento&lt;&gt;"TransfereGOV",
              ROUND(OFFSET($P27,0,BO$13),15-13*ORÇAMENTO!$AF$7)/$H27*OFFSET(ORÇAMENTO!$X$15,ROW(BO27)-ROW(BO$15),0),
              ROUND(ROUND(OFFSET($P27,0,BO$13),15-13*ORÇAMENTO!$AF$7)*OFFSET(ORÇAMENTO!$W$15,ROW(BO27)-ROW(BO$15),0),15-13*ORÇAMENTO!$AF$11)),
         0)</f>
        <v>0</v>
      </c>
      <c r="BP27" s="453">
        <f ca="1">IF(AND($D27="Serviço",BP$12&lt;&gt;0,$H27&gt;0,OR(AUTOEVENTO&lt;&gt;"manual",$M27&lt;&gt;$A$15)),
        IF(Import.TipoArredondamento&lt;&gt;"TransfereGOV",
              ROUND(OFFSET($P27,0,BP$13),15-13*ORÇAMENTO!$AF$7)/$H27*OFFSET(ORÇAMENTO!$X$15,ROW(BP27)-ROW(BP$15),0),
              ROUND(ROUND(OFFSET($P27,0,BP$13),15-13*ORÇAMENTO!$AF$7)*OFFSET(ORÇAMENTO!$W$15,ROW(BP27)-ROW(BP$15),0),15-13*ORÇAMENTO!$AF$11)),
         0)</f>
        <v>0</v>
      </c>
      <c r="BQ27" s="453">
        <f ca="1">IF(AND($D27="Serviço",BQ$12&lt;&gt;0,$H27&gt;0,OR(AUTOEVENTO&lt;&gt;"manual",$M27&lt;&gt;$A$15)),
        IF(Import.TipoArredondamento&lt;&gt;"TransfereGOV",
              ROUND(OFFSET($P27,0,BQ$13),15-13*ORÇAMENTO!$AF$7)/$H27*OFFSET(ORÇAMENTO!$X$15,ROW(BQ27)-ROW(BQ$15),0),
              ROUND(ROUND(OFFSET($P27,0,BQ$13),15-13*ORÇAMENTO!$AF$7)*OFFSET(ORÇAMENTO!$W$15,ROW(BQ27)-ROW(BQ$15),0),15-13*ORÇAMENTO!$AF$11)),
         0)</f>
        <v>0</v>
      </c>
      <c r="BS27" s="171">
        <f ca="1">IF(OR($D27&lt;&gt;"Serviço",AND(AUTOEVENTO="Manual",$M27=$A$15)),0,
         IF(OFFSET(CRONOPLE!$F$15,$M27-$A$15,BS$13)=0,10^12,OFFSET(CRONOPLE!$F$15,$M27-$A$15,BS$13)))</f>
        <v>1</v>
      </c>
      <c r="BT27" s="171">
        <f ca="1">IF(OR($D27&lt;&gt;"Serviço",AND(AUTOEVENTO="Manual",$M27=$A$15)),0,
         IF(OFFSET(CRONOPLE!$F$15,$M27-$A$15,BT$13)=0,10^12,OFFSET(CRONOPLE!$F$15,$M27-$A$15,BT$13)))</f>
        <v>2</v>
      </c>
      <c r="BU27" s="171">
        <f ca="1">IF(OR($D27&lt;&gt;"Serviço",AND(AUTOEVENTO="Manual",$M27=$A$15)),0,
         IF(OFFSET(CRONOPLE!$F$15,$M27-$A$15,BU$13)=0,10^12,OFFSET(CRONOPLE!$F$15,$M27-$A$15,BU$13)))</f>
        <v>3</v>
      </c>
      <c r="BV27" s="171">
        <f ca="1">IF(OR($D27&lt;&gt;"Serviço",AND(AUTOEVENTO="Manual",$M27=$A$15)),0,
         IF(OFFSET(CRONOPLE!$F$15,$M27-$A$15,BV$13)=0,10^12,OFFSET(CRONOPLE!$F$15,$M27-$A$15,BV$13)))</f>
        <v>4</v>
      </c>
      <c r="BW27" s="171">
        <f ca="1">IF(OR($D27&lt;&gt;"Serviço",AND(AUTOEVENTO="Manual",$M27=$A$15)),0,
         IF(OFFSET(CRONOPLE!$F$15,$M27-$A$15,BW$13)=0,10^12,OFFSET(CRONOPLE!$F$15,$M27-$A$15,BW$13)))</f>
        <v>5</v>
      </c>
      <c r="BX27" s="171">
        <f ca="1">IF(OR($D27&lt;&gt;"Serviço",AND(AUTOEVENTO="Manual",$M27=$A$15)),0,
         IF(OFFSET(CRONOPLE!$F$15,$M27-$A$15,BX$13)=0,10^12,OFFSET(CRONOPLE!$F$15,$M27-$A$15,BX$13)))</f>
        <v>6</v>
      </c>
      <c r="BY27" s="171">
        <f ca="1">IF(OR($D27&lt;&gt;"Serviço",AND(AUTOEVENTO="Manual",$M27=$A$15)),0,
         IF(OFFSET(CRONOPLE!$F$15,$M27-$A$15,BY$13)=0,10^12,OFFSET(CRONOPLE!$F$15,$M27-$A$15,BY$13)))</f>
        <v>7</v>
      </c>
      <c r="BZ27" s="171">
        <f ca="1">IF(OR($D27&lt;&gt;"Serviço",AND(AUTOEVENTO="Manual",$M27=$A$15)),0,
         IF(OFFSET(CRONOPLE!$F$15,$M27-$A$15,BZ$13)=0,10^12,OFFSET(CRONOPLE!$F$15,$M27-$A$15,BZ$13)))</f>
        <v>8</v>
      </c>
      <c r="CA27" s="171">
        <f ca="1">IF(OR($D27&lt;&gt;"Serviço",AND(AUTOEVENTO="Manual",$M27=$A$15)),0,
         IF(OFFSET(CRONOPLE!$F$15,$M27-$A$15,CA$13)=0,10^12,OFFSET(CRONOPLE!$F$15,$M27-$A$15,CA$13)))</f>
        <v>9</v>
      </c>
      <c r="CB27" s="171">
        <f ca="1">IF(OR($D27&lt;&gt;"Serviço",AND(AUTOEVENTO="Manual",$M27=$A$15)),0,
         IF(OFFSET(CRONOPLE!$F$15,$M27-$A$15,CB$13)=0,10^12,OFFSET(CRONOPLE!$F$15,$M27-$A$15,CB$13)))</f>
        <v>10</v>
      </c>
      <c r="CC27" s="171">
        <f ca="1">IF(OR($D27&lt;&gt;"Serviço",AND(AUTOEVENTO="Manual",$M27=$A$15)),0,
         IF(OFFSET(CRONOPLE!$F$15,$M27-$A$15,CC$13)=0,10^12,OFFSET(CRONOPLE!$F$15,$M27-$A$15,CC$13)))</f>
        <v>11</v>
      </c>
      <c r="CD27" s="171">
        <f ca="1">IF(OR($D27&lt;&gt;"Serviço",AND(AUTOEVENTO="Manual",$M27=$A$15)),0,
         IF(OFFSET(CRONOPLE!$F$15,$M27-$A$15,CD$13)=0,10^12,OFFSET(CRONOPLE!$F$15,$M27-$A$15,CD$13)))</f>
        <v>12</v>
      </c>
      <c r="CE27" s="171">
        <f ca="1">IF(OR($D27&lt;&gt;"Serviço",AND(AUTOEVENTO="Manual",$M27=$A$15)),0,
         IF(OFFSET(CRONOPLE!$F$15,$M27-$A$15,CE$13)=0,10^12,OFFSET(CRONOPLE!$F$15,$M27-$A$15,CE$13)))</f>
        <v>13</v>
      </c>
      <c r="CF27" s="171">
        <f ca="1">IF(OR($D27&lt;&gt;"Serviço",AND(AUTOEVENTO="Manual",$M27=$A$15)),0,
         IF(OFFSET(CRONOPLE!$F$15,$M27-$A$15,CF$13)=0,10^12,OFFSET(CRONOPLE!$F$15,$M27-$A$15,CF$13)))</f>
        <v>14</v>
      </c>
      <c r="CG27" s="171">
        <f ca="1">IF(OR($D27&lt;&gt;"Serviço",AND(AUTOEVENTO="Manual",$M27=$A$15)),0,
         IF(OFFSET(CRONOPLE!$F$15,$M27-$A$15,CG$13)=0,10^12,OFFSET(CRONOPLE!$F$15,$M27-$A$15,CG$13)))</f>
        <v>15</v>
      </c>
      <c r="CH27" s="171">
        <f ca="1">IF(OR($D27&lt;&gt;"Serviço",AND(AUTOEVENTO="Manual",$M27=$A$15)),0,
         IF(OFFSET(CRONOPLE!$F$15,$M27-$A$15,CH$13)=0,10^12,OFFSET(CRONOPLE!$F$15,$M27-$A$15,CH$13)))</f>
        <v>16</v>
      </c>
      <c r="CI27" s="171">
        <f ca="1">IF(OR($D27&lt;&gt;"Serviço",AND(AUTOEVENTO="Manual",$M27=$A$15)),0,
         IF(OFFSET(CRONOPLE!$F$15,$M27-$A$15,CI$13)=0,10^12,OFFSET(CRONOPLE!$F$15,$M27-$A$15,CI$13)))</f>
        <v>17</v>
      </c>
      <c r="CJ27" s="171">
        <f ca="1">IF(OR($D27&lt;&gt;"Serviço",AND(AUTOEVENTO="Manual",$M27=$A$15)),0,
         IF(OFFSET(CRONOPLE!$F$15,$M27-$A$15,CJ$13)=0,10^12,OFFSET(CRONOPLE!$F$15,$M27-$A$15,CJ$13)))</f>
        <v>18</v>
      </c>
      <c r="CK27" s="171">
        <f ca="1">IF(OR($D27&lt;&gt;"Serviço",AND(AUTOEVENTO="Manual",$M27=$A$15)),0,
         IF(OFFSET(CRONOPLE!$F$15,$M27-$A$15,CK$13)=0,10^12,OFFSET(CRONOPLE!$F$15,$M27-$A$15,CK$13)))</f>
        <v>19</v>
      </c>
      <c r="CL27" s="171">
        <f ca="1">IF(OR($D27&lt;&gt;"Serviço",AND(AUTOEVENTO="Manual",$M27=$A$15)),0,
         IF(OFFSET(CRONOPLE!$F$15,$M27-$A$15,CL$13)=0,10^12,OFFSET(CRONOPLE!$F$15,$M27-$A$15,CL$13)))</f>
        <v>20</v>
      </c>
      <c r="CM27" s="171">
        <f ca="1">IF(OR($D27&lt;&gt;"Serviço",AND(AUTOEVENTO="Manual",$M27=$A$15)),0,
         IF(OFFSET(CRONOPLE!$F$15,$M27-$A$15,CM$13)=0,10^12,OFFSET(CRONOPLE!$F$15,$M27-$A$15,CM$13)))</f>
        <v>1000000000000</v>
      </c>
      <c r="CN27" s="171">
        <f ca="1">IF(OR($D27&lt;&gt;"Serviço",AND(AUTOEVENTO="Manual",$M27=$A$15)),0,
         IF(OFFSET(CRONOPLE!$F$15,$M27-$A$15,CN$13)=0,10^12,OFFSET(CRONOPLE!$F$15,$M27-$A$15,CN$13)))</f>
        <v>1000000000000</v>
      </c>
      <c r="CO27" s="171">
        <f ca="1">IF(OR($D27&lt;&gt;"Serviço",AND(AUTOEVENTO="Manual",$M27=$A$15)),0,
         IF(OFFSET(CRONOPLE!$F$15,$M27-$A$15,CO$13)=0,10^12,OFFSET(CRONOPLE!$F$15,$M27-$A$15,CO$13)))</f>
        <v>1000000000000</v>
      </c>
      <c r="CP27" s="171">
        <f ca="1">IF(OR($D27&lt;&gt;"Serviço",AND(AUTOEVENTO="Manual",$M27=$A$15)),0,
         IF(OFFSET(CRONOPLE!$F$15,$M27-$A$15,CP$13)=0,10^12,OFFSET(CRONOPLE!$F$15,$M27-$A$15,CP$13)))</f>
        <v>1000000000000</v>
      </c>
      <c r="CQ27" s="171">
        <f ca="1">IF(OR($D27&lt;&gt;"Serviço",AND(AUTOEVENTO="Manual",$M27=$A$15)),0,
         IF(OFFSET(CRONOPLE!$F$15,$M27-$A$15,CQ$13)=0,10^12,OFFSET(CRONOPLE!$F$15,$M27-$A$15,CQ$13)))</f>
        <v>1000000000000</v>
      </c>
      <c r="CR27" s="171">
        <f ca="1">IF(OR($D27&lt;&gt;"Serviço",AND(AUTOEVENTO="Manual",$M27=$A$15)),0,
         IF(OFFSET(CRONOPLE!$F$15,$M27-$A$15,CR$13)=0,10^12,OFFSET(CRONOPLE!$F$15,$M27-$A$15,CR$13)))</f>
        <v>1000000000000</v>
      </c>
      <c r="CT27" s="172" cm="1">
        <f t="array" aca="1" ref="CT27" ca="1">IF(OR($D27&lt;&gt;"Serviço",AND(AUTOEVENTO="Manual",$M27=$A$15),$M27&gt;(ROW(PLE.lastrow)-ROW(PLE.firstrow))),0,
           IF(OFFSET(PLE!$G$15,$M27-$A$15,CT$13)="",10^12,OFFSET(PLE!$G$15,$M27-$A$15,CT$13)))</f>
        <v>1000000000000</v>
      </c>
      <c r="CU27" s="172" cm="1">
        <f t="array" aca="1" ref="CU27" ca="1">IF(OR($D27&lt;&gt;"Serviço",AND(AUTOEVENTO="Manual",$M27=$A$15),$M27&gt;(ROW(PLE.lastrow)-ROW(PLE.firstrow))),0,
           IF(OFFSET(PLE!$G$15,$M27-$A$15,CU$13)="",10^12,OFFSET(PLE!$G$15,$M27-$A$15,CU$13)))</f>
        <v>1000000000000</v>
      </c>
      <c r="CV27" s="172" cm="1">
        <f t="array" aca="1" ref="CV27" ca="1">IF(OR($D27&lt;&gt;"Serviço",AND(AUTOEVENTO="Manual",$M27=$A$15),$M27&gt;(ROW(PLE.lastrow)-ROW(PLE.firstrow))),0,
           IF(OFFSET(PLE!$G$15,$M27-$A$15,CV$13)="",10^12,OFFSET(PLE!$G$15,$M27-$A$15,CV$13)))</f>
        <v>1000000000000</v>
      </c>
      <c r="CW27" s="172" cm="1">
        <f t="array" aca="1" ref="CW27" ca="1">IF(OR($D27&lt;&gt;"Serviço",AND(AUTOEVENTO="Manual",$M27=$A$15),$M27&gt;(ROW(PLE.lastrow)-ROW(PLE.firstrow))),0,
           IF(OFFSET(PLE!$G$15,$M27-$A$15,CW$13)="",10^12,OFFSET(PLE!$G$15,$M27-$A$15,CW$13)))</f>
        <v>1000000000000</v>
      </c>
      <c r="CX27" s="172" cm="1">
        <f t="array" aca="1" ref="CX27" ca="1">IF(OR($D27&lt;&gt;"Serviço",AND(AUTOEVENTO="Manual",$M27=$A$15),$M27&gt;(ROW(PLE.lastrow)-ROW(PLE.firstrow))),0,
           IF(OFFSET(PLE!$G$15,$M27-$A$15,CX$13)="",10^12,OFFSET(PLE!$G$15,$M27-$A$15,CX$13)))</f>
        <v>1000000000000</v>
      </c>
      <c r="CY27" s="172" cm="1">
        <f t="array" aca="1" ref="CY27" ca="1">IF(OR($D27&lt;&gt;"Serviço",AND(AUTOEVENTO="Manual",$M27=$A$15),$M27&gt;(ROW(PLE.lastrow)-ROW(PLE.firstrow))),0,
           IF(OFFSET(PLE!$G$15,$M27-$A$15,CY$13)="",10^12,OFFSET(PLE!$G$15,$M27-$A$15,CY$13)))</f>
        <v>1000000000000</v>
      </c>
      <c r="CZ27" s="172" cm="1">
        <f t="array" aca="1" ref="CZ27" ca="1">IF(OR($D27&lt;&gt;"Serviço",AND(AUTOEVENTO="Manual",$M27=$A$15),$M27&gt;(ROW(PLE.lastrow)-ROW(PLE.firstrow))),0,
           IF(OFFSET(PLE!$G$15,$M27-$A$15,CZ$13)="",10^12,OFFSET(PLE!$G$15,$M27-$A$15,CZ$13)))</f>
        <v>1000000000000</v>
      </c>
      <c r="DA27" s="172" cm="1">
        <f t="array" aca="1" ref="DA27" ca="1">IF(OR($D27&lt;&gt;"Serviço",AND(AUTOEVENTO="Manual",$M27=$A$15),$M27&gt;(ROW(PLE.lastrow)-ROW(PLE.firstrow))),0,
           IF(OFFSET(PLE!$G$15,$M27-$A$15,DA$13)="",10^12,OFFSET(PLE!$G$15,$M27-$A$15,DA$13)))</f>
        <v>1000000000000</v>
      </c>
      <c r="DB27" s="172" cm="1">
        <f t="array" aca="1" ref="DB27" ca="1">IF(OR($D27&lt;&gt;"Serviço",AND(AUTOEVENTO="Manual",$M27=$A$15),$M27&gt;(ROW(PLE.lastrow)-ROW(PLE.firstrow))),0,
           IF(OFFSET(PLE!$G$15,$M27-$A$15,DB$13)="",10^12,OFFSET(PLE!$G$15,$M27-$A$15,DB$13)))</f>
        <v>1000000000000</v>
      </c>
      <c r="DC27" s="172" cm="1">
        <f t="array" aca="1" ref="DC27" ca="1">IF(OR($D27&lt;&gt;"Serviço",AND(AUTOEVENTO="Manual",$M27=$A$15),$M27&gt;(ROW(PLE.lastrow)-ROW(PLE.firstrow))),0,
           IF(OFFSET(PLE!$G$15,$M27-$A$15,DC$13)="",10^12,OFFSET(PLE!$G$15,$M27-$A$15,DC$13)))</f>
        <v>1000000000000</v>
      </c>
      <c r="DD27" s="172" cm="1">
        <f t="array" aca="1" ref="DD27" ca="1">IF(OR($D27&lt;&gt;"Serviço",AND(AUTOEVENTO="Manual",$M27=$A$15),$M27&gt;(ROW(PLE.lastrow)-ROW(PLE.firstrow))),0,
           IF(OFFSET(PLE!$G$15,$M27-$A$15,DD$13)="",10^12,OFFSET(PLE!$G$15,$M27-$A$15,DD$13)))</f>
        <v>1000000000000</v>
      </c>
      <c r="DE27" s="172" cm="1">
        <f t="array" aca="1" ref="DE27" ca="1">IF(OR($D27&lt;&gt;"Serviço",AND(AUTOEVENTO="Manual",$M27=$A$15),$M27&gt;(ROW(PLE.lastrow)-ROW(PLE.firstrow))),0,
           IF(OFFSET(PLE!$G$15,$M27-$A$15,DE$13)="",10^12,OFFSET(PLE!$G$15,$M27-$A$15,DE$13)))</f>
        <v>1000000000000</v>
      </c>
      <c r="DF27" s="172" cm="1">
        <f t="array" aca="1" ref="DF27" ca="1">IF(OR($D27&lt;&gt;"Serviço",AND(AUTOEVENTO="Manual",$M27=$A$15),$M27&gt;(ROW(PLE.lastrow)-ROW(PLE.firstrow))),0,
           IF(OFFSET(PLE!$G$15,$M27-$A$15,DF$13)="",10^12,OFFSET(PLE!$G$15,$M27-$A$15,DF$13)))</f>
        <v>1000000000000</v>
      </c>
      <c r="DG27" s="172" cm="1">
        <f t="array" aca="1" ref="DG27" ca="1">IF(OR($D27&lt;&gt;"Serviço",AND(AUTOEVENTO="Manual",$M27=$A$15),$M27&gt;(ROW(PLE.lastrow)-ROW(PLE.firstrow))),0,
           IF(OFFSET(PLE!$G$15,$M27-$A$15,DG$13)="",10^12,OFFSET(PLE!$G$15,$M27-$A$15,DG$13)))</f>
        <v>1000000000000</v>
      </c>
      <c r="DH27" s="172" cm="1">
        <f t="array" aca="1" ref="DH27" ca="1">IF(OR($D27&lt;&gt;"Serviço",AND(AUTOEVENTO="Manual",$M27=$A$15),$M27&gt;(ROW(PLE.lastrow)-ROW(PLE.firstrow))),0,
           IF(OFFSET(PLE!$G$15,$M27-$A$15,DH$13)="",10^12,OFFSET(PLE!$G$15,$M27-$A$15,DH$13)))</f>
        <v>1000000000000</v>
      </c>
      <c r="DI27" s="172" cm="1">
        <f t="array" aca="1" ref="DI27" ca="1">IF(OR($D27&lt;&gt;"Serviço",AND(AUTOEVENTO="Manual",$M27=$A$15),$M27&gt;(ROW(PLE.lastrow)-ROW(PLE.firstrow))),0,
           IF(OFFSET(PLE!$G$15,$M27-$A$15,DI$13)="",10^12,OFFSET(PLE!$G$15,$M27-$A$15,DI$13)))</f>
        <v>1000000000000</v>
      </c>
      <c r="DJ27" s="172" cm="1">
        <f t="array" aca="1" ref="DJ27" ca="1">IF(OR($D27&lt;&gt;"Serviço",AND(AUTOEVENTO="Manual",$M27=$A$15),$M27&gt;(ROW(PLE.lastrow)-ROW(PLE.firstrow))),0,
           IF(OFFSET(PLE!$G$15,$M27-$A$15,DJ$13)="",10^12,OFFSET(PLE!$G$15,$M27-$A$15,DJ$13)))</f>
        <v>1000000000000</v>
      </c>
      <c r="DK27" s="172" cm="1">
        <f t="array" aca="1" ref="DK27" ca="1">IF(OR($D27&lt;&gt;"Serviço",AND(AUTOEVENTO="Manual",$M27=$A$15),$M27&gt;(ROW(PLE.lastrow)-ROW(PLE.firstrow))),0,
           IF(OFFSET(PLE!$G$15,$M27-$A$15,DK$13)="",10^12,OFFSET(PLE!$G$15,$M27-$A$15,DK$13)))</f>
        <v>1000000000000</v>
      </c>
      <c r="DL27" s="172" cm="1">
        <f t="array" aca="1" ref="DL27" ca="1">IF(OR($D27&lt;&gt;"Serviço",AND(AUTOEVENTO="Manual",$M27=$A$15),$M27&gt;(ROW(PLE.lastrow)-ROW(PLE.firstrow))),0,
           IF(OFFSET(PLE!$G$15,$M27-$A$15,DL$13)="",10^12,OFFSET(PLE!$G$15,$M27-$A$15,DL$13)))</f>
        <v>1000000000000</v>
      </c>
      <c r="DM27" s="172" cm="1">
        <f t="array" aca="1" ref="DM27" ca="1">IF(OR($D27&lt;&gt;"Serviço",AND(AUTOEVENTO="Manual",$M27=$A$15),$M27&gt;(ROW(PLE.lastrow)-ROW(PLE.firstrow))),0,
           IF(OFFSET(PLE!$G$15,$M27-$A$15,DM$13)="",10^12,OFFSET(PLE!$G$15,$M27-$A$15,DM$13)))</f>
        <v>1000000000000</v>
      </c>
      <c r="DN27" s="172" cm="1">
        <f t="array" aca="1" ref="DN27" ca="1">IF(OR($D27&lt;&gt;"Serviço",AND(AUTOEVENTO="Manual",$M27=$A$15),$M27&gt;(ROW(PLE.lastrow)-ROW(PLE.firstrow))),0,
           IF(OFFSET(PLE!$G$15,$M27-$A$15,DN$13)="",10^12,OFFSET(PLE!$G$15,$M27-$A$15,DN$13)))</f>
        <v>1000000000000</v>
      </c>
      <c r="DO27" s="172" cm="1">
        <f t="array" aca="1" ref="DO27" ca="1">IF(OR($D27&lt;&gt;"Serviço",AND(AUTOEVENTO="Manual",$M27=$A$15),$M27&gt;(ROW(PLE.lastrow)-ROW(PLE.firstrow))),0,
           IF(OFFSET(PLE!$G$15,$M27-$A$15,DO$13)="",10^12,OFFSET(PLE!$G$15,$M27-$A$15,DO$13)))</f>
        <v>1000000000000</v>
      </c>
      <c r="DP27" s="172" cm="1">
        <f t="array" aca="1" ref="DP27" ca="1">IF(OR($D27&lt;&gt;"Serviço",AND(AUTOEVENTO="Manual",$M27=$A$15),$M27&gt;(ROW(PLE.lastrow)-ROW(PLE.firstrow))),0,
           IF(OFFSET(PLE!$G$15,$M27-$A$15,DP$13)="",10^12,OFFSET(PLE!$G$15,$M27-$A$15,DP$13)))</f>
        <v>1000000000000</v>
      </c>
      <c r="DQ27" s="172" cm="1">
        <f t="array" aca="1" ref="DQ27" ca="1">IF(OR($D27&lt;&gt;"Serviço",AND(AUTOEVENTO="Manual",$M27=$A$15),$M27&gt;(ROW(PLE.lastrow)-ROW(PLE.firstrow))),0,
           IF(OFFSET(PLE!$G$15,$M27-$A$15,DQ$13)="",10^12,OFFSET(PLE!$G$15,$M27-$A$15,DQ$13)))</f>
        <v>1000000000000</v>
      </c>
      <c r="DR27" s="172" cm="1">
        <f t="array" aca="1" ref="DR27" ca="1">IF(OR($D27&lt;&gt;"Serviço",AND(AUTOEVENTO="Manual",$M27=$A$15),$M27&gt;(ROW(PLE.lastrow)-ROW(PLE.firstrow))),0,
           IF(OFFSET(PLE!$G$15,$M27-$A$15,DR$13)="",10^12,OFFSET(PLE!$G$15,$M27-$A$15,DR$13)))</f>
        <v>1000000000000</v>
      </c>
      <c r="DS27" s="172" cm="1">
        <f t="array" aca="1" ref="DS27" ca="1">IF(OR($D27&lt;&gt;"Serviço",AND(AUTOEVENTO="Manual",$M27=$A$15),$M27&gt;(ROW(PLE.lastrow)-ROW(PLE.firstrow))),0,
           IF(OFFSET(PLE!$G$15,$M27-$A$15,DS$13)="",10^12,OFFSET(PLE!$G$15,$M27-$A$15,DS$13)))</f>
        <v>1000000000000</v>
      </c>
    </row>
    <row r="28" spans="1:123" ht="25.5" x14ac:dyDescent="0.2">
      <c r="A28" s="7">
        <f t="shared" ca="1" si="11"/>
        <v>3</v>
      </c>
      <c r="B28" s="7" t="str">
        <f ca="1">OFFSET(ORÇAMENTO!C$15,$L28,0)</f>
        <v>S</v>
      </c>
      <c r="C28" s="7" t="str">
        <f ca="1">OFFSET(ORÇAMENTO!L$15,$L28,0)</f>
        <v/>
      </c>
      <c r="D28" s="116" t="str">
        <f ca="1">OFFSET(ORÇAMENTO!N$15,$L28,0)</f>
        <v>Serviço</v>
      </c>
      <c r="E28" s="117" t="str">
        <f ca="1">OFFSET(ORÇAMENTO!O$15,$L28,0)</f>
        <v>-</v>
      </c>
      <c r="F28" s="163" t="str">
        <f ca="1">OFFSET(ORÇAMENTO!R$15,$L28,0)</f>
        <v>(Código não identificado nas referências)</v>
      </c>
      <c r="G28" s="164" t="str">
        <f ca="1">IF($D28&lt;&gt;"Serviço","",OFFSET(ORÇAMENTO!S$15,$L28,0))</f>
        <v>-</v>
      </c>
      <c r="H28" s="122" cm="1">
        <f t="array" aca="1" ref="H28" ca="1">IF($D28&lt;&gt;"Serviço",0,IF(ACOMPANHAMENTO="BM",ROUND(OFFSET(ORÇAMENTO!AJ$15,$L28,0),15-13*ORÇAMENTO!$AF$7),IF(IFERROR(CÁLCULO.FrentesPreenchidas,0)=0,0,SUM(ROUND(OFFSET($P28,0,1,1,CÁLCULO.FrentesPreenchidas),15-13*ORÇAMENTO!$AF$7)))))</f>
        <v>93.600000000000023</v>
      </c>
      <c r="I28" s="468" t="s">
        <v>1235</v>
      </c>
      <c r="J28" s="651" t="str" cm="1">
        <f t="array" aca="1" ref="J28" ca="1">IF(OR(B28&lt;&gt;"S",CÁLCULO.FrentesPreenchidas=0),"",IF(AND(ACOMPANHAMENTO="PLE",AUTOEVENTO="Manual",OR(H28&gt;0,ORÇAMENTO!AC28="QUANT."),OR(K28="",M28=0,N28="")),"►E",IF(AND(ACOMPANHAMENTO="PLE",ORÇAMENTO!AC28="QUANT."),"►Q",IF(AND(ACOMPANHAMENTO="PLE",H28&lt;&gt;SUMPRODUCT(($Q$1:$AQ$1=1)*ROUND(Q28:AQ28,15))),"►S",IF(AND(COUNTIF($P$11:$AQ$11,"▼")=0,H28&gt;0,I28=""),"◄M","")))))</f>
        <v/>
      </c>
      <c r="K28" s="652" t="s">
        <v>1250</v>
      </c>
      <c r="L28" s="165">
        <f t="shared" ca="1" si="12"/>
        <v>13</v>
      </c>
      <c r="M28" s="166">
        <f ca="1">IF($D28&lt;&gt;"Serviço","",
          IF(AUTOEVENTO="manual",$A28,
                IF(ISERROR(MATCH($A28,$A$15:OFFSET($A28,-1,0),0)),MAX($M$15:OFFSET(M28,-1,0))+1,
                      INDEX($M$15:OFFSET(M28,-1,0),MATCH($A28,$A$15:OFFSET($A28,-1,0),0)))))</f>
        <v>3</v>
      </c>
      <c r="N28" s="167" t="str">
        <f ca="1">IF($D28&lt;&gt;"Serviço","",
         IF(AUTOEVENTO="Manual",
                IF($A28=0,"&lt;-- defina o número do agrupador",
                       OFFSET(EVENTOS!$D$15,$A28-$A$15,0)),
                OFFSET($F$15,$A28,0)))</f>
        <v>FUNDAÇÕES</v>
      </c>
      <c r="O28" s="168"/>
      <c r="Q28" s="168">
        <v>4.68</v>
      </c>
      <c r="R28" s="169">
        <v>4.68</v>
      </c>
      <c r="S28" s="169">
        <v>4.68</v>
      </c>
      <c r="T28" s="169">
        <v>4.68</v>
      </c>
      <c r="U28" s="169">
        <v>4.68</v>
      </c>
      <c r="V28" s="169">
        <v>4.68</v>
      </c>
      <c r="W28" s="169">
        <v>4.68</v>
      </c>
      <c r="X28" s="169">
        <v>4.68</v>
      </c>
      <c r="Y28" s="169">
        <v>4.68</v>
      </c>
      <c r="Z28" s="170">
        <v>4.68</v>
      </c>
      <c r="AA28" s="169">
        <v>4.68</v>
      </c>
      <c r="AB28" s="169">
        <v>4.68</v>
      </c>
      <c r="AC28" s="169">
        <v>4.68</v>
      </c>
      <c r="AD28" s="169">
        <v>4.68</v>
      </c>
      <c r="AE28" s="169">
        <v>4.68</v>
      </c>
      <c r="AF28" s="169">
        <v>4.68</v>
      </c>
      <c r="AG28" s="169">
        <v>4.68</v>
      </c>
      <c r="AH28" s="170">
        <v>4.68</v>
      </c>
      <c r="AI28" s="169">
        <v>4.68</v>
      </c>
      <c r="AJ28" s="169">
        <v>4.68</v>
      </c>
      <c r="AK28" s="169"/>
      <c r="AL28" s="169"/>
      <c r="AM28" s="169"/>
      <c r="AN28" s="169"/>
      <c r="AO28" s="169"/>
      <c r="AP28" s="170"/>
      <c r="AR28" s="453">
        <f ca="1">IF(AND($D28="Serviço",AR$12&lt;&gt;0,$H28&gt;0,OR(AUTOEVENTO&lt;&gt;"manual",$M28&lt;&gt;$A$15)),
        IF(Import.TipoArredondamento&lt;&gt;"TransfereGOV",
              ROUND(OFFSET($P28,0,AR$13),15-13*ORÇAMENTO!$AF$7)/$H28*OFFSET(ORÇAMENTO!$X$15,ROW(AR28)-ROW(AR$15),0),
              ROUND(ROUND(OFFSET($P28,0,AR$13),15-13*ORÇAMENTO!$AF$7)*OFFSET(ORÇAMENTO!$W$15,ROW(AR28)-ROW(AR$15),0),15-13*ORÇAMENTO!$AF$11)),
         0)</f>
        <v>0</v>
      </c>
      <c r="AS28" s="453">
        <f ca="1">IF(AND($D28="Serviço",AS$12&lt;&gt;0,$H28&gt;0,OR(AUTOEVENTO&lt;&gt;"manual",$M28&lt;&gt;$A$15)),
        IF(Import.TipoArredondamento&lt;&gt;"TransfereGOV",
              ROUND(OFFSET($P28,0,AS$13),15-13*ORÇAMENTO!$AF$7)/$H28*OFFSET(ORÇAMENTO!$X$15,ROW(AS28)-ROW(AS$15),0),
              ROUND(ROUND(OFFSET($P28,0,AS$13),15-13*ORÇAMENTO!$AF$7)*OFFSET(ORÇAMENTO!$W$15,ROW(AS28)-ROW(AS$15),0),15-13*ORÇAMENTO!$AF$11)),
         0)</f>
        <v>0</v>
      </c>
      <c r="AT28" s="453">
        <f ca="1">IF(AND($D28="Serviço",AT$12&lt;&gt;0,$H28&gt;0,OR(AUTOEVENTO&lt;&gt;"manual",$M28&lt;&gt;$A$15)),
        IF(Import.TipoArredondamento&lt;&gt;"TransfereGOV",
              ROUND(OFFSET($P28,0,AT$13),15-13*ORÇAMENTO!$AF$7)/$H28*OFFSET(ORÇAMENTO!$X$15,ROW(AT28)-ROW(AT$15),0),
              ROUND(ROUND(OFFSET($P28,0,AT$13),15-13*ORÇAMENTO!$AF$7)*OFFSET(ORÇAMENTO!$W$15,ROW(AT28)-ROW(AT$15),0),15-13*ORÇAMENTO!$AF$11)),
         0)</f>
        <v>0</v>
      </c>
      <c r="AU28" s="453">
        <f ca="1">IF(AND($D28="Serviço",AU$12&lt;&gt;0,$H28&gt;0,OR(AUTOEVENTO&lt;&gt;"manual",$M28&lt;&gt;$A$15)),
        IF(Import.TipoArredondamento&lt;&gt;"TransfereGOV",
              ROUND(OFFSET($P28,0,AU$13),15-13*ORÇAMENTO!$AF$7)/$H28*OFFSET(ORÇAMENTO!$X$15,ROW(AU28)-ROW(AU$15),0),
              ROUND(ROUND(OFFSET($P28,0,AU$13),15-13*ORÇAMENTO!$AF$7)*OFFSET(ORÇAMENTO!$W$15,ROW(AU28)-ROW(AU$15),0),15-13*ORÇAMENTO!$AF$11)),
         0)</f>
        <v>0</v>
      </c>
      <c r="AV28" s="453">
        <f ca="1">IF(AND($D28="Serviço",AV$12&lt;&gt;0,$H28&gt;0,OR(AUTOEVENTO&lt;&gt;"manual",$M28&lt;&gt;$A$15)),
        IF(Import.TipoArredondamento&lt;&gt;"TransfereGOV",
              ROUND(OFFSET($P28,0,AV$13),15-13*ORÇAMENTO!$AF$7)/$H28*OFFSET(ORÇAMENTO!$X$15,ROW(AV28)-ROW(AV$15),0),
              ROUND(ROUND(OFFSET($P28,0,AV$13),15-13*ORÇAMENTO!$AF$7)*OFFSET(ORÇAMENTO!$W$15,ROW(AV28)-ROW(AV$15),0),15-13*ORÇAMENTO!$AF$11)),
         0)</f>
        <v>0</v>
      </c>
      <c r="AW28" s="453">
        <f ca="1">IF(AND($D28="Serviço",AW$12&lt;&gt;0,$H28&gt;0,OR(AUTOEVENTO&lt;&gt;"manual",$M28&lt;&gt;$A$15)),
        IF(Import.TipoArredondamento&lt;&gt;"TransfereGOV",
              ROUND(OFFSET($P28,0,AW$13),15-13*ORÇAMENTO!$AF$7)/$H28*OFFSET(ORÇAMENTO!$X$15,ROW(AW28)-ROW(AW$15),0),
              ROUND(ROUND(OFFSET($P28,0,AW$13),15-13*ORÇAMENTO!$AF$7)*OFFSET(ORÇAMENTO!$W$15,ROW(AW28)-ROW(AW$15),0),15-13*ORÇAMENTO!$AF$11)),
         0)</f>
        <v>0</v>
      </c>
      <c r="AX28" s="453">
        <f ca="1">IF(AND($D28="Serviço",AX$12&lt;&gt;0,$H28&gt;0,OR(AUTOEVENTO&lt;&gt;"manual",$M28&lt;&gt;$A$15)),
        IF(Import.TipoArredondamento&lt;&gt;"TransfereGOV",
              ROUND(OFFSET($P28,0,AX$13),15-13*ORÇAMENTO!$AF$7)/$H28*OFFSET(ORÇAMENTO!$X$15,ROW(AX28)-ROW(AX$15),0),
              ROUND(ROUND(OFFSET($P28,0,AX$13),15-13*ORÇAMENTO!$AF$7)*OFFSET(ORÇAMENTO!$W$15,ROW(AX28)-ROW(AX$15),0),15-13*ORÇAMENTO!$AF$11)),
         0)</f>
        <v>0</v>
      </c>
      <c r="AY28" s="453">
        <f ca="1">IF(AND($D28="Serviço",AY$12&lt;&gt;0,$H28&gt;0,OR(AUTOEVENTO&lt;&gt;"manual",$M28&lt;&gt;$A$15)),
        IF(Import.TipoArredondamento&lt;&gt;"TransfereGOV",
              ROUND(OFFSET($P28,0,AY$13),15-13*ORÇAMENTO!$AF$7)/$H28*OFFSET(ORÇAMENTO!$X$15,ROW(AY28)-ROW(AY$15),0),
              ROUND(ROUND(OFFSET($P28,0,AY$13),15-13*ORÇAMENTO!$AF$7)*OFFSET(ORÇAMENTO!$W$15,ROW(AY28)-ROW(AY$15),0),15-13*ORÇAMENTO!$AF$11)),
         0)</f>
        <v>0</v>
      </c>
      <c r="AZ28" s="453">
        <f ca="1">IF(AND($D28="Serviço",AZ$12&lt;&gt;0,$H28&gt;0,OR(AUTOEVENTO&lt;&gt;"manual",$M28&lt;&gt;$A$15)),
        IF(Import.TipoArredondamento&lt;&gt;"TransfereGOV",
              ROUND(OFFSET($P28,0,AZ$13),15-13*ORÇAMENTO!$AF$7)/$H28*OFFSET(ORÇAMENTO!$X$15,ROW(AZ28)-ROW(AZ$15),0),
              ROUND(ROUND(OFFSET($P28,0,AZ$13),15-13*ORÇAMENTO!$AF$7)*OFFSET(ORÇAMENTO!$W$15,ROW(AZ28)-ROW(AZ$15),0),15-13*ORÇAMENTO!$AF$11)),
         0)</f>
        <v>0</v>
      </c>
      <c r="BA28" s="453">
        <f ca="1">IF(AND($D28="Serviço",BA$12&lt;&gt;0,$H28&gt;0,OR(AUTOEVENTO&lt;&gt;"manual",$M28&lt;&gt;$A$15)),
        IF(Import.TipoArredondamento&lt;&gt;"TransfereGOV",
              ROUND(OFFSET($P28,0,BA$13),15-13*ORÇAMENTO!$AF$7)/$H28*OFFSET(ORÇAMENTO!$X$15,ROW(BA28)-ROW(BA$15),0),
              ROUND(ROUND(OFFSET($P28,0,BA$13),15-13*ORÇAMENTO!$AF$7)*OFFSET(ORÇAMENTO!$W$15,ROW(BA28)-ROW(BA$15),0),15-13*ORÇAMENTO!$AF$11)),
         0)</f>
        <v>0</v>
      </c>
      <c r="BB28" s="453">
        <f ca="1">IF(AND($D28="Serviço",BB$12&lt;&gt;0,$H28&gt;0,OR(AUTOEVENTO&lt;&gt;"manual",$M28&lt;&gt;$A$15)),
        IF(Import.TipoArredondamento&lt;&gt;"TransfereGOV",
              ROUND(OFFSET($P28,0,BB$13),15-13*ORÇAMENTO!$AF$7)/$H28*OFFSET(ORÇAMENTO!$X$15,ROW(BB28)-ROW(BB$15),0),
              ROUND(ROUND(OFFSET($P28,0,BB$13),15-13*ORÇAMENTO!$AF$7)*OFFSET(ORÇAMENTO!$W$15,ROW(BB28)-ROW(BB$15),0),15-13*ORÇAMENTO!$AF$11)),
         0)</f>
        <v>0</v>
      </c>
      <c r="BC28" s="453">
        <f ca="1">IF(AND($D28="Serviço",BC$12&lt;&gt;0,$H28&gt;0,OR(AUTOEVENTO&lt;&gt;"manual",$M28&lt;&gt;$A$15)),
        IF(Import.TipoArredondamento&lt;&gt;"TransfereGOV",
              ROUND(OFFSET($P28,0,BC$13),15-13*ORÇAMENTO!$AF$7)/$H28*OFFSET(ORÇAMENTO!$X$15,ROW(BC28)-ROW(BC$15),0),
              ROUND(ROUND(OFFSET($P28,0,BC$13),15-13*ORÇAMENTO!$AF$7)*OFFSET(ORÇAMENTO!$W$15,ROW(BC28)-ROW(BC$15),0),15-13*ORÇAMENTO!$AF$11)),
         0)</f>
        <v>0</v>
      </c>
      <c r="BD28" s="453">
        <f ca="1">IF(AND($D28="Serviço",BD$12&lt;&gt;0,$H28&gt;0,OR(AUTOEVENTO&lt;&gt;"manual",$M28&lt;&gt;$A$15)),
        IF(Import.TipoArredondamento&lt;&gt;"TransfereGOV",
              ROUND(OFFSET($P28,0,BD$13),15-13*ORÇAMENTO!$AF$7)/$H28*OFFSET(ORÇAMENTO!$X$15,ROW(BD28)-ROW(BD$15),0),
              ROUND(ROUND(OFFSET($P28,0,BD$13),15-13*ORÇAMENTO!$AF$7)*OFFSET(ORÇAMENTO!$W$15,ROW(BD28)-ROW(BD$15),0),15-13*ORÇAMENTO!$AF$11)),
         0)</f>
        <v>0</v>
      </c>
      <c r="BE28" s="453">
        <f ca="1">IF(AND($D28="Serviço",BE$12&lt;&gt;0,$H28&gt;0,OR(AUTOEVENTO&lt;&gt;"manual",$M28&lt;&gt;$A$15)),
        IF(Import.TipoArredondamento&lt;&gt;"TransfereGOV",
              ROUND(OFFSET($P28,0,BE$13),15-13*ORÇAMENTO!$AF$7)/$H28*OFFSET(ORÇAMENTO!$X$15,ROW(BE28)-ROW(BE$15),0),
              ROUND(ROUND(OFFSET($P28,0,BE$13),15-13*ORÇAMENTO!$AF$7)*OFFSET(ORÇAMENTO!$W$15,ROW(BE28)-ROW(BE$15),0),15-13*ORÇAMENTO!$AF$11)),
         0)</f>
        <v>0</v>
      </c>
      <c r="BF28" s="453">
        <f ca="1">IF(AND($D28="Serviço",BF$12&lt;&gt;0,$H28&gt;0,OR(AUTOEVENTO&lt;&gt;"manual",$M28&lt;&gt;$A$15)),
        IF(Import.TipoArredondamento&lt;&gt;"TransfereGOV",
              ROUND(OFFSET($P28,0,BF$13),15-13*ORÇAMENTO!$AF$7)/$H28*OFFSET(ORÇAMENTO!$X$15,ROW(BF28)-ROW(BF$15),0),
              ROUND(ROUND(OFFSET($P28,0,BF$13),15-13*ORÇAMENTO!$AF$7)*OFFSET(ORÇAMENTO!$W$15,ROW(BF28)-ROW(BF$15),0),15-13*ORÇAMENTO!$AF$11)),
         0)</f>
        <v>0</v>
      </c>
      <c r="BG28" s="453">
        <f ca="1">IF(AND($D28="Serviço",BG$12&lt;&gt;0,$H28&gt;0,OR(AUTOEVENTO&lt;&gt;"manual",$M28&lt;&gt;$A$15)),
        IF(Import.TipoArredondamento&lt;&gt;"TransfereGOV",
              ROUND(OFFSET($P28,0,BG$13),15-13*ORÇAMENTO!$AF$7)/$H28*OFFSET(ORÇAMENTO!$X$15,ROW(BG28)-ROW(BG$15),0),
              ROUND(ROUND(OFFSET($P28,0,BG$13),15-13*ORÇAMENTO!$AF$7)*OFFSET(ORÇAMENTO!$W$15,ROW(BG28)-ROW(BG$15),0),15-13*ORÇAMENTO!$AF$11)),
         0)</f>
        <v>0</v>
      </c>
      <c r="BH28" s="453">
        <f ca="1">IF(AND($D28="Serviço",BH$12&lt;&gt;0,$H28&gt;0,OR(AUTOEVENTO&lt;&gt;"manual",$M28&lt;&gt;$A$15)),
        IF(Import.TipoArredondamento&lt;&gt;"TransfereGOV",
              ROUND(OFFSET($P28,0,BH$13),15-13*ORÇAMENTO!$AF$7)/$H28*OFFSET(ORÇAMENTO!$X$15,ROW(BH28)-ROW(BH$15),0),
              ROUND(ROUND(OFFSET($P28,0,BH$13),15-13*ORÇAMENTO!$AF$7)*OFFSET(ORÇAMENTO!$W$15,ROW(BH28)-ROW(BH$15),0),15-13*ORÇAMENTO!$AF$11)),
         0)</f>
        <v>0</v>
      </c>
      <c r="BI28" s="453">
        <f ca="1">IF(AND($D28="Serviço",BI$12&lt;&gt;0,$H28&gt;0,OR(AUTOEVENTO&lt;&gt;"manual",$M28&lt;&gt;$A$15)),
        IF(Import.TipoArredondamento&lt;&gt;"TransfereGOV",
              ROUND(OFFSET($P28,0,BI$13),15-13*ORÇAMENTO!$AF$7)/$H28*OFFSET(ORÇAMENTO!$X$15,ROW(BI28)-ROW(BI$15),0),
              ROUND(ROUND(OFFSET($P28,0,BI$13),15-13*ORÇAMENTO!$AF$7)*OFFSET(ORÇAMENTO!$W$15,ROW(BI28)-ROW(BI$15),0),15-13*ORÇAMENTO!$AF$11)),
         0)</f>
        <v>0</v>
      </c>
      <c r="BJ28" s="453">
        <f ca="1">IF(AND($D28="Serviço",BJ$12&lt;&gt;0,$H28&gt;0,OR(AUTOEVENTO&lt;&gt;"manual",$M28&lt;&gt;$A$15)),
        IF(Import.TipoArredondamento&lt;&gt;"TransfereGOV",
              ROUND(OFFSET($P28,0,BJ$13),15-13*ORÇAMENTO!$AF$7)/$H28*OFFSET(ORÇAMENTO!$X$15,ROW(BJ28)-ROW(BJ$15),0),
              ROUND(ROUND(OFFSET($P28,0,BJ$13),15-13*ORÇAMENTO!$AF$7)*OFFSET(ORÇAMENTO!$W$15,ROW(BJ28)-ROW(BJ$15),0),15-13*ORÇAMENTO!$AF$11)),
         0)</f>
        <v>0</v>
      </c>
      <c r="BK28" s="453">
        <f ca="1">IF(AND($D28="Serviço",BK$12&lt;&gt;0,$H28&gt;0,OR(AUTOEVENTO&lt;&gt;"manual",$M28&lt;&gt;$A$15)),
        IF(Import.TipoArredondamento&lt;&gt;"TransfereGOV",
              ROUND(OFFSET($P28,0,BK$13),15-13*ORÇAMENTO!$AF$7)/$H28*OFFSET(ORÇAMENTO!$X$15,ROW(BK28)-ROW(BK$15),0),
              ROUND(ROUND(OFFSET($P28,0,BK$13),15-13*ORÇAMENTO!$AF$7)*OFFSET(ORÇAMENTO!$W$15,ROW(BK28)-ROW(BK$15),0),15-13*ORÇAMENTO!$AF$11)),
         0)</f>
        <v>0</v>
      </c>
      <c r="BL28" s="453">
        <f ca="1">IF(AND($D28="Serviço",BL$12&lt;&gt;0,$H28&gt;0,OR(AUTOEVENTO&lt;&gt;"manual",$M28&lt;&gt;$A$15)),
        IF(Import.TipoArredondamento&lt;&gt;"TransfereGOV",
              ROUND(OFFSET($P28,0,BL$13),15-13*ORÇAMENTO!$AF$7)/$H28*OFFSET(ORÇAMENTO!$X$15,ROW(BL28)-ROW(BL$15),0),
              ROUND(ROUND(OFFSET($P28,0,BL$13),15-13*ORÇAMENTO!$AF$7)*OFFSET(ORÇAMENTO!$W$15,ROW(BL28)-ROW(BL$15),0),15-13*ORÇAMENTO!$AF$11)),
         0)</f>
        <v>0</v>
      </c>
      <c r="BM28" s="453">
        <f ca="1">IF(AND($D28="Serviço",BM$12&lt;&gt;0,$H28&gt;0,OR(AUTOEVENTO&lt;&gt;"manual",$M28&lt;&gt;$A$15)),
        IF(Import.TipoArredondamento&lt;&gt;"TransfereGOV",
              ROUND(OFFSET($P28,0,BM$13),15-13*ORÇAMENTO!$AF$7)/$H28*OFFSET(ORÇAMENTO!$X$15,ROW(BM28)-ROW(BM$15),0),
              ROUND(ROUND(OFFSET($P28,0,BM$13),15-13*ORÇAMENTO!$AF$7)*OFFSET(ORÇAMENTO!$W$15,ROW(BM28)-ROW(BM$15),0),15-13*ORÇAMENTO!$AF$11)),
         0)</f>
        <v>0</v>
      </c>
      <c r="BN28" s="453">
        <f ca="1">IF(AND($D28="Serviço",BN$12&lt;&gt;0,$H28&gt;0,OR(AUTOEVENTO&lt;&gt;"manual",$M28&lt;&gt;$A$15)),
        IF(Import.TipoArredondamento&lt;&gt;"TransfereGOV",
              ROUND(OFFSET($P28,0,BN$13),15-13*ORÇAMENTO!$AF$7)/$H28*OFFSET(ORÇAMENTO!$X$15,ROW(BN28)-ROW(BN$15),0),
              ROUND(ROUND(OFFSET($P28,0,BN$13),15-13*ORÇAMENTO!$AF$7)*OFFSET(ORÇAMENTO!$W$15,ROW(BN28)-ROW(BN$15),0),15-13*ORÇAMENTO!$AF$11)),
         0)</f>
        <v>0</v>
      </c>
      <c r="BO28" s="453">
        <f ca="1">IF(AND($D28="Serviço",BO$12&lt;&gt;0,$H28&gt;0,OR(AUTOEVENTO&lt;&gt;"manual",$M28&lt;&gt;$A$15)),
        IF(Import.TipoArredondamento&lt;&gt;"TransfereGOV",
              ROUND(OFFSET($P28,0,BO$13),15-13*ORÇAMENTO!$AF$7)/$H28*OFFSET(ORÇAMENTO!$X$15,ROW(BO28)-ROW(BO$15),0),
              ROUND(ROUND(OFFSET($P28,0,BO$13),15-13*ORÇAMENTO!$AF$7)*OFFSET(ORÇAMENTO!$W$15,ROW(BO28)-ROW(BO$15),0),15-13*ORÇAMENTO!$AF$11)),
         0)</f>
        <v>0</v>
      </c>
      <c r="BP28" s="453">
        <f ca="1">IF(AND($D28="Serviço",BP$12&lt;&gt;0,$H28&gt;0,OR(AUTOEVENTO&lt;&gt;"manual",$M28&lt;&gt;$A$15)),
        IF(Import.TipoArredondamento&lt;&gt;"TransfereGOV",
              ROUND(OFFSET($P28,0,BP$13),15-13*ORÇAMENTO!$AF$7)/$H28*OFFSET(ORÇAMENTO!$X$15,ROW(BP28)-ROW(BP$15),0),
              ROUND(ROUND(OFFSET($P28,0,BP$13),15-13*ORÇAMENTO!$AF$7)*OFFSET(ORÇAMENTO!$W$15,ROW(BP28)-ROW(BP$15),0),15-13*ORÇAMENTO!$AF$11)),
         0)</f>
        <v>0</v>
      </c>
      <c r="BQ28" s="453">
        <f ca="1">IF(AND($D28="Serviço",BQ$12&lt;&gt;0,$H28&gt;0,OR(AUTOEVENTO&lt;&gt;"manual",$M28&lt;&gt;$A$15)),
        IF(Import.TipoArredondamento&lt;&gt;"TransfereGOV",
              ROUND(OFFSET($P28,0,BQ$13),15-13*ORÇAMENTO!$AF$7)/$H28*OFFSET(ORÇAMENTO!$X$15,ROW(BQ28)-ROW(BQ$15),0),
              ROUND(ROUND(OFFSET($P28,0,BQ$13),15-13*ORÇAMENTO!$AF$7)*OFFSET(ORÇAMENTO!$W$15,ROW(BQ28)-ROW(BQ$15),0),15-13*ORÇAMENTO!$AF$11)),
         0)</f>
        <v>0</v>
      </c>
      <c r="BS28" s="171">
        <f ca="1">IF(OR($D28&lt;&gt;"Serviço",AND(AUTOEVENTO="Manual",$M28=$A$15)),0,
         IF(OFFSET(CRONOPLE!$F$15,$M28-$A$15,BS$13)=0,10^12,OFFSET(CRONOPLE!$F$15,$M28-$A$15,BS$13)))</f>
        <v>1</v>
      </c>
      <c r="BT28" s="171">
        <f ca="1">IF(OR($D28&lt;&gt;"Serviço",AND(AUTOEVENTO="Manual",$M28=$A$15)),0,
         IF(OFFSET(CRONOPLE!$F$15,$M28-$A$15,BT$13)=0,10^12,OFFSET(CRONOPLE!$F$15,$M28-$A$15,BT$13)))</f>
        <v>2</v>
      </c>
      <c r="BU28" s="171">
        <f ca="1">IF(OR($D28&lt;&gt;"Serviço",AND(AUTOEVENTO="Manual",$M28=$A$15)),0,
         IF(OFFSET(CRONOPLE!$F$15,$M28-$A$15,BU$13)=0,10^12,OFFSET(CRONOPLE!$F$15,$M28-$A$15,BU$13)))</f>
        <v>3</v>
      </c>
      <c r="BV28" s="171">
        <f ca="1">IF(OR($D28&lt;&gt;"Serviço",AND(AUTOEVENTO="Manual",$M28=$A$15)),0,
         IF(OFFSET(CRONOPLE!$F$15,$M28-$A$15,BV$13)=0,10^12,OFFSET(CRONOPLE!$F$15,$M28-$A$15,BV$13)))</f>
        <v>4</v>
      </c>
      <c r="BW28" s="171">
        <f ca="1">IF(OR($D28&lt;&gt;"Serviço",AND(AUTOEVENTO="Manual",$M28=$A$15)),0,
         IF(OFFSET(CRONOPLE!$F$15,$M28-$A$15,BW$13)=0,10^12,OFFSET(CRONOPLE!$F$15,$M28-$A$15,BW$13)))</f>
        <v>5</v>
      </c>
      <c r="BX28" s="171">
        <f ca="1">IF(OR($D28&lt;&gt;"Serviço",AND(AUTOEVENTO="Manual",$M28=$A$15)),0,
         IF(OFFSET(CRONOPLE!$F$15,$M28-$A$15,BX$13)=0,10^12,OFFSET(CRONOPLE!$F$15,$M28-$A$15,BX$13)))</f>
        <v>6</v>
      </c>
      <c r="BY28" s="171">
        <f ca="1">IF(OR($D28&lt;&gt;"Serviço",AND(AUTOEVENTO="Manual",$M28=$A$15)),0,
         IF(OFFSET(CRONOPLE!$F$15,$M28-$A$15,BY$13)=0,10^12,OFFSET(CRONOPLE!$F$15,$M28-$A$15,BY$13)))</f>
        <v>7</v>
      </c>
      <c r="BZ28" s="171">
        <f ca="1">IF(OR($D28&lt;&gt;"Serviço",AND(AUTOEVENTO="Manual",$M28=$A$15)),0,
         IF(OFFSET(CRONOPLE!$F$15,$M28-$A$15,BZ$13)=0,10^12,OFFSET(CRONOPLE!$F$15,$M28-$A$15,BZ$13)))</f>
        <v>8</v>
      </c>
      <c r="CA28" s="171">
        <f ca="1">IF(OR($D28&lt;&gt;"Serviço",AND(AUTOEVENTO="Manual",$M28=$A$15)),0,
         IF(OFFSET(CRONOPLE!$F$15,$M28-$A$15,CA$13)=0,10^12,OFFSET(CRONOPLE!$F$15,$M28-$A$15,CA$13)))</f>
        <v>9</v>
      </c>
      <c r="CB28" s="171">
        <f ca="1">IF(OR($D28&lt;&gt;"Serviço",AND(AUTOEVENTO="Manual",$M28=$A$15)),0,
         IF(OFFSET(CRONOPLE!$F$15,$M28-$A$15,CB$13)=0,10^12,OFFSET(CRONOPLE!$F$15,$M28-$A$15,CB$13)))</f>
        <v>10</v>
      </c>
      <c r="CC28" s="171">
        <f ca="1">IF(OR($D28&lt;&gt;"Serviço",AND(AUTOEVENTO="Manual",$M28=$A$15)),0,
         IF(OFFSET(CRONOPLE!$F$15,$M28-$A$15,CC$13)=0,10^12,OFFSET(CRONOPLE!$F$15,$M28-$A$15,CC$13)))</f>
        <v>11</v>
      </c>
      <c r="CD28" s="171">
        <f ca="1">IF(OR($D28&lt;&gt;"Serviço",AND(AUTOEVENTO="Manual",$M28=$A$15)),0,
         IF(OFFSET(CRONOPLE!$F$15,$M28-$A$15,CD$13)=0,10^12,OFFSET(CRONOPLE!$F$15,$M28-$A$15,CD$13)))</f>
        <v>12</v>
      </c>
      <c r="CE28" s="171">
        <f ca="1">IF(OR($D28&lt;&gt;"Serviço",AND(AUTOEVENTO="Manual",$M28=$A$15)),0,
         IF(OFFSET(CRONOPLE!$F$15,$M28-$A$15,CE$13)=0,10^12,OFFSET(CRONOPLE!$F$15,$M28-$A$15,CE$13)))</f>
        <v>13</v>
      </c>
      <c r="CF28" s="171">
        <f ca="1">IF(OR($D28&lt;&gt;"Serviço",AND(AUTOEVENTO="Manual",$M28=$A$15)),0,
         IF(OFFSET(CRONOPLE!$F$15,$M28-$A$15,CF$13)=0,10^12,OFFSET(CRONOPLE!$F$15,$M28-$A$15,CF$13)))</f>
        <v>14</v>
      </c>
      <c r="CG28" s="171">
        <f ca="1">IF(OR($D28&lt;&gt;"Serviço",AND(AUTOEVENTO="Manual",$M28=$A$15)),0,
         IF(OFFSET(CRONOPLE!$F$15,$M28-$A$15,CG$13)=0,10^12,OFFSET(CRONOPLE!$F$15,$M28-$A$15,CG$13)))</f>
        <v>15</v>
      </c>
      <c r="CH28" s="171">
        <f ca="1">IF(OR($D28&lt;&gt;"Serviço",AND(AUTOEVENTO="Manual",$M28=$A$15)),0,
         IF(OFFSET(CRONOPLE!$F$15,$M28-$A$15,CH$13)=0,10^12,OFFSET(CRONOPLE!$F$15,$M28-$A$15,CH$13)))</f>
        <v>16</v>
      </c>
      <c r="CI28" s="171">
        <f ca="1">IF(OR($D28&lt;&gt;"Serviço",AND(AUTOEVENTO="Manual",$M28=$A$15)),0,
         IF(OFFSET(CRONOPLE!$F$15,$M28-$A$15,CI$13)=0,10^12,OFFSET(CRONOPLE!$F$15,$M28-$A$15,CI$13)))</f>
        <v>17</v>
      </c>
      <c r="CJ28" s="171">
        <f ca="1">IF(OR($D28&lt;&gt;"Serviço",AND(AUTOEVENTO="Manual",$M28=$A$15)),0,
         IF(OFFSET(CRONOPLE!$F$15,$M28-$A$15,CJ$13)=0,10^12,OFFSET(CRONOPLE!$F$15,$M28-$A$15,CJ$13)))</f>
        <v>18</v>
      </c>
      <c r="CK28" s="171">
        <f ca="1">IF(OR($D28&lt;&gt;"Serviço",AND(AUTOEVENTO="Manual",$M28=$A$15)),0,
         IF(OFFSET(CRONOPLE!$F$15,$M28-$A$15,CK$13)=0,10^12,OFFSET(CRONOPLE!$F$15,$M28-$A$15,CK$13)))</f>
        <v>19</v>
      </c>
      <c r="CL28" s="171">
        <f ca="1">IF(OR($D28&lt;&gt;"Serviço",AND(AUTOEVENTO="Manual",$M28=$A$15)),0,
         IF(OFFSET(CRONOPLE!$F$15,$M28-$A$15,CL$13)=0,10^12,OFFSET(CRONOPLE!$F$15,$M28-$A$15,CL$13)))</f>
        <v>20</v>
      </c>
      <c r="CM28" s="171">
        <f ca="1">IF(OR($D28&lt;&gt;"Serviço",AND(AUTOEVENTO="Manual",$M28=$A$15)),0,
         IF(OFFSET(CRONOPLE!$F$15,$M28-$A$15,CM$13)=0,10^12,OFFSET(CRONOPLE!$F$15,$M28-$A$15,CM$13)))</f>
        <v>1000000000000</v>
      </c>
      <c r="CN28" s="171">
        <f ca="1">IF(OR($D28&lt;&gt;"Serviço",AND(AUTOEVENTO="Manual",$M28=$A$15)),0,
         IF(OFFSET(CRONOPLE!$F$15,$M28-$A$15,CN$13)=0,10^12,OFFSET(CRONOPLE!$F$15,$M28-$A$15,CN$13)))</f>
        <v>1000000000000</v>
      </c>
      <c r="CO28" s="171">
        <f ca="1">IF(OR($D28&lt;&gt;"Serviço",AND(AUTOEVENTO="Manual",$M28=$A$15)),0,
         IF(OFFSET(CRONOPLE!$F$15,$M28-$A$15,CO$13)=0,10^12,OFFSET(CRONOPLE!$F$15,$M28-$A$15,CO$13)))</f>
        <v>1000000000000</v>
      </c>
      <c r="CP28" s="171">
        <f ca="1">IF(OR($D28&lt;&gt;"Serviço",AND(AUTOEVENTO="Manual",$M28=$A$15)),0,
         IF(OFFSET(CRONOPLE!$F$15,$M28-$A$15,CP$13)=0,10^12,OFFSET(CRONOPLE!$F$15,$M28-$A$15,CP$13)))</f>
        <v>1000000000000</v>
      </c>
      <c r="CQ28" s="171">
        <f ca="1">IF(OR($D28&lt;&gt;"Serviço",AND(AUTOEVENTO="Manual",$M28=$A$15)),0,
         IF(OFFSET(CRONOPLE!$F$15,$M28-$A$15,CQ$13)=0,10^12,OFFSET(CRONOPLE!$F$15,$M28-$A$15,CQ$13)))</f>
        <v>1000000000000</v>
      </c>
      <c r="CR28" s="171">
        <f ca="1">IF(OR($D28&lt;&gt;"Serviço",AND(AUTOEVENTO="Manual",$M28=$A$15)),0,
         IF(OFFSET(CRONOPLE!$F$15,$M28-$A$15,CR$13)=0,10^12,OFFSET(CRONOPLE!$F$15,$M28-$A$15,CR$13)))</f>
        <v>1000000000000</v>
      </c>
      <c r="CT28" s="172" cm="1">
        <f t="array" aca="1" ref="CT28" ca="1">IF(OR($D28&lt;&gt;"Serviço",AND(AUTOEVENTO="Manual",$M28=$A$15),$M28&gt;(ROW(PLE.lastrow)-ROW(PLE.firstrow))),0,
           IF(OFFSET(PLE!$G$15,$M28-$A$15,CT$13)="",10^12,OFFSET(PLE!$G$15,$M28-$A$15,CT$13)))</f>
        <v>1000000000000</v>
      </c>
      <c r="CU28" s="172" cm="1">
        <f t="array" aca="1" ref="CU28" ca="1">IF(OR($D28&lt;&gt;"Serviço",AND(AUTOEVENTO="Manual",$M28=$A$15),$M28&gt;(ROW(PLE.lastrow)-ROW(PLE.firstrow))),0,
           IF(OFFSET(PLE!$G$15,$M28-$A$15,CU$13)="",10^12,OFFSET(PLE!$G$15,$M28-$A$15,CU$13)))</f>
        <v>1000000000000</v>
      </c>
      <c r="CV28" s="172" cm="1">
        <f t="array" aca="1" ref="CV28" ca="1">IF(OR($D28&lt;&gt;"Serviço",AND(AUTOEVENTO="Manual",$M28=$A$15),$M28&gt;(ROW(PLE.lastrow)-ROW(PLE.firstrow))),0,
           IF(OFFSET(PLE!$G$15,$M28-$A$15,CV$13)="",10^12,OFFSET(PLE!$G$15,$M28-$A$15,CV$13)))</f>
        <v>1000000000000</v>
      </c>
      <c r="CW28" s="172" cm="1">
        <f t="array" aca="1" ref="CW28" ca="1">IF(OR($D28&lt;&gt;"Serviço",AND(AUTOEVENTO="Manual",$M28=$A$15),$M28&gt;(ROW(PLE.lastrow)-ROW(PLE.firstrow))),0,
           IF(OFFSET(PLE!$G$15,$M28-$A$15,CW$13)="",10^12,OFFSET(PLE!$G$15,$M28-$A$15,CW$13)))</f>
        <v>1000000000000</v>
      </c>
      <c r="CX28" s="172" cm="1">
        <f t="array" aca="1" ref="CX28" ca="1">IF(OR($D28&lt;&gt;"Serviço",AND(AUTOEVENTO="Manual",$M28=$A$15),$M28&gt;(ROW(PLE.lastrow)-ROW(PLE.firstrow))),0,
           IF(OFFSET(PLE!$G$15,$M28-$A$15,CX$13)="",10^12,OFFSET(PLE!$G$15,$M28-$A$15,CX$13)))</f>
        <v>1000000000000</v>
      </c>
      <c r="CY28" s="172" cm="1">
        <f t="array" aca="1" ref="CY28" ca="1">IF(OR($D28&lt;&gt;"Serviço",AND(AUTOEVENTO="Manual",$M28=$A$15),$M28&gt;(ROW(PLE.lastrow)-ROW(PLE.firstrow))),0,
           IF(OFFSET(PLE!$G$15,$M28-$A$15,CY$13)="",10^12,OFFSET(PLE!$G$15,$M28-$A$15,CY$13)))</f>
        <v>1000000000000</v>
      </c>
      <c r="CZ28" s="172" cm="1">
        <f t="array" aca="1" ref="CZ28" ca="1">IF(OR($D28&lt;&gt;"Serviço",AND(AUTOEVENTO="Manual",$M28=$A$15),$M28&gt;(ROW(PLE.lastrow)-ROW(PLE.firstrow))),0,
           IF(OFFSET(PLE!$G$15,$M28-$A$15,CZ$13)="",10^12,OFFSET(PLE!$G$15,$M28-$A$15,CZ$13)))</f>
        <v>1000000000000</v>
      </c>
      <c r="DA28" s="172" cm="1">
        <f t="array" aca="1" ref="DA28" ca="1">IF(OR($D28&lt;&gt;"Serviço",AND(AUTOEVENTO="Manual",$M28=$A$15),$M28&gt;(ROW(PLE.lastrow)-ROW(PLE.firstrow))),0,
           IF(OFFSET(PLE!$G$15,$M28-$A$15,DA$13)="",10^12,OFFSET(PLE!$G$15,$M28-$A$15,DA$13)))</f>
        <v>1000000000000</v>
      </c>
      <c r="DB28" s="172" cm="1">
        <f t="array" aca="1" ref="DB28" ca="1">IF(OR($D28&lt;&gt;"Serviço",AND(AUTOEVENTO="Manual",$M28=$A$15),$M28&gt;(ROW(PLE.lastrow)-ROW(PLE.firstrow))),0,
           IF(OFFSET(PLE!$G$15,$M28-$A$15,DB$13)="",10^12,OFFSET(PLE!$G$15,$M28-$A$15,DB$13)))</f>
        <v>1000000000000</v>
      </c>
      <c r="DC28" s="172" cm="1">
        <f t="array" aca="1" ref="DC28" ca="1">IF(OR($D28&lt;&gt;"Serviço",AND(AUTOEVENTO="Manual",$M28=$A$15),$M28&gt;(ROW(PLE.lastrow)-ROW(PLE.firstrow))),0,
           IF(OFFSET(PLE!$G$15,$M28-$A$15,DC$13)="",10^12,OFFSET(PLE!$G$15,$M28-$A$15,DC$13)))</f>
        <v>1000000000000</v>
      </c>
      <c r="DD28" s="172" cm="1">
        <f t="array" aca="1" ref="DD28" ca="1">IF(OR($D28&lt;&gt;"Serviço",AND(AUTOEVENTO="Manual",$M28=$A$15),$M28&gt;(ROW(PLE.lastrow)-ROW(PLE.firstrow))),0,
           IF(OFFSET(PLE!$G$15,$M28-$A$15,DD$13)="",10^12,OFFSET(PLE!$G$15,$M28-$A$15,DD$13)))</f>
        <v>1000000000000</v>
      </c>
      <c r="DE28" s="172" cm="1">
        <f t="array" aca="1" ref="DE28" ca="1">IF(OR($D28&lt;&gt;"Serviço",AND(AUTOEVENTO="Manual",$M28=$A$15),$M28&gt;(ROW(PLE.lastrow)-ROW(PLE.firstrow))),0,
           IF(OFFSET(PLE!$G$15,$M28-$A$15,DE$13)="",10^12,OFFSET(PLE!$G$15,$M28-$A$15,DE$13)))</f>
        <v>1000000000000</v>
      </c>
      <c r="DF28" s="172" cm="1">
        <f t="array" aca="1" ref="DF28" ca="1">IF(OR($D28&lt;&gt;"Serviço",AND(AUTOEVENTO="Manual",$M28=$A$15),$M28&gt;(ROW(PLE.lastrow)-ROW(PLE.firstrow))),0,
           IF(OFFSET(PLE!$G$15,$M28-$A$15,DF$13)="",10^12,OFFSET(PLE!$G$15,$M28-$A$15,DF$13)))</f>
        <v>1000000000000</v>
      </c>
      <c r="DG28" s="172" cm="1">
        <f t="array" aca="1" ref="DG28" ca="1">IF(OR($D28&lt;&gt;"Serviço",AND(AUTOEVENTO="Manual",$M28=$A$15),$M28&gt;(ROW(PLE.lastrow)-ROW(PLE.firstrow))),0,
           IF(OFFSET(PLE!$G$15,$M28-$A$15,DG$13)="",10^12,OFFSET(PLE!$G$15,$M28-$A$15,DG$13)))</f>
        <v>1000000000000</v>
      </c>
      <c r="DH28" s="172" cm="1">
        <f t="array" aca="1" ref="DH28" ca="1">IF(OR($D28&lt;&gt;"Serviço",AND(AUTOEVENTO="Manual",$M28=$A$15),$M28&gt;(ROW(PLE.lastrow)-ROW(PLE.firstrow))),0,
           IF(OFFSET(PLE!$G$15,$M28-$A$15,DH$13)="",10^12,OFFSET(PLE!$G$15,$M28-$A$15,DH$13)))</f>
        <v>1000000000000</v>
      </c>
      <c r="DI28" s="172" cm="1">
        <f t="array" aca="1" ref="DI28" ca="1">IF(OR($D28&lt;&gt;"Serviço",AND(AUTOEVENTO="Manual",$M28=$A$15),$M28&gt;(ROW(PLE.lastrow)-ROW(PLE.firstrow))),0,
           IF(OFFSET(PLE!$G$15,$M28-$A$15,DI$13)="",10^12,OFFSET(PLE!$G$15,$M28-$A$15,DI$13)))</f>
        <v>1000000000000</v>
      </c>
      <c r="DJ28" s="172" cm="1">
        <f t="array" aca="1" ref="DJ28" ca="1">IF(OR($D28&lt;&gt;"Serviço",AND(AUTOEVENTO="Manual",$M28=$A$15),$M28&gt;(ROW(PLE.lastrow)-ROW(PLE.firstrow))),0,
           IF(OFFSET(PLE!$G$15,$M28-$A$15,DJ$13)="",10^12,OFFSET(PLE!$G$15,$M28-$A$15,DJ$13)))</f>
        <v>1000000000000</v>
      </c>
      <c r="DK28" s="172" cm="1">
        <f t="array" aca="1" ref="DK28" ca="1">IF(OR($D28&lt;&gt;"Serviço",AND(AUTOEVENTO="Manual",$M28=$A$15),$M28&gt;(ROW(PLE.lastrow)-ROW(PLE.firstrow))),0,
           IF(OFFSET(PLE!$G$15,$M28-$A$15,DK$13)="",10^12,OFFSET(PLE!$G$15,$M28-$A$15,DK$13)))</f>
        <v>1000000000000</v>
      </c>
      <c r="DL28" s="172" cm="1">
        <f t="array" aca="1" ref="DL28" ca="1">IF(OR($D28&lt;&gt;"Serviço",AND(AUTOEVENTO="Manual",$M28=$A$15),$M28&gt;(ROW(PLE.lastrow)-ROW(PLE.firstrow))),0,
           IF(OFFSET(PLE!$G$15,$M28-$A$15,DL$13)="",10^12,OFFSET(PLE!$G$15,$M28-$A$15,DL$13)))</f>
        <v>1000000000000</v>
      </c>
      <c r="DM28" s="172" cm="1">
        <f t="array" aca="1" ref="DM28" ca="1">IF(OR($D28&lt;&gt;"Serviço",AND(AUTOEVENTO="Manual",$M28=$A$15),$M28&gt;(ROW(PLE.lastrow)-ROW(PLE.firstrow))),0,
           IF(OFFSET(PLE!$G$15,$M28-$A$15,DM$13)="",10^12,OFFSET(PLE!$G$15,$M28-$A$15,DM$13)))</f>
        <v>1000000000000</v>
      </c>
      <c r="DN28" s="172" cm="1">
        <f t="array" aca="1" ref="DN28" ca="1">IF(OR($D28&lt;&gt;"Serviço",AND(AUTOEVENTO="Manual",$M28=$A$15),$M28&gt;(ROW(PLE.lastrow)-ROW(PLE.firstrow))),0,
           IF(OFFSET(PLE!$G$15,$M28-$A$15,DN$13)="",10^12,OFFSET(PLE!$G$15,$M28-$A$15,DN$13)))</f>
        <v>1000000000000</v>
      </c>
      <c r="DO28" s="172" cm="1">
        <f t="array" aca="1" ref="DO28" ca="1">IF(OR($D28&lt;&gt;"Serviço",AND(AUTOEVENTO="Manual",$M28=$A$15),$M28&gt;(ROW(PLE.lastrow)-ROW(PLE.firstrow))),0,
           IF(OFFSET(PLE!$G$15,$M28-$A$15,DO$13)="",10^12,OFFSET(PLE!$G$15,$M28-$A$15,DO$13)))</f>
        <v>1000000000000</v>
      </c>
      <c r="DP28" s="172" cm="1">
        <f t="array" aca="1" ref="DP28" ca="1">IF(OR($D28&lt;&gt;"Serviço",AND(AUTOEVENTO="Manual",$M28=$A$15),$M28&gt;(ROW(PLE.lastrow)-ROW(PLE.firstrow))),0,
           IF(OFFSET(PLE!$G$15,$M28-$A$15,DP$13)="",10^12,OFFSET(PLE!$G$15,$M28-$A$15,DP$13)))</f>
        <v>1000000000000</v>
      </c>
      <c r="DQ28" s="172" cm="1">
        <f t="array" aca="1" ref="DQ28" ca="1">IF(OR($D28&lt;&gt;"Serviço",AND(AUTOEVENTO="Manual",$M28=$A$15),$M28&gt;(ROW(PLE.lastrow)-ROW(PLE.firstrow))),0,
           IF(OFFSET(PLE!$G$15,$M28-$A$15,DQ$13)="",10^12,OFFSET(PLE!$G$15,$M28-$A$15,DQ$13)))</f>
        <v>1000000000000</v>
      </c>
      <c r="DR28" s="172" cm="1">
        <f t="array" aca="1" ref="DR28" ca="1">IF(OR($D28&lt;&gt;"Serviço",AND(AUTOEVENTO="Manual",$M28=$A$15),$M28&gt;(ROW(PLE.lastrow)-ROW(PLE.firstrow))),0,
           IF(OFFSET(PLE!$G$15,$M28-$A$15,DR$13)="",10^12,OFFSET(PLE!$G$15,$M28-$A$15,DR$13)))</f>
        <v>1000000000000</v>
      </c>
      <c r="DS28" s="172" cm="1">
        <f t="array" aca="1" ref="DS28" ca="1">IF(OR($D28&lt;&gt;"Serviço",AND(AUTOEVENTO="Manual",$M28=$A$15),$M28&gt;(ROW(PLE.lastrow)-ROW(PLE.firstrow))),0,
           IF(OFFSET(PLE!$G$15,$M28-$A$15,DS$13)="",10^12,OFFSET(PLE!$G$15,$M28-$A$15,DS$13)))</f>
        <v>1000000000000</v>
      </c>
    </row>
    <row r="29" spans="1:123" ht="25.5" x14ac:dyDescent="0.2">
      <c r="A29" s="7">
        <f t="shared" ca="1" si="11"/>
        <v>3</v>
      </c>
      <c r="B29" s="7" t="str">
        <f ca="1">OFFSET(ORÇAMENTO!C$15,$L29,0)</f>
        <v>S</v>
      </c>
      <c r="C29" s="7" t="str">
        <f ca="1">OFFSET(ORÇAMENTO!L$15,$L29,0)</f>
        <v/>
      </c>
      <c r="D29" s="116" t="str">
        <f ca="1">OFFSET(ORÇAMENTO!N$15,$L29,0)</f>
        <v>Serviço</v>
      </c>
      <c r="E29" s="117" t="str">
        <f ca="1">OFFSET(ORÇAMENTO!O$15,$L29,0)</f>
        <v>-</v>
      </c>
      <c r="F29" s="163" t="str">
        <f ca="1">OFFSET(ORÇAMENTO!R$15,$L29,0)</f>
        <v>(Código não identificado nas referências)</v>
      </c>
      <c r="G29" s="164" t="str">
        <f ca="1">IF($D29&lt;&gt;"Serviço","",OFFSET(ORÇAMENTO!S$15,$L29,0))</f>
        <v>-</v>
      </c>
      <c r="H29" s="122" cm="1">
        <f t="array" aca="1" ref="H29" ca="1">IF($D29&lt;&gt;"Serviço",0,IF(ACOMPANHAMENTO="BM",ROUND(OFFSET(ORÇAMENTO!AJ$15,$L29,0),15-13*ORÇAMENTO!$AF$7),IF(IFERROR(CÁLCULO.FrentesPreenchidas,0)=0,0,SUM(ROUND(OFFSET($P29,0,1,1,CÁLCULO.FrentesPreenchidas),15-13*ORÇAMENTO!$AF$7)))))</f>
        <v>93.600000000000023</v>
      </c>
      <c r="I29" s="468" t="s">
        <v>1235</v>
      </c>
      <c r="J29" s="651" t="str" cm="1">
        <f t="array" aca="1" ref="J29" ca="1">IF(OR(B29&lt;&gt;"S",CÁLCULO.FrentesPreenchidas=0),"",IF(AND(ACOMPANHAMENTO="PLE",AUTOEVENTO="Manual",OR(H29&gt;0,ORÇAMENTO!AC29="QUANT."),OR(K29="",M29=0,N29="")),"►E",IF(AND(ACOMPANHAMENTO="PLE",ORÇAMENTO!AC29="QUANT."),"►Q",IF(AND(ACOMPANHAMENTO="PLE",H29&lt;&gt;SUMPRODUCT(($Q$1:$AQ$1=1)*ROUND(Q29:AQ29,15))),"►S",IF(AND(COUNTIF($P$11:$AQ$11,"▼")=0,H29&gt;0,I29=""),"◄M","")))))</f>
        <v/>
      </c>
      <c r="K29" s="652" t="s">
        <v>1250</v>
      </c>
      <c r="L29" s="165">
        <f t="shared" ca="1" si="12"/>
        <v>14</v>
      </c>
      <c r="M29" s="166">
        <f ca="1">IF($D29&lt;&gt;"Serviço","",
          IF(AUTOEVENTO="manual",$A29,
                IF(ISERROR(MATCH($A29,$A$15:OFFSET($A29,-1,0),0)),MAX($M$15:OFFSET(M29,-1,0))+1,
                      INDEX($M$15:OFFSET(M29,-1,0),MATCH($A29,$A$15:OFFSET($A29,-1,0),0)))))</f>
        <v>3</v>
      </c>
      <c r="N29" s="167" t="str">
        <f ca="1">IF($D29&lt;&gt;"Serviço","",
         IF(AUTOEVENTO="Manual",
                IF($A29=0,"&lt;-- defina o número do agrupador",
                       OFFSET(EVENTOS!$D$15,$A29-$A$15,0)),
                OFFSET($F$15,$A29,0)))</f>
        <v>FUNDAÇÕES</v>
      </c>
      <c r="O29" s="168"/>
      <c r="Q29" s="168">
        <v>4.68</v>
      </c>
      <c r="R29" s="169">
        <v>4.68</v>
      </c>
      <c r="S29" s="169">
        <v>4.68</v>
      </c>
      <c r="T29" s="169">
        <v>4.68</v>
      </c>
      <c r="U29" s="169">
        <v>4.68</v>
      </c>
      <c r="V29" s="169">
        <v>4.68</v>
      </c>
      <c r="W29" s="169">
        <v>4.68</v>
      </c>
      <c r="X29" s="169">
        <v>4.68</v>
      </c>
      <c r="Y29" s="169">
        <v>4.68</v>
      </c>
      <c r="Z29" s="170">
        <v>4.68</v>
      </c>
      <c r="AA29" s="169">
        <v>4.68</v>
      </c>
      <c r="AB29" s="169">
        <v>4.68</v>
      </c>
      <c r="AC29" s="169">
        <v>4.68</v>
      </c>
      <c r="AD29" s="169">
        <v>4.68</v>
      </c>
      <c r="AE29" s="169">
        <v>4.68</v>
      </c>
      <c r="AF29" s="169">
        <v>4.68</v>
      </c>
      <c r="AG29" s="169">
        <v>4.68</v>
      </c>
      <c r="AH29" s="170">
        <v>4.68</v>
      </c>
      <c r="AI29" s="169">
        <v>4.68</v>
      </c>
      <c r="AJ29" s="169">
        <v>4.68</v>
      </c>
      <c r="AK29" s="169"/>
      <c r="AL29" s="169"/>
      <c r="AM29" s="169"/>
      <c r="AN29" s="169"/>
      <c r="AO29" s="169"/>
      <c r="AP29" s="170"/>
      <c r="AR29" s="453">
        <f ca="1">IF(AND($D29="Serviço",AR$12&lt;&gt;0,$H29&gt;0,OR(AUTOEVENTO&lt;&gt;"manual",$M29&lt;&gt;$A$15)),
        IF(Import.TipoArredondamento&lt;&gt;"TransfereGOV",
              ROUND(OFFSET($P29,0,AR$13),15-13*ORÇAMENTO!$AF$7)/$H29*OFFSET(ORÇAMENTO!$X$15,ROW(AR29)-ROW(AR$15),0),
              ROUND(ROUND(OFFSET($P29,0,AR$13),15-13*ORÇAMENTO!$AF$7)*OFFSET(ORÇAMENTO!$W$15,ROW(AR29)-ROW(AR$15),0),15-13*ORÇAMENTO!$AF$11)),
         0)</f>
        <v>0</v>
      </c>
      <c r="AS29" s="453">
        <f ca="1">IF(AND($D29="Serviço",AS$12&lt;&gt;0,$H29&gt;0,OR(AUTOEVENTO&lt;&gt;"manual",$M29&lt;&gt;$A$15)),
        IF(Import.TipoArredondamento&lt;&gt;"TransfereGOV",
              ROUND(OFFSET($P29,0,AS$13),15-13*ORÇAMENTO!$AF$7)/$H29*OFFSET(ORÇAMENTO!$X$15,ROW(AS29)-ROW(AS$15),0),
              ROUND(ROUND(OFFSET($P29,0,AS$13),15-13*ORÇAMENTO!$AF$7)*OFFSET(ORÇAMENTO!$W$15,ROW(AS29)-ROW(AS$15),0),15-13*ORÇAMENTO!$AF$11)),
         0)</f>
        <v>0</v>
      </c>
      <c r="AT29" s="453">
        <f ca="1">IF(AND($D29="Serviço",AT$12&lt;&gt;0,$H29&gt;0,OR(AUTOEVENTO&lt;&gt;"manual",$M29&lt;&gt;$A$15)),
        IF(Import.TipoArredondamento&lt;&gt;"TransfereGOV",
              ROUND(OFFSET($P29,0,AT$13),15-13*ORÇAMENTO!$AF$7)/$H29*OFFSET(ORÇAMENTO!$X$15,ROW(AT29)-ROW(AT$15),0),
              ROUND(ROUND(OFFSET($P29,0,AT$13),15-13*ORÇAMENTO!$AF$7)*OFFSET(ORÇAMENTO!$W$15,ROW(AT29)-ROW(AT$15),0),15-13*ORÇAMENTO!$AF$11)),
         0)</f>
        <v>0</v>
      </c>
      <c r="AU29" s="453">
        <f ca="1">IF(AND($D29="Serviço",AU$12&lt;&gt;0,$H29&gt;0,OR(AUTOEVENTO&lt;&gt;"manual",$M29&lt;&gt;$A$15)),
        IF(Import.TipoArredondamento&lt;&gt;"TransfereGOV",
              ROUND(OFFSET($P29,0,AU$13),15-13*ORÇAMENTO!$AF$7)/$H29*OFFSET(ORÇAMENTO!$X$15,ROW(AU29)-ROW(AU$15),0),
              ROUND(ROUND(OFFSET($P29,0,AU$13),15-13*ORÇAMENTO!$AF$7)*OFFSET(ORÇAMENTO!$W$15,ROW(AU29)-ROW(AU$15),0),15-13*ORÇAMENTO!$AF$11)),
         0)</f>
        <v>0</v>
      </c>
      <c r="AV29" s="453">
        <f ca="1">IF(AND($D29="Serviço",AV$12&lt;&gt;0,$H29&gt;0,OR(AUTOEVENTO&lt;&gt;"manual",$M29&lt;&gt;$A$15)),
        IF(Import.TipoArredondamento&lt;&gt;"TransfereGOV",
              ROUND(OFFSET($P29,0,AV$13),15-13*ORÇAMENTO!$AF$7)/$H29*OFFSET(ORÇAMENTO!$X$15,ROW(AV29)-ROW(AV$15),0),
              ROUND(ROUND(OFFSET($P29,0,AV$13),15-13*ORÇAMENTO!$AF$7)*OFFSET(ORÇAMENTO!$W$15,ROW(AV29)-ROW(AV$15),0),15-13*ORÇAMENTO!$AF$11)),
         0)</f>
        <v>0</v>
      </c>
      <c r="AW29" s="453">
        <f ca="1">IF(AND($D29="Serviço",AW$12&lt;&gt;0,$H29&gt;0,OR(AUTOEVENTO&lt;&gt;"manual",$M29&lt;&gt;$A$15)),
        IF(Import.TipoArredondamento&lt;&gt;"TransfereGOV",
              ROUND(OFFSET($P29,0,AW$13),15-13*ORÇAMENTO!$AF$7)/$H29*OFFSET(ORÇAMENTO!$X$15,ROW(AW29)-ROW(AW$15),0),
              ROUND(ROUND(OFFSET($P29,0,AW$13),15-13*ORÇAMENTO!$AF$7)*OFFSET(ORÇAMENTO!$W$15,ROW(AW29)-ROW(AW$15),0),15-13*ORÇAMENTO!$AF$11)),
         0)</f>
        <v>0</v>
      </c>
      <c r="AX29" s="453">
        <f ca="1">IF(AND($D29="Serviço",AX$12&lt;&gt;0,$H29&gt;0,OR(AUTOEVENTO&lt;&gt;"manual",$M29&lt;&gt;$A$15)),
        IF(Import.TipoArredondamento&lt;&gt;"TransfereGOV",
              ROUND(OFFSET($P29,0,AX$13),15-13*ORÇAMENTO!$AF$7)/$H29*OFFSET(ORÇAMENTO!$X$15,ROW(AX29)-ROW(AX$15),0),
              ROUND(ROUND(OFFSET($P29,0,AX$13),15-13*ORÇAMENTO!$AF$7)*OFFSET(ORÇAMENTO!$W$15,ROW(AX29)-ROW(AX$15),0),15-13*ORÇAMENTO!$AF$11)),
         0)</f>
        <v>0</v>
      </c>
      <c r="AY29" s="453">
        <f ca="1">IF(AND($D29="Serviço",AY$12&lt;&gt;0,$H29&gt;0,OR(AUTOEVENTO&lt;&gt;"manual",$M29&lt;&gt;$A$15)),
        IF(Import.TipoArredondamento&lt;&gt;"TransfereGOV",
              ROUND(OFFSET($P29,0,AY$13),15-13*ORÇAMENTO!$AF$7)/$H29*OFFSET(ORÇAMENTO!$X$15,ROW(AY29)-ROW(AY$15),0),
              ROUND(ROUND(OFFSET($P29,0,AY$13),15-13*ORÇAMENTO!$AF$7)*OFFSET(ORÇAMENTO!$W$15,ROW(AY29)-ROW(AY$15),0),15-13*ORÇAMENTO!$AF$11)),
         0)</f>
        <v>0</v>
      </c>
      <c r="AZ29" s="453">
        <f ca="1">IF(AND($D29="Serviço",AZ$12&lt;&gt;0,$H29&gt;0,OR(AUTOEVENTO&lt;&gt;"manual",$M29&lt;&gt;$A$15)),
        IF(Import.TipoArredondamento&lt;&gt;"TransfereGOV",
              ROUND(OFFSET($P29,0,AZ$13),15-13*ORÇAMENTO!$AF$7)/$H29*OFFSET(ORÇAMENTO!$X$15,ROW(AZ29)-ROW(AZ$15),0),
              ROUND(ROUND(OFFSET($P29,0,AZ$13),15-13*ORÇAMENTO!$AF$7)*OFFSET(ORÇAMENTO!$W$15,ROW(AZ29)-ROW(AZ$15),0),15-13*ORÇAMENTO!$AF$11)),
         0)</f>
        <v>0</v>
      </c>
      <c r="BA29" s="453">
        <f ca="1">IF(AND($D29="Serviço",BA$12&lt;&gt;0,$H29&gt;0,OR(AUTOEVENTO&lt;&gt;"manual",$M29&lt;&gt;$A$15)),
        IF(Import.TipoArredondamento&lt;&gt;"TransfereGOV",
              ROUND(OFFSET($P29,0,BA$13),15-13*ORÇAMENTO!$AF$7)/$H29*OFFSET(ORÇAMENTO!$X$15,ROW(BA29)-ROW(BA$15),0),
              ROUND(ROUND(OFFSET($P29,0,BA$13),15-13*ORÇAMENTO!$AF$7)*OFFSET(ORÇAMENTO!$W$15,ROW(BA29)-ROW(BA$15),0),15-13*ORÇAMENTO!$AF$11)),
         0)</f>
        <v>0</v>
      </c>
      <c r="BB29" s="453">
        <f ca="1">IF(AND($D29="Serviço",BB$12&lt;&gt;0,$H29&gt;0,OR(AUTOEVENTO&lt;&gt;"manual",$M29&lt;&gt;$A$15)),
        IF(Import.TipoArredondamento&lt;&gt;"TransfereGOV",
              ROUND(OFFSET($P29,0,BB$13),15-13*ORÇAMENTO!$AF$7)/$H29*OFFSET(ORÇAMENTO!$X$15,ROW(BB29)-ROW(BB$15),0),
              ROUND(ROUND(OFFSET($P29,0,BB$13),15-13*ORÇAMENTO!$AF$7)*OFFSET(ORÇAMENTO!$W$15,ROW(BB29)-ROW(BB$15),0),15-13*ORÇAMENTO!$AF$11)),
         0)</f>
        <v>0</v>
      </c>
      <c r="BC29" s="453">
        <f ca="1">IF(AND($D29="Serviço",BC$12&lt;&gt;0,$H29&gt;0,OR(AUTOEVENTO&lt;&gt;"manual",$M29&lt;&gt;$A$15)),
        IF(Import.TipoArredondamento&lt;&gt;"TransfereGOV",
              ROUND(OFFSET($P29,0,BC$13),15-13*ORÇAMENTO!$AF$7)/$H29*OFFSET(ORÇAMENTO!$X$15,ROW(BC29)-ROW(BC$15),0),
              ROUND(ROUND(OFFSET($P29,0,BC$13),15-13*ORÇAMENTO!$AF$7)*OFFSET(ORÇAMENTO!$W$15,ROW(BC29)-ROW(BC$15),0),15-13*ORÇAMENTO!$AF$11)),
         0)</f>
        <v>0</v>
      </c>
      <c r="BD29" s="453">
        <f ca="1">IF(AND($D29="Serviço",BD$12&lt;&gt;0,$H29&gt;0,OR(AUTOEVENTO&lt;&gt;"manual",$M29&lt;&gt;$A$15)),
        IF(Import.TipoArredondamento&lt;&gt;"TransfereGOV",
              ROUND(OFFSET($P29,0,BD$13),15-13*ORÇAMENTO!$AF$7)/$H29*OFFSET(ORÇAMENTO!$X$15,ROW(BD29)-ROW(BD$15),0),
              ROUND(ROUND(OFFSET($P29,0,BD$13),15-13*ORÇAMENTO!$AF$7)*OFFSET(ORÇAMENTO!$W$15,ROW(BD29)-ROW(BD$15),0),15-13*ORÇAMENTO!$AF$11)),
         0)</f>
        <v>0</v>
      </c>
      <c r="BE29" s="453">
        <f ca="1">IF(AND($D29="Serviço",BE$12&lt;&gt;0,$H29&gt;0,OR(AUTOEVENTO&lt;&gt;"manual",$M29&lt;&gt;$A$15)),
        IF(Import.TipoArredondamento&lt;&gt;"TransfereGOV",
              ROUND(OFFSET($P29,0,BE$13),15-13*ORÇAMENTO!$AF$7)/$H29*OFFSET(ORÇAMENTO!$X$15,ROW(BE29)-ROW(BE$15),0),
              ROUND(ROUND(OFFSET($P29,0,BE$13),15-13*ORÇAMENTO!$AF$7)*OFFSET(ORÇAMENTO!$W$15,ROW(BE29)-ROW(BE$15),0),15-13*ORÇAMENTO!$AF$11)),
         0)</f>
        <v>0</v>
      </c>
      <c r="BF29" s="453">
        <f ca="1">IF(AND($D29="Serviço",BF$12&lt;&gt;0,$H29&gt;0,OR(AUTOEVENTO&lt;&gt;"manual",$M29&lt;&gt;$A$15)),
        IF(Import.TipoArredondamento&lt;&gt;"TransfereGOV",
              ROUND(OFFSET($P29,0,BF$13),15-13*ORÇAMENTO!$AF$7)/$H29*OFFSET(ORÇAMENTO!$X$15,ROW(BF29)-ROW(BF$15),0),
              ROUND(ROUND(OFFSET($P29,0,BF$13),15-13*ORÇAMENTO!$AF$7)*OFFSET(ORÇAMENTO!$W$15,ROW(BF29)-ROW(BF$15),0),15-13*ORÇAMENTO!$AF$11)),
         0)</f>
        <v>0</v>
      </c>
      <c r="BG29" s="453">
        <f ca="1">IF(AND($D29="Serviço",BG$12&lt;&gt;0,$H29&gt;0,OR(AUTOEVENTO&lt;&gt;"manual",$M29&lt;&gt;$A$15)),
        IF(Import.TipoArredondamento&lt;&gt;"TransfereGOV",
              ROUND(OFFSET($P29,0,BG$13),15-13*ORÇAMENTO!$AF$7)/$H29*OFFSET(ORÇAMENTO!$X$15,ROW(BG29)-ROW(BG$15),0),
              ROUND(ROUND(OFFSET($P29,0,BG$13),15-13*ORÇAMENTO!$AF$7)*OFFSET(ORÇAMENTO!$W$15,ROW(BG29)-ROW(BG$15),0),15-13*ORÇAMENTO!$AF$11)),
         0)</f>
        <v>0</v>
      </c>
      <c r="BH29" s="453">
        <f ca="1">IF(AND($D29="Serviço",BH$12&lt;&gt;0,$H29&gt;0,OR(AUTOEVENTO&lt;&gt;"manual",$M29&lt;&gt;$A$15)),
        IF(Import.TipoArredondamento&lt;&gt;"TransfereGOV",
              ROUND(OFFSET($P29,0,BH$13),15-13*ORÇAMENTO!$AF$7)/$H29*OFFSET(ORÇAMENTO!$X$15,ROW(BH29)-ROW(BH$15),0),
              ROUND(ROUND(OFFSET($P29,0,BH$13),15-13*ORÇAMENTO!$AF$7)*OFFSET(ORÇAMENTO!$W$15,ROW(BH29)-ROW(BH$15),0),15-13*ORÇAMENTO!$AF$11)),
         0)</f>
        <v>0</v>
      </c>
      <c r="BI29" s="453">
        <f ca="1">IF(AND($D29="Serviço",BI$12&lt;&gt;0,$H29&gt;0,OR(AUTOEVENTO&lt;&gt;"manual",$M29&lt;&gt;$A$15)),
        IF(Import.TipoArredondamento&lt;&gt;"TransfereGOV",
              ROUND(OFFSET($P29,0,BI$13),15-13*ORÇAMENTO!$AF$7)/$H29*OFFSET(ORÇAMENTO!$X$15,ROW(BI29)-ROW(BI$15),0),
              ROUND(ROUND(OFFSET($P29,0,BI$13),15-13*ORÇAMENTO!$AF$7)*OFFSET(ORÇAMENTO!$W$15,ROW(BI29)-ROW(BI$15),0),15-13*ORÇAMENTO!$AF$11)),
         0)</f>
        <v>0</v>
      </c>
      <c r="BJ29" s="453">
        <f ca="1">IF(AND($D29="Serviço",BJ$12&lt;&gt;0,$H29&gt;0,OR(AUTOEVENTO&lt;&gt;"manual",$M29&lt;&gt;$A$15)),
        IF(Import.TipoArredondamento&lt;&gt;"TransfereGOV",
              ROUND(OFFSET($P29,0,BJ$13),15-13*ORÇAMENTO!$AF$7)/$H29*OFFSET(ORÇAMENTO!$X$15,ROW(BJ29)-ROW(BJ$15),0),
              ROUND(ROUND(OFFSET($P29,0,BJ$13),15-13*ORÇAMENTO!$AF$7)*OFFSET(ORÇAMENTO!$W$15,ROW(BJ29)-ROW(BJ$15),0),15-13*ORÇAMENTO!$AF$11)),
         0)</f>
        <v>0</v>
      </c>
      <c r="BK29" s="453">
        <f ca="1">IF(AND($D29="Serviço",BK$12&lt;&gt;0,$H29&gt;0,OR(AUTOEVENTO&lt;&gt;"manual",$M29&lt;&gt;$A$15)),
        IF(Import.TipoArredondamento&lt;&gt;"TransfereGOV",
              ROUND(OFFSET($P29,0,BK$13),15-13*ORÇAMENTO!$AF$7)/$H29*OFFSET(ORÇAMENTO!$X$15,ROW(BK29)-ROW(BK$15),0),
              ROUND(ROUND(OFFSET($P29,0,BK$13),15-13*ORÇAMENTO!$AF$7)*OFFSET(ORÇAMENTO!$W$15,ROW(BK29)-ROW(BK$15),0),15-13*ORÇAMENTO!$AF$11)),
         0)</f>
        <v>0</v>
      </c>
      <c r="BL29" s="453">
        <f ca="1">IF(AND($D29="Serviço",BL$12&lt;&gt;0,$H29&gt;0,OR(AUTOEVENTO&lt;&gt;"manual",$M29&lt;&gt;$A$15)),
        IF(Import.TipoArredondamento&lt;&gt;"TransfereGOV",
              ROUND(OFFSET($P29,0,BL$13),15-13*ORÇAMENTO!$AF$7)/$H29*OFFSET(ORÇAMENTO!$X$15,ROW(BL29)-ROW(BL$15),0),
              ROUND(ROUND(OFFSET($P29,0,BL$13),15-13*ORÇAMENTO!$AF$7)*OFFSET(ORÇAMENTO!$W$15,ROW(BL29)-ROW(BL$15),0),15-13*ORÇAMENTO!$AF$11)),
         0)</f>
        <v>0</v>
      </c>
      <c r="BM29" s="453">
        <f ca="1">IF(AND($D29="Serviço",BM$12&lt;&gt;0,$H29&gt;0,OR(AUTOEVENTO&lt;&gt;"manual",$M29&lt;&gt;$A$15)),
        IF(Import.TipoArredondamento&lt;&gt;"TransfereGOV",
              ROUND(OFFSET($P29,0,BM$13),15-13*ORÇAMENTO!$AF$7)/$H29*OFFSET(ORÇAMENTO!$X$15,ROW(BM29)-ROW(BM$15),0),
              ROUND(ROUND(OFFSET($P29,0,BM$13),15-13*ORÇAMENTO!$AF$7)*OFFSET(ORÇAMENTO!$W$15,ROW(BM29)-ROW(BM$15),0),15-13*ORÇAMENTO!$AF$11)),
         0)</f>
        <v>0</v>
      </c>
      <c r="BN29" s="453">
        <f ca="1">IF(AND($D29="Serviço",BN$12&lt;&gt;0,$H29&gt;0,OR(AUTOEVENTO&lt;&gt;"manual",$M29&lt;&gt;$A$15)),
        IF(Import.TipoArredondamento&lt;&gt;"TransfereGOV",
              ROUND(OFFSET($P29,0,BN$13),15-13*ORÇAMENTO!$AF$7)/$H29*OFFSET(ORÇAMENTO!$X$15,ROW(BN29)-ROW(BN$15),0),
              ROUND(ROUND(OFFSET($P29,0,BN$13),15-13*ORÇAMENTO!$AF$7)*OFFSET(ORÇAMENTO!$W$15,ROW(BN29)-ROW(BN$15),0),15-13*ORÇAMENTO!$AF$11)),
         0)</f>
        <v>0</v>
      </c>
      <c r="BO29" s="453">
        <f ca="1">IF(AND($D29="Serviço",BO$12&lt;&gt;0,$H29&gt;0,OR(AUTOEVENTO&lt;&gt;"manual",$M29&lt;&gt;$A$15)),
        IF(Import.TipoArredondamento&lt;&gt;"TransfereGOV",
              ROUND(OFFSET($P29,0,BO$13),15-13*ORÇAMENTO!$AF$7)/$H29*OFFSET(ORÇAMENTO!$X$15,ROW(BO29)-ROW(BO$15),0),
              ROUND(ROUND(OFFSET($P29,0,BO$13),15-13*ORÇAMENTO!$AF$7)*OFFSET(ORÇAMENTO!$W$15,ROW(BO29)-ROW(BO$15),0),15-13*ORÇAMENTO!$AF$11)),
         0)</f>
        <v>0</v>
      </c>
      <c r="BP29" s="453">
        <f ca="1">IF(AND($D29="Serviço",BP$12&lt;&gt;0,$H29&gt;0,OR(AUTOEVENTO&lt;&gt;"manual",$M29&lt;&gt;$A$15)),
        IF(Import.TipoArredondamento&lt;&gt;"TransfereGOV",
              ROUND(OFFSET($P29,0,BP$13),15-13*ORÇAMENTO!$AF$7)/$H29*OFFSET(ORÇAMENTO!$X$15,ROW(BP29)-ROW(BP$15),0),
              ROUND(ROUND(OFFSET($P29,0,BP$13),15-13*ORÇAMENTO!$AF$7)*OFFSET(ORÇAMENTO!$W$15,ROW(BP29)-ROW(BP$15),0),15-13*ORÇAMENTO!$AF$11)),
         0)</f>
        <v>0</v>
      </c>
      <c r="BQ29" s="453">
        <f ca="1">IF(AND($D29="Serviço",BQ$12&lt;&gt;0,$H29&gt;0,OR(AUTOEVENTO&lt;&gt;"manual",$M29&lt;&gt;$A$15)),
        IF(Import.TipoArredondamento&lt;&gt;"TransfereGOV",
              ROUND(OFFSET($P29,0,BQ$13),15-13*ORÇAMENTO!$AF$7)/$H29*OFFSET(ORÇAMENTO!$X$15,ROW(BQ29)-ROW(BQ$15),0),
              ROUND(ROUND(OFFSET($P29,0,BQ$13),15-13*ORÇAMENTO!$AF$7)*OFFSET(ORÇAMENTO!$W$15,ROW(BQ29)-ROW(BQ$15),0),15-13*ORÇAMENTO!$AF$11)),
         0)</f>
        <v>0</v>
      </c>
      <c r="BS29" s="171">
        <f ca="1">IF(OR($D29&lt;&gt;"Serviço",AND(AUTOEVENTO="Manual",$M29=$A$15)),0,
         IF(OFFSET(CRONOPLE!$F$15,$M29-$A$15,BS$13)=0,10^12,OFFSET(CRONOPLE!$F$15,$M29-$A$15,BS$13)))</f>
        <v>1</v>
      </c>
      <c r="BT29" s="171">
        <f ca="1">IF(OR($D29&lt;&gt;"Serviço",AND(AUTOEVENTO="Manual",$M29=$A$15)),0,
         IF(OFFSET(CRONOPLE!$F$15,$M29-$A$15,BT$13)=0,10^12,OFFSET(CRONOPLE!$F$15,$M29-$A$15,BT$13)))</f>
        <v>2</v>
      </c>
      <c r="BU29" s="171">
        <f ca="1">IF(OR($D29&lt;&gt;"Serviço",AND(AUTOEVENTO="Manual",$M29=$A$15)),0,
         IF(OFFSET(CRONOPLE!$F$15,$M29-$A$15,BU$13)=0,10^12,OFFSET(CRONOPLE!$F$15,$M29-$A$15,BU$13)))</f>
        <v>3</v>
      </c>
      <c r="BV29" s="171">
        <f ca="1">IF(OR($D29&lt;&gt;"Serviço",AND(AUTOEVENTO="Manual",$M29=$A$15)),0,
         IF(OFFSET(CRONOPLE!$F$15,$M29-$A$15,BV$13)=0,10^12,OFFSET(CRONOPLE!$F$15,$M29-$A$15,BV$13)))</f>
        <v>4</v>
      </c>
      <c r="BW29" s="171">
        <f ca="1">IF(OR($D29&lt;&gt;"Serviço",AND(AUTOEVENTO="Manual",$M29=$A$15)),0,
         IF(OFFSET(CRONOPLE!$F$15,$M29-$A$15,BW$13)=0,10^12,OFFSET(CRONOPLE!$F$15,$M29-$A$15,BW$13)))</f>
        <v>5</v>
      </c>
      <c r="BX29" s="171">
        <f ca="1">IF(OR($D29&lt;&gt;"Serviço",AND(AUTOEVENTO="Manual",$M29=$A$15)),0,
         IF(OFFSET(CRONOPLE!$F$15,$M29-$A$15,BX$13)=0,10^12,OFFSET(CRONOPLE!$F$15,$M29-$A$15,BX$13)))</f>
        <v>6</v>
      </c>
      <c r="BY29" s="171">
        <f ca="1">IF(OR($D29&lt;&gt;"Serviço",AND(AUTOEVENTO="Manual",$M29=$A$15)),0,
         IF(OFFSET(CRONOPLE!$F$15,$M29-$A$15,BY$13)=0,10^12,OFFSET(CRONOPLE!$F$15,$M29-$A$15,BY$13)))</f>
        <v>7</v>
      </c>
      <c r="BZ29" s="171">
        <f ca="1">IF(OR($D29&lt;&gt;"Serviço",AND(AUTOEVENTO="Manual",$M29=$A$15)),0,
         IF(OFFSET(CRONOPLE!$F$15,$M29-$A$15,BZ$13)=0,10^12,OFFSET(CRONOPLE!$F$15,$M29-$A$15,BZ$13)))</f>
        <v>8</v>
      </c>
      <c r="CA29" s="171">
        <f ca="1">IF(OR($D29&lt;&gt;"Serviço",AND(AUTOEVENTO="Manual",$M29=$A$15)),0,
         IF(OFFSET(CRONOPLE!$F$15,$M29-$A$15,CA$13)=0,10^12,OFFSET(CRONOPLE!$F$15,$M29-$A$15,CA$13)))</f>
        <v>9</v>
      </c>
      <c r="CB29" s="171">
        <f ca="1">IF(OR($D29&lt;&gt;"Serviço",AND(AUTOEVENTO="Manual",$M29=$A$15)),0,
         IF(OFFSET(CRONOPLE!$F$15,$M29-$A$15,CB$13)=0,10^12,OFFSET(CRONOPLE!$F$15,$M29-$A$15,CB$13)))</f>
        <v>10</v>
      </c>
      <c r="CC29" s="171">
        <f ca="1">IF(OR($D29&lt;&gt;"Serviço",AND(AUTOEVENTO="Manual",$M29=$A$15)),0,
         IF(OFFSET(CRONOPLE!$F$15,$M29-$A$15,CC$13)=0,10^12,OFFSET(CRONOPLE!$F$15,$M29-$A$15,CC$13)))</f>
        <v>11</v>
      </c>
      <c r="CD29" s="171">
        <f ca="1">IF(OR($D29&lt;&gt;"Serviço",AND(AUTOEVENTO="Manual",$M29=$A$15)),0,
         IF(OFFSET(CRONOPLE!$F$15,$M29-$A$15,CD$13)=0,10^12,OFFSET(CRONOPLE!$F$15,$M29-$A$15,CD$13)))</f>
        <v>12</v>
      </c>
      <c r="CE29" s="171">
        <f ca="1">IF(OR($D29&lt;&gt;"Serviço",AND(AUTOEVENTO="Manual",$M29=$A$15)),0,
         IF(OFFSET(CRONOPLE!$F$15,$M29-$A$15,CE$13)=0,10^12,OFFSET(CRONOPLE!$F$15,$M29-$A$15,CE$13)))</f>
        <v>13</v>
      </c>
      <c r="CF29" s="171">
        <f ca="1">IF(OR($D29&lt;&gt;"Serviço",AND(AUTOEVENTO="Manual",$M29=$A$15)),0,
         IF(OFFSET(CRONOPLE!$F$15,$M29-$A$15,CF$13)=0,10^12,OFFSET(CRONOPLE!$F$15,$M29-$A$15,CF$13)))</f>
        <v>14</v>
      </c>
      <c r="CG29" s="171">
        <f ca="1">IF(OR($D29&lt;&gt;"Serviço",AND(AUTOEVENTO="Manual",$M29=$A$15)),0,
         IF(OFFSET(CRONOPLE!$F$15,$M29-$A$15,CG$13)=0,10^12,OFFSET(CRONOPLE!$F$15,$M29-$A$15,CG$13)))</f>
        <v>15</v>
      </c>
      <c r="CH29" s="171">
        <f ca="1">IF(OR($D29&lt;&gt;"Serviço",AND(AUTOEVENTO="Manual",$M29=$A$15)),0,
         IF(OFFSET(CRONOPLE!$F$15,$M29-$A$15,CH$13)=0,10^12,OFFSET(CRONOPLE!$F$15,$M29-$A$15,CH$13)))</f>
        <v>16</v>
      </c>
      <c r="CI29" s="171">
        <f ca="1">IF(OR($D29&lt;&gt;"Serviço",AND(AUTOEVENTO="Manual",$M29=$A$15)),0,
         IF(OFFSET(CRONOPLE!$F$15,$M29-$A$15,CI$13)=0,10^12,OFFSET(CRONOPLE!$F$15,$M29-$A$15,CI$13)))</f>
        <v>17</v>
      </c>
      <c r="CJ29" s="171">
        <f ca="1">IF(OR($D29&lt;&gt;"Serviço",AND(AUTOEVENTO="Manual",$M29=$A$15)),0,
         IF(OFFSET(CRONOPLE!$F$15,$M29-$A$15,CJ$13)=0,10^12,OFFSET(CRONOPLE!$F$15,$M29-$A$15,CJ$13)))</f>
        <v>18</v>
      </c>
      <c r="CK29" s="171">
        <f ca="1">IF(OR($D29&lt;&gt;"Serviço",AND(AUTOEVENTO="Manual",$M29=$A$15)),0,
         IF(OFFSET(CRONOPLE!$F$15,$M29-$A$15,CK$13)=0,10^12,OFFSET(CRONOPLE!$F$15,$M29-$A$15,CK$13)))</f>
        <v>19</v>
      </c>
      <c r="CL29" s="171">
        <f ca="1">IF(OR($D29&lt;&gt;"Serviço",AND(AUTOEVENTO="Manual",$M29=$A$15)),0,
         IF(OFFSET(CRONOPLE!$F$15,$M29-$A$15,CL$13)=0,10^12,OFFSET(CRONOPLE!$F$15,$M29-$A$15,CL$13)))</f>
        <v>20</v>
      </c>
      <c r="CM29" s="171">
        <f ca="1">IF(OR($D29&lt;&gt;"Serviço",AND(AUTOEVENTO="Manual",$M29=$A$15)),0,
         IF(OFFSET(CRONOPLE!$F$15,$M29-$A$15,CM$13)=0,10^12,OFFSET(CRONOPLE!$F$15,$M29-$A$15,CM$13)))</f>
        <v>1000000000000</v>
      </c>
      <c r="CN29" s="171">
        <f ca="1">IF(OR($D29&lt;&gt;"Serviço",AND(AUTOEVENTO="Manual",$M29=$A$15)),0,
         IF(OFFSET(CRONOPLE!$F$15,$M29-$A$15,CN$13)=0,10^12,OFFSET(CRONOPLE!$F$15,$M29-$A$15,CN$13)))</f>
        <v>1000000000000</v>
      </c>
      <c r="CO29" s="171">
        <f ca="1">IF(OR($D29&lt;&gt;"Serviço",AND(AUTOEVENTO="Manual",$M29=$A$15)),0,
         IF(OFFSET(CRONOPLE!$F$15,$M29-$A$15,CO$13)=0,10^12,OFFSET(CRONOPLE!$F$15,$M29-$A$15,CO$13)))</f>
        <v>1000000000000</v>
      </c>
      <c r="CP29" s="171">
        <f ca="1">IF(OR($D29&lt;&gt;"Serviço",AND(AUTOEVENTO="Manual",$M29=$A$15)),0,
         IF(OFFSET(CRONOPLE!$F$15,$M29-$A$15,CP$13)=0,10^12,OFFSET(CRONOPLE!$F$15,$M29-$A$15,CP$13)))</f>
        <v>1000000000000</v>
      </c>
      <c r="CQ29" s="171">
        <f ca="1">IF(OR($D29&lt;&gt;"Serviço",AND(AUTOEVENTO="Manual",$M29=$A$15)),0,
         IF(OFFSET(CRONOPLE!$F$15,$M29-$A$15,CQ$13)=0,10^12,OFFSET(CRONOPLE!$F$15,$M29-$A$15,CQ$13)))</f>
        <v>1000000000000</v>
      </c>
      <c r="CR29" s="171">
        <f ca="1">IF(OR($D29&lt;&gt;"Serviço",AND(AUTOEVENTO="Manual",$M29=$A$15)),0,
         IF(OFFSET(CRONOPLE!$F$15,$M29-$A$15,CR$13)=0,10^12,OFFSET(CRONOPLE!$F$15,$M29-$A$15,CR$13)))</f>
        <v>1000000000000</v>
      </c>
      <c r="CT29" s="172" cm="1">
        <f t="array" aca="1" ref="CT29" ca="1">IF(OR($D29&lt;&gt;"Serviço",AND(AUTOEVENTO="Manual",$M29=$A$15),$M29&gt;(ROW(PLE.lastrow)-ROW(PLE.firstrow))),0,
           IF(OFFSET(PLE!$G$15,$M29-$A$15,CT$13)="",10^12,OFFSET(PLE!$G$15,$M29-$A$15,CT$13)))</f>
        <v>1000000000000</v>
      </c>
      <c r="CU29" s="172" cm="1">
        <f t="array" aca="1" ref="CU29" ca="1">IF(OR($D29&lt;&gt;"Serviço",AND(AUTOEVENTO="Manual",$M29=$A$15),$M29&gt;(ROW(PLE.lastrow)-ROW(PLE.firstrow))),0,
           IF(OFFSET(PLE!$G$15,$M29-$A$15,CU$13)="",10^12,OFFSET(PLE!$G$15,$M29-$A$15,CU$13)))</f>
        <v>1000000000000</v>
      </c>
      <c r="CV29" s="172" cm="1">
        <f t="array" aca="1" ref="CV29" ca="1">IF(OR($D29&lt;&gt;"Serviço",AND(AUTOEVENTO="Manual",$M29=$A$15),$M29&gt;(ROW(PLE.lastrow)-ROW(PLE.firstrow))),0,
           IF(OFFSET(PLE!$G$15,$M29-$A$15,CV$13)="",10^12,OFFSET(PLE!$G$15,$M29-$A$15,CV$13)))</f>
        <v>1000000000000</v>
      </c>
      <c r="CW29" s="172" cm="1">
        <f t="array" aca="1" ref="CW29" ca="1">IF(OR($D29&lt;&gt;"Serviço",AND(AUTOEVENTO="Manual",$M29=$A$15),$M29&gt;(ROW(PLE.lastrow)-ROW(PLE.firstrow))),0,
           IF(OFFSET(PLE!$G$15,$M29-$A$15,CW$13)="",10^12,OFFSET(PLE!$G$15,$M29-$A$15,CW$13)))</f>
        <v>1000000000000</v>
      </c>
      <c r="CX29" s="172" cm="1">
        <f t="array" aca="1" ref="CX29" ca="1">IF(OR($D29&lt;&gt;"Serviço",AND(AUTOEVENTO="Manual",$M29=$A$15),$M29&gt;(ROW(PLE.lastrow)-ROW(PLE.firstrow))),0,
           IF(OFFSET(PLE!$G$15,$M29-$A$15,CX$13)="",10^12,OFFSET(PLE!$G$15,$M29-$A$15,CX$13)))</f>
        <v>1000000000000</v>
      </c>
      <c r="CY29" s="172" cm="1">
        <f t="array" aca="1" ref="CY29" ca="1">IF(OR($D29&lt;&gt;"Serviço",AND(AUTOEVENTO="Manual",$M29=$A$15),$M29&gt;(ROW(PLE.lastrow)-ROW(PLE.firstrow))),0,
           IF(OFFSET(PLE!$G$15,$M29-$A$15,CY$13)="",10^12,OFFSET(PLE!$G$15,$M29-$A$15,CY$13)))</f>
        <v>1000000000000</v>
      </c>
      <c r="CZ29" s="172" cm="1">
        <f t="array" aca="1" ref="CZ29" ca="1">IF(OR($D29&lt;&gt;"Serviço",AND(AUTOEVENTO="Manual",$M29=$A$15),$M29&gt;(ROW(PLE.lastrow)-ROW(PLE.firstrow))),0,
           IF(OFFSET(PLE!$G$15,$M29-$A$15,CZ$13)="",10^12,OFFSET(PLE!$G$15,$M29-$A$15,CZ$13)))</f>
        <v>1000000000000</v>
      </c>
      <c r="DA29" s="172" cm="1">
        <f t="array" aca="1" ref="DA29" ca="1">IF(OR($D29&lt;&gt;"Serviço",AND(AUTOEVENTO="Manual",$M29=$A$15),$M29&gt;(ROW(PLE.lastrow)-ROW(PLE.firstrow))),0,
           IF(OFFSET(PLE!$G$15,$M29-$A$15,DA$13)="",10^12,OFFSET(PLE!$G$15,$M29-$A$15,DA$13)))</f>
        <v>1000000000000</v>
      </c>
      <c r="DB29" s="172" cm="1">
        <f t="array" aca="1" ref="DB29" ca="1">IF(OR($D29&lt;&gt;"Serviço",AND(AUTOEVENTO="Manual",$M29=$A$15),$M29&gt;(ROW(PLE.lastrow)-ROW(PLE.firstrow))),0,
           IF(OFFSET(PLE!$G$15,$M29-$A$15,DB$13)="",10^12,OFFSET(PLE!$G$15,$M29-$A$15,DB$13)))</f>
        <v>1000000000000</v>
      </c>
      <c r="DC29" s="172" cm="1">
        <f t="array" aca="1" ref="DC29" ca="1">IF(OR($D29&lt;&gt;"Serviço",AND(AUTOEVENTO="Manual",$M29=$A$15),$M29&gt;(ROW(PLE.lastrow)-ROW(PLE.firstrow))),0,
           IF(OFFSET(PLE!$G$15,$M29-$A$15,DC$13)="",10^12,OFFSET(PLE!$G$15,$M29-$A$15,DC$13)))</f>
        <v>1000000000000</v>
      </c>
      <c r="DD29" s="172" cm="1">
        <f t="array" aca="1" ref="DD29" ca="1">IF(OR($D29&lt;&gt;"Serviço",AND(AUTOEVENTO="Manual",$M29=$A$15),$M29&gt;(ROW(PLE.lastrow)-ROW(PLE.firstrow))),0,
           IF(OFFSET(PLE!$G$15,$M29-$A$15,DD$13)="",10^12,OFFSET(PLE!$G$15,$M29-$A$15,DD$13)))</f>
        <v>1000000000000</v>
      </c>
      <c r="DE29" s="172" cm="1">
        <f t="array" aca="1" ref="DE29" ca="1">IF(OR($D29&lt;&gt;"Serviço",AND(AUTOEVENTO="Manual",$M29=$A$15),$M29&gt;(ROW(PLE.lastrow)-ROW(PLE.firstrow))),0,
           IF(OFFSET(PLE!$G$15,$M29-$A$15,DE$13)="",10^12,OFFSET(PLE!$G$15,$M29-$A$15,DE$13)))</f>
        <v>1000000000000</v>
      </c>
      <c r="DF29" s="172" cm="1">
        <f t="array" aca="1" ref="DF29" ca="1">IF(OR($D29&lt;&gt;"Serviço",AND(AUTOEVENTO="Manual",$M29=$A$15),$M29&gt;(ROW(PLE.lastrow)-ROW(PLE.firstrow))),0,
           IF(OFFSET(PLE!$G$15,$M29-$A$15,DF$13)="",10^12,OFFSET(PLE!$G$15,$M29-$A$15,DF$13)))</f>
        <v>1000000000000</v>
      </c>
      <c r="DG29" s="172" cm="1">
        <f t="array" aca="1" ref="DG29" ca="1">IF(OR($D29&lt;&gt;"Serviço",AND(AUTOEVENTO="Manual",$M29=$A$15),$M29&gt;(ROW(PLE.lastrow)-ROW(PLE.firstrow))),0,
           IF(OFFSET(PLE!$G$15,$M29-$A$15,DG$13)="",10^12,OFFSET(PLE!$G$15,$M29-$A$15,DG$13)))</f>
        <v>1000000000000</v>
      </c>
      <c r="DH29" s="172" cm="1">
        <f t="array" aca="1" ref="DH29" ca="1">IF(OR($D29&lt;&gt;"Serviço",AND(AUTOEVENTO="Manual",$M29=$A$15),$M29&gt;(ROW(PLE.lastrow)-ROW(PLE.firstrow))),0,
           IF(OFFSET(PLE!$G$15,$M29-$A$15,DH$13)="",10^12,OFFSET(PLE!$G$15,$M29-$A$15,DH$13)))</f>
        <v>1000000000000</v>
      </c>
      <c r="DI29" s="172" cm="1">
        <f t="array" aca="1" ref="DI29" ca="1">IF(OR($D29&lt;&gt;"Serviço",AND(AUTOEVENTO="Manual",$M29=$A$15),$M29&gt;(ROW(PLE.lastrow)-ROW(PLE.firstrow))),0,
           IF(OFFSET(PLE!$G$15,$M29-$A$15,DI$13)="",10^12,OFFSET(PLE!$G$15,$M29-$A$15,DI$13)))</f>
        <v>1000000000000</v>
      </c>
      <c r="DJ29" s="172" cm="1">
        <f t="array" aca="1" ref="DJ29" ca="1">IF(OR($D29&lt;&gt;"Serviço",AND(AUTOEVENTO="Manual",$M29=$A$15),$M29&gt;(ROW(PLE.lastrow)-ROW(PLE.firstrow))),0,
           IF(OFFSET(PLE!$G$15,$M29-$A$15,DJ$13)="",10^12,OFFSET(PLE!$G$15,$M29-$A$15,DJ$13)))</f>
        <v>1000000000000</v>
      </c>
      <c r="DK29" s="172" cm="1">
        <f t="array" aca="1" ref="DK29" ca="1">IF(OR($D29&lt;&gt;"Serviço",AND(AUTOEVENTO="Manual",$M29=$A$15),$M29&gt;(ROW(PLE.lastrow)-ROW(PLE.firstrow))),0,
           IF(OFFSET(PLE!$G$15,$M29-$A$15,DK$13)="",10^12,OFFSET(PLE!$G$15,$M29-$A$15,DK$13)))</f>
        <v>1000000000000</v>
      </c>
      <c r="DL29" s="172" cm="1">
        <f t="array" aca="1" ref="DL29" ca="1">IF(OR($D29&lt;&gt;"Serviço",AND(AUTOEVENTO="Manual",$M29=$A$15),$M29&gt;(ROW(PLE.lastrow)-ROW(PLE.firstrow))),0,
           IF(OFFSET(PLE!$G$15,$M29-$A$15,DL$13)="",10^12,OFFSET(PLE!$G$15,$M29-$A$15,DL$13)))</f>
        <v>1000000000000</v>
      </c>
      <c r="DM29" s="172" cm="1">
        <f t="array" aca="1" ref="DM29" ca="1">IF(OR($D29&lt;&gt;"Serviço",AND(AUTOEVENTO="Manual",$M29=$A$15),$M29&gt;(ROW(PLE.lastrow)-ROW(PLE.firstrow))),0,
           IF(OFFSET(PLE!$G$15,$M29-$A$15,DM$13)="",10^12,OFFSET(PLE!$G$15,$M29-$A$15,DM$13)))</f>
        <v>1000000000000</v>
      </c>
      <c r="DN29" s="172" cm="1">
        <f t="array" aca="1" ref="DN29" ca="1">IF(OR($D29&lt;&gt;"Serviço",AND(AUTOEVENTO="Manual",$M29=$A$15),$M29&gt;(ROW(PLE.lastrow)-ROW(PLE.firstrow))),0,
           IF(OFFSET(PLE!$G$15,$M29-$A$15,DN$13)="",10^12,OFFSET(PLE!$G$15,$M29-$A$15,DN$13)))</f>
        <v>1000000000000</v>
      </c>
      <c r="DO29" s="172" cm="1">
        <f t="array" aca="1" ref="DO29" ca="1">IF(OR($D29&lt;&gt;"Serviço",AND(AUTOEVENTO="Manual",$M29=$A$15),$M29&gt;(ROW(PLE.lastrow)-ROW(PLE.firstrow))),0,
           IF(OFFSET(PLE!$G$15,$M29-$A$15,DO$13)="",10^12,OFFSET(PLE!$G$15,$M29-$A$15,DO$13)))</f>
        <v>1000000000000</v>
      </c>
      <c r="DP29" s="172" cm="1">
        <f t="array" aca="1" ref="DP29" ca="1">IF(OR($D29&lt;&gt;"Serviço",AND(AUTOEVENTO="Manual",$M29=$A$15),$M29&gt;(ROW(PLE.lastrow)-ROW(PLE.firstrow))),0,
           IF(OFFSET(PLE!$G$15,$M29-$A$15,DP$13)="",10^12,OFFSET(PLE!$G$15,$M29-$A$15,DP$13)))</f>
        <v>1000000000000</v>
      </c>
      <c r="DQ29" s="172" cm="1">
        <f t="array" aca="1" ref="DQ29" ca="1">IF(OR($D29&lt;&gt;"Serviço",AND(AUTOEVENTO="Manual",$M29=$A$15),$M29&gt;(ROW(PLE.lastrow)-ROW(PLE.firstrow))),0,
           IF(OFFSET(PLE!$G$15,$M29-$A$15,DQ$13)="",10^12,OFFSET(PLE!$G$15,$M29-$A$15,DQ$13)))</f>
        <v>1000000000000</v>
      </c>
      <c r="DR29" s="172" cm="1">
        <f t="array" aca="1" ref="DR29" ca="1">IF(OR($D29&lt;&gt;"Serviço",AND(AUTOEVENTO="Manual",$M29=$A$15),$M29&gt;(ROW(PLE.lastrow)-ROW(PLE.firstrow))),0,
           IF(OFFSET(PLE!$G$15,$M29-$A$15,DR$13)="",10^12,OFFSET(PLE!$G$15,$M29-$A$15,DR$13)))</f>
        <v>1000000000000</v>
      </c>
      <c r="DS29" s="172" cm="1">
        <f t="array" aca="1" ref="DS29" ca="1">IF(OR($D29&lt;&gt;"Serviço",AND(AUTOEVENTO="Manual",$M29=$A$15),$M29&gt;(ROW(PLE.lastrow)-ROW(PLE.firstrow))),0,
           IF(OFFSET(PLE!$G$15,$M29-$A$15,DS$13)="",10^12,OFFSET(PLE!$G$15,$M29-$A$15,DS$13)))</f>
        <v>1000000000000</v>
      </c>
    </row>
    <row r="30" spans="1:123" ht="38.25" x14ac:dyDescent="0.2">
      <c r="A30" s="7">
        <f t="shared" ca="1" si="11"/>
        <v>3</v>
      </c>
      <c r="B30" s="7" t="str">
        <f ca="1">OFFSET(ORÇAMENTO!C$15,$L30,0)</f>
        <v>S</v>
      </c>
      <c r="C30" s="7" t="str">
        <f ca="1">OFFSET(ORÇAMENTO!L$15,$L30,0)</f>
        <v/>
      </c>
      <c r="D30" s="116" t="str">
        <f ca="1">OFFSET(ORÇAMENTO!N$15,$L30,0)</f>
        <v>Serviço</v>
      </c>
      <c r="E30" s="117" t="str">
        <f ca="1">OFFSET(ORÇAMENTO!O$15,$L30,0)</f>
        <v>-</v>
      </c>
      <c r="F30" s="163" t="str">
        <f ca="1">OFFSET(ORÇAMENTO!R$15,$L30,0)</f>
        <v>(Código não identificado nas referências)</v>
      </c>
      <c r="G30" s="164" t="str">
        <f ca="1">IF($D30&lt;&gt;"Serviço","",OFFSET(ORÇAMENTO!S$15,$L30,0))</f>
        <v>-</v>
      </c>
      <c r="H30" s="122" cm="1">
        <f t="array" aca="1" ref="H30" ca="1">IF($D30&lt;&gt;"Serviço",0,IF(ACOMPANHAMENTO="BM",ROUND(OFFSET(ORÇAMENTO!AJ$15,$L30,0),15-13*ORÇAMENTO!$AF$7),IF(IFERROR(CÁLCULO.FrentesPreenchidas,0)=0,0,SUM(ROUND(OFFSET($P30,0,1,1,CÁLCULO.FrentesPreenchidas),15-13*ORÇAMENTO!$AF$7)))))</f>
        <v>291.2</v>
      </c>
      <c r="I30" s="468" t="s">
        <v>1235</v>
      </c>
      <c r="J30" s="651" t="str" cm="1">
        <f t="array" aca="1" ref="J30" ca="1">IF(OR(B30&lt;&gt;"S",CÁLCULO.FrentesPreenchidas=0),"",IF(AND(ACOMPANHAMENTO="PLE",AUTOEVENTO="Manual",OR(H30&gt;0,ORÇAMENTO!AC30="QUANT."),OR(K30="",M30=0,N30="")),"►E",IF(AND(ACOMPANHAMENTO="PLE",ORÇAMENTO!AC30="QUANT."),"►Q",IF(AND(ACOMPANHAMENTO="PLE",H30&lt;&gt;SUMPRODUCT(($Q$1:$AQ$1=1)*ROUND(Q30:AQ30,15))),"►S",IF(AND(COUNTIF($P$11:$AQ$11,"▼")=0,H30&gt;0,I30=""),"◄M","")))))</f>
        <v/>
      </c>
      <c r="K30" s="652" t="s">
        <v>1250</v>
      </c>
      <c r="L30" s="165">
        <f t="shared" ca="1" si="12"/>
        <v>15</v>
      </c>
      <c r="M30" s="166">
        <f ca="1">IF($D30&lt;&gt;"Serviço","",
          IF(AUTOEVENTO="manual",$A30,
                IF(ISERROR(MATCH($A30,$A$15:OFFSET($A30,-1,0),0)),MAX($M$15:OFFSET(M30,-1,0))+1,
                      INDEX($M$15:OFFSET(M30,-1,0),MATCH($A30,$A$15:OFFSET($A30,-1,0),0)))))</f>
        <v>3</v>
      </c>
      <c r="N30" s="167" t="str">
        <f ca="1">IF($D30&lt;&gt;"Serviço","",
         IF(AUTOEVENTO="Manual",
                IF($A30=0,"&lt;-- defina o número do agrupador",
                       OFFSET(EVENTOS!$D$15,$A30-$A$15,0)),
                OFFSET($F$15,$A30,0)))</f>
        <v>FUNDAÇÕES</v>
      </c>
      <c r="O30" s="168"/>
      <c r="Q30" s="168">
        <v>14.56</v>
      </c>
      <c r="R30" s="169">
        <v>14.56</v>
      </c>
      <c r="S30" s="169">
        <v>14.56</v>
      </c>
      <c r="T30" s="169">
        <v>14.56</v>
      </c>
      <c r="U30" s="169">
        <v>14.56</v>
      </c>
      <c r="V30" s="169">
        <v>14.56</v>
      </c>
      <c r="W30" s="169">
        <v>14.56</v>
      </c>
      <c r="X30" s="169">
        <v>14.56</v>
      </c>
      <c r="Y30" s="169">
        <v>14.56</v>
      </c>
      <c r="Z30" s="170">
        <v>14.56</v>
      </c>
      <c r="AA30" s="169">
        <v>14.56</v>
      </c>
      <c r="AB30" s="169">
        <v>14.56</v>
      </c>
      <c r="AC30" s="169">
        <v>14.56</v>
      </c>
      <c r="AD30" s="169">
        <v>14.56</v>
      </c>
      <c r="AE30" s="169">
        <v>14.56</v>
      </c>
      <c r="AF30" s="169">
        <v>14.56</v>
      </c>
      <c r="AG30" s="169">
        <v>14.56</v>
      </c>
      <c r="AH30" s="170">
        <v>14.56</v>
      </c>
      <c r="AI30" s="169">
        <v>14.56</v>
      </c>
      <c r="AJ30" s="169">
        <v>14.56</v>
      </c>
      <c r="AK30" s="169"/>
      <c r="AL30" s="169"/>
      <c r="AM30" s="169"/>
      <c r="AN30" s="169"/>
      <c r="AO30" s="169"/>
      <c r="AP30" s="170"/>
      <c r="AR30" s="453">
        <f ca="1">IF(AND($D30="Serviço",AR$12&lt;&gt;0,$H30&gt;0,OR(AUTOEVENTO&lt;&gt;"manual",$M30&lt;&gt;$A$15)),
        IF(Import.TipoArredondamento&lt;&gt;"TransfereGOV",
              ROUND(OFFSET($P30,0,AR$13),15-13*ORÇAMENTO!$AF$7)/$H30*OFFSET(ORÇAMENTO!$X$15,ROW(AR30)-ROW(AR$15),0),
              ROUND(ROUND(OFFSET($P30,0,AR$13),15-13*ORÇAMENTO!$AF$7)*OFFSET(ORÇAMENTO!$W$15,ROW(AR30)-ROW(AR$15),0),15-13*ORÇAMENTO!$AF$11)),
         0)</f>
        <v>0</v>
      </c>
      <c r="AS30" s="453">
        <f ca="1">IF(AND($D30="Serviço",AS$12&lt;&gt;0,$H30&gt;0,OR(AUTOEVENTO&lt;&gt;"manual",$M30&lt;&gt;$A$15)),
        IF(Import.TipoArredondamento&lt;&gt;"TransfereGOV",
              ROUND(OFFSET($P30,0,AS$13),15-13*ORÇAMENTO!$AF$7)/$H30*OFFSET(ORÇAMENTO!$X$15,ROW(AS30)-ROW(AS$15),0),
              ROUND(ROUND(OFFSET($P30,0,AS$13),15-13*ORÇAMENTO!$AF$7)*OFFSET(ORÇAMENTO!$W$15,ROW(AS30)-ROW(AS$15),0),15-13*ORÇAMENTO!$AF$11)),
         0)</f>
        <v>0</v>
      </c>
      <c r="AT30" s="453">
        <f ca="1">IF(AND($D30="Serviço",AT$12&lt;&gt;0,$H30&gt;0,OR(AUTOEVENTO&lt;&gt;"manual",$M30&lt;&gt;$A$15)),
        IF(Import.TipoArredondamento&lt;&gt;"TransfereGOV",
              ROUND(OFFSET($P30,0,AT$13),15-13*ORÇAMENTO!$AF$7)/$H30*OFFSET(ORÇAMENTO!$X$15,ROW(AT30)-ROW(AT$15),0),
              ROUND(ROUND(OFFSET($P30,0,AT$13),15-13*ORÇAMENTO!$AF$7)*OFFSET(ORÇAMENTO!$W$15,ROW(AT30)-ROW(AT$15),0),15-13*ORÇAMENTO!$AF$11)),
         0)</f>
        <v>0</v>
      </c>
      <c r="AU30" s="453">
        <f ca="1">IF(AND($D30="Serviço",AU$12&lt;&gt;0,$H30&gt;0,OR(AUTOEVENTO&lt;&gt;"manual",$M30&lt;&gt;$A$15)),
        IF(Import.TipoArredondamento&lt;&gt;"TransfereGOV",
              ROUND(OFFSET($P30,0,AU$13),15-13*ORÇAMENTO!$AF$7)/$H30*OFFSET(ORÇAMENTO!$X$15,ROW(AU30)-ROW(AU$15),0),
              ROUND(ROUND(OFFSET($P30,0,AU$13),15-13*ORÇAMENTO!$AF$7)*OFFSET(ORÇAMENTO!$W$15,ROW(AU30)-ROW(AU$15),0),15-13*ORÇAMENTO!$AF$11)),
         0)</f>
        <v>0</v>
      </c>
      <c r="AV30" s="453">
        <f ca="1">IF(AND($D30="Serviço",AV$12&lt;&gt;0,$H30&gt;0,OR(AUTOEVENTO&lt;&gt;"manual",$M30&lt;&gt;$A$15)),
        IF(Import.TipoArredondamento&lt;&gt;"TransfereGOV",
              ROUND(OFFSET($P30,0,AV$13),15-13*ORÇAMENTO!$AF$7)/$H30*OFFSET(ORÇAMENTO!$X$15,ROW(AV30)-ROW(AV$15),0),
              ROUND(ROUND(OFFSET($P30,0,AV$13),15-13*ORÇAMENTO!$AF$7)*OFFSET(ORÇAMENTO!$W$15,ROW(AV30)-ROW(AV$15),0),15-13*ORÇAMENTO!$AF$11)),
         0)</f>
        <v>0</v>
      </c>
      <c r="AW30" s="453">
        <f ca="1">IF(AND($D30="Serviço",AW$12&lt;&gt;0,$H30&gt;0,OR(AUTOEVENTO&lt;&gt;"manual",$M30&lt;&gt;$A$15)),
        IF(Import.TipoArredondamento&lt;&gt;"TransfereGOV",
              ROUND(OFFSET($P30,0,AW$13),15-13*ORÇAMENTO!$AF$7)/$H30*OFFSET(ORÇAMENTO!$X$15,ROW(AW30)-ROW(AW$15),0),
              ROUND(ROUND(OFFSET($P30,0,AW$13),15-13*ORÇAMENTO!$AF$7)*OFFSET(ORÇAMENTO!$W$15,ROW(AW30)-ROW(AW$15),0),15-13*ORÇAMENTO!$AF$11)),
         0)</f>
        <v>0</v>
      </c>
      <c r="AX30" s="453">
        <f ca="1">IF(AND($D30="Serviço",AX$12&lt;&gt;0,$H30&gt;0,OR(AUTOEVENTO&lt;&gt;"manual",$M30&lt;&gt;$A$15)),
        IF(Import.TipoArredondamento&lt;&gt;"TransfereGOV",
              ROUND(OFFSET($P30,0,AX$13),15-13*ORÇAMENTO!$AF$7)/$H30*OFFSET(ORÇAMENTO!$X$15,ROW(AX30)-ROW(AX$15),0),
              ROUND(ROUND(OFFSET($P30,0,AX$13),15-13*ORÇAMENTO!$AF$7)*OFFSET(ORÇAMENTO!$W$15,ROW(AX30)-ROW(AX$15),0),15-13*ORÇAMENTO!$AF$11)),
         0)</f>
        <v>0</v>
      </c>
      <c r="AY30" s="453">
        <f ca="1">IF(AND($D30="Serviço",AY$12&lt;&gt;0,$H30&gt;0,OR(AUTOEVENTO&lt;&gt;"manual",$M30&lt;&gt;$A$15)),
        IF(Import.TipoArredondamento&lt;&gt;"TransfereGOV",
              ROUND(OFFSET($P30,0,AY$13),15-13*ORÇAMENTO!$AF$7)/$H30*OFFSET(ORÇAMENTO!$X$15,ROW(AY30)-ROW(AY$15),0),
              ROUND(ROUND(OFFSET($P30,0,AY$13),15-13*ORÇAMENTO!$AF$7)*OFFSET(ORÇAMENTO!$W$15,ROW(AY30)-ROW(AY$15),0),15-13*ORÇAMENTO!$AF$11)),
         0)</f>
        <v>0</v>
      </c>
      <c r="AZ30" s="453">
        <f ca="1">IF(AND($D30="Serviço",AZ$12&lt;&gt;0,$H30&gt;0,OR(AUTOEVENTO&lt;&gt;"manual",$M30&lt;&gt;$A$15)),
        IF(Import.TipoArredondamento&lt;&gt;"TransfereGOV",
              ROUND(OFFSET($P30,0,AZ$13),15-13*ORÇAMENTO!$AF$7)/$H30*OFFSET(ORÇAMENTO!$X$15,ROW(AZ30)-ROW(AZ$15),0),
              ROUND(ROUND(OFFSET($P30,0,AZ$13),15-13*ORÇAMENTO!$AF$7)*OFFSET(ORÇAMENTO!$W$15,ROW(AZ30)-ROW(AZ$15),0),15-13*ORÇAMENTO!$AF$11)),
         0)</f>
        <v>0</v>
      </c>
      <c r="BA30" s="453">
        <f ca="1">IF(AND($D30="Serviço",BA$12&lt;&gt;0,$H30&gt;0,OR(AUTOEVENTO&lt;&gt;"manual",$M30&lt;&gt;$A$15)),
        IF(Import.TipoArredondamento&lt;&gt;"TransfereGOV",
              ROUND(OFFSET($P30,0,BA$13),15-13*ORÇAMENTO!$AF$7)/$H30*OFFSET(ORÇAMENTO!$X$15,ROW(BA30)-ROW(BA$15),0),
              ROUND(ROUND(OFFSET($P30,0,BA$13),15-13*ORÇAMENTO!$AF$7)*OFFSET(ORÇAMENTO!$W$15,ROW(BA30)-ROW(BA$15),0),15-13*ORÇAMENTO!$AF$11)),
         0)</f>
        <v>0</v>
      </c>
      <c r="BB30" s="453">
        <f ca="1">IF(AND($D30="Serviço",BB$12&lt;&gt;0,$H30&gt;0,OR(AUTOEVENTO&lt;&gt;"manual",$M30&lt;&gt;$A$15)),
        IF(Import.TipoArredondamento&lt;&gt;"TransfereGOV",
              ROUND(OFFSET($P30,0,BB$13),15-13*ORÇAMENTO!$AF$7)/$H30*OFFSET(ORÇAMENTO!$X$15,ROW(BB30)-ROW(BB$15),0),
              ROUND(ROUND(OFFSET($P30,0,BB$13),15-13*ORÇAMENTO!$AF$7)*OFFSET(ORÇAMENTO!$W$15,ROW(BB30)-ROW(BB$15),0),15-13*ORÇAMENTO!$AF$11)),
         0)</f>
        <v>0</v>
      </c>
      <c r="BC30" s="453">
        <f ca="1">IF(AND($D30="Serviço",BC$12&lt;&gt;0,$H30&gt;0,OR(AUTOEVENTO&lt;&gt;"manual",$M30&lt;&gt;$A$15)),
        IF(Import.TipoArredondamento&lt;&gt;"TransfereGOV",
              ROUND(OFFSET($P30,0,BC$13),15-13*ORÇAMENTO!$AF$7)/$H30*OFFSET(ORÇAMENTO!$X$15,ROW(BC30)-ROW(BC$15),0),
              ROUND(ROUND(OFFSET($P30,0,BC$13),15-13*ORÇAMENTO!$AF$7)*OFFSET(ORÇAMENTO!$W$15,ROW(BC30)-ROW(BC$15),0),15-13*ORÇAMENTO!$AF$11)),
         0)</f>
        <v>0</v>
      </c>
      <c r="BD30" s="453">
        <f ca="1">IF(AND($D30="Serviço",BD$12&lt;&gt;0,$H30&gt;0,OR(AUTOEVENTO&lt;&gt;"manual",$M30&lt;&gt;$A$15)),
        IF(Import.TipoArredondamento&lt;&gt;"TransfereGOV",
              ROUND(OFFSET($P30,0,BD$13),15-13*ORÇAMENTO!$AF$7)/$H30*OFFSET(ORÇAMENTO!$X$15,ROW(BD30)-ROW(BD$15),0),
              ROUND(ROUND(OFFSET($P30,0,BD$13),15-13*ORÇAMENTO!$AF$7)*OFFSET(ORÇAMENTO!$W$15,ROW(BD30)-ROW(BD$15),0),15-13*ORÇAMENTO!$AF$11)),
         0)</f>
        <v>0</v>
      </c>
      <c r="BE30" s="453">
        <f ca="1">IF(AND($D30="Serviço",BE$12&lt;&gt;0,$H30&gt;0,OR(AUTOEVENTO&lt;&gt;"manual",$M30&lt;&gt;$A$15)),
        IF(Import.TipoArredondamento&lt;&gt;"TransfereGOV",
              ROUND(OFFSET($P30,0,BE$13),15-13*ORÇAMENTO!$AF$7)/$H30*OFFSET(ORÇAMENTO!$X$15,ROW(BE30)-ROW(BE$15),0),
              ROUND(ROUND(OFFSET($P30,0,BE$13),15-13*ORÇAMENTO!$AF$7)*OFFSET(ORÇAMENTO!$W$15,ROW(BE30)-ROW(BE$15),0),15-13*ORÇAMENTO!$AF$11)),
         0)</f>
        <v>0</v>
      </c>
      <c r="BF30" s="453">
        <f ca="1">IF(AND($D30="Serviço",BF$12&lt;&gt;0,$H30&gt;0,OR(AUTOEVENTO&lt;&gt;"manual",$M30&lt;&gt;$A$15)),
        IF(Import.TipoArredondamento&lt;&gt;"TransfereGOV",
              ROUND(OFFSET($P30,0,BF$13),15-13*ORÇAMENTO!$AF$7)/$H30*OFFSET(ORÇAMENTO!$X$15,ROW(BF30)-ROW(BF$15),0),
              ROUND(ROUND(OFFSET($P30,0,BF$13),15-13*ORÇAMENTO!$AF$7)*OFFSET(ORÇAMENTO!$W$15,ROW(BF30)-ROW(BF$15),0),15-13*ORÇAMENTO!$AF$11)),
         0)</f>
        <v>0</v>
      </c>
      <c r="BG30" s="453">
        <f ca="1">IF(AND($D30="Serviço",BG$12&lt;&gt;0,$H30&gt;0,OR(AUTOEVENTO&lt;&gt;"manual",$M30&lt;&gt;$A$15)),
        IF(Import.TipoArredondamento&lt;&gt;"TransfereGOV",
              ROUND(OFFSET($P30,0,BG$13),15-13*ORÇAMENTO!$AF$7)/$H30*OFFSET(ORÇAMENTO!$X$15,ROW(BG30)-ROW(BG$15),0),
              ROUND(ROUND(OFFSET($P30,0,BG$13),15-13*ORÇAMENTO!$AF$7)*OFFSET(ORÇAMENTO!$W$15,ROW(BG30)-ROW(BG$15),0),15-13*ORÇAMENTO!$AF$11)),
         0)</f>
        <v>0</v>
      </c>
      <c r="BH30" s="453">
        <f ca="1">IF(AND($D30="Serviço",BH$12&lt;&gt;0,$H30&gt;0,OR(AUTOEVENTO&lt;&gt;"manual",$M30&lt;&gt;$A$15)),
        IF(Import.TipoArredondamento&lt;&gt;"TransfereGOV",
              ROUND(OFFSET($P30,0,BH$13),15-13*ORÇAMENTO!$AF$7)/$H30*OFFSET(ORÇAMENTO!$X$15,ROW(BH30)-ROW(BH$15),0),
              ROUND(ROUND(OFFSET($P30,0,BH$13),15-13*ORÇAMENTO!$AF$7)*OFFSET(ORÇAMENTO!$W$15,ROW(BH30)-ROW(BH$15),0),15-13*ORÇAMENTO!$AF$11)),
         0)</f>
        <v>0</v>
      </c>
      <c r="BI30" s="453">
        <f ca="1">IF(AND($D30="Serviço",BI$12&lt;&gt;0,$H30&gt;0,OR(AUTOEVENTO&lt;&gt;"manual",$M30&lt;&gt;$A$15)),
        IF(Import.TipoArredondamento&lt;&gt;"TransfereGOV",
              ROUND(OFFSET($P30,0,BI$13),15-13*ORÇAMENTO!$AF$7)/$H30*OFFSET(ORÇAMENTO!$X$15,ROW(BI30)-ROW(BI$15),0),
              ROUND(ROUND(OFFSET($P30,0,BI$13),15-13*ORÇAMENTO!$AF$7)*OFFSET(ORÇAMENTO!$W$15,ROW(BI30)-ROW(BI$15),0),15-13*ORÇAMENTO!$AF$11)),
         0)</f>
        <v>0</v>
      </c>
      <c r="BJ30" s="453">
        <f ca="1">IF(AND($D30="Serviço",BJ$12&lt;&gt;0,$H30&gt;0,OR(AUTOEVENTO&lt;&gt;"manual",$M30&lt;&gt;$A$15)),
        IF(Import.TipoArredondamento&lt;&gt;"TransfereGOV",
              ROUND(OFFSET($P30,0,BJ$13),15-13*ORÇAMENTO!$AF$7)/$H30*OFFSET(ORÇAMENTO!$X$15,ROW(BJ30)-ROW(BJ$15),0),
              ROUND(ROUND(OFFSET($P30,0,BJ$13),15-13*ORÇAMENTO!$AF$7)*OFFSET(ORÇAMENTO!$W$15,ROW(BJ30)-ROW(BJ$15),0),15-13*ORÇAMENTO!$AF$11)),
         0)</f>
        <v>0</v>
      </c>
      <c r="BK30" s="453">
        <f ca="1">IF(AND($D30="Serviço",BK$12&lt;&gt;0,$H30&gt;0,OR(AUTOEVENTO&lt;&gt;"manual",$M30&lt;&gt;$A$15)),
        IF(Import.TipoArredondamento&lt;&gt;"TransfereGOV",
              ROUND(OFFSET($P30,0,BK$13),15-13*ORÇAMENTO!$AF$7)/$H30*OFFSET(ORÇAMENTO!$X$15,ROW(BK30)-ROW(BK$15),0),
              ROUND(ROUND(OFFSET($P30,0,BK$13),15-13*ORÇAMENTO!$AF$7)*OFFSET(ORÇAMENTO!$W$15,ROW(BK30)-ROW(BK$15),0),15-13*ORÇAMENTO!$AF$11)),
         0)</f>
        <v>0</v>
      </c>
      <c r="BL30" s="453">
        <f ca="1">IF(AND($D30="Serviço",BL$12&lt;&gt;0,$H30&gt;0,OR(AUTOEVENTO&lt;&gt;"manual",$M30&lt;&gt;$A$15)),
        IF(Import.TipoArredondamento&lt;&gt;"TransfereGOV",
              ROUND(OFFSET($P30,0,BL$13),15-13*ORÇAMENTO!$AF$7)/$H30*OFFSET(ORÇAMENTO!$X$15,ROW(BL30)-ROW(BL$15),0),
              ROUND(ROUND(OFFSET($P30,0,BL$13),15-13*ORÇAMENTO!$AF$7)*OFFSET(ORÇAMENTO!$W$15,ROW(BL30)-ROW(BL$15),0),15-13*ORÇAMENTO!$AF$11)),
         0)</f>
        <v>0</v>
      </c>
      <c r="BM30" s="453">
        <f ca="1">IF(AND($D30="Serviço",BM$12&lt;&gt;0,$H30&gt;0,OR(AUTOEVENTO&lt;&gt;"manual",$M30&lt;&gt;$A$15)),
        IF(Import.TipoArredondamento&lt;&gt;"TransfereGOV",
              ROUND(OFFSET($P30,0,BM$13),15-13*ORÇAMENTO!$AF$7)/$H30*OFFSET(ORÇAMENTO!$X$15,ROW(BM30)-ROW(BM$15),0),
              ROUND(ROUND(OFFSET($P30,0,BM$13),15-13*ORÇAMENTO!$AF$7)*OFFSET(ORÇAMENTO!$W$15,ROW(BM30)-ROW(BM$15),0),15-13*ORÇAMENTO!$AF$11)),
         0)</f>
        <v>0</v>
      </c>
      <c r="BN30" s="453">
        <f ca="1">IF(AND($D30="Serviço",BN$12&lt;&gt;0,$H30&gt;0,OR(AUTOEVENTO&lt;&gt;"manual",$M30&lt;&gt;$A$15)),
        IF(Import.TipoArredondamento&lt;&gt;"TransfereGOV",
              ROUND(OFFSET($P30,0,BN$13),15-13*ORÇAMENTO!$AF$7)/$H30*OFFSET(ORÇAMENTO!$X$15,ROW(BN30)-ROW(BN$15),0),
              ROUND(ROUND(OFFSET($P30,0,BN$13),15-13*ORÇAMENTO!$AF$7)*OFFSET(ORÇAMENTO!$W$15,ROW(BN30)-ROW(BN$15),0),15-13*ORÇAMENTO!$AF$11)),
         0)</f>
        <v>0</v>
      </c>
      <c r="BO30" s="453">
        <f ca="1">IF(AND($D30="Serviço",BO$12&lt;&gt;0,$H30&gt;0,OR(AUTOEVENTO&lt;&gt;"manual",$M30&lt;&gt;$A$15)),
        IF(Import.TipoArredondamento&lt;&gt;"TransfereGOV",
              ROUND(OFFSET($P30,0,BO$13),15-13*ORÇAMENTO!$AF$7)/$H30*OFFSET(ORÇAMENTO!$X$15,ROW(BO30)-ROW(BO$15),0),
              ROUND(ROUND(OFFSET($P30,0,BO$13),15-13*ORÇAMENTO!$AF$7)*OFFSET(ORÇAMENTO!$W$15,ROW(BO30)-ROW(BO$15),0),15-13*ORÇAMENTO!$AF$11)),
         0)</f>
        <v>0</v>
      </c>
      <c r="BP30" s="453">
        <f ca="1">IF(AND($D30="Serviço",BP$12&lt;&gt;0,$H30&gt;0,OR(AUTOEVENTO&lt;&gt;"manual",$M30&lt;&gt;$A$15)),
        IF(Import.TipoArredondamento&lt;&gt;"TransfereGOV",
              ROUND(OFFSET($P30,0,BP$13),15-13*ORÇAMENTO!$AF$7)/$H30*OFFSET(ORÇAMENTO!$X$15,ROW(BP30)-ROW(BP$15),0),
              ROUND(ROUND(OFFSET($P30,0,BP$13),15-13*ORÇAMENTO!$AF$7)*OFFSET(ORÇAMENTO!$W$15,ROW(BP30)-ROW(BP$15),0),15-13*ORÇAMENTO!$AF$11)),
         0)</f>
        <v>0</v>
      </c>
      <c r="BQ30" s="453">
        <f ca="1">IF(AND($D30="Serviço",BQ$12&lt;&gt;0,$H30&gt;0,OR(AUTOEVENTO&lt;&gt;"manual",$M30&lt;&gt;$A$15)),
        IF(Import.TipoArredondamento&lt;&gt;"TransfereGOV",
              ROUND(OFFSET($P30,0,BQ$13),15-13*ORÇAMENTO!$AF$7)/$H30*OFFSET(ORÇAMENTO!$X$15,ROW(BQ30)-ROW(BQ$15),0),
              ROUND(ROUND(OFFSET($P30,0,BQ$13),15-13*ORÇAMENTO!$AF$7)*OFFSET(ORÇAMENTO!$W$15,ROW(BQ30)-ROW(BQ$15),0),15-13*ORÇAMENTO!$AF$11)),
         0)</f>
        <v>0</v>
      </c>
      <c r="BS30" s="171">
        <f ca="1">IF(OR($D30&lt;&gt;"Serviço",AND(AUTOEVENTO="Manual",$M30=$A$15)),0,
         IF(OFFSET(CRONOPLE!$F$15,$M30-$A$15,BS$13)=0,10^12,OFFSET(CRONOPLE!$F$15,$M30-$A$15,BS$13)))</f>
        <v>1</v>
      </c>
      <c r="BT30" s="171">
        <f ca="1">IF(OR($D30&lt;&gt;"Serviço",AND(AUTOEVENTO="Manual",$M30=$A$15)),0,
         IF(OFFSET(CRONOPLE!$F$15,$M30-$A$15,BT$13)=0,10^12,OFFSET(CRONOPLE!$F$15,$M30-$A$15,BT$13)))</f>
        <v>2</v>
      </c>
      <c r="BU30" s="171">
        <f ca="1">IF(OR($D30&lt;&gt;"Serviço",AND(AUTOEVENTO="Manual",$M30=$A$15)),0,
         IF(OFFSET(CRONOPLE!$F$15,$M30-$A$15,BU$13)=0,10^12,OFFSET(CRONOPLE!$F$15,$M30-$A$15,BU$13)))</f>
        <v>3</v>
      </c>
      <c r="BV30" s="171">
        <f ca="1">IF(OR($D30&lt;&gt;"Serviço",AND(AUTOEVENTO="Manual",$M30=$A$15)),0,
         IF(OFFSET(CRONOPLE!$F$15,$M30-$A$15,BV$13)=0,10^12,OFFSET(CRONOPLE!$F$15,$M30-$A$15,BV$13)))</f>
        <v>4</v>
      </c>
      <c r="BW30" s="171">
        <f ca="1">IF(OR($D30&lt;&gt;"Serviço",AND(AUTOEVENTO="Manual",$M30=$A$15)),0,
         IF(OFFSET(CRONOPLE!$F$15,$M30-$A$15,BW$13)=0,10^12,OFFSET(CRONOPLE!$F$15,$M30-$A$15,BW$13)))</f>
        <v>5</v>
      </c>
      <c r="BX30" s="171">
        <f ca="1">IF(OR($D30&lt;&gt;"Serviço",AND(AUTOEVENTO="Manual",$M30=$A$15)),0,
         IF(OFFSET(CRONOPLE!$F$15,$M30-$A$15,BX$13)=0,10^12,OFFSET(CRONOPLE!$F$15,$M30-$A$15,BX$13)))</f>
        <v>6</v>
      </c>
      <c r="BY30" s="171">
        <f ca="1">IF(OR($D30&lt;&gt;"Serviço",AND(AUTOEVENTO="Manual",$M30=$A$15)),0,
         IF(OFFSET(CRONOPLE!$F$15,$M30-$A$15,BY$13)=0,10^12,OFFSET(CRONOPLE!$F$15,$M30-$A$15,BY$13)))</f>
        <v>7</v>
      </c>
      <c r="BZ30" s="171">
        <f ca="1">IF(OR($D30&lt;&gt;"Serviço",AND(AUTOEVENTO="Manual",$M30=$A$15)),0,
         IF(OFFSET(CRONOPLE!$F$15,$M30-$A$15,BZ$13)=0,10^12,OFFSET(CRONOPLE!$F$15,$M30-$A$15,BZ$13)))</f>
        <v>8</v>
      </c>
      <c r="CA30" s="171">
        <f ca="1">IF(OR($D30&lt;&gt;"Serviço",AND(AUTOEVENTO="Manual",$M30=$A$15)),0,
         IF(OFFSET(CRONOPLE!$F$15,$M30-$A$15,CA$13)=0,10^12,OFFSET(CRONOPLE!$F$15,$M30-$A$15,CA$13)))</f>
        <v>9</v>
      </c>
      <c r="CB30" s="171">
        <f ca="1">IF(OR($D30&lt;&gt;"Serviço",AND(AUTOEVENTO="Manual",$M30=$A$15)),0,
         IF(OFFSET(CRONOPLE!$F$15,$M30-$A$15,CB$13)=0,10^12,OFFSET(CRONOPLE!$F$15,$M30-$A$15,CB$13)))</f>
        <v>10</v>
      </c>
      <c r="CC30" s="171">
        <f ca="1">IF(OR($D30&lt;&gt;"Serviço",AND(AUTOEVENTO="Manual",$M30=$A$15)),0,
         IF(OFFSET(CRONOPLE!$F$15,$M30-$A$15,CC$13)=0,10^12,OFFSET(CRONOPLE!$F$15,$M30-$A$15,CC$13)))</f>
        <v>11</v>
      </c>
      <c r="CD30" s="171">
        <f ca="1">IF(OR($D30&lt;&gt;"Serviço",AND(AUTOEVENTO="Manual",$M30=$A$15)),0,
         IF(OFFSET(CRONOPLE!$F$15,$M30-$A$15,CD$13)=0,10^12,OFFSET(CRONOPLE!$F$15,$M30-$A$15,CD$13)))</f>
        <v>12</v>
      </c>
      <c r="CE30" s="171">
        <f ca="1">IF(OR($D30&lt;&gt;"Serviço",AND(AUTOEVENTO="Manual",$M30=$A$15)),0,
         IF(OFFSET(CRONOPLE!$F$15,$M30-$A$15,CE$13)=0,10^12,OFFSET(CRONOPLE!$F$15,$M30-$A$15,CE$13)))</f>
        <v>13</v>
      </c>
      <c r="CF30" s="171">
        <f ca="1">IF(OR($D30&lt;&gt;"Serviço",AND(AUTOEVENTO="Manual",$M30=$A$15)),0,
         IF(OFFSET(CRONOPLE!$F$15,$M30-$A$15,CF$13)=0,10^12,OFFSET(CRONOPLE!$F$15,$M30-$A$15,CF$13)))</f>
        <v>14</v>
      </c>
      <c r="CG30" s="171">
        <f ca="1">IF(OR($D30&lt;&gt;"Serviço",AND(AUTOEVENTO="Manual",$M30=$A$15)),0,
         IF(OFFSET(CRONOPLE!$F$15,$M30-$A$15,CG$13)=0,10^12,OFFSET(CRONOPLE!$F$15,$M30-$A$15,CG$13)))</f>
        <v>15</v>
      </c>
      <c r="CH30" s="171">
        <f ca="1">IF(OR($D30&lt;&gt;"Serviço",AND(AUTOEVENTO="Manual",$M30=$A$15)),0,
         IF(OFFSET(CRONOPLE!$F$15,$M30-$A$15,CH$13)=0,10^12,OFFSET(CRONOPLE!$F$15,$M30-$A$15,CH$13)))</f>
        <v>16</v>
      </c>
      <c r="CI30" s="171">
        <f ca="1">IF(OR($D30&lt;&gt;"Serviço",AND(AUTOEVENTO="Manual",$M30=$A$15)),0,
         IF(OFFSET(CRONOPLE!$F$15,$M30-$A$15,CI$13)=0,10^12,OFFSET(CRONOPLE!$F$15,$M30-$A$15,CI$13)))</f>
        <v>17</v>
      </c>
      <c r="CJ30" s="171">
        <f ca="1">IF(OR($D30&lt;&gt;"Serviço",AND(AUTOEVENTO="Manual",$M30=$A$15)),0,
         IF(OFFSET(CRONOPLE!$F$15,$M30-$A$15,CJ$13)=0,10^12,OFFSET(CRONOPLE!$F$15,$M30-$A$15,CJ$13)))</f>
        <v>18</v>
      </c>
      <c r="CK30" s="171">
        <f ca="1">IF(OR($D30&lt;&gt;"Serviço",AND(AUTOEVENTO="Manual",$M30=$A$15)),0,
         IF(OFFSET(CRONOPLE!$F$15,$M30-$A$15,CK$13)=0,10^12,OFFSET(CRONOPLE!$F$15,$M30-$A$15,CK$13)))</f>
        <v>19</v>
      </c>
      <c r="CL30" s="171">
        <f ca="1">IF(OR($D30&lt;&gt;"Serviço",AND(AUTOEVENTO="Manual",$M30=$A$15)),0,
         IF(OFFSET(CRONOPLE!$F$15,$M30-$A$15,CL$13)=0,10^12,OFFSET(CRONOPLE!$F$15,$M30-$A$15,CL$13)))</f>
        <v>20</v>
      </c>
      <c r="CM30" s="171">
        <f ca="1">IF(OR($D30&lt;&gt;"Serviço",AND(AUTOEVENTO="Manual",$M30=$A$15)),0,
         IF(OFFSET(CRONOPLE!$F$15,$M30-$A$15,CM$13)=0,10^12,OFFSET(CRONOPLE!$F$15,$M30-$A$15,CM$13)))</f>
        <v>1000000000000</v>
      </c>
      <c r="CN30" s="171">
        <f ca="1">IF(OR($D30&lt;&gt;"Serviço",AND(AUTOEVENTO="Manual",$M30=$A$15)),0,
         IF(OFFSET(CRONOPLE!$F$15,$M30-$A$15,CN$13)=0,10^12,OFFSET(CRONOPLE!$F$15,$M30-$A$15,CN$13)))</f>
        <v>1000000000000</v>
      </c>
      <c r="CO30" s="171">
        <f ca="1">IF(OR($D30&lt;&gt;"Serviço",AND(AUTOEVENTO="Manual",$M30=$A$15)),0,
         IF(OFFSET(CRONOPLE!$F$15,$M30-$A$15,CO$13)=0,10^12,OFFSET(CRONOPLE!$F$15,$M30-$A$15,CO$13)))</f>
        <v>1000000000000</v>
      </c>
      <c r="CP30" s="171">
        <f ca="1">IF(OR($D30&lt;&gt;"Serviço",AND(AUTOEVENTO="Manual",$M30=$A$15)),0,
         IF(OFFSET(CRONOPLE!$F$15,$M30-$A$15,CP$13)=0,10^12,OFFSET(CRONOPLE!$F$15,$M30-$A$15,CP$13)))</f>
        <v>1000000000000</v>
      </c>
      <c r="CQ30" s="171">
        <f ca="1">IF(OR($D30&lt;&gt;"Serviço",AND(AUTOEVENTO="Manual",$M30=$A$15)),0,
         IF(OFFSET(CRONOPLE!$F$15,$M30-$A$15,CQ$13)=0,10^12,OFFSET(CRONOPLE!$F$15,$M30-$A$15,CQ$13)))</f>
        <v>1000000000000</v>
      </c>
      <c r="CR30" s="171">
        <f ca="1">IF(OR($D30&lt;&gt;"Serviço",AND(AUTOEVENTO="Manual",$M30=$A$15)),0,
         IF(OFFSET(CRONOPLE!$F$15,$M30-$A$15,CR$13)=0,10^12,OFFSET(CRONOPLE!$F$15,$M30-$A$15,CR$13)))</f>
        <v>1000000000000</v>
      </c>
      <c r="CT30" s="172" cm="1">
        <f t="array" aca="1" ref="CT30" ca="1">IF(OR($D30&lt;&gt;"Serviço",AND(AUTOEVENTO="Manual",$M30=$A$15),$M30&gt;(ROW(PLE.lastrow)-ROW(PLE.firstrow))),0,
           IF(OFFSET(PLE!$G$15,$M30-$A$15,CT$13)="",10^12,OFFSET(PLE!$G$15,$M30-$A$15,CT$13)))</f>
        <v>1000000000000</v>
      </c>
      <c r="CU30" s="172" cm="1">
        <f t="array" aca="1" ref="CU30" ca="1">IF(OR($D30&lt;&gt;"Serviço",AND(AUTOEVENTO="Manual",$M30=$A$15),$M30&gt;(ROW(PLE.lastrow)-ROW(PLE.firstrow))),0,
           IF(OFFSET(PLE!$G$15,$M30-$A$15,CU$13)="",10^12,OFFSET(PLE!$G$15,$M30-$A$15,CU$13)))</f>
        <v>1000000000000</v>
      </c>
      <c r="CV30" s="172" cm="1">
        <f t="array" aca="1" ref="CV30" ca="1">IF(OR($D30&lt;&gt;"Serviço",AND(AUTOEVENTO="Manual",$M30=$A$15),$M30&gt;(ROW(PLE.lastrow)-ROW(PLE.firstrow))),0,
           IF(OFFSET(PLE!$G$15,$M30-$A$15,CV$13)="",10^12,OFFSET(PLE!$G$15,$M30-$A$15,CV$13)))</f>
        <v>1000000000000</v>
      </c>
      <c r="CW30" s="172" cm="1">
        <f t="array" aca="1" ref="CW30" ca="1">IF(OR($D30&lt;&gt;"Serviço",AND(AUTOEVENTO="Manual",$M30=$A$15),$M30&gt;(ROW(PLE.lastrow)-ROW(PLE.firstrow))),0,
           IF(OFFSET(PLE!$G$15,$M30-$A$15,CW$13)="",10^12,OFFSET(PLE!$G$15,$M30-$A$15,CW$13)))</f>
        <v>1000000000000</v>
      </c>
      <c r="CX30" s="172" cm="1">
        <f t="array" aca="1" ref="CX30" ca="1">IF(OR($D30&lt;&gt;"Serviço",AND(AUTOEVENTO="Manual",$M30=$A$15),$M30&gt;(ROW(PLE.lastrow)-ROW(PLE.firstrow))),0,
           IF(OFFSET(PLE!$G$15,$M30-$A$15,CX$13)="",10^12,OFFSET(PLE!$G$15,$M30-$A$15,CX$13)))</f>
        <v>1000000000000</v>
      </c>
      <c r="CY30" s="172" cm="1">
        <f t="array" aca="1" ref="CY30" ca="1">IF(OR($D30&lt;&gt;"Serviço",AND(AUTOEVENTO="Manual",$M30=$A$15),$M30&gt;(ROW(PLE.lastrow)-ROW(PLE.firstrow))),0,
           IF(OFFSET(PLE!$G$15,$M30-$A$15,CY$13)="",10^12,OFFSET(PLE!$G$15,$M30-$A$15,CY$13)))</f>
        <v>1000000000000</v>
      </c>
      <c r="CZ30" s="172" cm="1">
        <f t="array" aca="1" ref="CZ30" ca="1">IF(OR($D30&lt;&gt;"Serviço",AND(AUTOEVENTO="Manual",$M30=$A$15),$M30&gt;(ROW(PLE.lastrow)-ROW(PLE.firstrow))),0,
           IF(OFFSET(PLE!$G$15,$M30-$A$15,CZ$13)="",10^12,OFFSET(PLE!$G$15,$M30-$A$15,CZ$13)))</f>
        <v>1000000000000</v>
      </c>
      <c r="DA30" s="172" cm="1">
        <f t="array" aca="1" ref="DA30" ca="1">IF(OR($D30&lt;&gt;"Serviço",AND(AUTOEVENTO="Manual",$M30=$A$15),$M30&gt;(ROW(PLE.lastrow)-ROW(PLE.firstrow))),0,
           IF(OFFSET(PLE!$G$15,$M30-$A$15,DA$13)="",10^12,OFFSET(PLE!$G$15,$M30-$A$15,DA$13)))</f>
        <v>1000000000000</v>
      </c>
      <c r="DB30" s="172" cm="1">
        <f t="array" aca="1" ref="DB30" ca="1">IF(OR($D30&lt;&gt;"Serviço",AND(AUTOEVENTO="Manual",$M30=$A$15),$M30&gt;(ROW(PLE.lastrow)-ROW(PLE.firstrow))),0,
           IF(OFFSET(PLE!$G$15,$M30-$A$15,DB$13)="",10^12,OFFSET(PLE!$G$15,$M30-$A$15,DB$13)))</f>
        <v>1000000000000</v>
      </c>
      <c r="DC30" s="172" cm="1">
        <f t="array" aca="1" ref="DC30" ca="1">IF(OR($D30&lt;&gt;"Serviço",AND(AUTOEVENTO="Manual",$M30=$A$15),$M30&gt;(ROW(PLE.lastrow)-ROW(PLE.firstrow))),0,
           IF(OFFSET(PLE!$G$15,$M30-$A$15,DC$13)="",10^12,OFFSET(PLE!$G$15,$M30-$A$15,DC$13)))</f>
        <v>1000000000000</v>
      </c>
      <c r="DD30" s="172" cm="1">
        <f t="array" aca="1" ref="DD30" ca="1">IF(OR($D30&lt;&gt;"Serviço",AND(AUTOEVENTO="Manual",$M30=$A$15),$M30&gt;(ROW(PLE.lastrow)-ROW(PLE.firstrow))),0,
           IF(OFFSET(PLE!$G$15,$M30-$A$15,DD$13)="",10^12,OFFSET(PLE!$G$15,$M30-$A$15,DD$13)))</f>
        <v>1000000000000</v>
      </c>
      <c r="DE30" s="172" cm="1">
        <f t="array" aca="1" ref="DE30" ca="1">IF(OR($D30&lt;&gt;"Serviço",AND(AUTOEVENTO="Manual",$M30=$A$15),$M30&gt;(ROW(PLE.lastrow)-ROW(PLE.firstrow))),0,
           IF(OFFSET(PLE!$G$15,$M30-$A$15,DE$13)="",10^12,OFFSET(PLE!$G$15,$M30-$A$15,DE$13)))</f>
        <v>1000000000000</v>
      </c>
      <c r="DF30" s="172" cm="1">
        <f t="array" aca="1" ref="DF30" ca="1">IF(OR($D30&lt;&gt;"Serviço",AND(AUTOEVENTO="Manual",$M30=$A$15),$M30&gt;(ROW(PLE.lastrow)-ROW(PLE.firstrow))),0,
           IF(OFFSET(PLE!$G$15,$M30-$A$15,DF$13)="",10^12,OFFSET(PLE!$G$15,$M30-$A$15,DF$13)))</f>
        <v>1000000000000</v>
      </c>
      <c r="DG30" s="172" cm="1">
        <f t="array" aca="1" ref="DG30" ca="1">IF(OR($D30&lt;&gt;"Serviço",AND(AUTOEVENTO="Manual",$M30=$A$15),$M30&gt;(ROW(PLE.lastrow)-ROW(PLE.firstrow))),0,
           IF(OFFSET(PLE!$G$15,$M30-$A$15,DG$13)="",10^12,OFFSET(PLE!$G$15,$M30-$A$15,DG$13)))</f>
        <v>1000000000000</v>
      </c>
      <c r="DH30" s="172" cm="1">
        <f t="array" aca="1" ref="DH30" ca="1">IF(OR($D30&lt;&gt;"Serviço",AND(AUTOEVENTO="Manual",$M30=$A$15),$M30&gt;(ROW(PLE.lastrow)-ROW(PLE.firstrow))),0,
           IF(OFFSET(PLE!$G$15,$M30-$A$15,DH$13)="",10^12,OFFSET(PLE!$G$15,$M30-$A$15,DH$13)))</f>
        <v>1000000000000</v>
      </c>
      <c r="DI30" s="172" cm="1">
        <f t="array" aca="1" ref="DI30" ca="1">IF(OR($D30&lt;&gt;"Serviço",AND(AUTOEVENTO="Manual",$M30=$A$15),$M30&gt;(ROW(PLE.lastrow)-ROW(PLE.firstrow))),0,
           IF(OFFSET(PLE!$G$15,$M30-$A$15,DI$13)="",10^12,OFFSET(PLE!$G$15,$M30-$A$15,DI$13)))</f>
        <v>1000000000000</v>
      </c>
      <c r="DJ30" s="172" cm="1">
        <f t="array" aca="1" ref="DJ30" ca="1">IF(OR($D30&lt;&gt;"Serviço",AND(AUTOEVENTO="Manual",$M30=$A$15),$M30&gt;(ROW(PLE.lastrow)-ROW(PLE.firstrow))),0,
           IF(OFFSET(PLE!$G$15,$M30-$A$15,DJ$13)="",10^12,OFFSET(PLE!$G$15,$M30-$A$15,DJ$13)))</f>
        <v>1000000000000</v>
      </c>
      <c r="DK30" s="172" cm="1">
        <f t="array" aca="1" ref="DK30" ca="1">IF(OR($D30&lt;&gt;"Serviço",AND(AUTOEVENTO="Manual",$M30=$A$15),$M30&gt;(ROW(PLE.lastrow)-ROW(PLE.firstrow))),0,
           IF(OFFSET(PLE!$G$15,$M30-$A$15,DK$13)="",10^12,OFFSET(PLE!$G$15,$M30-$A$15,DK$13)))</f>
        <v>1000000000000</v>
      </c>
      <c r="DL30" s="172" cm="1">
        <f t="array" aca="1" ref="DL30" ca="1">IF(OR($D30&lt;&gt;"Serviço",AND(AUTOEVENTO="Manual",$M30=$A$15),$M30&gt;(ROW(PLE.lastrow)-ROW(PLE.firstrow))),0,
           IF(OFFSET(PLE!$G$15,$M30-$A$15,DL$13)="",10^12,OFFSET(PLE!$G$15,$M30-$A$15,DL$13)))</f>
        <v>1000000000000</v>
      </c>
      <c r="DM30" s="172" cm="1">
        <f t="array" aca="1" ref="DM30" ca="1">IF(OR($D30&lt;&gt;"Serviço",AND(AUTOEVENTO="Manual",$M30=$A$15),$M30&gt;(ROW(PLE.lastrow)-ROW(PLE.firstrow))),0,
           IF(OFFSET(PLE!$G$15,$M30-$A$15,DM$13)="",10^12,OFFSET(PLE!$G$15,$M30-$A$15,DM$13)))</f>
        <v>1000000000000</v>
      </c>
      <c r="DN30" s="172" cm="1">
        <f t="array" aca="1" ref="DN30" ca="1">IF(OR($D30&lt;&gt;"Serviço",AND(AUTOEVENTO="Manual",$M30=$A$15),$M30&gt;(ROW(PLE.lastrow)-ROW(PLE.firstrow))),0,
           IF(OFFSET(PLE!$G$15,$M30-$A$15,DN$13)="",10^12,OFFSET(PLE!$G$15,$M30-$A$15,DN$13)))</f>
        <v>1000000000000</v>
      </c>
      <c r="DO30" s="172" cm="1">
        <f t="array" aca="1" ref="DO30" ca="1">IF(OR($D30&lt;&gt;"Serviço",AND(AUTOEVENTO="Manual",$M30=$A$15),$M30&gt;(ROW(PLE.lastrow)-ROW(PLE.firstrow))),0,
           IF(OFFSET(PLE!$G$15,$M30-$A$15,DO$13)="",10^12,OFFSET(PLE!$G$15,$M30-$A$15,DO$13)))</f>
        <v>1000000000000</v>
      </c>
      <c r="DP30" s="172" cm="1">
        <f t="array" aca="1" ref="DP30" ca="1">IF(OR($D30&lt;&gt;"Serviço",AND(AUTOEVENTO="Manual",$M30=$A$15),$M30&gt;(ROW(PLE.lastrow)-ROW(PLE.firstrow))),0,
           IF(OFFSET(PLE!$G$15,$M30-$A$15,DP$13)="",10^12,OFFSET(PLE!$G$15,$M30-$A$15,DP$13)))</f>
        <v>1000000000000</v>
      </c>
      <c r="DQ30" s="172" cm="1">
        <f t="array" aca="1" ref="DQ30" ca="1">IF(OR($D30&lt;&gt;"Serviço",AND(AUTOEVENTO="Manual",$M30=$A$15),$M30&gt;(ROW(PLE.lastrow)-ROW(PLE.firstrow))),0,
           IF(OFFSET(PLE!$G$15,$M30-$A$15,DQ$13)="",10^12,OFFSET(PLE!$G$15,$M30-$A$15,DQ$13)))</f>
        <v>1000000000000</v>
      </c>
      <c r="DR30" s="172" cm="1">
        <f t="array" aca="1" ref="DR30" ca="1">IF(OR($D30&lt;&gt;"Serviço",AND(AUTOEVENTO="Manual",$M30=$A$15),$M30&gt;(ROW(PLE.lastrow)-ROW(PLE.firstrow))),0,
           IF(OFFSET(PLE!$G$15,$M30-$A$15,DR$13)="",10^12,OFFSET(PLE!$G$15,$M30-$A$15,DR$13)))</f>
        <v>1000000000000</v>
      </c>
      <c r="DS30" s="172" cm="1">
        <f t="array" aca="1" ref="DS30" ca="1">IF(OR($D30&lt;&gt;"Serviço",AND(AUTOEVENTO="Manual",$M30=$A$15),$M30&gt;(ROW(PLE.lastrow)-ROW(PLE.firstrow))),0,
           IF(OFFSET(PLE!$G$15,$M30-$A$15,DS$13)="",10^12,OFFSET(PLE!$G$15,$M30-$A$15,DS$13)))</f>
        <v>1000000000000</v>
      </c>
    </row>
    <row r="31" spans="1:123" ht="25.5" x14ac:dyDescent="0.2">
      <c r="A31" s="7">
        <f t="shared" ca="1" si="11"/>
        <v>3</v>
      </c>
      <c r="B31" s="7" t="str">
        <f ca="1">OFFSET(ORÇAMENTO!C$15,$L31,0)</f>
        <v>S</v>
      </c>
      <c r="C31" s="7" t="str">
        <f ca="1">OFFSET(ORÇAMENTO!L$15,$L31,0)</f>
        <v/>
      </c>
      <c r="D31" s="116" t="str">
        <f ca="1">OFFSET(ORÇAMENTO!N$15,$L31,0)</f>
        <v>Serviço</v>
      </c>
      <c r="E31" s="117" t="str">
        <f ca="1">OFFSET(ORÇAMENTO!O$15,$L31,0)</f>
        <v>-</v>
      </c>
      <c r="F31" s="163" t="str">
        <f ca="1">OFFSET(ORÇAMENTO!R$15,$L31,0)</f>
        <v>(Código não identificado nas referências)</v>
      </c>
      <c r="G31" s="164" t="str">
        <f ca="1">IF($D31&lt;&gt;"Serviço","",OFFSET(ORÇAMENTO!S$15,$L31,0))</f>
        <v>-</v>
      </c>
      <c r="H31" s="122" cm="1">
        <f t="array" aca="1" ref="H31" ca="1">IF($D31&lt;&gt;"Serviço",0,IF(ACOMPANHAMENTO="BM",ROUND(OFFSET(ORÇAMENTO!AJ$15,$L31,0),15-13*ORÇAMENTO!$AF$7),IF(IFERROR(CÁLCULO.FrentesPreenchidas,0)=0,0,SUM(ROUND(OFFSET($P31,0,1,1,CÁLCULO.FrentesPreenchidas),15-13*ORÇAMENTO!$AF$7)))))</f>
        <v>1014.0000000000003</v>
      </c>
      <c r="I31" s="468" t="s">
        <v>1235</v>
      </c>
      <c r="J31" s="651" t="str" cm="1">
        <f t="array" aca="1" ref="J31" ca="1">IF(OR(B31&lt;&gt;"S",CÁLCULO.FrentesPreenchidas=0),"",IF(AND(ACOMPANHAMENTO="PLE",AUTOEVENTO="Manual",OR(H31&gt;0,ORÇAMENTO!AC31="QUANT."),OR(K31="",M31=0,N31="")),"►E",IF(AND(ACOMPANHAMENTO="PLE",ORÇAMENTO!AC31="QUANT."),"►Q",IF(AND(ACOMPANHAMENTO="PLE",H31&lt;&gt;SUMPRODUCT(($Q$1:$AQ$1=1)*ROUND(Q31:AQ31,15))),"►S",IF(AND(COUNTIF($P$11:$AQ$11,"▼")=0,H31&gt;0,I31=""),"◄M","")))))</f>
        <v/>
      </c>
      <c r="K31" s="652" t="s">
        <v>1250</v>
      </c>
      <c r="L31" s="165">
        <f t="shared" ca="1" si="12"/>
        <v>16</v>
      </c>
      <c r="M31" s="166">
        <f ca="1">IF($D31&lt;&gt;"Serviço","",
          IF(AUTOEVENTO="manual",$A31,
                IF(ISERROR(MATCH($A31,$A$15:OFFSET($A31,-1,0),0)),MAX($M$15:OFFSET(M31,-1,0))+1,
                      INDEX($M$15:OFFSET(M31,-1,0),MATCH($A31,$A$15:OFFSET($A31,-1,0),0)))))</f>
        <v>3</v>
      </c>
      <c r="N31" s="167" t="str">
        <f ca="1">IF($D31&lt;&gt;"Serviço","",
         IF(AUTOEVENTO="Manual",
                IF($A31=0,"&lt;-- defina o número do agrupador",
                       OFFSET(EVENTOS!$D$15,$A31-$A$15,0)),
                OFFSET($F$15,$A31,0)))</f>
        <v>FUNDAÇÕES</v>
      </c>
      <c r="O31" s="168"/>
      <c r="Q31" s="168">
        <v>50.7</v>
      </c>
      <c r="R31" s="169">
        <v>50.7</v>
      </c>
      <c r="S31" s="169">
        <v>50.7</v>
      </c>
      <c r="T31" s="169">
        <v>50.7</v>
      </c>
      <c r="U31" s="169">
        <v>50.7</v>
      </c>
      <c r="V31" s="169">
        <v>50.7</v>
      </c>
      <c r="W31" s="169">
        <v>50.7</v>
      </c>
      <c r="X31" s="169">
        <v>50.7</v>
      </c>
      <c r="Y31" s="169">
        <v>50.7</v>
      </c>
      <c r="Z31" s="170">
        <v>50.7</v>
      </c>
      <c r="AA31" s="169">
        <v>50.7</v>
      </c>
      <c r="AB31" s="169">
        <v>50.7</v>
      </c>
      <c r="AC31" s="169">
        <v>50.7</v>
      </c>
      <c r="AD31" s="169">
        <v>50.7</v>
      </c>
      <c r="AE31" s="169">
        <v>50.7</v>
      </c>
      <c r="AF31" s="169">
        <v>50.7</v>
      </c>
      <c r="AG31" s="169">
        <v>50.7</v>
      </c>
      <c r="AH31" s="170">
        <v>50.7</v>
      </c>
      <c r="AI31" s="169">
        <v>50.7</v>
      </c>
      <c r="AJ31" s="169">
        <v>50.7</v>
      </c>
      <c r="AK31" s="169"/>
      <c r="AL31" s="169"/>
      <c r="AM31" s="169"/>
      <c r="AN31" s="169"/>
      <c r="AO31" s="169"/>
      <c r="AP31" s="170"/>
      <c r="AR31" s="453">
        <f ca="1">IF(AND($D31="Serviço",AR$12&lt;&gt;0,$H31&gt;0,OR(AUTOEVENTO&lt;&gt;"manual",$M31&lt;&gt;$A$15)),
        IF(Import.TipoArredondamento&lt;&gt;"TransfereGOV",
              ROUND(OFFSET($P31,0,AR$13),15-13*ORÇAMENTO!$AF$7)/$H31*OFFSET(ORÇAMENTO!$X$15,ROW(AR31)-ROW(AR$15),0),
              ROUND(ROUND(OFFSET($P31,0,AR$13),15-13*ORÇAMENTO!$AF$7)*OFFSET(ORÇAMENTO!$W$15,ROW(AR31)-ROW(AR$15),0),15-13*ORÇAMENTO!$AF$11)),
         0)</f>
        <v>0</v>
      </c>
      <c r="AS31" s="453">
        <f ca="1">IF(AND($D31="Serviço",AS$12&lt;&gt;0,$H31&gt;0,OR(AUTOEVENTO&lt;&gt;"manual",$M31&lt;&gt;$A$15)),
        IF(Import.TipoArredondamento&lt;&gt;"TransfereGOV",
              ROUND(OFFSET($P31,0,AS$13),15-13*ORÇAMENTO!$AF$7)/$H31*OFFSET(ORÇAMENTO!$X$15,ROW(AS31)-ROW(AS$15),0),
              ROUND(ROUND(OFFSET($P31,0,AS$13),15-13*ORÇAMENTO!$AF$7)*OFFSET(ORÇAMENTO!$W$15,ROW(AS31)-ROW(AS$15),0),15-13*ORÇAMENTO!$AF$11)),
         0)</f>
        <v>0</v>
      </c>
      <c r="AT31" s="453">
        <f ca="1">IF(AND($D31="Serviço",AT$12&lt;&gt;0,$H31&gt;0,OR(AUTOEVENTO&lt;&gt;"manual",$M31&lt;&gt;$A$15)),
        IF(Import.TipoArredondamento&lt;&gt;"TransfereGOV",
              ROUND(OFFSET($P31,0,AT$13),15-13*ORÇAMENTO!$AF$7)/$H31*OFFSET(ORÇAMENTO!$X$15,ROW(AT31)-ROW(AT$15),0),
              ROUND(ROUND(OFFSET($P31,0,AT$13),15-13*ORÇAMENTO!$AF$7)*OFFSET(ORÇAMENTO!$W$15,ROW(AT31)-ROW(AT$15),0),15-13*ORÇAMENTO!$AF$11)),
         0)</f>
        <v>0</v>
      </c>
      <c r="AU31" s="453">
        <f ca="1">IF(AND($D31="Serviço",AU$12&lt;&gt;0,$H31&gt;0,OR(AUTOEVENTO&lt;&gt;"manual",$M31&lt;&gt;$A$15)),
        IF(Import.TipoArredondamento&lt;&gt;"TransfereGOV",
              ROUND(OFFSET($P31,0,AU$13),15-13*ORÇAMENTO!$AF$7)/$H31*OFFSET(ORÇAMENTO!$X$15,ROW(AU31)-ROW(AU$15),0),
              ROUND(ROUND(OFFSET($P31,0,AU$13),15-13*ORÇAMENTO!$AF$7)*OFFSET(ORÇAMENTO!$W$15,ROW(AU31)-ROW(AU$15),0),15-13*ORÇAMENTO!$AF$11)),
         0)</f>
        <v>0</v>
      </c>
      <c r="AV31" s="453">
        <f ca="1">IF(AND($D31="Serviço",AV$12&lt;&gt;0,$H31&gt;0,OR(AUTOEVENTO&lt;&gt;"manual",$M31&lt;&gt;$A$15)),
        IF(Import.TipoArredondamento&lt;&gt;"TransfereGOV",
              ROUND(OFFSET($P31,0,AV$13),15-13*ORÇAMENTO!$AF$7)/$H31*OFFSET(ORÇAMENTO!$X$15,ROW(AV31)-ROW(AV$15),0),
              ROUND(ROUND(OFFSET($P31,0,AV$13),15-13*ORÇAMENTO!$AF$7)*OFFSET(ORÇAMENTO!$W$15,ROW(AV31)-ROW(AV$15),0),15-13*ORÇAMENTO!$AF$11)),
         0)</f>
        <v>0</v>
      </c>
      <c r="AW31" s="453">
        <f ca="1">IF(AND($D31="Serviço",AW$12&lt;&gt;0,$H31&gt;0,OR(AUTOEVENTO&lt;&gt;"manual",$M31&lt;&gt;$A$15)),
        IF(Import.TipoArredondamento&lt;&gt;"TransfereGOV",
              ROUND(OFFSET($P31,0,AW$13),15-13*ORÇAMENTO!$AF$7)/$H31*OFFSET(ORÇAMENTO!$X$15,ROW(AW31)-ROW(AW$15),0),
              ROUND(ROUND(OFFSET($P31,0,AW$13),15-13*ORÇAMENTO!$AF$7)*OFFSET(ORÇAMENTO!$W$15,ROW(AW31)-ROW(AW$15),0),15-13*ORÇAMENTO!$AF$11)),
         0)</f>
        <v>0</v>
      </c>
      <c r="AX31" s="453">
        <f ca="1">IF(AND($D31="Serviço",AX$12&lt;&gt;0,$H31&gt;0,OR(AUTOEVENTO&lt;&gt;"manual",$M31&lt;&gt;$A$15)),
        IF(Import.TipoArredondamento&lt;&gt;"TransfereGOV",
              ROUND(OFFSET($P31,0,AX$13),15-13*ORÇAMENTO!$AF$7)/$H31*OFFSET(ORÇAMENTO!$X$15,ROW(AX31)-ROW(AX$15),0),
              ROUND(ROUND(OFFSET($P31,0,AX$13),15-13*ORÇAMENTO!$AF$7)*OFFSET(ORÇAMENTO!$W$15,ROW(AX31)-ROW(AX$15),0),15-13*ORÇAMENTO!$AF$11)),
         0)</f>
        <v>0</v>
      </c>
      <c r="AY31" s="453">
        <f ca="1">IF(AND($D31="Serviço",AY$12&lt;&gt;0,$H31&gt;0,OR(AUTOEVENTO&lt;&gt;"manual",$M31&lt;&gt;$A$15)),
        IF(Import.TipoArredondamento&lt;&gt;"TransfereGOV",
              ROUND(OFFSET($P31,0,AY$13),15-13*ORÇAMENTO!$AF$7)/$H31*OFFSET(ORÇAMENTO!$X$15,ROW(AY31)-ROW(AY$15),0),
              ROUND(ROUND(OFFSET($P31,0,AY$13),15-13*ORÇAMENTO!$AF$7)*OFFSET(ORÇAMENTO!$W$15,ROW(AY31)-ROW(AY$15),0),15-13*ORÇAMENTO!$AF$11)),
         0)</f>
        <v>0</v>
      </c>
      <c r="AZ31" s="453">
        <f ca="1">IF(AND($D31="Serviço",AZ$12&lt;&gt;0,$H31&gt;0,OR(AUTOEVENTO&lt;&gt;"manual",$M31&lt;&gt;$A$15)),
        IF(Import.TipoArredondamento&lt;&gt;"TransfereGOV",
              ROUND(OFFSET($P31,0,AZ$13),15-13*ORÇAMENTO!$AF$7)/$H31*OFFSET(ORÇAMENTO!$X$15,ROW(AZ31)-ROW(AZ$15),0),
              ROUND(ROUND(OFFSET($P31,0,AZ$13),15-13*ORÇAMENTO!$AF$7)*OFFSET(ORÇAMENTO!$W$15,ROW(AZ31)-ROW(AZ$15),0),15-13*ORÇAMENTO!$AF$11)),
         0)</f>
        <v>0</v>
      </c>
      <c r="BA31" s="453">
        <f ca="1">IF(AND($D31="Serviço",BA$12&lt;&gt;0,$H31&gt;0,OR(AUTOEVENTO&lt;&gt;"manual",$M31&lt;&gt;$A$15)),
        IF(Import.TipoArredondamento&lt;&gt;"TransfereGOV",
              ROUND(OFFSET($P31,0,BA$13),15-13*ORÇAMENTO!$AF$7)/$H31*OFFSET(ORÇAMENTO!$X$15,ROW(BA31)-ROW(BA$15),0),
              ROUND(ROUND(OFFSET($P31,0,BA$13),15-13*ORÇAMENTO!$AF$7)*OFFSET(ORÇAMENTO!$W$15,ROW(BA31)-ROW(BA$15),0),15-13*ORÇAMENTO!$AF$11)),
         0)</f>
        <v>0</v>
      </c>
      <c r="BB31" s="453">
        <f ca="1">IF(AND($D31="Serviço",BB$12&lt;&gt;0,$H31&gt;0,OR(AUTOEVENTO&lt;&gt;"manual",$M31&lt;&gt;$A$15)),
        IF(Import.TipoArredondamento&lt;&gt;"TransfereGOV",
              ROUND(OFFSET($P31,0,BB$13),15-13*ORÇAMENTO!$AF$7)/$H31*OFFSET(ORÇAMENTO!$X$15,ROW(BB31)-ROW(BB$15),0),
              ROUND(ROUND(OFFSET($P31,0,BB$13),15-13*ORÇAMENTO!$AF$7)*OFFSET(ORÇAMENTO!$W$15,ROW(BB31)-ROW(BB$15),0),15-13*ORÇAMENTO!$AF$11)),
         0)</f>
        <v>0</v>
      </c>
      <c r="BC31" s="453">
        <f ca="1">IF(AND($D31="Serviço",BC$12&lt;&gt;0,$H31&gt;0,OR(AUTOEVENTO&lt;&gt;"manual",$M31&lt;&gt;$A$15)),
        IF(Import.TipoArredondamento&lt;&gt;"TransfereGOV",
              ROUND(OFFSET($P31,0,BC$13),15-13*ORÇAMENTO!$AF$7)/$H31*OFFSET(ORÇAMENTO!$X$15,ROW(BC31)-ROW(BC$15),0),
              ROUND(ROUND(OFFSET($P31,0,BC$13),15-13*ORÇAMENTO!$AF$7)*OFFSET(ORÇAMENTO!$W$15,ROW(BC31)-ROW(BC$15),0),15-13*ORÇAMENTO!$AF$11)),
         0)</f>
        <v>0</v>
      </c>
      <c r="BD31" s="453">
        <f ca="1">IF(AND($D31="Serviço",BD$12&lt;&gt;0,$H31&gt;0,OR(AUTOEVENTO&lt;&gt;"manual",$M31&lt;&gt;$A$15)),
        IF(Import.TipoArredondamento&lt;&gt;"TransfereGOV",
              ROUND(OFFSET($P31,0,BD$13),15-13*ORÇAMENTO!$AF$7)/$H31*OFFSET(ORÇAMENTO!$X$15,ROW(BD31)-ROW(BD$15),0),
              ROUND(ROUND(OFFSET($P31,0,BD$13),15-13*ORÇAMENTO!$AF$7)*OFFSET(ORÇAMENTO!$W$15,ROW(BD31)-ROW(BD$15),0),15-13*ORÇAMENTO!$AF$11)),
         0)</f>
        <v>0</v>
      </c>
      <c r="BE31" s="453">
        <f ca="1">IF(AND($D31="Serviço",BE$12&lt;&gt;0,$H31&gt;0,OR(AUTOEVENTO&lt;&gt;"manual",$M31&lt;&gt;$A$15)),
        IF(Import.TipoArredondamento&lt;&gt;"TransfereGOV",
              ROUND(OFFSET($P31,0,BE$13),15-13*ORÇAMENTO!$AF$7)/$H31*OFFSET(ORÇAMENTO!$X$15,ROW(BE31)-ROW(BE$15),0),
              ROUND(ROUND(OFFSET($P31,0,BE$13),15-13*ORÇAMENTO!$AF$7)*OFFSET(ORÇAMENTO!$W$15,ROW(BE31)-ROW(BE$15),0),15-13*ORÇAMENTO!$AF$11)),
         0)</f>
        <v>0</v>
      </c>
      <c r="BF31" s="453">
        <f ca="1">IF(AND($D31="Serviço",BF$12&lt;&gt;0,$H31&gt;0,OR(AUTOEVENTO&lt;&gt;"manual",$M31&lt;&gt;$A$15)),
        IF(Import.TipoArredondamento&lt;&gt;"TransfereGOV",
              ROUND(OFFSET($P31,0,BF$13),15-13*ORÇAMENTO!$AF$7)/$H31*OFFSET(ORÇAMENTO!$X$15,ROW(BF31)-ROW(BF$15),0),
              ROUND(ROUND(OFFSET($P31,0,BF$13),15-13*ORÇAMENTO!$AF$7)*OFFSET(ORÇAMENTO!$W$15,ROW(BF31)-ROW(BF$15),0),15-13*ORÇAMENTO!$AF$11)),
         0)</f>
        <v>0</v>
      </c>
      <c r="BG31" s="453">
        <f ca="1">IF(AND($D31="Serviço",BG$12&lt;&gt;0,$H31&gt;0,OR(AUTOEVENTO&lt;&gt;"manual",$M31&lt;&gt;$A$15)),
        IF(Import.TipoArredondamento&lt;&gt;"TransfereGOV",
              ROUND(OFFSET($P31,0,BG$13),15-13*ORÇAMENTO!$AF$7)/$H31*OFFSET(ORÇAMENTO!$X$15,ROW(BG31)-ROW(BG$15),0),
              ROUND(ROUND(OFFSET($P31,0,BG$13),15-13*ORÇAMENTO!$AF$7)*OFFSET(ORÇAMENTO!$W$15,ROW(BG31)-ROW(BG$15),0),15-13*ORÇAMENTO!$AF$11)),
         0)</f>
        <v>0</v>
      </c>
      <c r="BH31" s="453">
        <f ca="1">IF(AND($D31="Serviço",BH$12&lt;&gt;0,$H31&gt;0,OR(AUTOEVENTO&lt;&gt;"manual",$M31&lt;&gt;$A$15)),
        IF(Import.TipoArredondamento&lt;&gt;"TransfereGOV",
              ROUND(OFFSET($P31,0,BH$13),15-13*ORÇAMENTO!$AF$7)/$H31*OFFSET(ORÇAMENTO!$X$15,ROW(BH31)-ROW(BH$15),0),
              ROUND(ROUND(OFFSET($P31,0,BH$13),15-13*ORÇAMENTO!$AF$7)*OFFSET(ORÇAMENTO!$W$15,ROW(BH31)-ROW(BH$15),0),15-13*ORÇAMENTO!$AF$11)),
         0)</f>
        <v>0</v>
      </c>
      <c r="BI31" s="453">
        <f ca="1">IF(AND($D31="Serviço",BI$12&lt;&gt;0,$H31&gt;0,OR(AUTOEVENTO&lt;&gt;"manual",$M31&lt;&gt;$A$15)),
        IF(Import.TipoArredondamento&lt;&gt;"TransfereGOV",
              ROUND(OFFSET($P31,0,BI$13),15-13*ORÇAMENTO!$AF$7)/$H31*OFFSET(ORÇAMENTO!$X$15,ROW(BI31)-ROW(BI$15),0),
              ROUND(ROUND(OFFSET($P31,0,BI$13),15-13*ORÇAMENTO!$AF$7)*OFFSET(ORÇAMENTO!$W$15,ROW(BI31)-ROW(BI$15),0),15-13*ORÇAMENTO!$AF$11)),
         0)</f>
        <v>0</v>
      </c>
      <c r="BJ31" s="453">
        <f ca="1">IF(AND($D31="Serviço",BJ$12&lt;&gt;0,$H31&gt;0,OR(AUTOEVENTO&lt;&gt;"manual",$M31&lt;&gt;$A$15)),
        IF(Import.TipoArredondamento&lt;&gt;"TransfereGOV",
              ROUND(OFFSET($P31,0,BJ$13),15-13*ORÇAMENTO!$AF$7)/$H31*OFFSET(ORÇAMENTO!$X$15,ROW(BJ31)-ROW(BJ$15),0),
              ROUND(ROUND(OFFSET($P31,0,BJ$13),15-13*ORÇAMENTO!$AF$7)*OFFSET(ORÇAMENTO!$W$15,ROW(BJ31)-ROW(BJ$15),0),15-13*ORÇAMENTO!$AF$11)),
         0)</f>
        <v>0</v>
      </c>
      <c r="BK31" s="453">
        <f ca="1">IF(AND($D31="Serviço",BK$12&lt;&gt;0,$H31&gt;0,OR(AUTOEVENTO&lt;&gt;"manual",$M31&lt;&gt;$A$15)),
        IF(Import.TipoArredondamento&lt;&gt;"TransfereGOV",
              ROUND(OFFSET($P31,0,BK$13),15-13*ORÇAMENTO!$AF$7)/$H31*OFFSET(ORÇAMENTO!$X$15,ROW(BK31)-ROW(BK$15),0),
              ROUND(ROUND(OFFSET($P31,0,BK$13),15-13*ORÇAMENTO!$AF$7)*OFFSET(ORÇAMENTO!$W$15,ROW(BK31)-ROW(BK$15),0),15-13*ORÇAMENTO!$AF$11)),
         0)</f>
        <v>0</v>
      </c>
      <c r="BL31" s="453">
        <f ca="1">IF(AND($D31="Serviço",BL$12&lt;&gt;0,$H31&gt;0,OR(AUTOEVENTO&lt;&gt;"manual",$M31&lt;&gt;$A$15)),
        IF(Import.TipoArredondamento&lt;&gt;"TransfereGOV",
              ROUND(OFFSET($P31,0,BL$13),15-13*ORÇAMENTO!$AF$7)/$H31*OFFSET(ORÇAMENTO!$X$15,ROW(BL31)-ROW(BL$15),0),
              ROUND(ROUND(OFFSET($P31,0,BL$13),15-13*ORÇAMENTO!$AF$7)*OFFSET(ORÇAMENTO!$W$15,ROW(BL31)-ROW(BL$15),0),15-13*ORÇAMENTO!$AF$11)),
         0)</f>
        <v>0</v>
      </c>
      <c r="BM31" s="453">
        <f ca="1">IF(AND($D31="Serviço",BM$12&lt;&gt;0,$H31&gt;0,OR(AUTOEVENTO&lt;&gt;"manual",$M31&lt;&gt;$A$15)),
        IF(Import.TipoArredondamento&lt;&gt;"TransfereGOV",
              ROUND(OFFSET($P31,0,BM$13),15-13*ORÇAMENTO!$AF$7)/$H31*OFFSET(ORÇAMENTO!$X$15,ROW(BM31)-ROW(BM$15),0),
              ROUND(ROUND(OFFSET($P31,0,BM$13),15-13*ORÇAMENTO!$AF$7)*OFFSET(ORÇAMENTO!$W$15,ROW(BM31)-ROW(BM$15),0),15-13*ORÇAMENTO!$AF$11)),
         0)</f>
        <v>0</v>
      </c>
      <c r="BN31" s="453">
        <f ca="1">IF(AND($D31="Serviço",BN$12&lt;&gt;0,$H31&gt;0,OR(AUTOEVENTO&lt;&gt;"manual",$M31&lt;&gt;$A$15)),
        IF(Import.TipoArredondamento&lt;&gt;"TransfereGOV",
              ROUND(OFFSET($P31,0,BN$13),15-13*ORÇAMENTO!$AF$7)/$H31*OFFSET(ORÇAMENTO!$X$15,ROW(BN31)-ROW(BN$15),0),
              ROUND(ROUND(OFFSET($P31,0,BN$13),15-13*ORÇAMENTO!$AF$7)*OFFSET(ORÇAMENTO!$W$15,ROW(BN31)-ROW(BN$15),0),15-13*ORÇAMENTO!$AF$11)),
         0)</f>
        <v>0</v>
      </c>
      <c r="BO31" s="453">
        <f ca="1">IF(AND($D31="Serviço",BO$12&lt;&gt;0,$H31&gt;0,OR(AUTOEVENTO&lt;&gt;"manual",$M31&lt;&gt;$A$15)),
        IF(Import.TipoArredondamento&lt;&gt;"TransfereGOV",
              ROUND(OFFSET($P31,0,BO$13),15-13*ORÇAMENTO!$AF$7)/$H31*OFFSET(ORÇAMENTO!$X$15,ROW(BO31)-ROW(BO$15),0),
              ROUND(ROUND(OFFSET($P31,0,BO$13),15-13*ORÇAMENTO!$AF$7)*OFFSET(ORÇAMENTO!$W$15,ROW(BO31)-ROW(BO$15),0),15-13*ORÇAMENTO!$AF$11)),
         0)</f>
        <v>0</v>
      </c>
      <c r="BP31" s="453">
        <f ca="1">IF(AND($D31="Serviço",BP$12&lt;&gt;0,$H31&gt;0,OR(AUTOEVENTO&lt;&gt;"manual",$M31&lt;&gt;$A$15)),
        IF(Import.TipoArredondamento&lt;&gt;"TransfereGOV",
              ROUND(OFFSET($P31,0,BP$13),15-13*ORÇAMENTO!$AF$7)/$H31*OFFSET(ORÇAMENTO!$X$15,ROW(BP31)-ROW(BP$15),0),
              ROUND(ROUND(OFFSET($P31,0,BP$13),15-13*ORÇAMENTO!$AF$7)*OFFSET(ORÇAMENTO!$W$15,ROW(BP31)-ROW(BP$15),0),15-13*ORÇAMENTO!$AF$11)),
         0)</f>
        <v>0</v>
      </c>
      <c r="BQ31" s="453">
        <f ca="1">IF(AND($D31="Serviço",BQ$12&lt;&gt;0,$H31&gt;0,OR(AUTOEVENTO&lt;&gt;"manual",$M31&lt;&gt;$A$15)),
        IF(Import.TipoArredondamento&lt;&gt;"TransfereGOV",
              ROUND(OFFSET($P31,0,BQ$13),15-13*ORÇAMENTO!$AF$7)/$H31*OFFSET(ORÇAMENTO!$X$15,ROW(BQ31)-ROW(BQ$15),0),
              ROUND(ROUND(OFFSET($P31,0,BQ$13),15-13*ORÇAMENTO!$AF$7)*OFFSET(ORÇAMENTO!$W$15,ROW(BQ31)-ROW(BQ$15),0),15-13*ORÇAMENTO!$AF$11)),
         0)</f>
        <v>0</v>
      </c>
      <c r="BS31" s="171">
        <f ca="1">IF(OR($D31&lt;&gt;"Serviço",AND(AUTOEVENTO="Manual",$M31=$A$15)),0,
         IF(OFFSET(CRONOPLE!$F$15,$M31-$A$15,BS$13)=0,10^12,OFFSET(CRONOPLE!$F$15,$M31-$A$15,BS$13)))</f>
        <v>1</v>
      </c>
      <c r="BT31" s="171">
        <f ca="1">IF(OR($D31&lt;&gt;"Serviço",AND(AUTOEVENTO="Manual",$M31=$A$15)),0,
         IF(OFFSET(CRONOPLE!$F$15,$M31-$A$15,BT$13)=0,10^12,OFFSET(CRONOPLE!$F$15,$M31-$A$15,BT$13)))</f>
        <v>2</v>
      </c>
      <c r="BU31" s="171">
        <f ca="1">IF(OR($D31&lt;&gt;"Serviço",AND(AUTOEVENTO="Manual",$M31=$A$15)),0,
         IF(OFFSET(CRONOPLE!$F$15,$M31-$A$15,BU$13)=0,10^12,OFFSET(CRONOPLE!$F$15,$M31-$A$15,BU$13)))</f>
        <v>3</v>
      </c>
      <c r="BV31" s="171">
        <f ca="1">IF(OR($D31&lt;&gt;"Serviço",AND(AUTOEVENTO="Manual",$M31=$A$15)),0,
         IF(OFFSET(CRONOPLE!$F$15,$M31-$A$15,BV$13)=0,10^12,OFFSET(CRONOPLE!$F$15,$M31-$A$15,BV$13)))</f>
        <v>4</v>
      </c>
      <c r="BW31" s="171">
        <f ca="1">IF(OR($D31&lt;&gt;"Serviço",AND(AUTOEVENTO="Manual",$M31=$A$15)),0,
         IF(OFFSET(CRONOPLE!$F$15,$M31-$A$15,BW$13)=0,10^12,OFFSET(CRONOPLE!$F$15,$M31-$A$15,BW$13)))</f>
        <v>5</v>
      </c>
      <c r="BX31" s="171">
        <f ca="1">IF(OR($D31&lt;&gt;"Serviço",AND(AUTOEVENTO="Manual",$M31=$A$15)),0,
         IF(OFFSET(CRONOPLE!$F$15,$M31-$A$15,BX$13)=0,10^12,OFFSET(CRONOPLE!$F$15,$M31-$A$15,BX$13)))</f>
        <v>6</v>
      </c>
      <c r="BY31" s="171">
        <f ca="1">IF(OR($D31&lt;&gt;"Serviço",AND(AUTOEVENTO="Manual",$M31=$A$15)),0,
         IF(OFFSET(CRONOPLE!$F$15,$M31-$A$15,BY$13)=0,10^12,OFFSET(CRONOPLE!$F$15,$M31-$A$15,BY$13)))</f>
        <v>7</v>
      </c>
      <c r="BZ31" s="171">
        <f ca="1">IF(OR($D31&lt;&gt;"Serviço",AND(AUTOEVENTO="Manual",$M31=$A$15)),0,
         IF(OFFSET(CRONOPLE!$F$15,$M31-$A$15,BZ$13)=0,10^12,OFFSET(CRONOPLE!$F$15,$M31-$A$15,BZ$13)))</f>
        <v>8</v>
      </c>
      <c r="CA31" s="171">
        <f ca="1">IF(OR($D31&lt;&gt;"Serviço",AND(AUTOEVENTO="Manual",$M31=$A$15)),0,
         IF(OFFSET(CRONOPLE!$F$15,$M31-$A$15,CA$13)=0,10^12,OFFSET(CRONOPLE!$F$15,$M31-$A$15,CA$13)))</f>
        <v>9</v>
      </c>
      <c r="CB31" s="171">
        <f ca="1">IF(OR($D31&lt;&gt;"Serviço",AND(AUTOEVENTO="Manual",$M31=$A$15)),0,
         IF(OFFSET(CRONOPLE!$F$15,$M31-$A$15,CB$13)=0,10^12,OFFSET(CRONOPLE!$F$15,$M31-$A$15,CB$13)))</f>
        <v>10</v>
      </c>
      <c r="CC31" s="171">
        <f ca="1">IF(OR($D31&lt;&gt;"Serviço",AND(AUTOEVENTO="Manual",$M31=$A$15)),0,
         IF(OFFSET(CRONOPLE!$F$15,$M31-$A$15,CC$13)=0,10^12,OFFSET(CRONOPLE!$F$15,$M31-$A$15,CC$13)))</f>
        <v>11</v>
      </c>
      <c r="CD31" s="171">
        <f ca="1">IF(OR($D31&lt;&gt;"Serviço",AND(AUTOEVENTO="Manual",$M31=$A$15)),0,
         IF(OFFSET(CRONOPLE!$F$15,$M31-$A$15,CD$13)=0,10^12,OFFSET(CRONOPLE!$F$15,$M31-$A$15,CD$13)))</f>
        <v>12</v>
      </c>
      <c r="CE31" s="171">
        <f ca="1">IF(OR($D31&lt;&gt;"Serviço",AND(AUTOEVENTO="Manual",$M31=$A$15)),0,
         IF(OFFSET(CRONOPLE!$F$15,$M31-$A$15,CE$13)=0,10^12,OFFSET(CRONOPLE!$F$15,$M31-$A$15,CE$13)))</f>
        <v>13</v>
      </c>
      <c r="CF31" s="171">
        <f ca="1">IF(OR($D31&lt;&gt;"Serviço",AND(AUTOEVENTO="Manual",$M31=$A$15)),0,
         IF(OFFSET(CRONOPLE!$F$15,$M31-$A$15,CF$13)=0,10^12,OFFSET(CRONOPLE!$F$15,$M31-$A$15,CF$13)))</f>
        <v>14</v>
      </c>
      <c r="CG31" s="171">
        <f ca="1">IF(OR($D31&lt;&gt;"Serviço",AND(AUTOEVENTO="Manual",$M31=$A$15)),0,
         IF(OFFSET(CRONOPLE!$F$15,$M31-$A$15,CG$13)=0,10^12,OFFSET(CRONOPLE!$F$15,$M31-$A$15,CG$13)))</f>
        <v>15</v>
      </c>
      <c r="CH31" s="171">
        <f ca="1">IF(OR($D31&lt;&gt;"Serviço",AND(AUTOEVENTO="Manual",$M31=$A$15)),0,
         IF(OFFSET(CRONOPLE!$F$15,$M31-$A$15,CH$13)=0,10^12,OFFSET(CRONOPLE!$F$15,$M31-$A$15,CH$13)))</f>
        <v>16</v>
      </c>
      <c r="CI31" s="171">
        <f ca="1">IF(OR($D31&lt;&gt;"Serviço",AND(AUTOEVENTO="Manual",$M31=$A$15)),0,
         IF(OFFSET(CRONOPLE!$F$15,$M31-$A$15,CI$13)=0,10^12,OFFSET(CRONOPLE!$F$15,$M31-$A$15,CI$13)))</f>
        <v>17</v>
      </c>
      <c r="CJ31" s="171">
        <f ca="1">IF(OR($D31&lt;&gt;"Serviço",AND(AUTOEVENTO="Manual",$M31=$A$15)),0,
         IF(OFFSET(CRONOPLE!$F$15,$M31-$A$15,CJ$13)=0,10^12,OFFSET(CRONOPLE!$F$15,$M31-$A$15,CJ$13)))</f>
        <v>18</v>
      </c>
      <c r="CK31" s="171">
        <f ca="1">IF(OR($D31&lt;&gt;"Serviço",AND(AUTOEVENTO="Manual",$M31=$A$15)),0,
         IF(OFFSET(CRONOPLE!$F$15,$M31-$A$15,CK$13)=0,10^12,OFFSET(CRONOPLE!$F$15,$M31-$A$15,CK$13)))</f>
        <v>19</v>
      </c>
      <c r="CL31" s="171">
        <f ca="1">IF(OR($D31&lt;&gt;"Serviço",AND(AUTOEVENTO="Manual",$M31=$A$15)),0,
         IF(OFFSET(CRONOPLE!$F$15,$M31-$A$15,CL$13)=0,10^12,OFFSET(CRONOPLE!$F$15,$M31-$A$15,CL$13)))</f>
        <v>20</v>
      </c>
      <c r="CM31" s="171">
        <f ca="1">IF(OR($D31&lt;&gt;"Serviço",AND(AUTOEVENTO="Manual",$M31=$A$15)),0,
         IF(OFFSET(CRONOPLE!$F$15,$M31-$A$15,CM$13)=0,10^12,OFFSET(CRONOPLE!$F$15,$M31-$A$15,CM$13)))</f>
        <v>1000000000000</v>
      </c>
      <c r="CN31" s="171">
        <f ca="1">IF(OR($D31&lt;&gt;"Serviço",AND(AUTOEVENTO="Manual",$M31=$A$15)),0,
         IF(OFFSET(CRONOPLE!$F$15,$M31-$A$15,CN$13)=0,10^12,OFFSET(CRONOPLE!$F$15,$M31-$A$15,CN$13)))</f>
        <v>1000000000000</v>
      </c>
      <c r="CO31" s="171">
        <f ca="1">IF(OR($D31&lt;&gt;"Serviço",AND(AUTOEVENTO="Manual",$M31=$A$15)),0,
         IF(OFFSET(CRONOPLE!$F$15,$M31-$A$15,CO$13)=0,10^12,OFFSET(CRONOPLE!$F$15,$M31-$A$15,CO$13)))</f>
        <v>1000000000000</v>
      </c>
      <c r="CP31" s="171">
        <f ca="1">IF(OR($D31&lt;&gt;"Serviço",AND(AUTOEVENTO="Manual",$M31=$A$15)),0,
         IF(OFFSET(CRONOPLE!$F$15,$M31-$A$15,CP$13)=0,10^12,OFFSET(CRONOPLE!$F$15,$M31-$A$15,CP$13)))</f>
        <v>1000000000000</v>
      </c>
      <c r="CQ31" s="171">
        <f ca="1">IF(OR($D31&lt;&gt;"Serviço",AND(AUTOEVENTO="Manual",$M31=$A$15)),0,
         IF(OFFSET(CRONOPLE!$F$15,$M31-$A$15,CQ$13)=0,10^12,OFFSET(CRONOPLE!$F$15,$M31-$A$15,CQ$13)))</f>
        <v>1000000000000</v>
      </c>
      <c r="CR31" s="171">
        <f ca="1">IF(OR($D31&lt;&gt;"Serviço",AND(AUTOEVENTO="Manual",$M31=$A$15)),0,
         IF(OFFSET(CRONOPLE!$F$15,$M31-$A$15,CR$13)=0,10^12,OFFSET(CRONOPLE!$F$15,$M31-$A$15,CR$13)))</f>
        <v>1000000000000</v>
      </c>
      <c r="CT31" s="172" cm="1">
        <f t="array" aca="1" ref="CT31" ca="1">IF(OR($D31&lt;&gt;"Serviço",AND(AUTOEVENTO="Manual",$M31=$A$15),$M31&gt;(ROW(PLE.lastrow)-ROW(PLE.firstrow))),0,
           IF(OFFSET(PLE!$G$15,$M31-$A$15,CT$13)="",10^12,OFFSET(PLE!$G$15,$M31-$A$15,CT$13)))</f>
        <v>1000000000000</v>
      </c>
      <c r="CU31" s="172" cm="1">
        <f t="array" aca="1" ref="CU31" ca="1">IF(OR($D31&lt;&gt;"Serviço",AND(AUTOEVENTO="Manual",$M31=$A$15),$M31&gt;(ROW(PLE.lastrow)-ROW(PLE.firstrow))),0,
           IF(OFFSET(PLE!$G$15,$M31-$A$15,CU$13)="",10^12,OFFSET(PLE!$G$15,$M31-$A$15,CU$13)))</f>
        <v>1000000000000</v>
      </c>
      <c r="CV31" s="172" cm="1">
        <f t="array" aca="1" ref="CV31" ca="1">IF(OR($D31&lt;&gt;"Serviço",AND(AUTOEVENTO="Manual",$M31=$A$15),$M31&gt;(ROW(PLE.lastrow)-ROW(PLE.firstrow))),0,
           IF(OFFSET(PLE!$G$15,$M31-$A$15,CV$13)="",10^12,OFFSET(PLE!$G$15,$M31-$A$15,CV$13)))</f>
        <v>1000000000000</v>
      </c>
      <c r="CW31" s="172" cm="1">
        <f t="array" aca="1" ref="CW31" ca="1">IF(OR($D31&lt;&gt;"Serviço",AND(AUTOEVENTO="Manual",$M31=$A$15),$M31&gt;(ROW(PLE.lastrow)-ROW(PLE.firstrow))),0,
           IF(OFFSET(PLE!$G$15,$M31-$A$15,CW$13)="",10^12,OFFSET(PLE!$G$15,$M31-$A$15,CW$13)))</f>
        <v>1000000000000</v>
      </c>
      <c r="CX31" s="172" cm="1">
        <f t="array" aca="1" ref="CX31" ca="1">IF(OR($D31&lt;&gt;"Serviço",AND(AUTOEVENTO="Manual",$M31=$A$15),$M31&gt;(ROW(PLE.lastrow)-ROW(PLE.firstrow))),0,
           IF(OFFSET(PLE!$G$15,$M31-$A$15,CX$13)="",10^12,OFFSET(PLE!$G$15,$M31-$A$15,CX$13)))</f>
        <v>1000000000000</v>
      </c>
      <c r="CY31" s="172" cm="1">
        <f t="array" aca="1" ref="CY31" ca="1">IF(OR($D31&lt;&gt;"Serviço",AND(AUTOEVENTO="Manual",$M31=$A$15),$M31&gt;(ROW(PLE.lastrow)-ROW(PLE.firstrow))),0,
           IF(OFFSET(PLE!$G$15,$M31-$A$15,CY$13)="",10^12,OFFSET(PLE!$G$15,$M31-$A$15,CY$13)))</f>
        <v>1000000000000</v>
      </c>
      <c r="CZ31" s="172" cm="1">
        <f t="array" aca="1" ref="CZ31" ca="1">IF(OR($D31&lt;&gt;"Serviço",AND(AUTOEVENTO="Manual",$M31=$A$15),$M31&gt;(ROW(PLE.lastrow)-ROW(PLE.firstrow))),0,
           IF(OFFSET(PLE!$G$15,$M31-$A$15,CZ$13)="",10^12,OFFSET(PLE!$G$15,$M31-$A$15,CZ$13)))</f>
        <v>1000000000000</v>
      </c>
      <c r="DA31" s="172" cm="1">
        <f t="array" aca="1" ref="DA31" ca="1">IF(OR($D31&lt;&gt;"Serviço",AND(AUTOEVENTO="Manual",$M31=$A$15),$M31&gt;(ROW(PLE.lastrow)-ROW(PLE.firstrow))),0,
           IF(OFFSET(PLE!$G$15,$M31-$A$15,DA$13)="",10^12,OFFSET(PLE!$G$15,$M31-$A$15,DA$13)))</f>
        <v>1000000000000</v>
      </c>
      <c r="DB31" s="172" cm="1">
        <f t="array" aca="1" ref="DB31" ca="1">IF(OR($D31&lt;&gt;"Serviço",AND(AUTOEVENTO="Manual",$M31=$A$15),$M31&gt;(ROW(PLE.lastrow)-ROW(PLE.firstrow))),0,
           IF(OFFSET(PLE!$G$15,$M31-$A$15,DB$13)="",10^12,OFFSET(PLE!$G$15,$M31-$A$15,DB$13)))</f>
        <v>1000000000000</v>
      </c>
      <c r="DC31" s="172" cm="1">
        <f t="array" aca="1" ref="DC31" ca="1">IF(OR($D31&lt;&gt;"Serviço",AND(AUTOEVENTO="Manual",$M31=$A$15),$M31&gt;(ROW(PLE.lastrow)-ROW(PLE.firstrow))),0,
           IF(OFFSET(PLE!$G$15,$M31-$A$15,DC$13)="",10^12,OFFSET(PLE!$G$15,$M31-$A$15,DC$13)))</f>
        <v>1000000000000</v>
      </c>
      <c r="DD31" s="172" cm="1">
        <f t="array" aca="1" ref="DD31" ca="1">IF(OR($D31&lt;&gt;"Serviço",AND(AUTOEVENTO="Manual",$M31=$A$15),$M31&gt;(ROW(PLE.lastrow)-ROW(PLE.firstrow))),0,
           IF(OFFSET(PLE!$G$15,$M31-$A$15,DD$13)="",10^12,OFFSET(PLE!$G$15,$M31-$A$15,DD$13)))</f>
        <v>1000000000000</v>
      </c>
      <c r="DE31" s="172" cm="1">
        <f t="array" aca="1" ref="DE31" ca="1">IF(OR($D31&lt;&gt;"Serviço",AND(AUTOEVENTO="Manual",$M31=$A$15),$M31&gt;(ROW(PLE.lastrow)-ROW(PLE.firstrow))),0,
           IF(OFFSET(PLE!$G$15,$M31-$A$15,DE$13)="",10^12,OFFSET(PLE!$G$15,$M31-$A$15,DE$13)))</f>
        <v>1000000000000</v>
      </c>
      <c r="DF31" s="172" cm="1">
        <f t="array" aca="1" ref="DF31" ca="1">IF(OR($D31&lt;&gt;"Serviço",AND(AUTOEVENTO="Manual",$M31=$A$15),$M31&gt;(ROW(PLE.lastrow)-ROW(PLE.firstrow))),0,
           IF(OFFSET(PLE!$G$15,$M31-$A$15,DF$13)="",10^12,OFFSET(PLE!$G$15,$M31-$A$15,DF$13)))</f>
        <v>1000000000000</v>
      </c>
      <c r="DG31" s="172" cm="1">
        <f t="array" aca="1" ref="DG31" ca="1">IF(OR($D31&lt;&gt;"Serviço",AND(AUTOEVENTO="Manual",$M31=$A$15),$M31&gt;(ROW(PLE.lastrow)-ROW(PLE.firstrow))),0,
           IF(OFFSET(PLE!$G$15,$M31-$A$15,DG$13)="",10^12,OFFSET(PLE!$G$15,$M31-$A$15,DG$13)))</f>
        <v>1000000000000</v>
      </c>
      <c r="DH31" s="172" cm="1">
        <f t="array" aca="1" ref="DH31" ca="1">IF(OR($D31&lt;&gt;"Serviço",AND(AUTOEVENTO="Manual",$M31=$A$15),$M31&gt;(ROW(PLE.lastrow)-ROW(PLE.firstrow))),0,
           IF(OFFSET(PLE!$G$15,$M31-$A$15,DH$13)="",10^12,OFFSET(PLE!$G$15,$M31-$A$15,DH$13)))</f>
        <v>1000000000000</v>
      </c>
      <c r="DI31" s="172" cm="1">
        <f t="array" aca="1" ref="DI31" ca="1">IF(OR($D31&lt;&gt;"Serviço",AND(AUTOEVENTO="Manual",$M31=$A$15),$M31&gt;(ROW(PLE.lastrow)-ROW(PLE.firstrow))),0,
           IF(OFFSET(PLE!$G$15,$M31-$A$15,DI$13)="",10^12,OFFSET(PLE!$G$15,$M31-$A$15,DI$13)))</f>
        <v>1000000000000</v>
      </c>
      <c r="DJ31" s="172" cm="1">
        <f t="array" aca="1" ref="DJ31" ca="1">IF(OR($D31&lt;&gt;"Serviço",AND(AUTOEVENTO="Manual",$M31=$A$15),$M31&gt;(ROW(PLE.lastrow)-ROW(PLE.firstrow))),0,
           IF(OFFSET(PLE!$G$15,$M31-$A$15,DJ$13)="",10^12,OFFSET(PLE!$G$15,$M31-$A$15,DJ$13)))</f>
        <v>1000000000000</v>
      </c>
      <c r="DK31" s="172" cm="1">
        <f t="array" aca="1" ref="DK31" ca="1">IF(OR($D31&lt;&gt;"Serviço",AND(AUTOEVENTO="Manual",$M31=$A$15),$M31&gt;(ROW(PLE.lastrow)-ROW(PLE.firstrow))),0,
           IF(OFFSET(PLE!$G$15,$M31-$A$15,DK$13)="",10^12,OFFSET(PLE!$G$15,$M31-$A$15,DK$13)))</f>
        <v>1000000000000</v>
      </c>
      <c r="DL31" s="172" cm="1">
        <f t="array" aca="1" ref="DL31" ca="1">IF(OR($D31&lt;&gt;"Serviço",AND(AUTOEVENTO="Manual",$M31=$A$15),$M31&gt;(ROW(PLE.lastrow)-ROW(PLE.firstrow))),0,
           IF(OFFSET(PLE!$G$15,$M31-$A$15,DL$13)="",10^12,OFFSET(PLE!$G$15,$M31-$A$15,DL$13)))</f>
        <v>1000000000000</v>
      </c>
      <c r="DM31" s="172" cm="1">
        <f t="array" aca="1" ref="DM31" ca="1">IF(OR($D31&lt;&gt;"Serviço",AND(AUTOEVENTO="Manual",$M31=$A$15),$M31&gt;(ROW(PLE.lastrow)-ROW(PLE.firstrow))),0,
           IF(OFFSET(PLE!$G$15,$M31-$A$15,DM$13)="",10^12,OFFSET(PLE!$G$15,$M31-$A$15,DM$13)))</f>
        <v>1000000000000</v>
      </c>
      <c r="DN31" s="172" cm="1">
        <f t="array" aca="1" ref="DN31" ca="1">IF(OR($D31&lt;&gt;"Serviço",AND(AUTOEVENTO="Manual",$M31=$A$15),$M31&gt;(ROW(PLE.lastrow)-ROW(PLE.firstrow))),0,
           IF(OFFSET(PLE!$G$15,$M31-$A$15,DN$13)="",10^12,OFFSET(PLE!$G$15,$M31-$A$15,DN$13)))</f>
        <v>1000000000000</v>
      </c>
      <c r="DO31" s="172" cm="1">
        <f t="array" aca="1" ref="DO31" ca="1">IF(OR($D31&lt;&gt;"Serviço",AND(AUTOEVENTO="Manual",$M31=$A$15),$M31&gt;(ROW(PLE.lastrow)-ROW(PLE.firstrow))),0,
           IF(OFFSET(PLE!$G$15,$M31-$A$15,DO$13)="",10^12,OFFSET(PLE!$G$15,$M31-$A$15,DO$13)))</f>
        <v>1000000000000</v>
      </c>
      <c r="DP31" s="172" cm="1">
        <f t="array" aca="1" ref="DP31" ca="1">IF(OR($D31&lt;&gt;"Serviço",AND(AUTOEVENTO="Manual",$M31=$A$15),$M31&gt;(ROW(PLE.lastrow)-ROW(PLE.firstrow))),0,
           IF(OFFSET(PLE!$G$15,$M31-$A$15,DP$13)="",10^12,OFFSET(PLE!$G$15,$M31-$A$15,DP$13)))</f>
        <v>1000000000000</v>
      </c>
      <c r="DQ31" s="172" cm="1">
        <f t="array" aca="1" ref="DQ31" ca="1">IF(OR($D31&lt;&gt;"Serviço",AND(AUTOEVENTO="Manual",$M31=$A$15),$M31&gt;(ROW(PLE.lastrow)-ROW(PLE.firstrow))),0,
           IF(OFFSET(PLE!$G$15,$M31-$A$15,DQ$13)="",10^12,OFFSET(PLE!$G$15,$M31-$A$15,DQ$13)))</f>
        <v>1000000000000</v>
      </c>
      <c r="DR31" s="172" cm="1">
        <f t="array" aca="1" ref="DR31" ca="1">IF(OR($D31&lt;&gt;"Serviço",AND(AUTOEVENTO="Manual",$M31=$A$15),$M31&gt;(ROW(PLE.lastrow)-ROW(PLE.firstrow))),0,
           IF(OFFSET(PLE!$G$15,$M31-$A$15,DR$13)="",10^12,OFFSET(PLE!$G$15,$M31-$A$15,DR$13)))</f>
        <v>1000000000000</v>
      </c>
      <c r="DS31" s="172" cm="1">
        <f t="array" aca="1" ref="DS31" ca="1">IF(OR($D31&lt;&gt;"Serviço",AND(AUTOEVENTO="Manual",$M31=$A$15),$M31&gt;(ROW(PLE.lastrow)-ROW(PLE.firstrow))),0,
           IF(OFFSET(PLE!$G$15,$M31-$A$15,DS$13)="",10^12,OFFSET(PLE!$G$15,$M31-$A$15,DS$13)))</f>
        <v>1000000000000</v>
      </c>
    </row>
    <row r="32" spans="1:123" ht="38.25" x14ac:dyDescent="0.2">
      <c r="A32" s="7">
        <f t="shared" ca="1" si="11"/>
        <v>3</v>
      </c>
      <c r="B32" s="7" t="str">
        <f ca="1">OFFSET(ORÇAMENTO!C$15,$L32,0)</f>
        <v>S</v>
      </c>
      <c r="C32" s="7" t="str">
        <f ca="1">OFFSET(ORÇAMENTO!L$15,$L32,0)</f>
        <v/>
      </c>
      <c r="D32" s="116" t="str">
        <f ca="1">OFFSET(ORÇAMENTO!N$15,$L32,0)</f>
        <v>Serviço</v>
      </c>
      <c r="E32" s="117" t="str">
        <f ca="1">OFFSET(ORÇAMENTO!O$15,$L32,0)</f>
        <v>-</v>
      </c>
      <c r="F32" s="163" t="str">
        <f ca="1">OFFSET(ORÇAMENTO!R$15,$L32,0)</f>
        <v>(Código não identificado nas referências)</v>
      </c>
      <c r="G32" s="164" t="str">
        <f ca="1">IF($D32&lt;&gt;"Serviço","",OFFSET(ORÇAMENTO!S$15,$L32,0))</f>
        <v>-</v>
      </c>
      <c r="H32" s="122" cm="1">
        <f t="array" aca="1" ref="H32" ca="1">IF($D32&lt;&gt;"Serviço",0,IF(ACOMPANHAMENTO="BM",ROUND(OFFSET(ORÇAMENTO!AJ$15,$L32,0),15-13*ORÇAMENTO!$AF$7),IF(IFERROR(CÁLCULO.FrentesPreenchidas,0)=0,0,SUM(ROUND(OFFSET($P32,0,1,1,CÁLCULO.FrentesPreenchidas),15-13*ORÇAMENTO!$AF$7)))))</f>
        <v>533.99999999999989</v>
      </c>
      <c r="I32" s="468" t="s">
        <v>1235</v>
      </c>
      <c r="J32" s="651" t="str" cm="1">
        <f t="array" aca="1" ref="J32" ca="1">IF(OR(B32&lt;&gt;"S",CÁLCULO.FrentesPreenchidas=0),"",IF(AND(ACOMPANHAMENTO="PLE",AUTOEVENTO="Manual",OR(H32&gt;0,ORÇAMENTO!AC32="QUANT."),OR(K32="",M32=0,N32="")),"►E",IF(AND(ACOMPANHAMENTO="PLE",ORÇAMENTO!AC32="QUANT."),"►Q",IF(AND(ACOMPANHAMENTO="PLE",H32&lt;&gt;SUMPRODUCT(($Q$1:$AQ$1=1)*ROUND(Q32:AQ32,15))),"►S",IF(AND(COUNTIF($P$11:$AQ$11,"▼")=0,H32&gt;0,I32=""),"◄M","")))))</f>
        <v/>
      </c>
      <c r="K32" s="652" t="s">
        <v>1250</v>
      </c>
      <c r="L32" s="165">
        <f t="shared" ca="1" si="12"/>
        <v>17</v>
      </c>
      <c r="M32" s="166">
        <f ca="1">IF($D32&lt;&gt;"Serviço","",
          IF(AUTOEVENTO="manual",$A32,
                IF(ISERROR(MATCH($A32,$A$15:OFFSET($A32,-1,0),0)),MAX($M$15:OFFSET(M32,-1,0))+1,
                      INDEX($M$15:OFFSET(M32,-1,0),MATCH($A32,$A$15:OFFSET($A32,-1,0),0)))))</f>
        <v>3</v>
      </c>
      <c r="N32" s="167" t="str">
        <f ca="1">IF($D32&lt;&gt;"Serviço","",
         IF(AUTOEVENTO="Manual",
                IF($A32=0,"&lt;-- defina o número do agrupador",
                       OFFSET(EVENTOS!$D$15,$A32-$A$15,0)),
                OFFSET($F$15,$A32,0)))</f>
        <v>FUNDAÇÕES</v>
      </c>
      <c r="O32" s="168"/>
      <c r="Q32" s="168">
        <v>26.7</v>
      </c>
      <c r="R32" s="169">
        <v>26.7</v>
      </c>
      <c r="S32" s="169">
        <v>26.7</v>
      </c>
      <c r="T32" s="169">
        <v>26.7</v>
      </c>
      <c r="U32" s="169">
        <v>26.7</v>
      </c>
      <c r="V32" s="169">
        <v>26.7</v>
      </c>
      <c r="W32" s="169">
        <v>26.7</v>
      </c>
      <c r="X32" s="169">
        <v>26.7</v>
      </c>
      <c r="Y32" s="169">
        <v>26.7</v>
      </c>
      <c r="Z32" s="170">
        <v>26.7</v>
      </c>
      <c r="AA32" s="169">
        <v>26.7</v>
      </c>
      <c r="AB32" s="169">
        <v>26.7</v>
      </c>
      <c r="AC32" s="169">
        <v>26.7</v>
      </c>
      <c r="AD32" s="169">
        <v>26.7</v>
      </c>
      <c r="AE32" s="169">
        <v>26.7</v>
      </c>
      <c r="AF32" s="169">
        <v>26.7</v>
      </c>
      <c r="AG32" s="169">
        <v>26.7</v>
      </c>
      <c r="AH32" s="170">
        <v>26.7</v>
      </c>
      <c r="AI32" s="169">
        <v>26.7</v>
      </c>
      <c r="AJ32" s="169">
        <v>26.7</v>
      </c>
      <c r="AK32" s="169"/>
      <c r="AL32" s="169"/>
      <c r="AM32" s="169"/>
      <c r="AN32" s="169"/>
      <c r="AO32" s="169"/>
      <c r="AP32" s="170"/>
      <c r="AR32" s="453">
        <f ca="1">IF(AND($D32="Serviço",AR$12&lt;&gt;0,$H32&gt;0,OR(AUTOEVENTO&lt;&gt;"manual",$M32&lt;&gt;$A$15)),
        IF(Import.TipoArredondamento&lt;&gt;"TransfereGOV",
              ROUND(OFFSET($P32,0,AR$13),15-13*ORÇAMENTO!$AF$7)/$H32*OFFSET(ORÇAMENTO!$X$15,ROW(AR32)-ROW(AR$15),0),
              ROUND(ROUND(OFFSET($P32,0,AR$13),15-13*ORÇAMENTO!$AF$7)*OFFSET(ORÇAMENTO!$W$15,ROW(AR32)-ROW(AR$15),0),15-13*ORÇAMENTO!$AF$11)),
         0)</f>
        <v>0</v>
      </c>
      <c r="AS32" s="453">
        <f ca="1">IF(AND($D32="Serviço",AS$12&lt;&gt;0,$H32&gt;0,OR(AUTOEVENTO&lt;&gt;"manual",$M32&lt;&gt;$A$15)),
        IF(Import.TipoArredondamento&lt;&gt;"TransfereGOV",
              ROUND(OFFSET($P32,0,AS$13),15-13*ORÇAMENTO!$AF$7)/$H32*OFFSET(ORÇAMENTO!$X$15,ROW(AS32)-ROW(AS$15),0),
              ROUND(ROUND(OFFSET($P32,0,AS$13),15-13*ORÇAMENTO!$AF$7)*OFFSET(ORÇAMENTO!$W$15,ROW(AS32)-ROW(AS$15),0),15-13*ORÇAMENTO!$AF$11)),
         0)</f>
        <v>0</v>
      </c>
      <c r="AT32" s="453">
        <f ca="1">IF(AND($D32="Serviço",AT$12&lt;&gt;0,$H32&gt;0,OR(AUTOEVENTO&lt;&gt;"manual",$M32&lt;&gt;$A$15)),
        IF(Import.TipoArredondamento&lt;&gt;"TransfereGOV",
              ROUND(OFFSET($P32,0,AT$13),15-13*ORÇAMENTO!$AF$7)/$H32*OFFSET(ORÇAMENTO!$X$15,ROW(AT32)-ROW(AT$15),0),
              ROUND(ROUND(OFFSET($P32,0,AT$13),15-13*ORÇAMENTO!$AF$7)*OFFSET(ORÇAMENTO!$W$15,ROW(AT32)-ROW(AT$15),0),15-13*ORÇAMENTO!$AF$11)),
         0)</f>
        <v>0</v>
      </c>
      <c r="AU32" s="453">
        <f ca="1">IF(AND($D32="Serviço",AU$12&lt;&gt;0,$H32&gt;0,OR(AUTOEVENTO&lt;&gt;"manual",$M32&lt;&gt;$A$15)),
        IF(Import.TipoArredondamento&lt;&gt;"TransfereGOV",
              ROUND(OFFSET($P32,0,AU$13),15-13*ORÇAMENTO!$AF$7)/$H32*OFFSET(ORÇAMENTO!$X$15,ROW(AU32)-ROW(AU$15),0),
              ROUND(ROUND(OFFSET($P32,0,AU$13),15-13*ORÇAMENTO!$AF$7)*OFFSET(ORÇAMENTO!$W$15,ROW(AU32)-ROW(AU$15),0),15-13*ORÇAMENTO!$AF$11)),
         0)</f>
        <v>0</v>
      </c>
      <c r="AV32" s="453">
        <f ca="1">IF(AND($D32="Serviço",AV$12&lt;&gt;0,$H32&gt;0,OR(AUTOEVENTO&lt;&gt;"manual",$M32&lt;&gt;$A$15)),
        IF(Import.TipoArredondamento&lt;&gt;"TransfereGOV",
              ROUND(OFFSET($P32,0,AV$13),15-13*ORÇAMENTO!$AF$7)/$H32*OFFSET(ORÇAMENTO!$X$15,ROW(AV32)-ROW(AV$15),0),
              ROUND(ROUND(OFFSET($P32,0,AV$13),15-13*ORÇAMENTO!$AF$7)*OFFSET(ORÇAMENTO!$W$15,ROW(AV32)-ROW(AV$15),0),15-13*ORÇAMENTO!$AF$11)),
         0)</f>
        <v>0</v>
      </c>
      <c r="AW32" s="453">
        <f ca="1">IF(AND($D32="Serviço",AW$12&lt;&gt;0,$H32&gt;0,OR(AUTOEVENTO&lt;&gt;"manual",$M32&lt;&gt;$A$15)),
        IF(Import.TipoArredondamento&lt;&gt;"TransfereGOV",
              ROUND(OFFSET($P32,0,AW$13),15-13*ORÇAMENTO!$AF$7)/$H32*OFFSET(ORÇAMENTO!$X$15,ROW(AW32)-ROW(AW$15),0),
              ROUND(ROUND(OFFSET($P32,0,AW$13),15-13*ORÇAMENTO!$AF$7)*OFFSET(ORÇAMENTO!$W$15,ROW(AW32)-ROW(AW$15),0),15-13*ORÇAMENTO!$AF$11)),
         0)</f>
        <v>0</v>
      </c>
      <c r="AX32" s="453">
        <f ca="1">IF(AND($D32="Serviço",AX$12&lt;&gt;0,$H32&gt;0,OR(AUTOEVENTO&lt;&gt;"manual",$M32&lt;&gt;$A$15)),
        IF(Import.TipoArredondamento&lt;&gt;"TransfereGOV",
              ROUND(OFFSET($P32,0,AX$13),15-13*ORÇAMENTO!$AF$7)/$H32*OFFSET(ORÇAMENTO!$X$15,ROW(AX32)-ROW(AX$15),0),
              ROUND(ROUND(OFFSET($P32,0,AX$13),15-13*ORÇAMENTO!$AF$7)*OFFSET(ORÇAMENTO!$W$15,ROW(AX32)-ROW(AX$15),0),15-13*ORÇAMENTO!$AF$11)),
         0)</f>
        <v>0</v>
      </c>
      <c r="AY32" s="453">
        <f ca="1">IF(AND($D32="Serviço",AY$12&lt;&gt;0,$H32&gt;0,OR(AUTOEVENTO&lt;&gt;"manual",$M32&lt;&gt;$A$15)),
        IF(Import.TipoArredondamento&lt;&gt;"TransfereGOV",
              ROUND(OFFSET($P32,0,AY$13),15-13*ORÇAMENTO!$AF$7)/$H32*OFFSET(ORÇAMENTO!$X$15,ROW(AY32)-ROW(AY$15),0),
              ROUND(ROUND(OFFSET($P32,0,AY$13),15-13*ORÇAMENTO!$AF$7)*OFFSET(ORÇAMENTO!$W$15,ROW(AY32)-ROW(AY$15),0),15-13*ORÇAMENTO!$AF$11)),
         0)</f>
        <v>0</v>
      </c>
      <c r="AZ32" s="453">
        <f ca="1">IF(AND($D32="Serviço",AZ$12&lt;&gt;0,$H32&gt;0,OR(AUTOEVENTO&lt;&gt;"manual",$M32&lt;&gt;$A$15)),
        IF(Import.TipoArredondamento&lt;&gt;"TransfereGOV",
              ROUND(OFFSET($P32,0,AZ$13),15-13*ORÇAMENTO!$AF$7)/$H32*OFFSET(ORÇAMENTO!$X$15,ROW(AZ32)-ROW(AZ$15),0),
              ROUND(ROUND(OFFSET($P32,0,AZ$13),15-13*ORÇAMENTO!$AF$7)*OFFSET(ORÇAMENTO!$W$15,ROW(AZ32)-ROW(AZ$15),0),15-13*ORÇAMENTO!$AF$11)),
         0)</f>
        <v>0</v>
      </c>
      <c r="BA32" s="453">
        <f ca="1">IF(AND($D32="Serviço",BA$12&lt;&gt;0,$H32&gt;0,OR(AUTOEVENTO&lt;&gt;"manual",$M32&lt;&gt;$A$15)),
        IF(Import.TipoArredondamento&lt;&gt;"TransfereGOV",
              ROUND(OFFSET($P32,0,BA$13),15-13*ORÇAMENTO!$AF$7)/$H32*OFFSET(ORÇAMENTO!$X$15,ROW(BA32)-ROW(BA$15),0),
              ROUND(ROUND(OFFSET($P32,0,BA$13),15-13*ORÇAMENTO!$AF$7)*OFFSET(ORÇAMENTO!$W$15,ROW(BA32)-ROW(BA$15),0),15-13*ORÇAMENTO!$AF$11)),
         0)</f>
        <v>0</v>
      </c>
      <c r="BB32" s="453">
        <f ca="1">IF(AND($D32="Serviço",BB$12&lt;&gt;0,$H32&gt;0,OR(AUTOEVENTO&lt;&gt;"manual",$M32&lt;&gt;$A$15)),
        IF(Import.TipoArredondamento&lt;&gt;"TransfereGOV",
              ROUND(OFFSET($P32,0,BB$13),15-13*ORÇAMENTO!$AF$7)/$H32*OFFSET(ORÇAMENTO!$X$15,ROW(BB32)-ROW(BB$15),0),
              ROUND(ROUND(OFFSET($P32,0,BB$13),15-13*ORÇAMENTO!$AF$7)*OFFSET(ORÇAMENTO!$W$15,ROW(BB32)-ROW(BB$15),0),15-13*ORÇAMENTO!$AF$11)),
         0)</f>
        <v>0</v>
      </c>
      <c r="BC32" s="453">
        <f ca="1">IF(AND($D32="Serviço",BC$12&lt;&gt;0,$H32&gt;0,OR(AUTOEVENTO&lt;&gt;"manual",$M32&lt;&gt;$A$15)),
        IF(Import.TipoArredondamento&lt;&gt;"TransfereGOV",
              ROUND(OFFSET($P32,0,BC$13),15-13*ORÇAMENTO!$AF$7)/$H32*OFFSET(ORÇAMENTO!$X$15,ROW(BC32)-ROW(BC$15),0),
              ROUND(ROUND(OFFSET($P32,0,BC$13),15-13*ORÇAMENTO!$AF$7)*OFFSET(ORÇAMENTO!$W$15,ROW(BC32)-ROW(BC$15),0),15-13*ORÇAMENTO!$AF$11)),
         0)</f>
        <v>0</v>
      </c>
      <c r="BD32" s="453">
        <f ca="1">IF(AND($D32="Serviço",BD$12&lt;&gt;0,$H32&gt;0,OR(AUTOEVENTO&lt;&gt;"manual",$M32&lt;&gt;$A$15)),
        IF(Import.TipoArredondamento&lt;&gt;"TransfereGOV",
              ROUND(OFFSET($P32,0,BD$13),15-13*ORÇAMENTO!$AF$7)/$H32*OFFSET(ORÇAMENTO!$X$15,ROW(BD32)-ROW(BD$15),0),
              ROUND(ROUND(OFFSET($P32,0,BD$13),15-13*ORÇAMENTO!$AF$7)*OFFSET(ORÇAMENTO!$W$15,ROW(BD32)-ROW(BD$15),0),15-13*ORÇAMENTO!$AF$11)),
         0)</f>
        <v>0</v>
      </c>
      <c r="BE32" s="453">
        <f ca="1">IF(AND($D32="Serviço",BE$12&lt;&gt;0,$H32&gt;0,OR(AUTOEVENTO&lt;&gt;"manual",$M32&lt;&gt;$A$15)),
        IF(Import.TipoArredondamento&lt;&gt;"TransfereGOV",
              ROUND(OFFSET($P32,0,BE$13),15-13*ORÇAMENTO!$AF$7)/$H32*OFFSET(ORÇAMENTO!$X$15,ROW(BE32)-ROW(BE$15),0),
              ROUND(ROUND(OFFSET($P32,0,BE$13),15-13*ORÇAMENTO!$AF$7)*OFFSET(ORÇAMENTO!$W$15,ROW(BE32)-ROW(BE$15),0),15-13*ORÇAMENTO!$AF$11)),
         0)</f>
        <v>0</v>
      </c>
      <c r="BF32" s="453">
        <f ca="1">IF(AND($D32="Serviço",BF$12&lt;&gt;0,$H32&gt;0,OR(AUTOEVENTO&lt;&gt;"manual",$M32&lt;&gt;$A$15)),
        IF(Import.TipoArredondamento&lt;&gt;"TransfereGOV",
              ROUND(OFFSET($P32,0,BF$13),15-13*ORÇAMENTO!$AF$7)/$H32*OFFSET(ORÇAMENTO!$X$15,ROW(BF32)-ROW(BF$15),0),
              ROUND(ROUND(OFFSET($P32,0,BF$13),15-13*ORÇAMENTO!$AF$7)*OFFSET(ORÇAMENTO!$W$15,ROW(BF32)-ROW(BF$15),0),15-13*ORÇAMENTO!$AF$11)),
         0)</f>
        <v>0</v>
      </c>
      <c r="BG32" s="453">
        <f ca="1">IF(AND($D32="Serviço",BG$12&lt;&gt;0,$H32&gt;0,OR(AUTOEVENTO&lt;&gt;"manual",$M32&lt;&gt;$A$15)),
        IF(Import.TipoArredondamento&lt;&gt;"TransfereGOV",
              ROUND(OFFSET($P32,0,BG$13),15-13*ORÇAMENTO!$AF$7)/$H32*OFFSET(ORÇAMENTO!$X$15,ROW(BG32)-ROW(BG$15),0),
              ROUND(ROUND(OFFSET($P32,0,BG$13),15-13*ORÇAMENTO!$AF$7)*OFFSET(ORÇAMENTO!$W$15,ROW(BG32)-ROW(BG$15),0),15-13*ORÇAMENTO!$AF$11)),
         0)</f>
        <v>0</v>
      </c>
      <c r="BH32" s="453">
        <f ca="1">IF(AND($D32="Serviço",BH$12&lt;&gt;0,$H32&gt;0,OR(AUTOEVENTO&lt;&gt;"manual",$M32&lt;&gt;$A$15)),
        IF(Import.TipoArredondamento&lt;&gt;"TransfereGOV",
              ROUND(OFFSET($P32,0,BH$13),15-13*ORÇAMENTO!$AF$7)/$H32*OFFSET(ORÇAMENTO!$X$15,ROW(BH32)-ROW(BH$15),0),
              ROUND(ROUND(OFFSET($P32,0,BH$13),15-13*ORÇAMENTO!$AF$7)*OFFSET(ORÇAMENTO!$W$15,ROW(BH32)-ROW(BH$15),0),15-13*ORÇAMENTO!$AF$11)),
         0)</f>
        <v>0</v>
      </c>
      <c r="BI32" s="453">
        <f ca="1">IF(AND($D32="Serviço",BI$12&lt;&gt;0,$H32&gt;0,OR(AUTOEVENTO&lt;&gt;"manual",$M32&lt;&gt;$A$15)),
        IF(Import.TipoArredondamento&lt;&gt;"TransfereGOV",
              ROUND(OFFSET($P32,0,BI$13),15-13*ORÇAMENTO!$AF$7)/$H32*OFFSET(ORÇAMENTO!$X$15,ROW(BI32)-ROW(BI$15),0),
              ROUND(ROUND(OFFSET($P32,0,BI$13),15-13*ORÇAMENTO!$AF$7)*OFFSET(ORÇAMENTO!$W$15,ROW(BI32)-ROW(BI$15),0),15-13*ORÇAMENTO!$AF$11)),
         0)</f>
        <v>0</v>
      </c>
      <c r="BJ32" s="453">
        <f ca="1">IF(AND($D32="Serviço",BJ$12&lt;&gt;0,$H32&gt;0,OR(AUTOEVENTO&lt;&gt;"manual",$M32&lt;&gt;$A$15)),
        IF(Import.TipoArredondamento&lt;&gt;"TransfereGOV",
              ROUND(OFFSET($P32,0,BJ$13),15-13*ORÇAMENTO!$AF$7)/$H32*OFFSET(ORÇAMENTO!$X$15,ROW(BJ32)-ROW(BJ$15),0),
              ROUND(ROUND(OFFSET($P32,0,BJ$13),15-13*ORÇAMENTO!$AF$7)*OFFSET(ORÇAMENTO!$W$15,ROW(BJ32)-ROW(BJ$15),0),15-13*ORÇAMENTO!$AF$11)),
         0)</f>
        <v>0</v>
      </c>
      <c r="BK32" s="453">
        <f ca="1">IF(AND($D32="Serviço",BK$12&lt;&gt;0,$H32&gt;0,OR(AUTOEVENTO&lt;&gt;"manual",$M32&lt;&gt;$A$15)),
        IF(Import.TipoArredondamento&lt;&gt;"TransfereGOV",
              ROUND(OFFSET($P32,0,BK$13),15-13*ORÇAMENTO!$AF$7)/$H32*OFFSET(ORÇAMENTO!$X$15,ROW(BK32)-ROW(BK$15),0),
              ROUND(ROUND(OFFSET($P32,0,BK$13),15-13*ORÇAMENTO!$AF$7)*OFFSET(ORÇAMENTO!$W$15,ROW(BK32)-ROW(BK$15),0),15-13*ORÇAMENTO!$AF$11)),
         0)</f>
        <v>0</v>
      </c>
      <c r="BL32" s="453">
        <f ca="1">IF(AND($D32="Serviço",BL$12&lt;&gt;0,$H32&gt;0,OR(AUTOEVENTO&lt;&gt;"manual",$M32&lt;&gt;$A$15)),
        IF(Import.TipoArredondamento&lt;&gt;"TransfereGOV",
              ROUND(OFFSET($P32,0,BL$13),15-13*ORÇAMENTO!$AF$7)/$H32*OFFSET(ORÇAMENTO!$X$15,ROW(BL32)-ROW(BL$15),0),
              ROUND(ROUND(OFFSET($P32,0,BL$13),15-13*ORÇAMENTO!$AF$7)*OFFSET(ORÇAMENTO!$W$15,ROW(BL32)-ROW(BL$15),0),15-13*ORÇAMENTO!$AF$11)),
         0)</f>
        <v>0</v>
      </c>
      <c r="BM32" s="453">
        <f ca="1">IF(AND($D32="Serviço",BM$12&lt;&gt;0,$H32&gt;0,OR(AUTOEVENTO&lt;&gt;"manual",$M32&lt;&gt;$A$15)),
        IF(Import.TipoArredondamento&lt;&gt;"TransfereGOV",
              ROUND(OFFSET($P32,0,BM$13),15-13*ORÇAMENTO!$AF$7)/$H32*OFFSET(ORÇAMENTO!$X$15,ROW(BM32)-ROW(BM$15),0),
              ROUND(ROUND(OFFSET($P32,0,BM$13),15-13*ORÇAMENTO!$AF$7)*OFFSET(ORÇAMENTO!$W$15,ROW(BM32)-ROW(BM$15),0),15-13*ORÇAMENTO!$AF$11)),
         0)</f>
        <v>0</v>
      </c>
      <c r="BN32" s="453">
        <f ca="1">IF(AND($D32="Serviço",BN$12&lt;&gt;0,$H32&gt;0,OR(AUTOEVENTO&lt;&gt;"manual",$M32&lt;&gt;$A$15)),
        IF(Import.TipoArredondamento&lt;&gt;"TransfereGOV",
              ROUND(OFFSET($P32,0,BN$13),15-13*ORÇAMENTO!$AF$7)/$H32*OFFSET(ORÇAMENTO!$X$15,ROW(BN32)-ROW(BN$15),0),
              ROUND(ROUND(OFFSET($P32,0,BN$13),15-13*ORÇAMENTO!$AF$7)*OFFSET(ORÇAMENTO!$W$15,ROW(BN32)-ROW(BN$15),0),15-13*ORÇAMENTO!$AF$11)),
         0)</f>
        <v>0</v>
      </c>
      <c r="BO32" s="453">
        <f ca="1">IF(AND($D32="Serviço",BO$12&lt;&gt;0,$H32&gt;0,OR(AUTOEVENTO&lt;&gt;"manual",$M32&lt;&gt;$A$15)),
        IF(Import.TipoArredondamento&lt;&gt;"TransfereGOV",
              ROUND(OFFSET($P32,0,BO$13),15-13*ORÇAMENTO!$AF$7)/$H32*OFFSET(ORÇAMENTO!$X$15,ROW(BO32)-ROW(BO$15),0),
              ROUND(ROUND(OFFSET($P32,0,BO$13),15-13*ORÇAMENTO!$AF$7)*OFFSET(ORÇAMENTO!$W$15,ROW(BO32)-ROW(BO$15),0),15-13*ORÇAMENTO!$AF$11)),
         0)</f>
        <v>0</v>
      </c>
      <c r="BP32" s="453">
        <f ca="1">IF(AND($D32="Serviço",BP$12&lt;&gt;0,$H32&gt;0,OR(AUTOEVENTO&lt;&gt;"manual",$M32&lt;&gt;$A$15)),
        IF(Import.TipoArredondamento&lt;&gt;"TransfereGOV",
              ROUND(OFFSET($P32,0,BP$13),15-13*ORÇAMENTO!$AF$7)/$H32*OFFSET(ORÇAMENTO!$X$15,ROW(BP32)-ROW(BP$15),0),
              ROUND(ROUND(OFFSET($P32,0,BP$13),15-13*ORÇAMENTO!$AF$7)*OFFSET(ORÇAMENTO!$W$15,ROW(BP32)-ROW(BP$15),0),15-13*ORÇAMENTO!$AF$11)),
         0)</f>
        <v>0</v>
      </c>
      <c r="BQ32" s="453">
        <f ca="1">IF(AND($D32="Serviço",BQ$12&lt;&gt;0,$H32&gt;0,OR(AUTOEVENTO&lt;&gt;"manual",$M32&lt;&gt;$A$15)),
        IF(Import.TipoArredondamento&lt;&gt;"TransfereGOV",
              ROUND(OFFSET($P32,0,BQ$13),15-13*ORÇAMENTO!$AF$7)/$H32*OFFSET(ORÇAMENTO!$X$15,ROW(BQ32)-ROW(BQ$15),0),
              ROUND(ROUND(OFFSET($P32,0,BQ$13),15-13*ORÇAMENTO!$AF$7)*OFFSET(ORÇAMENTO!$W$15,ROW(BQ32)-ROW(BQ$15),0),15-13*ORÇAMENTO!$AF$11)),
         0)</f>
        <v>0</v>
      </c>
      <c r="BS32" s="171">
        <f ca="1">IF(OR($D32&lt;&gt;"Serviço",AND(AUTOEVENTO="Manual",$M32=$A$15)),0,
         IF(OFFSET(CRONOPLE!$F$15,$M32-$A$15,BS$13)=0,10^12,OFFSET(CRONOPLE!$F$15,$M32-$A$15,BS$13)))</f>
        <v>1</v>
      </c>
      <c r="BT32" s="171">
        <f ca="1">IF(OR($D32&lt;&gt;"Serviço",AND(AUTOEVENTO="Manual",$M32=$A$15)),0,
         IF(OFFSET(CRONOPLE!$F$15,$M32-$A$15,BT$13)=0,10^12,OFFSET(CRONOPLE!$F$15,$M32-$A$15,BT$13)))</f>
        <v>2</v>
      </c>
      <c r="BU32" s="171">
        <f ca="1">IF(OR($D32&lt;&gt;"Serviço",AND(AUTOEVENTO="Manual",$M32=$A$15)),0,
         IF(OFFSET(CRONOPLE!$F$15,$M32-$A$15,BU$13)=0,10^12,OFFSET(CRONOPLE!$F$15,$M32-$A$15,BU$13)))</f>
        <v>3</v>
      </c>
      <c r="BV32" s="171">
        <f ca="1">IF(OR($D32&lt;&gt;"Serviço",AND(AUTOEVENTO="Manual",$M32=$A$15)),0,
         IF(OFFSET(CRONOPLE!$F$15,$M32-$A$15,BV$13)=0,10^12,OFFSET(CRONOPLE!$F$15,$M32-$A$15,BV$13)))</f>
        <v>4</v>
      </c>
      <c r="BW32" s="171">
        <f ca="1">IF(OR($D32&lt;&gt;"Serviço",AND(AUTOEVENTO="Manual",$M32=$A$15)),0,
         IF(OFFSET(CRONOPLE!$F$15,$M32-$A$15,BW$13)=0,10^12,OFFSET(CRONOPLE!$F$15,$M32-$A$15,BW$13)))</f>
        <v>5</v>
      </c>
      <c r="BX32" s="171">
        <f ca="1">IF(OR($D32&lt;&gt;"Serviço",AND(AUTOEVENTO="Manual",$M32=$A$15)),0,
         IF(OFFSET(CRONOPLE!$F$15,$M32-$A$15,BX$13)=0,10^12,OFFSET(CRONOPLE!$F$15,$M32-$A$15,BX$13)))</f>
        <v>6</v>
      </c>
      <c r="BY32" s="171">
        <f ca="1">IF(OR($D32&lt;&gt;"Serviço",AND(AUTOEVENTO="Manual",$M32=$A$15)),0,
         IF(OFFSET(CRONOPLE!$F$15,$M32-$A$15,BY$13)=0,10^12,OFFSET(CRONOPLE!$F$15,$M32-$A$15,BY$13)))</f>
        <v>7</v>
      </c>
      <c r="BZ32" s="171">
        <f ca="1">IF(OR($D32&lt;&gt;"Serviço",AND(AUTOEVENTO="Manual",$M32=$A$15)),0,
         IF(OFFSET(CRONOPLE!$F$15,$M32-$A$15,BZ$13)=0,10^12,OFFSET(CRONOPLE!$F$15,$M32-$A$15,BZ$13)))</f>
        <v>8</v>
      </c>
      <c r="CA32" s="171">
        <f ca="1">IF(OR($D32&lt;&gt;"Serviço",AND(AUTOEVENTO="Manual",$M32=$A$15)),0,
         IF(OFFSET(CRONOPLE!$F$15,$M32-$A$15,CA$13)=0,10^12,OFFSET(CRONOPLE!$F$15,$M32-$A$15,CA$13)))</f>
        <v>9</v>
      </c>
      <c r="CB32" s="171">
        <f ca="1">IF(OR($D32&lt;&gt;"Serviço",AND(AUTOEVENTO="Manual",$M32=$A$15)),0,
         IF(OFFSET(CRONOPLE!$F$15,$M32-$A$15,CB$13)=0,10^12,OFFSET(CRONOPLE!$F$15,$M32-$A$15,CB$13)))</f>
        <v>10</v>
      </c>
      <c r="CC32" s="171">
        <f ca="1">IF(OR($D32&lt;&gt;"Serviço",AND(AUTOEVENTO="Manual",$M32=$A$15)),0,
         IF(OFFSET(CRONOPLE!$F$15,$M32-$A$15,CC$13)=0,10^12,OFFSET(CRONOPLE!$F$15,$M32-$A$15,CC$13)))</f>
        <v>11</v>
      </c>
      <c r="CD32" s="171">
        <f ca="1">IF(OR($D32&lt;&gt;"Serviço",AND(AUTOEVENTO="Manual",$M32=$A$15)),0,
         IF(OFFSET(CRONOPLE!$F$15,$M32-$A$15,CD$13)=0,10^12,OFFSET(CRONOPLE!$F$15,$M32-$A$15,CD$13)))</f>
        <v>12</v>
      </c>
      <c r="CE32" s="171">
        <f ca="1">IF(OR($D32&lt;&gt;"Serviço",AND(AUTOEVENTO="Manual",$M32=$A$15)),0,
         IF(OFFSET(CRONOPLE!$F$15,$M32-$A$15,CE$13)=0,10^12,OFFSET(CRONOPLE!$F$15,$M32-$A$15,CE$13)))</f>
        <v>13</v>
      </c>
      <c r="CF32" s="171">
        <f ca="1">IF(OR($D32&lt;&gt;"Serviço",AND(AUTOEVENTO="Manual",$M32=$A$15)),0,
         IF(OFFSET(CRONOPLE!$F$15,$M32-$A$15,CF$13)=0,10^12,OFFSET(CRONOPLE!$F$15,$M32-$A$15,CF$13)))</f>
        <v>14</v>
      </c>
      <c r="CG32" s="171">
        <f ca="1">IF(OR($D32&lt;&gt;"Serviço",AND(AUTOEVENTO="Manual",$M32=$A$15)),0,
         IF(OFFSET(CRONOPLE!$F$15,$M32-$A$15,CG$13)=0,10^12,OFFSET(CRONOPLE!$F$15,$M32-$A$15,CG$13)))</f>
        <v>15</v>
      </c>
      <c r="CH32" s="171">
        <f ca="1">IF(OR($D32&lt;&gt;"Serviço",AND(AUTOEVENTO="Manual",$M32=$A$15)),0,
         IF(OFFSET(CRONOPLE!$F$15,$M32-$A$15,CH$13)=0,10^12,OFFSET(CRONOPLE!$F$15,$M32-$A$15,CH$13)))</f>
        <v>16</v>
      </c>
      <c r="CI32" s="171">
        <f ca="1">IF(OR($D32&lt;&gt;"Serviço",AND(AUTOEVENTO="Manual",$M32=$A$15)),0,
         IF(OFFSET(CRONOPLE!$F$15,$M32-$A$15,CI$13)=0,10^12,OFFSET(CRONOPLE!$F$15,$M32-$A$15,CI$13)))</f>
        <v>17</v>
      </c>
      <c r="CJ32" s="171">
        <f ca="1">IF(OR($D32&lt;&gt;"Serviço",AND(AUTOEVENTO="Manual",$M32=$A$15)),0,
         IF(OFFSET(CRONOPLE!$F$15,$M32-$A$15,CJ$13)=0,10^12,OFFSET(CRONOPLE!$F$15,$M32-$A$15,CJ$13)))</f>
        <v>18</v>
      </c>
      <c r="CK32" s="171">
        <f ca="1">IF(OR($D32&lt;&gt;"Serviço",AND(AUTOEVENTO="Manual",$M32=$A$15)),0,
         IF(OFFSET(CRONOPLE!$F$15,$M32-$A$15,CK$13)=0,10^12,OFFSET(CRONOPLE!$F$15,$M32-$A$15,CK$13)))</f>
        <v>19</v>
      </c>
      <c r="CL32" s="171">
        <f ca="1">IF(OR($D32&lt;&gt;"Serviço",AND(AUTOEVENTO="Manual",$M32=$A$15)),0,
         IF(OFFSET(CRONOPLE!$F$15,$M32-$A$15,CL$13)=0,10^12,OFFSET(CRONOPLE!$F$15,$M32-$A$15,CL$13)))</f>
        <v>20</v>
      </c>
      <c r="CM32" s="171">
        <f ca="1">IF(OR($D32&lt;&gt;"Serviço",AND(AUTOEVENTO="Manual",$M32=$A$15)),0,
         IF(OFFSET(CRONOPLE!$F$15,$M32-$A$15,CM$13)=0,10^12,OFFSET(CRONOPLE!$F$15,$M32-$A$15,CM$13)))</f>
        <v>1000000000000</v>
      </c>
      <c r="CN32" s="171">
        <f ca="1">IF(OR($D32&lt;&gt;"Serviço",AND(AUTOEVENTO="Manual",$M32=$A$15)),0,
         IF(OFFSET(CRONOPLE!$F$15,$M32-$A$15,CN$13)=0,10^12,OFFSET(CRONOPLE!$F$15,$M32-$A$15,CN$13)))</f>
        <v>1000000000000</v>
      </c>
      <c r="CO32" s="171">
        <f ca="1">IF(OR($D32&lt;&gt;"Serviço",AND(AUTOEVENTO="Manual",$M32=$A$15)),0,
         IF(OFFSET(CRONOPLE!$F$15,$M32-$A$15,CO$13)=0,10^12,OFFSET(CRONOPLE!$F$15,$M32-$A$15,CO$13)))</f>
        <v>1000000000000</v>
      </c>
      <c r="CP32" s="171">
        <f ca="1">IF(OR($D32&lt;&gt;"Serviço",AND(AUTOEVENTO="Manual",$M32=$A$15)),0,
         IF(OFFSET(CRONOPLE!$F$15,$M32-$A$15,CP$13)=0,10^12,OFFSET(CRONOPLE!$F$15,$M32-$A$15,CP$13)))</f>
        <v>1000000000000</v>
      </c>
      <c r="CQ32" s="171">
        <f ca="1">IF(OR($D32&lt;&gt;"Serviço",AND(AUTOEVENTO="Manual",$M32=$A$15)),0,
         IF(OFFSET(CRONOPLE!$F$15,$M32-$A$15,CQ$13)=0,10^12,OFFSET(CRONOPLE!$F$15,$M32-$A$15,CQ$13)))</f>
        <v>1000000000000</v>
      </c>
      <c r="CR32" s="171">
        <f ca="1">IF(OR($D32&lt;&gt;"Serviço",AND(AUTOEVENTO="Manual",$M32=$A$15)),0,
         IF(OFFSET(CRONOPLE!$F$15,$M32-$A$15,CR$13)=0,10^12,OFFSET(CRONOPLE!$F$15,$M32-$A$15,CR$13)))</f>
        <v>1000000000000</v>
      </c>
      <c r="CT32" s="172" cm="1">
        <f t="array" aca="1" ref="CT32" ca="1">IF(OR($D32&lt;&gt;"Serviço",AND(AUTOEVENTO="Manual",$M32=$A$15),$M32&gt;(ROW(PLE.lastrow)-ROW(PLE.firstrow))),0,
           IF(OFFSET(PLE!$G$15,$M32-$A$15,CT$13)="",10^12,OFFSET(PLE!$G$15,$M32-$A$15,CT$13)))</f>
        <v>1000000000000</v>
      </c>
      <c r="CU32" s="172" cm="1">
        <f t="array" aca="1" ref="CU32" ca="1">IF(OR($D32&lt;&gt;"Serviço",AND(AUTOEVENTO="Manual",$M32=$A$15),$M32&gt;(ROW(PLE.lastrow)-ROW(PLE.firstrow))),0,
           IF(OFFSET(PLE!$G$15,$M32-$A$15,CU$13)="",10^12,OFFSET(PLE!$G$15,$M32-$A$15,CU$13)))</f>
        <v>1000000000000</v>
      </c>
      <c r="CV32" s="172" cm="1">
        <f t="array" aca="1" ref="CV32" ca="1">IF(OR($D32&lt;&gt;"Serviço",AND(AUTOEVENTO="Manual",$M32=$A$15),$M32&gt;(ROW(PLE.lastrow)-ROW(PLE.firstrow))),0,
           IF(OFFSET(PLE!$G$15,$M32-$A$15,CV$13)="",10^12,OFFSET(PLE!$G$15,$M32-$A$15,CV$13)))</f>
        <v>1000000000000</v>
      </c>
      <c r="CW32" s="172" cm="1">
        <f t="array" aca="1" ref="CW32" ca="1">IF(OR($D32&lt;&gt;"Serviço",AND(AUTOEVENTO="Manual",$M32=$A$15),$M32&gt;(ROW(PLE.lastrow)-ROW(PLE.firstrow))),0,
           IF(OFFSET(PLE!$G$15,$M32-$A$15,CW$13)="",10^12,OFFSET(PLE!$G$15,$M32-$A$15,CW$13)))</f>
        <v>1000000000000</v>
      </c>
      <c r="CX32" s="172" cm="1">
        <f t="array" aca="1" ref="CX32" ca="1">IF(OR($D32&lt;&gt;"Serviço",AND(AUTOEVENTO="Manual",$M32=$A$15),$M32&gt;(ROW(PLE.lastrow)-ROW(PLE.firstrow))),0,
           IF(OFFSET(PLE!$G$15,$M32-$A$15,CX$13)="",10^12,OFFSET(PLE!$G$15,$M32-$A$15,CX$13)))</f>
        <v>1000000000000</v>
      </c>
      <c r="CY32" s="172" cm="1">
        <f t="array" aca="1" ref="CY32" ca="1">IF(OR($D32&lt;&gt;"Serviço",AND(AUTOEVENTO="Manual",$M32=$A$15),$M32&gt;(ROW(PLE.lastrow)-ROW(PLE.firstrow))),0,
           IF(OFFSET(PLE!$G$15,$M32-$A$15,CY$13)="",10^12,OFFSET(PLE!$G$15,$M32-$A$15,CY$13)))</f>
        <v>1000000000000</v>
      </c>
      <c r="CZ32" s="172" cm="1">
        <f t="array" aca="1" ref="CZ32" ca="1">IF(OR($D32&lt;&gt;"Serviço",AND(AUTOEVENTO="Manual",$M32=$A$15),$M32&gt;(ROW(PLE.lastrow)-ROW(PLE.firstrow))),0,
           IF(OFFSET(PLE!$G$15,$M32-$A$15,CZ$13)="",10^12,OFFSET(PLE!$G$15,$M32-$A$15,CZ$13)))</f>
        <v>1000000000000</v>
      </c>
      <c r="DA32" s="172" cm="1">
        <f t="array" aca="1" ref="DA32" ca="1">IF(OR($D32&lt;&gt;"Serviço",AND(AUTOEVENTO="Manual",$M32=$A$15),$M32&gt;(ROW(PLE.lastrow)-ROW(PLE.firstrow))),0,
           IF(OFFSET(PLE!$G$15,$M32-$A$15,DA$13)="",10^12,OFFSET(PLE!$G$15,$M32-$A$15,DA$13)))</f>
        <v>1000000000000</v>
      </c>
      <c r="DB32" s="172" cm="1">
        <f t="array" aca="1" ref="DB32" ca="1">IF(OR($D32&lt;&gt;"Serviço",AND(AUTOEVENTO="Manual",$M32=$A$15),$M32&gt;(ROW(PLE.lastrow)-ROW(PLE.firstrow))),0,
           IF(OFFSET(PLE!$G$15,$M32-$A$15,DB$13)="",10^12,OFFSET(PLE!$G$15,$M32-$A$15,DB$13)))</f>
        <v>1000000000000</v>
      </c>
      <c r="DC32" s="172" cm="1">
        <f t="array" aca="1" ref="DC32" ca="1">IF(OR($D32&lt;&gt;"Serviço",AND(AUTOEVENTO="Manual",$M32=$A$15),$M32&gt;(ROW(PLE.lastrow)-ROW(PLE.firstrow))),0,
           IF(OFFSET(PLE!$G$15,$M32-$A$15,DC$13)="",10^12,OFFSET(PLE!$G$15,$M32-$A$15,DC$13)))</f>
        <v>1000000000000</v>
      </c>
      <c r="DD32" s="172" cm="1">
        <f t="array" aca="1" ref="DD32" ca="1">IF(OR($D32&lt;&gt;"Serviço",AND(AUTOEVENTO="Manual",$M32=$A$15),$M32&gt;(ROW(PLE.lastrow)-ROW(PLE.firstrow))),0,
           IF(OFFSET(PLE!$G$15,$M32-$A$15,DD$13)="",10^12,OFFSET(PLE!$G$15,$M32-$A$15,DD$13)))</f>
        <v>1000000000000</v>
      </c>
      <c r="DE32" s="172" cm="1">
        <f t="array" aca="1" ref="DE32" ca="1">IF(OR($D32&lt;&gt;"Serviço",AND(AUTOEVENTO="Manual",$M32=$A$15),$M32&gt;(ROW(PLE.lastrow)-ROW(PLE.firstrow))),0,
           IF(OFFSET(PLE!$G$15,$M32-$A$15,DE$13)="",10^12,OFFSET(PLE!$G$15,$M32-$A$15,DE$13)))</f>
        <v>1000000000000</v>
      </c>
      <c r="DF32" s="172" cm="1">
        <f t="array" aca="1" ref="DF32" ca="1">IF(OR($D32&lt;&gt;"Serviço",AND(AUTOEVENTO="Manual",$M32=$A$15),$M32&gt;(ROW(PLE.lastrow)-ROW(PLE.firstrow))),0,
           IF(OFFSET(PLE!$G$15,$M32-$A$15,DF$13)="",10^12,OFFSET(PLE!$G$15,$M32-$A$15,DF$13)))</f>
        <v>1000000000000</v>
      </c>
      <c r="DG32" s="172" cm="1">
        <f t="array" aca="1" ref="DG32" ca="1">IF(OR($D32&lt;&gt;"Serviço",AND(AUTOEVENTO="Manual",$M32=$A$15),$M32&gt;(ROW(PLE.lastrow)-ROW(PLE.firstrow))),0,
           IF(OFFSET(PLE!$G$15,$M32-$A$15,DG$13)="",10^12,OFFSET(PLE!$G$15,$M32-$A$15,DG$13)))</f>
        <v>1000000000000</v>
      </c>
      <c r="DH32" s="172" cm="1">
        <f t="array" aca="1" ref="DH32" ca="1">IF(OR($D32&lt;&gt;"Serviço",AND(AUTOEVENTO="Manual",$M32=$A$15),$M32&gt;(ROW(PLE.lastrow)-ROW(PLE.firstrow))),0,
           IF(OFFSET(PLE!$G$15,$M32-$A$15,DH$13)="",10^12,OFFSET(PLE!$G$15,$M32-$A$15,DH$13)))</f>
        <v>1000000000000</v>
      </c>
      <c r="DI32" s="172" cm="1">
        <f t="array" aca="1" ref="DI32" ca="1">IF(OR($D32&lt;&gt;"Serviço",AND(AUTOEVENTO="Manual",$M32=$A$15),$M32&gt;(ROW(PLE.lastrow)-ROW(PLE.firstrow))),0,
           IF(OFFSET(PLE!$G$15,$M32-$A$15,DI$13)="",10^12,OFFSET(PLE!$G$15,$M32-$A$15,DI$13)))</f>
        <v>1000000000000</v>
      </c>
      <c r="DJ32" s="172" cm="1">
        <f t="array" aca="1" ref="DJ32" ca="1">IF(OR($D32&lt;&gt;"Serviço",AND(AUTOEVENTO="Manual",$M32=$A$15),$M32&gt;(ROW(PLE.lastrow)-ROW(PLE.firstrow))),0,
           IF(OFFSET(PLE!$G$15,$M32-$A$15,DJ$13)="",10^12,OFFSET(PLE!$G$15,$M32-$A$15,DJ$13)))</f>
        <v>1000000000000</v>
      </c>
      <c r="DK32" s="172" cm="1">
        <f t="array" aca="1" ref="DK32" ca="1">IF(OR($D32&lt;&gt;"Serviço",AND(AUTOEVENTO="Manual",$M32=$A$15),$M32&gt;(ROW(PLE.lastrow)-ROW(PLE.firstrow))),0,
           IF(OFFSET(PLE!$G$15,$M32-$A$15,DK$13)="",10^12,OFFSET(PLE!$G$15,$M32-$A$15,DK$13)))</f>
        <v>1000000000000</v>
      </c>
      <c r="DL32" s="172" cm="1">
        <f t="array" aca="1" ref="DL32" ca="1">IF(OR($D32&lt;&gt;"Serviço",AND(AUTOEVENTO="Manual",$M32=$A$15),$M32&gt;(ROW(PLE.lastrow)-ROW(PLE.firstrow))),0,
           IF(OFFSET(PLE!$G$15,$M32-$A$15,DL$13)="",10^12,OFFSET(PLE!$G$15,$M32-$A$15,DL$13)))</f>
        <v>1000000000000</v>
      </c>
      <c r="DM32" s="172" cm="1">
        <f t="array" aca="1" ref="DM32" ca="1">IF(OR($D32&lt;&gt;"Serviço",AND(AUTOEVENTO="Manual",$M32=$A$15),$M32&gt;(ROW(PLE.lastrow)-ROW(PLE.firstrow))),0,
           IF(OFFSET(PLE!$G$15,$M32-$A$15,DM$13)="",10^12,OFFSET(PLE!$G$15,$M32-$A$15,DM$13)))</f>
        <v>1000000000000</v>
      </c>
      <c r="DN32" s="172" cm="1">
        <f t="array" aca="1" ref="DN32" ca="1">IF(OR($D32&lt;&gt;"Serviço",AND(AUTOEVENTO="Manual",$M32=$A$15),$M32&gt;(ROW(PLE.lastrow)-ROW(PLE.firstrow))),0,
           IF(OFFSET(PLE!$G$15,$M32-$A$15,DN$13)="",10^12,OFFSET(PLE!$G$15,$M32-$A$15,DN$13)))</f>
        <v>1000000000000</v>
      </c>
      <c r="DO32" s="172" cm="1">
        <f t="array" aca="1" ref="DO32" ca="1">IF(OR($D32&lt;&gt;"Serviço",AND(AUTOEVENTO="Manual",$M32=$A$15),$M32&gt;(ROW(PLE.lastrow)-ROW(PLE.firstrow))),0,
           IF(OFFSET(PLE!$G$15,$M32-$A$15,DO$13)="",10^12,OFFSET(PLE!$G$15,$M32-$A$15,DO$13)))</f>
        <v>1000000000000</v>
      </c>
      <c r="DP32" s="172" cm="1">
        <f t="array" aca="1" ref="DP32" ca="1">IF(OR($D32&lt;&gt;"Serviço",AND(AUTOEVENTO="Manual",$M32=$A$15),$M32&gt;(ROW(PLE.lastrow)-ROW(PLE.firstrow))),0,
           IF(OFFSET(PLE!$G$15,$M32-$A$15,DP$13)="",10^12,OFFSET(PLE!$G$15,$M32-$A$15,DP$13)))</f>
        <v>1000000000000</v>
      </c>
      <c r="DQ32" s="172" cm="1">
        <f t="array" aca="1" ref="DQ32" ca="1">IF(OR($D32&lt;&gt;"Serviço",AND(AUTOEVENTO="Manual",$M32=$A$15),$M32&gt;(ROW(PLE.lastrow)-ROW(PLE.firstrow))),0,
           IF(OFFSET(PLE!$G$15,$M32-$A$15,DQ$13)="",10^12,OFFSET(PLE!$G$15,$M32-$A$15,DQ$13)))</f>
        <v>1000000000000</v>
      </c>
      <c r="DR32" s="172" cm="1">
        <f t="array" aca="1" ref="DR32" ca="1">IF(OR($D32&lt;&gt;"Serviço",AND(AUTOEVENTO="Manual",$M32=$A$15),$M32&gt;(ROW(PLE.lastrow)-ROW(PLE.firstrow))),0,
           IF(OFFSET(PLE!$G$15,$M32-$A$15,DR$13)="",10^12,OFFSET(PLE!$G$15,$M32-$A$15,DR$13)))</f>
        <v>1000000000000</v>
      </c>
      <c r="DS32" s="172" cm="1">
        <f t="array" aca="1" ref="DS32" ca="1">IF(OR($D32&lt;&gt;"Serviço",AND(AUTOEVENTO="Manual",$M32=$A$15),$M32&gt;(ROW(PLE.lastrow)-ROW(PLE.firstrow))),0,
           IF(OFFSET(PLE!$G$15,$M32-$A$15,DS$13)="",10^12,OFFSET(PLE!$G$15,$M32-$A$15,DS$13)))</f>
        <v>1000000000000</v>
      </c>
    </row>
    <row r="33" spans="1:123" ht="25.5" x14ac:dyDescent="0.2">
      <c r="A33" s="7">
        <f t="shared" ca="1" si="11"/>
        <v>3</v>
      </c>
      <c r="B33" s="7" t="str">
        <f ca="1">OFFSET(ORÇAMENTO!C$15,$L33,0)</f>
        <v>S</v>
      </c>
      <c r="C33" s="7" t="str">
        <f ca="1">OFFSET(ORÇAMENTO!L$15,$L33,0)</f>
        <v/>
      </c>
      <c r="D33" s="116" t="str">
        <f ca="1">OFFSET(ORÇAMENTO!N$15,$L33,0)</f>
        <v>Serviço</v>
      </c>
      <c r="E33" s="117" t="str">
        <f ca="1">OFFSET(ORÇAMENTO!O$15,$L33,0)</f>
        <v>-</v>
      </c>
      <c r="F33" s="163" t="str">
        <f ca="1">OFFSET(ORÇAMENTO!R$15,$L33,0)</f>
        <v>(Código não identificado nas referências)</v>
      </c>
      <c r="G33" s="164" t="str">
        <f ca="1">IF($D33&lt;&gt;"Serviço","",OFFSET(ORÇAMENTO!S$15,$L33,0))</f>
        <v>-</v>
      </c>
      <c r="H33" s="122" cm="1">
        <f t="array" aca="1" ref="H33" ca="1">IF($D33&lt;&gt;"Serviço",0,IF(ACOMPANHAMENTO="BM",ROUND(OFFSET(ORÇAMENTO!AJ$15,$L33,0),15-13*ORÇAMENTO!$AF$7),IF(IFERROR(CÁLCULO.FrentesPreenchidas,0)=0,0,SUM(ROUND(OFFSET($P33,0,1,1,CÁLCULO.FrentesPreenchidas),15-13*ORÇAMENTO!$AF$7)))))</f>
        <v>256.00000000000006</v>
      </c>
      <c r="I33" s="468" t="s">
        <v>1235</v>
      </c>
      <c r="J33" s="651" t="str" cm="1">
        <f t="array" aca="1" ref="J33" ca="1">IF(OR(B33&lt;&gt;"S",CÁLCULO.FrentesPreenchidas=0),"",IF(AND(ACOMPANHAMENTO="PLE",AUTOEVENTO="Manual",OR(H33&gt;0,ORÇAMENTO!AC33="QUANT."),OR(K33="",M33=0,N33="")),"►E",IF(AND(ACOMPANHAMENTO="PLE",ORÇAMENTO!AC33="QUANT."),"►Q",IF(AND(ACOMPANHAMENTO="PLE",H33&lt;&gt;SUMPRODUCT(($Q$1:$AQ$1=1)*ROUND(Q33:AQ33,15))),"►S",IF(AND(COUNTIF($P$11:$AQ$11,"▼")=0,H33&gt;0,I33=""),"◄M","")))))</f>
        <v/>
      </c>
      <c r="K33" s="652" t="s">
        <v>1250</v>
      </c>
      <c r="L33" s="165">
        <f t="shared" ca="1" si="12"/>
        <v>18</v>
      </c>
      <c r="M33" s="166">
        <f ca="1">IF($D33&lt;&gt;"Serviço","",
          IF(AUTOEVENTO="manual",$A33,
                IF(ISERROR(MATCH($A33,$A$15:OFFSET($A33,-1,0),0)),MAX($M$15:OFFSET(M33,-1,0))+1,
                      INDEX($M$15:OFFSET(M33,-1,0),MATCH($A33,$A$15:OFFSET($A33,-1,0),0)))))</f>
        <v>3</v>
      </c>
      <c r="N33" s="167" t="str">
        <f ca="1">IF($D33&lt;&gt;"Serviço","",
         IF(AUTOEVENTO="Manual",
                IF($A33=0,"&lt;-- defina o número do agrupador",
                       OFFSET(EVENTOS!$D$15,$A33-$A$15,0)),
                OFFSET($F$15,$A33,0)))</f>
        <v>FUNDAÇÕES</v>
      </c>
      <c r="O33" s="168"/>
      <c r="Q33" s="168">
        <v>12.8</v>
      </c>
      <c r="R33" s="169">
        <v>12.8</v>
      </c>
      <c r="S33" s="169">
        <v>12.8</v>
      </c>
      <c r="T33" s="169">
        <v>12.8</v>
      </c>
      <c r="U33" s="169">
        <v>12.8</v>
      </c>
      <c r="V33" s="169">
        <v>12.8</v>
      </c>
      <c r="W33" s="169">
        <v>12.8</v>
      </c>
      <c r="X33" s="169">
        <v>12.8</v>
      </c>
      <c r="Y33" s="169">
        <v>12.8</v>
      </c>
      <c r="Z33" s="170">
        <v>12.8</v>
      </c>
      <c r="AA33" s="169">
        <v>12.8</v>
      </c>
      <c r="AB33" s="169">
        <v>12.8</v>
      </c>
      <c r="AC33" s="169">
        <v>12.8</v>
      </c>
      <c r="AD33" s="169">
        <v>12.8</v>
      </c>
      <c r="AE33" s="169">
        <v>12.8</v>
      </c>
      <c r="AF33" s="169">
        <v>12.8</v>
      </c>
      <c r="AG33" s="169">
        <v>12.8</v>
      </c>
      <c r="AH33" s="170">
        <v>12.8</v>
      </c>
      <c r="AI33" s="169">
        <v>12.8</v>
      </c>
      <c r="AJ33" s="169">
        <v>12.8</v>
      </c>
      <c r="AK33" s="169"/>
      <c r="AL33" s="169"/>
      <c r="AM33" s="169"/>
      <c r="AN33" s="169"/>
      <c r="AO33" s="169"/>
      <c r="AP33" s="170"/>
      <c r="AR33" s="453">
        <f ca="1">IF(AND($D33="Serviço",AR$12&lt;&gt;0,$H33&gt;0,OR(AUTOEVENTO&lt;&gt;"manual",$M33&lt;&gt;$A$15)),
        IF(Import.TipoArredondamento&lt;&gt;"TransfereGOV",
              ROUND(OFFSET($P33,0,AR$13),15-13*ORÇAMENTO!$AF$7)/$H33*OFFSET(ORÇAMENTO!$X$15,ROW(AR33)-ROW(AR$15),0),
              ROUND(ROUND(OFFSET($P33,0,AR$13),15-13*ORÇAMENTO!$AF$7)*OFFSET(ORÇAMENTO!$W$15,ROW(AR33)-ROW(AR$15),0),15-13*ORÇAMENTO!$AF$11)),
         0)</f>
        <v>0</v>
      </c>
      <c r="AS33" s="453">
        <f ca="1">IF(AND($D33="Serviço",AS$12&lt;&gt;0,$H33&gt;0,OR(AUTOEVENTO&lt;&gt;"manual",$M33&lt;&gt;$A$15)),
        IF(Import.TipoArredondamento&lt;&gt;"TransfereGOV",
              ROUND(OFFSET($P33,0,AS$13),15-13*ORÇAMENTO!$AF$7)/$H33*OFFSET(ORÇAMENTO!$X$15,ROW(AS33)-ROW(AS$15),0),
              ROUND(ROUND(OFFSET($P33,0,AS$13),15-13*ORÇAMENTO!$AF$7)*OFFSET(ORÇAMENTO!$W$15,ROW(AS33)-ROW(AS$15),0),15-13*ORÇAMENTO!$AF$11)),
         0)</f>
        <v>0</v>
      </c>
      <c r="AT33" s="453">
        <f ca="1">IF(AND($D33="Serviço",AT$12&lt;&gt;0,$H33&gt;0,OR(AUTOEVENTO&lt;&gt;"manual",$M33&lt;&gt;$A$15)),
        IF(Import.TipoArredondamento&lt;&gt;"TransfereGOV",
              ROUND(OFFSET($P33,0,AT$13),15-13*ORÇAMENTO!$AF$7)/$H33*OFFSET(ORÇAMENTO!$X$15,ROW(AT33)-ROW(AT$15),0),
              ROUND(ROUND(OFFSET($P33,0,AT$13),15-13*ORÇAMENTO!$AF$7)*OFFSET(ORÇAMENTO!$W$15,ROW(AT33)-ROW(AT$15),0),15-13*ORÇAMENTO!$AF$11)),
         0)</f>
        <v>0</v>
      </c>
      <c r="AU33" s="453">
        <f ca="1">IF(AND($D33="Serviço",AU$12&lt;&gt;0,$H33&gt;0,OR(AUTOEVENTO&lt;&gt;"manual",$M33&lt;&gt;$A$15)),
        IF(Import.TipoArredondamento&lt;&gt;"TransfereGOV",
              ROUND(OFFSET($P33,0,AU$13),15-13*ORÇAMENTO!$AF$7)/$H33*OFFSET(ORÇAMENTO!$X$15,ROW(AU33)-ROW(AU$15),0),
              ROUND(ROUND(OFFSET($P33,0,AU$13),15-13*ORÇAMENTO!$AF$7)*OFFSET(ORÇAMENTO!$W$15,ROW(AU33)-ROW(AU$15),0),15-13*ORÇAMENTO!$AF$11)),
         0)</f>
        <v>0</v>
      </c>
      <c r="AV33" s="453">
        <f ca="1">IF(AND($D33="Serviço",AV$12&lt;&gt;0,$H33&gt;0,OR(AUTOEVENTO&lt;&gt;"manual",$M33&lt;&gt;$A$15)),
        IF(Import.TipoArredondamento&lt;&gt;"TransfereGOV",
              ROUND(OFFSET($P33,0,AV$13),15-13*ORÇAMENTO!$AF$7)/$H33*OFFSET(ORÇAMENTO!$X$15,ROW(AV33)-ROW(AV$15),0),
              ROUND(ROUND(OFFSET($P33,0,AV$13),15-13*ORÇAMENTO!$AF$7)*OFFSET(ORÇAMENTO!$W$15,ROW(AV33)-ROW(AV$15),0),15-13*ORÇAMENTO!$AF$11)),
         0)</f>
        <v>0</v>
      </c>
      <c r="AW33" s="453">
        <f ca="1">IF(AND($D33="Serviço",AW$12&lt;&gt;0,$H33&gt;0,OR(AUTOEVENTO&lt;&gt;"manual",$M33&lt;&gt;$A$15)),
        IF(Import.TipoArredondamento&lt;&gt;"TransfereGOV",
              ROUND(OFFSET($P33,0,AW$13),15-13*ORÇAMENTO!$AF$7)/$H33*OFFSET(ORÇAMENTO!$X$15,ROW(AW33)-ROW(AW$15),0),
              ROUND(ROUND(OFFSET($P33,0,AW$13),15-13*ORÇAMENTO!$AF$7)*OFFSET(ORÇAMENTO!$W$15,ROW(AW33)-ROW(AW$15),0),15-13*ORÇAMENTO!$AF$11)),
         0)</f>
        <v>0</v>
      </c>
      <c r="AX33" s="453">
        <f ca="1">IF(AND($D33="Serviço",AX$12&lt;&gt;0,$H33&gt;0,OR(AUTOEVENTO&lt;&gt;"manual",$M33&lt;&gt;$A$15)),
        IF(Import.TipoArredondamento&lt;&gt;"TransfereGOV",
              ROUND(OFFSET($P33,0,AX$13),15-13*ORÇAMENTO!$AF$7)/$H33*OFFSET(ORÇAMENTO!$X$15,ROW(AX33)-ROW(AX$15),0),
              ROUND(ROUND(OFFSET($P33,0,AX$13),15-13*ORÇAMENTO!$AF$7)*OFFSET(ORÇAMENTO!$W$15,ROW(AX33)-ROW(AX$15),0),15-13*ORÇAMENTO!$AF$11)),
         0)</f>
        <v>0</v>
      </c>
      <c r="AY33" s="453">
        <f ca="1">IF(AND($D33="Serviço",AY$12&lt;&gt;0,$H33&gt;0,OR(AUTOEVENTO&lt;&gt;"manual",$M33&lt;&gt;$A$15)),
        IF(Import.TipoArredondamento&lt;&gt;"TransfereGOV",
              ROUND(OFFSET($P33,0,AY$13),15-13*ORÇAMENTO!$AF$7)/$H33*OFFSET(ORÇAMENTO!$X$15,ROW(AY33)-ROW(AY$15),0),
              ROUND(ROUND(OFFSET($P33,0,AY$13),15-13*ORÇAMENTO!$AF$7)*OFFSET(ORÇAMENTO!$W$15,ROW(AY33)-ROW(AY$15),0),15-13*ORÇAMENTO!$AF$11)),
         0)</f>
        <v>0</v>
      </c>
      <c r="AZ33" s="453">
        <f ca="1">IF(AND($D33="Serviço",AZ$12&lt;&gt;0,$H33&gt;0,OR(AUTOEVENTO&lt;&gt;"manual",$M33&lt;&gt;$A$15)),
        IF(Import.TipoArredondamento&lt;&gt;"TransfereGOV",
              ROUND(OFFSET($P33,0,AZ$13),15-13*ORÇAMENTO!$AF$7)/$H33*OFFSET(ORÇAMENTO!$X$15,ROW(AZ33)-ROW(AZ$15),0),
              ROUND(ROUND(OFFSET($P33,0,AZ$13),15-13*ORÇAMENTO!$AF$7)*OFFSET(ORÇAMENTO!$W$15,ROW(AZ33)-ROW(AZ$15),0),15-13*ORÇAMENTO!$AF$11)),
         0)</f>
        <v>0</v>
      </c>
      <c r="BA33" s="453">
        <f ca="1">IF(AND($D33="Serviço",BA$12&lt;&gt;0,$H33&gt;0,OR(AUTOEVENTO&lt;&gt;"manual",$M33&lt;&gt;$A$15)),
        IF(Import.TipoArredondamento&lt;&gt;"TransfereGOV",
              ROUND(OFFSET($P33,0,BA$13),15-13*ORÇAMENTO!$AF$7)/$H33*OFFSET(ORÇAMENTO!$X$15,ROW(BA33)-ROW(BA$15),0),
              ROUND(ROUND(OFFSET($P33,0,BA$13),15-13*ORÇAMENTO!$AF$7)*OFFSET(ORÇAMENTO!$W$15,ROW(BA33)-ROW(BA$15),0),15-13*ORÇAMENTO!$AF$11)),
         0)</f>
        <v>0</v>
      </c>
      <c r="BB33" s="453">
        <f ca="1">IF(AND($D33="Serviço",BB$12&lt;&gt;0,$H33&gt;0,OR(AUTOEVENTO&lt;&gt;"manual",$M33&lt;&gt;$A$15)),
        IF(Import.TipoArredondamento&lt;&gt;"TransfereGOV",
              ROUND(OFFSET($P33,0,BB$13),15-13*ORÇAMENTO!$AF$7)/$H33*OFFSET(ORÇAMENTO!$X$15,ROW(BB33)-ROW(BB$15),0),
              ROUND(ROUND(OFFSET($P33,0,BB$13),15-13*ORÇAMENTO!$AF$7)*OFFSET(ORÇAMENTO!$W$15,ROW(BB33)-ROW(BB$15),0),15-13*ORÇAMENTO!$AF$11)),
         0)</f>
        <v>0</v>
      </c>
      <c r="BC33" s="453">
        <f ca="1">IF(AND($D33="Serviço",BC$12&lt;&gt;0,$H33&gt;0,OR(AUTOEVENTO&lt;&gt;"manual",$M33&lt;&gt;$A$15)),
        IF(Import.TipoArredondamento&lt;&gt;"TransfereGOV",
              ROUND(OFFSET($P33,0,BC$13),15-13*ORÇAMENTO!$AF$7)/$H33*OFFSET(ORÇAMENTO!$X$15,ROW(BC33)-ROW(BC$15),0),
              ROUND(ROUND(OFFSET($P33,0,BC$13),15-13*ORÇAMENTO!$AF$7)*OFFSET(ORÇAMENTO!$W$15,ROW(BC33)-ROW(BC$15),0),15-13*ORÇAMENTO!$AF$11)),
         0)</f>
        <v>0</v>
      </c>
      <c r="BD33" s="453">
        <f ca="1">IF(AND($D33="Serviço",BD$12&lt;&gt;0,$H33&gt;0,OR(AUTOEVENTO&lt;&gt;"manual",$M33&lt;&gt;$A$15)),
        IF(Import.TipoArredondamento&lt;&gt;"TransfereGOV",
              ROUND(OFFSET($P33,0,BD$13),15-13*ORÇAMENTO!$AF$7)/$H33*OFFSET(ORÇAMENTO!$X$15,ROW(BD33)-ROW(BD$15),0),
              ROUND(ROUND(OFFSET($P33,0,BD$13),15-13*ORÇAMENTO!$AF$7)*OFFSET(ORÇAMENTO!$W$15,ROW(BD33)-ROW(BD$15),0),15-13*ORÇAMENTO!$AF$11)),
         0)</f>
        <v>0</v>
      </c>
      <c r="BE33" s="453">
        <f ca="1">IF(AND($D33="Serviço",BE$12&lt;&gt;0,$H33&gt;0,OR(AUTOEVENTO&lt;&gt;"manual",$M33&lt;&gt;$A$15)),
        IF(Import.TipoArredondamento&lt;&gt;"TransfereGOV",
              ROUND(OFFSET($P33,0,BE$13),15-13*ORÇAMENTO!$AF$7)/$H33*OFFSET(ORÇAMENTO!$X$15,ROW(BE33)-ROW(BE$15),0),
              ROUND(ROUND(OFFSET($P33,0,BE$13),15-13*ORÇAMENTO!$AF$7)*OFFSET(ORÇAMENTO!$W$15,ROW(BE33)-ROW(BE$15),0),15-13*ORÇAMENTO!$AF$11)),
         0)</f>
        <v>0</v>
      </c>
      <c r="BF33" s="453">
        <f ca="1">IF(AND($D33="Serviço",BF$12&lt;&gt;0,$H33&gt;0,OR(AUTOEVENTO&lt;&gt;"manual",$M33&lt;&gt;$A$15)),
        IF(Import.TipoArredondamento&lt;&gt;"TransfereGOV",
              ROUND(OFFSET($P33,0,BF$13),15-13*ORÇAMENTO!$AF$7)/$H33*OFFSET(ORÇAMENTO!$X$15,ROW(BF33)-ROW(BF$15),0),
              ROUND(ROUND(OFFSET($P33,0,BF$13),15-13*ORÇAMENTO!$AF$7)*OFFSET(ORÇAMENTO!$W$15,ROW(BF33)-ROW(BF$15),0),15-13*ORÇAMENTO!$AF$11)),
         0)</f>
        <v>0</v>
      </c>
      <c r="BG33" s="453">
        <f ca="1">IF(AND($D33="Serviço",BG$12&lt;&gt;0,$H33&gt;0,OR(AUTOEVENTO&lt;&gt;"manual",$M33&lt;&gt;$A$15)),
        IF(Import.TipoArredondamento&lt;&gt;"TransfereGOV",
              ROUND(OFFSET($P33,0,BG$13),15-13*ORÇAMENTO!$AF$7)/$H33*OFFSET(ORÇAMENTO!$X$15,ROW(BG33)-ROW(BG$15),0),
              ROUND(ROUND(OFFSET($P33,0,BG$13),15-13*ORÇAMENTO!$AF$7)*OFFSET(ORÇAMENTO!$W$15,ROW(BG33)-ROW(BG$15),0),15-13*ORÇAMENTO!$AF$11)),
         0)</f>
        <v>0</v>
      </c>
      <c r="BH33" s="453">
        <f ca="1">IF(AND($D33="Serviço",BH$12&lt;&gt;0,$H33&gt;0,OR(AUTOEVENTO&lt;&gt;"manual",$M33&lt;&gt;$A$15)),
        IF(Import.TipoArredondamento&lt;&gt;"TransfereGOV",
              ROUND(OFFSET($P33,0,BH$13),15-13*ORÇAMENTO!$AF$7)/$H33*OFFSET(ORÇAMENTO!$X$15,ROW(BH33)-ROW(BH$15),0),
              ROUND(ROUND(OFFSET($P33,0,BH$13),15-13*ORÇAMENTO!$AF$7)*OFFSET(ORÇAMENTO!$W$15,ROW(BH33)-ROW(BH$15),0),15-13*ORÇAMENTO!$AF$11)),
         0)</f>
        <v>0</v>
      </c>
      <c r="BI33" s="453">
        <f ca="1">IF(AND($D33="Serviço",BI$12&lt;&gt;0,$H33&gt;0,OR(AUTOEVENTO&lt;&gt;"manual",$M33&lt;&gt;$A$15)),
        IF(Import.TipoArredondamento&lt;&gt;"TransfereGOV",
              ROUND(OFFSET($P33,0,BI$13),15-13*ORÇAMENTO!$AF$7)/$H33*OFFSET(ORÇAMENTO!$X$15,ROW(BI33)-ROW(BI$15),0),
              ROUND(ROUND(OFFSET($P33,0,BI$13),15-13*ORÇAMENTO!$AF$7)*OFFSET(ORÇAMENTO!$W$15,ROW(BI33)-ROW(BI$15),0),15-13*ORÇAMENTO!$AF$11)),
         0)</f>
        <v>0</v>
      </c>
      <c r="BJ33" s="453">
        <f ca="1">IF(AND($D33="Serviço",BJ$12&lt;&gt;0,$H33&gt;0,OR(AUTOEVENTO&lt;&gt;"manual",$M33&lt;&gt;$A$15)),
        IF(Import.TipoArredondamento&lt;&gt;"TransfereGOV",
              ROUND(OFFSET($P33,0,BJ$13),15-13*ORÇAMENTO!$AF$7)/$H33*OFFSET(ORÇAMENTO!$X$15,ROW(BJ33)-ROW(BJ$15),0),
              ROUND(ROUND(OFFSET($P33,0,BJ$13),15-13*ORÇAMENTO!$AF$7)*OFFSET(ORÇAMENTO!$W$15,ROW(BJ33)-ROW(BJ$15),0),15-13*ORÇAMENTO!$AF$11)),
         0)</f>
        <v>0</v>
      </c>
      <c r="BK33" s="453">
        <f ca="1">IF(AND($D33="Serviço",BK$12&lt;&gt;0,$H33&gt;0,OR(AUTOEVENTO&lt;&gt;"manual",$M33&lt;&gt;$A$15)),
        IF(Import.TipoArredondamento&lt;&gt;"TransfereGOV",
              ROUND(OFFSET($P33,0,BK$13),15-13*ORÇAMENTO!$AF$7)/$H33*OFFSET(ORÇAMENTO!$X$15,ROW(BK33)-ROW(BK$15),0),
              ROUND(ROUND(OFFSET($P33,0,BK$13),15-13*ORÇAMENTO!$AF$7)*OFFSET(ORÇAMENTO!$W$15,ROW(BK33)-ROW(BK$15),0),15-13*ORÇAMENTO!$AF$11)),
         0)</f>
        <v>0</v>
      </c>
      <c r="BL33" s="453">
        <f ca="1">IF(AND($D33="Serviço",BL$12&lt;&gt;0,$H33&gt;0,OR(AUTOEVENTO&lt;&gt;"manual",$M33&lt;&gt;$A$15)),
        IF(Import.TipoArredondamento&lt;&gt;"TransfereGOV",
              ROUND(OFFSET($P33,0,BL$13),15-13*ORÇAMENTO!$AF$7)/$H33*OFFSET(ORÇAMENTO!$X$15,ROW(BL33)-ROW(BL$15),0),
              ROUND(ROUND(OFFSET($P33,0,BL$13),15-13*ORÇAMENTO!$AF$7)*OFFSET(ORÇAMENTO!$W$15,ROW(BL33)-ROW(BL$15),0),15-13*ORÇAMENTO!$AF$11)),
         0)</f>
        <v>0</v>
      </c>
      <c r="BM33" s="453">
        <f ca="1">IF(AND($D33="Serviço",BM$12&lt;&gt;0,$H33&gt;0,OR(AUTOEVENTO&lt;&gt;"manual",$M33&lt;&gt;$A$15)),
        IF(Import.TipoArredondamento&lt;&gt;"TransfereGOV",
              ROUND(OFFSET($P33,0,BM$13),15-13*ORÇAMENTO!$AF$7)/$H33*OFFSET(ORÇAMENTO!$X$15,ROW(BM33)-ROW(BM$15),0),
              ROUND(ROUND(OFFSET($P33,0,BM$13),15-13*ORÇAMENTO!$AF$7)*OFFSET(ORÇAMENTO!$W$15,ROW(BM33)-ROW(BM$15),0),15-13*ORÇAMENTO!$AF$11)),
         0)</f>
        <v>0</v>
      </c>
      <c r="BN33" s="453">
        <f ca="1">IF(AND($D33="Serviço",BN$12&lt;&gt;0,$H33&gt;0,OR(AUTOEVENTO&lt;&gt;"manual",$M33&lt;&gt;$A$15)),
        IF(Import.TipoArredondamento&lt;&gt;"TransfereGOV",
              ROUND(OFFSET($P33,0,BN$13),15-13*ORÇAMENTO!$AF$7)/$H33*OFFSET(ORÇAMENTO!$X$15,ROW(BN33)-ROW(BN$15),0),
              ROUND(ROUND(OFFSET($P33,0,BN$13),15-13*ORÇAMENTO!$AF$7)*OFFSET(ORÇAMENTO!$W$15,ROW(BN33)-ROW(BN$15),0),15-13*ORÇAMENTO!$AF$11)),
         0)</f>
        <v>0</v>
      </c>
      <c r="BO33" s="453">
        <f ca="1">IF(AND($D33="Serviço",BO$12&lt;&gt;0,$H33&gt;0,OR(AUTOEVENTO&lt;&gt;"manual",$M33&lt;&gt;$A$15)),
        IF(Import.TipoArredondamento&lt;&gt;"TransfereGOV",
              ROUND(OFFSET($P33,0,BO$13),15-13*ORÇAMENTO!$AF$7)/$H33*OFFSET(ORÇAMENTO!$X$15,ROW(BO33)-ROW(BO$15),0),
              ROUND(ROUND(OFFSET($P33,0,BO$13),15-13*ORÇAMENTO!$AF$7)*OFFSET(ORÇAMENTO!$W$15,ROW(BO33)-ROW(BO$15),0),15-13*ORÇAMENTO!$AF$11)),
         0)</f>
        <v>0</v>
      </c>
      <c r="BP33" s="453">
        <f ca="1">IF(AND($D33="Serviço",BP$12&lt;&gt;0,$H33&gt;0,OR(AUTOEVENTO&lt;&gt;"manual",$M33&lt;&gt;$A$15)),
        IF(Import.TipoArredondamento&lt;&gt;"TransfereGOV",
              ROUND(OFFSET($P33,0,BP$13),15-13*ORÇAMENTO!$AF$7)/$H33*OFFSET(ORÇAMENTO!$X$15,ROW(BP33)-ROW(BP$15),0),
              ROUND(ROUND(OFFSET($P33,0,BP$13),15-13*ORÇAMENTO!$AF$7)*OFFSET(ORÇAMENTO!$W$15,ROW(BP33)-ROW(BP$15),0),15-13*ORÇAMENTO!$AF$11)),
         0)</f>
        <v>0</v>
      </c>
      <c r="BQ33" s="453">
        <f ca="1">IF(AND($D33="Serviço",BQ$12&lt;&gt;0,$H33&gt;0,OR(AUTOEVENTO&lt;&gt;"manual",$M33&lt;&gt;$A$15)),
        IF(Import.TipoArredondamento&lt;&gt;"TransfereGOV",
              ROUND(OFFSET($P33,0,BQ$13),15-13*ORÇAMENTO!$AF$7)/$H33*OFFSET(ORÇAMENTO!$X$15,ROW(BQ33)-ROW(BQ$15),0),
              ROUND(ROUND(OFFSET($P33,0,BQ$13),15-13*ORÇAMENTO!$AF$7)*OFFSET(ORÇAMENTO!$W$15,ROW(BQ33)-ROW(BQ$15),0),15-13*ORÇAMENTO!$AF$11)),
         0)</f>
        <v>0</v>
      </c>
      <c r="BS33" s="171">
        <f ca="1">IF(OR($D33&lt;&gt;"Serviço",AND(AUTOEVENTO="Manual",$M33=$A$15)),0,
         IF(OFFSET(CRONOPLE!$F$15,$M33-$A$15,BS$13)=0,10^12,OFFSET(CRONOPLE!$F$15,$M33-$A$15,BS$13)))</f>
        <v>1</v>
      </c>
      <c r="BT33" s="171">
        <f ca="1">IF(OR($D33&lt;&gt;"Serviço",AND(AUTOEVENTO="Manual",$M33=$A$15)),0,
         IF(OFFSET(CRONOPLE!$F$15,$M33-$A$15,BT$13)=0,10^12,OFFSET(CRONOPLE!$F$15,$M33-$A$15,BT$13)))</f>
        <v>2</v>
      </c>
      <c r="BU33" s="171">
        <f ca="1">IF(OR($D33&lt;&gt;"Serviço",AND(AUTOEVENTO="Manual",$M33=$A$15)),0,
         IF(OFFSET(CRONOPLE!$F$15,$M33-$A$15,BU$13)=0,10^12,OFFSET(CRONOPLE!$F$15,$M33-$A$15,BU$13)))</f>
        <v>3</v>
      </c>
      <c r="BV33" s="171">
        <f ca="1">IF(OR($D33&lt;&gt;"Serviço",AND(AUTOEVENTO="Manual",$M33=$A$15)),0,
         IF(OFFSET(CRONOPLE!$F$15,$M33-$A$15,BV$13)=0,10^12,OFFSET(CRONOPLE!$F$15,$M33-$A$15,BV$13)))</f>
        <v>4</v>
      </c>
      <c r="BW33" s="171">
        <f ca="1">IF(OR($D33&lt;&gt;"Serviço",AND(AUTOEVENTO="Manual",$M33=$A$15)),0,
         IF(OFFSET(CRONOPLE!$F$15,$M33-$A$15,BW$13)=0,10^12,OFFSET(CRONOPLE!$F$15,$M33-$A$15,BW$13)))</f>
        <v>5</v>
      </c>
      <c r="BX33" s="171">
        <f ca="1">IF(OR($D33&lt;&gt;"Serviço",AND(AUTOEVENTO="Manual",$M33=$A$15)),0,
         IF(OFFSET(CRONOPLE!$F$15,$M33-$A$15,BX$13)=0,10^12,OFFSET(CRONOPLE!$F$15,$M33-$A$15,BX$13)))</f>
        <v>6</v>
      </c>
      <c r="BY33" s="171">
        <f ca="1">IF(OR($D33&lt;&gt;"Serviço",AND(AUTOEVENTO="Manual",$M33=$A$15)),0,
         IF(OFFSET(CRONOPLE!$F$15,$M33-$A$15,BY$13)=0,10^12,OFFSET(CRONOPLE!$F$15,$M33-$A$15,BY$13)))</f>
        <v>7</v>
      </c>
      <c r="BZ33" s="171">
        <f ca="1">IF(OR($D33&lt;&gt;"Serviço",AND(AUTOEVENTO="Manual",$M33=$A$15)),0,
         IF(OFFSET(CRONOPLE!$F$15,$M33-$A$15,BZ$13)=0,10^12,OFFSET(CRONOPLE!$F$15,$M33-$A$15,BZ$13)))</f>
        <v>8</v>
      </c>
      <c r="CA33" s="171">
        <f ca="1">IF(OR($D33&lt;&gt;"Serviço",AND(AUTOEVENTO="Manual",$M33=$A$15)),0,
         IF(OFFSET(CRONOPLE!$F$15,$M33-$A$15,CA$13)=0,10^12,OFFSET(CRONOPLE!$F$15,$M33-$A$15,CA$13)))</f>
        <v>9</v>
      </c>
      <c r="CB33" s="171">
        <f ca="1">IF(OR($D33&lt;&gt;"Serviço",AND(AUTOEVENTO="Manual",$M33=$A$15)),0,
         IF(OFFSET(CRONOPLE!$F$15,$M33-$A$15,CB$13)=0,10^12,OFFSET(CRONOPLE!$F$15,$M33-$A$15,CB$13)))</f>
        <v>10</v>
      </c>
      <c r="CC33" s="171">
        <f ca="1">IF(OR($D33&lt;&gt;"Serviço",AND(AUTOEVENTO="Manual",$M33=$A$15)),0,
         IF(OFFSET(CRONOPLE!$F$15,$M33-$A$15,CC$13)=0,10^12,OFFSET(CRONOPLE!$F$15,$M33-$A$15,CC$13)))</f>
        <v>11</v>
      </c>
      <c r="CD33" s="171">
        <f ca="1">IF(OR($D33&lt;&gt;"Serviço",AND(AUTOEVENTO="Manual",$M33=$A$15)),0,
         IF(OFFSET(CRONOPLE!$F$15,$M33-$A$15,CD$13)=0,10^12,OFFSET(CRONOPLE!$F$15,$M33-$A$15,CD$13)))</f>
        <v>12</v>
      </c>
      <c r="CE33" s="171">
        <f ca="1">IF(OR($D33&lt;&gt;"Serviço",AND(AUTOEVENTO="Manual",$M33=$A$15)),0,
         IF(OFFSET(CRONOPLE!$F$15,$M33-$A$15,CE$13)=0,10^12,OFFSET(CRONOPLE!$F$15,$M33-$A$15,CE$13)))</f>
        <v>13</v>
      </c>
      <c r="CF33" s="171">
        <f ca="1">IF(OR($D33&lt;&gt;"Serviço",AND(AUTOEVENTO="Manual",$M33=$A$15)),0,
         IF(OFFSET(CRONOPLE!$F$15,$M33-$A$15,CF$13)=0,10^12,OFFSET(CRONOPLE!$F$15,$M33-$A$15,CF$13)))</f>
        <v>14</v>
      </c>
      <c r="CG33" s="171">
        <f ca="1">IF(OR($D33&lt;&gt;"Serviço",AND(AUTOEVENTO="Manual",$M33=$A$15)),0,
         IF(OFFSET(CRONOPLE!$F$15,$M33-$A$15,CG$13)=0,10^12,OFFSET(CRONOPLE!$F$15,$M33-$A$15,CG$13)))</f>
        <v>15</v>
      </c>
      <c r="CH33" s="171">
        <f ca="1">IF(OR($D33&lt;&gt;"Serviço",AND(AUTOEVENTO="Manual",$M33=$A$15)),0,
         IF(OFFSET(CRONOPLE!$F$15,$M33-$A$15,CH$13)=0,10^12,OFFSET(CRONOPLE!$F$15,$M33-$A$15,CH$13)))</f>
        <v>16</v>
      </c>
      <c r="CI33" s="171">
        <f ca="1">IF(OR($D33&lt;&gt;"Serviço",AND(AUTOEVENTO="Manual",$M33=$A$15)),0,
         IF(OFFSET(CRONOPLE!$F$15,$M33-$A$15,CI$13)=0,10^12,OFFSET(CRONOPLE!$F$15,$M33-$A$15,CI$13)))</f>
        <v>17</v>
      </c>
      <c r="CJ33" s="171">
        <f ca="1">IF(OR($D33&lt;&gt;"Serviço",AND(AUTOEVENTO="Manual",$M33=$A$15)),0,
         IF(OFFSET(CRONOPLE!$F$15,$M33-$A$15,CJ$13)=0,10^12,OFFSET(CRONOPLE!$F$15,$M33-$A$15,CJ$13)))</f>
        <v>18</v>
      </c>
      <c r="CK33" s="171">
        <f ca="1">IF(OR($D33&lt;&gt;"Serviço",AND(AUTOEVENTO="Manual",$M33=$A$15)),0,
         IF(OFFSET(CRONOPLE!$F$15,$M33-$A$15,CK$13)=0,10^12,OFFSET(CRONOPLE!$F$15,$M33-$A$15,CK$13)))</f>
        <v>19</v>
      </c>
      <c r="CL33" s="171">
        <f ca="1">IF(OR($D33&lt;&gt;"Serviço",AND(AUTOEVENTO="Manual",$M33=$A$15)),0,
         IF(OFFSET(CRONOPLE!$F$15,$M33-$A$15,CL$13)=0,10^12,OFFSET(CRONOPLE!$F$15,$M33-$A$15,CL$13)))</f>
        <v>20</v>
      </c>
      <c r="CM33" s="171">
        <f ca="1">IF(OR($D33&lt;&gt;"Serviço",AND(AUTOEVENTO="Manual",$M33=$A$15)),0,
         IF(OFFSET(CRONOPLE!$F$15,$M33-$A$15,CM$13)=0,10^12,OFFSET(CRONOPLE!$F$15,$M33-$A$15,CM$13)))</f>
        <v>1000000000000</v>
      </c>
      <c r="CN33" s="171">
        <f ca="1">IF(OR($D33&lt;&gt;"Serviço",AND(AUTOEVENTO="Manual",$M33=$A$15)),0,
         IF(OFFSET(CRONOPLE!$F$15,$M33-$A$15,CN$13)=0,10^12,OFFSET(CRONOPLE!$F$15,$M33-$A$15,CN$13)))</f>
        <v>1000000000000</v>
      </c>
      <c r="CO33" s="171">
        <f ca="1">IF(OR($D33&lt;&gt;"Serviço",AND(AUTOEVENTO="Manual",$M33=$A$15)),0,
         IF(OFFSET(CRONOPLE!$F$15,$M33-$A$15,CO$13)=0,10^12,OFFSET(CRONOPLE!$F$15,$M33-$A$15,CO$13)))</f>
        <v>1000000000000</v>
      </c>
      <c r="CP33" s="171">
        <f ca="1">IF(OR($D33&lt;&gt;"Serviço",AND(AUTOEVENTO="Manual",$M33=$A$15)),0,
         IF(OFFSET(CRONOPLE!$F$15,$M33-$A$15,CP$13)=0,10^12,OFFSET(CRONOPLE!$F$15,$M33-$A$15,CP$13)))</f>
        <v>1000000000000</v>
      </c>
      <c r="CQ33" s="171">
        <f ca="1">IF(OR($D33&lt;&gt;"Serviço",AND(AUTOEVENTO="Manual",$M33=$A$15)),0,
         IF(OFFSET(CRONOPLE!$F$15,$M33-$A$15,CQ$13)=0,10^12,OFFSET(CRONOPLE!$F$15,$M33-$A$15,CQ$13)))</f>
        <v>1000000000000</v>
      </c>
      <c r="CR33" s="171">
        <f ca="1">IF(OR($D33&lt;&gt;"Serviço",AND(AUTOEVENTO="Manual",$M33=$A$15)),0,
         IF(OFFSET(CRONOPLE!$F$15,$M33-$A$15,CR$13)=0,10^12,OFFSET(CRONOPLE!$F$15,$M33-$A$15,CR$13)))</f>
        <v>1000000000000</v>
      </c>
      <c r="CT33" s="172" cm="1">
        <f t="array" aca="1" ref="CT33" ca="1">IF(OR($D33&lt;&gt;"Serviço",AND(AUTOEVENTO="Manual",$M33=$A$15),$M33&gt;(ROW(PLE.lastrow)-ROW(PLE.firstrow))),0,
           IF(OFFSET(PLE!$G$15,$M33-$A$15,CT$13)="",10^12,OFFSET(PLE!$G$15,$M33-$A$15,CT$13)))</f>
        <v>1000000000000</v>
      </c>
      <c r="CU33" s="172" cm="1">
        <f t="array" aca="1" ref="CU33" ca="1">IF(OR($D33&lt;&gt;"Serviço",AND(AUTOEVENTO="Manual",$M33=$A$15),$M33&gt;(ROW(PLE.lastrow)-ROW(PLE.firstrow))),0,
           IF(OFFSET(PLE!$G$15,$M33-$A$15,CU$13)="",10^12,OFFSET(PLE!$G$15,$M33-$A$15,CU$13)))</f>
        <v>1000000000000</v>
      </c>
      <c r="CV33" s="172" cm="1">
        <f t="array" aca="1" ref="CV33" ca="1">IF(OR($D33&lt;&gt;"Serviço",AND(AUTOEVENTO="Manual",$M33=$A$15),$M33&gt;(ROW(PLE.lastrow)-ROW(PLE.firstrow))),0,
           IF(OFFSET(PLE!$G$15,$M33-$A$15,CV$13)="",10^12,OFFSET(PLE!$G$15,$M33-$A$15,CV$13)))</f>
        <v>1000000000000</v>
      </c>
      <c r="CW33" s="172" cm="1">
        <f t="array" aca="1" ref="CW33" ca="1">IF(OR($D33&lt;&gt;"Serviço",AND(AUTOEVENTO="Manual",$M33=$A$15),$M33&gt;(ROW(PLE.lastrow)-ROW(PLE.firstrow))),0,
           IF(OFFSET(PLE!$G$15,$M33-$A$15,CW$13)="",10^12,OFFSET(PLE!$G$15,$M33-$A$15,CW$13)))</f>
        <v>1000000000000</v>
      </c>
      <c r="CX33" s="172" cm="1">
        <f t="array" aca="1" ref="CX33" ca="1">IF(OR($D33&lt;&gt;"Serviço",AND(AUTOEVENTO="Manual",$M33=$A$15),$M33&gt;(ROW(PLE.lastrow)-ROW(PLE.firstrow))),0,
           IF(OFFSET(PLE!$G$15,$M33-$A$15,CX$13)="",10^12,OFFSET(PLE!$G$15,$M33-$A$15,CX$13)))</f>
        <v>1000000000000</v>
      </c>
      <c r="CY33" s="172" cm="1">
        <f t="array" aca="1" ref="CY33" ca="1">IF(OR($D33&lt;&gt;"Serviço",AND(AUTOEVENTO="Manual",$M33=$A$15),$M33&gt;(ROW(PLE.lastrow)-ROW(PLE.firstrow))),0,
           IF(OFFSET(PLE!$G$15,$M33-$A$15,CY$13)="",10^12,OFFSET(PLE!$G$15,$M33-$A$15,CY$13)))</f>
        <v>1000000000000</v>
      </c>
      <c r="CZ33" s="172" cm="1">
        <f t="array" aca="1" ref="CZ33" ca="1">IF(OR($D33&lt;&gt;"Serviço",AND(AUTOEVENTO="Manual",$M33=$A$15),$M33&gt;(ROW(PLE.lastrow)-ROW(PLE.firstrow))),0,
           IF(OFFSET(PLE!$G$15,$M33-$A$15,CZ$13)="",10^12,OFFSET(PLE!$G$15,$M33-$A$15,CZ$13)))</f>
        <v>1000000000000</v>
      </c>
      <c r="DA33" s="172" cm="1">
        <f t="array" aca="1" ref="DA33" ca="1">IF(OR($D33&lt;&gt;"Serviço",AND(AUTOEVENTO="Manual",$M33=$A$15),$M33&gt;(ROW(PLE.lastrow)-ROW(PLE.firstrow))),0,
           IF(OFFSET(PLE!$G$15,$M33-$A$15,DA$13)="",10^12,OFFSET(PLE!$G$15,$M33-$A$15,DA$13)))</f>
        <v>1000000000000</v>
      </c>
      <c r="DB33" s="172" cm="1">
        <f t="array" aca="1" ref="DB33" ca="1">IF(OR($D33&lt;&gt;"Serviço",AND(AUTOEVENTO="Manual",$M33=$A$15),$M33&gt;(ROW(PLE.lastrow)-ROW(PLE.firstrow))),0,
           IF(OFFSET(PLE!$G$15,$M33-$A$15,DB$13)="",10^12,OFFSET(PLE!$G$15,$M33-$A$15,DB$13)))</f>
        <v>1000000000000</v>
      </c>
      <c r="DC33" s="172" cm="1">
        <f t="array" aca="1" ref="DC33" ca="1">IF(OR($D33&lt;&gt;"Serviço",AND(AUTOEVENTO="Manual",$M33=$A$15),$M33&gt;(ROW(PLE.lastrow)-ROW(PLE.firstrow))),0,
           IF(OFFSET(PLE!$G$15,$M33-$A$15,DC$13)="",10^12,OFFSET(PLE!$G$15,$M33-$A$15,DC$13)))</f>
        <v>1000000000000</v>
      </c>
      <c r="DD33" s="172" cm="1">
        <f t="array" aca="1" ref="DD33" ca="1">IF(OR($D33&lt;&gt;"Serviço",AND(AUTOEVENTO="Manual",$M33=$A$15),$M33&gt;(ROW(PLE.lastrow)-ROW(PLE.firstrow))),0,
           IF(OFFSET(PLE!$G$15,$M33-$A$15,DD$13)="",10^12,OFFSET(PLE!$G$15,$M33-$A$15,DD$13)))</f>
        <v>1000000000000</v>
      </c>
      <c r="DE33" s="172" cm="1">
        <f t="array" aca="1" ref="DE33" ca="1">IF(OR($D33&lt;&gt;"Serviço",AND(AUTOEVENTO="Manual",$M33=$A$15),$M33&gt;(ROW(PLE.lastrow)-ROW(PLE.firstrow))),0,
           IF(OFFSET(PLE!$G$15,$M33-$A$15,DE$13)="",10^12,OFFSET(PLE!$G$15,$M33-$A$15,DE$13)))</f>
        <v>1000000000000</v>
      </c>
      <c r="DF33" s="172" cm="1">
        <f t="array" aca="1" ref="DF33" ca="1">IF(OR($D33&lt;&gt;"Serviço",AND(AUTOEVENTO="Manual",$M33=$A$15),$M33&gt;(ROW(PLE.lastrow)-ROW(PLE.firstrow))),0,
           IF(OFFSET(PLE!$G$15,$M33-$A$15,DF$13)="",10^12,OFFSET(PLE!$G$15,$M33-$A$15,DF$13)))</f>
        <v>1000000000000</v>
      </c>
      <c r="DG33" s="172" cm="1">
        <f t="array" aca="1" ref="DG33" ca="1">IF(OR($D33&lt;&gt;"Serviço",AND(AUTOEVENTO="Manual",$M33=$A$15),$M33&gt;(ROW(PLE.lastrow)-ROW(PLE.firstrow))),0,
           IF(OFFSET(PLE!$G$15,$M33-$A$15,DG$13)="",10^12,OFFSET(PLE!$G$15,$M33-$A$15,DG$13)))</f>
        <v>1000000000000</v>
      </c>
      <c r="DH33" s="172" cm="1">
        <f t="array" aca="1" ref="DH33" ca="1">IF(OR($D33&lt;&gt;"Serviço",AND(AUTOEVENTO="Manual",$M33=$A$15),$M33&gt;(ROW(PLE.lastrow)-ROW(PLE.firstrow))),0,
           IF(OFFSET(PLE!$G$15,$M33-$A$15,DH$13)="",10^12,OFFSET(PLE!$G$15,$M33-$A$15,DH$13)))</f>
        <v>1000000000000</v>
      </c>
      <c r="DI33" s="172" cm="1">
        <f t="array" aca="1" ref="DI33" ca="1">IF(OR($D33&lt;&gt;"Serviço",AND(AUTOEVENTO="Manual",$M33=$A$15),$M33&gt;(ROW(PLE.lastrow)-ROW(PLE.firstrow))),0,
           IF(OFFSET(PLE!$G$15,$M33-$A$15,DI$13)="",10^12,OFFSET(PLE!$G$15,$M33-$A$15,DI$13)))</f>
        <v>1000000000000</v>
      </c>
      <c r="DJ33" s="172" cm="1">
        <f t="array" aca="1" ref="DJ33" ca="1">IF(OR($D33&lt;&gt;"Serviço",AND(AUTOEVENTO="Manual",$M33=$A$15),$M33&gt;(ROW(PLE.lastrow)-ROW(PLE.firstrow))),0,
           IF(OFFSET(PLE!$G$15,$M33-$A$15,DJ$13)="",10^12,OFFSET(PLE!$G$15,$M33-$A$15,DJ$13)))</f>
        <v>1000000000000</v>
      </c>
      <c r="DK33" s="172" cm="1">
        <f t="array" aca="1" ref="DK33" ca="1">IF(OR($D33&lt;&gt;"Serviço",AND(AUTOEVENTO="Manual",$M33=$A$15),$M33&gt;(ROW(PLE.lastrow)-ROW(PLE.firstrow))),0,
           IF(OFFSET(PLE!$G$15,$M33-$A$15,DK$13)="",10^12,OFFSET(PLE!$G$15,$M33-$A$15,DK$13)))</f>
        <v>1000000000000</v>
      </c>
      <c r="DL33" s="172" cm="1">
        <f t="array" aca="1" ref="DL33" ca="1">IF(OR($D33&lt;&gt;"Serviço",AND(AUTOEVENTO="Manual",$M33=$A$15),$M33&gt;(ROW(PLE.lastrow)-ROW(PLE.firstrow))),0,
           IF(OFFSET(PLE!$G$15,$M33-$A$15,DL$13)="",10^12,OFFSET(PLE!$G$15,$M33-$A$15,DL$13)))</f>
        <v>1000000000000</v>
      </c>
      <c r="DM33" s="172" cm="1">
        <f t="array" aca="1" ref="DM33" ca="1">IF(OR($D33&lt;&gt;"Serviço",AND(AUTOEVENTO="Manual",$M33=$A$15),$M33&gt;(ROW(PLE.lastrow)-ROW(PLE.firstrow))),0,
           IF(OFFSET(PLE!$G$15,$M33-$A$15,DM$13)="",10^12,OFFSET(PLE!$G$15,$M33-$A$15,DM$13)))</f>
        <v>1000000000000</v>
      </c>
      <c r="DN33" s="172" cm="1">
        <f t="array" aca="1" ref="DN33" ca="1">IF(OR($D33&lt;&gt;"Serviço",AND(AUTOEVENTO="Manual",$M33=$A$15),$M33&gt;(ROW(PLE.lastrow)-ROW(PLE.firstrow))),0,
           IF(OFFSET(PLE!$G$15,$M33-$A$15,DN$13)="",10^12,OFFSET(PLE!$G$15,$M33-$A$15,DN$13)))</f>
        <v>1000000000000</v>
      </c>
      <c r="DO33" s="172" cm="1">
        <f t="array" aca="1" ref="DO33" ca="1">IF(OR($D33&lt;&gt;"Serviço",AND(AUTOEVENTO="Manual",$M33=$A$15),$M33&gt;(ROW(PLE.lastrow)-ROW(PLE.firstrow))),0,
           IF(OFFSET(PLE!$G$15,$M33-$A$15,DO$13)="",10^12,OFFSET(PLE!$G$15,$M33-$A$15,DO$13)))</f>
        <v>1000000000000</v>
      </c>
      <c r="DP33" s="172" cm="1">
        <f t="array" aca="1" ref="DP33" ca="1">IF(OR($D33&lt;&gt;"Serviço",AND(AUTOEVENTO="Manual",$M33=$A$15),$M33&gt;(ROW(PLE.lastrow)-ROW(PLE.firstrow))),0,
           IF(OFFSET(PLE!$G$15,$M33-$A$15,DP$13)="",10^12,OFFSET(PLE!$G$15,$M33-$A$15,DP$13)))</f>
        <v>1000000000000</v>
      </c>
      <c r="DQ33" s="172" cm="1">
        <f t="array" aca="1" ref="DQ33" ca="1">IF(OR($D33&lt;&gt;"Serviço",AND(AUTOEVENTO="Manual",$M33=$A$15),$M33&gt;(ROW(PLE.lastrow)-ROW(PLE.firstrow))),0,
           IF(OFFSET(PLE!$G$15,$M33-$A$15,DQ$13)="",10^12,OFFSET(PLE!$G$15,$M33-$A$15,DQ$13)))</f>
        <v>1000000000000</v>
      </c>
      <c r="DR33" s="172" cm="1">
        <f t="array" aca="1" ref="DR33" ca="1">IF(OR($D33&lt;&gt;"Serviço",AND(AUTOEVENTO="Manual",$M33=$A$15),$M33&gt;(ROW(PLE.lastrow)-ROW(PLE.firstrow))),0,
           IF(OFFSET(PLE!$G$15,$M33-$A$15,DR$13)="",10^12,OFFSET(PLE!$G$15,$M33-$A$15,DR$13)))</f>
        <v>1000000000000</v>
      </c>
      <c r="DS33" s="172" cm="1">
        <f t="array" aca="1" ref="DS33" ca="1">IF(OR($D33&lt;&gt;"Serviço",AND(AUTOEVENTO="Manual",$M33=$A$15),$M33&gt;(ROW(PLE.lastrow)-ROW(PLE.firstrow))),0,
           IF(OFFSET(PLE!$G$15,$M33-$A$15,DS$13)="",10^12,OFFSET(PLE!$G$15,$M33-$A$15,DS$13)))</f>
        <v>1000000000000</v>
      </c>
    </row>
    <row r="34" spans="1:123" ht="25.5" x14ac:dyDescent="0.2">
      <c r="A34" s="7">
        <f t="shared" ca="1" si="11"/>
        <v>3</v>
      </c>
      <c r="B34" s="7" t="str">
        <f ca="1">OFFSET(ORÇAMENTO!C$15,$L34,0)</f>
        <v>S</v>
      </c>
      <c r="C34" s="7" t="str">
        <f ca="1">OFFSET(ORÇAMENTO!L$15,$L34,0)</f>
        <v/>
      </c>
      <c r="D34" s="116" t="str">
        <f ca="1">OFFSET(ORÇAMENTO!N$15,$L34,0)</f>
        <v>Serviço</v>
      </c>
      <c r="E34" s="117" t="str">
        <f ca="1">OFFSET(ORÇAMENTO!O$15,$L34,0)</f>
        <v>-</v>
      </c>
      <c r="F34" s="163" t="str">
        <f ca="1">OFFSET(ORÇAMENTO!R$15,$L34,0)</f>
        <v>(Código não identificado nas referências)</v>
      </c>
      <c r="G34" s="164" t="str">
        <f ca="1">IF($D34&lt;&gt;"Serviço","",OFFSET(ORÇAMENTO!S$15,$L34,0))</f>
        <v>-</v>
      </c>
      <c r="H34" s="122" cm="1">
        <f t="array" aca="1" ref="H34" ca="1">IF($D34&lt;&gt;"Serviço",0,IF(ACOMPANHAMENTO="BM",ROUND(OFFSET(ORÇAMENTO!AJ$15,$L34,0),15-13*ORÇAMENTO!$AF$7),IF(IFERROR(CÁLCULO.FrentesPreenchidas,0)=0,0,SUM(ROUND(OFFSET($P34,0,1,1,CÁLCULO.FrentesPreenchidas),15-13*ORÇAMENTO!$AF$7)))))</f>
        <v>28.2</v>
      </c>
      <c r="I34" s="468" t="s">
        <v>1235</v>
      </c>
      <c r="J34" s="651" t="str" cm="1">
        <f t="array" aca="1" ref="J34" ca="1">IF(OR(B34&lt;&gt;"S",CÁLCULO.FrentesPreenchidas=0),"",IF(AND(ACOMPANHAMENTO="PLE",AUTOEVENTO="Manual",OR(H34&gt;0,ORÇAMENTO!AC34="QUANT."),OR(K34="",M34=0,N34="")),"►E",IF(AND(ACOMPANHAMENTO="PLE",ORÇAMENTO!AC34="QUANT."),"►Q",IF(AND(ACOMPANHAMENTO="PLE",H34&lt;&gt;SUMPRODUCT(($Q$1:$AQ$1=1)*ROUND(Q34:AQ34,15))),"►S",IF(AND(COUNTIF($P$11:$AQ$11,"▼")=0,H34&gt;0,I34=""),"◄M","")))))</f>
        <v/>
      </c>
      <c r="K34" s="652" t="s">
        <v>1250</v>
      </c>
      <c r="L34" s="165">
        <f t="shared" ca="1" si="12"/>
        <v>19</v>
      </c>
      <c r="M34" s="166">
        <f ca="1">IF($D34&lt;&gt;"Serviço","",
          IF(AUTOEVENTO="manual",$A34,
                IF(ISERROR(MATCH($A34,$A$15:OFFSET($A34,-1,0),0)),MAX($M$15:OFFSET(M34,-1,0))+1,
                      INDEX($M$15:OFFSET(M34,-1,0),MATCH($A34,$A$15:OFFSET($A34,-1,0),0)))))</f>
        <v>3</v>
      </c>
      <c r="N34" s="167" t="str">
        <f ca="1">IF($D34&lt;&gt;"Serviço","",
         IF(AUTOEVENTO="Manual",
                IF($A34=0,"&lt;-- defina o número do agrupador",
                       OFFSET(EVENTOS!$D$15,$A34-$A$15,0)),
                OFFSET($F$15,$A34,0)))</f>
        <v>FUNDAÇÕES</v>
      </c>
      <c r="O34" s="168"/>
      <c r="Q34" s="168">
        <v>1.41</v>
      </c>
      <c r="R34" s="169">
        <v>1.41</v>
      </c>
      <c r="S34" s="169">
        <v>1.41</v>
      </c>
      <c r="T34" s="169">
        <v>1.41</v>
      </c>
      <c r="U34" s="169">
        <v>1.41</v>
      </c>
      <c r="V34" s="169">
        <v>1.41</v>
      </c>
      <c r="W34" s="169">
        <v>1.41</v>
      </c>
      <c r="X34" s="169">
        <v>1.41</v>
      </c>
      <c r="Y34" s="169">
        <v>1.41</v>
      </c>
      <c r="Z34" s="170">
        <v>1.41</v>
      </c>
      <c r="AA34" s="169">
        <v>1.41</v>
      </c>
      <c r="AB34" s="169">
        <v>1.41</v>
      </c>
      <c r="AC34" s="169">
        <v>1.41</v>
      </c>
      <c r="AD34" s="169">
        <v>1.41</v>
      </c>
      <c r="AE34" s="169">
        <v>1.41</v>
      </c>
      <c r="AF34" s="169">
        <v>1.41</v>
      </c>
      <c r="AG34" s="169">
        <v>1.41</v>
      </c>
      <c r="AH34" s="170">
        <v>1.41</v>
      </c>
      <c r="AI34" s="169">
        <v>1.41</v>
      </c>
      <c r="AJ34" s="169">
        <v>1.41</v>
      </c>
      <c r="AK34" s="169"/>
      <c r="AL34" s="169"/>
      <c r="AM34" s="169"/>
      <c r="AN34" s="169"/>
      <c r="AO34" s="169"/>
      <c r="AP34" s="170"/>
      <c r="AR34" s="453">
        <f ca="1">IF(AND($D34="Serviço",AR$12&lt;&gt;0,$H34&gt;0,OR(AUTOEVENTO&lt;&gt;"manual",$M34&lt;&gt;$A$15)),
        IF(Import.TipoArredondamento&lt;&gt;"TransfereGOV",
              ROUND(OFFSET($P34,0,AR$13),15-13*ORÇAMENTO!$AF$7)/$H34*OFFSET(ORÇAMENTO!$X$15,ROW(AR34)-ROW(AR$15),0),
              ROUND(ROUND(OFFSET($P34,0,AR$13),15-13*ORÇAMENTO!$AF$7)*OFFSET(ORÇAMENTO!$W$15,ROW(AR34)-ROW(AR$15),0),15-13*ORÇAMENTO!$AF$11)),
         0)</f>
        <v>0</v>
      </c>
      <c r="AS34" s="453">
        <f ca="1">IF(AND($D34="Serviço",AS$12&lt;&gt;0,$H34&gt;0,OR(AUTOEVENTO&lt;&gt;"manual",$M34&lt;&gt;$A$15)),
        IF(Import.TipoArredondamento&lt;&gt;"TransfereGOV",
              ROUND(OFFSET($P34,0,AS$13),15-13*ORÇAMENTO!$AF$7)/$H34*OFFSET(ORÇAMENTO!$X$15,ROW(AS34)-ROW(AS$15),0),
              ROUND(ROUND(OFFSET($P34,0,AS$13),15-13*ORÇAMENTO!$AF$7)*OFFSET(ORÇAMENTO!$W$15,ROW(AS34)-ROW(AS$15),0),15-13*ORÇAMENTO!$AF$11)),
         0)</f>
        <v>0</v>
      </c>
      <c r="AT34" s="453">
        <f ca="1">IF(AND($D34="Serviço",AT$12&lt;&gt;0,$H34&gt;0,OR(AUTOEVENTO&lt;&gt;"manual",$M34&lt;&gt;$A$15)),
        IF(Import.TipoArredondamento&lt;&gt;"TransfereGOV",
              ROUND(OFFSET($P34,0,AT$13),15-13*ORÇAMENTO!$AF$7)/$H34*OFFSET(ORÇAMENTO!$X$15,ROW(AT34)-ROW(AT$15),0),
              ROUND(ROUND(OFFSET($P34,0,AT$13),15-13*ORÇAMENTO!$AF$7)*OFFSET(ORÇAMENTO!$W$15,ROW(AT34)-ROW(AT$15),0),15-13*ORÇAMENTO!$AF$11)),
         0)</f>
        <v>0</v>
      </c>
      <c r="AU34" s="453">
        <f ca="1">IF(AND($D34="Serviço",AU$12&lt;&gt;0,$H34&gt;0,OR(AUTOEVENTO&lt;&gt;"manual",$M34&lt;&gt;$A$15)),
        IF(Import.TipoArredondamento&lt;&gt;"TransfereGOV",
              ROUND(OFFSET($P34,0,AU$13),15-13*ORÇAMENTO!$AF$7)/$H34*OFFSET(ORÇAMENTO!$X$15,ROW(AU34)-ROW(AU$15),0),
              ROUND(ROUND(OFFSET($P34,0,AU$13),15-13*ORÇAMENTO!$AF$7)*OFFSET(ORÇAMENTO!$W$15,ROW(AU34)-ROW(AU$15),0),15-13*ORÇAMENTO!$AF$11)),
         0)</f>
        <v>0</v>
      </c>
      <c r="AV34" s="453">
        <f ca="1">IF(AND($D34="Serviço",AV$12&lt;&gt;0,$H34&gt;0,OR(AUTOEVENTO&lt;&gt;"manual",$M34&lt;&gt;$A$15)),
        IF(Import.TipoArredondamento&lt;&gt;"TransfereGOV",
              ROUND(OFFSET($P34,0,AV$13),15-13*ORÇAMENTO!$AF$7)/$H34*OFFSET(ORÇAMENTO!$X$15,ROW(AV34)-ROW(AV$15),0),
              ROUND(ROUND(OFFSET($P34,0,AV$13),15-13*ORÇAMENTO!$AF$7)*OFFSET(ORÇAMENTO!$W$15,ROW(AV34)-ROW(AV$15),0),15-13*ORÇAMENTO!$AF$11)),
         0)</f>
        <v>0</v>
      </c>
      <c r="AW34" s="453">
        <f ca="1">IF(AND($D34="Serviço",AW$12&lt;&gt;0,$H34&gt;0,OR(AUTOEVENTO&lt;&gt;"manual",$M34&lt;&gt;$A$15)),
        IF(Import.TipoArredondamento&lt;&gt;"TransfereGOV",
              ROUND(OFFSET($P34,0,AW$13),15-13*ORÇAMENTO!$AF$7)/$H34*OFFSET(ORÇAMENTO!$X$15,ROW(AW34)-ROW(AW$15),0),
              ROUND(ROUND(OFFSET($P34,0,AW$13),15-13*ORÇAMENTO!$AF$7)*OFFSET(ORÇAMENTO!$W$15,ROW(AW34)-ROW(AW$15),0),15-13*ORÇAMENTO!$AF$11)),
         0)</f>
        <v>0</v>
      </c>
      <c r="AX34" s="453">
        <f ca="1">IF(AND($D34="Serviço",AX$12&lt;&gt;0,$H34&gt;0,OR(AUTOEVENTO&lt;&gt;"manual",$M34&lt;&gt;$A$15)),
        IF(Import.TipoArredondamento&lt;&gt;"TransfereGOV",
              ROUND(OFFSET($P34,0,AX$13),15-13*ORÇAMENTO!$AF$7)/$H34*OFFSET(ORÇAMENTO!$X$15,ROW(AX34)-ROW(AX$15),0),
              ROUND(ROUND(OFFSET($P34,0,AX$13),15-13*ORÇAMENTO!$AF$7)*OFFSET(ORÇAMENTO!$W$15,ROW(AX34)-ROW(AX$15),0),15-13*ORÇAMENTO!$AF$11)),
         0)</f>
        <v>0</v>
      </c>
      <c r="AY34" s="453">
        <f ca="1">IF(AND($D34="Serviço",AY$12&lt;&gt;0,$H34&gt;0,OR(AUTOEVENTO&lt;&gt;"manual",$M34&lt;&gt;$A$15)),
        IF(Import.TipoArredondamento&lt;&gt;"TransfereGOV",
              ROUND(OFFSET($P34,0,AY$13),15-13*ORÇAMENTO!$AF$7)/$H34*OFFSET(ORÇAMENTO!$X$15,ROW(AY34)-ROW(AY$15),0),
              ROUND(ROUND(OFFSET($P34,0,AY$13),15-13*ORÇAMENTO!$AF$7)*OFFSET(ORÇAMENTO!$W$15,ROW(AY34)-ROW(AY$15),0),15-13*ORÇAMENTO!$AF$11)),
         0)</f>
        <v>0</v>
      </c>
      <c r="AZ34" s="453">
        <f ca="1">IF(AND($D34="Serviço",AZ$12&lt;&gt;0,$H34&gt;0,OR(AUTOEVENTO&lt;&gt;"manual",$M34&lt;&gt;$A$15)),
        IF(Import.TipoArredondamento&lt;&gt;"TransfereGOV",
              ROUND(OFFSET($P34,0,AZ$13),15-13*ORÇAMENTO!$AF$7)/$H34*OFFSET(ORÇAMENTO!$X$15,ROW(AZ34)-ROW(AZ$15),0),
              ROUND(ROUND(OFFSET($P34,0,AZ$13),15-13*ORÇAMENTO!$AF$7)*OFFSET(ORÇAMENTO!$W$15,ROW(AZ34)-ROW(AZ$15),0),15-13*ORÇAMENTO!$AF$11)),
         0)</f>
        <v>0</v>
      </c>
      <c r="BA34" s="453">
        <f ca="1">IF(AND($D34="Serviço",BA$12&lt;&gt;0,$H34&gt;0,OR(AUTOEVENTO&lt;&gt;"manual",$M34&lt;&gt;$A$15)),
        IF(Import.TipoArredondamento&lt;&gt;"TransfereGOV",
              ROUND(OFFSET($P34,0,BA$13),15-13*ORÇAMENTO!$AF$7)/$H34*OFFSET(ORÇAMENTO!$X$15,ROW(BA34)-ROW(BA$15),0),
              ROUND(ROUND(OFFSET($P34,0,BA$13),15-13*ORÇAMENTO!$AF$7)*OFFSET(ORÇAMENTO!$W$15,ROW(BA34)-ROW(BA$15),0),15-13*ORÇAMENTO!$AF$11)),
         0)</f>
        <v>0</v>
      </c>
      <c r="BB34" s="453">
        <f ca="1">IF(AND($D34="Serviço",BB$12&lt;&gt;0,$H34&gt;0,OR(AUTOEVENTO&lt;&gt;"manual",$M34&lt;&gt;$A$15)),
        IF(Import.TipoArredondamento&lt;&gt;"TransfereGOV",
              ROUND(OFFSET($P34,0,BB$13),15-13*ORÇAMENTO!$AF$7)/$H34*OFFSET(ORÇAMENTO!$X$15,ROW(BB34)-ROW(BB$15),0),
              ROUND(ROUND(OFFSET($P34,0,BB$13),15-13*ORÇAMENTO!$AF$7)*OFFSET(ORÇAMENTO!$W$15,ROW(BB34)-ROW(BB$15),0),15-13*ORÇAMENTO!$AF$11)),
         0)</f>
        <v>0</v>
      </c>
      <c r="BC34" s="453">
        <f ca="1">IF(AND($D34="Serviço",BC$12&lt;&gt;0,$H34&gt;0,OR(AUTOEVENTO&lt;&gt;"manual",$M34&lt;&gt;$A$15)),
        IF(Import.TipoArredondamento&lt;&gt;"TransfereGOV",
              ROUND(OFFSET($P34,0,BC$13),15-13*ORÇAMENTO!$AF$7)/$H34*OFFSET(ORÇAMENTO!$X$15,ROW(BC34)-ROW(BC$15),0),
              ROUND(ROUND(OFFSET($P34,0,BC$13),15-13*ORÇAMENTO!$AF$7)*OFFSET(ORÇAMENTO!$W$15,ROW(BC34)-ROW(BC$15),0),15-13*ORÇAMENTO!$AF$11)),
         0)</f>
        <v>0</v>
      </c>
      <c r="BD34" s="453">
        <f ca="1">IF(AND($D34="Serviço",BD$12&lt;&gt;0,$H34&gt;0,OR(AUTOEVENTO&lt;&gt;"manual",$M34&lt;&gt;$A$15)),
        IF(Import.TipoArredondamento&lt;&gt;"TransfereGOV",
              ROUND(OFFSET($P34,0,BD$13),15-13*ORÇAMENTO!$AF$7)/$H34*OFFSET(ORÇAMENTO!$X$15,ROW(BD34)-ROW(BD$15),0),
              ROUND(ROUND(OFFSET($P34,0,BD$13),15-13*ORÇAMENTO!$AF$7)*OFFSET(ORÇAMENTO!$W$15,ROW(BD34)-ROW(BD$15),0),15-13*ORÇAMENTO!$AF$11)),
         0)</f>
        <v>0</v>
      </c>
      <c r="BE34" s="453">
        <f ca="1">IF(AND($D34="Serviço",BE$12&lt;&gt;0,$H34&gt;0,OR(AUTOEVENTO&lt;&gt;"manual",$M34&lt;&gt;$A$15)),
        IF(Import.TipoArredondamento&lt;&gt;"TransfereGOV",
              ROUND(OFFSET($P34,0,BE$13),15-13*ORÇAMENTO!$AF$7)/$H34*OFFSET(ORÇAMENTO!$X$15,ROW(BE34)-ROW(BE$15),0),
              ROUND(ROUND(OFFSET($P34,0,BE$13),15-13*ORÇAMENTO!$AF$7)*OFFSET(ORÇAMENTO!$W$15,ROW(BE34)-ROW(BE$15),0),15-13*ORÇAMENTO!$AF$11)),
         0)</f>
        <v>0</v>
      </c>
      <c r="BF34" s="453">
        <f ca="1">IF(AND($D34="Serviço",BF$12&lt;&gt;0,$H34&gt;0,OR(AUTOEVENTO&lt;&gt;"manual",$M34&lt;&gt;$A$15)),
        IF(Import.TipoArredondamento&lt;&gt;"TransfereGOV",
              ROUND(OFFSET($P34,0,BF$13),15-13*ORÇAMENTO!$AF$7)/$H34*OFFSET(ORÇAMENTO!$X$15,ROW(BF34)-ROW(BF$15),0),
              ROUND(ROUND(OFFSET($P34,0,BF$13),15-13*ORÇAMENTO!$AF$7)*OFFSET(ORÇAMENTO!$W$15,ROW(BF34)-ROW(BF$15),0),15-13*ORÇAMENTO!$AF$11)),
         0)</f>
        <v>0</v>
      </c>
      <c r="BG34" s="453">
        <f ca="1">IF(AND($D34="Serviço",BG$12&lt;&gt;0,$H34&gt;0,OR(AUTOEVENTO&lt;&gt;"manual",$M34&lt;&gt;$A$15)),
        IF(Import.TipoArredondamento&lt;&gt;"TransfereGOV",
              ROUND(OFFSET($P34,0,BG$13),15-13*ORÇAMENTO!$AF$7)/$H34*OFFSET(ORÇAMENTO!$X$15,ROW(BG34)-ROW(BG$15),0),
              ROUND(ROUND(OFFSET($P34,0,BG$13),15-13*ORÇAMENTO!$AF$7)*OFFSET(ORÇAMENTO!$W$15,ROW(BG34)-ROW(BG$15),0),15-13*ORÇAMENTO!$AF$11)),
         0)</f>
        <v>0</v>
      </c>
      <c r="BH34" s="453">
        <f ca="1">IF(AND($D34="Serviço",BH$12&lt;&gt;0,$H34&gt;0,OR(AUTOEVENTO&lt;&gt;"manual",$M34&lt;&gt;$A$15)),
        IF(Import.TipoArredondamento&lt;&gt;"TransfereGOV",
              ROUND(OFFSET($P34,0,BH$13),15-13*ORÇAMENTO!$AF$7)/$H34*OFFSET(ORÇAMENTO!$X$15,ROW(BH34)-ROW(BH$15),0),
              ROUND(ROUND(OFFSET($P34,0,BH$13),15-13*ORÇAMENTO!$AF$7)*OFFSET(ORÇAMENTO!$W$15,ROW(BH34)-ROW(BH$15),0),15-13*ORÇAMENTO!$AF$11)),
         0)</f>
        <v>0</v>
      </c>
      <c r="BI34" s="453">
        <f ca="1">IF(AND($D34="Serviço",BI$12&lt;&gt;0,$H34&gt;0,OR(AUTOEVENTO&lt;&gt;"manual",$M34&lt;&gt;$A$15)),
        IF(Import.TipoArredondamento&lt;&gt;"TransfereGOV",
              ROUND(OFFSET($P34,0,BI$13),15-13*ORÇAMENTO!$AF$7)/$H34*OFFSET(ORÇAMENTO!$X$15,ROW(BI34)-ROW(BI$15),0),
              ROUND(ROUND(OFFSET($P34,0,BI$13),15-13*ORÇAMENTO!$AF$7)*OFFSET(ORÇAMENTO!$W$15,ROW(BI34)-ROW(BI$15),0),15-13*ORÇAMENTO!$AF$11)),
         0)</f>
        <v>0</v>
      </c>
      <c r="BJ34" s="453">
        <f ca="1">IF(AND($D34="Serviço",BJ$12&lt;&gt;0,$H34&gt;0,OR(AUTOEVENTO&lt;&gt;"manual",$M34&lt;&gt;$A$15)),
        IF(Import.TipoArredondamento&lt;&gt;"TransfereGOV",
              ROUND(OFFSET($P34,0,BJ$13),15-13*ORÇAMENTO!$AF$7)/$H34*OFFSET(ORÇAMENTO!$X$15,ROW(BJ34)-ROW(BJ$15),0),
              ROUND(ROUND(OFFSET($P34,0,BJ$13),15-13*ORÇAMENTO!$AF$7)*OFFSET(ORÇAMENTO!$W$15,ROW(BJ34)-ROW(BJ$15),0),15-13*ORÇAMENTO!$AF$11)),
         0)</f>
        <v>0</v>
      </c>
      <c r="BK34" s="453">
        <f ca="1">IF(AND($D34="Serviço",BK$12&lt;&gt;0,$H34&gt;0,OR(AUTOEVENTO&lt;&gt;"manual",$M34&lt;&gt;$A$15)),
        IF(Import.TipoArredondamento&lt;&gt;"TransfereGOV",
              ROUND(OFFSET($P34,0,BK$13),15-13*ORÇAMENTO!$AF$7)/$H34*OFFSET(ORÇAMENTO!$X$15,ROW(BK34)-ROW(BK$15),0),
              ROUND(ROUND(OFFSET($P34,0,BK$13),15-13*ORÇAMENTO!$AF$7)*OFFSET(ORÇAMENTO!$W$15,ROW(BK34)-ROW(BK$15),0),15-13*ORÇAMENTO!$AF$11)),
         0)</f>
        <v>0</v>
      </c>
      <c r="BL34" s="453">
        <f ca="1">IF(AND($D34="Serviço",BL$12&lt;&gt;0,$H34&gt;0,OR(AUTOEVENTO&lt;&gt;"manual",$M34&lt;&gt;$A$15)),
        IF(Import.TipoArredondamento&lt;&gt;"TransfereGOV",
              ROUND(OFFSET($P34,0,BL$13),15-13*ORÇAMENTO!$AF$7)/$H34*OFFSET(ORÇAMENTO!$X$15,ROW(BL34)-ROW(BL$15),0),
              ROUND(ROUND(OFFSET($P34,0,BL$13),15-13*ORÇAMENTO!$AF$7)*OFFSET(ORÇAMENTO!$W$15,ROW(BL34)-ROW(BL$15),0),15-13*ORÇAMENTO!$AF$11)),
         0)</f>
        <v>0</v>
      </c>
      <c r="BM34" s="453">
        <f ca="1">IF(AND($D34="Serviço",BM$12&lt;&gt;0,$H34&gt;0,OR(AUTOEVENTO&lt;&gt;"manual",$M34&lt;&gt;$A$15)),
        IF(Import.TipoArredondamento&lt;&gt;"TransfereGOV",
              ROUND(OFFSET($P34,0,BM$13),15-13*ORÇAMENTO!$AF$7)/$H34*OFFSET(ORÇAMENTO!$X$15,ROW(BM34)-ROW(BM$15),0),
              ROUND(ROUND(OFFSET($P34,0,BM$13),15-13*ORÇAMENTO!$AF$7)*OFFSET(ORÇAMENTO!$W$15,ROW(BM34)-ROW(BM$15),0),15-13*ORÇAMENTO!$AF$11)),
         0)</f>
        <v>0</v>
      </c>
      <c r="BN34" s="453">
        <f ca="1">IF(AND($D34="Serviço",BN$12&lt;&gt;0,$H34&gt;0,OR(AUTOEVENTO&lt;&gt;"manual",$M34&lt;&gt;$A$15)),
        IF(Import.TipoArredondamento&lt;&gt;"TransfereGOV",
              ROUND(OFFSET($P34,0,BN$13),15-13*ORÇAMENTO!$AF$7)/$H34*OFFSET(ORÇAMENTO!$X$15,ROW(BN34)-ROW(BN$15),0),
              ROUND(ROUND(OFFSET($P34,0,BN$13),15-13*ORÇAMENTO!$AF$7)*OFFSET(ORÇAMENTO!$W$15,ROW(BN34)-ROW(BN$15),0),15-13*ORÇAMENTO!$AF$11)),
         0)</f>
        <v>0</v>
      </c>
      <c r="BO34" s="453">
        <f ca="1">IF(AND($D34="Serviço",BO$12&lt;&gt;0,$H34&gt;0,OR(AUTOEVENTO&lt;&gt;"manual",$M34&lt;&gt;$A$15)),
        IF(Import.TipoArredondamento&lt;&gt;"TransfereGOV",
              ROUND(OFFSET($P34,0,BO$13),15-13*ORÇAMENTO!$AF$7)/$H34*OFFSET(ORÇAMENTO!$X$15,ROW(BO34)-ROW(BO$15),0),
              ROUND(ROUND(OFFSET($P34,0,BO$13),15-13*ORÇAMENTO!$AF$7)*OFFSET(ORÇAMENTO!$W$15,ROW(BO34)-ROW(BO$15),0),15-13*ORÇAMENTO!$AF$11)),
         0)</f>
        <v>0</v>
      </c>
      <c r="BP34" s="453">
        <f ca="1">IF(AND($D34="Serviço",BP$12&lt;&gt;0,$H34&gt;0,OR(AUTOEVENTO&lt;&gt;"manual",$M34&lt;&gt;$A$15)),
        IF(Import.TipoArredondamento&lt;&gt;"TransfereGOV",
              ROUND(OFFSET($P34,0,BP$13),15-13*ORÇAMENTO!$AF$7)/$H34*OFFSET(ORÇAMENTO!$X$15,ROW(BP34)-ROW(BP$15),0),
              ROUND(ROUND(OFFSET($P34,0,BP$13),15-13*ORÇAMENTO!$AF$7)*OFFSET(ORÇAMENTO!$W$15,ROW(BP34)-ROW(BP$15),0),15-13*ORÇAMENTO!$AF$11)),
         0)</f>
        <v>0</v>
      </c>
      <c r="BQ34" s="453">
        <f ca="1">IF(AND($D34="Serviço",BQ$12&lt;&gt;0,$H34&gt;0,OR(AUTOEVENTO&lt;&gt;"manual",$M34&lt;&gt;$A$15)),
        IF(Import.TipoArredondamento&lt;&gt;"TransfereGOV",
              ROUND(OFFSET($P34,0,BQ$13),15-13*ORÇAMENTO!$AF$7)/$H34*OFFSET(ORÇAMENTO!$X$15,ROW(BQ34)-ROW(BQ$15),0),
              ROUND(ROUND(OFFSET($P34,0,BQ$13),15-13*ORÇAMENTO!$AF$7)*OFFSET(ORÇAMENTO!$W$15,ROW(BQ34)-ROW(BQ$15),0),15-13*ORÇAMENTO!$AF$11)),
         0)</f>
        <v>0</v>
      </c>
      <c r="BS34" s="171">
        <f ca="1">IF(OR($D34&lt;&gt;"Serviço",AND(AUTOEVENTO="Manual",$M34=$A$15)),0,
         IF(OFFSET(CRONOPLE!$F$15,$M34-$A$15,BS$13)=0,10^12,OFFSET(CRONOPLE!$F$15,$M34-$A$15,BS$13)))</f>
        <v>1</v>
      </c>
      <c r="BT34" s="171">
        <f ca="1">IF(OR($D34&lt;&gt;"Serviço",AND(AUTOEVENTO="Manual",$M34=$A$15)),0,
         IF(OFFSET(CRONOPLE!$F$15,$M34-$A$15,BT$13)=0,10^12,OFFSET(CRONOPLE!$F$15,$M34-$A$15,BT$13)))</f>
        <v>2</v>
      </c>
      <c r="BU34" s="171">
        <f ca="1">IF(OR($D34&lt;&gt;"Serviço",AND(AUTOEVENTO="Manual",$M34=$A$15)),0,
         IF(OFFSET(CRONOPLE!$F$15,$M34-$A$15,BU$13)=0,10^12,OFFSET(CRONOPLE!$F$15,$M34-$A$15,BU$13)))</f>
        <v>3</v>
      </c>
      <c r="BV34" s="171">
        <f ca="1">IF(OR($D34&lt;&gt;"Serviço",AND(AUTOEVENTO="Manual",$M34=$A$15)),0,
         IF(OFFSET(CRONOPLE!$F$15,$M34-$A$15,BV$13)=0,10^12,OFFSET(CRONOPLE!$F$15,$M34-$A$15,BV$13)))</f>
        <v>4</v>
      </c>
      <c r="BW34" s="171">
        <f ca="1">IF(OR($D34&lt;&gt;"Serviço",AND(AUTOEVENTO="Manual",$M34=$A$15)),0,
         IF(OFFSET(CRONOPLE!$F$15,$M34-$A$15,BW$13)=0,10^12,OFFSET(CRONOPLE!$F$15,$M34-$A$15,BW$13)))</f>
        <v>5</v>
      </c>
      <c r="BX34" s="171">
        <f ca="1">IF(OR($D34&lt;&gt;"Serviço",AND(AUTOEVENTO="Manual",$M34=$A$15)),0,
         IF(OFFSET(CRONOPLE!$F$15,$M34-$A$15,BX$13)=0,10^12,OFFSET(CRONOPLE!$F$15,$M34-$A$15,BX$13)))</f>
        <v>6</v>
      </c>
      <c r="BY34" s="171">
        <f ca="1">IF(OR($D34&lt;&gt;"Serviço",AND(AUTOEVENTO="Manual",$M34=$A$15)),0,
         IF(OFFSET(CRONOPLE!$F$15,$M34-$A$15,BY$13)=0,10^12,OFFSET(CRONOPLE!$F$15,$M34-$A$15,BY$13)))</f>
        <v>7</v>
      </c>
      <c r="BZ34" s="171">
        <f ca="1">IF(OR($D34&lt;&gt;"Serviço",AND(AUTOEVENTO="Manual",$M34=$A$15)),0,
         IF(OFFSET(CRONOPLE!$F$15,$M34-$A$15,BZ$13)=0,10^12,OFFSET(CRONOPLE!$F$15,$M34-$A$15,BZ$13)))</f>
        <v>8</v>
      </c>
      <c r="CA34" s="171">
        <f ca="1">IF(OR($D34&lt;&gt;"Serviço",AND(AUTOEVENTO="Manual",$M34=$A$15)),0,
         IF(OFFSET(CRONOPLE!$F$15,$M34-$A$15,CA$13)=0,10^12,OFFSET(CRONOPLE!$F$15,$M34-$A$15,CA$13)))</f>
        <v>9</v>
      </c>
      <c r="CB34" s="171">
        <f ca="1">IF(OR($D34&lt;&gt;"Serviço",AND(AUTOEVENTO="Manual",$M34=$A$15)),0,
         IF(OFFSET(CRONOPLE!$F$15,$M34-$A$15,CB$13)=0,10^12,OFFSET(CRONOPLE!$F$15,$M34-$A$15,CB$13)))</f>
        <v>10</v>
      </c>
      <c r="CC34" s="171">
        <f ca="1">IF(OR($D34&lt;&gt;"Serviço",AND(AUTOEVENTO="Manual",$M34=$A$15)),0,
         IF(OFFSET(CRONOPLE!$F$15,$M34-$A$15,CC$13)=0,10^12,OFFSET(CRONOPLE!$F$15,$M34-$A$15,CC$13)))</f>
        <v>11</v>
      </c>
      <c r="CD34" s="171">
        <f ca="1">IF(OR($D34&lt;&gt;"Serviço",AND(AUTOEVENTO="Manual",$M34=$A$15)),0,
         IF(OFFSET(CRONOPLE!$F$15,$M34-$A$15,CD$13)=0,10^12,OFFSET(CRONOPLE!$F$15,$M34-$A$15,CD$13)))</f>
        <v>12</v>
      </c>
      <c r="CE34" s="171">
        <f ca="1">IF(OR($D34&lt;&gt;"Serviço",AND(AUTOEVENTO="Manual",$M34=$A$15)),0,
         IF(OFFSET(CRONOPLE!$F$15,$M34-$A$15,CE$13)=0,10^12,OFFSET(CRONOPLE!$F$15,$M34-$A$15,CE$13)))</f>
        <v>13</v>
      </c>
      <c r="CF34" s="171">
        <f ca="1">IF(OR($D34&lt;&gt;"Serviço",AND(AUTOEVENTO="Manual",$M34=$A$15)),0,
         IF(OFFSET(CRONOPLE!$F$15,$M34-$A$15,CF$13)=0,10^12,OFFSET(CRONOPLE!$F$15,$M34-$A$15,CF$13)))</f>
        <v>14</v>
      </c>
      <c r="CG34" s="171">
        <f ca="1">IF(OR($D34&lt;&gt;"Serviço",AND(AUTOEVENTO="Manual",$M34=$A$15)),0,
         IF(OFFSET(CRONOPLE!$F$15,$M34-$A$15,CG$13)=0,10^12,OFFSET(CRONOPLE!$F$15,$M34-$A$15,CG$13)))</f>
        <v>15</v>
      </c>
      <c r="CH34" s="171">
        <f ca="1">IF(OR($D34&lt;&gt;"Serviço",AND(AUTOEVENTO="Manual",$M34=$A$15)),0,
         IF(OFFSET(CRONOPLE!$F$15,$M34-$A$15,CH$13)=0,10^12,OFFSET(CRONOPLE!$F$15,$M34-$A$15,CH$13)))</f>
        <v>16</v>
      </c>
      <c r="CI34" s="171">
        <f ca="1">IF(OR($D34&lt;&gt;"Serviço",AND(AUTOEVENTO="Manual",$M34=$A$15)),0,
         IF(OFFSET(CRONOPLE!$F$15,$M34-$A$15,CI$13)=0,10^12,OFFSET(CRONOPLE!$F$15,$M34-$A$15,CI$13)))</f>
        <v>17</v>
      </c>
      <c r="CJ34" s="171">
        <f ca="1">IF(OR($D34&lt;&gt;"Serviço",AND(AUTOEVENTO="Manual",$M34=$A$15)),0,
         IF(OFFSET(CRONOPLE!$F$15,$M34-$A$15,CJ$13)=0,10^12,OFFSET(CRONOPLE!$F$15,$M34-$A$15,CJ$13)))</f>
        <v>18</v>
      </c>
      <c r="CK34" s="171">
        <f ca="1">IF(OR($D34&lt;&gt;"Serviço",AND(AUTOEVENTO="Manual",$M34=$A$15)),0,
         IF(OFFSET(CRONOPLE!$F$15,$M34-$A$15,CK$13)=0,10^12,OFFSET(CRONOPLE!$F$15,$M34-$A$15,CK$13)))</f>
        <v>19</v>
      </c>
      <c r="CL34" s="171">
        <f ca="1">IF(OR($D34&lt;&gt;"Serviço",AND(AUTOEVENTO="Manual",$M34=$A$15)),0,
         IF(OFFSET(CRONOPLE!$F$15,$M34-$A$15,CL$13)=0,10^12,OFFSET(CRONOPLE!$F$15,$M34-$A$15,CL$13)))</f>
        <v>20</v>
      </c>
      <c r="CM34" s="171">
        <f ca="1">IF(OR($D34&lt;&gt;"Serviço",AND(AUTOEVENTO="Manual",$M34=$A$15)),0,
         IF(OFFSET(CRONOPLE!$F$15,$M34-$A$15,CM$13)=0,10^12,OFFSET(CRONOPLE!$F$15,$M34-$A$15,CM$13)))</f>
        <v>1000000000000</v>
      </c>
      <c r="CN34" s="171">
        <f ca="1">IF(OR($D34&lt;&gt;"Serviço",AND(AUTOEVENTO="Manual",$M34=$A$15)),0,
         IF(OFFSET(CRONOPLE!$F$15,$M34-$A$15,CN$13)=0,10^12,OFFSET(CRONOPLE!$F$15,$M34-$A$15,CN$13)))</f>
        <v>1000000000000</v>
      </c>
      <c r="CO34" s="171">
        <f ca="1">IF(OR($D34&lt;&gt;"Serviço",AND(AUTOEVENTO="Manual",$M34=$A$15)),0,
         IF(OFFSET(CRONOPLE!$F$15,$M34-$A$15,CO$13)=0,10^12,OFFSET(CRONOPLE!$F$15,$M34-$A$15,CO$13)))</f>
        <v>1000000000000</v>
      </c>
      <c r="CP34" s="171">
        <f ca="1">IF(OR($D34&lt;&gt;"Serviço",AND(AUTOEVENTO="Manual",$M34=$A$15)),0,
         IF(OFFSET(CRONOPLE!$F$15,$M34-$A$15,CP$13)=0,10^12,OFFSET(CRONOPLE!$F$15,$M34-$A$15,CP$13)))</f>
        <v>1000000000000</v>
      </c>
      <c r="CQ34" s="171">
        <f ca="1">IF(OR($D34&lt;&gt;"Serviço",AND(AUTOEVENTO="Manual",$M34=$A$15)),0,
         IF(OFFSET(CRONOPLE!$F$15,$M34-$A$15,CQ$13)=0,10^12,OFFSET(CRONOPLE!$F$15,$M34-$A$15,CQ$13)))</f>
        <v>1000000000000</v>
      </c>
      <c r="CR34" s="171">
        <f ca="1">IF(OR($D34&lt;&gt;"Serviço",AND(AUTOEVENTO="Manual",$M34=$A$15)),0,
         IF(OFFSET(CRONOPLE!$F$15,$M34-$A$15,CR$13)=0,10^12,OFFSET(CRONOPLE!$F$15,$M34-$A$15,CR$13)))</f>
        <v>1000000000000</v>
      </c>
      <c r="CT34" s="172" cm="1">
        <f t="array" aca="1" ref="CT34" ca="1">IF(OR($D34&lt;&gt;"Serviço",AND(AUTOEVENTO="Manual",$M34=$A$15),$M34&gt;(ROW(PLE.lastrow)-ROW(PLE.firstrow))),0,
           IF(OFFSET(PLE!$G$15,$M34-$A$15,CT$13)="",10^12,OFFSET(PLE!$G$15,$M34-$A$15,CT$13)))</f>
        <v>1000000000000</v>
      </c>
      <c r="CU34" s="172" cm="1">
        <f t="array" aca="1" ref="CU34" ca="1">IF(OR($D34&lt;&gt;"Serviço",AND(AUTOEVENTO="Manual",$M34=$A$15),$M34&gt;(ROW(PLE.lastrow)-ROW(PLE.firstrow))),0,
           IF(OFFSET(PLE!$G$15,$M34-$A$15,CU$13)="",10^12,OFFSET(PLE!$G$15,$M34-$A$15,CU$13)))</f>
        <v>1000000000000</v>
      </c>
      <c r="CV34" s="172" cm="1">
        <f t="array" aca="1" ref="CV34" ca="1">IF(OR($D34&lt;&gt;"Serviço",AND(AUTOEVENTO="Manual",$M34=$A$15),$M34&gt;(ROW(PLE.lastrow)-ROW(PLE.firstrow))),0,
           IF(OFFSET(PLE!$G$15,$M34-$A$15,CV$13)="",10^12,OFFSET(PLE!$G$15,$M34-$A$15,CV$13)))</f>
        <v>1000000000000</v>
      </c>
      <c r="CW34" s="172" cm="1">
        <f t="array" aca="1" ref="CW34" ca="1">IF(OR($D34&lt;&gt;"Serviço",AND(AUTOEVENTO="Manual",$M34=$A$15),$M34&gt;(ROW(PLE.lastrow)-ROW(PLE.firstrow))),0,
           IF(OFFSET(PLE!$G$15,$M34-$A$15,CW$13)="",10^12,OFFSET(PLE!$G$15,$M34-$A$15,CW$13)))</f>
        <v>1000000000000</v>
      </c>
      <c r="CX34" s="172" cm="1">
        <f t="array" aca="1" ref="CX34" ca="1">IF(OR($D34&lt;&gt;"Serviço",AND(AUTOEVENTO="Manual",$M34=$A$15),$M34&gt;(ROW(PLE.lastrow)-ROW(PLE.firstrow))),0,
           IF(OFFSET(PLE!$G$15,$M34-$A$15,CX$13)="",10^12,OFFSET(PLE!$G$15,$M34-$A$15,CX$13)))</f>
        <v>1000000000000</v>
      </c>
      <c r="CY34" s="172" cm="1">
        <f t="array" aca="1" ref="CY34" ca="1">IF(OR($D34&lt;&gt;"Serviço",AND(AUTOEVENTO="Manual",$M34=$A$15),$M34&gt;(ROW(PLE.lastrow)-ROW(PLE.firstrow))),0,
           IF(OFFSET(PLE!$G$15,$M34-$A$15,CY$13)="",10^12,OFFSET(PLE!$G$15,$M34-$A$15,CY$13)))</f>
        <v>1000000000000</v>
      </c>
      <c r="CZ34" s="172" cm="1">
        <f t="array" aca="1" ref="CZ34" ca="1">IF(OR($D34&lt;&gt;"Serviço",AND(AUTOEVENTO="Manual",$M34=$A$15),$M34&gt;(ROW(PLE.lastrow)-ROW(PLE.firstrow))),0,
           IF(OFFSET(PLE!$G$15,$M34-$A$15,CZ$13)="",10^12,OFFSET(PLE!$G$15,$M34-$A$15,CZ$13)))</f>
        <v>1000000000000</v>
      </c>
      <c r="DA34" s="172" cm="1">
        <f t="array" aca="1" ref="DA34" ca="1">IF(OR($D34&lt;&gt;"Serviço",AND(AUTOEVENTO="Manual",$M34=$A$15),$M34&gt;(ROW(PLE.lastrow)-ROW(PLE.firstrow))),0,
           IF(OFFSET(PLE!$G$15,$M34-$A$15,DA$13)="",10^12,OFFSET(PLE!$G$15,$M34-$A$15,DA$13)))</f>
        <v>1000000000000</v>
      </c>
      <c r="DB34" s="172" cm="1">
        <f t="array" aca="1" ref="DB34" ca="1">IF(OR($D34&lt;&gt;"Serviço",AND(AUTOEVENTO="Manual",$M34=$A$15),$M34&gt;(ROW(PLE.lastrow)-ROW(PLE.firstrow))),0,
           IF(OFFSET(PLE!$G$15,$M34-$A$15,DB$13)="",10^12,OFFSET(PLE!$G$15,$M34-$A$15,DB$13)))</f>
        <v>1000000000000</v>
      </c>
      <c r="DC34" s="172" cm="1">
        <f t="array" aca="1" ref="DC34" ca="1">IF(OR($D34&lt;&gt;"Serviço",AND(AUTOEVENTO="Manual",$M34=$A$15),$M34&gt;(ROW(PLE.lastrow)-ROW(PLE.firstrow))),0,
           IF(OFFSET(PLE!$G$15,$M34-$A$15,DC$13)="",10^12,OFFSET(PLE!$G$15,$M34-$A$15,DC$13)))</f>
        <v>1000000000000</v>
      </c>
      <c r="DD34" s="172" cm="1">
        <f t="array" aca="1" ref="DD34" ca="1">IF(OR($D34&lt;&gt;"Serviço",AND(AUTOEVENTO="Manual",$M34=$A$15),$M34&gt;(ROW(PLE.lastrow)-ROW(PLE.firstrow))),0,
           IF(OFFSET(PLE!$G$15,$M34-$A$15,DD$13)="",10^12,OFFSET(PLE!$G$15,$M34-$A$15,DD$13)))</f>
        <v>1000000000000</v>
      </c>
      <c r="DE34" s="172" cm="1">
        <f t="array" aca="1" ref="DE34" ca="1">IF(OR($D34&lt;&gt;"Serviço",AND(AUTOEVENTO="Manual",$M34=$A$15),$M34&gt;(ROW(PLE.lastrow)-ROW(PLE.firstrow))),0,
           IF(OFFSET(PLE!$G$15,$M34-$A$15,DE$13)="",10^12,OFFSET(PLE!$G$15,$M34-$A$15,DE$13)))</f>
        <v>1000000000000</v>
      </c>
      <c r="DF34" s="172" cm="1">
        <f t="array" aca="1" ref="DF34" ca="1">IF(OR($D34&lt;&gt;"Serviço",AND(AUTOEVENTO="Manual",$M34=$A$15),$M34&gt;(ROW(PLE.lastrow)-ROW(PLE.firstrow))),0,
           IF(OFFSET(PLE!$G$15,$M34-$A$15,DF$13)="",10^12,OFFSET(PLE!$G$15,$M34-$A$15,DF$13)))</f>
        <v>1000000000000</v>
      </c>
      <c r="DG34" s="172" cm="1">
        <f t="array" aca="1" ref="DG34" ca="1">IF(OR($D34&lt;&gt;"Serviço",AND(AUTOEVENTO="Manual",$M34=$A$15),$M34&gt;(ROW(PLE.lastrow)-ROW(PLE.firstrow))),0,
           IF(OFFSET(PLE!$G$15,$M34-$A$15,DG$13)="",10^12,OFFSET(PLE!$G$15,$M34-$A$15,DG$13)))</f>
        <v>1000000000000</v>
      </c>
      <c r="DH34" s="172" cm="1">
        <f t="array" aca="1" ref="DH34" ca="1">IF(OR($D34&lt;&gt;"Serviço",AND(AUTOEVENTO="Manual",$M34=$A$15),$M34&gt;(ROW(PLE.lastrow)-ROW(PLE.firstrow))),0,
           IF(OFFSET(PLE!$G$15,$M34-$A$15,DH$13)="",10^12,OFFSET(PLE!$G$15,$M34-$A$15,DH$13)))</f>
        <v>1000000000000</v>
      </c>
      <c r="DI34" s="172" cm="1">
        <f t="array" aca="1" ref="DI34" ca="1">IF(OR($D34&lt;&gt;"Serviço",AND(AUTOEVENTO="Manual",$M34=$A$15),$M34&gt;(ROW(PLE.lastrow)-ROW(PLE.firstrow))),0,
           IF(OFFSET(PLE!$G$15,$M34-$A$15,DI$13)="",10^12,OFFSET(PLE!$G$15,$M34-$A$15,DI$13)))</f>
        <v>1000000000000</v>
      </c>
      <c r="DJ34" s="172" cm="1">
        <f t="array" aca="1" ref="DJ34" ca="1">IF(OR($D34&lt;&gt;"Serviço",AND(AUTOEVENTO="Manual",$M34=$A$15),$M34&gt;(ROW(PLE.lastrow)-ROW(PLE.firstrow))),0,
           IF(OFFSET(PLE!$G$15,$M34-$A$15,DJ$13)="",10^12,OFFSET(PLE!$G$15,$M34-$A$15,DJ$13)))</f>
        <v>1000000000000</v>
      </c>
      <c r="DK34" s="172" cm="1">
        <f t="array" aca="1" ref="DK34" ca="1">IF(OR($D34&lt;&gt;"Serviço",AND(AUTOEVENTO="Manual",$M34=$A$15),$M34&gt;(ROW(PLE.lastrow)-ROW(PLE.firstrow))),0,
           IF(OFFSET(PLE!$G$15,$M34-$A$15,DK$13)="",10^12,OFFSET(PLE!$G$15,$M34-$A$15,DK$13)))</f>
        <v>1000000000000</v>
      </c>
      <c r="DL34" s="172" cm="1">
        <f t="array" aca="1" ref="DL34" ca="1">IF(OR($D34&lt;&gt;"Serviço",AND(AUTOEVENTO="Manual",$M34=$A$15),$M34&gt;(ROW(PLE.lastrow)-ROW(PLE.firstrow))),0,
           IF(OFFSET(PLE!$G$15,$M34-$A$15,DL$13)="",10^12,OFFSET(PLE!$G$15,$M34-$A$15,DL$13)))</f>
        <v>1000000000000</v>
      </c>
      <c r="DM34" s="172" cm="1">
        <f t="array" aca="1" ref="DM34" ca="1">IF(OR($D34&lt;&gt;"Serviço",AND(AUTOEVENTO="Manual",$M34=$A$15),$M34&gt;(ROW(PLE.lastrow)-ROW(PLE.firstrow))),0,
           IF(OFFSET(PLE!$G$15,$M34-$A$15,DM$13)="",10^12,OFFSET(PLE!$G$15,$M34-$A$15,DM$13)))</f>
        <v>1000000000000</v>
      </c>
      <c r="DN34" s="172" cm="1">
        <f t="array" aca="1" ref="DN34" ca="1">IF(OR($D34&lt;&gt;"Serviço",AND(AUTOEVENTO="Manual",$M34=$A$15),$M34&gt;(ROW(PLE.lastrow)-ROW(PLE.firstrow))),0,
           IF(OFFSET(PLE!$G$15,$M34-$A$15,DN$13)="",10^12,OFFSET(PLE!$G$15,$M34-$A$15,DN$13)))</f>
        <v>1000000000000</v>
      </c>
      <c r="DO34" s="172" cm="1">
        <f t="array" aca="1" ref="DO34" ca="1">IF(OR($D34&lt;&gt;"Serviço",AND(AUTOEVENTO="Manual",$M34=$A$15),$M34&gt;(ROW(PLE.lastrow)-ROW(PLE.firstrow))),0,
           IF(OFFSET(PLE!$G$15,$M34-$A$15,DO$13)="",10^12,OFFSET(PLE!$G$15,$M34-$A$15,DO$13)))</f>
        <v>1000000000000</v>
      </c>
      <c r="DP34" s="172" cm="1">
        <f t="array" aca="1" ref="DP34" ca="1">IF(OR($D34&lt;&gt;"Serviço",AND(AUTOEVENTO="Manual",$M34=$A$15),$M34&gt;(ROW(PLE.lastrow)-ROW(PLE.firstrow))),0,
           IF(OFFSET(PLE!$G$15,$M34-$A$15,DP$13)="",10^12,OFFSET(PLE!$G$15,$M34-$A$15,DP$13)))</f>
        <v>1000000000000</v>
      </c>
      <c r="DQ34" s="172" cm="1">
        <f t="array" aca="1" ref="DQ34" ca="1">IF(OR($D34&lt;&gt;"Serviço",AND(AUTOEVENTO="Manual",$M34=$A$15),$M34&gt;(ROW(PLE.lastrow)-ROW(PLE.firstrow))),0,
           IF(OFFSET(PLE!$G$15,$M34-$A$15,DQ$13)="",10^12,OFFSET(PLE!$G$15,$M34-$A$15,DQ$13)))</f>
        <v>1000000000000</v>
      </c>
      <c r="DR34" s="172" cm="1">
        <f t="array" aca="1" ref="DR34" ca="1">IF(OR($D34&lt;&gt;"Serviço",AND(AUTOEVENTO="Manual",$M34=$A$15),$M34&gt;(ROW(PLE.lastrow)-ROW(PLE.firstrow))),0,
           IF(OFFSET(PLE!$G$15,$M34-$A$15,DR$13)="",10^12,OFFSET(PLE!$G$15,$M34-$A$15,DR$13)))</f>
        <v>1000000000000</v>
      </c>
      <c r="DS34" s="172" cm="1">
        <f t="array" aca="1" ref="DS34" ca="1">IF(OR($D34&lt;&gt;"Serviço",AND(AUTOEVENTO="Manual",$M34=$A$15),$M34&gt;(ROW(PLE.lastrow)-ROW(PLE.firstrow))),0,
           IF(OFFSET(PLE!$G$15,$M34-$A$15,DS$13)="",10^12,OFFSET(PLE!$G$15,$M34-$A$15,DS$13)))</f>
        <v>1000000000000</v>
      </c>
    </row>
    <row r="35" spans="1:123" ht="25.5" x14ac:dyDescent="0.2">
      <c r="A35" s="7">
        <f t="shared" ca="1" si="11"/>
        <v>3</v>
      </c>
      <c r="B35" s="7" t="str">
        <f ca="1">OFFSET(ORÇAMENTO!C$15,$L35,0)</f>
        <v>S</v>
      </c>
      <c r="C35" s="7" t="str">
        <f ca="1">OFFSET(ORÇAMENTO!L$15,$L35,0)</f>
        <v/>
      </c>
      <c r="D35" s="116" t="str">
        <f ca="1">OFFSET(ORÇAMENTO!N$15,$L35,0)</f>
        <v>Serviço</v>
      </c>
      <c r="E35" s="117" t="str">
        <f ca="1">OFFSET(ORÇAMENTO!O$15,$L35,0)</f>
        <v>-</v>
      </c>
      <c r="F35" s="163" t="str">
        <f ca="1">OFFSET(ORÇAMENTO!R$15,$L35,0)</f>
        <v>(Código não identificado nas referências)</v>
      </c>
      <c r="G35" s="164" t="str">
        <f ca="1">IF($D35&lt;&gt;"Serviço","",OFFSET(ORÇAMENTO!S$15,$L35,0))</f>
        <v>-</v>
      </c>
      <c r="H35" s="122" cm="1">
        <f t="array" aca="1" ref="H35" ca="1">IF($D35&lt;&gt;"Serviço",0,IF(ACOMPANHAMENTO="BM",ROUND(OFFSET(ORÇAMENTO!AJ$15,$L35,0),15-13*ORÇAMENTO!$AF$7),IF(IFERROR(CÁLCULO.FrentesPreenchidas,0)=0,0,SUM(ROUND(OFFSET($P35,0,1,1,CÁLCULO.FrentesPreenchidas),15-13*ORÇAMENTO!$AF$7)))))</f>
        <v>141.80000000000004</v>
      </c>
      <c r="I35" s="468" t="s">
        <v>1235</v>
      </c>
      <c r="J35" s="651" t="str" cm="1">
        <f t="array" aca="1" ref="J35" ca="1">IF(OR(B35&lt;&gt;"S",CÁLCULO.FrentesPreenchidas=0),"",IF(AND(ACOMPANHAMENTO="PLE",AUTOEVENTO="Manual",OR(H35&gt;0,ORÇAMENTO!AC35="QUANT."),OR(K35="",M35=0,N35="")),"►E",IF(AND(ACOMPANHAMENTO="PLE",ORÇAMENTO!AC35="QUANT."),"►Q",IF(AND(ACOMPANHAMENTO="PLE",H35&lt;&gt;SUMPRODUCT(($Q$1:$AQ$1=1)*ROUND(Q35:AQ35,15))),"►S",IF(AND(COUNTIF($P$11:$AQ$11,"▼")=0,H35&gt;0,I35=""),"◄M","")))))</f>
        <v/>
      </c>
      <c r="K35" s="652" t="s">
        <v>1250</v>
      </c>
      <c r="L35" s="165">
        <f t="shared" ca="1" si="12"/>
        <v>20</v>
      </c>
      <c r="M35" s="166">
        <f ca="1">IF($D35&lt;&gt;"Serviço","",
          IF(AUTOEVENTO="manual",$A35,
                IF(ISERROR(MATCH($A35,$A$15:OFFSET($A35,-1,0),0)),MAX($M$15:OFFSET(M35,-1,0))+1,
                      INDEX($M$15:OFFSET(M35,-1,0),MATCH($A35,$A$15:OFFSET($A35,-1,0),0)))))</f>
        <v>3</v>
      </c>
      <c r="N35" s="167" t="str">
        <f ca="1">IF($D35&lt;&gt;"Serviço","",
         IF(AUTOEVENTO="Manual",
                IF($A35=0,"&lt;-- defina o número do agrupador",
                       OFFSET(EVENTOS!$D$15,$A35-$A$15,0)),
                OFFSET($F$15,$A35,0)))</f>
        <v>FUNDAÇÕES</v>
      </c>
      <c r="O35" s="168"/>
      <c r="Q35" s="168">
        <v>7.09</v>
      </c>
      <c r="R35" s="169">
        <v>7.09</v>
      </c>
      <c r="S35" s="169">
        <v>7.09</v>
      </c>
      <c r="T35" s="169">
        <v>7.09</v>
      </c>
      <c r="U35" s="169">
        <v>7.09</v>
      </c>
      <c r="V35" s="169">
        <v>7.09</v>
      </c>
      <c r="W35" s="169">
        <v>7.09</v>
      </c>
      <c r="X35" s="169">
        <v>7.09</v>
      </c>
      <c r="Y35" s="169">
        <v>7.09</v>
      </c>
      <c r="Z35" s="170">
        <v>7.09</v>
      </c>
      <c r="AA35" s="169">
        <v>7.09</v>
      </c>
      <c r="AB35" s="169">
        <v>7.09</v>
      </c>
      <c r="AC35" s="169">
        <v>7.09</v>
      </c>
      <c r="AD35" s="169">
        <v>7.09</v>
      </c>
      <c r="AE35" s="169">
        <v>7.09</v>
      </c>
      <c r="AF35" s="169">
        <v>7.09</v>
      </c>
      <c r="AG35" s="169">
        <v>7.09</v>
      </c>
      <c r="AH35" s="170">
        <v>7.09</v>
      </c>
      <c r="AI35" s="169">
        <v>7.09</v>
      </c>
      <c r="AJ35" s="169">
        <v>7.09</v>
      </c>
      <c r="AK35" s="169"/>
      <c r="AL35" s="169"/>
      <c r="AM35" s="169"/>
      <c r="AN35" s="169"/>
      <c r="AO35" s="169"/>
      <c r="AP35" s="170"/>
      <c r="AR35" s="453">
        <f ca="1">IF(AND($D35="Serviço",AR$12&lt;&gt;0,$H35&gt;0,OR(AUTOEVENTO&lt;&gt;"manual",$M35&lt;&gt;$A$15)),
        IF(Import.TipoArredondamento&lt;&gt;"TransfereGOV",
              ROUND(OFFSET($P35,0,AR$13),15-13*ORÇAMENTO!$AF$7)/$H35*OFFSET(ORÇAMENTO!$X$15,ROW(AR35)-ROW(AR$15),0),
              ROUND(ROUND(OFFSET($P35,0,AR$13),15-13*ORÇAMENTO!$AF$7)*OFFSET(ORÇAMENTO!$W$15,ROW(AR35)-ROW(AR$15),0),15-13*ORÇAMENTO!$AF$11)),
         0)</f>
        <v>0</v>
      </c>
      <c r="AS35" s="453">
        <f ca="1">IF(AND($D35="Serviço",AS$12&lt;&gt;0,$H35&gt;0,OR(AUTOEVENTO&lt;&gt;"manual",$M35&lt;&gt;$A$15)),
        IF(Import.TipoArredondamento&lt;&gt;"TransfereGOV",
              ROUND(OFFSET($P35,0,AS$13),15-13*ORÇAMENTO!$AF$7)/$H35*OFFSET(ORÇAMENTO!$X$15,ROW(AS35)-ROW(AS$15),0),
              ROUND(ROUND(OFFSET($P35,0,AS$13),15-13*ORÇAMENTO!$AF$7)*OFFSET(ORÇAMENTO!$W$15,ROW(AS35)-ROW(AS$15),0),15-13*ORÇAMENTO!$AF$11)),
         0)</f>
        <v>0</v>
      </c>
      <c r="AT35" s="453">
        <f ca="1">IF(AND($D35="Serviço",AT$12&lt;&gt;0,$H35&gt;0,OR(AUTOEVENTO&lt;&gt;"manual",$M35&lt;&gt;$A$15)),
        IF(Import.TipoArredondamento&lt;&gt;"TransfereGOV",
              ROUND(OFFSET($P35,0,AT$13),15-13*ORÇAMENTO!$AF$7)/$H35*OFFSET(ORÇAMENTO!$X$15,ROW(AT35)-ROW(AT$15),0),
              ROUND(ROUND(OFFSET($P35,0,AT$13),15-13*ORÇAMENTO!$AF$7)*OFFSET(ORÇAMENTO!$W$15,ROW(AT35)-ROW(AT$15),0),15-13*ORÇAMENTO!$AF$11)),
         0)</f>
        <v>0</v>
      </c>
      <c r="AU35" s="453">
        <f ca="1">IF(AND($D35="Serviço",AU$12&lt;&gt;0,$H35&gt;0,OR(AUTOEVENTO&lt;&gt;"manual",$M35&lt;&gt;$A$15)),
        IF(Import.TipoArredondamento&lt;&gt;"TransfereGOV",
              ROUND(OFFSET($P35,0,AU$13),15-13*ORÇAMENTO!$AF$7)/$H35*OFFSET(ORÇAMENTO!$X$15,ROW(AU35)-ROW(AU$15),0),
              ROUND(ROUND(OFFSET($P35,0,AU$13),15-13*ORÇAMENTO!$AF$7)*OFFSET(ORÇAMENTO!$W$15,ROW(AU35)-ROW(AU$15),0),15-13*ORÇAMENTO!$AF$11)),
         0)</f>
        <v>0</v>
      </c>
      <c r="AV35" s="453">
        <f ca="1">IF(AND($D35="Serviço",AV$12&lt;&gt;0,$H35&gt;0,OR(AUTOEVENTO&lt;&gt;"manual",$M35&lt;&gt;$A$15)),
        IF(Import.TipoArredondamento&lt;&gt;"TransfereGOV",
              ROUND(OFFSET($P35,0,AV$13),15-13*ORÇAMENTO!$AF$7)/$H35*OFFSET(ORÇAMENTO!$X$15,ROW(AV35)-ROW(AV$15),0),
              ROUND(ROUND(OFFSET($P35,0,AV$13),15-13*ORÇAMENTO!$AF$7)*OFFSET(ORÇAMENTO!$W$15,ROW(AV35)-ROW(AV$15),0),15-13*ORÇAMENTO!$AF$11)),
         0)</f>
        <v>0</v>
      </c>
      <c r="AW35" s="453">
        <f ca="1">IF(AND($D35="Serviço",AW$12&lt;&gt;0,$H35&gt;0,OR(AUTOEVENTO&lt;&gt;"manual",$M35&lt;&gt;$A$15)),
        IF(Import.TipoArredondamento&lt;&gt;"TransfereGOV",
              ROUND(OFFSET($P35,0,AW$13),15-13*ORÇAMENTO!$AF$7)/$H35*OFFSET(ORÇAMENTO!$X$15,ROW(AW35)-ROW(AW$15),0),
              ROUND(ROUND(OFFSET($P35,0,AW$13),15-13*ORÇAMENTO!$AF$7)*OFFSET(ORÇAMENTO!$W$15,ROW(AW35)-ROW(AW$15),0),15-13*ORÇAMENTO!$AF$11)),
         0)</f>
        <v>0</v>
      </c>
      <c r="AX35" s="453">
        <f ca="1">IF(AND($D35="Serviço",AX$12&lt;&gt;0,$H35&gt;0,OR(AUTOEVENTO&lt;&gt;"manual",$M35&lt;&gt;$A$15)),
        IF(Import.TipoArredondamento&lt;&gt;"TransfereGOV",
              ROUND(OFFSET($P35,0,AX$13),15-13*ORÇAMENTO!$AF$7)/$H35*OFFSET(ORÇAMENTO!$X$15,ROW(AX35)-ROW(AX$15),0),
              ROUND(ROUND(OFFSET($P35,0,AX$13),15-13*ORÇAMENTO!$AF$7)*OFFSET(ORÇAMENTO!$W$15,ROW(AX35)-ROW(AX$15),0),15-13*ORÇAMENTO!$AF$11)),
         0)</f>
        <v>0</v>
      </c>
      <c r="AY35" s="453">
        <f ca="1">IF(AND($D35="Serviço",AY$12&lt;&gt;0,$H35&gt;0,OR(AUTOEVENTO&lt;&gt;"manual",$M35&lt;&gt;$A$15)),
        IF(Import.TipoArredondamento&lt;&gt;"TransfereGOV",
              ROUND(OFFSET($P35,0,AY$13),15-13*ORÇAMENTO!$AF$7)/$H35*OFFSET(ORÇAMENTO!$X$15,ROW(AY35)-ROW(AY$15),0),
              ROUND(ROUND(OFFSET($P35,0,AY$13),15-13*ORÇAMENTO!$AF$7)*OFFSET(ORÇAMENTO!$W$15,ROW(AY35)-ROW(AY$15),0),15-13*ORÇAMENTO!$AF$11)),
         0)</f>
        <v>0</v>
      </c>
      <c r="AZ35" s="453">
        <f ca="1">IF(AND($D35="Serviço",AZ$12&lt;&gt;0,$H35&gt;0,OR(AUTOEVENTO&lt;&gt;"manual",$M35&lt;&gt;$A$15)),
        IF(Import.TipoArredondamento&lt;&gt;"TransfereGOV",
              ROUND(OFFSET($P35,0,AZ$13),15-13*ORÇAMENTO!$AF$7)/$H35*OFFSET(ORÇAMENTO!$X$15,ROW(AZ35)-ROW(AZ$15),0),
              ROUND(ROUND(OFFSET($P35,0,AZ$13),15-13*ORÇAMENTO!$AF$7)*OFFSET(ORÇAMENTO!$W$15,ROW(AZ35)-ROW(AZ$15),0),15-13*ORÇAMENTO!$AF$11)),
         0)</f>
        <v>0</v>
      </c>
      <c r="BA35" s="453">
        <f ca="1">IF(AND($D35="Serviço",BA$12&lt;&gt;0,$H35&gt;0,OR(AUTOEVENTO&lt;&gt;"manual",$M35&lt;&gt;$A$15)),
        IF(Import.TipoArredondamento&lt;&gt;"TransfereGOV",
              ROUND(OFFSET($P35,0,BA$13),15-13*ORÇAMENTO!$AF$7)/$H35*OFFSET(ORÇAMENTO!$X$15,ROW(BA35)-ROW(BA$15),0),
              ROUND(ROUND(OFFSET($P35,0,BA$13),15-13*ORÇAMENTO!$AF$7)*OFFSET(ORÇAMENTO!$W$15,ROW(BA35)-ROW(BA$15),0),15-13*ORÇAMENTO!$AF$11)),
         0)</f>
        <v>0</v>
      </c>
      <c r="BB35" s="453">
        <f ca="1">IF(AND($D35="Serviço",BB$12&lt;&gt;0,$H35&gt;0,OR(AUTOEVENTO&lt;&gt;"manual",$M35&lt;&gt;$A$15)),
        IF(Import.TipoArredondamento&lt;&gt;"TransfereGOV",
              ROUND(OFFSET($P35,0,BB$13),15-13*ORÇAMENTO!$AF$7)/$H35*OFFSET(ORÇAMENTO!$X$15,ROW(BB35)-ROW(BB$15),0),
              ROUND(ROUND(OFFSET($P35,0,BB$13),15-13*ORÇAMENTO!$AF$7)*OFFSET(ORÇAMENTO!$W$15,ROW(BB35)-ROW(BB$15),0),15-13*ORÇAMENTO!$AF$11)),
         0)</f>
        <v>0</v>
      </c>
      <c r="BC35" s="453">
        <f ca="1">IF(AND($D35="Serviço",BC$12&lt;&gt;0,$H35&gt;0,OR(AUTOEVENTO&lt;&gt;"manual",$M35&lt;&gt;$A$15)),
        IF(Import.TipoArredondamento&lt;&gt;"TransfereGOV",
              ROUND(OFFSET($P35,0,BC$13),15-13*ORÇAMENTO!$AF$7)/$H35*OFFSET(ORÇAMENTO!$X$15,ROW(BC35)-ROW(BC$15),0),
              ROUND(ROUND(OFFSET($P35,0,BC$13),15-13*ORÇAMENTO!$AF$7)*OFFSET(ORÇAMENTO!$W$15,ROW(BC35)-ROW(BC$15),0),15-13*ORÇAMENTO!$AF$11)),
         0)</f>
        <v>0</v>
      </c>
      <c r="BD35" s="453">
        <f ca="1">IF(AND($D35="Serviço",BD$12&lt;&gt;0,$H35&gt;0,OR(AUTOEVENTO&lt;&gt;"manual",$M35&lt;&gt;$A$15)),
        IF(Import.TipoArredondamento&lt;&gt;"TransfereGOV",
              ROUND(OFFSET($P35,0,BD$13),15-13*ORÇAMENTO!$AF$7)/$H35*OFFSET(ORÇAMENTO!$X$15,ROW(BD35)-ROW(BD$15),0),
              ROUND(ROUND(OFFSET($P35,0,BD$13),15-13*ORÇAMENTO!$AF$7)*OFFSET(ORÇAMENTO!$W$15,ROW(BD35)-ROW(BD$15),0),15-13*ORÇAMENTO!$AF$11)),
         0)</f>
        <v>0</v>
      </c>
      <c r="BE35" s="453">
        <f ca="1">IF(AND($D35="Serviço",BE$12&lt;&gt;0,$H35&gt;0,OR(AUTOEVENTO&lt;&gt;"manual",$M35&lt;&gt;$A$15)),
        IF(Import.TipoArredondamento&lt;&gt;"TransfereGOV",
              ROUND(OFFSET($P35,0,BE$13),15-13*ORÇAMENTO!$AF$7)/$H35*OFFSET(ORÇAMENTO!$X$15,ROW(BE35)-ROW(BE$15),0),
              ROUND(ROUND(OFFSET($P35,0,BE$13),15-13*ORÇAMENTO!$AF$7)*OFFSET(ORÇAMENTO!$W$15,ROW(BE35)-ROW(BE$15),0),15-13*ORÇAMENTO!$AF$11)),
         0)</f>
        <v>0</v>
      </c>
      <c r="BF35" s="453">
        <f ca="1">IF(AND($D35="Serviço",BF$12&lt;&gt;0,$H35&gt;0,OR(AUTOEVENTO&lt;&gt;"manual",$M35&lt;&gt;$A$15)),
        IF(Import.TipoArredondamento&lt;&gt;"TransfereGOV",
              ROUND(OFFSET($P35,0,BF$13),15-13*ORÇAMENTO!$AF$7)/$H35*OFFSET(ORÇAMENTO!$X$15,ROW(BF35)-ROW(BF$15),0),
              ROUND(ROUND(OFFSET($P35,0,BF$13),15-13*ORÇAMENTO!$AF$7)*OFFSET(ORÇAMENTO!$W$15,ROW(BF35)-ROW(BF$15),0),15-13*ORÇAMENTO!$AF$11)),
         0)</f>
        <v>0</v>
      </c>
      <c r="BG35" s="453">
        <f ca="1">IF(AND($D35="Serviço",BG$12&lt;&gt;0,$H35&gt;0,OR(AUTOEVENTO&lt;&gt;"manual",$M35&lt;&gt;$A$15)),
        IF(Import.TipoArredondamento&lt;&gt;"TransfereGOV",
              ROUND(OFFSET($P35,0,BG$13),15-13*ORÇAMENTO!$AF$7)/$H35*OFFSET(ORÇAMENTO!$X$15,ROW(BG35)-ROW(BG$15),0),
              ROUND(ROUND(OFFSET($P35,0,BG$13),15-13*ORÇAMENTO!$AF$7)*OFFSET(ORÇAMENTO!$W$15,ROW(BG35)-ROW(BG$15),0),15-13*ORÇAMENTO!$AF$11)),
         0)</f>
        <v>0</v>
      </c>
      <c r="BH35" s="453">
        <f ca="1">IF(AND($D35="Serviço",BH$12&lt;&gt;0,$H35&gt;0,OR(AUTOEVENTO&lt;&gt;"manual",$M35&lt;&gt;$A$15)),
        IF(Import.TipoArredondamento&lt;&gt;"TransfereGOV",
              ROUND(OFFSET($P35,0,BH$13),15-13*ORÇAMENTO!$AF$7)/$H35*OFFSET(ORÇAMENTO!$X$15,ROW(BH35)-ROW(BH$15),0),
              ROUND(ROUND(OFFSET($P35,0,BH$13),15-13*ORÇAMENTO!$AF$7)*OFFSET(ORÇAMENTO!$W$15,ROW(BH35)-ROW(BH$15),0),15-13*ORÇAMENTO!$AF$11)),
         0)</f>
        <v>0</v>
      </c>
      <c r="BI35" s="453">
        <f ca="1">IF(AND($D35="Serviço",BI$12&lt;&gt;0,$H35&gt;0,OR(AUTOEVENTO&lt;&gt;"manual",$M35&lt;&gt;$A$15)),
        IF(Import.TipoArredondamento&lt;&gt;"TransfereGOV",
              ROUND(OFFSET($P35,0,BI$13),15-13*ORÇAMENTO!$AF$7)/$H35*OFFSET(ORÇAMENTO!$X$15,ROW(BI35)-ROW(BI$15),0),
              ROUND(ROUND(OFFSET($P35,0,BI$13),15-13*ORÇAMENTO!$AF$7)*OFFSET(ORÇAMENTO!$W$15,ROW(BI35)-ROW(BI$15),0),15-13*ORÇAMENTO!$AF$11)),
         0)</f>
        <v>0</v>
      </c>
      <c r="BJ35" s="453">
        <f ca="1">IF(AND($D35="Serviço",BJ$12&lt;&gt;0,$H35&gt;0,OR(AUTOEVENTO&lt;&gt;"manual",$M35&lt;&gt;$A$15)),
        IF(Import.TipoArredondamento&lt;&gt;"TransfereGOV",
              ROUND(OFFSET($P35,0,BJ$13),15-13*ORÇAMENTO!$AF$7)/$H35*OFFSET(ORÇAMENTO!$X$15,ROW(BJ35)-ROW(BJ$15),0),
              ROUND(ROUND(OFFSET($P35,0,BJ$13),15-13*ORÇAMENTO!$AF$7)*OFFSET(ORÇAMENTO!$W$15,ROW(BJ35)-ROW(BJ$15),0),15-13*ORÇAMENTO!$AF$11)),
         0)</f>
        <v>0</v>
      </c>
      <c r="BK35" s="453">
        <f ca="1">IF(AND($D35="Serviço",BK$12&lt;&gt;0,$H35&gt;0,OR(AUTOEVENTO&lt;&gt;"manual",$M35&lt;&gt;$A$15)),
        IF(Import.TipoArredondamento&lt;&gt;"TransfereGOV",
              ROUND(OFFSET($P35,0,BK$13),15-13*ORÇAMENTO!$AF$7)/$H35*OFFSET(ORÇAMENTO!$X$15,ROW(BK35)-ROW(BK$15),0),
              ROUND(ROUND(OFFSET($P35,0,BK$13),15-13*ORÇAMENTO!$AF$7)*OFFSET(ORÇAMENTO!$W$15,ROW(BK35)-ROW(BK$15),0),15-13*ORÇAMENTO!$AF$11)),
         0)</f>
        <v>0</v>
      </c>
      <c r="BL35" s="453">
        <f ca="1">IF(AND($D35="Serviço",BL$12&lt;&gt;0,$H35&gt;0,OR(AUTOEVENTO&lt;&gt;"manual",$M35&lt;&gt;$A$15)),
        IF(Import.TipoArredondamento&lt;&gt;"TransfereGOV",
              ROUND(OFFSET($P35,0,BL$13),15-13*ORÇAMENTO!$AF$7)/$H35*OFFSET(ORÇAMENTO!$X$15,ROW(BL35)-ROW(BL$15),0),
              ROUND(ROUND(OFFSET($P35,0,BL$13),15-13*ORÇAMENTO!$AF$7)*OFFSET(ORÇAMENTO!$W$15,ROW(BL35)-ROW(BL$15),0),15-13*ORÇAMENTO!$AF$11)),
         0)</f>
        <v>0</v>
      </c>
      <c r="BM35" s="453">
        <f ca="1">IF(AND($D35="Serviço",BM$12&lt;&gt;0,$H35&gt;0,OR(AUTOEVENTO&lt;&gt;"manual",$M35&lt;&gt;$A$15)),
        IF(Import.TipoArredondamento&lt;&gt;"TransfereGOV",
              ROUND(OFFSET($P35,0,BM$13),15-13*ORÇAMENTO!$AF$7)/$H35*OFFSET(ORÇAMENTO!$X$15,ROW(BM35)-ROW(BM$15),0),
              ROUND(ROUND(OFFSET($P35,0,BM$13),15-13*ORÇAMENTO!$AF$7)*OFFSET(ORÇAMENTO!$W$15,ROW(BM35)-ROW(BM$15),0),15-13*ORÇAMENTO!$AF$11)),
         0)</f>
        <v>0</v>
      </c>
      <c r="BN35" s="453">
        <f ca="1">IF(AND($D35="Serviço",BN$12&lt;&gt;0,$H35&gt;0,OR(AUTOEVENTO&lt;&gt;"manual",$M35&lt;&gt;$A$15)),
        IF(Import.TipoArredondamento&lt;&gt;"TransfereGOV",
              ROUND(OFFSET($P35,0,BN$13),15-13*ORÇAMENTO!$AF$7)/$H35*OFFSET(ORÇAMENTO!$X$15,ROW(BN35)-ROW(BN$15),0),
              ROUND(ROUND(OFFSET($P35,0,BN$13),15-13*ORÇAMENTO!$AF$7)*OFFSET(ORÇAMENTO!$W$15,ROW(BN35)-ROW(BN$15),0),15-13*ORÇAMENTO!$AF$11)),
         0)</f>
        <v>0</v>
      </c>
      <c r="BO35" s="453">
        <f ca="1">IF(AND($D35="Serviço",BO$12&lt;&gt;0,$H35&gt;0,OR(AUTOEVENTO&lt;&gt;"manual",$M35&lt;&gt;$A$15)),
        IF(Import.TipoArredondamento&lt;&gt;"TransfereGOV",
              ROUND(OFFSET($P35,0,BO$13),15-13*ORÇAMENTO!$AF$7)/$H35*OFFSET(ORÇAMENTO!$X$15,ROW(BO35)-ROW(BO$15),0),
              ROUND(ROUND(OFFSET($P35,0,BO$13),15-13*ORÇAMENTO!$AF$7)*OFFSET(ORÇAMENTO!$W$15,ROW(BO35)-ROW(BO$15),0),15-13*ORÇAMENTO!$AF$11)),
         0)</f>
        <v>0</v>
      </c>
      <c r="BP35" s="453">
        <f ca="1">IF(AND($D35="Serviço",BP$12&lt;&gt;0,$H35&gt;0,OR(AUTOEVENTO&lt;&gt;"manual",$M35&lt;&gt;$A$15)),
        IF(Import.TipoArredondamento&lt;&gt;"TransfereGOV",
              ROUND(OFFSET($P35,0,BP$13),15-13*ORÇAMENTO!$AF$7)/$H35*OFFSET(ORÇAMENTO!$X$15,ROW(BP35)-ROW(BP$15),0),
              ROUND(ROUND(OFFSET($P35,0,BP$13),15-13*ORÇAMENTO!$AF$7)*OFFSET(ORÇAMENTO!$W$15,ROW(BP35)-ROW(BP$15),0),15-13*ORÇAMENTO!$AF$11)),
         0)</f>
        <v>0</v>
      </c>
      <c r="BQ35" s="453">
        <f ca="1">IF(AND($D35="Serviço",BQ$12&lt;&gt;0,$H35&gt;0,OR(AUTOEVENTO&lt;&gt;"manual",$M35&lt;&gt;$A$15)),
        IF(Import.TipoArredondamento&lt;&gt;"TransfereGOV",
              ROUND(OFFSET($P35,0,BQ$13),15-13*ORÇAMENTO!$AF$7)/$H35*OFFSET(ORÇAMENTO!$X$15,ROW(BQ35)-ROW(BQ$15),0),
              ROUND(ROUND(OFFSET($P35,0,BQ$13),15-13*ORÇAMENTO!$AF$7)*OFFSET(ORÇAMENTO!$W$15,ROW(BQ35)-ROW(BQ$15),0),15-13*ORÇAMENTO!$AF$11)),
         0)</f>
        <v>0</v>
      </c>
      <c r="BS35" s="171">
        <f ca="1">IF(OR($D35&lt;&gt;"Serviço",AND(AUTOEVENTO="Manual",$M35=$A$15)),0,
         IF(OFFSET(CRONOPLE!$F$15,$M35-$A$15,BS$13)=0,10^12,OFFSET(CRONOPLE!$F$15,$M35-$A$15,BS$13)))</f>
        <v>1</v>
      </c>
      <c r="BT35" s="171">
        <f ca="1">IF(OR($D35&lt;&gt;"Serviço",AND(AUTOEVENTO="Manual",$M35=$A$15)),0,
         IF(OFFSET(CRONOPLE!$F$15,$M35-$A$15,BT$13)=0,10^12,OFFSET(CRONOPLE!$F$15,$M35-$A$15,BT$13)))</f>
        <v>2</v>
      </c>
      <c r="BU35" s="171">
        <f ca="1">IF(OR($D35&lt;&gt;"Serviço",AND(AUTOEVENTO="Manual",$M35=$A$15)),0,
         IF(OFFSET(CRONOPLE!$F$15,$M35-$A$15,BU$13)=0,10^12,OFFSET(CRONOPLE!$F$15,$M35-$A$15,BU$13)))</f>
        <v>3</v>
      </c>
      <c r="BV35" s="171">
        <f ca="1">IF(OR($D35&lt;&gt;"Serviço",AND(AUTOEVENTO="Manual",$M35=$A$15)),0,
         IF(OFFSET(CRONOPLE!$F$15,$M35-$A$15,BV$13)=0,10^12,OFFSET(CRONOPLE!$F$15,$M35-$A$15,BV$13)))</f>
        <v>4</v>
      </c>
      <c r="BW35" s="171">
        <f ca="1">IF(OR($D35&lt;&gt;"Serviço",AND(AUTOEVENTO="Manual",$M35=$A$15)),0,
         IF(OFFSET(CRONOPLE!$F$15,$M35-$A$15,BW$13)=0,10^12,OFFSET(CRONOPLE!$F$15,$M35-$A$15,BW$13)))</f>
        <v>5</v>
      </c>
      <c r="BX35" s="171">
        <f ca="1">IF(OR($D35&lt;&gt;"Serviço",AND(AUTOEVENTO="Manual",$M35=$A$15)),0,
         IF(OFFSET(CRONOPLE!$F$15,$M35-$A$15,BX$13)=0,10^12,OFFSET(CRONOPLE!$F$15,$M35-$A$15,BX$13)))</f>
        <v>6</v>
      </c>
      <c r="BY35" s="171">
        <f ca="1">IF(OR($D35&lt;&gt;"Serviço",AND(AUTOEVENTO="Manual",$M35=$A$15)),0,
         IF(OFFSET(CRONOPLE!$F$15,$M35-$A$15,BY$13)=0,10^12,OFFSET(CRONOPLE!$F$15,$M35-$A$15,BY$13)))</f>
        <v>7</v>
      </c>
      <c r="BZ35" s="171">
        <f ca="1">IF(OR($D35&lt;&gt;"Serviço",AND(AUTOEVENTO="Manual",$M35=$A$15)),0,
         IF(OFFSET(CRONOPLE!$F$15,$M35-$A$15,BZ$13)=0,10^12,OFFSET(CRONOPLE!$F$15,$M35-$A$15,BZ$13)))</f>
        <v>8</v>
      </c>
      <c r="CA35" s="171">
        <f ca="1">IF(OR($D35&lt;&gt;"Serviço",AND(AUTOEVENTO="Manual",$M35=$A$15)),0,
         IF(OFFSET(CRONOPLE!$F$15,$M35-$A$15,CA$13)=0,10^12,OFFSET(CRONOPLE!$F$15,$M35-$A$15,CA$13)))</f>
        <v>9</v>
      </c>
      <c r="CB35" s="171">
        <f ca="1">IF(OR($D35&lt;&gt;"Serviço",AND(AUTOEVENTO="Manual",$M35=$A$15)),0,
         IF(OFFSET(CRONOPLE!$F$15,$M35-$A$15,CB$13)=0,10^12,OFFSET(CRONOPLE!$F$15,$M35-$A$15,CB$13)))</f>
        <v>10</v>
      </c>
      <c r="CC35" s="171">
        <f ca="1">IF(OR($D35&lt;&gt;"Serviço",AND(AUTOEVENTO="Manual",$M35=$A$15)),0,
         IF(OFFSET(CRONOPLE!$F$15,$M35-$A$15,CC$13)=0,10^12,OFFSET(CRONOPLE!$F$15,$M35-$A$15,CC$13)))</f>
        <v>11</v>
      </c>
      <c r="CD35" s="171">
        <f ca="1">IF(OR($D35&lt;&gt;"Serviço",AND(AUTOEVENTO="Manual",$M35=$A$15)),0,
         IF(OFFSET(CRONOPLE!$F$15,$M35-$A$15,CD$13)=0,10^12,OFFSET(CRONOPLE!$F$15,$M35-$A$15,CD$13)))</f>
        <v>12</v>
      </c>
      <c r="CE35" s="171">
        <f ca="1">IF(OR($D35&lt;&gt;"Serviço",AND(AUTOEVENTO="Manual",$M35=$A$15)),0,
         IF(OFFSET(CRONOPLE!$F$15,$M35-$A$15,CE$13)=0,10^12,OFFSET(CRONOPLE!$F$15,$M35-$A$15,CE$13)))</f>
        <v>13</v>
      </c>
      <c r="CF35" s="171">
        <f ca="1">IF(OR($D35&lt;&gt;"Serviço",AND(AUTOEVENTO="Manual",$M35=$A$15)),0,
         IF(OFFSET(CRONOPLE!$F$15,$M35-$A$15,CF$13)=0,10^12,OFFSET(CRONOPLE!$F$15,$M35-$A$15,CF$13)))</f>
        <v>14</v>
      </c>
      <c r="CG35" s="171">
        <f ca="1">IF(OR($D35&lt;&gt;"Serviço",AND(AUTOEVENTO="Manual",$M35=$A$15)),0,
         IF(OFFSET(CRONOPLE!$F$15,$M35-$A$15,CG$13)=0,10^12,OFFSET(CRONOPLE!$F$15,$M35-$A$15,CG$13)))</f>
        <v>15</v>
      </c>
      <c r="CH35" s="171">
        <f ca="1">IF(OR($D35&lt;&gt;"Serviço",AND(AUTOEVENTO="Manual",$M35=$A$15)),0,
         IF(OFFSET(CRONOPLE!$F$15,$M35-$A$15,CH$13)=0,10^12,OFFSET(CRONOPLE!$F$15,$M35-$A$15,CH$13)))</f>
        <v>16</v>
      </c>
      <c r="CI35" s="171">
        <f ca="1">IF(OR($D35&lt;&gt;"Serviço",AND(AUTOEVENTO="Manual",$M35=$A$15)),0,
         IF(OFFSET(CRONOPLE!$F$15,$M35-$A$15,CI$13)=0,10^12,OFFSET(CRONOPLE!$F$15,$M35-$A$15,CI$13)))</f>
        <v>17</v>
      </c>
      <c r="CJ35" s="171">
        <f ca="1">IF(OR($D35&lt;&gt;"Serviço",AND(AUTOEVENTO="Manual",$M35=$A$15)),0,
         IF(OFFSET(CRONOPLE!$F$15,$M35-$A$15,CJ$13)=0,10^12,OFFSET(CRONOPLE!$F$15,$M35-$A$15,CJ$13)))</f>
        <v>18</v>
      </c>
      <c r="CK35" s="171">
        <f ca="1">IF(OR($D35&lt;&gt;"Serviço",AND(AUTOEVENTO="Manual",$M35=$A$15)),0,
         IF(OFFSET(CRONOPLE!$F$15,$M35-$A$15,CK$13)=0,10^12,OFFSET(CRONOPLE!$F$15,$M35-$A$15,CK$13)))</f>
        <v>19</v>
      </c>
      <c r="CL35" s="171">
        <f ca="1">IF(OR($D35&lt;&gt;"Serviço",AND(AUTOEVENTO="Manual",$M35=$A$15)),0,
         IF(OFFSET(CRONOPLE!$F$15,$M35-$A$15,CL$13)=0,10^12,OFFSET(CRONOPLE!$F$15,$M35-$A$15,CL$13)))</f>
        <v>20</v>
      </c>
      <c r="CM35" s="171">
        <f ca="1">IF(OR($D35&lt;&gt;"Serviço",AND(AUTOEVENTO="Manual",$M35=$A$15)),0,
         IF(OFFSET(CRONOPLE!$F$15,$M35-$A$15,CM$13)=0,10^12,OFFSET(CRONOPLE!$F$15,$M35-$A$15,CM$13)))</f>
        <v>1000000000000</v>
      </c>
      <c r="CN35" s="171">
        <f ca="1">IF(OR($D35&lt;&gt;"Serviço",AND(AUTOEVENTO="Manual",$M35=$A$15)),0,
         IF(OFFSET(CRONOPLE!$F$15,$M35-$A$15,CN$13)=0,10^12,OFFSET(CRONOPLE!$F$15,$M35-$A$15,CN$13)))</f>
        <v>1000000000000</v>
      </c>
      <c r="CO35" s="171">
        <f ca="1">IF(OR($D35&lt;&gt;"Serviço",AND(AUTOEVENTO="Manual",$M35=$A$15)),0,
         IF(OFFSET(CRONOPLE!$F$15,$M35-$A$15,CO$13)=0,10^12,OFFSET(CRONOPLE!$F$15,$M35-$A$15,CO$13)))</f>
        <v>1000000000000</v>
      </c>
      <c r="CP35" s="171">
        <f ca="1">IF(OR($D35&lt;&gt;"Serviço",AND(AUTOEVENTO="Manual",$M35=$A$15)),0,
         IF(OFFSET(CRONOPLE!$F$15,$M35-$A$15,CP$13)=0,10^12,OFFSET(CRONOPLE!$F$15,$M35-$A$15,CP$13)))</f>
        <v>1000000000000</v>
      </c>
      <c r="CQ35" s="171">
        <f ca="1">IF(OR($D35&lt;&gt;"Serviço",AND(AUTOEVENTO="Manual",$M35=$A$15)),0,
         IF(OFFSET(CRONOPLE!$F$15,$M35-$A$15,CQ$13)=0,10^12,OFFSET(CRONOPLE!$F$15,$M35-$A$15,CQ$13)))</f>
        <v>1000000000000</v>
      </c>
      <c r="CR35" s="171">
        <f ca="1">IF(OR($D35&lt;&gt;"Serviço",AND(AUTOEVENTO="Manual",$M35=$A$15)),0,
         IF(OFFSET(CRONOPLE!$F$15,$M35-$A$15,CR$13)=0,10^12,OFFSET(CRONOPLE!$F$15,$M35-$A$15,CR$13)))</f>
        <v>1000000000000</v>
      </c>
      <c r="CT35" s="172" cm="1">
        <f t="array" aca="1" ref="CT35" ca="1">IF(OR($D35&lt;&gt;"Serviço",AND(AUTOEVENTO="Manual",$M35=$A$15),$M35&gt;(ROW(PLE.lastrow)-ROW(PLE.firstrow))),0,
           IF(OFFSET(PLE!$G$15,$M35-$A$15,CT$13)="",10^12,OFFSET(PLE!$G$15,$M35-$A$15,CT$13)))</f>
        <v>1000000000000</v>
      </c>
      <c r="CU35" s="172" cm="1">
        <f t="array" aca="1" ref="CU35" ca="1">IF(OR($D35&lt;&gt;"Serviço",AND(AUTOEVENTO="Manual",$M35=$A$15),$M35&gt;(ROW(PLE.lastrow)-ROW(PLE.firstrow))),0,
           IF(OFFSET(PLE!$G$15,$M35-$A$15,CU$13)="",10^12,OFFSET(PLE!$G$15,$M35-$A$15,CU$13)))</f>
        <v>1000000000000</v>
      </c>
      <c r="CV35" s="172" cm="1">
        <f t="array" aca="1" ref="CV35" ca="1">IF(OR($D35&lt;&gt;"Serviço",AND(AUTOEVENTO="Manual",$M35=$A$15),$M35&gt;(ROW(PLE.lastrow)-ROW(PLE.firstrow))),0,
           IF(OFFSET(PLE!$G$15,$M35-$A$15,CV$13)="",10^12,OFFSET(PLE!$G$15,$M35-$A$15,CV$13)))</f>
        <v>1000000000000</v>
      </c>
      <c r="CW35" s="172" cm="1">
        <f t="array" aca="1" ref="CW35" ca="1">IF(OR($D35&lt;&gt;"Serviço",AND(AUTOEVENTO="Manual",$M35=$A$15),$M35&gt;(ROW(PLE.lastrow)-ROW(PLE.firstrow))),0,
           IF(OFFSET(PLE!$G$15,$M35-$A$15,CW$13)="",10^12,OFFSET(PLE!$G$15,$M35-$A$15,CW$13)))</f>
        <v>1000000000000</v>
      </c>
      <c r="CX35" s="172" cm="1">
        <f t="array" aca="1" ref="CX35" ca="1">IF(OR($D35&lt;&gt;"Serviço",AND(AUTOEVENTO="Manual",$M35=$A$15),$M35&gt;(ROW(PLE.lastrow)-ROW(PLE.firstrow))),0,
           IF(OFFSET(PLE!$G$15,$M35-$A$15,CX$13)="",10^12,OFFSET(PLE!$G$15,$M35-$A$15,CX$13)))</f>
        <v>1000000000000</v>
      </c>
      <c r="CY35" s="172" cm="1">
        <f t="array" aca="1" ref="CY35" ca="1">IF(OR($D35&lt;&gt;"Serviço",AND(AUTOEVENTO="Manual",$M35=$A$15),$M35&gt;(ROW(PLE.lastrow)-ROW(PLE.firstrow))),0,
           IF(OFFSET(PLE!$G$15,$M35-$A$15,CY$13)="",10^12,OFFSET(PLE!$G$15,$M35-$A$15,CY$13)))</f>
        <v>1000000000000</v>
      </c>
      <c r="CZ35" s="172" cm="1">
        <f t="array" aca="1" ref="CZ35" ca="1">IF(OR($D35&lt;&gt;"Serviço",AND(AUTOEVENTO="Manual",$M35=$A$15),$M35&gt;(ROW(PLE.lastrow)-ROW(PLE.firstrow))),0,
           IF(OFFSET(PLE!$G$15,$M35-$A$15,CZ$13)="",10^12,OFFSET(PLE!$G$15,$M35-$A$15,CZ$13)))</f>
        <v>1000000000000</v>
      </c>
      <c r="DA35" s="172" cm="1">
        <f t="array" aca="1" ref="DA35" ca="1">IF(OR($D35&lt;&gt;"Serviço",AND(AUTOEVENTO="Manual",$M35=$A$15),$M35&gt;(ROW(PLE.lastrow)-ROW(PLE.firstrow))),0,
           IF(OFFSET(PLE!$G$15,$M35-$A$15,DA$13)="",10^12,OFFSET(PLE!$G$15,$M35-$A$15,DA$13)))</f>
        <v>1000000000000</v>
      </c>
      <c r="DB35" s="172" cm="1">
        <f t="array" aca="1" ref="DB35" ca="1">IF(OR($D35&lt;&gt;"Serviço",AND(AUTOEVENTO="Manual",$M35=$A$15),$M35&gt;(ROW(PLE.lastrow)-ROW(PLE.firstrow))),0,
           IF(OFFSET(PLE!$G$15,$M35-$A$15,DB$13)="",10^12,OFFSET(PLE!$G$15,$M35-$A$15,DB$13)))</f>
        <v>1000000000000</v>
      </c>
      <c r="DC35" s="172" cm="1">
        <f t="array" aca="1" ref="DC35" ca="1">IF(OR($D35&lt;&gt;"Serviço",AND(AUTOEVENTO="Manual",$M35=$A$15),$M35&gt;(ROW(PLE.lastrow)-ROW(PLE.firstrow))),0,
           IF(OFFSET(PLE!$G$15,$M35-$A$15,DC$13)="",10^12,OFFSET(PLE!$G$15,$M35-$A$15,DC$13)))</f>
        <v>1000000000000</v>
      </c>
      <c r="DD35" s="172" cm="1">
        <f t="array" aca="1" ref="DD35" ca="1">IF(OR($D35&lt;&gt;"Serviço",AND(AUTOEVENTO="Manual",$M35=$A$15),$M35&gt;(ROW(PLE.lastrow)-ROW(PLE.firstrow))),0,
           IF(OFFSET(PLE!$G$15,$M35-$A$15,DD$13)="",10^12,OFFSET(PLE!$G$15,$M35-$A$15,DD$13)))</f>
        <v>1000000000000</v>
      </c>
      <c r="DE35" s="172" cm="1">
        <f t="array" aca="1" ref="DE35" ca="1">IF(OR($D35&lt;&gt;"Serviço",AND(AUTOEVENTO="Manual",$M35=$A$15),$M35&gt;(ROW(PLE.lastrow)-ROW(PLE.firstrow))),0,
           IF(OFFSET(PLE!$G$15,$M35-$A$15,DE$13)="",10^12,OFFSET(PLE!$G$15,$M35-$A$15,DE$13)))</f>
        <v>1000000000000</v>
      </c>
      <c r="DF35" s="172" cm="1">
        <f t="array" aca="1" ref="DF35" ca="1">IF(OR($D35&lt;&gt;"Serviço",AND(AUTOEVENTO="Manual",$M35=$A$15),$M35&gt;(ROW(PLE.lastrow)-ROW(PLE.firstrow))),0,
           IF(OFFSET(PLE!$G$15,$M35-$A$15,DF$13)="",10^12,OFFSET(PLE!$G$15,$M35-$A$15,DF$13)))</f>
        <v>1000000000000</v>
      </c>
      <c r="DG35" s="172" cm="1">
        <f t="array" aca="1" ref="DG35" ca="1">IF(OR($D35&lt;&gt;"Serviço",AND(AUTOEVENTO="Manual",$M35=$A$15),$M35&gt;(ROW(PLE.lastrow)-ROW(PLE.firstrow))),0,
           IF(OFFSET(PLE!$G$15,$M35-$A$15,DG$13)="",10^12,OFFSET(PLE!$G$15,$M35-$A$15,DG$13)))</f>
        <v>1000000000000</v>
      </c>
      <c r="DH35" s="172" cm="1">
        <f t="array" aca="1" ref="DH35" ca="1">IF(OR($D35&lt;&gt;"Serviço",AND(AUTOEVENTO="Manual",$M35=$A$15),$M35&gt;(ROW(PLE.lastrow)-ROW(PLE.firstrow))),0,
           IF(OFFSET(PLE!$G$15,$M35-$A$15,DH$13)="",10^12,OFFSET(PLE!$G$15,$M35-$A$15,DH$13)))</f>
        <v>1000000000000</v>
      </c>
      <c r="DI35" s="172" cm="1">
        <f t="array" aca="1" ref="DI35" ca="1">IF(OR($D35&lt;&gt;"Serviço",AND(AUTOEVENTO="Manual",$M35=$A$15),$M35&gt;(ROW(PLE.lastrow)-ROW(PLE.firstrow))),0,
           IF(OFFSET(PLE!$G$15,$M35-$A$15,DI$13)="",10^12,OFFSET(PLE!$G$15,$M35-$A$15,DI$13)))</f>
        <v>1000000000000</v>
      </c>
      <c r="DJ35" s="172" cm="1">
        <f t="array" aca="1" ref="DJ35" ca="1">IF(OR($D35&lt;&gt;"Serviço",AND(AUTOEVENTO="Manual",$M35=$A$15),$M35&gt;(ROW(PLE.lastrow)-ROW(PLE.firstrow))),0,
           IF(OFFSET(PLE!$G$15,$M35-$A$15,DJ$13)="",10^12,OFFSET(PLE!$G$15,$M35-$A$15,DJ$13)))</f>
        <v>1000000000000</v>
      </c>
      <c r="DK35" s="172" cm="1">
        <f t="array" aca="1" ref="DK35" ca="1">IF(OR($D35&lt;&gt;"Serviço",AND(AUTOEVENTO="Manual",$M35=$A$15),$M35&gt;(ROW(PLE.lastrow)-ROW(PLE.firstrow))),0,
           IF(OFFSET(PLE!$G$15,$M35-$A$15,DK$13)="",10^12,OFFSET(PLE!$G$15,$M35-$A$15,DK$13)))</f>
        <v>1000000000000</v>
      </c>
      <c r="DL35" s="172" cm="1">
        <f t="array" aca="1" ref="DL35" ca="1">IF(OR($D35&lt;&gt;"Serviço",AND(AUTOEVENTO="Manual",$M35=$A$15),$M35&gt;(ROW(PLE.lastrow)-ROW(PLE.firstrow))),0,
           IF(OFFSET(PLE!$G$15,$M35-$A$15,DL$13)="",10^12,OFFSET(PLE!$G$15,$M35-$A$15,DL$13)))</f>
        <v>1000000000000</v>
      </c>
      <c r="DM35" s="172" cm="1">
        <f t="array" aca="1" ref="DM35" ca="1">IF(OR($D35&lt;&gt;"Serviço",AND(AUTOEVENTO="Manual",$M35=$A$15),$M35&gt;(ROW(PLE.lastrow)-ROW(PLE.firstrow))),0,
           IF(OFFSET(PLE!$G$15,$M35-$A$15,DM$13)="",10^12,OFFSET(PLE!$G$15,$M35-$A$15,DM$13)))</f>
        <v>1000000000000</v>
      </c>
      <c r="DN35" s="172" cm="1">
        <f t="array" aca="1" ref="DN35" ca="1">IF(OR($D35&lt;&gt;"Serviço",AND(AUTOEVENTO="Manual",$M35=$A$15),$M35&gt;(ROW(PLE.lastrow)-ROW(PLE.firstrow))),0,
           IF(OFFSET(PLE!$G$15,$M35-$A$15,DN$13)="",10^12,OFFSET(PLE!$G$15,$M35-$A$15,DN$13)))</f>
        <v>1000000000000</v>
      </c>
      <c r="DO35" s="172" cm="1">
        <f t="array" aca="1" ref="DO35" ca="1">IF(OR($D35&lt;&gt;"Serviço",AND(AUTOEVENTO="Manual",$M35=$A$15),$M35&gt;(ROW(PLE.lastrow)-ROW(PLE.firstrow))),0,
           IF(OFFSET(PLE!$G$15,$M35-$A$15,DO$13)="",10^12,OFFSET(PLE!$G$15,$M35-$A$15,DO$13)))</f>
        <v>1000000000000</v>
      </c>
      <c r="DP35" s="172" cm="1">
        <f t="array" aca="1" ref="DP35" ca="1">IF(OR($D35&lt;&gt;"Serviço",AND(AUTOEVENTO="Manual",$M35=$A$15),$M35&gt;(ROW(PLE.lastrow)-ROW(PLE.firstrow))),0,
           IF(OFFSET(PLE!$G$15,$M35-$A$15,DP$13)="",10^12,OFFSET(PLE!$G$15,$M35-$A$15,DP$13)))</f>
        <v>1000000000000</v>
      </c>
      <c r="DQ35" s="172" cm="1">
        <f t="array" aca="1" ref="DQ35" ca="1">IF(OR($D35&lt;&gt;"Serviço",AND(AUTOEVENTO="Manual",$M35=$A$15),$M35&gt;(ROW(PLE.lastrow)-ROW(PLE.firstrow))),0,
           IF(OFFSET(PLE!$G$15,$M35-$A$15,DQ$13)="",10^12,OFFSET(PLE!$G$15,$M35-$A$15,DQ$13)))</f>
        <v>1000000000000</v>
      </c>
      <c r="DR35" s="172" cm="1">
        <f t="array" aca="1" ref="DR35" ca="1">IF(OR($D35&lt;&gt;"Serviço",AND(AUTOEVENTO="Manual",$M35=$A$15),$M35&gt;(ROW(PLE.lastrow)-ROW(PLE.firstrow))),0,
           IF(OFFSET(PLE!$G$15,$M35-$A$15,DR$13)="",10^12,OFFSET(PLE!$G$15,$M35-$A$15,DR$13)))</f>
        <v>1000000000000</v>
      </c>
      <c r="DS35" s="172" cm="1">
        <f t="array" aca="1" ref="DS35" ca="1">IF(OR($D35&lt;&gt;"Serviço",AND(AUTOEVENTO="Manual",$M35=$A$15),$M35&gt;(ROW(PLE.lastrow)-ROW(PLE.firstrow))),0,
           IF(OFFSET(PLE!$G$15,$M35-$A$15,DS$13)="",10^12,OFFSET(PLE!$G$15,$M35-$A$15,DS$13)))</f>
        <v>1000000000000</v>
      </c>
    </row>
    <row r="36" spans="1:123" ht="12.75" x14ac:dyDescent="0.2">
      <c r="A36" s="7">
        <f t="shared" ca="1" si="11"/>
        <v>0</v>
      </c>
      <c r="B36" s="7">
        <f ca="1">OFFSET(ORÇAMENTO!C$15,$L36,0)</f>
        <v>2</v>
      </c>
      <c r="C36" s="7" t="str">
        <f ca="1">OFFSET(ORÇAMENTO!L$15,$L36,0)</f>
        <v>F</v>
      </c>
      <c r="D36" s="116" t="str">
        <f ca="1">OFFSET(ORÇAMENTO!N$15,$L36,0)</f>
        <v>Nível 2</v>
      </c>
      <c r="E36" s="117" t="str">
        <f ca="1">OFFSET(ORÇAMENTO!O$15,$L36,0)</f>
        <v>3.2.</v>
      </c>
      <c r="F36" s="163" t="str">
        <f ca="1">OFFSET(ORÇAMENTO!R$15,$L36,0)</f>
        <v>BALDRAMES</v>
      </c>
      <c r="G36" s="164" t="str">
        <f ca="1">IF($D36&lt;&gt;"Serviço","",OFFSET(ORÇAMENTO!S$15,$L36,0))</f>
        <v/>
      </c>
      <c r="H36" s="122" cm="1">
        <f t="array" aca="1" ref="H36" ca="1">IF($D36&lt;&gt;"Serviço",0,IF(ACOMPANHAMENTO="BM",ROUND(OFFSET(ORÇAMENTO!AJ$15,$L36,0),15-13*ORÇAMENTO!$AF$7),IF(IFERROR(CÁLCULO.FrentesPreenchidas,0)=0,0,SUM(ROUND(OFFSET($P36,0,1,1,CÁLCULO.FrentesPreenchidas),15-13*ORÇAMENTO!$AF$7)))))</f>
        <v>0</v>
      </c>
      <c r="I36" s="468"/>
      <c r="J36" s="651" t="str" cm="1">
        <f t="array" aca="1" ref="J36" ca="1">IF(OR(B36&lt;&gt;"S",CÁLCULO.FrentesPreenchidas=0),"",IF(AND(ACOMPANHAMENTO="PLE",AUTOEVENTO="Manual",OR(H36&gt;0,ORÇAMENTO!AC36="QUANT."),OR(K36="",M36=0,N36="")),"►E",IF(AND(ACOMPANHAMENTO="PLE",ORÇAMENTO!AC36="QUANT."),"►Q",IF(AND(ACOMPANHAMENTO="PLE",H36&lt;&gt;SUMPRODUCT(($Q$1:$AQ$1=1)*ROUND(Q36:AQ36,15))),"►S",IF(AND(COUNTIF($P$11:$AQ$11,"▼")=0,H36&gt;0,I36=""),"◄M","")))))</f>
        <v/>
      </c>
      <c r="K36" s="652"/>
      <c r="L36" s="165">
        <f t="shared" ca="1" si="12"/>
        <v>21</v>
      </c>
      <c r="M36" s="166" t="str">
        <f ca="1">IF($D36&lt;&gt;"Serviço","",
          IF(AUTOEVENTO="manual",$A36,
                IF(ISERROR(MATCH($A36,$A$15:OFFSET($A36,-1,0),0)),MAX($M$15:OFFSET(M36,-1,0))+1,
                      INDEX($M$15:OFFSET(M36,-1,0),MATCH($A36,$A$15:OFFSET($A36,-1,0),0)))))</f>
        <v/>
      </c>
      <c r="N36" s="167" t="str">
        <f ca="1">IF($D36&lt;&gt;"Serviço","",
         IF(AUTOEVENTO="Manual",
                IF($A36=0,"&lt;-- defina o número do agrupador",
                       OFFSET(EVENTOS!$D$15,$A36-$A$15,0)),
                OFFSET($F$15,$A36,0)))</f>
        <v/>
      </c>
      <c r="O36" s="168"/>
      <c r="Q36" s="168"/>
      <c r="R36" s="169"/>
      <c r="S36" s="169"/>
      <c r="T36" s="169"/>
      <c r="U36" s="169"/>
      <c r="V36" s="169"/>
      <c r="W36" s="169"/>
      <c r="X36" s="169"/>
      <c r="Y36" s="169"/>
      <c r="Z36" s="170"/>
      <c r="AA36" s="169"/>
      <c r="AB36" s="169"/>
      <c r="AC36" s="169"/>
      <c r="AD36" s="169"/>
      <c r="AE36" s="169"/>
      <c r="AF36" s="169"/>
      <c r="AG36" s="169"/>
      <c r="AH36" s="170"/>
      <c r="AI36" s="169"/>
      <c r="AJ36" s="169"/>
      <c r="AK36" s="169"/>
      <c r="AL36" s="169"/>
      <c r="AM36" s="169"/>
      <c r="AN36" s="169"/>
      <c r="AO36" s="169"/>
      <c r="AP36" s="170"/>
      <c r="AR36" s="453">
        <f ca="1">IF(AND($D36="Serviço",AR$12&lt;&gt;0,$H36&gt;0,OR(AUTOEVENTO&lt;&gt;"manual",$M36&lt;&gt;$A$15)),
        IF(Import.TipoArredondamento&lt;&gt;"TransfereGOV",
              ROUND(OFFSET($P36,0,AR$13),15-13*ORÇAMENTO!$AF$7)/$H36*OFFSET(ORÇAMENTO!$X$15,ROW(AR36)-ROW(AR$15),0),
              ROUND(ROUND(OFFSET($P36,0,AR$13),15-13*ORÇAMENTO!$AF$7)*OFFSET(ORÇAMENTO!$W$15,ROW(AR36)-ROW(AR$15),0),15-13*ORÇAMENTO!$AF$11)),
         0)</f>
        <v>0</v>
      </c>
      <c r="AS36" s="453">
        <f ca="1">IF(AND($D36="Serviço",AS$12&lt;&gt;0,$H36&gt;0,OR(AUTOEVENTO&lt;&gt;"manual",$M36&lt;&gt;$A$15)),
        IF(Import.TipoArredondamento&lt;&gt;"TransfereGOV",
              ROUND(OFFSET($P36,0,AS$13),15-13*ORÇAMENTO!$AF$7)/$H36*OFFSET(ORÇAMENTO!$X$15,ROW(AS36)-ROW(AS$15),0),
              ROUND(ROUND(OFFSET($P36,0,AS$13),15-13*ORÇAMENTO!$AF$7)*OFFSET(ORÇAMENTO!$W$15,ROW(AS36)-ROW(AS$15),0),15-13*ORÇAMENTO!$AF$11)),
         0)</f>
        <v>0</v>
      </c>
      <c r="AT36" s="453">
        <f ca="1">IF(AND($D36="Serviço",AT$12&lt;&gt;0,$H36&gt;0,OR(AUTOEVENTO&lt;&gt;"manual",$M36&lt;&gt;$A$15)),
        IF(Import.TipoArredondamento&lt;&gt;"TransfereGOV",
              ROUND(OFFSET($P36,0,AT$13),15-13*ORÇAMENTO!$AF$7)/$H36*OFFSET(ORÇAMENTO!$X$15,ROW(AT36)-ROW(AT$15),0),
              ROUND(ROUND(OFFSET($P36,0,AT$13),15-13*ORÇAMENTO!$AF$7)*OFFSET(ORÇAMENTO!$W$15,ROW(AT36)-ROW(AT$15),0),15-13*ORÇAMENTO!$AF$11)),
         0)</f>
        <v>0</v>
      </c>
      <c r="AU36" s="453">
        <f ca="1">IF(AND($D36="Serviço",AU$12&lt;&gt;0,$H36&gt;0,OR(AUTOEVENTO&lt;&gt;"manual",$M36&lt;&gt;$A$15)),
        IF(Import.TipoArredondamento&lt;&gt;"TransfereGOV",
              ROUND(OFFSET($P36,0,AU$13),15-13*ORÇAMENTO!$AF$7)/$H36*OFFSET(ORÇAMENTO!$X$15,ROW(AU36)-ROW(AU$15),0),
              ROUND(ROUND(OFFSET($P36,0,AU$13),15-13*ORÇAMENTO!$AF$7)*OFFSET(ORÇAMENTO!$W$15,ROW(AU36)-ROW(AU$15),0),15-13*ORÇAMENTO!$AF$11)),
         0)</f>
        <v>0</v>
      </c>
      <c r="AV36" s="453">
        <f ca="1">IF(AND($D36="Serviço",AV$12&lt;&gt;0,$H36&gt;0,OR(AUTOEVENTO&lt;&gt;"manual",$M36&lt;&gt;$A$15)),
        IF(Import.TipoArredondamento&lt;&gt;"TransfereGOV",
              ROUND(OFFSET($P36,0,AV$13),15-13*ORÇAMENTO!$AF$7)/$H36*OFFSET(ORÇAMENTO!$X$15,ROW(AV36)-ROW(AV$15),0),
              ROUND(ROUND(OFFSET($P36,0,AV$13),15-13*ORÇAMENTO!$AF$7)*OFFSET(ORÇAMENTO!$W$15,ROW(AV36)-ROW(AV$15),0),15-13*ORÇAMENTO!$AF$11)),
         0)</f>
        <v>0</v>
      </c>
      <c r="AW36" s="453">
        <f ca="1">IF(AND($D36="Serviço",AW$12&lt;&gt;0,$H36&gt;0,OR(AUTOEVENTO&lt;&gt;"manual",$M36&lt;&gt;$A$15)),
        IF(Import.TipoArredondamento&lt;&gt;"TransfereGOV",
              ROUND(OFFSET($P36,0,AW$13),15-13*ORÇAMENTO!$AF$7)/$H36*OFFSET(ORÇAMENTO!$X$15,ROW(AW36)-ROW(AW$15),0),
              ROUND(ROUND(OFFSET($P36,0,AW$13),15-13*ORÇAMENTO!$AF$7)*OFFSET(ORÇAMENTO!$W$15,ROW(AW36)-ROW(AW$15),0),15-13*ORÇAMENTO!$AF$11)),
         0)</f>
        <v>0</v>
      </c>
      <c r="AX36" s="453">
        <f ca="1">IF(AND($D36="Serviço",AX$12&lt;&gt;0,$H36&gt;0,OR(AUTOEVENTO&lt;&gt;"manual",$M36&lt;&gt;$A$15)),
        IF(Import.TipoArredondamento&lt;&gt;"TransfereGOV",
              ROUND(OFFSET($P36,0,AX$13),15-13*ORÇAMENTO!$AF$7)/$H36*OFFSET(ORÇAMENTO!$X$15,ROW(AX36)-ROW(AX$15),0),
              ROUND(ROUND(OFFSET($P36,0,AX$13),15-13*ORÇAMENTO!$AF$7)*OFFSET(ORÇAMENTO!$W$15,ROW(AX36)-ROW(AX$15),0),15-13*ORÇAMENTO!$AF$11)),
         0)</f>
        <v>0</v>
      </c>
      <c r="AY36" s="453">
        <f ca="1">IF(AND($D36="Serviço",AY$12&lt;&gt;0,$H36&gt;0,OR(AUTOEVENTO&lt;&gt;"manual",$M36&lt;&gt;$A$15)),
        IF(Import.TipoArredondamento&lt;&gt;"TransfereGOV",
              ROUND(OFFSET($P36,0,AY$13),15-13*ORÇAMENTO!$AF$7)/$H36*OFFSET(ORÇAMENTO!$X$15,ROW(AY36)-ROW(AY$15),0),
              ROUND(ROUND(OFFSET($P36,0,AY$13),15-13*ORÇAMENTO!$AF$7)*OFFSET(ORÇAMENTO!$W$15,ROW(AY36)-ROW(AY$15),0),15-13*ORÇAMENTO!$AF$11)),
         0)</f>
        <v>0</v>
      </c>
      <c r="AZ36" s="453">
        <f ca="1">IF(AND($D36="Serviço",AZ$12&lt;&gt;0,$H36&gt;0,OR(AUTOEVENTO&lt;&gt;"manual",$M36&lt;&gt;$A$15)),
        IF(Import.TipoArredondamento&lt;&gt;"TransfereGOV",
              ROUND(OFFSET($P36,0,AZ$13),15-13*ORÇAMENTO!$AF$7)/$H36*OFFSET(ORÇAMENTO!$X$15,ROW(AZ36)-ROW(AZ$15),0),
              ROUND(ROUND(OFFSET($P36,0,AZ$13),15-13*ORÇAMENTO!$AF$7)*OFFSET(ORÇAMENTO!$W$15,ROW(AZ36)-ROW(AZ$15),0),15-13*ORÇAMENTO!$AF$11)),
         0)</f>
        <v>0</v>
      </c>
      <c r="BA36" s="453">
        <f ca="1">IF(AND($D36="Serviço",BA$12&lt;&gt;0,$H36&gt;0,OR(AUTOEVENTO&lt;&gt;"manual",$M36&lt;&gt;$A$15)),
        IF(Import.TipoArredondamento&lt;&gt;"TransfereGOV",
              ROUND(OFFSET($P36,0,BA$13),15-13*ORÇAMENTO!$AF$7)/$H36*OFFSET(ORÇAMENTO!$X$15,ROW(BA36)-ROW(BA$15),0),
              ROUND(ROUND(OFFSET($P36,0,BA$13),15-13*ORÇAMENTO!$AF$7)*OFFSET(ORÇAMENTO!$W$15,ROW(BA36)-ROW(BA$15),0),15-13*ORÇAMENTO!$AF$11)),
         0)</f>
        <v>0</v>
      </c>
      <c r="BB36" s="453">
        <f ca="1">IF(AND($D36="Serviço",BB$12&lt;&gt;0,$H36&gt;0,OR(AUTOEVENTO&lt;&gt;"manual",$M36&lt;&gt;$A$15)),
        IF(Import.TipoArredondamento&lt;&gt;"TransfereGOV",
              ROUND(OFFSET($P36,0,BB$13),15-13*ORÇAMENTO!$AF$7)/$H36*OFFSET(ORÇAMENTO!$X$15,ROW(BB36)-ROW(BB$15),0),
              ROUND(ROUND(OFFSET($P36,0,BB$13),15-13*ORÇAMENTO!$AF$7)*OFFSET(ORÇAMENTO!$W$15,ROW(BB36)-ROW(BB$15),0),15-13*ORÇAMENTO!$AF$11)),
         0)</f>
        <v>0</v>
      </c>
      <c r="BC36" s="453">
        <f ca="1">IF(AND($D36="Serviço",BC$12&lt;&gt;0,$H36&gt;0,OR(AUTOEVENTO&lt;&gt;"manual",$M36&lt;&gt;$A$15)),
        IF(Import.TipoArredondamento&lt;&gt;"TransfereGOV",
              ROUND(OFFSET($P36,0,BC$13),15-13*ORÇAMENTO!$AF$7)/$H36*OFFSET(ORÇAMENTO!$X$15,ROW(BC36)-ROW(BC$15),0),
              ROUND(ROUND(OFFSET($P36,0,BC$13),15-13*ORÇAMENTO!$AF$7)*OFFSET(ORÇAMENTO!$W$15,ROW(BC36)-ROW(BC$15),0),15-13*ORÇAMENTO!$AF$11)),
         0)</f>
        <v>0</v>
      </c>
      <c r="BD36" s="453">
        <f ca="1">IF(AND($D36="Serviço",BD$12&lt;&gt;0,$H36&gt;0,OR(AUTOEVENTO&lt;&gt;"manual",$M36&lt;&gt;$A$15)),
        IF(Import.TipoArredondamento&lt;&gt;"TransfereGOV",
              ROUND(OFFSET($P36,0,BD$13),15-13*ORÇAMENTO!$AF$7)/$H36*OFFSET(ORÇAMENTO!$X$15,ROW(BD36)-ROW(BD$15),0),
              ROUND(ROUND(OFFSET($P36,0,BD$13),15-13*ORÇAMENTO!$AF$7)*OFFSET(ORÇAMENTO!$W$15,ROW(BD36)-ROW(BD$15),0),15-13*ORÇAMENTO!$AF$11)),
         0)</f>
        <v>0</v>
      </c>
      <c r="BE36" s="453">
        <f ca="1">IF(AND($D36="Serviço",BE$12&lt;&gt;0,$H36&gt;0,OR(AUTOEVENTO&lt;&gt;"manual",$M36&lt;&gt;$A$15)),
        IF(Import.TipoArredondamento&lt;&gt;"TransfereGOV",
              ROUND(OFFSET($P36,0,BE$13),15-13*ORÇAMENTO!$AF$7)/$H36*OFFSET(ORÇAMENTO!$X$15,ROW(BE36)-ROW(BE$15),0),
              ROUND(ROUND(OFFSET($P36,0,BE$13),15-13*ORÇAMENTO!$AF$7)*OFFSET(ORÇAMENTO!$W$15,ROW(BE36)-ROW(BE$15),0),15-13*ORÇAMENTO!$AF$11)),
         0)</f>
        <v>0</v>
      </c>
      <c r="BF36" s="453">
        <f ca="1">IF(AND($D36="Serviço",BF$12&lt;&gt;0,$H36&gt;0,OR(AUTOEVENTO&lt;&gt;"manual",$M36&lt;&gt;$A$15)),
        IF(Import.TipoArredondamento&lt;&gt;"TransfereGOV",
              ROUND(OFFSET($P36,0,BF$13),15-13*ORÇAMENTO!$AF$7)/$H36*OFFSET(ORÇAMENTO!$X$15,ROW(BF36)-ROW(BF$15),0),
              ROUND(ROUND(OFFSET($P36,0,BF$13),15-13*ORÇAMENTO!$AF$7)*OFFSET(ORÇAMENTO!$W$15,ROW(BF36)-ROW(BF$15),0),15-13*ORÇAMENTO!$AF$11)),
         0)</f>
        <v>0</v>
      </c>
      <c r="BG36" s="453">
        <f ca="1">IF(AND($D36="Serviço",BG$12&lt;&gt;0,$H36&gt;0,OR(AUTOEVENTO&lt;&gt;"manual",$M36&lt;&gt;$A$15)),
        IF(Import.TipoArredondamento&lt;&gt;"TransfereGOV",
              ROUND(OFFSET($P36,0,BG$13),15-13*ORÇAMENTO!$AF$7)/$H36*OFFSET(ORÇAMENTO!$X$15,ROW(BG36)-ROW(BG$15),0),
              ROUND(ROUND(OFFSET($P36,0,BG$13),15-13*ORÇAMENTO!$AF$7)*OFFSET(ORÇAMENTO!$W$15,ROW(BG36)-ROW(BG$15),0),15-13*ORÇAMENTO!$AF$11)),
         0)</f>
        <v>0</v>
      </c>
      <c r="BH36" s="453">
        <f ca="1">IF(AND($D36="Serviço",BH$12&lt;&gt;0,$H36&gt;0,OR(AUTOEVENTO&lt;&gt;"manual",$M36&lt;&gt;$A$15)),
        IF(Import.TipoArredondamento&lt;&gt;"TransfereGOV",
              ROUND(OFFSET($P36,0,BH$13),15-13*ORÇAMENTO!$AF$7)/$H36*OFFSET(ORÇAMENTO!$X$15,ROW(BH36)-ROW(BH$15),0),
              ROUND(ROUND(OFFSET($P36,0,BH$13),15-13*ORÇAMENTO!$AF$7)*OFFSET(ORÇAMENTO!$W$15,ROW(BH36)-ROW(BH$15),0),15-13*ORÇAMENTO!$AF$11)),
         0)</f>
        <v>0</v>
      </c>
      <c r="BI36" s="453">
        <f ca="1">IF(AND($D36="Serviço",BI$12&lt;&gt;0,$H36&gt;0,OR(AUTOEVENTO&lt;&gt;"manual",$M36&lt;&gt;$A$15)),
        IF(Import.TipoArredondamento&lt;&gt;"TransfereGOV",
              ROUND(OFFSET($P36,0,BI$13),15-13*ORÇAMENTO!$AF$7)/$H36*OFFSET(ORÇAMENTO!$X$15,ROW(BI36)-ROW(BI$15),0),
              ROUND(ROUND(OFFSET($P36,0,BI$13),15-13*ORÇAMENTO!$AF$7)*OFFSET(ORÇAMENTO!$W$15,ROW(BI36)-ROW(BI$15),0),15-13*ORÇAMENTO!$AF$11)),
         0)</f>
        <v>0</v>
      </c>
      <c r="BJ36" s="453">
        <f ca="1">IF(AND($D36="Serviço",BJ$12&lt;&gt;0,$H36&gt;0,OR(AUTOEVENTO&lt;&gt;"manual",$M36&lt;&gt;$A$15)),
        IF(Import.TipoArredondamento&lt;&gt;"TransfereGOV",
              ROUND(OFFSET($P36,0,BJ$13),15-13*ORÇAMENTO!$AF$7)/$H36*OFFSET(ORÇAMENTO!$X$15,ROW(BJ36)-ROW(BJ$15),0),
              ROUND(ROUND(OFFSET($P36,0,BJ$13),15-13*ORÇAMENTO!$AF$7)*OFFSET(ORÇAMENTO!$W$15,ROW(BJ36)-ROW(BJ$15),0),15-13*ORÇAMENTO!$AF$11)),
         0)</f>
        <v>0</v>
      </c>
      <c r="BK36" s="453">
        <f ca="1">IF(AND($D36="Serviço",BK$12&lt;&gt;0,$H36&gt;0,OR(AUTOEVENTO&lt;&gt;"manual",$M36&lt;&gt;$A$15)),
        IF(Import.TipoArredondamento&lt;&gt;"TransfereGOV",
              ROUND(OFFSET($P36,0,BK$13),15-13*ORÇAMENTO!$AF$7)/$H36*OFFSET(ORÇAMENTO!$X$15,ROW(BK36)-ROW(BK$15),0),
              ROUND(ROUND(OFFSET($P36,0,BK$13),15-13*ORÇAMENTO!$AF$7)*OFFSET(ORÇAMENTO!$W$15,ROW(BK36)-ROW(BK$15),0),15-13*ORÇAMENTO!$AF$11)),
         0)</f>
        <v>0</v>
      </c>
      <c r="BL36" s="453">
        <f ca="1">IF(AND($D36="Serviço",BL$12&lt;&gt;0,$H36&gt;0,OR(AUTOEVENTO&lt;&gt;"manual",$M36&lt;&gt;$A$15)),
        IF(Import.TipoArredondamento&lt;&gt;"TransfereGOV",
              ROUND(OFFSET($P36,0,BL$13),15-13*ORÇAMENTO!$AF$7)/$H36*OFFSET(ORÇAMENTO!$X$15,ROW(BL36)-ROW(BL$15),0),
              ROUND(ROUND(OFFSET($P36,0,BL$13),15-13*ORÇAMENTO!$AF$7)*OFFSET(ORÇAMENTO!$W$15,ROW(BL36)-ROW(BL$15),0),15-13*ORÇAMENTO!$AF$11)),
         0)</f>
        <v>0</v>
      </c>
      <c r="BM36" s="453">
        <f ca="1">IF(AND($D36="Serviço",BM$12&lt;&gt;0,$H36&gt;0,OR(AUTOEVENTO&lt;&gt;"manual",$M36&lt;&gt;$A$15)),
        IF(Import.TipoArredondamento&lt;&gt;"TransfereGOV",
              ROUND(OFFSET($P36,0,BM$13),15-13*ORÇAMENTO!$AF$7)/$H36*OFFSET(ORÇAMENTO!$X$15,ROW(BM36)-ROW(BM$15),0),
              ROUND(ROUND(OFFSET($P36,0,BM$13),15-13*ORÇAMENTO!$AF$7)*OFFSET(ORÇAMENTO!$W$15,ROW(BM36)-ROW(BM$15),0),15-13*ORÇAMENTO!$AF$11)),
         0)</f>
        <v>0</v>
      </c>
      <c r="BN36" s="453">
        <f ca="1">IF(AND($D36="Serviço",BN$12&lt;&gt;0,$H36&gt;0,OR(AUTOEVENTO&lt;&gt;"manual",$M36&lt;&gt;$A$15)),
        IF(Import.TipoArredondamento&lt;&gt;"TransfereGOV",
              ROUND(OFFSET($P36,0,BN$13),15-13*ORÇAMENTO!$AF$7)/$H36*OFFSET(ORÇAMENTO!$X$15,ROW(BN36)-ROW(BN$15),0),
              ROUND(ROUND(OFFSET($P36,0,BN$13),15-13*ORÇAMENTO!$AF$7)*OFFSET(ORÇAMENTO!$W$15,ROW(BN36)-ROW(BN$15),0),15-13*ORÇAMENTO!$AF$11)),
         0)</f>
        <v>0</v>
      </c>
      <c r="BO36" s="453">
        <f ca="1">IF(AND($D36="Serviço",BO$12&lt;&gt;0,$H36&gt;0,OR(AUTOEVENTO&lt;&gt;"manual",$M36&lt;&gt;$A$15)),
        IF(Import.TipoArredondamento&lt;&gt;"TransfereGOV",
              ROUND(OFFSET($P36,0,BO$13),15-13*ORÇAMENTO!$AF$7)/$H36*OFFSET(ORÇAMENTO!$X$15,ROW(BO36)-ROW(BO$15),0),
              ROUND(ROUND(OFFSET($P36,0,BO$13),15-13*ORÇAMENTO!$AF$7)*OFFSET(ORÇAMENTO!$W$15,ROW(BO36)-ROW(BO$15),0),15-13*ORÇAMENTO!$AF$11)),
         0)</f>
        <v>0</v>
      </c>
      <c r="BP36" s="453">
        <f ca="1">IF(AND($D36="Serviço",BP$12&lt;&gt;0,$H36&gt;0,OR(AUTOEVENTO&lt;&gt;"manual",$M36&lt;&gt;$A$15)),
        IF(Import.TipoArredondamento&lt;&gt;"TransfereGOV",
              ROUND(OFFSET($P36,0,BP$13),15-13*ORÇAMENTO!$AF$7)/$H36*OFFSET(ORÇAMENTO!$X$15,ROW(BP36)-ROW(BP$15),0),
              ROUND(ROUND(OFFSET($P36,0,BP$13),15-13*ORÇAMENTO!$AF$7)*OFFSET(ORÇAMENTO!$W$15,ROW(BP36)-ROW(BP$15),0),15-13*ORÇAMENTO!$AF$11)),
         0)</f>
        <v>0</v>
      </c>
      <c r="BQ36" s="453">
        <f ca="1">IF(AND($D36="Serviço",BQ$12&lt;&gt;0,$H36&gt;0,OR(AUTOEVENTO&lt;&gt;"manual",$M36&lt;&gt;$A$15)),
        IF(Import.TipoArredondamento&lt;&gt;"TransfereGOV",
              ROUND(OFFSET($P36,0,BQ$13),15-13*ORÇAMENTO!$AF$7)/$H36*OFFSET(ORÇAMENTO!$X$15,ROW(BQ36)-ROW(BQ$15),0),
              ROUND(ROUND(OFFSET($P36,0,BQ$13),15-13*ORÇAMENTO!$AF$7)*OFFSET(ORÇAMENTO!$W$15,ROW(BQ36)-ROW(BQ$15),0),15-13*ORÇAMENTO!$AF$11)),
         0)</f>
        <v>0</v>
      </c>
      <c r="BS36" s="171">
        <f ca="1">IF(OR($D36&lt;&gt;"Serviço",AND(AUTOEVENTO="Manual",$M36=$A$15)),0,
         IF(OFFSET(CRONOPLE!$F$15,$M36-$A$15,BS$13)=0,10^12,OFFSET(CRONOPLE!$F$15,$M36-$A$15,BS$13)))</f>
        <v>0</v>
      </c>
      <c r="BT36" s="171">
        <f ca="1">IF(OR($D36&lt;&gt;"Serviço",AND(AUTOEVENTO="Manual",$M36=$A$15)),0,
         IF(OFFSET(CRONOPLE!$F$15,$M36-$A$15,BT$13)=0,10^12,OFFSET(CRONOPLE!$F$15,$M36-$A$15,BT$13)))</f>
        <v>0</v>
      </c>
      <c r="BU36" s="171">
        <f ca="1">IF(OR($D36&lt;&gt;"Serviço",AND(AUTOEVENTO="Manual",$M36=$A$15)),0,
         IF(OFFSET(CRONOPLE!$F$15,$M36-$A$15,BU$13)=0,10^12,OFFSET(CRONOPLE!$F$15,$M36-$A$15,BU$13)))</f>
        <v>0</v>
      </c>
      <c r="BV36" s="171">
        <f ca="1">IF(OR($D36&lt;&gt;"Serviço",AND(AUTOEVENTO="Manual",$M36=$A$15)),0,
         IF(OFFSET(CRONOPLE!$F$15,$M36-$A$15,BV$13)=0,10^12,OFFSET(CRONOPLE!$F$15,$M36-$A$15,BV$13)))</f>
        <v>0</v>
      </c>
      <c r="BW36" s="171">
        <f ca="1">IF(OR($D36&lt;&gt;"Serviço",AND(AUTOEVENTO="Manual",$M36=$A$15)),0,
         IF(OFFSET(CRONOPLE!$F$15,$M36-$A$15,BW$13)=0,10^12,OFFSET(CRONOPLE!$F$15,$M36-$A$15,BW$13)))</f>
        <v>0</v>
      </c>
      <c r="BX36" s="171">
        <f ca="1">IF(OR($D36&lt;&gt;"Serviço",AND(AUTOEVENTO="Manual",$M36=$A$15)),0,
         IF(OFFSET(CRONOPLE!$F$15,$M36-$A$15,BX$13)=0,10^12,OFFSET(CRONOPLE!$F$15,$M36-$A$15,BX$13)))</f>
        <v>0</v>
      </c>
      <c r="BY36" s="171">
        <f ca="1">IF(OR($D36&lt;&gt;"Serviço",AND(AUTOEVENTO="Manual",$M36=$A$15)),0,
         IF(OFFSET(CRONOPLE!$F$15,$M36-$A$15,BY$13)=0,10^12,OFFSET(CRONOPLE!$F$15,$M36-$A$15,BY$13)))</f>
        <v>0</v>
      </c>
      <c r="BZ36" s="171">
        <f ca="1">IF(OR($D36&lt;&gt;"Serviço",AND(AUTOEVENTO="Manual",$M36=$A$15)),0,
         IF(OFFSET(CRONOPLE!$F$15,$M36-$A$15,BZ$13)=0,10^12,OFFSET(CRONOPLE!$F$15,$M36-$A$15,BZ$13)))</f>
        <v>0</v>
      </c>
      <c r="CA36" s="171">
        <f ca="1">IF(OR($D36&lt;&gt;"Serviço",AND(AUTOEVENTO="Manual",$M36=$A$15)),0,
         IF(OFFSET(CRONOPLE!$F$15,$M36-$A$15,CA$13)=0,10^12,OFFSET(CRONOPLE!$F$15,$M36-$A$15,CA$13)))</f>
        <v>0</v>
      </c>
      <c r="CB36" s="171">
        <f ca="1">IF(OR($D36&lt;&gt;"Serviço",AND(AUTOEVENTO="Manual",$M36=$A$15)),0,
         IF(OFFSET(CRONOPLE!$F$15,$M36-$A$15,CB$13)=0,10^12,OFFSET(CRONOPLE!$F$15,$M36-$A$15,CB$13)))</f>
        <v>0</v>
      </c>
      <c r="CC36" s="171">
        <f ca="1">IF(OR($D36&lt;&gt;"Serviço",AND(AUTOEVENTO="Manual",$M36=$A$15)),0,
         IF(OFFSET(CRONOPLE!$F$15,$M36-$A$15,CC$13)=0,10^12,OFFSET(CRONOPLE!$F$15,$M36-$A$15,CC$13)))</f>
        <v>0</v>
      </c>
      <c r="CD36" s="171">
        <f ca="1">IF(OR($D36&lt;&gt;"Serviço",AND(AUTOEVENTO="Manual",$M36=$A$15)),0,
         IF(OFFSET(CRONOPLE!$F$15,$M36-$A$15,CD$13)=0,10^12,OFFSET(CRONOPLE!$F$15,$M36-$A$15,CD$13)))</f>
        <v>0</v>
      </c>
      <c r="CE36" s="171">
        <f ca="1">IF(OR($D36&lt;&gt;"Serviço",AND(AUTOEVENTO="Manual",$M36=$A$15)),0,
         IF(OFFSET(CRONOPLE!$F$15,$M36-$A$15,CE$13)=0,10^12,OFFSET(CRONOPLE!$F$15,$M36-$A$15,CE$13)))</f>
        <v>0</v>
      </c>
      <c r="CF36" s="171">
        <f ca="1">IF(OR($D36&lt;&gt;"Serviço",AND(AUTOEVENTO="Manual",$M36=$A$15)),0,
         IF(OFFSET(CRONOPLE!$F$15,$M36-$A$15,CF$13)=0,10^12,OFFSET(CRONOPLE!$F$15,$M36-$A$15,CF$13)))</f>
        <v>0</v>
      </c>
      <c r="CG36" s="171">
        <f ca="1">IF(OR($D36&lt;&gt;"Serviço",AND(AUTOEVENTO="Manual",$M36=$A$15)),0,
         IF(OFFSET(CRONOPLE!$F$15,$M36-$A$15,CG$13)=0,10^12,OFFSET(CRONOPLE!$F$15,$M36-$A$15,CG$13)))</f>
        <v>0</v>
      </c>
      <c r="CH36" s="171">
        <f ca="1">IF(OR($D36&lt;&gt;"Serviço",AND(AUTOEVENTO="Manual",$M36=$A$15)),0,
         IF(OFFSET(CRONOPLE!$F$15,$M36-$A$15,CH$13)=0,10^12,OFFSET(CRONOPLE!$F$15,$M36-$A$15,CH$13)))</f>
        <v>0</v>
      </c>
      <c r="CI36" s="171">
        <f ca="1">IF(OR($D36&lt;&gt;"Serviço",AND(AUTOEVENTO="Manual",$M36=$A$15)),0,
         IF(OFFSET(CRONOPLE!$F$15,$M36-$A$15,CI$13)=0,10^12,OFFSET(CRONOPLE!$F$15,$M36-$A$15,CI$13)))</f>
        <v>0</v>
      </c>
      <c r="CJ36" s="171">
        <f ca="1">IF(OR($D36&lt;&gt;"Serviço",AND(AUTOEVENTO="Manual",$M36=$A$15)),0,
         IF(OFFSET(CRONOPLE!$F$15,$M36-$A$15,CJ$13)=0,10^12,OFFSET(CRONOPLE!$F$15,$M36-$A$15,CJ$13)))</f>
        <v>0</v>
      </c>
      <c r="CK36" s="171">
        <f ca="1">IF(OR($D36&lt;&gt;"Serviço",AND(AUTOEVENTO="Manual",$M36=$A$15)),0,
         IF(OFFSET(CRONOPLE!$F$15,$M36-$A$15,CK$13)=0,10^12,OFFSET(CRONOPLE!$F$15,$M36-$A$15,CK$13)))</f>
        <v>0</v>
      </c>
      <c r="CL36" s="171">
        <f ca="1">IF(OR($D36&lt;&gt;"Serviço",AND(AUTOEVENTO="Manual",$M36=$A$15)),0,
         IF(OFFSET(CRONOPLE!$F$15,$M36-$A$15,CL$13)=0,10^12,OFFSET(CRONOPLE!$F$15,$M36-$A$15,CL$13)))</f>
        <v>0</v>
      </c>
      <c r="CM36" s="171">
        <f ca="1">IF(OR($D36&lt;&gt;"Serviço",AND(AUTOEVENTO="Manual",$M36=$A$15)),0,
         IF(OFFSET(CRONOPLE!$F$15,$M36-$A$15,CM$13)=0,10^12,OFFSET(CRONOPLE!$F$15,$M36-$A$15,CM$13)))</f>
        <v>0</v>
      </c>
      <c r="CN36" s="171">
        <f ca="1">IF(OR($D36&lt;&gt;"Serviço",AND(AUTOEVENTO="Manual",$M36=$A$15)),0,
         IF(OFFSET(CRONOPLE!$F$15,$M36-$A$15,CN$13)=0,10^12,OFFSET(CRONOPLE!$F$15,$M36-$A$15,CN$13)))</f>
        <v>0</v>
      </c>
      <c r="CO36" s="171">
        <f ca="1">IF(OR($D36&lt;&gt;"Serviço",AND(AUTOEVENTO="Manual",$M36=$A$15)),0,
         IF(OFFSET(CRONOPLE!$F$15,$M36-$A$15,CO$13)=0,10^12,OFFSET(CRONOPLE!$F$15,$M36-$A$15,CO$13)))</f>
        <v>0</v>
      </c>
      <c r="CP36" s="171">
        <f ca="1">IF(OR($D36&lt;&gt;"Serviço",AND(AUTOEVENTO="Manual",$M36=$A$15)),0,
         IF(OFFSET(CRONOPLE!$F$15,$M36-$A$15,CP$13)=0,10^12,OFFSET(CRONOPLE!$F$15,$M36-$A$15,CP$13)))</f>
        <v>0</v>
      </c>
      <c r="CQ36" s="171">
        <f ca="1">IF(OR($D36&lt;&gt;"Serviço",AND(AUTOEVENTO="Manual",$M36=$A$15)),0,
         IF(OFFSET(CRONOPLE!$F$15,$M36-$A$15,CQ$13)=0,10^12,OFFSET(CRONOPLE!$F$15,$M36-$A$15,CQ$13)))</f>
        <v>0</v>
      </c>
      <c r="CR36" s="171">
        <f ca="1">IF(OR($D36&lt;&gt;"Serviço",AND(AUTOEVENTO="Manual",$M36=$A$15)),0,
         IF(OFFSET(CRONOPLE!$F$15,$M36-$A$15,CR$13)=0,10^12,OFFSET(CRONOPLE!$F$15,$M36-$A$15,CR$13)))</f>
        <v>0</v>
      </c>
      <c r="CT36" s="172" cm="1">
        <f t="array" aca="1" ref="CT36" ca="1">IF(OR($D36&lt;&gt;"Serviço",AND(AUTOEVENTO="Manual",$M36=$A$15),$M36&gt;(ROW(PLE.lastrow)-ROW(PLE.firstrow))),0,
           IF(OFFSET(PLE!$G$15,$M36-$A$15,CT$13)="",10^12,OFFSET(PLE!$G$15,$M36-$A$15,CT$13)))</f>
        <v>0</v>
      </c>
      <c r="CU36" s="172" cm="1">
        <f t="array" aca="1" ref="CU36" ca="1">IF(OR($D36&lt;&gt;"Serviço",AND(AUTOEVENTO="Manual",$M36=$A$15),$M36&gt;(ROW(PLE.lastrow)-ROW(PLE.firstrow))),0,
           IF(OFFSET(PLE!$G$15,$M36-$A$15,CU$13)="",10^12,OFFSET(PLE!$G$15,$M36-$A$15,CU$13)))</f>
        <v>0</v>
      </c>
      <c r="CV36" s="172" cm="1">
        <f t="array" aca="1" ref="CV36" ca="1">IF(OR($D36&lt;&gt;"Serviço",AND(AUTOEVENTO="Manual",$M36=$A$15),$M36&gt;(ROW(PLE.lastrow)-ROW(PLE.firstrow))),0,
           IF(OFFSET(PLE!$G$15,$M36-$A$15,CV$13)="",10^12,OFFSET(PLE!$G$15,$M36-$A$15,CV$13)))</f>
        <v>0</v>
      </c>
      <c r="CW36" s="172" cm="1">
        <f t="array" aca="1" ref="CW36" ca="1">IF(OR($D36&lt;&gt;"Serviço",AND(AUTOEVENTO="Manual",$M36=$A$15),$M36&gt;(ROW(PLE.lastrow)-ROW(PLE.firstrow))),0,
           IF(OFFSET(PLE!$G$15,$M36-$A$15,CW$13)="",10^12,OFFSET(PLE!$G$15,$M36-$A$15,CW$13)))</f>
        <v>0</v>
      </c>
      <c r="CX36" s="172" cm="1">
        <f t="array" aca="1" ref="CX36" ca="1">IF(OR($D36&lt;&gt;"Serviço",AND(AUTOEVENTO="Manual",$M36=$A$15),$M36&gt;(ROW(PLE.lastrow)-ROW(PLE.firstrow))),0,
           IF(OFFSET(PLE!$G$15,$M36-$A$15,CX$13)="",10^12,OFFSET(PLE!$G$15,$M36-$A$15,CX$13)))</f>
        <v>0</v>
      </c>
      <c r="CY36" s="172" cm="1">
        <f t="array" aca="1" ref="CY36" ca="1">IF(OR($D36&lt;&gt;"Serviço",AND(AUTOEVENTO="Manual",$M36=$A$15),$M36&gt;(ROW(PLE.lastrow)-ROW(PLE.firstrow))),0,
           IF(OFFSET(PLE!$G$15,$M36-$A$15,CY$13)="",10^12,OFFSET(PLE!$G$15,$M36-$A$15,CY$13)))</f>
        <v>0</v>
      </c>
      <c r="CZ36" s="172" cm="1">
        <f t="array" aca="1" ref="CZ36" ca="1">IF(OR($D36&lt;&gt;"Serviço",AND(AUTOEVENTO="Manual",$M36=$A$15),$M36&gt;(ROW(PLE.lastrow)-ROW(PLE.firstrow))),0,
           IF(OFFSET(PLE!$G$15,$M36-$A$15,CZ$13)="",10^12,OFFSET(PLE!$G$15,$M36-$A$15,CZ$13)))</f>
        <v>0</v>
      </c>
      <c r="DA36" s="172" cm="1">
        <f t="array" aca="1" ref="DA36" ca="1">IF(OR($D36&lt;&gt;"Serviço",AND(AUTOEVENTO="Manual",$M36=$A$15),$M36&gt;(ROW(PLE.lastrow)-ROW(PLE.firstrow))),0,
           IF(OFFSET(PLE!$G$15,$M36-$A$15,DA$13)="",10^12,OFFSET(PLE!$G$15,$M36-$A$15,DA$13)))</f>
        <v>0</v>
      </c>
      <c r="DB36" s="172" cm="1">
        <f t="array" aca="1" ref="DB36" ca="1">IF(OR($D36&lt;&gt;"Serviço",AND(AUTOEVENTO="Manual",$M36=$A$15),$M36&gt;(ROW(PLE.lastrow)-ROW(PLE.firstrow))),0,
           IF(OFFSET(PLE!$G$15,$M36-$A$15,DB$13)="",10^12,OFFSET(PLE!$G$15,$M36-$A$15,DB$13)))</f>
        <v>0</v>
      </c>
      <c r="DC36" s="172" cm="1">
        <f t="array" aca="1" ref="DC36" ca="1">IF(OR($D36&lt;&gt;"Serviço",AND(AUTOEVENTO="Manual",$M36=$A$15),$M36&gt;(ROW(PLE.lastrow)-ROW(PLE.firstrow))),0,
           IF(OFFSET(PLE!$G$15,$M36-$A$15,DC$13)="",10^12,OFFSET(PLE!$G$15,$M36-$A$15,DC$13)))</f>
        <v>0</v>
      </c>
      <c r="DD36" s="172" cm="1">
        <f t="array" aca="1" ref="DD36" ca="1">IF(OR($D36&lt;&gt;"Serviço",AND(AUTOEVENTO="Manual",$M36=$A$15),$M36&gt;(ROW(PLE.lastrow)-ROW(PLE.firstrow))),0,
           IF(OFFSET(PLE!$G$15,$M36-$A$15,DD$13)="",10^12,OFFSET(PLE!$G$15,$M36-$A$15,DD$13)))</f>
        <v>0</v>
      </c>
      <c r="DE36" s="172" cm="1">
        <f t="array" aca="1" ref="DE36" ca="1">IF(OR($D36&lt;&gt;"Serviço",AND(AUTOEVENTO="Manual",$M36=$A$15),$M36&gt;(ROW(PLE.lastrow)-ROW(PLE.firstrow))),0,
           IF(OFFSET(PLE!$G$15,$M36-$A$15,DE$13)="",10^12,OFFSET(PLE!$G$15,$M36-$A$15,DE$13)))</f>
        <v>0</v>
      </c>
      <c r="DF36" s="172" cm="1">
        <f t="array" aca="1" ref="DF36" ca="1">IF(OR($D36&lt;&gt;"Serviço",AND(AUTOEVENTO="Manual",$M36=$A$15),$M36&gt;(ROW(PLE.lastrow)-ROW(PLE.firstrow))),0,
           IF(OFFSET(PLE!$G$15,$M36-$A$15,DF$13)="",10^12,OFFSET(PLE!$G$15,$M36-$A$15,DF$13)))</f>
        <v>0</v>
      </c>
      <c r="DG36" s="172" cm="1">
        <f t="array" aca="1" ref="DG36" ca="1">IF(OR($D36&lt;&gt;"Serviço",AND(AUTOEVENTO="Manual",$M36=$A$15),$M36&gt;(ROW(PLE.lastrow)-ROW(PLE.firstrow))),0,
           IF(OFFSET(PLE!$G$15,$M36-$A$15,DG$13)="",10^12,OFFSET(PLE!$G$15,$M36-$A$15,DG$13)))</f>
        <v>0</v>
      </c>
      <c r="DH36" s="172" cm="1">
        <f t="array" aca="1" ref="DH36" ca="1">IF(OR($D36&lt;&gt;"Serviço",AND(AUTOEVENTO="Manual",$M36=$A$15),$M36&gt;(ROW(PLE.lastrow)-ROW(PLE.firstrow))),0,
           IF(OFFSET(PLE!$G$15,$M36-$A$15,DH$13)="",10^12,OFFSET(PLE!$G$15,$M36-$A$15,DH$13)))</f>
        <v>0</v>
      </c>
      <c r="DI36" s="172" cm="1">
        <f t="array" aca="1" ref="DI36" ca="1">IF(OR($D36&lt;&gt;"Serviço",AND(AUTOEVENTO="Manual",$M36=$A$15),$M36&gt;(ROW(PLE.lastrow)-ROW(PLE.firstrow))),0,
           IF(OFFSET(PLE!$G$15,$M36-$A$15,DI$13)="",10^12,OFFSET(PLE!$G$15,$M36-$A$15,DI$13)))</f>
        <v>0</v>
      </c>
      <c r="DJ36" s="172" cm="1">
        <f t="array" aca="1" ref="DJ36" ca="1">IF(OR($D36&lt;&gt;"Serviço",AND(AUTOEVENTO="Manual",$M36=$A$15),$M36&gt;(ROW(PLE.lastrow)-ROW(PLE.firstrow))),0,
           IF(OFFSET(PLE!$G$15,$M36-$A$15,DJ$13)="",10^12,OFFSET(PLE!$G$15,$M36-$A$15,DJ$13)))</f>
        <v>0</v>
      </c>
      <c r="DK36" s="172" cm="1">
        <f t="array" aca="1" ref="DK36" ca="1">IF(OR($D36&lt;&gt;"Serviço",AND(AUTOEVENTO="Manual",$M36=$A$15),$M36&gt;(ROW(PLE.lastrow)-ROW(PLE.firstrow))),0,
           IF(OFFSET(PLE!$G$15,$M36-$A$15,DK$13)="",10^12,OFFSET(PLE!$G$15,$M36-$A$15,DK$13)))</f>
        <v>0</v>
      </c>
      <c r="DL36" s="172" cm="1">
        <f t="array" aca="1" ref="DL36" ca="1">IF(OR($D36&lt;&gt;"Serviço",AND(AUTOEVENTO="Manual",$M36=$A$15),$M36&gt;(ROW(PLE.lastrow)-ROW(PLE.firstrow))),0,
           IF(OFFSET(PLE!$G$15,$M36-$A$15,DL$13)="",10^12,OFFSET(PLE!$G$15,$M36-$A$15,DL$13)))</f>
        <v>0</v>
      </c>
      <c r="DM36" s="172" cm="1">
        <f t="array" aca="1" ref="DM36" ca="1">IF(OR($D36&lt;&gt;"Serviço",AND(AUTOEVENTO="Manual",$M36=$A$15),$M36&gt;(ROW(PLE.lastrow)-ROW(PLE.firstrow))),0,
           IF(OFFSET(PLE!$G$15,$M36-$A$15,DM$13)="",10^12,OFFSET(PLE!$G$15,$M36-$A$15,DM$13)))</f>
        <v>0</v>
      </c>
      <c r="DN36" s="172" cm="1">
        <f t="array" aca="1" ref="DN36" ca="1">IF(OR($D36&lt;&gt;"Serviço",AND(AUTOEVENTO="Manual",$M36=$A$15),$M36&gt;(ROW(PLE.lastrow)-ROW(PLE.firstrow))),0,
           IF(OFFSET(PLE!$G$15,$M36-$A$15,DN$13)="",10^12,OFFSET(PLE!$G$15,$M36-$A$15,DN$13)))</f>
        <v>0</v>
      </c>
      <c r="DO36" s="172" cm="1">
        <f t="array" aca="1" ref="DO36" ca="1">IF(OR($D36&lt;&gt;"Serviço",AND(AUTOEVENTO="Manual",$M36=$A$15),$M36&gt;(ROW(PLE.lastrow)-ROW(PLE.firstrow))),0,
           IF(OFFSET(PLE!$G$15,$M36-$A$15,DO$13)="",10^12,OFFSET(PLE!$G$15,$M36-$A$15,DO$13)))</f>
        <v>0</v>
      </c>
      <c r="DP36" s="172" cm="1">
        <f t="array" aca="1" ref="DP36" ca="1">IF(OR($D36&lt;&gt;"Serviço",AND(AUTOEVENTO="Manual",$M36=$A$15),$M36&gt;(ROW(PLE.lastrow)-ROW(PLE.firstrow))),0,
           IF(OFFSET(PLE!$G$15,$M36-$A$15,DP$13)="",10^12,OFFSET(PLE!$G$15,$M36-$A$15,DP$13)))</f>
        <v>0</v>
      </c>
      <c r="DQ36" s="172" cm="1">
        <f t="array" aca="1" ref="DQ36" ca="1">IF(OR($D36&lt;&gt;"Serviço",AND(AUTOEVENTO="Manual",$M36=$A$15),$M36&gt;(ROW(PLE.lastrow)-ROW(PLE.firstrow))),0,
           IF(OFFSET(PLE!$G$15,$M36-$A$15,DQ$13)="",10^12,OFFSET(PLE!$G$15,$M36-$A$15,DQ$13)))</f>
        <v>0</v>
      </c>
      <c r="DR36" s="172" cm="1">
        <f t="array" aca="1" ref="DR36" ca="1">IF(OR($D36&lt;&gt;"Serviço",AND(AUTOEVENTO="Manual",$M36=$A$15),$M36&gt;(ROW(PLE.lastrow)-ROW(PLE.firstrow))),0,
           IF(OFFSET(PLE!$G$15,$M36-$A$15,DR$13)="",10^12,OFFSET(PLE!$G$15,$M36-$A$15,DR$13)))</f>
        <v>0</v>
      </c>
      <c r="DS36" s="172" cm="1">
        <f t="array" aca="1" ref="DS36" ca="1">IF(OR($D36&lt;&gt;"Serviço",AND(AUTOEVENTO="Manual",$M36=$A$15),$M36&gt;(ROW(PLE.lastrow)-ROW(PLE.firstrow))),0,
           IF(OFFSET(PLE!$G$15,$M36-$A$15,DS$13)="",10^12,OFFSET(PLE!$G$15,$M36-$A$15,DS$13)))</f>
        <v>0</v>
      </c>
    </row>
    <row r="37" spans="1:123" ht="38.25" x14ac:dyDescent="0.2">
      <c r="A37" s="7">
        <f t="shared" ca="1" si="11"/>
        <v>3</v>
      </c>
      <c r="B37" s="7" t="str">
        <f ca="1">OFFSET(ORÇAMENTO!C$15,$L37,0)</f>
        <v>S</v>
      </c>
      <c r="C37" s="7" t="str">
        <f ca="1">OFFSET(ORÇAMENTO!L$15,$L37,0)</f>
        <v/>
      </c>
      <c r="D37" s="116" t="str">
        <f ca="1">OFFSET(ORÇAMENTO!N$15,$L37,0)</f>
        <v>Serviço</v>
      </c>
      <c r="E37" s="117" t="str">
        <f ca="1">OFFSET(ORÇAMENTO!O$15,$L37,0)</f>
        <v>-</v>
      </c>
      <c r="F37" s="163" t="str">
        <f ca="1">OFFSET(ORÇAMENTO!R$15,$L37,0)</f>
        <v>(Código não identificado nas referências)</v>
      </c>
      <c r="G37" s="164" t="str">
        <f ca="1">IF($D37&lt;&gt;"Serviço","",OFFSET(ORÇAMENTO!S$15,$L37,0))</f>
        <v>-</v>
      </c>
      <c r="H37" s="122" cm="1">
        <f t="array" aca="1" ref="H37" ca="1">IF($D37&lt;&gt;"Serviço",0,IF(ACOMPANHAMENTO="BM",ROUND(OFFSET(ORÇAMENTO!AJ$15,$L37,0),15-13*ORÇAMENTO!$AF$7),IF(IFERROR(CÁLCULO.FrentesPreenchidas,0)=0,0,SUM(ROUND(OFFSET($P37,0,1,1,CÁLCULO.FrentesPreenchidas),15-13*ORÇAMENTO!$AF$7)))))</f>
        <v>109.19999999999995</v>
      </c>
      <c r="I37" s="468" t="s">
        <v>1235</v>
      </c>
      <c r="J37" s="651" t="str" cm="1">
        <f t="array" aca="1" ref="J37" ca="1">IF(OR(B37&lt;&gt;"S",CÁLCULO.FrentesPreenchidas=0),"",IF(AND(ACOMPANHAMENTO="PLE",AUTOEVENTO="Manual",OR(H37&gt;0,ORÇAMENTO!AC37="QUANT."),OR(K37="",M37=0,N37="")),"►E",IF(AND(ACOMPANHAMENTO="PLE",ORÇAMENTO!AC37="QUANT."),"►Q",IF(AND(ACOMPANHAMENTO="PLE",H37&lt;&gt;SUMPRODUCT(($Q$1:$AQ$1=1)*ROUND(Q37:AQ37,15))),"►S",IF(AND(COUNTIF($P$11:$AQ$11,"▼")=0,H37&gt;0,I37=""),"◄M","")))))</f>
        <v/>
      </c>
      <c r="K37" s="652" t="s">
        <v>1250</v>
      </c>
      <c r="L37" s="165">
        <f t="shared" ca="1" si="12"/>
        <v>22</v>
      </c>
      <c r="M37" s="166">
        <f ca="1">IF($D37&lt;&gt;"Serviço","",
          IF(AUTOEVENTO="manual",$A37,
                IF(ISERROR(MATCH($A37,$A$15:OFFSET($A37,-1,0),0)),MAX($M$15:OFFSET(M37,-1,0))+1,
                      INDEX($M$15:OFFSET(M37,-1,0),MATCH($A37,$A$15:OFFSET($A37,-1,0),0)))))</f>
        <v>3</v>
      </c>
      <c r="N37" s="167" t="str">
        <f ca="1">IF($D37&lt;&gt;"Serviço","",
         IF(AUTOEVENTO="Manual",
                IF($A37=0,"&lt;-- defina o número do agrupador",
                       OFFSET(EVENTOS!$D$15,$A37-$A$15,0)),
                OFFSET($F$15,$A37,0)))</f>
        <v>FUNDAÇÕES</v>
      </c>
      <c r="O37" s="168"/>
      <c r="Q37" s="168">
        <v>5.46</v>
      </c>
      <c r="R37" s="169">
        <v>5.46</v>
      </c>
      <c r="S37" s="169">
        <v>5.46</v>
      </c>
      <c r="T37" s="169">
        <v>5.46</v>
      </c>
      <c r="U37" s="169">
        <v>5.46</v>
      </c>
      <c r="V37" s="169">
        <v>5.46</v>
      </c>
      <c r="W37" s="169">
        <v>5.46</v>
      </c>
      <c r="X37" s="169">
        <v>5.46</v>
      </c>
      <c r="Y37" s="169">
        <v>5.46</v>
      </c>
      <c r="Z37" s="170">
        <v>5.46</v>
      </c>
      <c r="AA37" s="169">
        <v>5.46</v>
      </c>
      <c r="AB37" s="169">
        <v>5.46</v>
      </c>
      <c r="AC37" s="169">
        <v>5.46</v>
      </c>
      <c r="AD37" s="169">
        <v>5.46</v>
      </c>
      <c r="AE37" s="169">
        <v>5.46</v>
      </c>
      <c r="AF37" s="169">
        <v>5.46</v>
      </c>
      <c r="AG37" s="169">
        <v>5.46</v>
      </c>
      <c r="AH37" s="170">
        <v>5.46</v>
      </c>
      <c r="AI37" s="169">
        <v>5.46</v>
      </c>
      <c r="AJ37" s="169">
        <v>5.46</v>
      </c>
      <c r="AK37" s="169"/>
      <c r="AL37" s="169"/>
      <c r="AM37" s="169"/>
      <c r="AN37" s="169"/>
      <c r="AO37" s="169"/>
      <c r="AP37" s="170"/>
      <c r="AR37" s="453">
        <f ca="1">IF(AND($D37="Serviço",AR$12&lt;&gt;0,$H37&gt;0,OR(AUTOEVENTO&lt;&gt;"manual",$M37&lt;&gt;$A$15)),
        IF(Import.TipoArredondamento&lt;&gt;"TransfereGOV",
              ROUND(OFFSET($P37,0,AR$13),15-13*ORÇAMENTO!$AF$7)/$H37*OFFSET(ORÇAMENTO!$X$15,ROW(AR37)-ROW(AR$15),0),
              ROUND(ROUND(OFFSET($P37,0,AR$13),15-13*ORÇAMENTO!$AF$7)*OFFSET(ORÇAMENTO!$W$15,ROW(AR37)-ROW(AR$15),0),15-13*ORÇAMENTO!$AF$11)),
         0)</f>
        <v>0</v>
      </c>
      <c r="AS37" s="453">
        <f ca="1">IF(AND($D37="Serviço",AS$12&lt;&gt;0,$H37&gt;0,OR(AUTOEVENTO&lt;&gt;"manual",$M37&lt;&gt;$A$15)),
        IF(Import.TipoArredondamento&lt;&gt;"TransfereGOV",
              ROUND(OFFSET($P37,0,AS$13),15-13*ORÇAMENTO!$AF$7)/$H37*OFFSET(ORÇAMENTO!$X$15,ROW(AS37)-ROW(AS$15),0),
              ROUND(ROUND(OFFSET($P37,0,AS$13),15-13*ORÇAMENTO!$AF$7)*OFFSET(ORÇAMENTO!$W$15,ROW(AS37)-ROW(AS$15),0),15-13*ORÇAMENTO!$AF$11)),
         0)</f>
        <v>0</v>
      </c>
      <c r="AT37" s="453">
        <f ca="1">IF(AND($D37="Serviço",AT$12&lt;&gt;0,$H37&gt;0,OR(AUTOEVENTO&lt;&gt;"manual",$M37&lt;&gt;$A$15)),
        IF(Import.TipoArredondamento&lt;&gt;"TransfereGOV",
              ROUND(OFFSET($P37,0,AT$13),15-13*ORÇAMENTO!$AF$7)/$H37*OFFSET(ORÇAMENTO!$X$15,ROW(AT37)-ROW(AT$15),0),
              ROUND(ROUND(OFFSET($P37,0,AT$13),15-13*ORÇAMENTO!$AF$7)*OFFSET(ORÇAMENTO!$W$15,ROW(AT37)-ROW(AT$15),0),15-13*ORÇAMENTO!$AF$11)),
         0)</f>
        <v>0</v>
      </c>
      <c r="AU37" s="453">
        <f ca="1">IF(AND($D37="Serviço",AU$12&lt;&gt;0,$H37&gt;0,OR(AUTOEVENTO&lt;&gt;"manual",$M37&lt;&gt;$A$15)),
        IF(Import.TipoArredondamento&lt;&gt;"TransfereGOV",
              ROUND(OFFSET($P37,0,AU$13),15-13*ORÇAMENTO!$AF$7)/$H37*OFFSET(ORÇAMENTO!$X$15,ROW(AU37)-ROW(AU$15),0),
              ROUND(ROUND(OFFSET($P37,0,AU$13),15-13*ORÇAMENTO!$AF$7)*OFFSET(ORÇAMENTO!$W$15,ROW(AU37)-ROW(AU$15),0),15-13*ORÇAMENTO!$AF$11)),
         0)</f>
        <v>0</v>
      </c>
      <c r="AV37" s="453">
        <f ca="1">IF(AND($D37="Serviço",AV$12&lt;&gt;0,$H37&gt;0,OR(AUTOEVENTO&lt;&gt;"manual",$M37&lt;&gt;$A$15)),
        IF(Import.TipoArredondamento&lt;&gt;"TransfereGOV",
              ROUND(OFFSET($P37,0,AV$13),15-13*ORÇAMENTO!$AF$7)/$H37*OFFSET(ORÇAMENTO!$X$15,ROW(AV37)-ROW(AV$15),0),
              ROUND(ROUND(OFFSET($P37,0,AV$13),15-13*ORÇAMENTO!$AF$7)*OFFSET(ORÇAMENTO!$W$15,ROW(AV37)-ROW(AV$15),0),15-13*ORÇAMENTO!$AF$11)),
         0)</f>
        <v>0</v>
      </c>
      <c r="AW37" s="453">
        <f ca="1">IF(AND($D37="Serviço",AW$12&lt;&gt;0,$H37&gt;0,OR(AUTOEVENTO&lt;&gt;"manual",$M37&lt;&gt;$A$15)),
        IF(Import.TipoArredondamento&lt;&gt;"TransfereGOV",
              ROUND(OFFSET($P37,0,AW$13),15-13*ORÇAMENTO!$AF$7)/$H37*OFFSET(ORÇAMENTO!$X$15,ROW(AW37)-ROW(AW$15),0),
              ROUND(ROUND(OFFSET($P37,0,AW$13),15-13*ORÇAMENTO!$AF$7)*OFFSET(ORÇAMENTO!$W$15,ROW(AW37)-ROW(AW$15),0),15-13*ORÇAMENTO!$AF$11)),
         0)</f>
        <v>0</v>
      </c>
      <c r="AX37" s="453">
        <f ca="1">IF(AND($D37="Serviço",AX$12&lt;&gt;0,$H37&gt;0,OR(AUTOEVENTO&lt;&gt;"manual",$M37&lt;&gt;$A$15)),
        IF(Import.TipoArredondamento&lt;&gt;"TransfereGOV",
              ROUND(OFFSET($P37,0,AX$13),15-13*ORÇAMENTO!$AF$7)/$H37*OFFSET(ORÇAMENTO!$X$15,ROW(AX37)-ROW(AX$15),0),
              ROUND(ROUND(OFFSET($P37,0,AX$13),15-13*ORÇAMENTO!$AF$7)*OFFSET(ORÇAMENTO!$W$15,ROW(AX37)-ROW(AX$15),0),15-13*ORÇAMENTO!$AF$11)),
         0)</f>
        <v>0</v>
      </c>
      <c r="AY37" s="453">
        <f ca="1">IF(AND($D37="Serviço",AY$12&lt;&gt;0,$H37&gt;0,OR(AUTOEVENTO&lt;&gt;"manual",$M37&lt;&gt;$A$15)),
        IF(Import.TipoArredondamento&lt;&gt;"TransfereGOV",
              ROUND(OFFSET($P37,0,AY$13),15-13*ORÇAMENTO!$AF$7)/$H37*OFFSET(ORÇAMENTO!$X$15,ROW(AY37)-ROW(AY$15),0),
              ROUND(ROUND(OFFSET($P37,0,AY$13),15-13*ORÇAMENTO!$AF$7)*OFFSET(ORÇAMENTO!$W$15,ROW(AY37)-ROW(AY$15),0),15-13*ORÇAMENTO!$AF$11)),
         0)</f>
        <v>0</v>
      </c>
      <c r="AZ37" s="453">
        <f ca="1">IF(AND($D37="Serviço",AZ$12&lt;&gt;0,$H37&gt;0,OR(AUTOEVENTO&lt;&gt;"manual",$M37&lt;&gt;$A$15)),
        IF(Import.TipoArredondamento&lt;&gt;"TransfereGOV",
              ROUND(OFFSET($P37,0,AZ$13),15-13*ORÇAMENTO!$AF$7)/$H37*OFFSET(ORÇAMENTO!$X$15,ROW(AZ37)-ROW(AZ$15),0),
              ROUND(ROUND(OFFSET($P37,0,AZ$13),15-13*ORÇAMENTO!$AF$7)*OFFSET(ORÇAMENTO!$W$15,ROW(AZ37)-ROW(AZ$15),0),15-13*ORÇAMENTO!$AF$11)),
         0)</f>
        <v>0</v>
      </c>
      <c r="BA37" s="453">
        <f ca="1">IF(AND($D37="Serviço",BA$12&lt;&gt;0,$H37&gt;0,OR(AUTOEVENTO&lt;&gt;"manual",$M37&lt;&gt;$A$15)),
        IF(Import.TipoArredondamento&lt;&gt;"TransfereGOV",
              ROUND(OFFSET($P37,0,BA$13),15-13*ORÇAMENTO!$AF$7)/$H37*OFFSET(ORÇAMENTO!$X$15,ROW(BA37)-ROW(BA$15),0),
              ROUND(ROUND(OFFSET($P37,0,BA$13),15-13*ORÇAMENTO!$AF$7)*OFFSET(ORÇAMENTO!$W$15,ROW(BA37)-ROW(BA$15),0),15-13*ORÇAMENTO!$AF$11)),
         0)</f>
        <v>0</v>
      </c>
      <c r="BB37" s="453">
        <f ca="1">IF(AND($D37="Serviço",BB$12&lt;&gt;0,$H37&gt;0,OR(AUTOEVENTO&lt;&gt;"manual",$M37&lt;&gt;$A$15)),
        IF(Import.TipoArredondamento&lt;&gt;"TransfereGOV",
              ROUND(OFFSET($P37,0,BB$13),15-13*ORÇAMENTO!$AF$7)/$H37*OFFSET(ORÇAMENTO!$X$15,ROW(BB37)-ROW(BB$15),0),
              ROUND(ROUND(OFFSET($P37,0,BB$13),15-13*ORÇAMENTO!$AF$7)*OFFSET(ORÇAMENTO!$W$15,ROW(BB37)-ROW(BB$15),0),15-13*ORÇAMENTO!$AF$11)),
         0)</f>
        <v>0</v>
      </c>
      <c r="BC37" s="453">
        <f ca="1">IF(AND($D37="Serviço",BC$12&lt;&gt;0,$H37&gt;0,OR(AUTOEVENTO&lt;&gt;"manual",$M37&lt;&gt;$A$15)),
        IF(Import.TipoArredondamento&lt;&gt;"TransfereGOV",
              ROUND(OFFSET($P37,0,BC$13),15-13*ORÇAMENTO!$AF$7)/$H37*OFFSET(ORÇAMENTO!$X$15,ROW(BC37)-ROW(BC$15),0),
              ROUND(ROUND(OFFSET($P37,0,BC$13),15-13*ORÇAMENTO!$AF$7)*OFFSET(ORÇAMENTO!$W$15,ROW(BC37)-ROW(BC$15),0),15-13*ORÇAMENTO!$AF$11)),
         0)</f>
        <v>0</v>
      </c>
      <c r="BD37" s="453">
        <f ca="1">IF(AND($D37="Serviço",BD$12&lt;&gt;0,$H37&gt;0,OR(AUTOEVENTO&lt;&gt;"manual",$M37&lt;&gt;$A$15)),
        IF(Import.TipoArredondamento&lt;&gt;"TransfereGOV",
              ROUND(OFFSET($P37,0,BD$13),15-13*ORÇAMENTO!$AF$7)/$H37*OFFSET(ORÇAMENTO!$X$15,ROW(BD37)-ROW(BD$15),0),
              ROUND(ROUND(OFFSET($P37,0,BD$13),15-13*ORÇAMENTO!$AF$7)*OFFSET(ORÇAMENTO!$W$15,ROW(BD37)-ROW(BD$15),0),15-13*ORÇAMENTO!$AF$11)),
         0)</f>
        <v>0</v>
      </c>
      <c r="BE37" s="453">
        <f ca="1">IF(AND($D37="Serviço",BE$12&lt;&gt;0,$H37&gt;0,OR(AUTOEVENTO&lt;&gt;"manual",$M37&lt;&gt;$A$15)),
        IF(Import.TipoArredondamento&lt;&gt;"TransfereGOV",
              ROUND(OFFSET($P37,0,BE$13),15-13*ORÇAMENTO!$AF$7)/$H37*OFFSET(ORÇAMENTO!$X$15,ROW(BE37)-ROW(BE$15),0),
              ROUND(ROUND(OFFSET($P37,0,BE$13),15-13*ORÇAMENTO!$AF$7)*OFFSET(ORÇAMENTO!$W$15,ROW(BE37)-ROW(BE$15),0),15-13*ORÇAMENTO!$AF$11)),
         0)</f>
        <v>0</v>
      </c>
      <c r="BF37" s="453">
        <f ca="1">IF(AND($D37="Serviço",BF$12&lt;&gt;0,$H37&gt;0,OR(AUTOEVENTO&lt;&gt;"manual",$M37&lt;&gt;$A$15)),
        IF(Import.TipoArredondamento&lt;&gt;"TransfereGOV",
              ROUND(OFFSET($P37,0,BF$13),15-13*ORÇAMENTO!$AF$7)/$H37*OFFSET(ORÇAMENTO!$X$15,ROW(BF37)-ROW(BF$15),0),
              ROUND(ROUND(OFFSET($P37,0,BF$13),15-13*ORÇAMENTO!$AF$7)*OFFSET(ORÇAMENTO!$W$15,ROW(BF37)-ROW(BF$15),0),15-13*ORÇAMENTO!$AF$11)),
         0)</f>
        <v>0</v>
      </c>
      <c r="BG37" s="453">
        <f ca="1">IF(AND($D37="Serviço",BG$12&lt;&gt;0,$H37&gt;0,OR(AUTOEVENTO&lt;&gt;"manual",$M37&lt;&gt;$A$15)),
        IF(Import.TipoArredondamento&lt;&gt;"TransfereGOV",
              ROUND(OFFSET($P37,0,BG$13),15-13*ORÇAMENTO!$AF$7)/$H37*OFFSET(ORÇAMENTO!$X$15,ROW(BG37)-ROW(BG$15),0),
              ROUND(ROUND(OFFSET($P37,0,BG$13),15-13*ORÇAMENTO!$AF$7)*OFFSET(ORÇAMENTO!$W$15,ROW(BG37)-ROW(BG$15),0),15-13*ORÇAMENTO!$AF$11)),
         0)</f>
        <v>0</v>
      </c>
      <c r="BH37" s="453">
        <f ca="1">IF(AND($D37="Serviço",BH$12&lt;&gt;0,$H37&gt;0,OR(AUTOEVENTO&lt;&gt;"manual",$M37&lt;&gt;$A$15)),
        IF(Import.TipoArredondamento&lt;&gt;"TransfereGOV",
              ROUND(OFFSET($P37,0,BH$13),15-13*ORÇAMENTO!$AF$7)/$H37*OFFSET(ORÇAMENTO!$X$15,ROW(BH37)-ROW(BH$15),0),
              ROUND(ROUND(OFFSET($P37,0,BH$13),15-13*ORÇAMENTO!$AF$7)*OFFSET(ORÇAMENTO!$W$15,ROW(BH37)-ROW(BH$15),0),15-13*ORÇAMENTO!$AF$11)),
         0)</f>
        <v>0</v>
      </c>
      <c r="BI37" s="453">
        <f ca="1">IF(AND($D37="Serviço",BI$12&lt;&gt;0,$H37&gt;0,OR(AUTOEVENTO&lt;&gt;"manual",$M37&lt;&gt;$A$15)),
        IF(Import.TipoArredondamento&lt;&gt;"TransfereGOV",
              ROUND(OFFSET($P37,0,BI$13),15-13*ORÇAMENTO!$AF$7)/$H37*OFFSET(ORÇAMENTO!$X$15,ROW(BI37)-ROW(BI$15),0),
              ROUND(ROUND(OFFSET($P37,0,BI$13),15-13*ORÇAMENTO!$AF$7)*OFFSET(ORÇAMENTO!$W$15,ROW(BI37)-ROW(BI$15),0),15-13*ORÇAMENTO!$AF$11)),
         0)</f>
        <v>0</v>
      </c>
      <c r="BJ37" s="453">
        <f ca="1">IF(AND($D37="Serviço",BJ$12&lt;&gt;0,$H37&gt;0,OR(AUTOEVENTO&lt;&gt;"manual",$M37&lt;&gt;$A$15)),
        IF(Import.TipoArredondamento&lt;&gt;"TransfereGOV",
              ROUND(OFFSET($P37,0,BJ$13),15-13*ORÇAMENTO!$AF$7)/$H37*OFFSET(ORÇAMENTO!$X$15,ROW(BJ37)-ROW(BJ$15),0),
              ROUND(ROUND(OFFSET($P37,0,BJ$13),15-13*ORÇAMENTO!$AF$7)*OFFSET(ORÇAMENTO!$W$15,ROW(BJ37)-ROW(BJ$15),0),15-13*ORÇAMENTO!$AF$11)),
         0)</f>
        <v>0</v>
      </c>
      <c r="BK37" s="453">
        <f ca="1">IF(AND($D37="Serviço",BK$12&lt;&gt;0,$H37&gt;0,OR(AUTOEVENTO&lt;&gt;"manual",$M37&lt;&gt;$A$15)),
        IF(Import.TipoArredondamento&lt;&gt;"TransfereGOV",
              ROUND(OFFSET($P37,0,BK$13),15-13*ORÇAMENTO!$AF$7)/$H37*OFFSET(ORÇAMENTO!$X$15,ROW(BK37)-ROW(BK$15),0),
              ROUND(ROUND(OFFSET($P37,0,BK$13),15-13*ORÇAMENTO!$AF$7)*OFFSET(ORÇAMENTO!$W$15,ROW(BK37)-ROW(BK$15),0),15-13*ORÇAMENTO!$AF$11)),
         0)</f>
        <v>0</v>
      </c>
      <c r="BL37" s="453">
        <f ca="1">IF(AND($D37="Serviço",BL$12&lt;&gt;0,$H37&gt;0,OR(AUTOEVENTO&lt;&gt;"manual",$M37&lt;&gt;$A$15)),
        IF(Import.TipoArredondamento&lt;&gt;"TransfereGOV",
              ROUND(OFFSET($P37,0,BL$13),15-13*ORÇAMENTO!$AF$7)/$H37*OFFSET(ORÇAMENTO!$X$15,ROW(BL37)-ROW(BL$15),0),
              ROUND(ROUND(OFFSET($P37,0,BL$13),15-13*ORÇAMENTO!$AF$7)*OFFSET(ORÇAMENTO!$W$15,ROW(BL37)-ROW(BL$15),0),15-13*ORÇAMENTO!$AF$11)),
         0)</f>
        <v>0</v>
      </c>
      <c r="BM37" s="453">
        <f ca="1">IF(AND($D37="Serviço",BM$12&lt;&gt;0,$H37&gt;0,OR(AUTOEVENTO&lt;&gt;"manual",$M37&lt;&gt;$A$15)),
        IF(Import.TipoArredondamento&lt;&gt;"TransfereGOV",
              ROUND(OFFSET($P37,0,BM$13),15-13*ORÇAMENTO!$AF$7)/$H37*OFFSET(ORÇAMENTO!$X$15,ROW(BM37)-ROW(BM$15),0),
              ROUND(ROUND(OFFSET($P37,0,BM$13),15-13*ORÇAMENTO!$AF$7)*OFFSET(ORÇAMENTO!$W$15,ROW(BM37)-ROW(BM$15),0),15-13*ORÇAMENTO!$AF$11)),
         0)</f>
        <v>0</v>
      </c>
      <c r="BN37" s="453">
        <f ca="1">IF(AND($D37="Serviço",BN$12&lt;&gt;0,$H37&gt;0,OR(AUTOEVENTO&lt;&gt;"manual",$M37&lt;&gt;$A$15)),
        IF(Import.TipoArredondamento&lt;&gt;"TransfereGOV",
              ROUND(OFFSET($P37,0,BN$13),15-13*ORÇAMENTO!$AF$7)/$H37*OFFSET(ORÇAMENTO!$X$15,ROW(BN37)-ROW(BN$15),0),
              ROUND(ROUND(OFFSET($P37,0,BN$13),15-13*ORÇAMENTO!$AF$7)*OFFSET(ORÇAMENTO!$W$15,ROW(BN37)-ROW(BN$15),0),15-13*ORÇAMENTO!$AF$11)),
         0)</f>
        <v>0</v>
      </c>
      <c r="BO37" s="453">
        <f ca="1">IF(AND($D37="Serviço",BO$12&lt;&gt;0,$H37&gt;0,OR(AUTOEVENTO&lt;&gt;"manual",$M37&lt;&gt;$A$15)),
        IF(Import.TipoArredondamento&lt;&gt;"TransfereGOV",
              ROUND(OFFSET($P37,0,BO$13),15-13*ORÇAMENTO!$AF$7)/$H37*OFFSET(ORÇAMENTO!$X$15,ROW(BO37)-ROW(BO$15),0),
              ROUND(ROUND(OFFSET($P37,0,BO$13),15-13*ORÇAMENTO!$AF$7)*OFFSET(ORÇAMENTO!$W$15,ROW(BO37)-ROW(BO$15),0),15-13*ORÇAMENTO!$AF$11)),
         0)</f>
        <v>0</v>
      </c>
      <c r="BP37" s="453">
        <f ca="1">IF(AND($D37="Serviço",BP$12&lt;&gt;0,$H37&gt;0,OR(AUTOEVENTO&lt;&gt;"manual",$M37&lt;&gt;$A$15)),
        IF(Import.TipoArredondamento&lt;&gt;"TransfereGOV",
              ROUND(OFFSET($P37,0,BP$13),15-13*ORÇAMENTO!$AF$7)/$H37*OFFSET(ORÇAMENTO!$X$15,ROW(BP37)-ROW(BP$15),0),
              ROUND(ROUND(OFFSET($P37,0,BP$13),15-13*ORÇAMENTO!$AF$7)*OFFSET(ORÇAMENTO!$W$15,ROW(BP37)-ROW(BP$15),0),15-13*ORÇAMENTO!$AF$11)),
         0)</f>
        <v>0</v>
      </c>
      <c r="BQ37" s="453">
        <f ca="1">IF(AND($D37="Serviço",BQ$12&lt;&gt;0,$H37&gt;0,OR(AUTOEVENTO&lt;&gt;"manual",$M37&lt;&gt;$A$15)),
        IF(Import.TipoArredondamento&lt;&gt;"TransfereGOV",
              ROUND(OFFSET($P37,0,BQ$13),15-13*ORÇAMENTO!$AF$7)/$H37*OFFSET(ORÇAMENTO!$X$15,ROW(BQ37)-ROW(BQ$15),0),
              ROUND(ROUND(OFFSET($P37,0,BQ$13),15-13*ORÇAMENTO!$AF$7)*OFFSET(ORÇAMENTO!$W$15,ROW(BQ37)-ROW(BQ$15),0),15-13*ORÇAMENTO!$AF$11)),
         0)</f>
        <v>0</v>
      </c>
      <c r="BS37" s="171">
        <f ca="1">IF(OR($D37&lt;&gt;"Serviço",AND(AUTOEVENTO="Manual",$M37=$A$15)),0,
         IF(OFFSET(CRONOPLE!$F$15,$M37-$A$15,BS$13)=0,10^12,OFFSET(CRONOPLE!$F$15,$M37-$A$15,BS$13)))</f>
        <v>1</v>
      </c>
      <c r="BT37" s="171">
        <f ca="1">IF(OR($D37&lt;&gt;"Serviço",AND(AUTOEVENTO="Manual",$M37=$A$15)),0,
         IF(OFFSET(CRONOPLE!$F$15,$M37-$A$15,BT$13)=0,10^12,OFFSET(CRONOPLE!$F$15,$M37-$A$15,BT$13)))</f>
        <v>2</v>
      </c>
      <c r="BU37" s="171">
        <f ca="1">IF(OR($D37&lt;&gt;"Serviço",AND(AUTOEVENTO="Manual",$M37=$A$15)),0,
         IF(OFFSET(CRONOPLE!$F$15,$M37-$A$15,BU$13)=0,10^12,OFFSET(CRONOPLE!$F$15,$M37-$A$15,BU$13)))</f>
        <v>3</v>
      </c>
      <c r="BV37" s="171">
        <f ca="1">IF(OR($D37&lt;&gt;"Serviço",AND(AUTOEVENTO="Manual",$M37=$A$15)),0,
         IF(OFFSET(CRONOPLE!$F$15,$M37-$A$15,BV$13)=0,10^12,OFFSET(CRONOPLE!$F$15,$M37-$A$15,BV$13)))</f>
        <v>4</v>
      </c>
      <c r="BW37" s="171">
        <f ca="1">IF(OR($D37&lt;&gt;"Serviço",AND(AUTOEVENTO="Manual",$M37=$A$15)),0,
         IF(OFFSET(CRONOPLE!$F$15,$M37-$A$15,BW$13)=0,10^12,OFFSET(CRONOPLE!$F$15,$M37-$A$15,BW$13)))</f>
        <v>5</v>
      </c>
      <c r="BX37" s="171">
        <f ca="1">IF(OR($D37&lt;&gt;"Serviço",AND(AUTOEVENTO="Manual",$M37=$A$15)),0,
         IF(OFFSET(CRONOPLE!$F$15,$M37-$A$15,BX$13)=0,10^12,OFFSET(CRONOPLE!$F$15,$M37-$A$15,BX$13)))</f>
        <v>6</v>
      </c>
      <c r="BY37" s="171">
        <f ca="1">IF(OR($D37&lt;&gt;"Serviço",AND(AUTOEVENTO="Manual",$M37=$A$15)),0,
         IF(OFFSET(CRONOPLE!$F$15,$M37-$A$15,BY$13)=0,10^12,OFFSET(CRONOPLE!$F$15,$M37-$A$15,BY$13)))</f>
        <v>7</v>
      </c>
      <c r="BZ37" s="171">
        <f ca="1">IF(OR($D37&lt;&gt;"Serviço",AND(AUTOEVENTO="Manual",$M37=$A$15)),0,
         IF(OFFSET(CRONOPLE!$F$15,$M37-$A$15,BZ$13)=0,10^12,OFFSET(CRONOPLE!$F$15,$M37-$A$15,BZ$13)))</f>
        <v>8</v>
      </c>
      <c r="CA37" s="171">
        <f ca="1">IF(OR($D37&lt;&gt;"Serviço",AND(AUTOEVENTO="Manual",$M37=$A$15)),0,
         IF(OFFSET(CRONOPLE!$F$15,$M37-$A$15,CA$13)=0,10^12,OFFSET(CRONOPLE!$F$15,$M37-$A$15,CA$13)))</f>
        <v>9</v>
      </c>
      <c r="CB37" s="171">
        <f ca="1">IF(OR($D37&lt;&gt;"Serviço",AND(AUTOEVENTO="Manual",$M37=$A$15)),0,
         IF(OFFSET(CRONOPLE!$F$15,$M37-$A$15,CB$13)=0,10^12,OFFSET(CRONOPLE!$F$15,$M37-$A$15,CB$13)))</f>
        <v>10</v>
      </c>
      <c r="CC37" s="171">
        <f ca="1">IF(OR($D37&lt;&gt;"Serviço",AND(AUTOEVENTO="Manual",$M37=$A$15)),0,
         IF(OFFSET(CRONOPLE!$F$15,$M37-$A$15,CC$13)=0,10^12,OFFSET(CRONOPLE!$F$15,$M37-$A$15,CC$13)))</f>
        <v>11</v>
      </c>
      <c r="CD37" s="171">
        <f ca="1">IF(OR($D37&lt;&gt;"Serviço",AND(AUTOEVENTO="Manual",$M37=$A$15)),0,
         IF(OFFSET(CRONOPLE!$F$15,$M37-$A$15,CD$13)=0,10^12,OFFSET(CRONOPLE!$F$15,$M37-$A$15,CD$13)))</f>
        <v>12</v>
      </c>
      <c r="CE37" s="171">
        <f ca="1">IF(OR($D37&lt;&gt;"Serviço",AND(AUTOEVENTO="Manual",$M37=$A$15)),0,
         IF(OFFSET(CRONOPLE!$F$15,$M37-$A$15,CE$13)=0,10^12,OFFSET(CRONOPLE!$F$15,$M37-$A$15,CE$13)))</f>
        <v>13</v>
      </c>
      <c r="CF37" s="171">
        <f ca="1">IF(OR($D37&lt;&gt;"Serviço",AND(AUTOEVENTO="Manual",$M37=$A$15)),0,
         IF(OFFSET(CRONOPLE!$F$15,$M37-$A$15,CF$13)=0,10^12,OFFSET(CRONOPLE!$F$15,$M37-$A$15,CF$13)))</f>
        <v>14</v>
      </c>
      <c r="CG37" s="171">
        <f ca="1">IF(OR($D37&lt;&gt;"Serviço",AND(AUTOEVENTO="Manual",$M37=$A$15)),0,
         IF(OFFSET(CRONOPLE!$F$15,$M37-$A$15,CG$13)=0,10^12,OFFSET(CRONOPLE!$F$15,$M37-$A$15,CG$13)))</f>
        <v>15</v>
      </c>
      <c r="CH37" s="171">
        <f ca="1">IF(OR($D37&lt;&gt;"Serviço",AND(AUTOEVENTO="Manual",$M37=$A$15)),0,
         IF(OFFSET(CRONOPLE!$F$15,$M37-$A$15,CH$13)=0,10^12,OFFSET(CRONOPLE!$F$15,$M37-$A$15,CH$13)))</f>
        <v>16</v>
      </c>
      <c r="CI37" s="171">
        <f ca="1">IF(OR($D37&lt;&gt;"Serviço",AND(AUTOEVENTO="Manual",$M37=$A$15)),0,
         IF(OFFSET(CRONOPLE!$F$15,$M37-$A$15,CI$13)=0,10^12,OFFSET(CRONOPLE!$F$15,$M37-$A$15,CI$13)))</f>
        <v>17</v>
      </c>
      <c r="CJ37" s="171">
        <f ca="1">IF(OR($D37&lt;&gt;"Serviço",AND(AUTOEVENTO="Manual",$M37=$A$15)),0,
         IF(OFFSET(CRONOPLE!$F$15,$M37-$A$15,CJ$13)=0,10^12,OFFSET(CRONOPLE!$F$15,$M37-$A$15,CJ$13)))</f>
        <v>18</v>
      </c>
      <c r="CK37" s="171">
        <f ca="1">IF(OR($D37&lt;&gt;"Serviço",AND(AUTOEVENTO="Manual",$M37=$A$15)),0,
         IF(OFFSET(CRONOPLE!$F$15,$M37-$A$15,CK$13)=0,10^12,OFFSET(CRONOPLE!$F$15,$M37-$A$15,CK$13)))</f>
        <v>19</v>
      </c>
      <c r="CL37" s="171">
        <f ca="1">IF(OR($D37&lt;&gt;"Serviço",AND(AUTOEVENTO="Manual",$M37=$A$15)),0,
         IF(OFFSET(CRONOPLE!$F$15,$M37-$A$15,CL$13)=0,10^12,OFFSET(CRONOPLE!$F$15,$M37-$A$15,CL$13)))</f>
        <v>20</v>
      </c>
      <c r="CM37" s="171">
        <f ca="1">IF(OR($D37&lt;&gt;"Serviço",AND(AUTOEVENTO="Manual",$M37=$A$15)),0,
         IF(OFFSET(CRONOPLE!$F$15,$M37-$A$15,CM$13)=0,10^12,OFFSET(CRONOPLE!$F$15,$M37-$A$15,CM$13)))</f>
        <v>1000000000000</v>
      </c>
      <c r="CN37" s="171">
        <f ca="1">IF(OR($D37&lt;&gt;"Serviço",AND(AUTOEVENTO="Manual",$M37=$A$15)),0,
         IF(OFFSET(CRONOPLE!$F$15,$M37-$A$15,CN$13)=0,10^12,OFFSET(CRONOPLE!$F$15,$M37-$A$15,CN$13)))</f>
        <v>1000000000000</v>
      </c>
      <c r="CO37" s="171">
        <f ca="1">IF(OR($D37&lt;&gt;"Serviço",AND(AUTOEVENTO="Manual",$M37=$A$15)),0,
         IF(OFFSET(CRONOPLE!$F$15,$M37-$A$15,CO$13)=0,10^12,OFFSET(CRONOPLE!$F$15,$M37-$A$15,CO$13)))</f>
        <v>1000000000000</v>
      </c>
      <c r="CP37" s="171">
        <f ca="1">IF(OR($D37&lt;&gt;"Serviço",AND(AUTOEVENTO="Manual",$M37=$A$15)),0,
         IF(OFFSET(CRONOPLE!$F$15,$M37-$A$15,CP$13)=0,10^12,OFFSET(CRONOPLE!$F$15,$M37-$A$15,CP$13)))</f>
        <v>1000000000000</v>
      </c>
      <c r="CQ37" s="171">
        <f ca="1">IF(OR($D37&lt;&gt;"Serviço",AND(AUTOEVENTO="Manual",$M37=$A$15)),0,
         IF(OFFSET(CRONOPLE!$F$15,$M37-$A$15,CQ$13)=0,10^12,OFFSET(CRONOPLE!$F$15,$M37-$A$15,CQ$13)))</f>
        <v>1000000000000</v>
      </c>
      <c r="CR37" s="171">
        <f ca="1">IF(OR($D37&lt;&gt;"Serviço",AND(AUTOEVENTO="Manual",$M37=$A$15)),0,
         IF(OFFSET(CRONOPLE!$F$15,$M37-$A$15,CR$13)=0,10^12,OFFSET(CRONOPLE!$F$15,$M37-$A$15,CR$13)))</f>
        <v>1000000000000</v>
      </c>
      <c r="CT37" s="172" cm="1">
        <f t="array" aca="1" ref="CT37" ca="1">IF(OR($D37&lt;&gt;"Serviço",AND(AUTOEVENTO="Manual",$M37=$A$15),$M37&gt;(ROW(PLE.lastrow)-ROW(PLE.firstrow))),0,
           IF(OFFSET(PLE!$G$15,$M37-$A$15,CT$13)="",10^12,OFFSET(PLE!$G$15,$M37-$A$15,CT$13)))</f>
        <v>1000000000000</v>
      </c>
      <c r="CU37" s="172" cm="1">
        <f t="array" aca="1" ref="CU37" ca="1">IF(OR($D37&lt;&gt;"Serviço",AND(AUTOEVENTO="Manual",$M37=$A$15),$M37&gt;(ROW(PLE.lastrow)-ROW(PLE.firstrow))),0,
           IF(OFFSET(PLE!$G$15,$M37-$A$15,CU$13)="",10^12,OFFSET(PLE!$G$15,$M37-$A$15,CU$13)))</f>
        <v>1000000000000</v>
      </c>
      <c r="CV37" s="172" cm="1">
        <f t="array" aca="1" ref="CV37" ca="1">IF(OR($D37&lt;&gt;"Serviço",AND(AUTOEVENTO="Manual",$M37=$A$15),$M37&gt;(ROW(PLE.lastrow)-ROW(PLE.firstrow))),0,
           IF(OFFSET(PLE!$G$15,$M37-$A$15,CV$13)="",10^12,OFFSET(PLE!$G$15,$M37-$A$15,CV$13)))</f>
        <v>1000000000000</v>
      </c>
      <c r="CW37" s="172" cm="1">
        <f t="array" aca="1" ref="CW37" ca="1">IF(OR($D37&lt;&gt;"Serviço",AND(AUTOEVENTO="Manual",$M37=$A$15),$M37&gt;(ROW(PLE.lastrow)-ROW(PLE.firstrow))),0,
           IF(OFFSET(PLE!$G$15,$M37-$A$15,CW$13)="",10^12,OFFSET(PLE!$G$15,$M37-$A$15,CW$13)))</f>
        <v>1000000000000</v>
      </c>
      <c r="CX37" s="172" cm="1">
        <f t="array" aca="1" ref="CX37" ca="1">IF(OR($D37&lt;&gt;"Serviço",AND(AUTOEVENTO="Manual",$M37=$A$15),$M37&gt;(ROW(PLE.lastrow)-ROW(PLE.firstrow))),0,
           IF(OFFSET(PLE!$G$15,$M37-$A$15,CX$13)="",10^12,OFFSET(PLE!$G$15,$M37-$A$15,CX$13)))</f>
        <v>1000000000000</v>
      </c>
      <c r="CY37" s="172" cm="1">
        <f t="array" aca="1" ref="CY37" ca="1">IF(OR($D37&lt;&gt;"Serviço",AND(AUTOEVENTO="Manual",$M37=$A$15),$M37&gt;(ROW(PLE.lastrow)-ROW(PLE.firstrow))),0,
           IF(OFFSET(PLE!$G$15,$M37-$A$15,CY$13)="",10^12,OFFSET(PLE!$G$15,$M37-$A$15,CY$13)))</f>
        <v>1000000000000</v>
      </c>
      <c r="CZ37" s="172" cm="1">
        <f t="array" aca="1" ref="CZ37" ca="1">IF(OR($D37&lt;&gt;"Serviço",AND(AUTOEVENTO="Manual",$M37=$A$15),$M37&gt;(ROW(PLE.lastrow)-ROW(PLE.firstrow))),0,
           IF(OFFSET(PLE!$G$15,$M37-$A$15,CZ$13)="",10^12,OFFSET(PLE!$G$15,$M37-$A$15,CZ$13)))</f>
        <v>1000000000000</v>
      </c>
      <c r="DA37" s="172" cm="1">
        <f t="array" aca="1" ref="DA37" ca="1">IF(OR($D37&lt;&gt;"Serviço",AND(AUTOEVENTO="Manual",$M37=$A$15),$M37&gt;(ROW(PLE.lastrow)-ROW(PLE.firstrow))),0,
           IF(OFFSET(PLE!$G$15,$M37-$A$15,DA$13)="",10^12,OFFSET(PLE!$G$15,$M37-$A$15,DA$13)))</f>
        <v>1000000000000</v>
      </c>
      <c r="DB37" s="172" cm="1">
        <f t="array" aca="1" ref="DB37" ca="1">IF(OR($D37&lt;&gt;"Serviço",AND(AUTOEVENTO="Manual",$M37=$A$15),$M37&gt;(ROW(PLE.lastrow)-ROW(PLE.firstrow))),0,
           IF(OFFSET(PLE!$G$15,$M37-$A$15,DB$13)="",10^12,OFFSET(PLE!$G$15,$M37-$A$15,DB$13)))</f>
        <v>1000000000000</v>
      </c>
      <c r="DC37" s="172" cm="1">
        <f t="array" aca="1" ref="DC37" ca="1">IF(OR($D37&lt;&gt;"Serviço",AND(AUTOEVENTO="Manual",$M37=$A$15),$M37&gt;(ROW(PLE.lastrow)-ROW(PLE.firstrow))),0,
           IF(OFFSET(PLE!$G$15,$M37-$A$15,DC$13)="",10^12,OFFSET(PLE!$G$15,$M37-$A$15,DC$13)))</f>
        <v>1000000000000</v>
      </c>
      <c r="DD37" s="172" cm="1">
        <f t="array" aca="1" ref="DD37" ca="1">IF(OR($D37&lt;&gt;"Serviço",AND(AUTOEVENTO="Manual",$M37=$A$15),$M37&gt;(ROW(PLE.lastrow)-ROW(PLE.firstrow))),0,
           IF(OFFSET(PLE!$G$15,$M37-$A$15,DD$13)="",10^12,OFFSET(PLE!$G$15,$M37-$A$15,DD$13)))</f>
        <v>1000000000000</v>
      </c>
      <c r="DE37" s="172" cm="1">
        <f t="array" aca="1" ref="DE37" ca="1">IF(OR($D37&lt;&gt;"Serviço",AND(AUTOEVENTO="Manual",$M37=$A$15),$M37&gt;(ROW(PLE.lastrow)-ROW(PLE.firstrow))),0,
           IF(OFFSET(PLE!$G$15,$M37-$A$15,DE$13)="",10^12,OFFSET(PLE!$G$15,$M37-$A$15,DE$13)))</f>
        <v>1000000000000</v>
      </c>
      <c r="DF37" s="172" cm="1">
        <f t="array" aca="1" ref="DF37" ca="1">IF(OR($D37&lt;&gt;"Serviço",AND(AUTOEVENTO="Manual",$M37=$A$15),$M37&gt;(ROW(PLE.lastrow)-ROW(PLE.firstrow))),0,
           IF(OFFSET(PLE!$G$15,$M37-$A$15,DF$13)="",10^12,OFFSET(PLE!$G$15,$M37-$A$15,DF$13)))</f>
        <v>1000000000000</v>
      </c>
      <c r="DG37" s="172" cm="1">
        <f t="array" aca="1" ref="DG37" ca="1">IF(OR($D37&lt;&gt;"Serviço",AND(AUTOEVENTO="Manual",$M37=$A$15),$M37&gt;(ROW(PLE.lastrow)-ROW(PLE.firstrow))),0,
           IF(OFFSET(PLE!$G$15,$M37-$A$15,DG$13)="",10^12,OFFSET(PLE!$G$15,$M37-$A$15,DG$13)))</f>
        <v>1000000000000</v>
      </c>
      <c r="DH37" s="172" cm="1">
        <f t="array" aca="1" ref="DH37" ca="1">IF(OR($D37&lt;&gt;"Serviço",AND(AUTOEVENTO="Manual",$M37=$A$15),$M37&gt;(ROW(PLE.lastrow)-ROW(PLE.firstrow))),0,
           IF(OFFSET(PLE!$G$15,$M37-$A$15,DH$13)="",10^12,OFFSET(PLE!$G$15,$M37-$A$15,DH$13)))</f>
        <v>1000000000000</v>
      </c>
      <c r="DI37" s="172" cm="1">
        <f t="array" aca="1" ref="DI37" ca="1">IF(OR($D37&lt;&gt;"Serviço",AND(AUTOEVENTO="Manual",$M37=$A$15),$M37&gt;(ROW(PLE.lastrow)-ROW(PLE.firstrow))),0,
           IF(OFFSET(PLE!$G$15,$M37-$A$15,DI$13)="",10^12,OFFSET(PLE!$G$15,$M37-$A$15,DI$13)))</f>
        <v>1000000000000</v>
      </c>
      <c r="DJ37" s="172" cm="1">
        <f t="array" aca="1" ref="DJ37" ca="1">IF(OR($D37&lt;&gt;"Serviço",AND(AUTOEVENTO="Manual",$M37=$A$15),$M37&gt;(ROW(PLE.lastrow)-ROW(PLE.firstrow))),0,
           IF(OFFSET(PLE!$G$15,$M37-$A$15,DJ$13)="",10^12,OFFSET(PLE!$G$15,$M37-$A$15,DJ$13)))</f>
        <v>1000000000000</v>
      </c>
      <c r="DK37" s="172" cm="1">
        <f t="array" aca="1" ref="DK37" ca="1">IF(OR($D37&lt;&gt;"Serviço",AND(AUTOEVENTO="Manual",$M37=$A$15),$M37&gt;(ROW(PLE.lastrow)-ROW(PLE.firstrow))),0,
           IF(OFFSET(PLE!$G$15,$M37-$A$15,DK$13)="",10^12,OFFSET(PLE!$G$15,$M37-$A$15,DK$13)))</f>
        <v>1000000000000</v>
      </c>
      <c r="DL37" s="172" cm="1">
        <f t="array" aca="1" ref="DL37" ca="1">IF(OR($D37&lt;&gt;"Serviço",AND(AUTOEVENTO="Manual",$M37=$A$15),$M37&gt;(ROW(PLE.lastrow)-ROW(PLE.firstrow))),0,
           IF(OFFSET(PLE!$G$15,$M37-$A$15,DL$13)="",10^12,OFFSET(PLE!$G$15,$M37-$A$15,DL$13)))</f>
        <v>1000000000000</v>
      </c>
      <c r="DM37" s="172" cm="1">
        <f t="array" aca="1" ref="DM37" ca="1">IF(OR($D37&lt;&gt;"Serviço",AND(AUTOEVENTO="Manual",$M37=$A$15),$M37&gt;(ROW(PLE.lastrow)-ROW(PLE.firstrow))),0,
           IF(OFFSET(PLE!$G$15,$M37-$A$15,DM$13)="",10^12,OFFSET(PLE!$G$15,$M37-$A$15,DM$13)))</f>
        <v>1000000000000</v>
      </c>
      <c r="DN37" s="172" cm="1">
        <f t="array" aca="1" ref="DN37" ca="1">IF(OR($D37&lt;&gt;"Serviço",AND(AUTOEVENTO="Manual",$M37=$A$15),$M37&gt;(ROW(PLE.lastrow)-ROW(PLE.firstrow))),0,
           IF(OFFSET(PLE!$G$15,$M37-$A$15,DN$13)="",10^12,OFFSET(PLE!$G$15,$M37-$A$15,DN$13)))</f>
        <v>1000000000000</v>
      </c>
      <c r="DO37" s="172" cm="1">
        <f t="array" aca="1" ref="DO37" ca="1">IF(OR($D37&lt;&gt;"Serviço",AND(AUTOEVENTO="Manual",$M37=$A$15),$M37&gt;(ROW(PLE.lastrow)-ROW(PLE.firstrow))),0,
           IF(OFFSET(PLE!$G$15,$M37-$A$15,DO$13)="",10^12,OFFSET(PLE!$G$15,$M37-$A$15,DO$13)))</f>
        <v>1000000000000</v>
      </c>
      <c r="DP37" s="172" cm="1">
        <f t="array" aca="1" ref="DP37" ca="1">IF(OR($D37&lt;&gt;"Serviço",AND(AUTOEVENTO="Manual",$M37=$A$15),$M37&gt;(ROW(PLE.lastrow)-ROW(PLE.firstrow))),0,
           IF(OFFSET(PLE!$G$15,$M37-$A$15,DP$13)="",10^12,OFFSET(PLE!$G$15,$M37-$A$15,DP$13)))</f>
        <v>1000000000000</v>
      </c>
      <c r="DQ37" s="172" cm="1">
        <f t="array" aca="1" ref="DQ37" ca="1">IF(OR($D37&lt;&gt;"Serviço",AND(AUTOEVENTO="Manual",$M37=$A$15),$M37&gt;(ROW(PLE.lastrow)-ROW(PLE.firstrow))),0,
           IF(OFFSET(PLE!$G$15,$M37-$A$15,DQ$13)="",10^12,OFFSET(PLE!$G$15,$M37-$A$15,DQ$13)))</f>
        <v>1000000000000</v>
      </c>
      <c r="DR37" s="172" cm="1">
        <f t="array" aca="1" ref="DR37" ca="1">IF(OR($D37&lt;&gt;"Serviço",AND(AUTOEVENTO="Manual",$M37=$A$15),$M37&gt;(ROW(PLE.lastrow)-ROW(PLE.firstrow))),0,
           IF(OFFSET(PLE!$G$15,$M37-$A$15,DR$13)="",10^12,OFFSET(PLE!$G$15,$M37-$A$15,DR$13)))</f>
        <v>1000000000000</v>
      </c>
      <c r="DS37" s="172" cm="1">
        <f t="array" aca="1" ref="DS37" ca="1">IF(OR($D37&lt;&gt;"Serviço",AND(AUTOEVENTO="Manual",$M37=$A$15),$M37&gt;(ROW(PLE.lastrow)-ROW(PLE.firstrow))),0,
           IF(OFFSET(PLE!$G$15,$M37-$A$15,DS$13)="",10^12,OFFSET(PLE!$G$15,$M37-$A$15,DS$13)))</f>
        <v>1000000000000</v>
      </c>
    </row>
    <row r="38" spans="1:123" ht="25.5" x14ac:dyDescent="0.2">
      <c r="A38" s="7">
        <f t="shared" ca="1" si="11"/>
        <v>3</v>
      </c>
      <c r="B38" s="7" t="str">
        <f ca="1">OFFSET(ORÇAMENTO!C$15,$L38,0)</f>
        <v>S</v>
      </c>
      <c r="C38" s="7" t="str">
        <f ca="1">OFFSET(ORÇAMENTO!L$15,$L38,0)</f>
        <v/>
      </c>
      <c r="D38" s="116" t="str">
        <f ca="1">OFFSET(ORÇAMENTO!N$15,$L38,0)</f>
        <v>Serviço</v>
      </c>
      <c r="E38" s="117" t="str">
        <f ca="1">OFFSET(ORÇAMENTO!O$15,$L38,0)</f>
        <v>-</v>
      </c>
      <c r="F38" s="163" t="str">
        <f ca="1">OFFSET(ORÇAMENTO!R$15,$L38,0)</f>
        <v>(Código não identificado nas referências)</v>
      </c>
      <c r="G38" s="164" t="str">
        <f ca="1">IF($D38&lt;&gt;"Serviço","",OFFSET(ORÇAMENTO!S$15,$L38,0))</f>
        <v>-</v>
      </c>
      <c r="H38" s="122" cm="1">
        <f t="array" aca="1" ref="H38" ca="1">IF($D38&lt;&gt;"Serviço",0,IF(ACOMPANHAMENTO="BM",ROUND(OFFSET(ORÇAMENTO!AJ$15,$L38,0),15-13*ORÇAMENTO!$AF$7),IF(IFERROR(CÁLCULO.FrentesPreenchidas,0)=0,0,SUM(ROUND(OFFSET($P38,0,1,1,CÁLCULO.FrentesPreenchidas),15-13*ORÇAMENTO!$AF$7)))))</f>
        <v>136.6</v>
      </c>
      <c r="I38" s="468" t="s">
        <v>1235</v>
      </c>
      <c r="J38" s="651" t="str" cm="1">
        <f t="array" aca="1" ref="J38" ca="1">IF(OR(B38&lt;&gt;"S",CÁLCULO.FrentesPreenchidas=0),"",IF(AND(ACOMPANHAMENTO="PLE",AUTOEVENTO="Manual",OR(H38&gt;0,ORÇAMENTO!AC38="QUANT."),OR(K38="",M38=0,N38="")),"►E",IF(AND(ACOMPANHAMENTO="PLE",ORÇAMENTO!AC38="QUANT."),"►Q",IF(AND(ACOMPANHAMENTO="PLE",H38&lt;&gt;SUMPRODUCT(($Q$1:$AQ$1=1)*ROUND(Q38:AQ38,15))),"►S",IF(AND(COUNTIF($P$11:$AQ$11,"▼")=0,H38&gt;0,I38=""),"◄M","")))))</f>
        <v/>
      </c>
      <c r="K38" s="652" t="s">
        <v>1250</v>
      </c>
      <c r="L38" s="165">
        <f t="shared" ca="1" si="12"/>
        <v>23</v>
      </c>
      <c r="M38" s="166">
        <f ca="1">IF($D38&lt;&gt;"Serviço","",
          IF(AUTOEVENTO="manual",$A38,
                IF(ISERROR(MATCH($A38,$A$15:OFFSET($A38,-1,0),0)),MAX($M$15:OFFSET(M38,-1,0))+1,
                      INDEX($M$15:OFFSET(M38,-1,0),MATCH($A38,$A$15:OFFSET($A38,-1,0),0)))))</f>
        <v>3</v>
      </c>
      <c r="N38" s="167" t="str">
        <f ca="1">IF($D38&lt;&gt;"Serviço","",
         IF(AUTOEVENTO="Manual",
                IF($A38=0,"&lt;-- defina o número do agrupador",
                       OFFSET(EVENTOS!$D$15,$A38-$A$15,0)),
                OFFSET($F$15,$A38,0)))</f>
        <v>FUNDAÇÕES</v>
      </c>
      <c r="O38" s="168"/>
      <c r="Q38" s="168">
        <v>6.83</v>
      </c>
      <c r="R38" s="169">
        <v>6.83</v>
      </c>
      <c r="S38" s="169">
        <v>6.83</v>
      </c>
      <c r="T38" s="169">
        <v>6.83</v>
      </c>
      <c r="U38" s="169">
        <v>6.83</v>
      </c>
      <c r="V38" s="169">
        <v>6.83</v>
      </c>
      <c r="W38" s="169">
        <v>6.83</v>
      </c>
      <c r="X38" s="169">
        <v>6.83</v>
      </c>
      <c r="Y38" s="169">
        <v>6.83</v>
      </c>
      <c r="Z38" s="170">
        <v>6.83</v>
      </c>
      <c r="AA38" s="169">
        <v>6.83</v>
      </c>
      <c r="AB38" s="169">
        <v>6.83</v>
      </c>
      <c r="AC38" s="169">
        <v>6.83</v>
      </c>
      <c r="AD38" s="169">
        <v>6.83</v>
      </c>
      <c r="AE38" s="169">
        <v>6.83</v>
      </c>
      <c r="AF38" s="169">
        <v>6.83</v>
      </c>
      <c r="AG38" s="169">
        <v>6.83</v>
      </c>
      <c r="AH38" s="170">
        <v>6.83</v>
      </c>
      <c r="AI38" s="169">
        <v>6.83</v>
      </c>
      <c r="AJ38" s="169">
        <v>6.83</v>
      </c>
      <c r="AK38" s="169"/>
      <c r="AL38" s="169"/>
      <c r="AM38" s="169"/>
      <c r="AN38" s="169"/>
      <c r="AO38" s="169"/>
      <c r="AP38" s="170"/>
      <c r="AR38" s="453">
        <f ca="1">IF(AND($D38="Serviço",AR$12&lt;&gt;0,$H38&gt;0,OR(AUTOEVENTO&lt;&gt;"manual",$M38&lt;&gt;$A$15)),
        IF(Import.TipoArredondamento&lt;&gt;"TransfereGOV",
              ROUND(OFFSET($P38,0,AR$13),15-13*ORÇAMENTO!$AF$7)/$H38*OFFSET(ORÇAMENTO!$X$15,ROW(AR38)-ROW(AR$15),0),
              ROUND(ROUND(OFFSET($P38,0,AR$13),15-13*ORÇAMENTO!$AF$7)*OFFSET(ORÇAMENTO!$W$15,ROW(AR38)-ROW(AR$15),0),15-13*ORÇAMENTO!$AF$11)),
         0)</f>
        <v>0</v>
      </c>
      <c r="AS38" s="453">
        <f ca="1">IF(AND($D38="Serviço",AS$12&lt;&gt;0,$H38&gt;0,OR(AUTOEVENTO&lt;&gt;"manual",$M38&lt;&gt;$A$15)),
        IF(Import.TipoArredondamento&lt;&gt;"TransfereGOV",
              ROUND(OFFSET($P38,0,AS$13),15-13*ORÇAMENTO!$AF$7)/$H38*OFFSET(ORÇAMENTO!$X$15,ROW(AS38)-ROW(AS$15),0),
              ROUND(ROUND(OFFSET($P38,0,AS$13),15-13*ORÇAMENTO!$AF$7)*OFFSET(ORÇAMENTO!$W$15,ROW(AS38)-ROW(AS$15),0),15-13*ORÇAMENTO!$AF$11)),
         0)</f>
        <v>0</v>
      </c>
      <c r="AT38" s="453">
        <f ca="1">IF(AND($D38="Serviço",AT$12&lt;&gt;0,$H38&gt;0,OR(AUTOEVENTO&lt;&gt;"manual",$M38&lt;&gt;$A$15)),
        IF(Import.TipoArredondamento&lt;&gt;"TransfereGOV",
              ROUND(OFFSET($P38,0,AT$13),15-13*ORÇAMENTO!$AF$7)/$H38*OFFSET(ORÇAMENTO!$X$15,ROW(AT38)-ROW(AT$15),0),
              ROUND(ROUND(OFFSET($P38,0,AT$13),15-13*ORÇAMENTO!$AF$7)*OFFSET(ORÇAMENTO!$W$15,ROW(AT38)-ROW(AT$15),0),15-13*ORÇAMENTO!$AF$11)),
         0)</f>
        <v>0</v>
      </c>
      <c r="AU38" s="453">
        <f ca="1">IF(AND($D38="Serviço",AU$12&lt;&gt;0,$H38&gt;0,OR(AUTOEVENTO&lt;&gt;"manual",$M38&lt;&gt;$A$15)),
        IF(Import.TipoArredondamento&lt;&gt;"TransfereGOV",
              ROUND(OFFSET($P38,0,AU$13),15-13*ORÇAMENTO!$AF$7)/$H38*OFFSET(ORÇAMENTO!$X$15,ROW(AU38)-ROW(AU$15),0),
              ROUND(ROUND(OFFSET($P38,0,AU$13),15-13*ORÇAMENTO!$AF$7)*OFFSET(ORÇAMENTO!$W$15,ROW(AU38)-ROW(AU$15),0),15-13*ORÇAMENTO!$AF$11)),
         0)</f>
        <v>0</v>
      </c>
      <c r="AV38" s="453">
        <f ca="1">IF(AND($D38="Serviço",AV$12&lt;&gt;0,$H38&gt;0,OR(AUTOEVENTO&lt;&gt;"manual",$M38&lt;&gt;$A$15)),
        IF(Import.TipoArredondamento&lt;&gt;"TransfereGOV",
              ROUND(OFFSET($P38,0,AV$13),15-13*ORÇAMENTO!$AF$7)/$H38*OFFSET(ORÇAMENTO!$X$15,ROW(AV38)-ROW(AV$15),0),
              ROUND(ROUND(OFFSET($P38,0,AV$13),15-13*ORÇAMENTO!$AF$7)*OFFSET(ORÇAMENTO!$W$15,ROW(AV38)-ROW(AV$15),0),15-13*ORÇAMENTO!$AF$11)),
         0)</f>
        <v>0</v>
      </c>
      <c r="AW38" s="453">
        <f ca="1">IF(AND($D38="Serviço",AW$12&lt;&gt;0,$H38&gt;0,OR(AUTOEVENTO&lt;&gt;"manual",$M38&lt;&gt;$A$15)),
        IF(Import.TipoArredondamento&lt;&gt;"TransfereGOV",
              ROUND(OFFSET($P38,0,AW$13),15-13*ORÇAMENTO!$AF$7)/$H38*OFFSET(ORÇAMENTO!$X$15,ROW(AW38)-ROW(AW$15),0),
              ROUND(ROUND(OFFSET($P38,0,AW$13),15-13*ORÇAMENTO!$AF$7)*OFFSET(ORÇAMENTO!$W$15,ROW(AW38)-ROW(AW$15),0),15-13*ORÇAMENTO!$AF$11)),
         0)</f>
        <v>0</v>
      </c>
      <c r="AX38" s="453">
        <f ca="1">IF(AND($D38="Serviço",AX$12&lt;&gt;0,$H38&gt;0,OR(AUTOEVENTO&lt;&gt;"manual",$M38&lt;&gt;$A$15)),
        IF(Import.TipoArredondamento&lt;&gt;"TransfereGOV",
              ROUND(OFFSET($P38,0,AX$13),15-13*ORÇAMENTO!$AF$7)/$H38*OFFSET(ORÇAMENTO!$X$15,ROW(AX38)-ROW(AX$15),0),
              ROUND(ROUND(OFFSET($P38,0,AX$13),15-13*ORÇAMENTO!$AF$7)*OFFSET(ORÇAMENTO!$W$15,ROW(AX38)-ROW(AX$15),0),15-13*ORÇAMENTO!$AF$11)),
         0)</f>
        <v>0</v>
      </c>
      <c r="AY38" s="453">
        <f ca="1">IF(AND($D38="Serviço",AY$12&lt;&gt;0,$H38&gt;0,OR(AUTOEVENTO&lt;&gt;"manual",$M38&lt;&gt;$A$15)),
        IF(Import.TipoArredondamento&lt;&gt;"TransfereGOV",
              ROUND(OFFSET($P38,0,AY$13),15-13*ORÇAMENTO!$AF$7)/$H38*OFFSET(ORÇAMENTO!$X$15,ROW(AY38)-ROW(AY$15),0),
              ROUND(ROUND(OFFSET($P38,0,AY$13),15-13*ORÇAMENTO!$AF$7)*OFFSET(ORÇAMENTO!$W$15,ROW(AY38)-ROW(AY$15),0),15-13*ORÇAMENTO!$AF$11)),
         0)</f>
        <v>0</v>
      </c>
      <c r="AZ38" s="453">
        <f ca="1">IF(AND($D38="Serviço",AZ$12&lt;&gt;0,$H38&gt;0,OR(AUTOEVENTO&lt;&gt;"manual",$M38&lt;&gt;$A$15)),
        IF(Import.TipoArredondamento&lt;&gt;"TransfereGOV",
              ROUND(OFFSET($P38,0,AZ$13),15-13*ORÇAMENTO!$AF$7)/$H38*OFFSET(ORÇAMENTO!$X$15,ROW(AZ38)-ROW(AZ$15),0),
              ROUND(ROUND(OFFSET($P38,0,AZ$13),15-13*ORÇAMENTO!$AF$7)*OFFSET(ORÇAMENTO!$W$15,ROW(AZ38)-ROW(AZ$15),0),15-13*ORÇAMENTO!$AF$11)),
         0)</f>
        <v>0</v>
      </c>
      <c r="BA38" s="453">
        <f ca="1">IF(AND($D38="Serviço",BA$12&lt;&gt;0,$H38&gt;0,OR(AUTOEVENTO&lt;&gt;"manual",$M38&lt;&gt;$A$15)),
        IF(Import.TipoArredondamento&lt;&gt;"TransfereGOV",
              ROUND(OFFSET($P38,0,BA$13),15-13*ORÇAMENTO!$AF$7)/$H38*OFFSET(ORÇAMENTO!$X$15,ROW(BA38)-ROW(BA$15),0),
              ROUND(ROUND(OFFSET($P38,0,BA$13),15-13*ORÇAMENTO!$AF$7)*OFFSET(ORÇAMENTO!$W$15,ROW(BA38)-ROW(BA$15),0),15-13*ORÇAMENTO!$AF$11)),
         0)</f>
        <v>0</v>
      </c>
      <c r="BB38" s="453">
        <f ca="1">IF(AND($D38="Serviço",BB$12&lt;&gt;0,$H38&gt;0,OR(AUTOEVENTO&lt;&gt;"manual",$M38&lt;&gt;$A$15)),
        IF(Import.TipoArredondamento&lt;&gt;"TransfereGOV",
              ROUND(OFFSET($P38,0,BB$13),15-13*ORÇAMENTO!$AF$7)/$H38*OFFSET(ORÇAMENTO!$X$15,ROW(BB38)-ROW(BB$15),0),
              ROUND(ROUND(OFFSET($P38,0,BB$13),15-13*ORÇAMENTO!$AF$7)*OFFSET(ORÇAMENTO!$W$15,ROW(BB38)-ROW(BB$15),0),15-13*ORÇAMENTO!$AF$11)),
         0)</f>
        <v>0</v>
      </c>
      <c r="BC38" s="453">
        <f ca="1">IF(AND($D38="Serviço",BC$12&lt;&gt;0,$H38&gt;0,OR(AUTOEVENTO&lt;&gt;"manual",$M38&lt;&gt;$A$15)),
        IF(Import.TipoArredondamento&lt;&gt;"TransfereGOV",
              ROUND(OFFSET($P38,0,BC$13),15-13*ORÇAMENTO!$AF$7)/$H38*OFFSET(ORÇAMENTO!$X$15,ROW(BC38)-ROW(BC$15),0),
              ROUND(ROUND(OFFSET($P38,0,BC$13),15-13*ORÇAMENTO!$AF$7)*OFFSET(ORÇAMENTO!$W$15,ROW(BC38)-ROW(BC$15),0),15-13*ORÇAMENTO!$AF$11)),
         0)</f>
        <v>0</v>
      </c>
      <c r="BD38" s="453">
        <f ca="1">IF(AND($D38="Serviço",BD$12&lt;&gt;0,$H38&gt;0,OR(AUTOEVENTO&lt;&gt;"manual",$M38&lt;&gt;$A$15)),
        IF(Import.TipoArredondamento&lt;&gt;"TransfereGOV",
              ROUND(OFFSET($P38,0,BD$13),15-13*ORÇAMENTO!$AF$7)/$H38*OFFSET(ORÇAMENTO!$X$15,ROW(BD38)-ROW(BD$15),0),
              ROUND(ROUND(OFFSET($P38,0,BD$13),15-13*ORÇAMENTO!$AF$7)*OFFSET(ORÇAMENTO!$W$15,ROW(BD38)-ROW(BD$15),0),15-13*ORÇAMENTO!$AF$11)),
         0)</f>
        <v>0</v>
      </c>
      <c r="BE38" s="453">
        <f ca="1">IF(AND($D38="Serviço",BE$12&lt;&gt;0,$H38&gt;0,OR(AUTOEVENTO&lt;&gt;"manual",$M38&lt;&gt;$A$15)),
        IF(Import.TipoArredondamento&lt;&gt;"TransfereGOV",
              ROUND(OFFSET($P38,0,BE$13),15-13*ORÇAMENTO!$AF$7)/$H38*OFFSET(ORÇAMENTO!$X$15,ROW(BE38)-ROW(BE$15),0),
              ROUND(ROUND(OFFSET($P38,0,BE$13),15-13*ORÇAMENTO!$AF$7)*OFFSET(ORÇAMENTO!$W$15,ROW(BE38)-ROW(BE$15),0),15-13*ORÇAMENTO!$AF$11)),
         0)</f>
        <v>0</v>
      </c>
      <c r="BF38" s="453">
        <f ca="1">IF(AND($D38="Serviço",BF$12&lt;&gt;0,$H38&gt;0,OR(AUTOEVENTO&lt;&gt;"manual",$M38&lt;&gt;$A$15)),
        IF(Import.TipoArredondamento&lt;&gt;"TransfereGOV",
              ROUND(OFFSET($P38,0,BF$13),15-13*ORÇAMENTO!$AF$7)/$H38*OFFSET(ORÇAMENTO!$X$15,ROW(BF38)-ROW(BF$15),0),
              ROUND(ROUND(OFFSET($P38,0,BF$13),15-13*ORÇAMENTO!$AF$7)*OFFSET(ORÇAMENTO!$W$15,ROW(BF38)-ROW(BF$15),0),15-13*ORÇAMENTO!$AF$11)),
         0)</f>
        <v>0</v>
      </c>
      <c r="BG38" s="453">
        <f ca="1">IF(AND($D38="Serviço",BG$12&lt;&gt;0,$H38&gt;0,OR(AUTOEVENTO&lt;&gt;"manual",$M38&lt;&gt;$A$15)),
        IF(Import.TipoArredondamento&lt;&gt;"TransfereGOV",
              ROUND(OFFSET($P38,0,BG$13),15-13*ORÇAMENTO!$AF$7)/$H38*OFFSET(ORÇAMENTO!$X$15,ROW(BG38)-ROW(BG$15),0),
              ROUND(ROUND(OFFSET($P38,0,BG$13),15-13*ORÇAMENTO!$AF$7)*OFFSET(ORÇAMENTO!$W$15,ROW(BG38)-ROW(BG$15),0),15-13*ORÇAMENTO!$AF$11)),
         0)</f>
        <v>0</v>
      </c>
      <c r="BH38" s="453">
        <f ca="1">IF(AND($D38="Serviço",BH$12&lt;&gt;0,$H38&gt;0,OR(AUTOEVENTO&lt;&gt;"manual",$M38&lt;&gt;$A$15)),
        IF(Import.TipoArredondamento&lt;&gt;"TransfereGOV",
              ROUND(OFFSET($P38,0,BH$13),15-13*ORÇAMENTO!$AF$7)/$H38*OFFSET(ORÇAMENTO!$X$15,ROW(BH38)-ROW(BH$15),0),
              ROUND(ROUND(OFFSET($P38,0,BH$13),15-13*ORÇAMENTO!$AF$7)*OFFSET(ORÇAMENTO!$W$15,ROW(BH38)-ROW(BH$15),0),15-13*ORÇAMENTO!$AF$11)),
         0)</f>
        <v>0</v>
      </c>
      <c r="BI38" s="453">
        <f ca="1">IF(AND($D38="Serviço",BI$12&lt;&gt;0,$H38&gt;0,OR(AUTOEVENTO&lt;&gt;"manual",$M38&lt;&gt;$A$15)),
        IF(Import.TipoArredondamento&lt;&gt;"TransfereGOV",
              ROUND(OFFSET($P38,0,BI$13),15-13*ORÇAMENTO!$AF$7)/$H38*OFFSET(ORÇAMENTO!$X$15,ROW(BI38)-ROW(BI$15),0),
              ROUND(ROUND(OFFSET($P38,0,BI$13),15-13*ORÇAMENTO!$AF$7)*OFFSET(ORÇAMENTO!$W$15,ROW(BI38)-ROW(BI$15),0),15-13*ORÇAMENTO!$AF$11)),
         0)</f>
        <v>0</v>
      </c>
      <c r="BJ38" s="453">
        <f ca="1">IF(AND($D38="Serviço",BJ$12&lt;&gt;0,$H38&gt;0,OR(AUTOEVENTO&lt;&gt;"manual",$M38&lt;&gt;$A$15)),
        IF(Import.TipoArredondamento&lt;&gt;"TransfereGOV",
              ROUND(OFFSET($P38,0,BJ$13),15-13*ORÇAMENTO!$AF$7)/$H38*OFFSET(ORÇAMENTO!$X$15,ROW(BJ38)-ROW(BJ$15),0),
              ROUND(ROUND(OFFSET($P38,0,BJ$13),15-13*ORÇAMENTO!$AF$7)*OFFSET(ORÇAMENTO!$W$15,ROW(BJ38)-ROW(BJ$15),0),15-13*ORÇAMENTO!$AF$11)),
         0)</f>
        <v>0</v>
      </c>
      <c r="BK38" s="453">
        <f ca="1">IF(AND($D38="Serviço",BK$12&lt;&gt;0,$H38&gt;0,OR(AUTOEVENTO&lt;&gt;"manual",$M38&lt;&gt;$A$15)),
        IF(Import.TipoArredondamento&lt;&gt;"TransfereGOV",
              ROUND(OFFSET($P38,0,BK$13),15-13*ORÇAMENTO!$AF$7)/$H38*OFFSET(ORÇAMENTO!$X$15,ROW(BK38)-ROW(BK$15),0),
              ROUND(ROUND(OFFSET($P38,0,BK$13),15-13*ORÇAMENTO!$AF$7)*OFFSET(ORÇAMENTO!$W$15,ROW(BK38)-ROW(BK$15),0),15-13*ORÇAMENTO!$AF$11)),
         0)</f>
        <v>0</v>
      </c>
      <c r="BL38" s="453">
        <f ca="1">IF(AND($D38="Serviço",BL$12&lt;&gt;0,$H38&gt;0,OR(AUTOEVENTO&lt;&gt;"manual",$M38&lt;&gt;$A$15)),
        IF(Import.TipoArredondamento&lt;&gt;"TransfereGOV",
              ROUND(OFFSET($P38,0,BL$13),15-13*ORÇAMENTO!$AF$7)/$H38*OFFSET(ORÇAMENTO!$X$15,ROW(BL38)-ROW(BL$15),0),
              ROUND(ROUND(OFFSET($P38,0,BL$13),15-13*ORÇAMENTO!$AF$7)*OFFSET(ORÇAMENTO!$W$15,ROW(BL38)-ROW(BL$15),0),15-13*ORÇAMENTO!$AF$11)),
         0)</f>
        <v>0</v>
      </c>
      <c r="BM38" s="453">
        <f ca="1">IF(AND($D38="Serviço",BM$12&lt;&gt;0,$H38&gt;0,OR(AUTOEVENTO&lt;&gt;"manual",$M38&lt;&gt;$A$15)),
        IF(Import.TipoArredondamento&lt;&gt;"TransfereGOV",
              ROUND(OFFSET($P38,0,BM$13),15-13*ORÇAMENTO!$AF$7)/$H38*OFFSET(ORÇAMENTO!$X$15,ROW(BM38)-ROW(BM$15),0),
              ROUND(ROUND(OFFSET($P38,0,BM$13),15-13*ORÇAMENTO!$AF$7)*OFFSET(ORÇAMENTO!$W$15,ROW(BM38)-ROW(BM$15),0),15-13*ORÇAMENTO!$AF$11)),
         0)</f>
        <v>0</v>
      </c>
      <c r="BN38" s="453">
        <f ca="1">IF(AND($D38="Serviço",BN$12&lt;&gt;0,$H38&gt;0,OR(AUTOEVENTO&lt;&gt;"manual",$M38&lt;&gt;$A$15)),
        IF(Import.TipoArredondamento&lt;&gt;"TransfereGOV",
              ROUND(OFFSET($P38,0,BN$13),15-13*ORÇAMENTO!$AF$7)/$H38*OFFSET(ORÇAMENTO!$X$15,ROW(BN38)-ROW(BN$15),0),
              ROUND(ROUND(OFFSET($P38,0,BN$13),15-13*ORÇAMENTO!$AF$7)*OFFSET(ORÇAMENTO!$W$15,ROW(BN38)-ROW(BN$15),0),15-13*ORÇAMENTO!$AF$11)),
         0)</f>
        <v>0</v>
      </c>
      <c r="BO38" s="453">
        <f ca="1">IF(AND($D38="Serviço",BO$12&lt;&gt;0,$H38&gt;0,OR(AUTOEVENTO&lt;&gt;"manual",$M38&lt;&gt;$A$15)),
        IF(Import.TipoArredondamento&lt;&gt;"TransfereGOV",
              ROUND(OFFSET($P38,0,BO$13),15-13*ORÇAMENTO!$AF$7)/$H38*OFFSET(ORÇAMENTO!$X$15,ROW(BO38)-ROW(BO$15),0),
              ROUND(ROUND(OFFSET($P38,0,BO$13),15-13*ORÇAMENTO!$AF$7)*OFFSET(ORÇAMENTO!$W$15,ROW(BO38)-ROW(BO$15),0),15-13*ORÇAMENTO!$AF$11)),
         0)</f>
        <v>0</v>
      </c>
      <c r="BP38" s="453">
        <f ca="1">IF(AND($D38="Serviço",BP$12&lt;&gt;0,$H38&gt;0,OR(AUTOEVENTO&lt;&gt;"manual",$M38&lt;&gt;$A$15)),
        IF(Import.TipoArredondamento&lt;&gt;"TransfereGOV",
              ROUND(OFFSET($P38,0,BP$13),15-13*ORÇAMENTO!$AF$7)/$H38*OFFSET(ORÇAMENTO!$X$15,ROW(BP38)-ROW(BP$15),0),
              ROUND(ROUND(OFFSET($P38,0,BP$13),15-13*ORÇAMENTO!$AF$7)*OFFSET(ORÇAMENTO!$W$15,ROW(BP38)-ROW(BP$15),0),15-13*ORÇAMENTO!$AF$11)),
         0)</f>
        <v>0</v>
      </c>
      <c r="BQ38" s="453">
        <f ca="1">IF(AND($D38="Serviço",BQ$12&lt;&gt;0,$H38&gt;0,OR(AUTOEVENTO&lt;&gt;"manual",$M38&lt;&gt;$A$15)),
        IF(Import.TipoArredondamento&lt;&gt;"TransfereGOV",
              ROUND(OFFSET($P38,0,BQ$13),15-13*ORÇAMENTO!$AF$7)/$H38*OFFSET(ORÇAMENTO!$X$15,ROW(BQ38)-ROW(BQ$15),0),
              ROUND(ROUND(OFFSET($P38,0,BQ$13),15-13*ORÇAMENTO!$AF$7)*OFFSET(ORÇAMENTO!$W$15,ROW(BQ38)-ROW(BQ$15),0),15-13*ORÇAMENTO!$AF$11)),
         0)</f>
        <v>0</v>
      </c>
      <c r="BS38" s="171">
        <f ca="1">IF(OR($D38&lt;&gt;"Serviço",AND(AUTOEVENTO="Manual",$M38=$A$15)),0,
         IF(OFFSET(CRONOPLE!$F$15,$M38-$A$15,BS$13)=0,10^12,OFFSET(CRONOPLE!$F$15,$M38-$A$15,BS$13)))</f>
        <v>1</v>
      </c>
      <c r="BT38" s="171">
        <f ca="1">IF(OR($D38&lt;&gt;"Serviço",AND(AUTOEVENTO="Manual",$M38=$A$15)),0,
         IF(OFFSET(CRONOPLE!$F$15,$M38-$A$15,BT$13)=0,10^12,OFFSET(CRONOPLE!$F$15,$M38-$A$15,BT$13)))</f>
        <v>2</v>
      </c>
      <c r="BU38" s="171">
        <f ca="1">IF(OR($D38&lt;&gt;"Serviço",AND(AUTOEVENTO="Manual",$M38=$A$15)),0,
         IF(OFFSET(CRONOPLE!$F$15,$M38-$A$15,BU$13)=0,10^12,OFFSET(CRONOPLE!$F$15,$M38-$A$15,BU$13)))</f>
        <v>3</v>
      </c>
      <c r="BV38" s="171">
        <f ca="1">IF(OR($D38&lt;&gt;"Serviço",AND(AUTOEVENTO="Manual",$M38=$A$15)),0,
         IF(OFFSET(CRONOPLE!$F$15,$M38-$A$15,BV$13)=0,10^12,OFFSET(CRONOPLE!$F$15,$M38-$A$15,BV$13)))</f>
        <v>4</v>
      </c>
      <c r="BW38" s="171">
        <f ca="1">IF(OR($D38&lt;&gt;"Serviço",AND(AUTOEVENTO="Manual",$M38=$A$15)),0,
         IF(OFFSET(CRONOPLE!$F$15,$M38-$A$15,BW$13)=0,10^12,OFFSET(CRONOPLE!$F$15,$M38-$A$15,BW$13)))</f>
        <v>5</v>
      </c>
      <c r="BX38" s="171">
        <f ca="1">IF(OR($D38&lt;&gt;"Serviço",AND(AUTOEVENTO="Manual",$M38=$A$15)),0,
         IF(OFFSET(CRONOPLE!$F$15,$M38-$A$15,BX$13)=0,10^12,OFFSET(CRONOPLE!$F$15,$M38-$A$15,BX$13)))</f>
        <v>6</v>
      </c>
      <c r="BY38" s="171">
        <f ca="1">IF(OR($D38&lt;&gt;"Serviço",AND(AUTOEVENTO="Manual",$M38=$A$15)),0,
         IF(OFFSET(CRONOPLE!$F$15,$M38-$A$15,BY$13)=0,10^12,OFFSET(CRONOPLE!$F$15,$M38-$A$15,BY$13)))</f>
        <v>7</v>
      </c>
      <c r="BZ38" s="171">
        <f ca="1">IF(OR($D38&lt;&gt;"Serviço",AND(AUTOEVENTO="Manual",$M38=$A$15)),0,
         IF(OFFSET(CRONOPLE!$F$15,$M38-$A$15,BZ$13)=0,10^12,OFFSET(CRONOPLE!$F$15,$M38-$A$15,BZ$13)))</f>
        <v>8</v>
      </c>
      <c r="CA38" s="171">
        <f ca="1">IF(OR($D38&lt;&gt;"Serviço",AND(AUTOEVENTO="Manual",$M38=$A$15)),0,
         IF(OFFSET(CRONOPLE!$F$15,$M38-$A$15,CA$13)=0,10^12,OFFSET(CRONOPLE!$F$15,$M38-$A$15,CA$13)))</f>
        <v>9</v>
      </c>
      <c r="CB38" s="171">
        <f ca="1">IF(OR($D38&lt;&gt;"Serviço",AND(AUTOEVENTO="Manual",$M38=$A$15)),0,
         IF(OFFSET(CRONOPLE!$F$15,$M38-$A$15,CB$13)=0,10^12,OFFSET(CRONOPLE!$F$15,$M38-$A$15,CB$13)))</f>
        <v>10</v>
      </c>
      <c r="CC38" s="171">
        <f ca="1">IF(OR($D38&lt;&gt;"Serviço",AND(AUTOEVENTO="Manual",$M38=$A$15)),0,
         IF(OFFSET(CRONOPLE!$F$15,$M38-$A$15,CC$13)=0,10^12,OFFSET(CRONOPLE!$F$15,$M38-$A$15,CC$13)))</f>
        <v>11</v>
      </c>
      <c r="CD38" s="171">
        <f ca="1">IF(OR($D38&lt;&gt;"Serviço",AND(AUTOEVENTO="Manual",$M38=$A$15)),0,
         IF(OFFSET(CRONOPLE!$F$15,$M38-$A$15,CD$13)=0,10^12,OFFSET(CRONOPLE!$F$15,$M38-$A$15,CD$13)))</f>
        <v>12</v>
      </c>
      <c r="CE38" s="171">
        <f ca="1">IF(OR($D38&lt;&gt;"Serviço",AND(AUTOEVENTO="Manual",$M38=$A$15)),0,
         IF(OFFSET(CRONOPLE!$F$15,$M38-$A$15,CE$13)=0,10^12,OFFSET(CRONOPLE!$F$15,$M38-$A$15,CE$13)))</f>
        <v>13</v>
      </c>
      <c r="CF38" s="171">
        <f ca="1">IF(OR($D38&lt;&gt;"Serviço",AND(AUTOEVENTO="Manual",$M38=$A$15)),0,
         IF(OFFSET(CRONOPLE!$F$15,$M38-$A$15,CF$13)=0,10^12,OFFSET(CRONOPLE!$F$15,$M38-$A$15,CF$13)))</f>
        <v>14</v>
      </c>
      <c r="CG38" s="171">
        <f ca="1">IF(OR($D38&lt;&gt;"Serviço",AND(AUTOEVENTO="Manual",$M38=$A$15)),0,
         IF(OFFSET(CRONOPLE!$F$15,$M38-$A$15,CG$13)=0,10^12,OFFSET(CRONOPLE!$F$15,$M38-$A$15,CG$13)))</f>
        <v>15</v>
      </c>
      <c r="CH38" s="171">
        <f ca="1">IF(OR($D38&lt;&gt;"Serviço",AND(AUTOEVENTO="Manual",$M38=$A$15)),0,
         IF(OFFSET(CRONOPLE!$F$15,$M38-$A$15,CH$13)=0,10^12,OFFSET(CRONOPLE!$F$15,$M38-$A$15,CH$13)))</f>
        <v>16</v>
      </c>
      <c r="CI38" s="171">
        <f ca="1">IF(OR($D38&lt;&gt;"Serviço",AND(AUTOEVENTO="Manual",$M38=$A$15)),0,
         IF(OFFSET(CRONOPLE!$F$15,$M38-$A$15,CI$13)=0,10^12,OFFSET(CRONOPLE!$F$15,$M38-$A$15,CI$13)))</f>
        <v>17</v>
      </c>
      <c r="CJ38" s="171">
        <f ca="1">IF(OR($D38&lt;&gt;"Serviço",AND(AUTOEVENTO="Manual",$M38=$A$15)),0,
         IF(OFFSET(CRONOPLE!$F$15,$M38-$A$15,CJ$13)=0,10^12,OFFSET(CRONOPLE!$F$15,$M38-$A$15,CJ$13)))</f>
        <v>18</v>
      </c>
      <c r="CK38" s="171">
        <f ca="1">IF(OR($D38&lt;&gt;"Serviço",AND(AUTOEVENTO="Manual",$M38=$A$15)),0,
         IF(OFFSET(CRONOPLE!$F$15,$M38-$A$15,CK$13)=0,10^12,OFFSET(CRONOPLE!$F$15,$M38-$A$15,CK$13)))</f>
        <v>19</v>
      </c>
      <c r="CL38" s="171">
        <f ca="1">IF(OR($D38&lt;&gt;"Serviço",AND(AUTOEVENTO="Manual",$M38=$A$15)),0,
         IF(OFFSET(CRONOPLE!$F$15,$M38-$A$15,CL$13)=0,10^12,OFFSET(CRONOPLE!$F$15,$M38-$A$15,CL$13)))</f>
        <v>20</v>
      </c>
      <c r="CM38" s="171">
        <f ca="1">IF(OR($D38&lt;&gt;"Serviço",AND(AUTOEVENTO="Manual",$M38=$A$15)),0,
         IF(OFFSET(CRONOPLE!$F$15,$M38-$A$15,CM$13)=0,10^12,OFFSET(CRONOPLE!$F$15,$M38-$A$15,CM$13)))</f>
        <v>1000000000000</v>
      </c>
      <c r="CN38" s="171">
        <f ca="1">IF(OR($D38&lt;&gt;"Serviço",AND(AUTOEVENTO="Manual",$M38=$A$15)),0,
         IF(OFFSET(CRONOPLE!$F$15,$M38-$A$15,CN$13)=0,10^12,OFFSET(CRONOPLE!$F$15,$M38-$A$15,CN$13)))</f>
        <v>1000000000000</v>
      </c>
      <c r="CO38" s="171">
        <f ca="1">IF(OR($D38&lt;&gt;"Serviço",AND(AUTOEVENTO="Manual",$M38=$A$15)),0,
         IF(OFFSET(CRONOPLE!$F$15,$M38-$A$15,CO$13)=0,10^12,OFFSET(CRONOPLE!$F$15,$M38-$A$15,CO$13)))</f>
        <v>1000000000000</v>
      </c>
      <c r="CP38" s="171">
        <f ca="1">IF(OR($D38&lt;&gt;"Serviço",AND(AUTOEVENTO="Manual",$M38=$A$15)),0,
         IF(OFFSET(CRONOPLE!$F$15,$M38-$A$15,CP$13)=0,10^12,OFFSET(CRONOPLE!$F$15,$M38-$A$15,CP$13)))</f>
        <v>1000000000000</v>
      </c>
      <c r="CQ38" s="171">
        <f ca="1">IF(OR($D38&lt;&gt;"Serviço",AND(AUTOEVENTO="Manual",$M38=$A$15)),0,
         IF(OFFSET(CRONOPLE!$F$15,$M38-$A$15,CQ$13)=0,10^12,OFFSET(CRONOPLE!$F$15,$M38-$A$15,CQ$13)))</f>
        <v>1000000000000</v>
      </c>
      <c r="CR38" s="171">
        <f ca="1">IF(OR($D38&lt;&gt;"Serviço",AND(AUTOEVENTO="Manual",$M38=$A$15)),0,
         IF(OFFSET(CRONOPLE!$F$15,$M38-$A$15,CR$13)=0,10^12,OFFSET(CRONOPLE!$F$15,$M38-$A$15,CR$13)))</f>
        <v>1000000000000</v>
      </c>
      <c r="CT38" s="172" cm="1">
        <f t="array" aca="1" ref="CT38" ca="1">IF(OR($D38&lt;&gt;"Serviço",AND(AUTOEVENTO="Manual",$M38=$A$15),$M38&gt;(ROW(PLE.lastrow)-ROW(PLE.firstrow))),0,
           IF(OFFSET(PLE!$G$15,$M38-$A$15,CT$13)="",10^12,OFFSET(PLE!$G$15,$M38-$A$15,CT$13)))</f>
        <v>1000000000000</v>
      </c>
      <c r="CU38" s="172" cm="1">
        <f t="array" aca="1" ref="CU38" ca="1">IF(OR($D38&lt;&gt;"Serviço",AND(AUTOEVENTO="Manual",$M38=$A$15),$M38&gt;(ROW(PLE.lastrow)-ROW(PLE.firstrow))),0,
           IF(OFFSET(PLE!$G$15,$M38-$A$15,CU$13)="",10^12,OFFSET(PLE!$G$15,$M38-$A$15,CU$13)))</f>
        <v>1000000000000</v>
      </c>
      <c r="CV38" s="172" cm="1">
        <f t="array" aca="1" ref="CV38" ca="1">IF(OR($D38&lt;&gt;"Serviço",AND(AUTOEVENTO="Manual",$M38=$A$15),$M38&gt;(ROW(PLE.lastrow)-ROW(PLE.firstrow))),0,
           IF(OFFSET(PLE!$G$15,$M38-$A$15,CV$13)="",10^12,OFFSET(PLE!$G$15,$M38-$A$15,CV$13)))</f>
        <v>1000000000000</v>
      </c>
      <c r="CW38" s="172" cm="1">
        <f t="array" aca="1" ref="CW38" ca="1">IF(OR($D38&lt;&gt;"Serviço",AND(AUTOEVENTO="Manual",$M38=$A$15),$M38&gt;(ROW(PLE.lastrow)-ROW(PLE.firstrow))),0,
           IF(OFFSET(PLE!$G$15,$M38-$A$15,CW$13)="",10^12,OFFSET(PLE!$G$15,$M38-$A$15,CW$13)))</f>
        <v>1000000000000</v>
      </c>
      <c r="CX38" s="172" cm="1">
        <f t="array" aca="1" ref="CX38" ca="1">IF(OR($D38&lt;&gt;"Serviço",AND(AUTOEVENTO="Manual",$M38=$A$15),$M38&gt;(ROW(PLE.lastrow)-ROW(PLE.firstrow))),0,
           IF(OFFSET(PLE!$G$15,$M38-$A$15,CX$13)="",10^12,OFFSET(PLE!$G$15,$M38-$A$15,CX$13)))</f>
        <v>1000000000000</v>
      </c>
      <c r="CY38" s="172" cm="1">
        <f t="array" aca="1" ref="CY38" ca="1">IF(OR($D38&lt;&gt;"Serviço",AND(AUTOEVENTO="Manual",$M38=$A$15),$M38&gt;(ROW(PLE.lastrow)-ROW(PLE.firstrow))),0,
           IF(OFFSET(PLE!$G$15,$M38-$A$15,CY$13)="",10^12,OFFSET(PLE!$G$15,$M38-$A$15,CY$13)))</f>
        <v>1000000000000</v>
      </c>
      <c r="CZ38" s="172" cm="1">
        <f t="array" aca="1" ref="CZ38" ca="1">IF(OR($D38&lt;&gt;"Serviço",AND(AUTOEVENTO="Manual",$M38=$A$15),$M38&gt;(ROW(PLE.lastrow)-ROW(PLE.firstrow))),0,
           IF(OFFSET(PLE!$G$15,$M38-$A$15,CZ$13)="",10^12,OFFSET(PLE!$G$15,$M38-$A$15,CZ$13)))</f>
        <v>1000000000000</v>
      </c>
      <c r="DA38" s="172" cm="1">
        <f t="array" aca="1" ref="DA38" ca="1">IF(OR($D38&lt;&gt;"Serviço",AND(AUTOEVENTO="Manual",$M38=$A$15),$M38&gt;(ROW(PLE.lastrow)-ROW(PLE.firstrow))),0,
           IF(OFFSET(PLE!$G$15,$M38-$A$15,DA$13)="",10^12,OFFSET(PLE!$G$15,$M38-$A$15,DA$13)))</f>
        <v>1000000000000</v>
      </c>
      <c r="DB38" s="172" cm="1">
        <f t="array" aca="1" ref="DB38" ca="1">IF(OR($D38&lt;&gt;"Serviço",AND(AUTOEVENTO="Manual",$M38=$A$15),$M38&gt;(ROW(PLE.lastrow)-ROW(PLE.firstrow))),0,
           IF(OFFSET(PLE!$G$15,$M38-$A$15,DB$13)="",10^12,OFFSET(PLE!$G$15,$M38-$A$15,DB$13)))</f>
        <v>1000000000000</v>
      </c>
      <c r="DC38" s="172" cm="1">
        <f t="array" aca="1" ref="DC38" ca="1">IF(OR($D38&lt;&gt;"Serviço",AND(AUTOEVENTO="Manual",$M38=$A$15),$M38&gt;(ROW(PLE.lastrow)-ROW(PLE.firstrow))),0,
           IF(OFFSET(PLE!$G$15,$M38-$A$15,DC$13)="",10^12,OFFSET(PLE!$G$15,$M38-$A$15,DC$13)))</f>
        <v>1000000000000</v>
      </c>
      <c r="DD38" s="172" cm="1">
        <f t="array" aca="1" ref="DD38" ca="1">IF(OR($D38&lt;&gt;"Serviço",AND(AUTOEVENTO="Manual",$M38=$A$15),$M38&gt;(ROW(PLE.lastrow)-ROW(PLE.firstrow))),0,
           IF(OFFSET(PLE!$G$15,$M38-$A$15,DD$13)="",10^12,OFFSET(PLE!$G$15,$M38-$A$15,DD$13)))</f>
        <v>1000000000000</v>
      </c>
      <c r="DE38" s="172" cm="1">
        <f t="array" aca="1" ref="DE38" ca="1">IF(OR($D38&lt;&gt;"Serviço",AND(AUTOEVENTO="Manual",$M38=$A$15),$M38&gt;(ROW(PLE.lastrow)-ROW(PLE.firstrow))),0,
           IF(OFFSET(PLE!$G$15,$M38-$A$15,DE$13)="",10^12,OFFSET(PLE!$G$15,$M38-$A$15,DE$13)))</f>
        <v>1000000000000</v>
      </c>
      <c r="DF38" s="172" cm="1">
        <f t="array" aca="1" ref="DF38" ca="1">IF(OR($D38&lt;&gt;"Serviço",AND(AUTOEVENTO="Manual",$M38=$A$15),$M38&gt;(ROW(PLE.lastrow)-ROW(PLE.firstrow))),0,
           IF(OFFSET(PLE!$G$15,$M38-$A$15,DF$13)="",10^12,OFFSET(PLE!$G$15,$M38-$A$15,DF$13)))</f>
        <v>1000000000000</v>
      </c>
      <c r="DG38" s="172" cm="1">
        <f t="array" aca="1" ref="DG38" ca="1">IF(OR($D38&lt;&gt;"Serviço",AND(AUTOEVENTO="Manual",$M38=$A$15),$M38&gt;(ROW(PLE.lastrow)-ROW(PLE.firstrow))),0,
           IF(OFFSET(PLE!$G$15,$M38-$A$15,DG$13)="",10^12,OFFSET(PLE!$G$15,$M38-$A$15,DG$13)))</f>
        <v>1000000000000</v>
      </c>
      <c r="DH38" s="172" cm="1">
        <f t="array" aca="1" ref="DH38" ca="1">IF(OR($D38&lt;&gt;"Serviço",AND(AUTOEVENTO="Manual",$M38=$A$15),$M38&gt;(ROW(PLE.lastrow)-ROW(PLE.firstrow))),0,
           IF(OFFSET(PLE!$G$15,$M38-$A$15,DH$13)="",10^12,OFFSET(PLE!$G$15,$M38-$A$15,DH$13)))</f>
        <v>1000000000000</v>
      </c>
      <c r="DI38" s="172" cm="1">
        <f t="array" aca="1" ref="DI38" ca="1">IF(OR($D38&lt;&gt;"Serviço",AND(AUTOEVENTO="Manual",$M38=$A$15),$M38&gt;(ROW(PLE.lastrow)-ROW(PLE.firstrow))),0,
           IF(OFFSET(PLE!$G$15,$M38-$A$15,DI$13)="",10^12,OFFSET(PLE!$G$15,$M38-$A$15,DI$13)))</f>
        <v>1000000000000</v>
      </c>
      <c r="DJ38" s="172" cm="1">
        <f t="array" aca="1" ref="DJ38" ca="1">IF(OR($D38&lt;&gt;"Serviço",AND(AUTOEVENTO="Manual",$M38=$A$15),$M38&gt;(ROW(PLE.lastrow)-ROW(PLE.firstrow))),0,
           IF(OFFSET(PLE!$G$15,$M38-$A$15,DJ$13)="",10^12,OFFSET(PLE!$G$15,$M38-$A$15,DJ$13)))</f>
        <v>1000000000000</v>
      </c>
      <c r="DK38" s="172" cm="1">
        <f t="array" aca="1" ref="DK38" ca="1">IF(OR($D38&lt;&gt;"Serviço",AND(AUTOEVENTO="Manual",$M38=$A$15),$M38&gt;(ROW(PLE.lastrow)-ROW(PLE.firstrow))),0,
           IF(OFFSET(PLE!$G$15,$M38-$A$15,DK$13)="",10^12,OFFSET(PLE!$G$15,$M38-$A$15,DK$13)))</f>
        <v>1000000000000</v>
      </c>
      <c r="DL38" s="172" cm="1">
        <f t="array" aca="1" ref="DL38" ca="1">IF(OR($D38&lt;&gt;"Serviço",AND(AUTOEVENTO="Manual",$M38=$A$15),$M38&gt;(ROW(PLE.lastrow)-ROW(PLE.firstrow))),0,
           IF(OFFSET(PLE!$G$15,$M38-$A$15,DL$13)="",10^12,OFFSET(PLE!$G$15,$M38-$A$15,DL$13)))</f>
        <v>1000000000000</v>
      </c>
      <c r="DM38" s="172" cm="1">
        <f t="array" aca="1" ref="DM38" ca="1">IF(OR($D38&lt;&gt;"Serviço",AND(AUTOEVENTO="Manual",$M38=$A$15),$M38&gt;(ROW(PLE.lastrow)-ROW(PLE.firstrow))),0,
           IF(OFFSET(PLE!$G$15,$M38-$A$15,DM$13)="",10^12,OFFSET(PLE!$G$15,$M38-$A$15,DM$13)))</f>
        <v>1000000000000</v>
      </c>
      <c r="DN38" s="172" cm="1">
        <f t="array" aca="1" ref="DN38" ca="1">IF(OR($D38&lt;&gt;"Serviço",AND(AUTOEVENTO="Manual",$M38=$A$15),$M38&gt;(ROW(PLE.lastrow)-ROW(PLE.firstrow))),0,
           IF(OFFSET(PLE!$G$15,$M38-$A$15,DN$13)="",10^12,OFFSET(PLE!$G$15,$M38-$A$15,DN$13)))</f>
        <v>1000000000000</v>
      </c>
      <c r="DO38" s="172" cm="1">
        <f t="array" aca="1" ref="DO38" ca="1">IF(OR($D38&lt;&gt;"Serviço",AND(AUTOEVENTO="Manual",$M38=$A$15),$M38&gt;(ROW(PLE.lastrow)-ROW(PLE.firstrow))),0,
           IF(OFFSET(PLE!$G$15,$M38-$A$15,DO$13)="",10^12,OFFSET(PLE!$G$15,$M38-$A$15,DO$13)))</f>
        <v>1000000000000</v>
      </c>
      <c r="DP38" s="172" cm="1">
        <f t="array" aca="1" ref="DP38" ca="1">IF(OR($D38&lt;&gt;"Serviço",AND(AUTOEVENTO="Manual",$M38=$A$15),$M38&gt;(ROW(PLE.lastrow)-ROW(PLE.firstrow))),0,
           IF(OFFSET(PLE!$G$15,$M38-$A$15,DP$13)="",10^12,OFFSET(PLE!$G$15,$M38-$A$15,DP$13)))</f>
        <v>1000000000000</v>
      </c>
      <c r="DQ38" s="172" cm="1">
        <f t="array" aca="1" ref="DQ38" ca="1">IF(OR($D38&lt;&gt;"Serviço",AND(AUTOEVENTO="Manual",$M38=$A$15),$M38&gt;(ROW(PLE.lastrow)-ROW(PLE.firstrow))),0,
           IF(OFFSET(PLE!$G$15,$M38-$A$15,DQ$13)="",10^12,OFFSET(PLE!$G$15,$M38-$A$15,DQ$13)))</f>
        <v>1000000000000</v>
      </c>
      <c r="DR38" s="172" cm="1">
        <f t="array" aca="1" ref="DR38" ca="1">IF(OR($D38&lt;&gt;"Serviço",AND(AUTOEVENTO="Manual",$M38=$A$15),$M38&gt;(ROW(PLE.lastrow)-ROW(PLE.firstrow))),0,
           IF(OFFSET(PLE!$G$15,$M38-$A$15,DR$13)="",10^12,OFFSET(PLE!$G$15,$M38-$A$15,DR$13)))</f>
        <v>1000000000000</v>
      </c>
      <c r="DS38" s="172" cm="1">
        <f t="array" aca="1" ref="DS38" ca="1">IF(OR($D38&lt;&gt;"Serviço",AND(AUTOEVENTO="Manual",$M38=$A$15),$M38&gt;(ROW(PLE.lastrow)-ROW(PLE.firstrow))),0,
           IF(OFFSET(PLE!$G$15,$M38-$A$15,DS$13)="",10^12,OFFSET(PLE!$G$15,$M38-$A$15,DS$13)))</f>
        <v>1000000000000</v>
      </c>
    </row>
    <row r="39" spans="1:123" ht="38.25" x14ac:dyDescent="0.2">
      <c r="A39" s="7">
        <f t="shared" ca="1" si="11"/>
        <v>3</v>
      </c>
      <c r="B39" s="7" t="str">
        <f ca="1">OFFSET(ORÇAMENTO!C$15,$L39,0)</f>
        <v>S</v>
      </c>
      <c r="C39" s="7" t="str">
        <f ca="1">OFFSET(ORÇAMENTO!L$15,$L39,0)</f>
        <v/>
      </c>
      <c r="D39" s="116" t="str">
        <f ca="1">OFFSET(ORÇAMENTO!N$15,$L39,0)</f>
        <v>Serviço</v>
      </c>
      <c r="E39" s="117" t="str">
        <f ca="1">OFFSET(ORÇAMENTO!O$15,$L39,0)</f>
        <v>-</v>
      </c>
      <c r="F39" s="163" t="str">
        <f ca="1">OFFSET(ORÇAMENTO!R$15,$L39,0)</f>
        <v>(Código não identificado nas referências)</v>
      </c>
      <c r="G39" s="164" t="str">
        <f ca="1">IF($D39&lt;&gt;"Serviço","",OFFSET(ORÇAMENTO!S$15,$L39,0))</f>
        <v>-</v>
      </c>
      <c r="H39" s="122" cm="1">
        <f t="array" aca="1" ref="H39" ca="1">IF($D39&lt;&gt;"Serviço",0,IF(ACOMPANHAMENTO="BM",ROUND(OFFSET(ORÇAMENTO!AJ$15,$L39,0),15-13*ORÇAMENTO!$AF$7),IF(IFERROR(CÁLCULO.FrentesPreenchidas,0)=0,0,SUM(ROUND(OFFSET($P39,0,1,1,CÁLCULO.FrentesPreenchidas),15-13*ORÇAMENTO!$AF$7)))))</f>
        <v>571.59999999999991</v>
      </c>
      <c r="I39" s="468" t="s">
        <v>1235</v>
      </c>
      <c r="J39" s="651" t="str" cm="1">
        <f t="array" aca="1" ref="J39" ca="1">IF(OR(B39&lt;&gt;"S",CÁLCULO.FrentesPreenchidas=0),"",IF(AND(ACOMPANHAMENTO="PLE",AUTOEVENTO="Manual",OR(H39&gt;0,ORÇAMENTO!AC39="QUANT."),OR(K39="",M39=0,N39="")),"►E",IF(AND(ACOMPANHAMENTO="PLE",ORÇAMENTO!AC39="QUANT."),"►Q",IF(AND(ACOMPANHAMENTO="PLE",H39&lt;&gt;SUMPRODUCT(($Q$1:$AQ$1=1)*ROUND(Q39:AQ39,15))),"►S",IF(AND(COUNTIF($P$11:$AQ$11,"▼")=0,H39&gt;0,I39=""),"◄M","")))))</f>
        <v/>
      </c>
      <c r="K39" s="652" t="s">
        <v>1250</v>
      </c>
      <c r="L39" s="165">
        <f t="shared" ca="1" si="12"/>
        <v>24</v>
      </c>
      <c r="M39" s="166">
        <f ca="1">IF($D39&lt;&gt;"Serviço","",
          IF(AUTOEVENTO="manual",$A39,
                IF(ISERROR(MATCH($A39,$A$15:OFFSET($A39,-1,0),0)),MAX($M$15:OFFSET(M39,-1,0))+1,
                      INDEX($M$15:OFFSET(M39,-1,0),MATCH($A39,$A$15:OFFSET($A39,-1,0),0)))))</f>
        <v>3</v>
      </c>
      <c r="N39" s="167" t="str">
        <f ca="1">IF($D39&lt;&gt;"Serviço","",
         IF(AUTOEVENTO="Manual",
                IF($A39=0,"&lt;-- defina o número do agrupador",
                       OFFSET(EVENTOS!$D$15,$A39-$A$15,0)),
                OFFSET($F$15,$A39,0)))</f>
        <v>FUNDAÇÕES</v>
      </c>
      <c r="O39" s="168"/>
      <c r="Q39" s="168">
        <v>28.58</v>
      </c>
      <c r="R39" s="169">
        <v>28.58</v>
      </c>
      <c r="S39" s="169">
        <v>28.58</v>
      </c>
      <c r="T39" s="169">
        <v>28.58</v>
      </c>
      <c r="U39" s="169">
        <v>28.58</v>
      </c>
      <c r="V39" s="169">
        <v>28.58</v>
      </c>
      <c r="W39" s="169">
        <v>28.58</v>
      </c>
      <c r="X39" s="169">
        <v>28.58</v>
      </c>
      <c r="Y39" s="169">
        <v>28.58</v>
      </c>
      <c r="Z39" s="170">
        <v>28.58</v>
      </c>
      <c r="AA39" s="169">
        <v>28.58</v>
      </c>
      <c r="AB39" s="169">
        <v>28.58</v>
      </c>
      <c r="AC39" s="169">
        <v>28.58</v>
      </c>
      <c r="AD39" s="169">
        <v>28.58</v>
      </c>
      <c r="AE39" s="169">
        <v>28.58</v>
      </c>
      <c r="AF39" s="169">
        <v>28.58</v>
      </c>
      <c r="AG39" s="169">
        <v>28.58</v>
      </c>
      <c r="AH39" s="170">
        <v>28.58</v>
      </c>
      <c r="AI39" s="169">
        <v>28.58</v>
      </c>
      <c r="AJ39" s="169">
        <v>28.58</v>
      </c>
      <c r="AK39" s="169"/>
      <c r="AL39" s="169"/>
      <c r="AM39" s="169"/>
      <c r="AN39" s="169"/>
      <c r="AO39" s="169"/>
      <c r="AP39" s="170"/>
      <c r="AR39" s="453">
        <f ca="1">IF(AND($D39="Serviço",AR$12&lt;&gt;0,$H39&gt;0,OR(AUTOEVENTO&lt;&gt;"manual",$M39&lt;&gt;$A$15)),
        IF(Import.TipoArredondamento&lt;&gt;"TransfereGOV",
              ROUND(OFFSET($P39,0,AR$13),15-13*ORÇAMENTO!$AF$7)/$H39*OFFSET(ORÇAMENTO!$X$15,ROW(AR39)-ROW(AR$15),0),
              ROUND(ROUND(OFFSET($P39,0,AR$13),15-13*ORÇAMENTO!$AF$7)*OFFSET(ORÇAMENTO!$W$15,ROW(AR39)-ROW(AR$15),0),15-13*ORÇAMENTO!$AF$11)),
         0)</f>
        <v>0</v>
      </c>
      <c r="AS39" s="453">
        <f ca="1">IF(AND($D39="Serviço",AS$12&lt;&gt;0,$H39&gt;0,OR(AUTOEVENTO&lt;&gt;"manual",$M39&lt;&gt;$A$15)),
        IF(Import.TipoArredondamento&lt;&gt;"TransfereGOV",
              ROUND(OFFSET($P39,0,AS$13),15-13*ORÇAMENTO!$AF$7)/$H39*OFFSET(ORÇAMENTO!$X$15,ROW(AS39)-ROW(AS$15),0),
              ROUND(ROUND(OFFSET($P39,0,AS$13),15-13*ORÇAMENTO!$AF$7)*OFFSET(ORÇAMENTO!$W$15,ROW(AS39)-ROW(AS$15),0),15-13*ORÇAMENTO!$AF$11)),
         0)</f>
        <v>0</v>
      </c>
      <c r="AT39" s="453">
        <f ca="1">IF(AND($D39="Serviço",AT$12&lt;&gt;0,$H39&gt;0,OR(AUTOEVENTO&lt;&gt;"manual",$M39&lt;&gt;$A$15)),
        IF(Import.TipoArredondamento&lt;&gt;"TransfereGOV",
              ROUND(OFFSET($P39,0,AT$13),15-13*ORÇAMENTO!$AF$7)/$H39*OFFSET(ORÇAMENTO!$X$15,ROW(AT39)-ROW(AT$15),0),
              ROUND(ROUND(OFFSET($P39,0,AT$13),15-13*ORÇAMENTO!$AF$7)*OFFSET(ORÇAMENTO!$W$15,ROW(AT39)-ROW(AT$15),0),15-13*ORÇAMENTO!$AF$11)),
         0)</f>
        <v>0</v>
      </c>
      <c r="AU39" s="453">
        <f ca="1">IF(AND($D39="Serviço",AU$12&lt;&gt;0,$H39&gt;0,OR(AUTOEVENTO&lt;&gt;"manual",$M39&lt;&gt;$A$15)),
        IF(Import.TipoArredondamento&lt;&gt;"TransfereGOV",
              ROUND(OFFSET($P39,0,AU$13),15-13*ORÇAMENTO!$AF$7)/$H39*OFFSET(ORÇAMENTO!$X$15,ROW(AU39)-ROW(AU$15),0),
              ROUND(ROUND(OFFSET($P39,0,AU$13),15-13*ORÇAMENTO!$AF$7)*OFFSET(ORÇAMENTO!$W$15,ROW(AU39)-ROW(AU$15),0),15-13*ORÇAMENTO!$AF$11)),
         0)</f>
        <v>0</v>
      </c>
      <c r="AV39" s="453">
        <f ca="1">IF(AND($D39="Serviço",AV$12&lt;&gt;0,$H39&gt;0,OR(AUTOEVENTO&lt;&gt;"manual",$M39&lt;&gt;$A$15)),
        IF(Import.TipoArredondamento&lt;&gt;"TransfereGOV",
              ROUND(OFFSET($P39,0,AV$13),15-13*ORÇAMENTO!$AF$7)/$H39*OFFSET(ORÇAMENTO!$X$15,ROW(AV39)-ROW(AV$15),0),
              ROUND(ROUND(OFFSET($P39,0,AV$13),15-13*ORÇAMENTO!$AF$7)*OFFSET(ORÇAMENTO!$W$15,ROW(AV39)-ROW(AV$15),0),15-13*ORÇAMENTO!$AF$11)),
         0)</f>
        <v>0</v>
      </c>
      <c r="AW39" s="453">
        <f ca="1">IF(AND($D39="Serviço",AW$12&lt;&gt;0,$H39&gt;0,OR(AUTOEVENTO&lt;&gt;"manual",$M39&lt;&gt;$A$15)),
        IF(Import.TipoArredondamento&lt;&gt;"TransfereGOV",
              ROUND(OFFSET($P39,0,AW$13),15-13*ORÇAMENTO!$AF$7)/$H39*OFFSET(ORÇAMENTO!$X$15,ROW(AW39)-ROW(AW$15),0),
              ROUND(ROUND(OFFSET($P39,0,AW$13),15-13*ORÇAMENTO!$AF$7)*OFFSET(ORÇAMENTO!$W$15,ROW(AW39)-ROW(AW$15),0),15-13*ORÇAMENTO!$AF$11)),
         0)</f>
        <v>0</v>
      </c>
      <c r="AX39" s="453">
        <f ca="1">IF(AND($D39="Serviço",AX$12&lt;&gt;0,$H39&gt;0,OR(AUTOEVENTO&lt;&gt;"manual",$M39&lt;&gt;$A$15)),
        IF(Import.TipoArredondamento&lt;&gt;"TransfereGOV",
              ROUND(OFFSET($P39,0,AX$13),15-13*ORÇAMENTO!$AF$7)/$H39*OFFSET(ORÇAMENTO!$X$15,ROW(AX39)-ROW(AX$15),0),
              ROUND(ROUND(OFFSET($P39,0,AX$13),15-13*ORÇAMENTO!$AF$7)*OFFSET(ORÇAMENTO!$W$15,ROW(AX39)-ROW(AX$15),0),15-13*ORÇAMENTO!$AF$11)),
         0)</f>
        <v>0</v>
      </c>
      <c r="AY39" s="453">
        <f ca="1">IF(AND($D39="Serviço",AY$12&lt;&gt;0,$H39&gt;0,OR(AUTOEVENTO&lt;&gt;"manual",$M39&lt;&gt;$A$15)),
        IF(Import.TipoArredondamento&lt;&gt;"TransfereGOV",
              ROUND(OFFSET($P39,0,AY$13),15-13*ORÇAMENTO!$AF$7)/$H39*OFFSET(ORÇAMENTO!$X$15,ROW(AY39)-ROW(AY$15),0),
              ROUND(ROUND(OFFSET($P39,0,AY$13),15-13*ORÇAMENTO!$AF$7)*OFFSET(ORÇAMENTO!$W$15,ROW(AY39)-ROW(AY$15),0),15-13*ORÇAMENTO!$AF$11)),
         0)</f>
        <v>0</v>
      </c>
      <c r="AZ39" s="453">
        <f ca="1">IF(AND($D39="Serviço",AZ$12&lt;&gt;0,$H39&gt;0,OR(AUTOEVENTO&lt;&gt;"manual",$M39&lt;&gt;$A$15)),
        IF(Import.TipoArredondamento&lt;&gt;"TransfereGOV",
              ROUND(OFFSET($P39,0,AZ$13),15-13*ORÇAMENTO!$AF$7)/$H39*OFFSET(ORÇAMENTO!$X$15,ROW(AZ39)-ROW(AZ$15),0),
              ROUND(ROUND(OFFSET($P39,0,AZ$13),15-13*ORÇAMENTO!$AF$7)*OFFSET(ORÇAMENTO!$W$15,ROW(AZ39)-ROW(AZ$15),0),15-13*ORÇAMENTO!$AF$11)),
         0)</f>
        <v>0</v>
      </c>
      <c r="BA39" s="453">
        <f ca="1">IF(AND($D39="Serviço",BA$12&lt;&gt;0,$H39&gt;0,OR(AUTOEVENTO&lt;&gt;"manual",$M39&lt;&gt;$A$15)),
        IF(Import.TipoArredondamento&lt;&gt;"TransfereGOV",
              ROUND(OFFSET($P39,0,BA$13),15-13*ORÇAMENTO!$AF$7)/$H39*OFFSET(ORÇAMENTO!$X$15,ROW(BA39)-ROW(BA$15),0),
              ROUND(ROUND(OFFSET($P39,0,BA$13),15-13*ORÇAMENTO!$AF$7)*OFFSET(ORÇAMENTO!$W$15,ROW(BA39)-ROW(BA$15),0),15-13*ORÇAMENTO!$AF$11)),
         0)</f>
        <v>0</v>
      </c>
      <c r="BB39" s="453">
        <f ca="1">IF(AND($D39="Serviço",BB$12&lt;&gt;0,$H39&gt;0,OR(AUTOEVENTO&lt;&gt;"manual",$M39&lt;&gt;$A$15)),
        IF(Import.TipoArredondamento&lt;&gt;"TransfereGOV",
              ROUND(OFFSET($P39,0,BB$13),15-13*ORÇAMENTO!$AF$7)/$H39*OFFSET(ORÇAMENTO!$X$15,ROW(BB39)-ROW(BB$15),0),
              ROUND(ROUND(OFFSET($P39,0,BB$13),15-13*ORÇAMENTO!$AF$7)*OFFSET(ORÇAMENTO!$W$15,ROW(BB39)-ROW(BB$15),0),15-13*ORÇAMENTO!$AF$11)),
         0)</f>
        <v>0</v>
      </c>
      <c r="BC39" s="453">
        <f ca="1">IF(AND($D39="Serviço",BC$12&lt;&gt;0,$H39&gt;0,OR(AUTOEVENTO&lt;&gt;"manual",$M39&lt;&gt;$A$15)),
        IF(Import.TipoArredondamento&lt;&gt;"TransfereGOV",
              ROUND(OFFSET($P39,0,BC$13),15-13*ORÇAMENTO!$AF$7)/$H39*OFFSET(ORÇAMENTO!$X$15,ROW(BC39)-ROW(BC$15),0),
              ROUND(ROUND(OFFSET($P39,0,BC$13),15-13*ORÇAMENTO!$AF$7)*OFFSET(ORÇAMENTO!$W$15,ROW(BC39)-ROW(BC$15),0),15-13*ORÇAMENTO!$AF$11)),
         0)</f>
        <v>0</v>
      </c>
      <c r="BD39" s="453">
        <f ca="1">IF(AND($D39="Serviço",BD$12&lt;&gt;0,$H39&gt;0,OR(AUTOEVENTO&lt;&gt;"manual",$M39&lt;&gt;$A$15)),
        IF(Import.TipoArredondamento&lt;&gt;"TransfereGOV",
              ROUND(OFFSET($P39,0,BD$13),15-13*ORÇAMENTO!$AF$7)/$H39*OFFSET(ORÇAMENTO!$X$15,ROW(BD39)-ROW(BD$15),0),
              ROUND(ROUND(OFFSET($P39,0,BD$13),15-13*ORÇAMENTO!$AF$7)*OFFSET(ORÇAMENTO!$W$15,ROW(BD39)-ROW(BD$15),0),15-13*ORÇAMENTO!$AF$11)),
         0)</f>
        <v>0</v>
      </c>
      <c r="BE39" s="453">
        <f ca="1">IF(AND($D39="Serviço",BE$12&lt;&gt;0,$H39&gt;0,OR(AUTOEVENTO&lt;&gt;"manual",$M39&lt;&gt;$A$15)),
        IF(Import.TipoArredondamento&lt;&gt;"TransfereGOV",
              ROUND(OFFSET($P39,0,BE$13),15-13*ORÇAMENTO!$AF$7)/$H39*OFFSET(ORÇAMENTO!$X$15,ROW(BE39)-ROW(BE$15),0),
              ROUND(ROUND(OFFSET($P39,0,BE$13),15-13*ORÇAMENTO!$AF$7)*OFFSET(ORÇAMENTO!$W$15,ROW(BE39)-ROW(BE$15),0),15-13*ORÇAMENTO!$AF$11)),
         0)</f>
        <v>0</v>
      </c>
      <c r="BF39" s="453">
        <f ca="1">IF(AND($D39="Serviço",BF$12&lt;&gt;0,$H39&gt;0,OR(AUTOEVENTO&lt;&gt;"manual",$M39&lt;&gt;$A$15)),
        IF(Import.TipoArredondamento&lt;&gt;"TransfereGOV",
              ROUND(OFFSET($P39,0,BF$13),15-13*ORÇAMENTO!$AF$7)/$H39*OFFSET(ORÇAMENTO!$X$15,ROW(BF39)-ROW(BF$15),0),
              ROUND(ROUND(OFFSET($P39,0,BF$13),15-13*ORÇAMENTO!$AF$7)*OFFSET(ORÇAMENTO!$W$15,ROW(BF39)-ROW(BF$15),0),15-13*ORÇAMENTO!$AF$11)),
         0)</f>
        <v>0</v>
      </c>
      <c r="BG39" s="453">
        <f ca="1">IF(AND($D39="Serviço",BG$12&lt;&gt;0,$H39&gt;0,OR(AUTOEVENTO&lt;&gt;"manual",$M39&lt;&gt;$A$15)),
        IF(Import.TipoArredondamento&lt;&gt;"TransfereGOV",
              ROUND(OFFSET($P39,0,BG$13),15-13*ORÇAMENTO!$AF$7)/$H39*OFFSET(ORÇAMENTO!$X$15,ROW(BG39)-ROW(BG$15),0),
              ROUND(ROUND(OFFSET($P39,0,BG$13),15-13*ORÇAMENTO!$AF$7)*OFFSET(ORÇAMENTO!$W$15,ROW(BG39)-ROW(BG$15),0),15-13*ORÇAMENTO!$AF$11)),
         0)</f>
        <v>0</v>
      </c>
      <c r="BH39" s="453">
        <f ca="1">IF(AND($D39="Serviço",BH$12&lt;&gt;0,$H39&gt;0,OR(AUTOEVENTO&lt;&gt;"manual",$M39&lt;&gt;$A$15)),
        IF(Import.TipoArredondamento&lt;&gt;"TransfereGOV",
              ROUND(OFFSET($P39,0,BH$13),15-13*ORÇAMENTO!$AF$7)/$H39*OFFSET(ORÇAMENTO!$X$15,ROW(BH39)-ROW(BH$15),0),
              ROUND(ROUND(OFFSET($P39,0,BH$13),15-13*ORÇAMENTO!$AF$7)*OFFSET(ORÇAMENTO!$W$15,ROW(BH39)-ROW(BH$15),0),15-13*ORÇAMENTO!$AF$11)),
         0)</f>
        <v>0</v>
      </c>
      <c r="BI39" s="453">
        <f ca="1">IF(AND($D39="Serviço",BI$12&lt;&gt;0,$H39&gt;0,OR(AUTOEVENTO&lt;&gt;"manual",$M39&lt;&gt;$A$15)),
        IF(Import.TipoArredondamento&lt;&gt;"TransfereGOV",
              ROUND(OFFSET($P39,0,BI$13),15-13*ORÇAMENTO!$AF$7)/$H39*OFFSET(ORÇAMENTO!$X$15,ROW(BI39)-ROW(BI$15),0),
              ROUND(ROUND(OFFSET($P39,0,BI$13),15-13*ORÇAMENTO!$AF$7)*OFFSET(ORÇAMENTO!$W$15,ROW(BI39)-ROW(BI$15),0),15-13*ORÇAMENTO!$AF$11)),
         0)</f>
        <v>0</v>
      </c>
      <c r="BJ39" s="453">
        <f ca="1">IF(AND($D39="Serviço",BJ$12&lt;&gt;0,$H39&gt;0,OR(AUTOEVENTO&lt;&gt;"manual",$M39&lt;&gt;$A$15)),
        IF(Import.TipoArredondamento&lt;&gt;"TransfereGOV",
              ROUND(OFFSET($P39,0,BJ$13),15-13*ORÇAMENTO!$AF$7)/$H39*OFFSET(ORÇAMENTO!$X$15,ROW(BJ39)-ROW(BJ$15),0),
              ROUND(ROUND(OFFSET($P39,0,BJ$13),15-13*ORÇAMENTO!$AF$7)*OFFSET(ORÇAMENTO!$W$15,ROW(BJ39)-ROW(BJ$15),0),15-13*ORÇAMENTO!$AF$11)),
         0)</f>
        <v>0</v>
      </c>
      <c r="BK39" s="453">
        <f ca="1">IF(AND($D39="Serviço",BK$12&lt;&gt;0,$H39&gt;0,OR(AUTOEVENTO&lt;&gt;"manual",$M39&lt;&gt;$A$15)),
        IF(Import.TipoArredondamento&lt;&gt;"TransfereGOV",
              ROUND(OFFSET($P39,0,BK$13),15-13*ORÇAMENTO!$AF$7)/$H39*OFFSET(ORÇAMENTO!$X$15,ROW(BK39)-ROW(BK$15),0),
              ROUND(ROUND(OFFSET($P39,0,BK$13),15-13*ORÇAMENTO!$AF$7)*OFFSET(ORÇAMENTO!$W$15,ROW(BK39)-ROW(BK$15),0),15-13*ORÇAMENTO!$AF$11)),
         0)</f>
        <v>0</v>
      </c>
      <c r="BL39" s="453">
        <f ca="1">IF(AND($D39="Serviço",BL$12&lt;&gt;0,$H39&gt;0,OR(AUTOEVENTO&lt;&gt;"manual",$M39&lt;&gt;$A$15)),
        IF(Import.TipoArredondamento&lt;&gt;"TransfereGOV",
              ROUND(OFFSET($P39,0,BL$13),15-13*ORÇAMENTO!$AF$7)/$H39*OFFSET(ORÇAMENTO!$X$15,ROW(BL39)-ROW(BL$15),0),
              ROUND(ROUND(OFFSET($P39,0,BL$13),15-13*ORÇAMENTO!$AF$7)*OFFSET(ORÇAMENTO!$W$15,ROW(BL39)-ROW(BL$15),0),15-13*ORÇAMENTO!$AF$11)),
         0)</f>
        <v>0</v>
      </c>
      <c r="BM39" s="453">
        <f ca="1">IF(AND($D39="Serviço",BM$12&lt;&gt;0,$H39&gt;0,OR(AUTOEVENTO&lt;&gt;"manual",$M39&lt;&gt;$A$15)),
        IF(Import.TipoArredondamento&lt;&gt;"TransfereGOV",
              ROUND(OFFSET($P39,0,BM$13),15-13*ORÇAMENTO!$AF$7)/$H39*OFFSET(ORÇAMENTO!$X$15,ROW(BM39)-ROW(BM$15),0),
              ROUND(ROUND(OFFSET($P39,0,BM$13),15-13*ORÇAMENTO!$AF$7)*OFFSET(ORÇAMENTO!$W$15,ROW(BM39)-ROW(BM$15),0),15-13*ORÇAMENTO!$AF$11)),
         0)</f>
        <v>0</v>
      </c>
      <c r="BN39" s="453">
        <f ca="1">IF(AND($D39="Serviço",BN$12&lt;&gt;0,$H39&gt;0,OR(AUTOEVENTO&lt;&gt;"manual",$M39&lt;&gt;$A$15)),
        IF(Import.TipoArredondamento&lt;&gt;"TransfereGOV",
              ROUND(OFFSET($P39,0,BN$13),15-13*ORÇAMENTO!$AF$7)/$H39*OFFSET(ORÇAMENTO!$X$15,ROW(BN39)-ROW(BN$15),0),
              ROUND(ROUND(OFFSET($P39,0,BN$13),15-13*ORÇAMENTO!$AF$7)*OFFSET(ORÇAMENTO!$W$15,ROW(BN39)-ROW(BN$15),0),15-13*ORÇAMENTO!$AF$11)),
         0)</f>
        <v>0</v>
      </c>
      <c r="BO39" s="453">
        <f ca="1">IF(AND($D39="Serviço",BO$12&lt;&gt;0,$H39&gt;0,OR(AUTOEVENTO&lt;&gt;"manual",$M39&lt;&gt;$A$15)),
        IF(Import.TipoArredondamento&lt;&gt;"TransfereGOV",
              ROUND(OFFSET($P39,0,BO$13),15-13*ORÇAMENTO!$AF$7)/$H39*OFFSET(ORÇAMENTO!$X$15,ROW(BO39)-ROW(BO$15),0),
              ROUND(ROUND(OFFSET($P39,0,BO$13),15-13*ORÇAMENTO!$AF$7)*OFFSET(ORÇAMENTO!$W$15,ROW(BO39)-ROW(BO$15),0),15-13*ORÇAMENTO!$AF$11)),
         0)</f>
        <v>0</v>
      </c>
      <c r="BP39" s="453">
        <f ca="1">IF(AND($D39="Serviço",BP$12&lt;&gt;0,$H39&gt;0,OR(AUTOEVENTO&lt;&gt;"manual",$M39&lt;&gt;$A$15)),
        IF(Import.TipoArredondamento&lt;&gt;"TransfereGOV",
              ROUND(OFFSET($P39,0,BP$13),15-13*ORÇAMENTO!$AF$7)/$H39*OFFSET(ORÇAMENTO!$X$15,ROW(BP39)-ROW(BP$15),0),
              ROUND(ROUND(OFFSET($P39,0,BP$13),15-13*ORÇAMENTO!$AF$7)*OFFSET(ORÇAMENTO!$W$15,ROW(BP39)-ROW(BP$15),0),15-13*ORÇAMENTO!$AF$11)),
         0)</f>
        <v>0</v>
      </c>
      <c r="BQ39" s="453">
        <f ca="1">IF(AND($D39="Serviço",BQ$12&lt;&gt;0,$H39&gt;0,OR(AUTOEVENTO&lt;&gt;"manual",$M39&lt;&gt;$A$15)),
        IF(Import.TipoArredondamento&lt;&gt;"TransfereGOV",
              ROUND(OFFSET($P39,0,BQ$13),15-13*ORÇAMENTO!$AF$7)/$H39*OFFSET(ORÇAMENTO!$X$15,ROW(BQ39)-ROW(BQ$15),0),
              ROUND(ROUND(OFFSET($P39,0,BQ$13),15-13*ORÇAMENTO!$AF$7)*OFFSET(ORÇAMENTO!$W$15,ROW(BQ39)-ROW(BQ$15),0),15-13*ORÇAMENTO!$AF$11)),
         0)</f>
        <v>0</v>
      </c>
      <c r="BS39" s="171">
        <f ca="1">IF(OR($D39&lt;&gt;"Serviço",AND(AUTOEVENTO="Manual",$M39=$A$15)),0,
         IF(OFFSET(CRONOPLE!$F$15,$M39-$A$15,BS$13)=0,10^12,OFFSET(CRONOPLE!$F$15,$M39-$A$15,BS$13)))</f>
        <v>1</v>
      </c>
      <c r="BT39" s="171">
        <f ca="1">IF(OR($D39&lt;&gt;"Serviço",AND(AUTOEVENTO="Manual",$M39=$A$15)),0,
         IF(OFFSET(CRONOPLE!$F$15,$M39-$A$15,BT$13)=0,10^12,OFFSET(CRONOPLE!$F$15,$M39-$A$15,BT$13)))</f>
        <v>2</v>
      </c>
      <c r="BU39" s="171">
        <f ca="1">IF(OR($D39&lt;&gt;"Serviço",AND(AUTOEVENTO="Manual",$M39=$A$15)),0,
         IF(OFFSET(CRONOPLE!$F$15,$M39-$A$15,BU$13)=0,10^12,OFFSET(CRONOPLE!$F$15,$M39-$A$15,BU$13)))</f>
        <v>3</v>
      </c>
      <c r="BV39" s="171">
        <f ca="1">IF(OR($D39&lt;&gt;"Serviço",AND(AUTOEVENTO="Manual",$M39=$A$15)),0,
         IF(OFFSET(CRONOPLE!$F$15,$M39-$A$15,BV$13)=0,10^12,OFFSET(CRONOPLE!$F$15,$M39-$A$15,BV$13)))</f>
        <v>4</v>
      </c>
      <c r="BW39" s="171">
        <f ca="1">IF(OR($D39&lt;&gt;"Serviço",AND(AUTOEVENTO="Manual",$M39=$A$15)),0,
         IF(OFFSET(CRONOPLE!$F$15,$M39-$A$15,BW$13)=0,10^12,OFFSET(CRONOPLE!$F$15,$M39-$A$15,BW$13)))</f>
        <v>5</v>
      </c>
      <c r="BX39" s="171">
        <f ca="1">IF(OR($D39&lt;&gt;"Serviço",AND(AUTOEVENTO="Manual",$M39=$A$15)),0,
         IF(OFFSET(CRONOPLE!$F$15,$M39-$A$15,BX$13)=0,10^12,OFFSET(CRONOPLE!$F$15,$M39-$A$15,BX$13)))</f>
        <v>6</v>
      </c>
      <c r="BY39" s="171">
        <f ca="1">IF(OR($D39&lt;&gt;"Serviço",AND(AUTOEVENTO="Manual",$M39=$A$15)),0,
         IF(OFFSET(CRONOPLE!$F$15,$M39-$A$15,BY$13)=0,10^12,OFFSET(CRONOPLE!$F$15,$M39-$A$15,BY$13)))</f>
        <v>7</v>
      </c>
      <c r="BZ39" s="171">
        <f ca="1">IF(OR($D39&lt;&gt;"Serviço",AND(AUTOEVENTO="Manual",$M39=$A$15)),0,
         IF(OFFSET(CRONOPLE!$F$15,$M39-$A$15,BZ$13)=0,10^12,OFFSET(CRONOPLE!$F$15,$M39-$A$15,BZ$13)))</f>
        <v>8</v>
      </c>
      <c r="CA39" s="171">
        <f ca="1">IF(OR($D39&lt;&gt;"Serviço",AND(AUTOEVENTO="Manual",$M39=$A$15)),0,
         IF(OFFSET(CRONOPLE!$F$15,$M39-$A$15,CA$13)=0,10^12,OFFSET(CRONOPLE!$F$15,$M39-$A$15,CA$13)))</f>
        <v>9</v>
      </c>
      <c r="CB39" s="171">
        <f ca="1">IF(OR($D39&lt;&gt;"Serviço",AND(AUTOEVENTO="Manual",$M39=$A$15)),0,
         IF(OFFSET(CRONOPLE!$F$15,$M39-$A$15,CB$13)=0,10^12,OFFSET(CRONOPLE!$F$15,$M39-$A$15,CB$13)))</f>
        <v>10</v>
      </c>
      <c r="CC39" s="171">
        <f ca="1">IF(OR($D39&lt;&gt;"Serviço",AND(AUTOEVENTO="Manual",$M39=$A$15)),0,
         IF(OFFSET(CRONOPLE!$F$15,$M39-$A$15,CC$13)=0,10^12,OFFSET(CRONOPLE!$F$15,$M39-$A$15,CC$13)))</f>
        <v>11</v>
      </c>
      <c r="CD39" s="171">
        <f ca="1">IF(OR($D39&lt;&gt;"Serviço",AND(AUTOEVENTO="Manual",$M39=$A$15)),0,
         IF(OFFSET(CRONOPLE!$F$15,$M39-$A$15,CD$13)=0,10^12,OFFSET(CRONOPLE!$F$15,$M39-$A$15,CD$13)))</f>
        <v>12</v>
      </c>
      <c r="CE39" s="171">
        <f ca="1">IF(OR($D39&lt;&gt;"Serviço",AND(AUTOEVENTO="Manual",$M39=$A$15)),0,
         IF(OFFSET(CRONOPLE!$F$15,$M39-$A$15,CE$13)=0,10^12,OFFSET(CRONOPLE!$F$15,$M39-$A$15,CE$13)))</f>
        <v>13</v>
      </c>
      <c r="CF39" s="171">
        <f ca="1">IF(OR($D39&lt;&gt;"Serviço",AND(AUTOEVENTO="Manual",$M39=$A$15)),0,
         IF(OFFSET(CRONOPLE!$F$15,$M39-$A$15,CF$13)=0,10^12,OFFSET(CRONOPLE!$F$15,$M39-$A$15,CF$13)))</f>
        <v>14</v>
      </c>
      <c r="CG39" s="171">
        <f ca="1">IF(OR($D39&lt;&gt;"Serviço",AND(AUTOEVENTO="Manual",$M39=$A$15)),0,
         IF(OFFSET(CRONOPLE!$F$15,$M39-$A$15,CG$13)=0,10^12,OFFSET(CRONOPLE!$F$15,$M39-$A$15,CG$13)))</f>
        <v>15</v>
      </c>
      <c r="CH39" s="171">
        <f ca="1">IF(OR($D39&lt;&gt;"Serviço",AND(AUTOEVENTO="Manual",$M39=$A$15)),0,
         IF(OFFSET(CRONOPLE!$F$15,$M39-$A$15,CH$13)=0,10^12,OFFSET(CRONOPLE!$F$15,$M39-$A$15,CH$13)))</f>
        <v>16</v>
      </c>
      <c r="CI39" s="171">
        <f ca="1">IF(OR($D39&lt;&gt;"Serviço",AND(AUTOEVENTO="Manual",$M39=$A$15)),0,
         IF(OFFSET(CRONOPLE!$F$15,$M39-$A$15,CI$13)=0,10^12,OFFSET(CRONOPLE!$F$15,$M39-$A$15,CI$13)))</f>
        <v>17</v>
      </c>
      <c r="CJ39" s="171">
        <f ca="1">IF(OR($D39&lt;&gt;"Serviço",AND(AUTOEVENTO="Manual",$M39=$A$15)),0,
         IF(OFFSET(CRONOPLE!$F$15,$M39-$A$15,CJ$13)=0,10^12,OFFSET(CRONOPLE!$F$15,$M39-$A$15,CJ$13)))</f>
        <v>18</v>
      </c>
      <c r="CK39" s="171">
        <f ca="1">IF(OR($D39&lt;&gt;"Serviço",AND(AUTOEVENTO="Manual",$M39=$A$15)),0,
         IF(OFFSET(CRONOPLE!$F$15,$M39-$A$15,CK$13)=0,10^12,OFFSET(CRONOPLE!$F$15,$M39-$A$15,CK$13)))</f>
        <v>19</v>
      </c>
      <c r="CL39" s="171">
        <f ca="1">IF(OR($D39&lt;&gt;"Serviço",AND(AUTOEVENTO="Manual",$M39=$A$15)),0,
         IF(OFFSET(CRONOPLE!$F$15,$M39-$A$15,CL$13)=0,10^12,OFFSET(CRONOPLE!$F$15,$M39-$A$15,CL$13)))</f>
        <v>20</v>
      </c>
      <c r="CM39" s="171">
        <f ca="1">IF(OR($D39&lt;&gt;"Serviço",AND(AUTOEVENTO="Manual",$M39=$A$15)),0,
         IF(OFFSET(CRONOPLE!$F$15,$M39-$A$15,CM$13)=0,10^12,OFFSET(CRONOPLE!$F$15,$M39-$A$15,CM$13)))</f>
        <v>1000000000000</v>
      </c>
      <c r="CN39" s="171">
        <f ca="1">IF(OR($D39&lt;&gt;"Serviço",AND(AUTOEVENTO="Manual",$M39=$A$15)),0,
         IF(OFFSET(CRONOPLE!$F$15,$M39-$A$15,CN$13)=0,10^12,OFFSET(CRONOPLE!$F$15,$M39-$A$15,CN$13)))</f>
        <v>1000000000000</v>
      </c>
      <c r="CO39" s="171">
        <f ca="1">IF(OR($D39&lt;&gt;"Serviço",AND(AUTOEVENTO="Manual",$M39=$A$15)),0,
         IF(OFFSET(CRONOPLE!$F$15,$M39-$A$15,CO$13)=0,10^12,OFFSET(CRONOPLE!$F$15,$M39-$A$15,CO$13)))</f>
        <v>1000000000000</v>
      </c>
      <c r="CP39" s="171">
        <f ca="1">IF(OR($D39&lt;&gt;"Serviço",AND(AUTOEVENTO="Manual",$M39=$A$15)),0,
         IF(OFFSET(CRONOPLE!$F$15,$M39-$A$15,CP$13)=0,10^12,OFFSET(CRONOPLE!$F$15,$M39-$A$15,CP$13)))</f>
        <v>1000000000000</v>
      </c>
      <c r="CQ39" s="171">
        <f ca="1">IF(OR($D39&lt;&gt;"Serviço",AND(AUTOEVENTO="Manual",$M39=$A$15)),0,
         IF(OFFSET(CRONOPLE!$F$15,$M39-$A$15,CQ$13)=0,10^12,OFFSET(CRONOPLE!$F$15,$M39-$A$15,CQ$13)))</f>
        <v>1000000000000</v>
      </c>
      <c r="CR39" s="171">
        <f ca="1">IF(OR($D39&lt;&gt;"Serviço",AND(AUTOEVENTO="Manual",$M39=$A$15)),0,
         IF(OFFSET(CRONOPLE!$F$15,$M39-$A$15,CR$13)=0,10^12,OFFSET(CRONOPLE!$F$15,$M39-$A$15,CR$13)))</f>
        <v>1000000000000</v>
      </c>
      <c r="CT39" s="172" cm="1">
        <f t="array" aca="1" ref="CT39" ca="1">IF(OR($D39&lt;&gt;"Serviço",AND(AUTOEVENTO="Manual",$M39=$A$15),$M39&gt;(ROW(PLE.lastrow)-ROW(PLE.firstrow))),0,
           IF(OFFSET(PLE!$G$15,$M39-$A$15,CT$13)="",10^12,OFFSET(PLE!$G$15,$M39-$A$15,CT$13)))</f>
        <v>1000000000000</v>
      </c>
      <c r="CU39" s="172" cm="1">
        <f t="array" aca="1" ref="CU39" ca="1">IF(OR($D39&lt;&gt;"Serviço",AND(AUTOEVENTO="Manual",$M39=$A$15),$M39&gt;(ROW(PLE.lastrow)-ROW(PLE.firstrow))),0,
           IF(OFFSET(PLE!$G$15,$M39-$A$15,CU$13)="",10^12,OFFSET(PLE!$G$15,$M39-$A$15,CU$13)))</f>
        <v>1000000000000</v>
      </c>
      <c r="CV39" s="172" cm="1">
        <f t="array" aca="1" ref="CV39" ca="1">IF(OR($D39&lt;&gt;"Serviço",AND(AUTOEVENTO="Manual",$M39=$A$15),$M39&gt;(ROW(PLE.lastrow)-ROW(PLE.firstrow))),0,
           IF(OFFSET(PLE!$G$15,$M39-$A$15,CV$13)="",10^12,OFFSET(PLE!$G$15,$M39-$A$15,CV$13)))</f>
        <v>1000000000000</v>
      </c>
      <c r="CW39" s="172" cm="1">
        <f t="array" aca="1" ref="CW39" ca="1">IF(OR($D39&lt;&gt;"Serviço",AND(AUTOEVENTO="Manual",$M39=$A$15),$M39&gt;(ROW(PLE.lastrow)-ROW(PLE.firstrow))),0,
           IF(OFFSET(PLE!$G$15,$M39-$A$15,CW$13)="",10^12,OFFSET(PLE!$G$15,$M39-$A$15,CW$13)))</f>
        <v>1000000000000</v>
      </c>
      <c r="CX39" s="172" cm="1">
        <f t="array" aca="1" ref="CX39" ca="1">IF(OR($D39&lt;&gt;"Serviço",AND(AUTOEVENTO="Manual",$M39=$A$15),$M39&gt;(ROW(PLE.lastrow)-ROW(PLE.firstrow))),0,
           IF(OFFSET(PLE!$G$15,$M39-$A$15,CX$13)="",10^12,OFFSET(PLE!$G$15,$M39-$A$15,CX$13)))</f>
        <v>1000000000000</v>
      </c>
      <c r="CY39" s="172" cm="1">
        <f t="array" aca="1" ref="CY39" ca="1">IF(OR($D39&lt;&gt;"Serviço",AND(AUTOEVENTO="Manual",$M39=$A$15),$M39&gt;(ROW(PLE.lastrow)-ROW(PLE.firstrow))),0,
           IF(OFFSET(PLE!$G$15,$M39-$A$15,CY$13)="",10^12,OFFSET(PLE!$G$15,$M39-$A$15,CY$13)))</f>
        <v>1000000000000</v>
      </c>
      <c r="CZ39" s="172" cm="1">
        <f t="array" aca="1" ref="CZ39" ca="1">IF(OR($D39&lt;&gt;"Serviço",AND(AUTOEVENTO="Manual",$M39=$A$15),$M39&gt;(ROW(PLE.lastrow)-ROW(PLE.firstrow))),0,
           IF(OFFSET(PLE!$G$15,$M39-$A$15,CZ$13)="",10^12,OFFSET(PLE!$G$15,$M39-$A$15,CZ$13)))</f>
        <v>1000000000000</v>
      </c>
      <c r="DA39" s="172" cm="1">
        <f t="array" aca="1" ref="DA39" ca="1">IF(OR($D39&lt;&gt;"Serviço",AND(AUTOEVENTO="Manual",$M39=$A$15),$M39&gt;(ROW(PLE.lastrow)-ROW(PLE.firstrow))),0,
           IF(OFFSET(PLE!$G$15,$M39-$A$15,DA$13)="",10^12,OFFSET(PLE!$G$15,$M39-$A$15,DA$13)))</f>
        <v>1000000000000</v>
      </c>
      <c r="DB39" s="172" cm="1">
        <f t="array" aca="1" ref="DB39" ca="1">IF(OR($D39&lt;&gt;"Serviço",AND(AUTOEVENTO="Manual",$M39=$A$15),$M39&gt;(ROW(PLE.lastrow)-ROW(PLE.firstrow))),0,
           IF(OFFSET(PLE!$G$15,$M39-$A$15,DB$13)="",10^12,OFFSET(PLE!$G$15,$M39-$A$15,DB$13)))</f>
        <v>1000000000000</v>
      </c>
      <c r="DC39" s="172" cm="1">
        <f t="array" aca="1" ref="DC39" ca="1">IF(OR($D39&lt;&gt;"Serviço",AND(AUTOEVENTO="Manual",$M39=$A$15),$M39&gt;(ROW(PLE.lastrow)-ROW(PLE.firstrow))),0,
           IF(OFFSET(PLE!$G$15,$M39-$A$15,DC$13)="",10^12,OFFSET(PLE!$G$15,$M39-$A$15,DC$13)))</f>
        <v>1000000000000</v>
      </c>
      <c r="DD39" s="172" cm="1">
        <f t="array" aca="1" ref="DD39" ca="1">IF(OR($D39&lt;&gt;"Serviço",AND(AUTOEVENTO="Manual",$M39=$A$15),$M39&gt;(ROW(PLE.lastrow)-ROW(PLE.firstrow))),0,
           IF(OFFSET(PLE!$G$15,$M39-$A$15,DD$13)="",10^12,OFFSET(PLE!$G$15,$M39-$A$15,DD$13)))</f>
        <v>1000000000000</v>
      </c>
      <c r="DE39" s="172" cm="1">
        <f t="array" aca="1" ref="DE39" ca="1">IF(OR($D39&lt;&gt;"Serviço",AND(AUTOEVENTO="Manual",$M39=$A$15),$M39&gt;(ROW(PLE.lastrow)-ROW(PLE.firstrow))),0,
           IF(OFFSET(PLE!$G$15,$M39-$A$15,DE$13)="",10^12,OFFSET(PLE!$G$15,$M39-$A$15,DE$13)))</f>
        <v>1000000000000</v>
      </c>
      <c r="DF39" s="172" cm="1">
        <f t="array" aca="1" ref="DF39" ca="1">IF(OR($D39&lt;&gt;"Serviço",AND(AUTOEVENTO="Manual",$M39=$A$15),$M39&gt;(ROW(PLE.lastrow)-ROW(PLE.firstrow))),0,
           IF(OFFSET(PLE!$G$15,$M39-$A$15,DF$13)="",10^12,OFFSET(PLE!$G$15,$M39-$A$15,DF$13)))</f>
        <v>1000000000000</v>
      </c>
      <c r="DG39" s="172" cm="1">
        <f t="array" aca="1" ref="DG39" ca="1">IF(OR($D39&lt;&gt;"Serviço",AND(AUTOEVENTO="Manual",$M39=$A$15),$M39&gt;(ROW(PLE.lastrow)-ROW(PLE.firstrow))),0,
           IF(OFFSET(PLE!$G$15,$M39-$A$15,DG$13)="",10^12,OFFSET(PLE!$G$15,$M39-$A$15,DG$13)))</f>
        <v>1000000000000</v>
      </c>
      <c r="DH39" s="172" cm="1">
        <f t="array" aca="1" ref="DH39" ca="1">IF(OR($D39&lt;&gt;"Serviço",AND(AUTOEVENTO="Manual",$M39=$A$15),$M39&gt;(ROW(PLE.lastrow)-ROW(PLE.firstrow))),0,
           IF(OFFSET(PLE!$G$15,$M39-$A$15,DH$13)="",10^12,OFFSET(PLE!$G$15,$M39-$A$15,DH$13)))</f>
        <v>1000000000000</v>
      </c>
      <c r="DI39" s="172" cm="1">
        <f t="array" aca="1" ref="DI39" ca="1">IF(OR($D39&lt;&gt;"Serviço",AND(AUTOEVENTO="Manual",$M39=$A$15),$M39&gt;(ROW(PLE.lastrow)-ROW(PLE.firstrow))),0,
           IF(OFFSET(PLE!$G$15,$M39-$A$15,DI$13)="",10^12,OFFSET(PLE!$G$15,$M39-$A$15,DI$13)))</f>
        <v>1000000000000</v>
      </c>
      <c r="DJ39" s="172" cm="1">
        <f t="array" aca="1" ref="DJ39" ca="1">IF(OR($D39&lt;&gt;"Serviço",AND(AUTOEVENTO="Manual",$M39=$A$15),$M39&gt;(ROW(PLE.lastrow)-ROW(PLE.firstrow))),0,
           IF(OFFSET(PLE!$G$15,$M39-$A$15,DJ$13)="",10^12,OFFSET(PLE!$G$15,$M39-$A$15,DJ$13)))</f>
        <v>1000000000000</v>
      </c>
      <c r="DK39" s="172" cm="1">
        <f t="array" aca="1" ref="DK39" ca="1">IF(OR($D39&lt;&gt;"Serviço",AND(AUTOEVENTO="Manual",$M39=$A$15),$M39&gt;(ROW(PLE.lastrow)-ROW(PLE.firstrow))),0,
           IF(OFFSET(PLE!$G$15,$M39-$A$15,DK$13)="",10^12,OFFSET(PLE!$G$15,$M39-$A$15,DK$13)))</f>
        <v>1000000000000</v>
      </c>
      <c r="DL39" s="172" cm="1">
        <f t="array" aca="1" ref="DL39" ca="1">IF(OR($D39&lt;&gt;"Serviço",AND(AUTOEVENTO="Manual",$M39=$A$15),$M39&gt;(ROW(PLE.lastrow)-ROW(PLE.firstrow))),0,
           IF(OFFSET(PLE!$G$15,$M39-$A$15,DL$13)="",10^12,OFFSET(PLE!$G$15,$M39-$A$15,DL$13)))</f>
        <v>1000000000000</v>
      </c>
      <c r="DM39" s="172" cm="1">
        <f t="array" aca="1" ref="DM39" ca="1">IF(OR($D39&lt;&gt;"Serviço",AND(AUTOEVENTO="Manual",$M39=$A$15),$M39&gt;(ROW(PLE.lastrow)-ROW(PLE.firstrow))),0,
           IF(OFFSET(PLE!$G$15,$M39-$A$15,DM$13)="",10^12,OFFSET(PLE!$G$15,$M39-$A$15,DM$13)))</f>
        <v>1000000000000</v>
      </c>
      <c r="DN39" s="172" cm="1">
        <f t="array" aca="1" ref="DN39" ca="1">IF(OR($D39&lt;&gt;"Serviço",AND(AUTOEVENTO="Manual",$M39=$A$15),$M39&gt;(ROW(PLE.lastrow)-ROW(PLE.firstrow))),0,
           IF(OFFSET(PLE!$G$15,$M39-$A$15,DN$13)="",10^12,OFFSET(PLE!$G$15,$M39-$A$15,DN$13)))</f>
        <v>1000000000000</v>
      </c>
      <c r="DO39" s="172" cm="1">
        <f t="array" aca="1" ref="DO39" ca="1">IF(OR($D39&lt;&gt;"Serviço",AND(AUTOEVENTO="Manual",$M39=$A$15),$M39&gt;(ROW(PLE.lastrow)-ROW(PLE.firstrow))),0,
           IF(OFFSET(PLE!$G$15,$M39-$A$15,DO$13)="",10^12,OFFSET(PLE!$G$15,$M39-$A$15,DO$13)))</f>
        <v>1000000000000</v>
      </c>
      <c r="DP39" s="172" cm="1">
        <f t="array" aca="1" ref="DP39" ca="1">IF(OR($D39&lt;&gt;"Serviço",AND(AUTOEVENTO="Manual",$M39=$A$15),$M39&gt;(ROW(PLE.lastrow)-ROW(PLE.firstrow))),0,
           IF(OFFSET(PLE!$G$15,$M39-$A$15,DP$13)="",10^12,OFFSET(PLE!$G$15,$M39-$A$15,DP$13)))</f>
        <v>1000000000000</v>
      </c>
      <c r="DQ39" s="172" cm="1">
        <f t="array" aca="1" ref="DQ39" ca="1">IF(OR($D39&lt;&gt;"Serviço",AND(AUTOEVENTO="Manual",$M39=$A$15),$M39&gt;(ROW(PLE.lastrow)-ROW(PLE.firstrow))),0,
           IF(OFFSET(PLE!$G$15,$M39-$A$15,DQ$13)="",10^12,OFFSET(PLE!$G$15,$M39-$A$15,DQ$13)))</f>
        <v>1000000000000</v>
      </c>
      <c r="DR39" s="172" cm="1">
        <f t="array" aca="1" ref="DR39" ca="1">IF(OR($D39&lt;&gt;"Serviço",AND(AUTOEVENTO="Manual",$M39=$A$15),$M39&gt;(ROW(PLE.lastrow)-ROW(PLE.firstrow))),0,
           IF(OFFSET(PLE!$G$15,$M39-$A$15,DR$13)="",10^12,OFFSET(PLE!$G$15,$M39-$A$15,DR$13)))</f>
        <v>1000000000000</v>
      </c>
      <c r="DS39" s="172" cm="1">
        <f t="array" aca="1" ref="DS39" ca="1">IF(OR($D39&lt;&gt;"Serviço",AND(AUTOEVENTO="Manual",$M39=$A$15),$M39&gt;(ROW(PLE.lastrow)-ROW(PLE.firstrow))),0,
           IF(OFFSET(PLE!$G$15,$M39-$A$15,DS$13)="",10^12,OFFSET(PLE!$G$15,$M39-$A$15,DS$13)))</f>
        <v>1000000000000</v>
      </c>
    </row>
    <row r="40" spans="1:123" ht="25.5" x14ac:dyDescent="0.2">
      <c r="A40" s="7">
        <f t="shared" ca="1" si="11"/>
        <v>3</v>
      </c>
      <c r="B40" s="7" t="str">
        <f ca="1">OFFSET(ORÇAMENTO!C$15,$L40,0)</f>
        <v>S</v>
      </c>
      <c r="C40" s="7" t="str">
        <f ca="1">OFFSET(ORÇAMENTO!L$15,$L40,0)</f>
        <v/>
      </c>
      <c r="D40" s="116" t="str">
        <f ca="1">OFFSET(ORÇAMENTO!N$15,$L40,0)</f>
        <v>Serviço</v>
      </c>
      <c r="E40" s="117" t="str">
        <f ca="1">OFFSET(ORÇAMENTO!O$15,$L40,0)</f>
        <v>-</v>
      </c>
      <c r="F40" s="163" t="str">
        <f ca="1">OFFSET(ORÇAMENTO!R$15,$L40,0)</f>
        <v>(Código não identificado nas referências)</v>
      </c>
      <c r="G40" s="164" t="str">
        <f ca="1">IF($D40&lt;&gt;"Serviço","",OFFSET(ORÇAMENTO!S$15,$L40,0))</f>
        <v>-</v>
      </c>
      <c r="H40" s="122" cm="1">
        <f t="array" aca="1" ref="H40" ca="1">IF($D40&lt;&gt;"Serviço",0,IF(ACOMPANHAMENTO="BM",ROUND(OFFSET(ORÇAMENTO!AJ$15,$L40,0),15-13*ORÇAMENTO!$AF$7),IF(IFERROR(CÁLCULO.FrentesPreenchidas,0)=0,0,SUM(ROUND(OFFSET($P40,0,1,1,CÁLCULO.FrentesPreenchidas),15-13*ORÇAMENTO!$AF$7)))))</f>
        <v>1608.0000000000005</v>
      </c>
      <c r="I40" s="468" t="s">
        <v>1235</v>
      </c>
      <c r="J40" s="651" t="str" cm="1">
        <f t="array" aca="1" ref="J40" ca="1">IF(OR(B40&lt;&gt;"S",CÁLCULO.FrentesPreenchidas=0),"",IF(AND(ACOMPANHAMENTO="PLE",AUTOEVENTO="Manual",OR(H40&gt;0,ORÇAMENTO!AC40="QUANT."),OR(K40="",M40=0,N40="")),"►E",IF(AND(ACOMPANHAMENTO="PLE",ORÇAMENTO!AC40="QUANT."),"►Q",IF(AND(ACOMPANHAMENTO="PLE",H40&lt;&gt;SUMPRODUCT(($Q$1:$AQ$1=1)*ROUND(Q40:AQ40,15))),"►S",IF(AND(COUNTIF($P$11:$AQ$11,"▼")=0,H40&gt;0,I40=""),"◄M","")))))</f>
        <v/>
      </c>
      <c r="K40" s="652" t="s">
        <v>1250</v>
      </c>
      <c r="L40" s="165">
        <f t="shared" ca="1" si="12"/>
        <v>25</v>
      </c>
      <c r="M40" s="166">
        <f ca="1">IF($D40&lt;&gt;"Serviço","",
          IF(AUTOEVENTO="manual",$A40,
                IF(ISERROR(MATCH($A40,$A$15:OFFSET($A40,-1,0),0)),MAX($M$15:OFFSET(M40,-1,0))+1,
                      INDEX($M$15:OFFSET(M40,-1,0),MATCH($A40,$A$15:OFFSET($A40,-1,0),0)))))</f>
        <v>3</v>
      </c>
      <c r="N40" s="167" t="str">
        <f ca="1">IF($D40&lt;&gt;"Serviço","",
         IF(AUTOEVENTO="Manual",
                IF($A40=0,"&lt;-- defina o número do agrupador",
                       OFFSET(EVENTOS!$D$15,$A40-$A$15,0)),
                OFFSET($F$15,$A40,0)))</f>
        <v>FUNDAÇÕES</v>
      </c>
      <c r="O40" s="168"/>
      <c r="Q40" s="168">
        <v>80.400000000000006</v>
      </c>
      <c r="R40" s="169">
        <v>80.400000000000006</v>
      </c>
      <c r="S40" s="169">
        <v>80.400000000000006</v>
      </c>
      <c r="T40" s="169">
        <v>80.400000000000006</v>
      </c>
      <c r="U40" s="169">
        <v>80.400000000000006</v>
      </c>
      <c r="V40" s="169">
        <v>80.400000000000006</v>
      </c>
      <c r="W40" s="169">
        <v>80.400000000000006</v>
      </c>
      <c r="X40" s="169">
        <v>80.400000000000006</v>
      </c>
      <c r="Y40" s="169">
        <v>80.400000000000006</v>
      </c>
      <c r="Z40" s="170">
        <v>80.400000000000006</v>
      </c>
      <c r="AA40" s="169">
        <v>80.400000000000006</v>
      </c>
      <c r="AB40" s="169">
        <v>80.400000000000006</v>
      </c>
      <c r="AC40" s="169">
        <v>80.400000000000006</v>
      </c>
      <c r="AD40" s="169">
        <v>80.400000000000006</v>
      </c>
      <c r="AE40" s="169">
        <v>80.400000000000006</v>
      </c>
      <c r="AF40" s="169">
        <v>80.400000000000006</v>
      </c>
      <c r="AG40" s="169">
        <v>80.400000000000006</v>
      </c>
      <c r="AH40" s="170">
        <v>80.400000000000006</v>
      </c>
      <c r="AI40" s="169">
        <v>80.400000000000006</v>
      </c>
      <c r="AJ40" s="169">
        <v>80.400000000000006</v>
      </c>
      <c r="AK40" s="169"/>
      <c r="AL40" s="169"/>
      <c r="AM40" s="169"/>
      <c r="AN40" s="169"/>
      <c r="AO40" s="169"/>
      <c r="AP40" s="170"/>
      <c r="AR40" s="453">
        <f ca="1">IF(AND($D40="Serviço",AR$12&lt;&gt;0,$H40&gt;0,OR(AUTOEVENTO&lt;&gt;"manual",$M40&lt;&gt;$A$15)),
        IF(Import.TipoArredondamento&lt;&gt;"TransfereGOV",
              ROUND(OFFSET($P40,0,AR$13),15-13*ORÇAMENTO!$AF$7)/$H40*OFFSET(ORÇAMENTO!$X$15,ROW(AR40)-ROW(AR$15),0),
              ROUND(ROUND(OFFSET($P40,0,AR$13),15-13*ORÇAMENTO!$AF$7)*OFFSET(ORÇAMENTO!$W$15,ROW(AR40)-ROW(AR$15),0),15-13*ORÇAMENTO!$AF$11)),
         0)</f>
        <v>0</v>
      </c>
      <c r="AS40" s="453">
        <f ca="1">IF(AND($D40="Serviço",AS$12&lt;&gt;0,$H40&gt;0,OR(AUTOEVENTO&lt;&gt;"manual",$M40&lt;&gt;$A$15)),
        IF(Import.TipoArredondamento&lt;&gt;"TransfereGOV",
              ROUND(OFFSET($P40,0,AS$13),15-13*ORÇAMENTO!$AF$7)/$H40*OFFSET(ORÇAMENTO!$X$15,ROW(AS40)-ROW(AS$15),0),
              ROUND(ROUND(OFFSET($P40,0,AS$13),15-13*ORÇAMENTO!$AF$7)*OFFSET(ORÇAMENTO!$W$15,ROW(AS40)-ROW(AS$15),0),15-13*ORÇAMENTO!$AF$11)),
         0)</f>
        <v>0</v>
      </c>
      <c r="AT40" s="453">
        <f ca="1">IF(AND($D40="Serviço",AT$12&lt;&gt;0,$H40&gt;0,OR(AUTOEVENTO&lt;&gt;"manual",$M40&lt;&gt;$A$15)),
        IF(Import.TipoArredondamento&lt;&gt;"TransfereGOV",
              ROUND(OFFSET($P40,0,AT$13),15-13*ORÇAMENTO!$AF$7)/$H40*OFFSET(ORÇAMENTO!$X$15,ROW(AT40)-ROW(AT$15),0),
              ROUND(ROUND(OFFSET($P40,0,AT$13),15-13*ORÇAMENTO!$AF$7)*OFFSET(ORÇAMENTO!$W$15,ROW(AT40)-ROW(AT$15),0),15-13*ORÇAMENTO!$AF$11)),
         0)</f>
        <v>0</v>
      </c>
      <c r="AU40" s="453">
        <f ca="1">IF(AND($D40="Serviço",AU$12&lt;&gt;0,$H40&gt;0,OR(AUTOEVENTO&lt;&gt;"manual",$M40&lt;&gt;$A$15)),
        IF(Import.TipoArredondamento&lt;&gt;"TransfereGOV",
              ROUND(OFFSET($P40,0,AU$13),15-13*ORÇAMENTO!$AF$7)/$H40*OFFSET(ORÇAMENTO!$X$15,ROW(AU40)-ROW(AU$15),0),
              ROUND(ROUND(OFFSET($P40,0,AU$13),15-13*ORÇAMENTO!$AF$7)*OFFSET(ORÇAMENTO!$W$15,ROW(AU40)-ROW(AU$15),0),15-13*ORÇAMENTO!$AF$11)),
         0)</f>
        <v>0</v>
      </c>
      <c r="AV40" s="453">
        <f ca="1">IF(AND($D40="Serviço",AV$12&lt;&gt;0,$H40&gt;0,OR(AUTOEVENTO&lt;&gt;"manual",$M40&lt;&gt;$A$15)),
        IF(Import.TipoArredondamento&lt;&gt;"TransfereGOV",
              ROUND(OFFSET($P40,0,AV$13),15-13*ORÇAMENTO!$AF$7)/$H40*OFFSET(ORÇAMENTO!$X$15,ROW(AV40)-ROW(AV$15),0),
              ROUND(ROUND(OFFSET($P40,0,AV$13),15-13*ORÇAMENTO!$AF$7)*OFFSET(ORÇAMENTO!$W$15,ROW(AV40)-ROW(AV$15),0),15-13*ORÇAMENTO!$AF$11)),
         0)</f>
        <v>0</v>
      </c>
      <c r="AW40" s="453">
        <f ca="1">IF(AND($D40="Serviço",AW$12&lt;&gt;0,$H40&gt;0,OR(AUTOEVENTO&lt;&gt;"manual",$M40&lt;&gt;$A$15)),
        IF(Import.TipoArredondamento&lt;&gt;"TransfereGOV",
              ROUND(OFFSET($P40,0,AW$13),15-13*ORÇAMENTO!$AF$7)/$H40*OFFSET(ORÇAMENTO!$X$15,ROW(AW40)-ROW(AW$15),0),
              ROUND(ROUND(OFFSET($P40,0,AW$13),15-13*ORÇAMENTO!$AF$7)*OFFSET(ORÇAMENTO!$W$15,ROW(AW40)-ROW(AW$15),0),15-13*ORÇAMENTO!$AF$11)),
         0)</f>
        <v>0</v>
      </c>
      <c r="AX40" s="453">
        <f ca="1">IF(AND($D40="Serviço",AX$12&lt;&gt;0,$H40&gt;0,OR(AUTOEVENTO&lt;&gt;"manual",$M40&lt;&gt;$A$15)),
        IF(Import.TipoArredondamento&lt;&gt;"TransfereGOV",
              ROUND(OFFSET($P40,0,AX$13),15-13*ORÇAMENTO!$AF$7)/$H40*OFFSET(ORÇAMENTO!$X$15,ROW(AX40)-ROW(AX$15),0),
              ROUND(ROUND(OFFSET($P40,0,AX$13),15-13*ORÇAMENTO!$AF$7)*OFFSET(ORÇAMENTO!$W$15,ROW(AX40)-ROW(AX$15),0),15-13*ORÇAMENTO!$AF$11)),
         0)</f>
        <v>0</v>
      </c>
      <c r="AY40" s="453">
        <f ca="1">IF(AND($D40="Serviço",AY$12&lt;&gt;0,$H40&gt;0,OR(AUTOEVENTO&lt;&gt;"manual",$M40&lt;&gt;$A$15)),
        IF(Import.TipoArredondamento&lt;&gt;"TransfereGOV",
              ROUND(OFFSET($P40,0,AY$13),15-13*ORÇAMENTO!$AF$7)/$H40*OFFSET(ORÇAMENTO!$X$15,ROW(AY40)-ROW(AY$15),0),
              ROUND(ROUND(OFFSET($P40,0,AY$13),15-13*ORÇAMENTO!$AF$7)*OFFSET(ORÇAMENTO!$W$15,ROW(AY40)-ROW(AY$15),0),15-13*ORÇAMENTO!$AF$11)),
         0)</f>
        <v>0</v>
      </c>
      <c r="AZ40" s="453">
        <f ca="1">IF(AND($D40="Serviço",AZ$12&lt;&gt;0,$H40&gt;0,OR(AUTOEVENTO&lt;&gt;"manual",$M40&lt;&gt;$A$15)),
        IF(Import.TipoArredondamento&lt;&gt;"TransfereGOV",
              ROUND(OFFSET($P40,0,AZ$13),15-13*ORÇAMENTO!$AF$7)/$H40*OFFSET(ORÇAMENTO!$X$15,ROW(AZ40)-ROW(AZ$15),0),
              ROUND(ROUND(OFFSET($P40,0,AZ$13),15-13*ORÇAMENTO!$AF$7)*OFFSET(ORÇAMENTO!$W$15,ROW(AZ40)-ROW(AZ$15),0),15-13*ORÇAMENTO!$AF$11)),
         0)</f>
        <v>0</v>
      </c>
      <c r="BA40" s="453">
        <f ca="1">IF(AND($D40="Serviço",BA$12&lt;&gt;0,$H40&gt;0,OR(AUTOEVENTO&lt;&gt;"manual",$M40&lt;&gt;$A$15)),
        IF(Import.TipoArredondamento&lt;&gt;"TransfereGOV",
              ROUND(OFFSET($P40,0,BA$13),15-13*ORÇAMENTO!$AF$7)/$H40*OFFSET(ORÇAMENTO!$X$15,ROW(BA40)-ROW(BA$15),0),
              ROUND(ROUND(OFFSET($P40,0,BA$13),15-13*ORÇAMENTO!$AF$7)*OFFSET(ORÇAMENTO!$W$15,ROW(BA40)-ROW(BA$15),0),15-13*ORÇAMENTO!$AF$11)),
         0)</f>
        <v>0</v>
      </c>
      <c r="BB40" s="453">
        <f ca="1">IF(AND($D40="Serviço",BB$12&lt;&gt;0,$H40&gt;0,OR(AUTOEVENTO&lt;&gt;"manual",$M40&lt;&gt;$A$15)),
        IF(Import.TipoArredondamento&lt;&gt;"TransfereGOV",
              ROUND(OFFSET($P40,0,BB$13),15-13*ORÇAMENTO!$AF$7)/$H40*OFFSET(ORÇAMENTO!$X$15,ROW(BB40)-ROW(BB$15),0),
              ROUND(ROUND(OFFSET($P40,0,BB$13),15-13*ORÇAMENTO!$AF$7)*OFFSET(ORÇAMENTO!$W$15,ROW(BB40)-ROW(BB$15),0),15-13*ORÇAMENTO!$AF$11)),
         0)</f>
        <v>0</v>
      </c>
      <c r="BC40" s="453">
        <f ca="1">IF(AND($D40="Serviço",BC$12&lt;&gt;0,$H40&gt;0,OR(AUTOEVENTO&lt;&gt;"manual",$M40&lt;&gt;$A$15)),
        IF(Import.TipoArredondamento&lt;&gt;"TransfereGOV",
              ROUND(OFFSET($P40,0,BC$13),15-13*ORÇAMENTO!$AF$7)/$H40*OFFSET(ORÇAMENTO!$X$15,ROW(BC40)-ROW(BC$15),0),
              ROUND(ROUND(OFFSET($P40,0,BC$13),15-13*ORÇAMENTO!$AF$7)*OFFSET(ORÇAMENTO!$W$15,ROW(BC40)-ROW(BC$15),0),15-13*ORÇAMENTO!$AF$11)),
         0)</f>
        <v>0</v>
      </c>
      <c r="BD40" s="453">
        <f ca="1">IF(AND($D40="Serviço",BD$12&lt;&gt;0,$H40&gt;0,OR(AUTOEVENTO&lt;&gt;"manual",$M40&lt;&gt;$A$15)),
        IF(Import.TipoArredondamento&lt;&gt;"TransfereGOV",
              ROUND(OFFSET($P40,0,BD$13),15-13*ORÇAMENTO!$AF$7)/$H40*OFFSET(ORÇAMENTO!$X$15,ROW(BD40)-ROW(BD$15),0),
              ROUND(ROUND(OFFSET($P40,0,BD$13),15-13*ORÇAMENTO!$AF$7)*OFFSET(ORÇAMENTO!$W$15,ROW(BD40)-ROW(BD$15),0),15-13*ORÇAMENTO!$AF$11)),
         0)</f>
        <v>0</v>
      </c>
      <c r="BE40" s="453">
        <f ca="1">IF(AND($D40="Serviço",BE$12&lt;&gt;0,$H40&gt;0,OR(AUTOEVENTO&lt;&gt;"manual",$M40&lt;&gt;$A$15)),
        IF(Import.TipoArredondamento&lt;&gt;"TransfereGOV",
              ROUND(OFFSET($P40,0,BE$13),15-13*ORÇAMENTO!$AF$7)/$H40*OFFSET(ORÇAMENTO!$X$15,ROW(BE40)-ROW(BE$15),0),
              ROUND(ROUND(OFFSET($P40,0,BE$13),15-13*ORÇAMENTO!$AF$7)*OFFSET(ORÇAMENTO!$W$15,ROW(BE40)-ROW(BE$15),0),15-13*ORÇAMENTO!$AF$11)),
         0)</f>
        <v>0</v>
      </c>
      <c r="BF40" s="453">
        <f ca="1">IF(AND($D40="Serviço",BF$12&lt;&gt;0,$H40&gt;0,OR(AUTOEVENTO&lt;&gt;"manual",$M40&lt;&gt;$A$15)),
        IF(Import.TipoArredondamento&lt;&gt;"TransfereGOV",
              ROUND(OFFSET($P40,0,BF$13),15-13*ORÇAMENTO!$AF$7)/$H40*OFFSET(ORÇAMENTO!$X$15,ROW(BF40)-ROW(BF$15),0),
              ROUND(ROUND(OFFSET($P40,0,BF$13),15-13*ORÇAMENTO!$AF$7)*OFFSET(ORÇAMENTO!$W$15,ROW(BF40)-ROW(BF$15),0),15-13*ORÇAMENTO!$AF$11)),
         0)</f>
        <v>0</v>
      </c>
      <c r="BG40" s="453">
        <f ca="1">IF(AND($D40="Serviço",BG$12&lt;&gt;0,$H40&gt;0,OR(AUTOEVENTO&lt;&gt;"manual",$M40&lt;&gt;$A$15)),
        IF(Import.TipoArredondamento&lt;&gt;"TransfereGOV",
              ROUND(OFFSET($P40,0,BG$13),15-13*ORÇAMENTO!$AF$7)/$H40*OFFSET(ORÇAMENTO!$X$15,ROW(BG40)-ROW(BG$15),0),
              ROUND(ROUND(OFFSET($P40,0,BG$13),15-13*ORÇAMENTO!$AF$7)*OFFSET(ORÇAMENTO!$W$15,ROW(BG40)-ROW(BG$15),0),15-13*ORÇAMENTO!$AF$11)),
         0)</f>
        <v>0</v>
      </c>
      <c r="BH40" s="453">
        <f ca="1">IF(AND($D40="Serviço",BH$12&lt;&gt;0,$H40&gt;0,OR(AUTOEVENTO&lt;&gt;"manual",$M40&lt;&gt;$A$15)),
        IF(Import.TipoArredondamento&lt;&gt;"TransfereGOV",
              ROUND(OFFSET($P40,0,BH$13),15-13*ORÇAMENTO!$AF$7)/$H40*OFFSET(ORÇAMENTO!$X$15,ROW(BH40)-ROW(BH$15),0),
              ROUND(ROUND(OFFSET($P40,0,BH$13),15-13*ORÇAMENTO!$AF$7)*OFFSET(ORÇAMENTO!$W$15,ROW(BH40)-ROW(BH$15),0),15-13*ORÇAMENTO!$AF$11)),
         0)</f>
        <v>0</v>
      </c>
      <c r="BI40" s="453">
        <f ca="1">IF(AND($D40="Serviço",BI$12&lt;&gt;0,$H40&gt;0,OR(AUTOEVENTO&lt;&gt;"manual",$M40&lt;&gt;$A$15)),
        IF(Import.TipoArredondamento&lt;&gt;"TransfereGOV",
              ROUND(OFFSET($P40,0,BI$13),15-13*ORÇAMENTO!$AF$7)/$H40*OFFSET(ORÇAMENTO!$X$15,ROW(BI40)-ROW(BI$15),0),
              ROUND(ROUND(OFFSET($P40,0,BI$13),15-13*ORÇAMENTO!$AF$7)*OFFSET(ORÇAMENTO!$W$15,ROW(BI40)-ROW(BI$15),0),15-13*ORÇAMENTO!$AF$11)),
         0)</f>
        <v>0</v>
      </c>
      <c r="BJ40" s="453">
        <f ca="1">IF(AND($D40="Serviço",BJ$12&lt;&gt;0,$H40&gt;0,OR(AUTOEVENTO&lt;&gt;"manual",$M40&lt;&gt;$A$15)),
        IF(Import.TipoArredondamento&lt;&gt;"TransfereGOV",
              ROUND(OFFSET($P40,0,BJ$13),15-13*ORÇAMENTO!$AF$7)/$H40*OFFSET(ORÇAMENTO!$X$15,ROW(BJ40)-ROW(BJ$15),0),
              ROUND(ROUND(OFFSET($P40,0,BJ$13),15-13*ORÇAMENTO!$AF$7)*OFFSET(ORÇAMENTO!$W$15,ROW(BJ40)-ROW(BJ$15),0),15-13*ORÇAMENTO!$AF$11)),
         0)</f>
        <v>0</v>
      </c>
      <c r="BK40" s="453">
        <f ca="1">IF(AND($D40="Serviço",BK$12&lt;&gt;0,$H40&gt;0,OR(AUTOEVENTO&lt;&gt;"manual",$M40&lt;&gt;$A$15)),
        IF(Import.TipoArredondamento&lt;&gt;"TransfereGOV",
              ROUND(OFFSET($P40,0,BK$13),15-13*ORÇAMENTO!$AF$7)/$H40*OFFSET(ORÇAMENTO!$X$15,ROW(BK40)-ROW(BK$15),0),
              ROUND(ROUND(OFFSET($P40,0,BK$13),15-13*ORÇAMENTO!$AF$7)*OFFSET(ORÇAMENTO!$W$15,ROW(BK40)-ROW(BK$15),0),15-13*ORÇAMENTO!$AF$11)),
         0)</f>
        <v>0</v>
      </c>
      <c r="BL40" s="453">
        <f ca="1">IF(AND($D40="Serviço",BL$12&lt;&gt;0,$H40&gt;0,OR(AUTOEVENTO&lt;&gt;"manual",$M40&lt;&gt;$A$15)),
        IF(Import.TipoArredondamento&lt;&gt;"TransfereGOV",
              ROUND(OFFSET($P40,0,BL$13),15-13*ORÇAMENTO!$AF$7)/$H40*OFFSET(ORÇAMENTO!$X$15,ROW(BL40)-ROW(BL$15),0),
              ROUND(ROUND(OFFSET($P40,0,BL$13),15-13*ORÇAMENTO!$AF$7)*OFFSET(ORÇAMENTO!$W$15,ROW(BL40)-ROW(BL$15),0),15-13*ORÇAMENTO!$AF$11)),
         0)</f>
        <v>0</v>
      </c>
      <c r="BM40" s="453">
        <f ca="1">IF(AND($D40="Serviço",BM$12&lt;&gt;0,$H40&gt;0,OR(AUTOEVENTO&lt;&gt;"manual",$M40&lt;&gt;$A$15)),
        IF(Import.TipoArredondamento&lt;&gt;"TransfereGOV",
              ROUND(OFFSET($P40,0,BM$13),15-13*ORÇAMENTO!$AF$7)/$H40*OFFSET(ORÇAMENTO!$X$15,ROW(BM40)-ROW(BM$15),0),
              ROUND(ROUND(OFFSET($P40,0,BM$13),15-13*ORÇAMENTO!$AF$7)*OFFSET(ORÇAMENTO!$W$15,ROW(BM40)-ROW(BM$15),0),15-13*ORÇAMENTO!$AF$11)),
         0)</f>
        <v>0</v>
      </c>
      <c r="BN40" s="453">
        <f ca="1">IF(AND($D40="Serviço",BN$12&lt;&gt;0,$H40&gt;0,OR(AUTOEVENTO&lt;&gt;"manual",$M40&lt;&gt;$A$15)),
        IF(Import.TipoArredondamento&lt;&gt;"TransfereGOV",
              ROUND(OFFSET($P40,0,BN$13),15-13*ORÇAMENTO!$AF$7)/$H40*OFFSET(ORÇAMENTO!$X$15,ROW(BN40)-ROW(BN$15),0),
              ROUND(ROUND(OFFSET($P40,0,BN$13),15-13*ORÇAMENTO!$AF$7)*OFFSET(ORÇAMENTO!$W$15,ROW(BN40)-ROW(BN$15),0),15-13*ORÇAMENTO!$AF$11)),
         0)</f>
        <v>0</v>
      </c>
      <c r="BO40" s="453">
        <f ca="1">IF(AND($D40="Serviço",BO$12&lt;&gt;0,$H40&gt;0,OR(AUTOEVENTO&lt;&gt;"manual",$M40&lt;&gt;$A$15)),
        IF(Import.TipoArredondamento&lt;&gt;"TransfereGOV",
              ROUND(OFFSET($P40,0,BO$13),15-13*ORÇAMENTO!$AF$7)/$H40*OFFSET(ORÇAMENTO!$X$15,ROW(BO40)-ROW(BO$15),0),
              ROUND(ROUND(OFFSET($P40,0,BO$13),15-13*ORÇAMENTO!$AF$7)*OFFSET(ORÇAMENTO!$W$15,ROW(BO40)-ROW(BO$15),0),15-13*ORÇAMENTO!$AF$11)),
         0)</f>
        <v>0</v>
      </c>
      <c r="BP40" s="453">
        <f ca="1">IF(AND($D40="Serviço",BP$12&lt;&gt;0,$H40&gt;0,OR(AUTOEVENTO&lt;&gt;"manual",$M40&lt;&gt;$A$15)),
        IF(Import.TipoArredondamento&lt;&gt;"TransfereGOV",
              ROUND(OFFSET($P40,0,BP$13),15-13*ORÇAMENTO!$AF$7)/$H40*OFFSET(ORÇAMENTO!$X$15,ROW(BP40)-ROW(BP$15),0),
              ROUND(ROUND(OFFSET($P40,0,BP$13),15-13*ORÇAMENTO!$AF$7)*OFFSET(ORÇAMENTO!$W$15,ROW(BP40)-ROW(BP$15),0),15-13*ORÇAMENTO!$AF$11)),
         0)</f>
        <v>0</v>
      </c>
      <c r="BQ40" s="453">
        <f ca="1">IF(AND($D40="Serviço",BQ$12&lt;&gt;0,$H40&gt;0,OR(AUTOEVENTO&lt;&gt;"manual",$M40&lt;&gt;$A$15)),
        IF(Import.TipoArredondamento&lt;&gt;"TransfereGOV",
              ROUND(OFFSET($P40,0,BQ$13),15-13*ORÇAMENTO!$AF$7)/$H40*OFFSET(ORÇAMENTO!$X$15,ROW(BQ40)-ROW(BQ$15),0),
              ROUND(ROUND(OFFSET($P40,0,BQ$13),15-13*ORÇAMENTO!$AF$7)*OFFSET(ORÇAMENTO!$W$15,ROW(BQ40)-ROW(BQ$15),0),15-13*ORÇAMENTO!$AF$11)),
         0)</f>
        <v>0</v>
      </c>
      <c r="BS40" s="171">
        <f ca="1">IF(OR($D40&lt;&gt;"Serviço",AND(AUTOEVENTO="Manual",$M40=$A$15)),0,
         IF(OFFSET(CRONOPLE!$F$15,$M40-$A$15,BS$13)=0,10^12,OFFSET(CRONOPLE!$F$15,$M40-$A$15,BS$13)))</f>
        <v>1</v>
      </c>
      <c r="BT40" s="171">
        <f ca="1">IF(OR($D40&lt;&gt;"Serviço",AND(AUTOEVENTO="Manual",$M40=$A$15)),0,
         IF(OFFSET(CRONOPLE!$F$15,$M40-$A$15,BT$13)=0,10^12,OFFSET(CRONOPLE!$F$15,$M40-$A$15,BT$13)))</f>
        <v>2</v>
      </c>
      <c r="BU40" s="171">
        <f ca="1">IF(OR($D40&lt;&gt;"Serviço",AND(AUTOEVENTO="Manual",$M40=$A$15)),0,
         IF(OFFSET(CRONOPLE!$F$15,$M40-$A$15,BU$13)=0,10^12,OFFSET(CRONOPLE!$F$15,$M40-$A$15,BU$13)))</f>
        <v>3</v>
      </c>
      <c r="BV40" s="171">
        <f ca="1">IF(OR($D40&lt;&gt;"Serviço",AND(AUTOEVENTO="Manual",$M40=$A$15)),0,
         IF(OFFSET(CRONOPLE!$F$15,$M40-$A$15,BV$13)=0,10^12,OFFSET(CRONOPLE!$F$15,$M40-$A$15,BV$13)))</f>
        <v>4</v>
      </c>
      <c r="BW40" s="171">
        <f ca="1">IF(OR($D40&lt;&gt;"Serviço",AND(AUTOEVENTO="Manual",$M40=$A$15)),0,
         IF(OFFSET(CRONOPLE!$F$15,$M40-$A$15,BW$13)=0,10^12,OFFSET(CRONOPLE!$F$15,$M40-$A$15,BW$13)))</f>
        <v>5</v>
      </c>
      <c r="BX40" s="171">
        <f ca="1">IF(OR($D40&lt;&gt;"Serviço",AND(AUTOEVENTO="Manual",$M40=$A$15)),0,
         IF(OFFSET(CRONOPLE!$F$15,$M40-$A$15,BX$13)=0,10^12,OFFSET(CRONOPLE!$F$15,$M40-$A$15,BX$13)))</f>
        <v>6</v>
      </c>
      <c r="BY40" s="171">
        <f ca="1">IF(OR($D40&lt;&gt;"Serviço",AND(AUTOEVENTO="Manual",$M40=$A$15)),0,
         IF(OFFSET(CRONOPLE!$F$15,$M40-$A$15,BY$13)=0,10^12,OFFSET(CRONOPLE!$F$15,$M40-$A$15,BY$13)))</f>
        <v>7</v>
      </c>
      <c r="BZ40" s="171">
        <f ca="1">IF(OR($D40&lt;&gt;"Serviço",AND(AUTOEVENTO="Manual",$M40=$A$15)),0,
         IF(OFFSET(CRONOPLE!$F$15,$M40-$A$15,BZ$13)=0,10^12,OFFSET(CRONOPLE!$F$15,$M40-$A$15,BZ$13)))</f>
        <v>8</v>
      </c>
      <c r="CA40" s="171">
        <f ca="1">IF(OR($D40&lt;&gt;"Serviço",AND(AUTOEVENTO="Manual",$M40=$A$15)),0,
         IF(OFFSET(CRONOPLE!$F$15,$M40-$A$15,CA$13)=0,10^12,OFFSET(CRONOPLE!$F$15,$M40-$A$15,CA$13)))</f>
        <v>9</v>
      </c>
      <c r="CB40" s="171">
        <f ca="1">IF(OR($D40&lt;&gt;"Serviço",AND(AUTOEVENTO="Manual",$M40=$A$15)),0,
         IF(OFFSET(CRONOPLE!$F$15,$M40-$A$15,CB$13)=0,10^12,OFFSET(CRONOPLE!$F$15,$M40-$A$15,CB$13)))</f>
        <v>10</v>
      </c>
      <c r="CC40" s="171">
        <f ca="1">IF(OR($D40&lt;&gt;"Serviço",AND(AUTOEVENTO="Manual",$M40=$A$15)),0,
         IF(OFFSET(CRONOPLE!$F$15,$M40-$A$15,CC$13)=0,10^12,OFFSET(CRONOPLE!$F$15,$M40-$A$15,CC$13)))</f>
        <v>11</v>
      </c>
      <c r="CD40" s="171">
        <f ca="1">IF(OR($D40&lt;&gt;"Serviço",AND(AUTOEVENTO="Manual",$M40=$A$15)),0,
         IF(OFFSET(CRONOPLE!$F$15,$M40-$A$15,CD$13)=0,10^12,OFFSET(CRONOPLE!$F$15,$M40-$A$15,CD$13)))</f>
        <v>12</v>
      </c>
      <c r="CE40" s="171">
        <f ca="1">IF(OR($D40&lt;&gt;"Serviço",AND(AUTOEVENTO="Manual",$M40=$A$15)),0,
         IF(OFFSET(CRONOPLE!$F$15,$M40-$A$15,CE$13)=0,10^12,OFFSET(CRONOPLE!$F$15,$M40-$A$15,CE$13)))</f>
        <v>13</v>
      </c>
      <c r="CF40" s="171">
        <f ca="1">IF(OR($D40&lt;&gt;"Serviço",AND(AUTOEVENTO="Manual",$M40=$A$15)),0,
         IF(OFFSET(CRONOPLE!$F$15,$M40-$A$15,CF$13)=0,10^12,OFFSET(CRONOPLE!$F$15,$M40-$A$15,CF$13)))</f>
        <v>14</v>
      </c>
      <c r="CG40" s="171">
        <f ca="1">IF(OR($D40&lt;&gt;"Serviço",AND(AUTOEVENTO="Manual",$M40=$A$15)),0,
         IF(OFFSET(CRONOPLE!$F$15,$M40-$A$15,CG$13)=0,10^12,OFFSET(CRONOPLE!$F$15,$M40-$A$15,CG$13)))</f>
        <v>15</v>
      </c>
      <c r="CH40" s="171">
        <f ca="1">IF(OR($D40&lt;&gt;"Serviço",AND(AUTOEVENTO="Manual",$M40=$A$15)),0,
         IF(OFFSET(CRONOPLE!$F$15,$M40-$A$15,CH$13)=0,10^12,OFFSET(CRONOPLE!$F$15,$M40-$A$15,CH$13)))</f>
        <v>16</v>
      </c>
      <c r="CI40" s="171">
        <f ca="1">IF(OR($D40&lt;&gt;"Serviço",AND(AUTOEVENTO="Manual",$M40=$A$15)),0,
         IF(OFFSET(CRONOPLE!$F$15,$M40-$A$15,CI$13)=0,10^12,OFFSET(CRONOPLE!$F$15,$M40-$A$15,CI$13)))</f>
        <v>17</v>
      </c>
      <c r="CJ40" s="171">
        <f ca="1">IF(OR($D40&lt;&gt;"Serviço",AND(AUTOEVENTO="Manual",$M40=$A$15)),0,
         IF(OFFSET(CRONOPLE!$F$15,$M40-$A$15,CJ$13)=0,10^12,OFFSET(CRONOPLE!$F$15,$M40-$A$15,CJ$13)))</f>
        <v>18</v>
      </c>
      <c r="CK40" s="171">
        <f ca="1">IF(OR($D40&lt;&gt;"Serviço",AND(AUTOEVENTO="Manual",$M40=$A$15)),0,
         IF(OFFSET(CRONOPLE!$F$15,$M40-$A$15,CK$13)=0,10^12,OFFSET(CRONOPLE!$F$15,$M40-$A$15,CK$13)))</f>
        <v>19</v>
      </c>
      <c r="CL40" s="171">
        <f ca="1">IF(OR($D40&lt;&gt;"Serviço",AND(AUTOEVENTO="Manual",$M40=$A$15)),0,
         IF(OFFSET(CRONOPLE!$F$15,$M40-$A$15,CL$13)=0,10^12,OFFSET(CRONOPLE!$F$15,$M40-$A$15,CL$13)))</f>
        <v>20</v>
      </c>
      <c r="CM40" s="171">
        <f ca="1">IF(OR($D40&lt;&gt;"Serviço",AND(AUTOEVENTO="Manual",$M40=$A$15)),0,
         IF(OFFSET(CRONOPLE!$F$15,$M40-$A$15,CM$13)=0,10^12,OFFSET(CRONOPLE!$F$15,$M40-$A$15,CM$13)))</f>
        <v>1000000000000</v>
      </c>
      <c r="CN40" s="171">
        <f ca="1">IF(OR($D40&lt;&gt;"Serviço",AND(AUTOEVENTO="Manual",$M40=$A$15)),0,
         IF(OFFSET(CRONOPLE!$F$15,$M40-$A$15,CN$13)=0,10^12,OFFSET(CRONOPLE!$F$15,$M40-$A$15,CN$13)))</f>
        <v>1000000000000</v>
      </c>
      <c r="CO40" s="171">
        <f ca="1">IF(OR($D40&lt;&gt;"Serviço",AND(AUTOEVENTO="Manual",$M40=$A$15)),0,
         IF(OFFSET(CRONOPLE!$F$15,$M40-$A$15,CO$13)=0,10^12,OFFSET(CRONOPLE!$F$15,$M40-$A$15,CO$13)))</f>
        <v>1000000000000</v>
      </c>
      <c r="CP40" s="171">
        <f ca="1">IF(OR($D40&lt;&gt;"Serviço",AND(AUTOEVENTO="Manual",$M40=$A$15)),0,
         IF(OFFSET(CRONOPLE!$F$15,$M40-$A$15,CP$13)=0,10^12,OFFSET(CRONOPLE!$F$15,$M40-$A$15,CP$13)))</f>
        <v>1000000000000</v>
      </c>
      <c r="CQ40" s="171">
        <f ca="1">IF(OR($D40&lt;&gt;"Serviço",AND(AUTOEVENTO="Manual",$M40=$A$15)),0,
         IF(OFFSET(CRONOPLE!$F$15,$M40-$A$15,CQ$13)=0,10^12,OFFSET(CRONOPLE!$F$15,$M40-$A$15,CQ$13)))</f>
        <v>1000000000000</v>
      </c>
      <c r="CR40" s="171">
        <f ca="1">IF(OR($D40&lt;&gt;"Serviço",AND(AUTOEVENTO="Manual",$M40=$A$15)),0,
         IF(OFFSET(CRONOPLE!$F$15,$M40-$A$15,CR$13)=0,10^12,OFFSET(CRONOPLE!$F$15,$M40-$A$15,CR$13)))</f>
        <v>1000000000000</v>
      </c>
      <c r="CT40" s="172" cm="1">
        <f t="array" aca="1" ref="CT40" ca="1">IF(OR($D40&lt;&gt;"Serviço",AND(AUTOEVENTO="Manual",$M40=$A$15),$M40&gt;(ROW(PLE.lastrow)-ROW(PLE.firstrow))),0,
           IF(OFFSET(PLE!$G$15,$M40-$A$15,CT$13)="",10^12,OFFSET(PLE!$G$15,$M40-$A$15,CT$13)))</f>
        <v>1000000000000</v>
      </c>
      <c r="CU40" s="172" cm="1">
        <f t="array" aca="1" ref="CU40" ca="1">IF(OR($D40&lt;&gt;"Serviço",AND(AUTOEVENTO="Manual",$M40=$A$15),$M40&gt;(ROW(PLE.lastrow)-ROW(PLE.firstrow))),0,
           IF(OFFSET(PLE!$G$15,$M40-$A$15,CU$13)="",10^12,OFFSET(PLE!$G$15,$M40-$A$15,CU$13)))</f>
        <v>1000000000000</v>
      </c>
      <c r="CV40" s="172" cm="1">
        <f t="array" aca="1" ref="CV40" ca="1">IF(OR($D40&lt;&gt;"Serviço",AND(AUTOEVENTO="Manual",$M40=$A$15),$M40&gt;(ROW(PLE.lastrow)-ROW(PLE.firstrow))),0,
           IF(OFFSET(PLE!$G$15,$M40-$A$15,CV$13)="",10^12,OFFSET(PLE!$G$15,$M40-$A$15,CV$13)))</f>
        <v>1000000000000</v>
      </c>
      <c r="CW40" s="172" cm="1">
        <f t="array" aca="1" ref="CW40" ca="1">IF(OR($D40&lt;&gt;"Serviço",AND(AUTOEVENTO="Manual",$M40=$A$15),$M40&gt;(ROW(PLE.lastrow)-ROW(PLE.firstrow))),0,
           IF(OFFSET(PLE!$G$15,$M40-$A$15,CW$13)="",10^12,OFFSET(PLE!$G$15,$M40-$A$15,CW$13)))</f>
        <v>1000000000000</v>
      </c>
      <c r="CX40" s="172" cm="1">
        <f t="array" aca="1" ref="CX40" ca="1">IF(OR($D40&lt;&gt;"Serviço",AND(AUTOEVENTO="Manual",$M40=$A$15),$M40&gt;(ROW(PLE.lastrow)-ROW(PLE.firstrow))),0,
           IF(OFFSET(PLE!$G$15,$M40-$A$15,CX$13)="",10^12,OFFSET(PLE!$G$15,$M40-$A$15,CX$13)))</f>
        <v>1000000000000</v>
      </c>
      <c r="CY40" s="172" cm="1">
        <f t="array" aca="1" ref="CY40" ca="1">IF(OR($D40&lt;&gt;"Serviço",AND(AUTOEVENTO="Manual",$M40=$A$15),$M40&gt;(ROW(PLE.lastrow)-ROW(PLE.firstrow))),0,
           IF(OFFSET(PLE!$G$15,$M40-$A$15,CY$13)="",10^12,OFFSET(PLE!$G$15,$M40-$A$15,CY$13)))</f>
        <v>1000000000000</v>
      </c>
      <c r="CZ40" s="172" cm="1">
        <f t="array" aca="1" ref="CZ40" ca="1">IF(OR($D40&lt;&gt;"Serviço",AND(AUTOEVENTO="Manual",$M40=$A$15),$M40&gt;(ROW(PLE.lastrow)-ROW(PLE.firstrow))),0,
           IF(OFFSET(PLE!$G$15,$M40-$A$15,CZ$13)="",10^12,OFFSET(PLE!$G$15,$M40-$A$15,CZ$13)))</f>
        <v>1000000000000</v>
      </c>
      <c r="DA40" s="172" cm="1">
        <f t="array" aca="1" ref="DA40" ca="1">IF(OR($D40&lt;&gt;"Serviço",AND(AUTOEVENTO="Manual",$M40=$A$15),$M40&gt;(ROW(PLE.lastrow)-ROW(PLE.firstrow))),0,
           IF(OFFSET(PLE!$G$15,$M40-$A$15,DA$13)="",10^12,OFFSET(PLE!$G$15,$M40-$A$15,DA$13)))</f>
        <v>1000000000000</v>
      </c>
      <c r="DB40" s="172" cm="1">
        <f t="array" aca="1" ref="DB40" ca="1">IF(OR($D40&lt;&gt;"Serviço",AND(AUTOEVENTO="Manual",$M40=$A$15),$M40&gt;(ROW(PLE.lastrow)-ROW(PLE.firstrow))),0,
           IF(OFFSET(PLE!$G$15,$M40-$A$15,DB$13)="",10^12,OFFSET(PLE!$G$15,$M40-$A$15,DB$13)))</f>
        <v>1000000000000</v>
      </c>
      <c r="DC40" s="172" cm="1">
        <f t="array" aca="1" ref="DC40" ca="1">IF(OR($D40&lt;&gt;"Serviço",AND(AUTOEVENTO="Manual",$M40=$A$15),$M40&gt;(ROW(PLE.lastrow)-ROW(PLE.firstrow))),0,
           IF(OFFSET(PLE!$G$15,$M40-$A$15,DC$13)="",10^12,OFFSET(PLE!$G$15,$M40-$A$15,DC$13)))</f>
        <v>1000000000000</v>
      </c>
      <c r="DD40" s="172" cm="1">
        <f t="array" aca="1" ref="DD40" ca="1">IF(OR($D40&lt;&gt;"Serviço",AND(AUTOEVENTO="Manual",$M40=$A$15),$M40&gt;(ROW(PLE.lastrow)-ROW(PLE.firstrow))),0,
           IF(OFFSET(PLE!$G$15,$M40-$A$15,DD$13)="",10^12,OFFSET(PLE!$G$15,$M40-$A$15,DD$13)))</f>
        <v>1000000000000</v>
      </c>
      <c r="DE40" s="172" cm="1">
        <f t="array" aca="1" ref="DE40" ca="1">IF(OR($D40&lt;&gt;"Serviço",AND(AUTOEVENTO="Manual",$M40=$A$15),$M40&gt;(ROW(PLE.lastrow)-ROW(PLE.firstrow))),0,
           IF(OFFSET(PLE!$G$15,$M40-$A$15,DE$13)="",10^12,OFFSET(PLE!$G$15,$M40-$A$15,DE$13)))</f>
        <v>1000000000000</v>
      </c>
      <c r="DF40" s="172" cm="1">
        <f t="array" aca="1" ref="DF40" ca="1">IF(OR($D40&lt;&gt;"Serviço",AND(AUTOEVENTO="Manual",$M40=$A$15),$M40&gt;(ROW(PLE.lastrow)-ROW(PLE.firstrow))),0,
           IF(OFFSET(PLE!$G$15,$M40-$A$15,DF$13)="",10^12,OFFSET(PLE!$G$15,$M40-$A$15,DF$13)))</f>
        <v>1000000000000</v>
      </c>
      <c r="DG40" s="172" cm="1">
        <f t="array" aca="1" ref="DG40" ca="1">IF(OR($D40&lt;&gt;"Serviço",AND(AUTOEVENTO="Manual",$M40=$A$15),$M40&gt;(ROW(PLE.lastrow)-ROW(PLE.firstrow))),0,
           IF(OFFSET(PLE!$G$15,$M40-$A$15,DG$13)="",10^12,OFFSET(PLE!$G$15,$M40-$A$15,DG$13)))</f>
        <v>1000000000000</v>
      </c>
      <c r="DH40" s="172" cm="1">
        <f t="array" aca="1" ref="DH40" ca="1">IF(OR($D40&lt;&gt;"Serviço",AND(AUTOEVENTO="Manual",$M40=$A$15),$M40&gt;(ROW(PLE.lastrow)-ROW(PLE.firstrow))),0,
           IF(OFFSET(PLE!$G$15,$M40-$A$15,DH$13)="",10^12,OFFSET(PLE!$G$15,$M40-$A$15,DH$13)))</f>
        <v>1000000000000</v>
      </c>
      <c r="DI40" s="172" cm="1">
        <f t="array" aca="1" ref="DI40" ca="1">IF(OR($D40&lt;&gt;"Serviço",AND(AUTOEVENTO="Manual",$M40=$A$15),$M40&gt;(ROW(PLE.lastrow)-ROW(PLE.firstrow))),0,
           IF(OFFSET(PLE!$G$15,$M40-$A$15,DI$13)="",10^12,OFFSET(PLE!$G$15,$M40-$A$15,DI$13)))</f>
        <v>1000000000000</v>
      </c>
      <c r="DJ40" s="172" cm="1">
        <f t="array" aca="1" ref="DJ40" ca="1">IF(OR($D40&lt;&gt;"Serviço",AND(AUTOEVENTO="Manual",$M40=$A$15),$M40&gt;(ROW(PLE.lastrow)-ROW(PLE.firstrow))),0,
           IF(OFFSET(PLE!$G$15,$M40-$A$15,DJ$13)="",10^12,OFFSET(PLE!$G$15,$M40-$A$15,DJ$13)))</f>
        <v>1000000000000</v>
      </c>
      <c r="DK40" s="172" cm="1">
        <f t="array" aca="1" ref="DK40" ca="1">IF(OR($D40&lt;&gt;"Serviço",AND(AUTOEVENTO="Manual",$M40=$A$15),$M40&gt;(ROW(PLE.lastrow)-ROW(PLE.firstrow))),0,
           IF(OFFSET(PLE!$G$15,$M40-$A$15,DK$13)="",10^12,OFFSET(PLE!$G$15,$M40-$A$15,DK$13)))</f>
        <v>1000000000000</v>
      </c>
      <c r="DL40" s="172" cm="1">
        <f t="array" aca="1" ref="DL40" ca="1">IF(OR($D40&lt;&gt;"Serviço",AND(AUTOEVENTO="Manual",$M40=$A$15),$M40&gt;(ROW(PLE.lastrow)-ROW(PLE.firstrow))),0,
           IF(OFFSET(PLE!$G$15,$M40-$A$15,DL$13)="",10^12,OFFSET(PLE!$G$15,$M40-$A$15,DL$13)))</f>
        <v>1000000000000</v>
      </c>
      <c r="DM40" s="172" cm="1">
        <f t="array" aca="1" ref="DM40" ca="1">IF(OR($D40&lt;&gt;"Serviço",AND(AUTOEVENTO="Manual",$M40=$A$15),$M40&gt;(ROW(PLE.lastrow)-ROW(PLE.firstrow))),0,
           IF(OFFSET(PLE!$G$15,$M40-$A$15,DM$13)="",10^12,OFFSET(PLE!$G$15,$M40-$A$15,DM$13)))</f>
        <v>1000000000000</v>
      </c>
      <c r="DN40" s="172" cm="1">
        <f t="array" aca="1" ref="DN40" ca="1">IF(OR($D40&lt;&gt;"Serviço",AND(AUTOEVENTO="Manual",$M40=$A$15),$M40&gt;(ROW(PLE.lastrow)-ROW(PLE.firstrow))),0,
           IF(OFFSET(PLE!$G$15,$M40-$A$15,DN$13)="",10^12,OFFSET(PLE!$G$15,$M40-$A$15,DN$13)))</f>
        <v>1000000000000</v>
      </c>
      <c r="DO40" s="172" cm="1">
        <f t="array" aca="1" ref="DO40" ca="1">IF(OR($D40&lt;&gt;"Serviço",AND(AUTOEVENTO="Manual",$M40=$A$15),$M40&gt;(ROW(PLE.lastrow)-ROW(PLE.firstrow))),0,
           IF(OFFSET(PLE!$G$15,$M40-$A$15,DO$13)="",10^12,OFFSET(PLE!$G$15,$M40-$A$15,DO$13)))</f>
        <v>1000000000000</v>
      </c>
      <c r="DP40" s="172" cm="1">
        <f t="array" aca="1" ref="DP40" ca="1">IF(OR($D40&lt;&gt;"Serviço",AND(AUTOEVENTO="Manual",$M40=$A$15),$M40&gt;(ROW(PLE.lastrow)-ROW(PLE.firstrow))),0,
           IF(OFFSET(PLE!$G$15,$M40-$A$15,DP$13)="",10^12,OFFSET(PLE!$G$15,$M40-$A$15,DP$13)))</f>
        <v>1000000000000</v>
      </c>
      <c r="DQ40" s="172" cm="1">
        <f t="array" aca="1" ref="DQ40" ca="1">IF(OR($D40&lt;&gt;"Serviço",AND(AUTOEVENTO="Manual",$M40=$A$15),$M40&gt;(ROW(PLE.lastrow)-ROW(PLE.firstrow))),0,
           IF(OFFSET(PLE!$G$15,$M40-$A$15,DQ$13)="",10^12,OFFSET(PLE!$G$15,$M40-$A$15,DQ$13)))</f>
        <v>1000000000000</v>
      </c>
      <c r="DR40" s="172" cm="1">
        <f t="array" aca="1" ref="DR40" ca="1">IF(OR($D40&lt;&gt;"Serviço",AND(AUTOEVENTO="Manual",$M40=$A$15),$M40&gt;(ROW(PLE.lastrow)-ROW(PLE.firstrow))),0,
           IF(OFFSET(PLE!$G$15,$M40-$A$15,DR$13)="",10^12,OFFSET(PLE!$G$15,$M40-$A$15,DR$13)))</f>
        <v>1000000000000</v>
      </c>
      <c r="DS40" s="172" cm="1">
        <f t="array" aca="1" ref="DS40" ca="1">IF(OR($D40&lt;&gt;"Serviço",AND(AUTOEVENTO="Manual",$M40=$A$15),$M40&gt;(ROW(PLE.lastrow)-ROW(PLE.firstrow))),0,
           IF(OFFSET(PLE!$G$15,$M40-$A$15,DS$13)="",10^12,OFFSET(PLE!$G$15,$M40-$A$15,DS$13)))</f>
        <v>1000000000000</v>
      </c>
    </row>
    <row r="41" spans="1:123" ht="38.25" x14ac:dyDescent="0.2">
      <c r="A41" s="7">
        <f t="shared" ca="1" si="11"/>
        <v>3</v>
      </c>
      <c r="B41" s="7" t="str">
        <f ca="1">OFFSET(ORÇAMENTO!C$15,$L41,0)</f>
        <v>S</v>
      </c>
      <c r="C41" s="7" t="str">
        <f ca="1">OFFSET(ORÇAMENTO!L$15,$L41,0)</f>
        <v/>
      </c>
      <c r="D41" s="116" t="str">
        <f ca="1">OFFSET(ORÇAMENTO!N$15,$L41,0)</f>
        <v>Serviço</v>
      </c>
      <c r="E41" s="117" t="str">
        <f ca="1">OFFSET(ORÇAMENTO!O$15,$L41,0)</f>
        <v>-</v>
      </c>
      <c r="F41" s="163" t="str">
        <f ca="1">OFFSET(ORÇAMENTO!R$15,$L41,0)</f>
        <v>(Código não identificado nas referências)</v>
      </c>
      <c r="G41" s="164" t="str">
        <f ca="1">IF($D41&lt;&gt;"Serviço","",OFFSET(ORÇAMENTO!S$15,$L41,0))</f>
        <v>-</v>
      </c>
      <c r="H41" s="122" cm="1">
        <f t="array" aca="1" ref="H41" ca="1">IF($D41&lt;&gt;"Serviço",0,IF(ACOMPANHAMENTO="BM",ROUND(OFFSET(ORÇAMENTO!AJ$15,$L41,0),15-13*ORÇAMENTO!$AF$7),IF(IFERROR(CÁLCULO.FrentesPreenchidas,0)=0,0,SUM(ROUND(OFFSET($P41,0,1,1,CÁLCULO.FrentesPreenchidas),15-13*ORÇAMENTO!$AF$7)))))</f>
        <v>154</v>
      </c>
      <c r="I41" s="468" t="s">
        <v>1235</v>
      </c>
      <c r="J41" s="651" t="str" cm="1">
        <f t="array" aca="1" ref="J41" ca="1">IF(OR(B41&lt;&gt;"S",CÁLCULO.FrentesPreenchidas=0),"",IF(AND(ACOMPANHAMENTO="PLE",AUTOEVENTO="Manual",OR(H41&gt;0,ORÇAMENTO!AC41="QUANT."),OR(K41="",M41=0,N41="")),"►E",IF(AND(ACOMPANHAMENTO="PLE",ORÇAMENTO!AC41="QUANT."),"►Q",IF(AND(ACOMPANHAMENTO="PLE",H41&lt;&gt;SUMPRODUCT(($Q$1:$AQ$1=1)*ROUND(Q41:AQ41,15))),"►S",IF(AND(COUNTIF($P$11:$AQ$11,"▼")=0,H41&gt;0,I41=""),"◄M","")))))</f>
        <v/>
      </c>
      <c r="K41" s="652" t="s">
        <v>1250</v>
      </c>
      <c r="L41" s="165">
        <f t="shared" ca="1" si="12"/>
        <v>26</v>
      </c>
      <c r="M41" s="166">
        <f ca="1">IF($D41&lt;&gt;"Serviço","",
          IF(AUTOEVENTO="manual",$A41,
                IF(ISERROR(MATCH($A41,$A$15:OFFSET($A41,-1,0),0)),MAX($M$15:OFFSET(M41,-1,0))+1,
                      INDEX($M$15:OFFSET(M41,-1,0),MATCH($A41,$A$15:OFFSET($A41,-1,0),0)))))</f>
        <v>3</v>
      </c>
      <c r="N41" s="167" t="str">
        <f ca="1">IF($D41&lt;&gt;"Serviço","",
         IF(AUTOEVENTO="Manual",
                IF($A41=0,"&lt;-- defina o número do agrupador",
                       OFFSET(EVENTOS!$D$15,$A41-$A$15,0)),
                OFFSET($F$15,$A41,0)))</f>
        <v>FUNDAÇÕES</v>
      </c>
      <c r="O41" s="168"/>
      <c r="Q41" s="168">
        <v>7.7</v>
      </c>
      <c r="R41" s="169">
        <v>7.7</v>
      </c>
      <c r="S41" s="169">
        <v>7.7</v>
      </c>
      <c r="T41" s="169">
        <v>7.7</v>
      </c>
      <c r="U41" s="169">
        <v>7.7</v>
      </c>
      <c r="V41" s="169">
        <v>7.7</v>
      </c>
      <c r="W41" s="169">
        <v>7.7</v>
      </c>
      <c r="X41" s="169">
        <v>7.7</v>
      </c>
      <c r="Y41" s="169">
        <v>7.7</v>
      </c>
      <c r="Z41" s="170">
        <v>7.7</v>
      </c>
      <c r="AA41" s="169">
        <v>7.7</v>
      </c>
      <c r="AB41" s="169">
        <v>7.7</v>
      </c>
      <c r="AC41" s="169">
        <v>7.7</v>
      </c>
      <c r="AD41" s="169">
        <v>7.7</v>
      </c>
      <c r="AE41" s="169">
        <v>7.7</v>
      </c>
      <c r="AF41" s="169">
        <v>7.7</v>
      </c>
      <c r="AG41" s="169">
        <v>7.7</v>
      </c>
      <c r="AH41" s="170">
        <v>7.7</v>
      </c>
      <c r="AI41" s="169">
        <v>7.7</v>
      </c>
      <c r="AJ41" s="169">
        <v>7.7</v>
      </c>
      <c r="AK41" s="169"/>
      <c r="AL41" s="169"/>
      <c r="AM41" s="169"/>
      <c r="AN41" s="169"/>
      <c r="AO41" s="169"/>
      <c r="AP41" s="170"/>
      <c r="AR41" s="453">
        <f ca="1">IF(AND($D41="Serviço",AR$12&lt;&gt;0,$H41&gt;0,OR(AUTOEVENTO&lt;&gt;"manual",$M41&lt;&gt;$A$15)),
        IF(Import.TipoArredondamento&lt;&gt;"TransfereGOV",
              ROUND(OFFSET($P41,0,AR$13),15-13*ORÇAMENTO!$AF$7)/$H41*OFFSET(ORÇAMENTO!$X$15,ROW(AR41)-ROW(AR$15),0),
              ROUND(ROUND(OFFSET($P41,0,AR$13),15-13*ORÇAMENTO!$AF$7)*OFFSET(ORÇAMENTO!$W$15,ROW(AR41)-ROW(AR$15),0),15-13*ORÇAMENTO!$AF$11)),
         0)</f>
        <v>0</v>
      </c>
      <c r="AS41" s="453">
        <f ca="1">IF(AND($D41="Serviço",AS$12&lt;&gt;0,$H41&gt;0,OR(AUTOEVENTO&lt;&gt;"manual",$M41&lt;&gt;$A$15)),
        IF(Import.TipoArredondamento&lt;&gt;"TransfereGOV",
              ROUND(OFFSET($P41,0,AS$13),15-13*ORÇAMENTO!$AF$7)/$H41*OFFSET(ORÇAMENTO!$X$15,ROW(AS41)-ROW(AS$15),0),
              ROUND(ROUND(OFFSET($P41,0,AS$13),15-13*ORÇAMENTO!$AF$7)*OFFSET(ORÇAMENTO!$W$15,ROW(AS41)-ROW(AS$15),0),15-13*ORÇAMENTO!$AF$11)),
         0)</f>
        <v>0</v>
      </c>
      <c r="AT41" s="453">
        <f ca="1">IF(AND($D41="Serviço",AT$12&lt;&gt;0,$H41&gt;0,OR(AUTOEVENTO&lt;&gt;"manual",$M41&lt;&gt;$A$15)),
        IF(Import.TipoArredondamento&lt;&gt;"TransfereGOV",
              ROUND(OFFSET($P41,0,AT$13),15-13*ORÇAMENTO!$AF$7)/$H41*OFFSET(ORÇAMENTO!$X$15,ROW(AT41)-ROW(AT$15),0),
              ROUND(ROUND(OFFSET($P41,0,AT$13),15-13*ORÇAMENTO!$AF$7)*OFFSET(ORÇAMENTO!$W$15,ROW(AT41)-ROW(AT$15),0),15-13*ORÇAMENTO!$AF$11)),
         0)</f>
        <v>0</v>
      </c>
      <c r="AU41" s="453">
        <f ca="1">IF(AND($D41="Serviço",AU$12&lt;&gt;0,$H41&gt;0,OR(AUTOEVENTO&lt;&gt;"manual",$M41&lt;&gt;$A$15)),
        IF(Import.TipoArredondamento&lt;&gt;"TransfereGOV",
              ROUND(OFFSET($P41,0,AU$13),15-13*ORÇAMENTO!$AF$7)/$H41*OFFSET(ORÇAMENTO!$X$15,ROW(AU41)-ROW(AU$15),0),
              ROUND(ROUND(OFFSET($P41,0,AU$13),15-13*ORÇAMENTO!$AF$7)*OFFSET(ORÇAMENTO!$W$15,ROW(AU41)-ROW(AU$15),0),15-13*ORÇAMENTO!$AF$11)),
         0)</f>
        <v>0</v>
      </c>
      <c r="AV41" s="453">
        <f ca="1">IF(AND($D41="Serviço",AV$12&lt;&gt;0,$H41&gt;0,OR(AUTOEVENTO&lt;&gt;"manual",$M41&lt;&gt;$A$15)),
        IF(Import.TipoArredondamento&lt;&gt;"TransfereGOV",
              ROUND(OFFSET($P41,0,AV$13),15-13*ORÇAMENTO!$AF$7)/$H41*OFFSET(ORÇAMENTO!$X$15,ROW(AV41)-ROW(AV$15),0),
              ROUND(ROUND(OFFSET($P41,0,AV$13),15-13*ORÇAMENTO!$AF$7)*OFFSET(ORÇAMENTO!$W$15,ROW(AV41)-ROW(AV$15),0),15-13*ORÇAMENTO!$AF$11)),
         0)</f>
        <v>0</v>
      </c>
      <c r="AW41" s="453">
        <f ca="1">IF(AND($D41="Serviço",AW$12&lt;&gt;0,$H41&gt;0,OR(AUTOEVENTO&lt;&gt;"manual",$M41&lt;&gt;$A$15)),
        IF(Import.TipoArredondamento&lt;&gt;"TransfereGOV",
              ROUND(OFFSET($P41,0,AW$13),15-13*ORÇAMENTO!$AF$7)/$H41*OFFSET(ORÇAMENTO!$X$15,ROW(AW41)-ROW(AW$15),0),
              ROUND(ROUND(OFFSET($P41,0,AW$13),15-13*ORÇAMENTO!$AF$7)*OFFSET(ORÇAMENTO!$W$15,ROW(AW41)-ROW(AW$15),0),15-13*ORÇAMENTO!$AF$11)),
         0)</f>
        <v>0</v>
      </c>
      <c r="AX41" s="453">
        <f ca="1">IF(AND($D41="Serviço",AX$12&lt;&gt;0,$H41&gt;0,OR(AUTOEVENTO&lt;&gt;"manual",$M41&lt;&gt;$A$15)),
        IF(Import.TipoArredondamento&lt;&gt;"TransfereGOV",
              ROUND(OFFSET($P41,0,AX$13),15-13*ORÇAMENTO!$AF$7)/$H41*OFFSET(ORÇAMENTO!$X$15,ROW(AX41)-ROW(AX$15),0),
              ROUND(ROUND(OFFSET($P41,0,AX$13),15-13*ORÇAMENTO!$AF$7)*OFFSET(ORÇAMENTO!$W$15,ROW(AX41)-ROW(AX$15),0),15-13*ORÇAMENTO!$AF$11)),
         0)</f>
        <v>0</v>
      </c>
      <c r="AY41" s="453">
        <f ca="1">IF(AND($D41="Serviço",AY$12&lt;&gt;0,$H41&gt;0,OR(AUTOEVENTO&lt;&gt;"manual",$M41&lt;&gt;$A$15)),
        IF(Import.TipoArredondamento&lt;&gt;"TransfereGOV",
              ROUND(OFFSET($P41,0,AY$13),15-13*ORÇAMENTO!$AF$7)/$H41*OFFSET(ORÇAMENTO!$X$15,ROW(AY41)-ROW(AY$15),0),
              ROUND(ROUND(OFFSET($P41,0,AY$13),15-13*ORÇAMENTO!$AF$7)*OFFSET(ORÇAMENTO!$W$15,ROW(AY41)-ROW(AY$15),0),15-13*ORÇAMENTO!$AF$11)),
         0)</f>
        <v>0</v>
      </c>
      <c r="AZ41" s="453">
        <f ca="1">IF(AND($D41="Serviço",AZ$12&lt;&gt;0,$H41&gt;0,OR(AUTOEVENTO&lt;&gt;"manual",$M41&lt;&gt;$A$15)),
        IF(Import.TipoArredondamento&lt;&gt;"TransfereGOV",
              ROUND(OFFSET($P41,0,AZ$13),15-13*ORÇAMENTO!$AF$7)/$H41*OFFSET(ORÇAMENTO!$X$15,ROW(AZ41)-ROW(AZ$15),0),
              ROUND(ROUND(OFFSET($P41,0,AZ$13),15-13*ORÇAMENTO!$AF$7)*OFFSET(ORÇAMENTO!$W$15,ROW(AZ41)-ROW(AZ$15),0),15-13*ORÇAMENTO!$AF$11)),
         0)</f>
        <v>0</v>
      </c>
      <c r="BA41" s="453">
        <f ca="1">IF(AND($D41="Serviço",BA$12&lt;&gt;0,$H41&gt;0,OR(AUTOEVENTO&lt;&gt;"manual",$M41&lt;&gt;$A$15)),
        IF(Import.TipoArredondamento&lt;&gt;"TransfereGOV",
              ROUND(OFFSET($P41,0,BA$13),15-13*ORÇAMENTO!$AF$7)/$H41*OFFSET(ORÇAMENTO!$X$15,ROW(BA41)-ROW(BA$15),0),
              ROUND(ROUND(OFFSET($P41,0,BA$13),15-13*ORÇAMENTO!$AF$7)*OFFSET(ORÇAMENTO!$W$15,ROW(BA41)-ROW(BA$15),0),15-13*ORÇAMENTO!$AF$11)),
         0)</f>
        <v>0</v>
      </c>
      <c r="BB41" s="453">
        <f ca="1">IF(AND($D41="Serviço",BB$12&lt;&gt;0,$H41&gt;0,OR(AUTOEVENTO&lt;&gt;"manual",$M41&lt;&gt;$A$15)),
        IF(Import.TipoArredondamento&lt;&gt;"TransfereGOV",
              ROUND(OFFSET($P41,0,BB$13),15-13*ORÇAMENTO!$AF$7)/$H41*OFFSET(ORÇAMENTO!$X$15,ROW(BB41)-ROW(BB$15),0),
              ROUND(ROUND(OFFSET($P41,0,BB$13),15-13*ORÇAMENTO!$AF$7)*OFFSET(ORÇAMENTO!$W$15,ROW(BB41)-ROW(BB$15),0),15-13*ORÇAMENTO!$AF$11)),
         0)</f>
        <v>0</v>
      </c>
      <c r="BC41" s="453">
        <f ca="1">IF(AND($D41="Serviço",BC$12&lt;&gt;0,$H41&gt;0,OR(AUTOEVENTO&lt;&gt;"manual",$M41&lt;&gt;$A$15)),
        IF(Import.TipoArredondamento&lt;&gt;"TransfereGOV",
              ROUND(OFFSET($P41,0,BC$13),15-13*ORÇAMENTO!$AF$7)/$H41*OFFSET(ORÇAMENTO!$X$15,ROW(BC41)-ROW(BC$15),0),
              ROUND(ROUND(OFFSET($P41,0,BC$13),15-13*ORÇAMENTO!$AF$7)*OFFSET(ORÇAMENTO!$W$15,ROW(BC41)-ROW(BC$15),0),15-13*ORÇAMENTO!$AF$11)),
         0)</f>
        <v>0</v>
      </c>
      <c r="BD41" s="453">
        <f ca="1">IF(AND($D41="Serviço",BD$12&lt;&gt;0,$H41&gt;0,OR(AUTOEVENTO&lt;&gt;"manual",$M41&lt;&gt;$A$15)),
        IF(Import.TipoArredondamento&lt;&gt;"TransfereGOV",
              ROUND(OFFSET($P41,0,BD$13),15-13*ORÇAMENTO!$AF$7)/$H41*OFFSET(ORÇAMENTO!$X$15,ROW(BD41)-ROW(BD$15),0),
              ROUND(ROUND(OFFSET($P41,0,BD$13),15-13*ORÇAMENTO!$AF$7)*OFFSET(ORÇAMENTO!$W$15,ROW(BD41)-ROW(BD$15),0),15-13*ORÇAMENTO!$AF$11)),
         0)</f>
        <v>0</v>
      </c>
      <c r="BE41" s="453">
        <f ca="1">IF(AND($D41="Serviço",BE$12&lt;&gt;0,$H41&gt;0,OR(AUTOEVENTO&lt;&gt;"manual",$M41&lt;&gt;$A$15)),
        IF(Import.TipoArredondamento&lt;&gt;"TransfereGOV",
              ROUND(OFFSET($P41,0,BE$13),15-13*ORÇAMENTO!$AF$7)/$H41*OFFSET(ORÇAMENTO!$X$15,ROW(BE41)-ROW(BE$15),0),
              ROUND(ROUND(OFFSET($P41,0,BE$13),15-13*ORÇAMENTO!$AF$7)*OFFSET(ORÇAMENTO!$W$15,ROW(BE41)-ROW(BE$15),0),15-13*ORÇAMENTO!$AF$11)),
         0)</f>
        <v>0</v>
      </c>
      <c r="BF41" s="453">
        <f ca="1">IF(AND($D41="Serviço",BF$12&lt;&gt;0,$H41&gt;0,OR(AUTOEVENTO&lt;&gt;"manual",$M41&lt;&gt;$A$15)),
        IF(Import.TipoArredondamento&lt;&gt;"TransfereGOV",
              ROUND(OFFSET($P41,0,BF$13),15-13*ORÇAMENTO!$AF$7)/$H41*OFFSET(ORÇAMENTO!$X$15,ROW(BF41)-ROW(BF$15),0),
              ROUND(ROUND(OFFSET($P41,0,BF$13),15-13*ORÇAMENTO!$AF$7)*OFFSET(ORÇAMENTO!$W$15,ROW(BF41)-ROW(BF$15),0),15-13*ORÇAMENTO!$AF$11)),
         0)</f>
        <v>0</v>
      </c>
      <c r="BG41" s="453">
        <f ca="1">IF(AND($D41="Serviço",BG$12&lt;&gt;0,$H41&gt;0,OR(AUTOEVENTO&lt;&gt;"manual",$M41&lt;&gt;$A$15)),
        IF(Import.TipoArredondamento&lt;&gt;"TransfereGOV",
              ROUND(OFFSET($P41,0,BG$13),15-13*ORÇAMENTO!$AF$7)/$H41*OFFSET(ORÇAMENTO!$X$15,ROW(BG41)-ROW(BG$15),0),
              ROUND(ROUND(OFFSET($P41,0,BG$13),15-13*ORÇAMENTO!$AF$7)*OFFSET(ORÇAMENTO!$W$15,ROW(BG41)-ROW(BG$15),0),15-13*ORÇAMENTO!$AF$11)),
         0)</f>
        <v>0</v>
      </c>
      <c r="BH41" s="453">
        <f ca="1">IF(AND($D41="Serviço",BH$12&lt;&gt;0,$H41&gt;0,OR(AUTOEVENTO&lt;&gt;"manual",$M41&lt;&gt;$A$15)),
        IF(Import.TipoArredondamento&lt;&gt;"TransfereGOV",
              ROUND(OFFSET($P41,0,BH$13),15-13*ORÇAMENTO!$AF$7)/$H41*OFFSET(ORÇAMENTO!$X$15,ROW(BH41)-ROW(BH$15),0),
              ROUND(ROUND(OFFSET($P41,0,BH$13),15-13*ORÇAMENTO!$AF$7)*OFFSET(ORÇAMENTO!$W$15,ROW(BH41)-ROW(BH$15),0),15-13*ORÇAMENTO!$AF$11)),
         0)</f>
        <v>0</v>
      </c>
      <c r="BI41" s="453">
        <f ca="1">IF(AND($D41="Serviço",BI$12&lt;&gt;0,$H41&gt;0,OR(AUTOEVENTO&lt;&gt;"manual",$M41&lt;&gt;$A$15)),
        IF(Import.TipoArredondamento&lt;&gt;"TransfereGOV",
              ROUND(OFFSET($P41,0,BI$13),15-13*ORÇAMENTO!$AF$7)/$H41*OFFSET(ORÇAMENTO!$X$15,ROW(BI41)-ROW(BI$15),0),
              ROUND(ROUND(OFFSET($P41,0,BI$13),15-13*ORÇAMENTO!$AF$7)*OFFSET(ORÇAMENTO!$W$15,ROW(BI41)-ROW(BI$15),0),15-13*ORÇAMENTO!$AF$11)),
         0)</f>
        <v>0</v>
      </c>
      <c r="BJ41" s="453">
        <f ca="1">IF(AND($D41="Serviço",BJ$12&lt;&gt;0,$H41&gt;0,OR(AUTOEVENTO&lt;&gt;"manual",$M41&lt;&gt;$A$15)),
        IF(Import.TipoArredondamento&lt;&gt;"TransfereGOV",
              ROUND(OFFSET($P41,0,BJ$13),15-13*ORÇAMENTO!$AF$7)/$H41*OFFSET(ORÇAMENTO!$X$15,ROW(BJ41)-ROW(BJ$15),0),
              ROUND(ROUND(OFFSET($P41,0,BJ$13),15-13*ORÇAMENTO!$AF$7)*OFFSET(ORÇAMENTO!$W$15,ROW(BJ41)-ROW(BJ$15),0),15-13*ORÇAMENTO!$AF$11)),
         0)</f>
        <v>0</v>
      </c>
      <c r="BK41" s="453">
        <f ca="1">IF(AND($D41="Serviço",BK$12&lt;&gt;0,$H41&gt;0,OR(AUTOEVENTO&lt;&gt;"manual",$M41&lt;&gt;$A$15)),
        IF(Import.TipoArredondamento&lt;&gt;"TransfereGOV",
              ROUND(OFFSET($P41,0,BK$13),15-13*ORÇAMENTO!$AF$7)/$H41*OFFSET(ORÇAMENTO!$X$15,ROW(BK41)-ROW(BK$15),0),
              ROUND(ROUND(OFFSET($P41,0,BK$13),15-13*ORÇAMENTO!$AF$7)*OFFSET(ORÇAMENTO!$W$15,ROW(BK41)-ROW(BK$15),0),15-13*ORÇAMENTO!$AF$11)),
         0)</f>
        <v>0</v>
      </c>
      <c r="BL41" s="453">
        <f ca="1">IF(AND($D41="Serviço",BL$12&lt;&gt;0,$H41&gt;0,OR(AUTOEVENTO&lt;&gt;"manual",$M41&lt;&gt;$A$15)),
        IF(Import.TipoArredondamento&lt;&gt;"TransfereGOV",
              ROUND(OFFSET($P41,0,BL$13),15-13*ORÇAMENTO!$AF$7)/$H41*OFFSET(ORÇAMENTO!$X$15,ROW(BL41)-ROW(BL$15),0),
              ROUND(ROUND(OFFSET($P41,0,BL$13),15-13*ORÇAMENTO!$AF$7)*OFFSET(ORÇAMENTO!$W$15,ROW(BL41)-ROW(BL$15),0),15-13*ORÇAMENTO!$AF$11)),
         0)</f>
        <v>0</v>
      </c>
      <c r="BM41" s="453">
        <f ca="1">IF(AND($D41="Serviço",BM$12&lt;&gt;0,$H41&gt;0,OR(AUTOEVENTO&lt;&gt;"manual",$M41&lt;&gt;$A$15)),
        IF(Import.TipoArredondamento&lt;&gt;"TransfereGOV",
              ROUND(OFFSET($P41,0,BM$13),15-13*ORÇAMENTO!$AF$7)/$H41*OFFSET(ORÇAMENTO!$X$15,ROW(BM41)-ROW(BM$15),0),
              ROUND(ROUND(OFFSET($P41,0,BM$13),15-13*ORÇAMENTO!$AF$7)*OFFSET(ORÇAMENTO!$W$15,ROW(BM41)-ROW(BM$15),0),15-13*ORÇAMENTO!$AF$11)),
         0)</f>
        <v>0</v>
      </c>
      <c r="BN41" s="453">
        <f ca="1">IF(AND($D41="Serviço",BN$12&lt;&gt;0,$H41&gt;0,OR(AUTOEVENTO&lt;&gt;"manual",$M41&lt;&gt;$A$15)),
        IF(Import.TipoArredondamento&lt;&gt;"TransfereGOV",
              ROUND(OFFSET($P41,0,BN$13),15-13*ORÇAMENTO!$AF$7)/$H41*OFFSET(ORÇAMENTO!$X$15,ROW(BN41)-ROW(BN$15),0),
              ROUND(ROUND(OFFSET($P41,0,BN$13),15-13*ORÇAMENTO!$AF$7)*OFFSET(ORÇAMENTO!$W$15,ROW(BN41)-ROW(BN$15),0),15-13*ORÇAMENTO!$AF$11)),
         0)</f>
        <v>0</v>
      </c>
      <c r="BO41" s="453">
        <f ca="1">IF(AND($D41="Serviço",BO$12&lt;&gt;0,$H41&gt;0,OR(AUTOEVENTO&lt;&gt;"manual",$M41&lt;&gt;$A$15)),
        IF(Import.TipoArredondamento&lt;&gt;"TransfereGOV",
              ROUND(OFFSET($P41,0,BO$13),15-13*ORÇAMENTO!$AF$7)/$H41*OFFSET(ORÇAMENTO!$X$15,ROW(BO41)-ROW(BO$15),0),
              ROUND(ROUND(OFFSET($P41,0,BO$13),15-13*ORÇAMENTO!$AF$7)*OFFSET(ORÇAMENTO!$W$15,ROW(BO41)-ROW(BO$15),0),15-13*ORÇAMENTO!$AF$11)),
         0)</f>
        <v>0</v>
      </c>
      <c r="BP41" s="453">
        <f ca="1">IF(AND($D41="Serviço",BP$12&lt;&gt;0,$H41&gt;0,OR(AUTOEVENTO&lt;&gt;"manual",$M41&lt;&gt;$A$15)),
        IF(Import.TipoArredondamento&lt;&gt;"TransfereGOV",
              ROUND(OFFSET($P41,0,BP$13),15-13*ORÇAMENTO!$AF$7)/$H41*OFFSET(ORÇAMENTO!$X$15,ROW(BP41)-ROW(BP$15),0),
              ROUND(ROUND(OFFSET($P41,0,BP$13),15-13*ORÇAMENTO!$AF$7)*OFFSET(ORÇAMENTO!$W$15,ROW(BP41)-ROW(BP$15),0),15-13*ORÇAMENTO!$AF$11)),
         0)</f>
        <v>0</v>
      </c>
      <c r="BQ41" s="453">
        <f ca="1">IF(AND($D41="Serviço",BQ$12&lt;&gt;0,$H41&gt;0,OR(AUTOEVENTO&lt;&gt;"manual",$M41&lt;&gt;$A$15)),
        IF(Import.TipoArredondamento&lt;&gt;"TransfereGOV",
              ROUND(OFFSET($P41,0,BQ$13),15-13*ORÇAMENTO!$AF$7)/$H41*OFFSET(ORÇAMENTO!$X$15,ROW(BQ41)-ROW(BQ$15),0),
              ROUND(ROUND(OFFSET($P41,0,BQ$13),15-13*ORÇAMENTO!$AF$7)*OFFSET(ORÇAMENTO!$W$15,ROW(BQ41)-ROW(BQ$15),0),15-13*ORÇAMENTO!$AF$11)),
         0)</f>
        <v>0</v>
      </c>
      <c r="BS41" s="171">
        <f ca="1">IF(OR($D41&lt;&gt;"Serviço",AND(AUTOEVENTO="Manual",$M41=$A$15)),0,
         IF(OFFSET(CRONOPLE!$F$15,$M41-$A$15,BS$13)=0,10^12,OFFSET(CRONOPLE!$F$15,$M41-$A$15,BS$13)))</f>
        <v>1</v>
      </c>
      <c r="BT41" s="171">
        <f ca="1">IF(OR($D41&lt;&gt;"Serviço",AND(AUTOEVENTO="Manual",$M41=$A$15)),0,
         IF(OFFSET(CRONOPLE!$F$15,$M41-$A$15,BT$13)=0,10^12,OFFSET(CRONOPLE!$F$15,$M41-$A$15,BT$13)))</f>
        <v>2</v>
      </c>
      <c r="BU41" s="171">
        <f ca="1">IF(OR($D41&lt;&gt;"Serviço",AND(AUTOEVENTO="Manual",$M41=$A$15)),0,
         IF(OFFSET(CRONOPLE!$F$15,$M41-$A$15,BU$13)=0,10^12,OFFSET(CRONOPLE!$F$15,$M41-$A$15,BU$13)))</f>
        <v>3</v>
      </c>
      <c r="BV41" s="171">
        <f ca="1">IF(OR($D41&lt;&gt;"Serviço",AND(AUTOEVENTO="Manual",$M41=$A$15)),0,
         IF(OFFSET(CRONOPLE!$F$15,$M41-$A$15,BV$13)=0,10^12,OFFSET(CRONOPLE!$F$15,$M41-$A$15,BV$13)))</f>
        <v>4</v>
      </c>
      <c r="BW41" s="171">
        <f ca="1">IF(OR($D41&lt;&gt;"Serviço",AND(AUTOEVENTO="Manual",$M41=$A$15)),0,
         IF(OFFSET(CRONOPLE!$F$15,$M41-$A$15,BW$13)=0,10^12,OFFSET(CRONOPLE!$F$15,$M41-$A$15,BW$13)))</f>
        <v>5</v>
      </c>
      <c r="BX41" s="171">
        <f ca="1">IF(OR($D41&lt;&gt;"Serviço",AND(AUTOEVENTO="Manual",$M41=$A$15)),0,
         IF(OFFSET(CRONOPLE!$F$15,$M41-$A$15,BX$13)=0,10^12,OFFSET(CRONOPLE!$F$15,$M41-$A$15,BX$13)))</f>
        <v>6</v>
      </c>
      <c r="BY41" s="171">
        <f ca="1">IF(OR($D41&lt;&gt;"Serviço",AND(AUTOEVENTO="Manual",$M41=$A$15)),0,
         IF(OFFSET(CRONOPLE!$F$15,$M41-$A$15,BY$13)=0,10^12,OFFSET(CRONOPLE!$F$15,$M41-$A$15,BY$13)))</f>
        <v>7</v>
      </c>
      <c r="BZ41" s="171">
        <f ca="1">IF(OR($D41&lt;&gt;"Serviço",AND(AUTOEVENTO="Manual",$M41=$A$15)),0,
         IF(OFFSET(CRONOPLE!$F$15,$M41-$A$15,BZ$13)=0,10^12,OFFSET(CRONOPLE!$F$15,$M41-$A$15,BZ$13)))</f>
        <v>8</v>
      </c>
      <c r="CA41" s="171">
        <f ca="1">IF(OR($D41&lt;&gt;"Serviço",AND(AUTOEVENTO="Manual",$M41=$A$15)),0,
         IF(OFFSET(CRONOPLE!$F$15,$M41-$A$15,CA$13)=0,10^12,OFFSET(CRONOPLE!$F$15,$M41-$A$15,CA$13)))</f>
        <v>9</v>
      </c>
      <c r="CB41" s="171">
        <f ca="1">IF(OR($D41&lt;&gt;"Serviço",AND(AUTOEVENTO="Manual",$M41=$A$15)),0,
         IF(OFFSET(CRONOPLE!$F$15,$M41-$A$15,CB$13)=0,10^12,OFFSET(CRONOPLE!$F$15,$M41-$A$15,CB$13)))</f>
        <v>10</v>
      </c>
      <c r="CC41" s="171">
        <f ca="1">IF(OR($D41&lt;&gt;"Serviço",AND(AUTOEVENTO="Manual",$M41=$A$15)),0,
         IF(OFFSET(CRONOPLE!$F$15,$M41-$A$15,CC$13)=0,10^12,OFFSET(CRONOPLE!$F$15,$M41-$A$15,CC$13)))</f>
        <v>11</v>
      </c>
      <c r="CD41" s="171">
        <f ca="1">IF(OR($D41&lt;&gt;"Serviço",AND(AUTOEVENTO="Manual",$M41=$A$15)),0,
         IF(OFFSET(CRONOPLE!$F$15,$M41-$A$15,CD$13)=0,10^12,OFFSET(CRONOPLE!$F$15,$M41-$A$15,CD$13)))</f>
        <v>12</v>
      </c>
      <c r="CE41" s="171">
        <f ca="1">IF(OR($D41&lt;&gt;"Serviço",AND(AUTOEVENTO="Manual",$M41=$A$15)),0,
         IF(OFFSET(CRONOPLE!$F$15,$M41-$A$15,CE$13)=0,10^12,OFFSET(CRONOPLE!$F$15,$M41-$A$15,CE$13)))</f>
        <v>13</v>
      </c>
      <c r="CF41" s="171">
        <f ca="1">IF(OR($D41&lt;&gt;"Serviço",AND(AUTOEVENTO="Manual",$M41=$A$15)),0,
         IF(OFFSET(CRONOPLE!$F$15,$M41-$A$15,CF$13)=0,10^12,OFFSET(CRONOPLE!$F$15,$M41-$A$15,CF$13)))</f>
        <v>14</v>
      </c>
      <c r="CG41" s="171">
        <f ca="1">IF(OR($D41&lt;&gt;"Serviço",AND(AUTOEVENTO="Manual",$M41=$A$15)),0,
         IF(OFFSET(CRONOPLE!$F$15,$M41-$A$15,CG$13)=0,10^12,OFFSET(CRONOPLE!$F$15,$M41-$A$15,CG$13)))</f>
        <v>15</v>
      </c>
      <c r="CH41" s="171">
        <f ca="1">IF(OR($D41&lt;&gt;"Serviço",AND(AUTOEVENTO="Manual",$M41=$A$15)),0,
         IF(OFFSET(CRONOPLE!$F$15,$M41-$A$15,CH$13)=0,10^12,OFFSET(CRONOPLE!$F$15,$M41-$A$15,CH$13)))</f>
        <v>16</v>
      </c>
      <c r="CI41" s="171">
        <f ca="1">IF(OR($D41&lt;&gt;"Serviço",AND(AUTOEVENTO="Manual",$M41=$A$15)),0,
         IF(OFFSET(CRONOPLE!$F$15,$M41-$A$15,CI$13)=0,10^12,OFFSET(CRONOPLE!$F$15,$M41-$A$15,CI$13)))</f>
        <v>17</v>
      </c>
      <c r="CJ41" s="171">
        <f ca="1">IF(OR($D41&lt;&gt;"Serviço",AND(AUTOEVENTO="Manual",$M41=$A$15)),0,
         IF(OFFSET(CRONOPLE!$F$15,$M41-$A$15,CJ$13)=0,10^12,OFFSET(CRONOPLE!$F$15,$M41-$A$15,CJ$13)))</f>
        <v>18</v>
      </c>
      <c r="CK41" s="171">
        <f ca="1">IF(OR($D41&lt;&gt;"Serviço",AND(AUTOEVENTO="Manual",$M41=$A$15)),0,
         IF(OFFSET(CRONOPLE!$F$15,$M41-$A$15,CK$13)=0,10^12,OFFSET(CRONOPLE!$F$15,$M41-$A$15,CK$13)))</f>
        <v>19</v>
      </c>
      <c r="CL41" s="171">
        <f ca="1">IF(OR($D41&lt;&gt;"Serviço",AND(AUTOEVENTO="Manual",$M41=$A$15)),0,
         IF(OFFSET(CRONOPLE!$F$15,$M41-$A$15,CL$13)=0,10^12,OFFSET(CRONOPLE!$F$15,$M41-$A$15,CL$13)))</f>
        <v>20</v>
      </c>
      <c r="CM41" s="171">
        <f ca="1">IF(OR($D41&lt;&gt;"Serviço",AND(AUTOEVENTO="Manual",$M41=$A$15)),0,
         IF(OFFSET(CRONOPLE!$F$15,$M41-$A$15,CM$13)=0,10^12,OFFSET(CRONOPLE!$F$15,$M41-$A$15,CM$13)))</f>
        <v>1000000000000</v>
      </c>
      <c r="CN41" s="171">
        <f ca="1">IF(OR($D41&lt;&gt;"Serviço",AND(AUTOEVENTO="Manual",$M41=$A$15)),0,
         IF(OFFSET(CRONOPLE!$F$15,$M41-$A$15,CN$13)=0,10^12,OFFSET(CRONOPLE!$F$15,$M41-$A$15,CN$13)))</f>
        <v>1000000000000</v>
      </c>
      <c r="CO41" s="171">
        <f ca="1">IF(OR($D41&lt;&gt;"Serviço",AND(AUTOEVENTO="Manual",$M41=$A$15)),0,
         IF(OFFSET(CRONOPLE!$F$15,$M41-$A$15,CO$13)=0,10^12,OFFSET(CRONOPLE!$F$15,$M41-$A$15,CO$13)))</f>
        <v>1000000000000</v>
      </c>
      <c r="CP41" s="171">
        <f ca="1">IF(OR($D41&lt;&gt;"Serviço",AND(AUTOEVENTO="Manual",$M41=$A$15)),0,
         IF(OFFSET(CRONOPLE!$F$15,$M41-$A$15,CP$13)=0,10^12,OFFSET(CRONOPLE!$F$15,$M41-$A$15,CP$13)))</f>
        <v>1000000000000</v>
      </c>
      <c r="CQ41" s="171">
        <f ca="1">IF(OR($D41&lt;&gt;"Serviço",AND(AUTOEVENTO="Manual",$M41=$A$15)),0,
         IF(OFFSET(CRONOPLE!$F$15,$M41-$A$15,CQ$13)=0,10^12,OFFSET(CRONOPLE!$F$15,$M41-$A$15,CQ$13)))</f>
        <v>1000000000000</v>
      </c>
      <c r="CR41" s="171">
        <f ca="1">IF(OR($D41&lt;&gt;"Serviço",AND(AUTOEVENTO="Manual",$M41=$A$15)),0,
         IF(OFFSET(CRONOPLE!$F$15,$M41-$A$15,CR$13)=0,10^12,OFFSET(CRONOPLE!$F$15,$M41-$A$15,CR$13)))</f>
        <v>1000000000000</v>
      </c>
      <c r="CT41" s="172" cm="1">
        <f t="array" aca="1" ref="CT41" ca="1">IF(OR($D41&lt;&gt;"Serviço",AND(AUTOEVENTO="Manual",$M41=$A$15),$M41&gt;(ROW(PLE.lastrow)-ROW(PLE.firstrow))),0,
           IF(OFFSET(PLE!$G$15,$M41-$A$15,CT$13)="",10^12,OFFSET(PLE!$G$15,$M41-$A$15,CT$13)))</f>
        <v>1000000000000</v>
      </c>
      <c r="CU41" s="172" cm="1">
        <f t="array" aca="1" ref="CU41" ca="1">IF(OR($D41&lt;&gt;"Serviço",AND(AUTOEVENTO="Manual",$M41=$A$15),$M41&gt;(ROW(PLE.lastrow)-ROW(PLE.firstrow))),0,
           IF(OFFSET(PLE!$G$15,$M41-$A$15,CU$13)="",10^12,OFFSET(PLE!$G$15,$M41-$A$15,CU$13)))</f>
        <v>1000000000000</v>
      </c>
      <c r="CV41" s="172" cm="1">
        <f t="array" aca="1" ref="CV41" ca="1">IF(OR($D41&lt;&gt;"Serviço",AND(AUTOEVENTO="Manual",$M41=$A$15),$M41&gt;(ROW(PLE.lastrow)-ROW(PLE.firstrow))),0,
           IF(OFFSET(PLE!$G$15,$M41-$A$15,CV$13)="",10^12,OFFSET(PLE!$G$15,$M41-$A$15,CV$13)))</f>
        <v>1000000000000</v>
      </c>
      <c r="CW41" s="172" cm="1">
        <f t="array" aca="1" ref="CW41" ca="1">IF(OR($D41&lt;&gt;"Serviço",AND(AUTOEVENTO="Manual",$M41=$A$15),$M41&gt;(ROW(PLE.lastrow)-ROW(PLE.firstrow))),0,
           IF(OFFSET(PLE!$G$15,$M41-$A$15,CW$13)="",10^12,OFFSET(PLE!$G$15,$M41-$A$15,CW$13)))</f>
        <v>1000000000000</v>
      </c>
      <c r="CX41" s="172" cm="1">
        <f t="array" aca="1" ref="CX41" ca="1">IF(OR($D41&lt;&gt;"Serviço",AND(AUTOEVENTO="Manual",$M41=$A$15),$M41&gt;(ROW(PLE.lastrow)-ROW(PLE.firstrow))),0,
           IF(OFFSET(PLE!$G$15,$M41-$A$15,CX$13)="",10^12,OFFSET(PLE!$G$15,$M41-$A$15,CX$13)))</f>
        <v>1000000000000</v>
      </c>
      <c r="CY41" s="172" cm="1">
        <f t="array" aca="1" ref="CY41" ca="1">IF(OR($D41&lt;&gt;"Serviço",AND(AUTOEVENTO="Manual",$M41=$A$15),$M41&gt;(ROW(PLE.lastrow)-ROW(PLE.firstrow))),0,
           IF(OFFSET(PLE!$G$15,$M41-$A$15,CY$13)="",10^12,OFFSET(PLE!$G$15,$M41-$A$15,CY$13)))</f>
        <v>1000000000000</v>
      </c>
      <c r="CZ41" s="172" cm="1">
        <f t="array" aca="1" ref="CZ41" ca="1">IF(OR($D41&lt;&gt;"Serviço",AND(AUTOEVENTO="Manual",$M41=$A$15),$M41&gt;(ROW(PLE.lastrow)-ROW(PLE.firstrow))),0,
           IF(OFFSET(PLE!$G$15,$M41-$A$15,CZ$13)="",10^12,OFFSET(PLE!$G$15,$M41-$A$15,CZ$13)))</f>
        <v>1000000000000</v>
      </c>
      <c r="DA41" s="172" cm="1">
        <f t="array" aca="1" ref="DA41" ca="1">IF(OR($D41&lt;&gt;"Serviço",AND(AUTOEVENTO="Manual",$M41=$A$15),$M41&gt;(ROW(PLE.lastrow)-ROW(PLE.firstrow))),0,
           IF(OFFSET(PLE!$G$15,$M41-$A$15,DA$13)="",10^12,OFFSET(PLE!$G$15,$M41-$A$15,DA$13)))</f>
        <v>1000000000000</v>
      </c>
      <c r="DB41" s="172" cm="1">
        <f t="array" aca="1" ref="DB41" ca="1">IF(OR($D41&lt;&gt;"Serviço",AND(AUTOEVENTO="Manual",$M41=$A$15),$M41&gt;(ROW(PLE.lastrow)-ROW(PLE.firstrow))),0,
           IF(OFFSET(PLE!$G$15,$M41-$A$15,DB$13)="",10^12,OFFSET(PLE!$G$15,$M41-$A$15,DB$13)))</f>
        <v>1000000000000</v>
      </c>
      <c r="DC41" s="172" cm="1">
        <f t="array" aca="1" ref="DC41" ca="1">IF(OR($D41&lt;&gt;"Serviço",AND(AUTOEVENTO="Manual",$M41=$A$15),$M41&gt;(ROW(PLE.lastrow)-ROW(PLE.firstrow))),0,
           IF(OFFSET(PLE!$G$15,$M41-$A$15,DC$13)="",10^12,OFFSET(PLE!$G$15,$M41-$A$15,DC$13)))</f>
        <v>1000000000000</v>
      </c>
      <c r="DD41" s="172" cm="1">
        <f t="array" aca="1" ref="DD41" ca="1">IF(OR($D41&lt;&gt;"Serviço",AND(AUTOEVENTO="Manual",$M41=$A$15),$M41&gt;(ROW(PLE.lastrow)-ROW(PLE.firstrow))),0,
           IF(OFFSET(PLE!$G$15,$M41-$A$15,DD$13)="",10^12,OFFSET(PLE!$G$15,$M41-$A$15,DD$13)))</f>
        <v>1000000000000</v>
      </c>
      <c r="DE41" s="172" cm="1">
        <f t="array" aca="1" ref="DE41" ca="1">IF(OR($D41&lt;&gt;"Serviço",AND(AUTOEVENTO="Manual",$M41=$A$15),$M41&gt;(ROW(PLE.lastrow)-ROW(PLE.firstrow))),0,
           IF(OFFSET(PLE!$G$15,$M41-$A$15,DE$13)="",10^12,OFFSET(PLE!$G$15,$M41-$A$15,DE$13)))</f>
        <v>1000000000000</v>
      </c>
      <c r="DF41" s="172" cm="1">
        <f t="array" aca="1" ref="DF41" ca="1">IF(OR($D41&lt;&gt;"Serviço",AND(AUTOEVENTO="Manual",$M41=$A$15),$M41&gt;(ROW(PLE.lastrow)-ROW(PLE.firstrow))),0,
           IF(OFFSET(PLE!$G$15,$M41-$A$15,DF$13)="",10^12,OFFSET(PLE!$G$15,$M41-$A$15,DF$13)))</f>
        <v>1000000000000</v>
      </c>
      <c r="DG41" s="172" cm="1">
        <f t="array" aca="1" ref="DG41" ca="1">IF(OR($D41&lt;&gt;"Serviço",AND(AUTOEVENTO="Manual",$M41=$A$15),$M41&gt;(ROW(PLE.lastrow)-ROW(PLE.firstrow))),0,
           IF(OFFSET(PLE!$G$15,$M41-$A$15,DG$13)="",10^12,OFFSET(PLE!$G$15,$M41-$A$15,DG$13)))</f>
        <v>1000000000000</v>
      </c>
      <c r="DH41" s="172" cm="1">
        <f t="array" aca="1" ref="DH41" ca="1">IF(OR($D41&lt;&gt;"Serviço",AND(AUTOEVENTO="Manual",$M41=$A$15),$M41&gt;(ROW(PLE.lastrow)-ROW(PLE.firstrow))),0,
           IF(OFFSET(PLE!$G$15,$M41-$A$15,DH$13)="",10^12,OFFSET(PLE!$G$15,$M41-$A$15,DH$13)))</f>
        <v>1000000000000</v>
      </c>
      <c r="DI41" s="172" cm="1">
        <f t="array" aca="1" ref="DI41" ca="1">IF(OR($D41&lt;&gt;"Serviço",AND(AUTOEVENTO="Manual",$M41=$A$15),$M41&gt;(ROW(PLE.lastrow)-ROW(PLE.firstrow))),0,
           IF(OFFSET(PLE!$G$15,$M41-$A$15,DI$13)="",10^12,OFFSET(PLE!$G$15,$M41-$A$15,DI$13)))</f>
        <v>1000000000000</v>
      </c>
      <c r="DJ41" s="172" cm="1">
        <f t="array" aca="1" ref="DJ41" ca="1">IF(OR($D41&lt;&gt;"Serviço",AND(AUTOEVENTO="Manual",$M41=$A$15),$M41&gt;(ROW(PLE.lastrow)-ROW(PLE.firstrow))),0,
           IF(OFFSET(PLE!$G$15,$M41-$A$15,DJ$13)="",10^12,OFFSET(PLE!$G$15,$M41-$A$15,DJ$13)))</f>
        <v>1000000000000</v>
      </c>
      <c r="DK41" s="172" cm="1">
        <f t="array" aca="1" ref="DK41" ca="1">IF(OR($D41&lt;&gt;"Serviço",AND(AUTOEVENTO="Manual",$M41=$A$15),$M41&gt;(ROW(PLE.lastrow)-ROW(PLE.firstrow))),0,
           IF(OFFSET(PLE!$G$15,$M41-$A$15,DK$13)="",10^12,OFFSET(PLE!$G$15,$M41-$A$15,DK$13)))</f>
        <v>1000000000000</v>
      </c>
      <c r="DL41" s="172" cm="1">
        <f t="array" aca="1" ref="DL41" ca="1">IF(OR($D41&lt;&gt;"Serviço",AND(AUTOEVENTO="Manual",$M41=$A$15),$M41&gt;(ROW(PLE.lastrow)-ROW(PLE.firstrow))),0,
           IF(OFFSET(PLE!$G$15,$M41-$A$15,DL$13)="",10^12,OFFSET(PLE!$G$15,$M41-$A$15,DL$13)))</f>
        <v>1000000000000</v>
      </c>
      <c r="DM41" s="172" cm="1">
        <f t="array" aca="1" ref="DM41" ca="1">IF(OR($D41&lt;&gt;"Serviço",AND(AUTOEVENTO="Manual",$M41=$A$15),$M41&gt;(ROW(PLE.lastrow)-ROW(PLE.firstrow))),0,
           IF(OFFSET(PLE!$G$15,$M41-$A$15,DM$13)="",10^12,OFFSET(PLE!$G$15,$M41-$A$15,DM$13)))</f>
        <v>1000000000000</v>
      </c>
      <c r="DN41" s="172" cm="1">
        <f t="array" aca="1" ref="DN41" ca="1">IF(OR($D41&lt;&gt;"Serviço",AND(AUTOEVENTO="Manual",$M41=$A$15),$M41&gt;(ROW(PLE.lastrow)-ROW(PLE.firstrow))),0,
           IF(OFFSET(PLE!$G$15,$M41-$A$15,DN$13)="",10^12,OFFSET(PLE!$G$15,$M41-$A$15,DN$13)))</f>
        <v>1000000000000</v>
      </c>
      <c r="DO41" s="172" cm="1">
        <f t="array" aca="1" ref="DO41" ca="1">IF(OR($D41&lt;&gt;"Serviço",AND(AUTOEVENTO="Manual",$M41=$A$15),$M41&gt;(ROW(PLE.lastrow)-ROW(PLE.firstrow))),0,
           IF(OFFSET(PLE!$G$15,$M41-$A$15,DO$13)="",10^12,OFFSET(PLE!$G$15,$M41-$A$15,DO$13)))</f>
        <v>1000000000000</v>
      </c>
      <c r="DP41" s="172" cm="1">
        <f t="array" aca="1" ref="DP41" ca="1">IF(OR($D41&lt;&gt;"Serviço",AND(AUTOEVENTO="Manual",$M41=$A$15),$M41&gt;(ROW(PLE.lastrow)-ROW(PLE.firstrow))),0,
           IF(OFFSET(PLE!$G$15,$M41-$A$15,DP$13)="",10^12,OFFSET(PLE!$G$15,$M41-$A$15,DP$13)))</f>
        <v>1000000000000</v>
      </c>
      <c r="DQ41" s="172" cm="1">
        <f t="array" aca="1" ref="DQ41" ca="1">IF(OR($D41&lt;&gt;"Serviço",AND(AUTOEVENTO="Manual",$M41=$A$15),$M41&gt;(ROW(PLE.lastrow)-ROW(PLE.firstrow))),0,
           IF(OFFSET(PLE!$G$15,$M41-$A$15,DQ$13)="",10^12,OFFSET(PLE!$G$15,$M41-$A$15,DQ$13)))</f>
        <v>1000000000000</v>
      </c>
      <c r="DR41" s="172" cm="1">
        <f t="array" aca="1" ref="DR41" ca="1">IF(OR($D41&lt;&gt;"Serviço",AND(AUTOEVENTO="Manual",$M41=$A$15),$M41&gt;(ROW(PLE.lastrow)-ROW(PLE.firstrow))),0,
           IF(OFFSET(PLE!$G$15,$M41-$A$15,DR$13)="",10^12,OFFSET(PLE!$G$15,$M41-$A$15,DR$13)))</f>
        <v>1000000000000</v>
      </c>
      <c r="DS41" s="172" cm="1">
        <f t="array" aca="1" ref="DS41" ca="1">IF(OR($D41&lt;&gt;"Serviço",AND(AUTOEVENTO="Manual",$M41=$A$15),$M41&gt;(ROW(PLE.lastrow)-ROW(PLE.firstrow))),0,
           IF(OFFSET(PLE!$G$15,$M41-$A$15,DS$13)="",10^12,OFFSET(PLE!$G$15,$M41-$A$15,DS$13)))</f>
        <v>1000000000000</v>
      </c>
    </row>
    <row r="42" spans="1:123" ht="25.5" x14ac:dyDescent="0.2">
      <c r="A42" s="7">
        <f t="shared" ca="1" si="11"/>
        <v>3</v>
      </c>
      <c r="B42" s="7" t="str">
        <f ca="1">OFFSET(ORÇAMENTO!C$15,$L42,0)</f>
        <v>S</v>
      </c>
      <c r="C42" s="7" t="str">
        <f ca="1">OFFSET(ORÇAMENTO!L$15,$L42,0)</f>
        <v/>
      </c>
      <c r="D42" s="116" t="str">
        <f ca="1">OFFSET(ORÇAMENTO!N$15,$L42,0)</f>
        <v>Serviço</v>
      </c>
      <c r="E42" s="117" t="str">
        <f ca="1">OFFSET(ORÇAMENTO!O$15,$L42,0)</f>
        <v>-</v>
      </c>
      <c r="F42" s="163" t="str">
        <f ca="1">OFFSET(ORÇAMENTO!R$15,$L42,0)</f>
        <v>(Código não identificado nas referências)</v>
      </c>
      <c r="G42" s="164" t="str">
        <f ca="1">IF($D42&lt;&gt;"Serviço","",OFFSET(ORÇAMENTO!S$15,$L42,0))</f>
        <v>-</v>
      </c>
      <c r="H42" s="122" cm="1">
        <f t="array" aca="1" ref="H42" ca="1">IF($D42&lt;&gt;"Serviço",0,IF(ACOMPANHAMENTO="BM",ROUND(OFFSET(ORÇAMENTO!AJ$15,$L42,0),15-13*ORÇAMENTO!$AF$7),IF(IFERROR(CÁLCULO.FrentesPreenchidas,0)=0,0,SUM(ROUND(OFFSET($P42,0,1,1,CÁLCULO.FrentesPreenchidas),15-13*ORÇAMENTO!$AF$7)))))</f>
        <v>780</v>
      </c>
      <c r="I42" s="468" t="s">
        <v>1235</v>
      </c>
      <c r="J42" s="651" t="str" cm="1">
        <f t="array" aca="1" ref="J42" ca="1">IF(OR(B42&lt;&gt;"S",CÁLCULO.FrentesPreenchidas=0),"",IF(AND(ACOMPANHAMENTO="PLE",AUTOEVENTO="Manual",OR(H42&gt;0,ORÇAMENTO!AC42="QUANT."),OR(K42="",M42=0,N42="")),"►E",IF(AND(ACOMPANHAMENTO="PLE",ORÇAMENTO!AC42="QUANT."),"►Q",IF(AND(ACOMPANHAMENTO="PLE",H42&lt;&gt;SUMPRODUCT(($Q$1:$AQ$1=1)*ROUND(Q42:AQ42,15))),"►S",IF(AND(COUNTIF($P$11:$AQ$11,"▼")=0,H42&gt;0,I42=""),"◄M","")))))</f>
        <v/>
      </c>
      <c r="K42" s="652" t="s">
        <v>1250</v>
      </c>
      <c r="L42" s="165">
        <f t="shared" ca="1" si="12"/>
        <v>27</v>
      </c>
      <c r="M42" s="166">
        <f ca="1">IF($D42&lt;&gt;"Serviço","",
          IF(AUTOEVENTO="manual",$A42,
                IF(ISERROR(MATCH($A42,$A$15:OFFSET($A42,-1,0),0)),MAX($M$15:OFFSET(M42,-1,0))+1,
                      INDEX($M$15:OFFSET(M42,-1,0),MATCH($A42,$A$15:OFFSET($A42,-1,0),0)))))</f>
        <v>3</v>
      </c>
      <c r="N42" s="167" t="str">
        <f ca="1">IF($D42&lt;&gt;"Serviço","",
         IF(AUTOEVENTO="Manual",
                IF($A42=0,"&lt;-- defina o número do agrupador",
                       OFFSET(EVENTOS!$D$15,$A42-$A$15,0)),
                OFFSET($F$15,$A42,0)))</f>
        <v>FUNDAÇÕES</v>
      </c>
      <c r="O42" s="168"/>
      <c r="Q42" s="168">
        <v>39</v>
      </c>
      <c r="R42" s="169">
        <v>39</v>
      </c>
      <c r="S42" s="169">
        <v>39</v>
      </c>
      <c r="T42" s="169">
        <v>39</v>
      </c>
      <c r="U42" s="169">
        <v>39</v>
      </c>
      <c r="V42" s="169">
        <v>39</v>
      </c>
      <c r="W42" s="169">
        <v>39</v>
      </c>
      <c r="X42" s="169">
        <v>39</v>
      </c>
      <c r="Y42" s="169">
        <v>39</v>
      </c>
      <c r="Z42" s="170">
        <v>39</v>
      </c>
      <c r="AA42" s="169">
        <v>39</v>
      </c>
      <c r="AB42" s="169">
        <v>39</v>
      </c>
      <c r="AC42" s="169">
        <v>39</v>
      </c>
      <c r="AD42" s="169">
        <v>39</v>
      </c>
      <c r="AE42" s="169">
        <v>39</v>
      </c>
      <c r="AF42" s="169">
        <v>39</v>
      </c>
      <c r="AG42" s="169">
        <v>39</v>
      </c>
      <c r="AH42" s="170">
        <v>39</v>
      </c>
      <c r="AI42" s="169">
        <v>39</v>
      </c>
      <c r="AJ42" s="169">
        <v>39</v>
      </c>
      <c r="AK42" s="169"/>
      <c r="AL42" s="169"/>
      <c r="AM42" s="169"/>
      <c r="AN42" s="169"/>
      <c r="AO42" s="169"/>
      <c r="AP42" s="170"/>
      <c r="AR42" s="453">
        <f ca="1">IF(AND($D42="Serviço",AR$12&lt;&gt;0,$H42&gt;0,OR(AUTOEVENTO&lt;&gt;"manual",$M42&lt;&gt;$A$15)),
        IF(Import.TipoArredondamento&lt;&gt;"TransfereGOV",
              ROUND(OFFSET($P42,0,AR$13),15-13*ORÇAMENTO!$AF$7)/$H42*OFFSET(ORÇAMENTO!$X$15,ROW(AR42)-ROW(AR$15),0),
              ROUND(ROUND(OFFSET($P42,0,AR$13),15-13*ORÇAMENTO!$AF$7)*OFFSET(ORÇAMENTO!$W$15,ROW(AR42)-ROW(AR$15),0),15-13*ORÇAMENTO!$AF$11)),
         0)</f>
        <v>0</v>
      </c>
      <c r="AS42" s="453">
        <f ca="1">IF(AND($D42="Serviço",AS$12&lt;&gt;0,$H42&gt;0,OR(AUTOEVENTO&lt;&gt;"manual",$M42&lt;&gt;$A$15)),
        IF(Import.TipoArredondamento&lt;&gt;"TransfereGOV",
              ROUND(OFFSET($P42,0,AS$13),15-13*ORÇAMENTO!$AF$7)/$H42*OFFSET(ORÇAMENTO!$X$15,ROW(AS42)-ROW(AS$15),0),
              ROUND(ROUND(OFFSET($P42,0,AS$13),15-13*ORÇAMENTO!$AF$7)*OFFSET(ORÇAMENTO!$W$15,ROW(AS42)-ROW(AS$15),0),15-13*ORÇAMENTO!$AF$11)),
         0)</f>
        <v>0</v>
      </c>
      <c r="AT42" s="453">
        <f ca="1">IF(AND($D42="Serviço",AT$12&lt;&gt;0,$H42&gt;0,OR(AUTOEVENTO&lt;&gt;"manual",$M42&lt;&gt;$A$15)),
        IF(Import.TipoArredondamento&lt;&gt;"TransfereGOV",
              ROUND(OFFSET($P42,0,AT$13),15-13*ORÇAMENTO!$AF$7)/$H42*OFFSET(ORÇAMENTO!$X$15,ROW(AT42)-ROW(AT$15),0),
              ROUND(ROUND(OFFSET($P42,0,AT$13),15-13*ORÇAMENTO!$AF$7)*OFFSET(ORÇAMENTO!$W$15,ROW(AT42)-ROW(AT$15),0),15-13*ORÇAMENTO!$AF$11)),
         0)</f>
        <v>0</v>
      </c>
      <c r="AU42" s="453">
        <f ca="1">IF(AND($D42="Serviço",AU$12&lt;&gt;0,$H42&gt;0,OR(AUTOEVENTO&lt;&gt;"manual",$M42&lt;&gt;$A$15)),
        IF(Import.TipoArredondamento&lt;&gt;"TransfereGOV",
              ROUND(OFFSET($P42,0,AU$13),15-13*ORÇAMENTO!$AF$7)/$H42*OFFSET(ORÇAMENTO!$X$15,ROW(AU42)-ROW(AU$15),0),
              ROUND(ROUND(OFFSET($P42,0,AU$13),15-13*ORÇAMENTO!$AF$7)*OFFSET(ORÇAMENTO!$W$15,ROW(AU42)-ROW(AU$15),0),15-13*ORÇAMENTO!$AF$11)),
         0)</f>
        <v>0</v>
      </c>
      <c r="AV42" s="453">
        <f ca="1">IF(AND($D42="Serviço",AV$12&lt;&gt;0,$H42&gt;0,OR(AUTOEVENTO&lt;&gt;"manual",$M42&lt;&gt;$A$15)),
        IF(Import.TipoArredondamento&lt;&gt;"TransfereGOV",
              ROUND(OFFSET($P42,0,AV$13),15-13*ORÇAMENTO!$AF$7)/$H42*OFFSET(ORÇAMENTO!$X$15,ROW(AV42)-ROW(AV$15),0),
              ROUND(ROUND(OFFSET($P42,0,AV$13),15-13*ORÇAMENTO!$AF$7)*OFFSET(ORÇAMENTO!$W$15,ROW(AV42)-ROW(AV$15),0),15-13*ORÇAMENTO!$AF$11)),
         0)</f>
        <v>0</v>
      </c>
      <c r="AW42" s="453">
        <f ca="1">IF(AND($D42="Serviço",AW$12&lt;&gt;0,$H42&gt;0,OR(AUTOEVENTO&lt;&gt;"manual",$M42&lt;&gt;$A$15)),
        IF(Import.TipoArredondamento&lt;&gt;"TransfereGOV",
              ROUND(OFFSET($P42,0,AW$13),15-13*ORÇAMENTO!$AF$7)/$H42*OFFSET(ORÇAMENTO!$X$15,ROW(AW42)-ROW(AW$15),0),
              ROUND(ROUND(OFFSET($P42,0,AW$13),15-13*ORÇAMENTO!$AF$7)*OFFSET(ORÇAMENTO!$W$15,ROW(AW42)-ROW(AW$15),0),15-13*ORÇAMENTO!$AF$11)),
         0)</f>
        <v>0</v>
      </c>
      <c r="AX42" s="453">
        <f ca="1">IF(AND($D42="Serviço",AX$12&lt;&gt;0,$H42&gt;0,OR(AUTOEVENTO&lt;&gt;"manual",$M42&lt;&gt;$A$15)),
        IF(Import.TipoArredondamento&lt;&gt;"TransfereGOV",
              ROUND(OFFSET($P42,0,AX$13),15-13*ORÇAMENTO!$AF$7)/$H42*OFFSET(ORÇAMENTO!$X$15,ROW(AX42)-ROW(AX$15),0),
              ROUND(ROUND(OFFSET($P42,0,AX$13),15-13*ORÇAMENTO!$AF$7)*OFFSET(ORÇAMENTO!$W$15,ROW(AX42)-ROW(AX$15),0),15-13*ORÇAMENTO!$AF$11)),
         0)</f>
        <v>0</v>
      </c>
      <c r="AY42" s="453">
        <f ca="1">IF(AND($D42="Serviço",AY$12&lt;&gt;0,$H42&gt;0,OR(AUTOEVENTO&lt;&gt;"manual",$M42&lt;&gt;$A$15)),
        IF(Import.TipoArredondamento&lt;&gt;"TransfereGOV",
              ROUND(OFFSET($P42,0,AY$13),15-13*ORÇAMENTO!$AF$7)/$H42*OFFSET(ORÇAMENTO!$X$15,ROW(AY42)-ROW(AY$15),0),
              ROUND(ROUND(OFFSET($P42,0,AY$13),15-13*ORÇAMENTO!$AF$7)*OFFSET(ORÇAMENTO!$W$15,ROW(AY42)-ROW(AY$15),0),15-13*ORÇAMENTO!$AF$11)),
         0)</f>
        <v>0</v>
      </c>
      <c r="AZ42" s="453">
        <f ca="1">IF(AND($D42="Serviço",AZ$12&lt;&gt;0,$H42&gt;0,OR(AUTOEVENTO&lt;&gt;"manual",$M42&lt;&gt;$A$15)),
        IF(Import.TipoArredondamento&lt;&gt;"TransfereGOV",
              ROUND(OFFSET($P42,0,AZ$13),15-13*ORÇAMENTO!$AF$7)/$H42*OFFSET(ORÇAMENTO!$X$15,ROW(AZ42)-ROW(AZ$15),0),
              ROUND(ROUND(OFFSET($P42,0,AZ$13),15-13*ORÇAMENTO!$AF$7)*OFFSET(ORÇAMENTO!$W$15,ROW(AZ42)-ROW(AZ$15),0),15-13*ORÇAMENTO!$AF$11)),
         0)</f>
        <v>0</v>
      </c>
      <c r="BA42" s="453">
        <f ca="1">IF(AND($D42="Serviço",BA$12&lt;&gt;0,$H42&gt;0,OR(AUTOEVENTO&lt;&gt;"manual",$M42&lt;&gt;$A$15)),
        IF(Import.TipoArredondamento&lt;&gt;"TransfereGOV",
              ROUND(OFFSET($P42,0,BA$13),15-13*ORÇAMENTO!$AF$7)/$H42*OFFSET(ORÇAMENTO!$X$15,ROW(BA42)-ROW(BA$15),0),
              ROUND(ROUND(OFFSET($P42,0,BA$13),15-13*ORÇAMENTO!$AF$7)*OFFSET(ORÇAMENTO!$W$15,ROW(BA42)-ROW(BA$15),0),15-13*ORÇAMENTO!$AF$11)),
         0)</f>
        <v>0</v>
      </c>
      <c r="BB42" s="453">
        <f ca="1">IF(AND($D42="Serviço",BB$12&lt;&gt;0,$H42&gt;0,OR(AUTOEVENTO&lt;&gt;"manual",$M42&lt;&gt;$A$15)),
        IF(Import.TipoArredondamento&lt;&gt;"TransfereGOV",
              ROUND(OFFSET($P42,0,BB$13),15-13*ORÇAMENTO!$AF$7)/$H42*OFFSET(ORÇAMENTO!$X$15,ROW(BB42)-ROW(BB$15),0),
              ROUND(ROUND(OFFSET($P42,0,BB$13),15-13*ORÇAMENTO!$AF$7)*OFFSET(ORÇAMENTO!$W$15,ROW(BB42)-ROW(BB$15),0),15-13*ORÇAMENTO!$AF$11)),
         0)</f>
        <v>0</v>
      </c>
      <c r="BC42" s="453">
        <f ca="1">IF(AND($D42="Serviço",BC$12&lt;&gt;0,$H42&gt;0,OR(AUTOEVENTO&lt;&gt;"manual",$M42&lt;&gt;$A$15)),
        IF(Import.TipoArredondamento&lt;&gt;"TransfereGOV",
              ROUND(OFFSET($P42,0,BC$13),15-13*ORÇAMENTO!$AF$7)/$H42*OFFSET(ORÇAMENTO!$X$15,ROW(BC42)-ROW(BC$15),0),
              ROUND(ROUND(OFFSET($P42,0,BC$13),15-13*ORÇAMENTO!$AF$7)*OFFSET(ORÇAMENTO!$W$15,ROW(BC42)-ROW(BC$15),0),15-13*ORÇAMENTO!$AF$11)),
         0)</f>
        <v>0</v>
      </c>
      <c r="BD42" s="453">
        <f ca="1">IF(AND($D42="Serviço",BD$12&lt;&gt;0,$H42&gt;0,OR(AUTOEVENTO&lt;&gt;"manual",$M42&lt;&gt;$A$15)),
        IF(Import.TipoArredondamento&lt;&gt;"TransfereGOV",
              ROUND(OFFSET($P42,0,BD$13),15-13*ORÇAMENTO!$AF$7)/$H42*OFFSET(ORÇAMENTO!$X$15,ROW(BD42)-ROW(BD$15),0),
              ROUND(ROUND(OFFSET($P42,0,BD$13),15-13*ORÇAMENTO!$AF$7)*OFFSET(ORÇAMENTO!$W$15,ROW(BD42)-ROW(BD$15),0),15-13*ORÇAMENTO!$AF$11)),
         0)</f>
        <v>0</v>
      </c>
      <c r="BE42" s="453">
        <f ca="1">IF(AND($D42="Serviço",BE$12&lt;&gt;0,$H42&gt;0,OR(AUTOEVENTO&lt;&gt;"manual",$M42&lt;&gt;$A$15)),
        IF(Import.TipoArredondamento&lt;&gt;"TransfereGOV",
              ROUND(OFFSET($P42,0,BE$13),15-13*ORÇAMENTO!$AF$7)/$H42*OFFSET(ORÇAMENTO!$X$15,ROW(BE42)-ROW(BE$15),0),
              ROUND(ROUND(OFFSET($P42,0,BE$13),15-13*ORÇAMENTO!$AF$7)*OFFSET(ORÇAMENTO!$W$15,ROW(BE42)-ROW(BE$15),0),15-13*ORÇAMENTO!$AF$11)),
         0)</f>
        <v>0</v>
      </c>
      <c r="BF42" s="453">
        <f ca="1">IF(AND($D42="Serviço",BF$12&lt;&gt;0,$H42&gt;0,OR(AUTOEVENTO&lt;&gt;"manual",$M42&lt;&gt;$A$15)),
        IF(Import.TipoArredondamento&lt;&gt;"TransfereGOV",
              ROUND(OFFSET($P42,0,BF$13),15-13*ORÇAMENTO!$AF$7)/$H42*OFFSET(ORÇAMENTO!$X$15,ROW(BF42)-ROW(BF$15),0),
              ROUND(ROUND(OFFSET($P42,0,BF$13),15-13*ORÇAMENTO!$AF$7)*OFFSET(ORÇAMENTO!$W$15,ROW(BF42)-ROW(BF$15),0),15-13*ORÇAMENTO!$AF$11)),
         0)</f>
        <v>0</v>
      </c>
      <c r="BG42" s="453">
        <f ca="1">IF(AND($D42="Serviço",BG$12&lt;&gt;0,$H42&gt;0,OR(AUTOEVENTO&lt;&gt;"manual",$M42&lt;&gt;$A$15)),
        IF(Import.TipoArredondamento&lt;&gt;"TransfereGOV",
              ROUND(OFFSET($P42,0,BG$13),15-13*ORÇAMENTO!$AF$7)/$H42*OFFSET(ORÇAMENTO!$X$15,ROW(BG42)-ROW(BG$15),0),
              ROUND(ROUND(OFFSET($P42,0,BG$13),15-13*ORÇAMENTO!$AF$7)*OFFSET(ORÇAMENTO!$W$15,ROW(BG42)-ROW(BG$15),0),15-13*ORÇAMENTO!$AF$11)),
         0)</f>
        <v>0</v>
      </c>
      <c r="BH42" s="453">
        <f ca="1">IF(AND($D42="Serviço",BH$12&lt;&gt;0,$H42&gt;0,OR(AUTOEVENTO&lt;&gt;"manual",$M42&lt;&gt;$A$15)),
        IF(Import.TipoArredondamento&lt;&gt;"TransfereGOV",
              ROUND(OFFSET($P42,0,BH$13),15-13*ORÇAMENTO!$AF$7)/$H42*OFFSET(ORÇAMENTO!$X$15,ROW(BH42)-ROW(BH$15),0),
              ROUND(ROUND(OFFSET($P42,0,BH$13),15-13*ORÇAMENTO!$AF$7)*OFFSET(ORÇAMENTO!$W$15,ROW(BH42)-ROW(BH$15),0),15-13*ORÇAMENTO!$AF$11)),
         0)</f>
        <v>0</v>
      </c>
      <c r="BI42" s="453">
        <f ca="1">IF(AND($D42="Serviço",BI$12&lt;&gt;0,$H42&gt;0,OR(AUTOEVENTO&lt;&gt;"manual",$M42&lt;&gt;$A$15)),
        IF(Import.TipoArredondamento&lt;&gt;"TransfereGOV",
              ROUND(OFFSET($P42,0,BI$13),15-13*ORÇAMENTO!$AF$7)/$H42*OFFSET(ORÇAMENTO!$X$15,ROW(BI42)-ROW(BI$15),0),
              ROUND(ROUND(OFFSET($P42,0,BI$13),15-13*ORÇAMENTO!$AF$7)*OFFSET(ORÇAMENTO!$W$15,ROW(BI42)-ROW(BI$15),0),15-13*ORÇAMENTO!$AF$11)),
         0)</f>
        <v>0</v>
      </c>
      <c r="BJ42" s="453">
        <f ca="1">IF(AND($D42="Serviço",BJ$12&lt;&gt;0,$H42&gt;0,OR(AUTOEVENTO&lt;&gt;"manual",$M42&lt;&gt;$A$15)),
        IF(Import.TipoArredondamento&lt;&gt;"TransfereGOV",
              ROUND(OFFSET($P42,0,BJ$13),15-13*ORÇAMENTO!$AF$7)/$H42*OFFSET(ORÇAMENTO!$X$15,ROW(BJ42)-ROW(BJ$15),0),
              ROUND(ROUND(OFFSET($P42,0,BJ$13),15-13*ORÇAMENTO!$AF$7)*OFFSET(ORÇAMENTO!$W$15,ROW(BJ42)-ROW(BJ$15),0),15-13*ORÇAMENTO!$AF$11)),
         0)</f>
        <v>0</v>
      </c>
      <c r="BK42" s="453">
        <f ca="1">IF(AND($D42="Serviço",BK$12&lt;&gt;0,$H42&gt;0,OR(AUTOEVENTO&lt;&gt;"manual",$M42&lt;&gt;$A$15)),
        IF(Import.TipoArredondamento&lt;&gt;"TransfereGOV",
              ROUND(OFFSET($P42,0,BK$13),15-13*ORÇAMENTO!$AF$7)/$H42*OFFSET(ORÇAMENTO!$X$15,ROW(BK42)-ROW(BK$15),0),
              ROUND(ROUND(OFFSET($P42,0,BK$13),15-13*ORÇAMENTO!$AF$7)*OFFSET(ORÇAMENTO!$W$15,ROW(BK42)-ROW(BK$15),0),15-13*ORÇAMENTO!$AF$11)),
         0)</f>
        <v>0</v>
      </c>
      <c r="BL42" s="453">
        <f ca="1">IF(AND($D42="Serviço",BL$12&lt;&gt;0,$H42&gt;0,OR(AUTOEVENTO&lt;&gt;"manual",$M42&lt;&gt;$A$15)),
        IF(Import.TipoArredondamento&lt;&gt;"TransfereGOV",
              ROUND(OFFSET($P42,0,BL$13),15-13*ORÇAMENTO!$AF$7)/$H42*OFFSET(ORÇAMENTO!$X$15,ROW(BL42)-ROW(BL$15),0),
              ROUND(ROUND(OFFSET($P42,0,BL$13),15-13*ORÇAMENTO!$AF$7)*OFFSET(ORÇAMENTO!$W$15,ROW(BL42)-ROW(BL$15),0),15-13*ORÇAMENTO!$AF$11)),
         0)</f>
        <v>0</v>
      </c>
      <c r="BM42" s="453">
        <f ca="1">IF(AND($D42="Serviço",BM$12&lt;&gt;0,$H42&gt;0,OR(AUTOEVENTO&lt;&gt;"manual",$M42&lt;&gt;$A$15)),
        IF(Import.TipoArredondamento&lt;&gt;"TransfereGOV",
              ROUND(OFFSET($P42,0,BM$13),15-13*ORÇAMENTO!$AF$7)/$H42*OFFSET(ORÇAMENTO!$X$15,ROW(BM42)-ROW(BM$15),0),
              ROUND(ROUND(OFFSET($P42,0,BM$13),15-13*ORÇAMENTO!$AF$7)*OFFSET(ORÇAMENTO!$W$15,ROW(BM42)-ROW(BM$15),0),15-13*ORÇAMENTO!$AF$11)),
         0)</f>
        <v>0</v>
      </c>
      <c r="BN42" s="453">
        <f ca="1">IF(AND($D42="Serviço",BN$12&lt;&gt;0,$H42&gt;0,OR(AUTOEVENTO&lt;&gt;"manual",$M42&lt;&gt;$A$15)),
        IF(Import.TipoArredondamento&lt;&gt;"TransfereGOV",
              ROUND(OFFSET($P42,0,BN$13),15-13*ORÇAMENTO!$AF$7)/$H42*OFFSET(ORÇAMENTO!$X$15,ROW(BN42)-ROW(BN$15),0),
              ROUND(ROUND(OFFSET($P42,0,BN$13),15-13*ORÇAMENTO!$AF$7)*OFFSET(ORÇAMENTO!$W$15,ROW(BN42)-ROW(BN$15),0),15-13*ORÇAMENTO!$AF$11)),
         0)</f>
        <v>0</v>
      </c>
      <c r="BO42" s="453">
        <f ca="1">IF(AND($D42="Serviço",BO$12&lt;&gt;0,$H42&gt;0,OR(AUTOEVENTO&lt;&gt;"manual",$M42&lt;&gt;$A$15)),
        IF(Import.TipoArredondamento&lt;&gt;"TransfereGOV",
              ROUND(OFFSET($P42,0,BO$13),15-13*ORÇAMENTO!$AF$7)/$H42*OFFSET(ORÇAMENTO!$X$15,ROW(BO42)-ROW(BO$15),0),
              ROUND(ROUND(OFFSET($P42,0,BO$13),15-13*ORÇAMENTO!$AF$7)*OFFSET(ORÇAMENTO!$W$15,ROW(BO42)-ROW(BO$15),0),15-13*ORÇAMENTO!$AF$11)),
         0)</f>
        <v>0</v>
      </c>
      <c r="BP42" s="453">
        <f ca="1">IF(AND($D42="Serviço",BP$12&lt;&gt;0,$H42&gt;0,OR(AUTOEVENTO&lt;&gt;"manual",$M42&lt;&gt;$A$15)),
        IF(Import.TipoArredondamento&lt;&gt;"TransfereGOV",
              ROUND(OFFSET($P42,0,BP$13),15-13*ORÇAMENTO!$AF$7)/$H42*OFFSET(ORÇAMENTO!$X$15,ROW(BP42)-ROW(BP$15),0),
              ROUND(ROUND(OFFSET($P42,0,BP$13),15-13*ORÇAMENTO!$AF$7)*OFFSET(ORÇAMENTO!$W$15,ROW(BP42)-ROW(BP$15),0),15-13*ORÇAMENTO!$AF$11)),
         0)</f>
        <v>0</v>
      </c>
      <c r="BQ42" s="453">
        <f ca="1">IF(AND($D42="Serviço",BQ$12&lt;&gt;0,$H42&gt;0,OR(AUTOEVENTO&lt;&gt;"manual",$M42&lt;&gt;$A$15)),
        IF(Import.TipoArredondamento&lt;&gt;"TransfereGOV",
              ROUND(OFFSET($P42,0,BQ$13),15-13*ORÇAMENTO!$AF$7)/$H42*OFFSET(ORÇAMENTO!$X$15,ROW(BQ42)-ROW(BQ$15),0),
              ROUND(ROUND(OFFSET($P42,0,BQ$13),15-13*ORÇAMENTO!$AF$7)*OFFSET(ORÇAMENTO!$W$15,ROW(BQ42)-ROW(BQ$15),0),15-13*ORÇAMENTO!$AF$11)),
         0)</f>
        <v>0</v>
      </c>
      <c r="BS42" s="171">
        <f ca="1">IF(OR($D42&lt;&gt;"Serviço",AND(AUTOEVENTO="Manual",$M42=$A$15)),0,
         IF(OFFSET(CRONOPLE!$F$15,$M42-$A$15,BS$13)=0,10^12,OFFSET(CRONOPLE!$F$15,$M42-$A$15,BS$13)))</f>
        <v>1</v>
      </c>
      <c r="BT42" s="171">
        <f ca="1">IF(OR($D42&lt;&gt;"Serviço",AND(AUTOEVENTO="Manual",$M42=$A$15)),0,
         IF(OFFSET(CRONOPLE!$F$15,$M42-$A$15,BT$13)=0,10^12,OFFSET(CRONOPLE!$F$15,$M42-$A$15,BT$13)))</f>
        <v>2</v>
      </c>
      <c r="BU42" s="171">
        <f ca="1">IF(OR($D42&lt;&gt;"Serviço",AND(AUTOEVENTO="Manual",$M42=$A$15)),0,
         IF(OFFSET(CRONOPLE!$F$15,$M42-$A$15,BU$13)=0,10^12,OFFSET(CRONOPLE!$F$15,$M42-$A$15,BU$13)))</f>
        <v>3</v>
      </c>
      <c r="BV42" s="171">
        <f ca="1">IF(OR($D42&lt;&gt;"Serviço",AND(AUTOEVENTO="Manual",$M42=$A$15)),0,
         IF(OFFSET(CRONOPLE!$F$15,$M42-$A$15,BV$13)=0,10^12,OFFSET(CRONOPLE!$F$15,$M42-$A$15,BV$13)))</f>
        <v>4</v>
      </c>
      <c r="BW42" s="171">
        <f ca="1">IF(OR($D42&lt;&gt;"Serviço",AND(AUTOEVENTO="Manual",$M42=$A$15)),0,
         IF(OFFSET(CRONOPLE!$F$15,$M42-$A$15,BW$13)=0,10^12,OFFSET(CRONOPLE!$F$15,$M42-$A$15,BW$13)))</f>
        <v>5</v>
      </c>
      <c r="BX42" s="171">
        <f ca="1">IF(OR($D42&lt;&gt;"Serviço",AND(AUTOEVENTO="Manual",$M42=$A$15)),0,
         IF(OFFSET(CRONOPLE!$F$15,$M42-$A$15,BX$13)=0,10^12,OFFSET(CRONOPLE!$F$15,$M42-$A$15,BX$13)))</f>
        <v>6</v>
      </c>
      <c r="BY42" s="171">
        <f ca="1">IF(OR($D42&lt;&gt;"Serviço",AND(AUTOEVENTO="Manual",$M42=$A$15)),0,
         IF(OFFSET(CRONOPLE!$F$15,$M42-$A$15,BY$13)=0,10^12,OFFSET(CRONOPLE!$F$15,$M42-$A$15,BY$13)))</f>
        <v>7</v>
      </c>
      <c r="BZ42" s="171">
        <f ca="1">IF(OR($D42&lt;&gt;"Serviço",AND(AUTOEVENTO="Manual",$M42=$A$15)),0,
         IF(OFFSET(CRONOPLE!$F$15,$M42-$A$15,BZ$13)=0,10^12,OFFSET(CRONOPLE!$F$15,$M42-$A$15,BZ$13)))</f>
        <v>8</v>
      </c>
      <c r="CA42" s="171">
        <f ca="1">IF(OR($D42&lt;&gt;"Serviço",AND(AUTOEVENTO="Manual",$M42=$A$15)),0,
         IF(OFFSET(CRONOPLE!$F$15,$M42-$A$15,CA$13)=0,10^12,OFFSET(CRONOPLE!$F$15,$M42-$A$15,CA$13)))</f>
        <v>9</v>
      </c>
      <c r="CB42" s="171">
        <f ca="1">IF(OR($D42&lt;&gt;"Serviço",AND(AUTOEVENTO="Manual",$M42=$A$15)),0,
         IF(OFFSET(CRONOPLE!$F$15,$M42-$A$15,CB$13)=0,10^12,OFFSET(CRONOPLE!$F$15,$M42-$A$15,CB$13)))</f>
        <v>10</v>
      </c>
      <c r="CC42" s="171">
        <f ca="1">IF(OR($D42&lt;&gt;"Serviço",AND(AUTOEVENTO="Manual",$M42=$A$15)),0,
         IF(OFFSET(CRONOPLE!$F$15,$M42-$A$15,CC$13)=0,10^12,OFFSET(CRONOPLE!$F$15,$M42-$A$15,CC$13)))</f>
        <v>11</v>
      </c>
      <c r="CD42" s="171">
        <f ca="1">IF(OR($D42&lt;&gt;"Serviço",AND(AUTOEVENTO="Manual",$M42=$A$15)),0,
         IF(OFFSET(CRONOPLE!$F$15,$M42-$A$15,CD$13)=0,10^12,OFFSET(CRONOPLE!$F$15,$M42-$A$15,CD$13)))</f>
        <v>12</v>
      </c>
      <c r="CE42" s="171">
        <f ca="1">IF(OR($D42&lt;&gt;"Serviço",AND(AUTOEVENTO="Manual",$M42=$A$15)),0,
         IF(OFFSET(CRONOPLE!$F$15,$M42-$A$15,CE$13)=0,10^12,OFFSET(CRONOPLE!$F$15,$M42-$A$15,CE$13)))</f>
        <v>13</v>
      </c>
      <c r="CF42" s="171">
        <f ca="1">IF(OR($D42&lt;&gt;"Serviço",AND(AUTOEVENTO="Manual",$M42=$A$15)),0,
         IF(OFFSET(CRONOPLE!$F$15,$M42-$A$15,CF$13)=0,10^12,OFFSET(CRONOPLE!$F$15,$M42-$A$15,CF$13)))</f>
        <v>14</v>
      </c>
      <c r="CG42" s="171">
        <f ca="1">IF(OR($D42&lt;&gt;"Serviço",AND(AUTOEVENTO="Manual",$M42=$A$15)),0,
         IF(OFFSET(CRONOPLE!$F$15,$M42-$A$15,CG$13)=0,10^12,OFFSET(CRONOPLE!$F$15,$M42-$A$15,CG$13)))</f>
        <v>15</v>
      </c>
      <c r="CH42" s="171">
        <f ca="1">IF(OR($D42&lt;&gt;"Serviço",AND(AUTOEVENTO="Manual",$M42=$A$15)),0,
         IF(OFFSET(CRONOPLE!$F$15,$M42-$A$15,CH$13)=0,10^12,OFFSET(CRONOPLE!$F$15,$M42-$A$15,CH$13)))</f>
        <v>16</v>
      </c>
      <c r="CI42" s="171">
        <f ca="1">IF(OR($D42&lt;&gt;"Serviço",AND(AUTOEVENTO="Manual",$M42=$A$15)),0,
         IF(OFFSET(CRONOPLE!$F$15,$M42-$A$15,CI$13)=0,10^12,OFFSET(CRONOPLE!$F$15,$M42-$A$15,CI$13)))</f>
        <v>17</v>
      </c>
      <c r="CJ42" s="171">
        <f ca="1">IF(OR($D42&lt;&gt;"Serviço",AND(AUTOEVENTO="Manual",$M42=$A$15)),0,
         IF(OFFSET(CRONOPLE!$F$15,$M42-$A$15,CJ$13)=0,10^12,OFFSET(CRONOPLE!$F$15,$M42-$A$15,CJ$13)))</f>
        <v>18</v>
      </c>
      <c r="CK42" s="171">
        <f ca="1">IF(OR($D42&lt;&gt;"Serviço",AND(AUTOEVENTO="Manual",$M42=$A$15)),0,
         IF(OFFSET(CRONOPLE!$F$15,$M42-$A$15,CK$13)=0,10^12,OFFSET(CRONOPLE!$F$15,$M42-$A$15,CK$13)))</f>
        <v>19</v>
      </c>
      <c r="CL42" s="171">
        <f ca="1">IF(OR($D42&lt;&gt;"Serviço",AND(AUTOEVENTO="Manual",$M42=$A$15)),0,
         IF(OFFSET(CRONOPLE!$F$15,$M42-$A$15,CL$13)=0,10^12,OFFSET(CRONOPLE!$F$15,$M42-$A$15,CL$13)))</f>
        <v>20</v>
      </c>
      <c r="CM42" s="171">
        <f ca="1">IF(OR($D42&lt;&gt;"Serviço",AND(AUTOEVENTO="Manual",$M42=$A$15)),0,
         IF(OFFSET(CRONOPLE!$F$15,$M42-$A$15,CM$13)=0,10^12,OFFSET(CRONOPLE!$F$15,$M42-$A$15,CM$13)))</f>
        <v>1000000000000</v>
      </c>
      <c r="CN42" s="171">
        <f ca="1">IF(OR($D42&lt;&gt;"Serviço",AND(AUTOEVENTO="Manual",$M42=$A$15)),0,
         IF(OFFSET(CRONOPLE!$F$15,$M42-$A$15,CN$13)=0,10^12,OFFSET(CRONOPLE!$F$15,$M42-$A$15,CN$13)))</f>
        <v>1000000000000</v>
      </c>
      <c r="CO42" s="171">
        <f ca="1">IF(OR($D42&lt;&gt;"Serviço",AND(AUTOEVENTO="Manual",$M42=$A$15)),0,
         IF(OFFSET(CRONOPLE!$F$15,$M42-$A$15,CO$13)=0,10^12,OFFSET(CRONOPLE!$F$15,$M42-$A$15,CO$13)))</f>
        <v>1000000000000</v>
      </c>
      <c r="CP42" s="171">
        <f ca="1">IF(OR($D42&lt;&gt;"Serviço",AND(AUTOEVENTO="Manual",$M42=$A$15)),0,
         IF(OFFSET(CRONOPLE!$F$15,$M42-$A$15,CP$13)=0,10^12,OFFSET(CRONOPLE!$F$15,$M42-$A$15,CP$13)))</f>
        <v>1000000000000</v>
      </c>
      <c r="CQ42" s="171">
        <f ca="1">IF(OR($D42&lt;&gt;"Serviço",AND(AUTOEVENTO="Manual",$M42=$A$15)),0,
         IF(OFFSET(CRONOPLE!$F$15,$M42-$A$15,CQ$13)=0,10^12,OFFSET(CRONOPLE!$F$15,$M42-$A$15,CQ$13)))</f>
        <v>1000000000000</v>
      </c>
      <c r="CR42" s="171">
        <f ca="1">IF(OR($D42&lt;&gt;"Serviço",AND(AUTOEVENTO="Manual",$M42=$A$15)),0,
         IF(OFFSET(CRONOPLE!$F$15,$M42-$A$15,CR$13)=0,10^12,OFFSET(CRONOPLE!$F$15,$M42-$A$15,CR$13)))</f>
        <v>1000000000000</v>
      </c>
      <c r="CT42" s="172" cm="1">
        <f t="array" aca="1" ref="CT42" ca="1">IF(OR($D42&lt;&gt;"Serviço",AND(AUTOEVENTO="Manual",$M42=$A$15),$M42&gt;(ROW(PLE.lastrow)-ROW(PLE.firstrow))),0,
           IF(OFFSET(PLE!$G$15,$M42-$A$15,CT$13)="",10^12,OFFSET(PLE!$G$15,$M42-$A$15,CT$13)))</f>
        <v>1000000000000</v>
      </c>
      <c r="CU42" s="172" cm="1">
        <f t="array" aca="1" ref="CU42" ca="1">IF(OR($D42&lt;&gt;"Serviço",AND(AUTOEVENTO="Manual",$M42=$A$15),$M42&gt;(ROW(PLE.lastrow)-ROW(PLE.firstrow))),0,
           IF(OFFSET(PLE!$G$15,$M42-$A$15,CU$13)="",10^12,OFFSET(PLE!$G$15,$M42-$A$15,CU$13)))</f>
        <v>1000000000000</v>
      </c>
      <c r="CV42" s="172" cm="1">
        <f t="array" aca="1" ref="CV42" ca="1">IF(OR($D42&lt;&gt;"Serviço",AND(AUTOEVENTO="Manual",$M42=$A$15),$M42&gt;(ROW(PLE.lastrow)-ROW(PLE.firstrow))),0,
           IF(OFFSET(PLE!$G$15,$M42-$A$15,CV$13)="",10^12,OFFSET(PLE!$G$15,$M42-$A$15,CV$13)))</f>
        <v>1000000000000</v>
      </c>
      <c r="CW42" s="172" cm="1">
        <f t="array" aca="1" ref="CW42" ca="1">IF(OR($D42&lt;&gt;"Serviço",AND(AUTOEVENTO="Manual",$M42=$A$15),$M42&gt;(ROW(PLE.lastrow)-ROW(PLE.firstrow))),0,
           IF(OFFSET(PLE!$G$15,$M42-$A$15,CW$13)="",10^12,OFFSET(PLE!$G$15,$M42-$A$15,CW$13)))</f>
        <v>1000000000000</v>
      </c>
      <c r="CX42" s="172" cm="1">
        <f t="array" aca="1" ref="CX42" ca="1">IF(OR($D42&lt;&gt;"Serviço",AND(AUTOEVENTO="Manual",$M42=$A$15),$M42&gt;(ROW(PLE.lastrow)-ROW(PLE.firstrow))),0,
           IF(OFFSET(PLE!$G$15,$M42-$A$15,CX$13)="",10^12,OFFSET(PLE!$G$15,$M42-$A$15,CX$13)))</f>
        <v>1000000000000</v>
      </c>
      <c r="CY42" s="172" cm="1">
        <f t="array" aca="1" ref="CY42" ca="1">IF(OR($D42&lt;&gt;"Serviço",AND(AUTOEVENTO="Manual",$M42=$A$15),$M42&gt;(ROW(PLE.lastrow)-ROW(PLE.firstrow))),0,
           IF(OFFSET(PLE!$G$15,$M42-$A$15,CY$13)="",10^12,OFFSET(PLE!$G$15,$M42-$A$15,CY$13)))</f>
        <v>1000000000000</v>
      </c>
      <c r="CZ42" s="172" cm="1">
        <f t="array" aca="1" ref="CZ42" ca="1">IF(OR($D42&lt;&gt;"Serviço",AND(AUTOEVENTO="Manual",$M42=$A$15),$M42&gt;(ROW(PLE.lastrow)-ROW(PLE.firstrow))),0,
           IF(OFFSET(PLE!$G$15,$M42-$A$15,CZ$13)="",10^12,OFFSET(PLE!$G$15,$M42-$A$15,CZ$13)))</f>
        <v>1000000000000</v>
      </c>
      <c r="DA42" s="172" cm="1">
        <f t="array" aca="1" ref="DA42" ca="1">IF(OR($D42&lt;&gt;"Serviço",AND(AUTOEVENTO="Manual",$M42=$A$15),$M42&gt;(ROW(PLE.lastrow)-ROW(PLE.firstrow))),0,
           IF(OFFSET(PLE!$G$15,$M42-$A$15,DA$13)="",10^12,OFFSET(PLE!$G$15,$M42-$A$15,DA$13)))</f>
        <v>1000000000000</v>
      </c>
      <c r="DB42" s="172" cm="1">
        <f t="array" aca="1" ref="DB42" ca="1">IF(OR($D42&lt;&gt;"Serviço",AND(AUTOEVENTO="Manual",$M42=$A$15),$M42&gt;(ROW(PLE.lastrow)-ROW(PLE.firstrow))),0,
           IF(OFFSET(PLE!$G$15,$M42-$A$15,DB$13)="",10^12,OFFSET(PLE!$G$15,$M42-$A$15,DB$13)))</f>
        <v>1000000000000</v>
      </c>
      <c r="DC42" s="172" cm="1">
        <f t="array" aca="1" ref="DC42" ca="1">IF(OR($D42&lt;&gt;"Serviço",AND(AUTOEVENTO="Manual",$M42=$A$15),$M42&gt;(ROW(PLE.lastrow)-ROW(PLE.firstrow))),0,
           IF(OFFSET(PLE!$G$15,$M42-$A$15,DC$13)="",10^12,OFFSET(PLE!$G$15,$M42-$A$15,DC$13)))</f>
        <v>1000000000000</v>
      </c>
      <c r="DD42" s="172" cm="1">
        <f t="array" aca="1" ref="DD42" ca="1">IF(OR($D42&lt;&gt;"Serviço",AND(AUTOEVENTO="Manual",$M42=$A$15),$M42&gt;(ROW(PLE.lastrow)-ROW(PLE.firstrow))),0,
           IF(OFFSET(PLE!$G$15,$M42-$A$15,DD$13)="",10^12,OFFSET(PLE!$G$15,$M42-$A$15,DD$13)))</f>
        <v>1000000000000</v>
      </c>
      <c r="DE42" s="172" cm="1">
        <f t="array" aca="1" ref="DE42" ca="1">IF(OR($D42&lt;&gt;"Serviço",AND(AUTOEVENTO="Manual",$M42=$A$15),$M42&gt;(ROW(PLE.lastrow)-ROW(PLE.firstrow))),0,
           IF(OFFSET(PLE!$G$15,$M42-$A$15,DE$13)="",10^12,OFFSET(PLE!$G$15,$M42-$A$15,DE$13)))</f>
        <v>1000000000000</v>
      </c>
      <c r="DF42" s="172" cm="1">
        <f t="array" aca="1" ref="DF42" ca="1">IF(OR($D42&lt;&gt;"Serviço",AND(AUTOEVENTO="Manual",$M42=$A$15),$M42&gt;(ROW(PLE.lastrow)-ROW(PLE.firstrow))),0,
           IF(OFFSET(PLE!$G$15,$M42-$A$15,DF$13)="",10^12,OFFSET(PLE!$G$15,$M42-$A$15,DF$13)))</f>
        <v>1000000000000</v>
      </c>
      <c r="DG42" s="172" cm="1">
        <f t="array" aca="1" ref="DG42" ca="1">IF(OR($D42&lt;&gt;"Serviço",AND(AUTOEVENTO="Manual",$M42=$A$15),$M42&gt;(ROW(PLE.lastrow)-ROW(PLE.firstrow))),0,
           IF(OFFSET(PLE!$G$15,$M42-$A$15,DG$13)="",10^12,OFFSET(PLE!$G$15,$M42-$A$15,DG$13)))</f>
        <v>1000000000000</v>
      </c>
      <c r="DH42" s="172" cm="1">
        <f t="array" aca="1" ref="DH42" ca="1">IF(OR($D42&lt;&gt;"Serviço",AND(AUTOEVENTO="Manual",$M42=$A$15),$M42&gt;(ROW(PLE.lastrow)-ROW(PLE.firstrow))),0,
           IF(OFFSET(PLE!$G$15,$M42-$A$15,DH$13)="",10^12,OFFSET(PLE!$G$15,$M42-$A$15,DH$13)))</f>
        <v>1000000000000</v>
      </c>
      <c r="DI42" s="172" cm="1">
        <f t="array" aca="1" ref="DI42" ca="1">IF(OR($D42&lt;&gt;"Serviço",AND(AUTOEVENTO="Manual",$M42=$A$15),$M42&gt;(ROW(PLE.lastrow)-ROW(PLE.firstrow))),0,
           IF(OFFSET(PLE!$G$15,$M42-$A$15,DI$13)="",10^12,OFFSET(PLE!$G$15,$M42-$A$15,DI$13)))</f>
        <v>1000000000000</v>
      </c>
      <c r="DJ42" s="172" cm="1">
        <f t="array" aca="1" ref="DJ42" ca="1">IF(OR($D42&lt;&gt;"Serviço",AND(AUTOEVENTO="Manual",$M42=$A$15),$M42&gt;(ROW(PLE.lastrow)-ROW(PLE.firstrow))),0,
           IF(OFFSET(PLE!$G$15,$M42-$A$15,DJ$13)="",10^12,OFFSET(PLE!$G$15,$M42-$A$15,DJ$13)))</f>
        <v>1000000000000</v>
      </c>
      <c r="DK42" s="172" cm="1">
        <f t="array" aca="1" ref="DK42" ca="1">IF(OR($D42&lt;&gt;"Serviço",AND(AUTOEVENTO="Manual",$M42=$A$15),$M42&gt;(ROW(PLE.lastrow)-ROW(PLE.firstrow))),0,
           IF(OFFSET(PLE!$G$15,$M42-$A$15,DK$13)="",10^12,OFFSET(PLE!$G$15,$M42-$A$15,DK$13)))</f>
        <v>1000000000000</v>
      </c>
      <c r="DL42" s="172" cm="1">
        <f t="array" aca="1" ref="DL42" ca="1">IF(OR($D42&lt;&gt;"Serviço",AND(AUTOEVENTO="Manual",$M42=$A$15),$M42&gt;(ROW(PLE.lastrow)-ROW(PLE.firstrow))),0,
           IF(OFFSET(PLE!$G$15,$M42-$A$15,DL$13)="",10^12,OFFSET(PLE!$G$15,$M42-$A$15,DL$13)))</f>
        <v>1000000000000</v>
      </c>
      <c r="DM42" s="172" cm="1">
        <f t="array" aca="1" ref="DM42" ca="1">IF(OR($D42&lt;&gt;"Serviço",AND(AUTOEVENTO="Manual",$M42=$A$15),$M42&gt;(ROW(PLE.lastrow)-ROW(PLE.firstrow))),0,
           IF(OFFSET(PLE!$G$15,$M42-$A$15,DM$13)="",10^12,OFFSET(PLE!$G$15,$M42-$A$15,DM$13)))</f>
        <v>1000000000000</v>
      </c>
      <c r="DN42" s="172" cm="1">
        <f t="array" aca="1" ref="DN42" ca="1">IF(OR($D42&lt;&gt;"Serviço",AND(AUTOEVENTO="Manual",$M42=$A$15),$M42&gt;(ROW(PLE.lastrow)-ROW(PLE.firstrow))),0,
           IF(OFFSET(PLE!$G$15,$M42-$A$15,DN$13)="",10^12,OFFSET(PLE!$G$15,$M42-$A$15,DN$13)))</f>
        <v>1000000000000</v>
      </c>
      <c r="DO42" s="172" cm="1">
        <f t="array" aca="1" ref="DO42" ca="1">IF(OR($D42&lt;&gt;"Serviço",AND(AUTOEVENTO="Manual",$M42=$A$15),$M42&gt;(ROW(PLE.lastrow)-ROW(PLE.firstrow))),0,
           IF(OFFSET(PLE!$G$15,$M42-$A$15,DO$13)="",10^12,OFFSET(PLE!$G$15,$M42-$A$15,DO$13)))</f>
        <v>1000000000000</v>
      </c>
      <c r="DP42" s="172" cm="1">
        <f t="array" aca="1" ref="DP42" ca="1">IF(OR($D42&lt;&gt;"Serviço",AND(AUTOEVENTO="Manual",$M42=$A$15),$M42&gt;(ROW(PLE.lastrow)-ROW(PLE.firstrow))),0,
           IF(OFFSET(PLE!$G$15,$M42-$A$15,DP$13)="",10^12,OFFSET(PLE!$G$15,$M42-$A$15,DP$13)))</f>
        <v>1000000000000</v>
      </c>
      <c r="DQ42" s="172" cm="1">
        <f t="array" aca="1" ref="DQ42" ca="1">IF(OR($D42&lt;&gt;"Serviço",AND(AUTOEVENTO="Manual",$M42=$A$15),$M42&gt;(ROW(PLE.lastrow)-ROW(PLE.firstrow))),0,
           IF(OFFSET(PLE!$G$15,$M42-$A$15,DQ$13)="",10^12,OFFSET(PLE!$G$15,$M42-$A$15,DQ$13)))</f>
        <v>1000000000000</v>
      </c>
      <c r="DR42" s="172" cm="1">
        <f t="array" aca="1" ref="DR42" ca="1">IF(OR($D42&lt;&gt;"Serviço",AND(AUTOEVENTO="Manual",$M42=$A$15),$M42&gt;(ROW(PLE.lastrow)-ROW(PLE.firstrow))),0,
           IF(OFFSET(PLE!$G$15,$M42-$A$15,DR$13)="",10^12,OFFSET(PLE!$G$15,$M42-$A$15,DR$13)))</f>
        <v>1000000000000</v>
      </c>
      <c r="DS42" s="172" cm="1">
        <f t="array" aca="1" ref="DS42" ca="1">IF(OR($D42&lt;&gt;"Serviço",AND(AUTOEVENTO="Manual",$M42=$A$15),$M42&gt;(ROW(PLE.lastrow)-ROW(PLE.firstrow))),0,
           IF(OFFSET(PLE!$G$15,$M42-$A$15,DS$13)="",10^12,OFFSET(PLE!$G$15,$M42-$A$15,DS$13)))</f>
        <v>1000000000000</v>
      </c>
    </row>
    <row r="43" spans="1:123" ht="38.25" x14ac:dyDescent="0.2">
      <c r="A43" s="7">
        <f t="shared" ca="1" si="11"/>
        <v>3</v>
      </c>
      <c r="B43" s="7" t="str">
        <f ca="1">OFFSET(ORÇAMENTO!C$15,$L43,0)</f>
        <v>S</v>
      </c>
      <c r="C43" s="7" t="str">
        <f ca="1">OFFSET(ORÇAMENTO!L$15,$L43,0)</f>
        <v/>
      </c>
      <c r="D43" s="116" t="str">
        <f ca="1">OFFSET(ORÇAMENTO!N$15,$L43,0)</f>
        <v>Serviço</v>
      </c>
      <c r="E43" s="117" t="str">
        <f ca="1">OFFSET(ORÇAMENTO!O$15,$L43,0)</f>
        <v>-</v>
      </c>
      <c r="F43" s="163" t="str">
        <f ca="1">OFFSET(ORÇAMENTO!R$15,$L43,0)</f>
        <v>(Código não identificado nas referências)</v>
      </c>
      <c r="G43" s="164" t="str">
        <f ca="1">IF($D43&lt;&gt;"Serviço","",OFFSET(ORÇAMENTO!S$15,$L43,0))</f>
        <v>-</v>
      </c>
      <c r="H43" s="122" cm="1">
        <f t="array" aca="1" ref="H43" ca="1">IF($D43&lt;&gt;"Serviço",0,IF(ACOMPANHAMENTO="BM",ROUND(OFFSET(ORÇAMENTO!AJ$15,$L43,0),15-13*ORÇAMENTO!$AF$7),IF(IFERROR(CÁLCULO.FrentesPreenchidas,0)=0,0,SUM(ROUND(OFFSET($P43,0,1,1,CÁLCULO.FrentesPreenchidas),15-13*ORÇAMENTO!$AF$7)))))</f>
        <v>38.199999999999989</v>
      </c>
      <c r="I43" s="468" t="s">
        <v>1235</v>
      </c>
      <c r="J43" s="651" t="str" cm="1">
        <f t="array" aca="1" ref="J43" ca="1">IF(OR(B43&lt;&gt;"S",CÁLCULO.FrentesPreenchidas=0),"",IF(AND(ACOMPANHAMENTO="PLE",AUTOEVENTO="Manual",OR(H43&gt;0,ORÇAMENTO!AC43="QUANT."),OR(K43="",M43=0,N43="")),"►E",IF(AND(ACOMPANHAMENTO="PLE",ORÇAMENTO!AC43="QUANT."),"►Q",IF(AND(ACOMPANHAMENTO="PLE",H43&lt;&gt;SUMPRODUCT(($Q$1:$AQ$1=1)*ROUND(Q43:AQ43,15))),"►S",IF(AND(COUNTIF($P$11:$AQ$11,"▼")=0,H43&gt;0,I43=""),"◄M","")))))</f>
        <v/>
      </c>
      <c r="K43" s="652" t="s">
        <v>1250</v>
      </c>
      <c r="L43" s="165">
        <f t="shared" ca="1" si="12"/>
        <v>28</v>
      </c>
      <c r="M43" s="166">
        <f ca="1">IF($D43&lt;&gt;"Serviço","",
          IF(AUTOEVENTO="manual",$A43,
                IF(ISERROR(MATCH($A43,$A$15:OFFSET($A43,-1,0),0)),MAX($M$15:OFFSET(M43,-1,0))+1,
                      INDEX($M$15:OFFSET(M43,-1,0),MATCH($A43,$A$15:OFFSET($A43,-1,0),0)))))</f>
        <v>3</v>
      </c>
      <c r="N43" s="167" t="str">
        <f ca="1">IF($D43&lt;&gt;"Serviço","",
         IF(AUTOEVENTO="Manual",
                IF($A43=0,"&lt;-- defina o número do agrupador",
                       OFFSET(EVENTOS!$D$15,$A43-$A$15,0)),
                OFFSET($F$15,$A43,0)))</f>
        <v>FUNDAÇÕES</v>
      </c>
      <c r="O43" s="168"/>
      <c r="Q43" s="168">
        <v>1.91</v>
      </c>
      <c r="R43" s="169">
        <v>1.91</v>
      </c>
      <c r="S43" s="169">
        <v>1.91</v>
      </c>
      <c r="T43" s="169">
        <v>1.91</v>
      </c>
      <c r="U43" s="169">
        <v>1.91</v>
      </c>
      <c r="V43" s="169">
        <v>1.91</v>
      </c>
      <c r="W43" s="169">
        <v>1.91</v>
      </c>
      <c r="X43" s="169">
        <v>1.91</v>
      </c>
      <c r="Y43" s="169">
        <v>1.91</v>
      </c>
      <c r="Z43" s="170">
        <v>1.91</v>
      </c>
      <c r="AA43" s="169">
        <v>1.91</v>
      </c>
      <c r="AB43" s="169">
        <v>1.91</v>
      </c>
      <c r="AC43" s="169">
        <v>1.91</v>
      </c>
      <c r="AD43" s="169">
        <v>1.91</v>
      </c>
      <c r="AE43" s="169">
        <v>1.91</v>
      </c>
      <c r="AF43" s="169">
        <v>1.91</v>
      </c>
      <c r="AG43" s="169">
        <v>1.91</v>
      </c>
      <c r="AH43" s="170">
        <v>1.91</v>
      </c>
      <c r="AI43" s="169">
        <v>1.91</v>
      </c>
      <c r="AJ43" s="169">
        <v>1.91</v>
      </c>
      <c r="AK43" s="169"/>
      <c r="AL43" s="169"/>
      <c r="AM43" s="169"/>
      <c r="AN43" s="169"/>
      <c r="AO43" s="169"/>
      <c r="AP43" s="170"/>
      <c r="AR43" s="453">
        <f ca="1">IF(AND($D43="Serviço",AR$12&lt;&gt;0,$H43&gt;0,OR(AUTOEVENTO&lt;&gt;"manual",$M43&lt;&gt;$A$15)),
        IF(Import.TipoArredondamento&lt;&gt;"TransfereGOV",
              ROUND(OFFSET($P43,0,AR$13),15-13*ORÇAMENTO!$AF$7)/$H43*OFFSET(ORÇAMENTO!$X$15,ROW(AR43)-ROW(AR$15),0),
              ROUND(ROUND(OFFSET($P43,0,AR$13),15-13*ORÇAMENTO!$AF$7)*OFFSET(ORÇAMENTO!$W$15,ROW(AR43)-ROW(AR$15),0),15-13*ORÇAMENTO!$AF$11)),
         0)</f>
        <v>0</v>
      </c>
      <c r="AS43" s="453">
        <f ca="1">IF(AND($D43="Serviço",AS$12&lt;&gt;0,$H43&gt;0,OR(AUTOEVENTO&lt;&gt;"manual",$M43&lt;&gt;$A$15)),
        IF(Import.TipoArredondamento&lt;&gt;"TransfereGOV",
              ROUND(OFFSET($P43,0,AS$13),15-13*ORÇAMENTO!$AF$7)/$H43*OFFSET(ORÇAMENTO!$X$15,ROW(AS43)-ROW(AS$15),0),
              ROUND(ROUND(OFFSET($P43,0,AS$13),15-13*ORÇAMENTO!$AF$7)*OFFSET(ORÇAMENTO!$W$15,ROW(AS43)-ROW(AS$15),0),15-13*ORÇAMENTO!$AF$11)),
         0)</f>
        <v>0</v>
      </c>
      <c r="AT43" s="453">
        <f ca="1">IF(AND($D43="Serviço",AT$12&lt;&gt;0,$H43&gt;0,OR(AUTOEVENTO&lt;&gt;"manual",$M43&lt;&gt;$A$15)),
        IF(Import.TipoArredondamento&lt;&gt;"TransfereGOV",
              ROUND(OFFSET($P43,0,AT$13),15-13*ORÇAMENTO!$AF$7)/$H43*OFFSET(ORÇAMENTO!$X$15,ROW(AT43)-ROW(AT$15),0),
              ROUND(ROUND(OFFSET($P43,0,AT$13),15-13*ORÇAMENTO!$AF$7)*OFFSET(ORÇAMENTO!$W$15,ROW(AT43)-ROW(AT$15),0),15-13*ORÇAMENTO!$AF$11)),
         0)</f>
        <v>0</v>
      </c>
      <c r="AU43" s="453">
        <f ca="1">IF(AND($D43="Serviço",AU$12&lt;&gt;0,$H43&gt;0,OR(AUTOEVENTO&lt;&gt;"manual",$M43&lt;&gt;$A$15)),
        IF(Import.TipoArredondamento&lt;&gt;"TransfereGOV",
              ROUND(OFFSET($P43,0,AU$13),15-13*ORÇAMENTO!$AF$7)/$H43*OFFSET(ORÇAMENTO!$X$15,ROW(AU43)-ROW(AU$15),0),
              ROUND(ROUND(OFFSET($P43,0,AU$13),15-13*ORÇAMENTO!$AF$7)*OFFSET(ORÇAMENTO!$W$15,ROW(AU43)-ROW(AU$15),0),15-13*ORÇAMENTO!$AF$11)),
         0)</f>
        <v>0</v>
      </c>
      <c r="AV43" s="453">
        <f ca="1">IF(AND($D43="Serviço",AV$12&lt;&gt;0,$H43&gt;0,OR(AUTOEVENTO&lt;&gt;"manual",$M43&lt;&gt;$A$15)),
        IF(Import.TipoArredondamento&lt;&gt;"TransfereGOV",
              ROUND(OFFSET($P43,0,AV$13),15-13*ORÇAMENTO!$AF$7)/$H43*OFFSET(ORÇAMENTO!$X$15,ROW(AV43)-ROW(AV$15),0),
              ROUND(ROUND(OFFSET($P43,0,AV$13),15-13*ORÇAMENTO!$AF$7)*OFFSET(ORÇAMENTO!$W$15,ROW(AV43)-ROW(AV$15),0),15-13*ORÇAMENTO!$AF$11)),
         0)</f>
        <v>0</v>
      </c>
      <c r="AW43" s="453">
        <f ca="1">IF(AND($D43="Serviço",AW$12&lt;&gt;0,$H43&gt;0,OR(AUTOEVENTO&lt;&gt;"manual",$M43&lt;&gt;$A$15)),
        IF(Import.TipoArredondamento&lt;&gt;"TransfereGOV",
              ROUND(OFFSET($P43,0,AW$13),15-13*ORÇAMENTO!$AF$7)/$H43*OFFSET(ORÇAMENTO!$X$15,ROW(AW43)-ROW(AW$15),0),
              ROUND(ROUND(OFFSET($P43,0,AW$13),15-13*ORÇAMENTO!$AF$7)*OFFSET(ORÇAMENTO!$W$15,ROW(AW43)-ROW(AW$15),0),15-13*ORÇAMENTO!$AF$11)),
         0)</f>
        <v>0</v>
      </c>
      <c r="AX43" s="453">
        <f ca="1">IF(AND($D43="Serviço",AX$12&lt;&gt;0,$H43&gt;0,OR(AUTOEVENTO&lt;&gt;"manual",$M43&lt;&gt;$A$15)),
        IF(Import.TipoArredondamento&lt;&gt;"TransfereGOV",
              ROUND(OFFSET($P43,0,AX$13),15-13*ORÇAMENTO!$AF$7)/$H43*OFFSET(ORÇAMENTO!$X$15,ROW(AX43)-ROW(AX$15),0),
              ROUND(ROUND(OFFSET($P43,0,AX$13),15-13*ORÇAMENTO!$AF$7)*OFFSET(ORÇAMENTO!$W$15,ROW(AX43)-ROW(AX$15),0),15-13*ORÇAMENTO!$AF$11)),
         0)</f>
        <v>0</v>
      </c>
      <c r="AY43" s="453">
        <f ca="1">IF(AND($D43="Serviço",AY$12&lt;&gt;0,$H43&gt;0,OR(AUTOEVENTO&lt;&gt;"manual",$M43&lt;&gt;$A$15)),
        IF(Import.TipoArredondamento&lt;&gt;"TransfereGOV",
              ROUND(OFFSET($P43,0,AY$13),15-13*ORÇAMENTO!$AF$7)/$H43*OFFSET(ORÇAMENTO!$X$15,ROW(AY43)-ROW(AY$15),0),
              ROUND(ROUND(OFFSET($P43,0,AY$13),15-13*ORÇAMENTO!$AF$7)*OFFSET(ORÇAMENTO!$W$15,ROW(AY43)-ROW(AY$15),0),15-13*ORÇAMENTO!$AF$11)),
         0)</f>
        <v>0</v>
      </c>
      <c r="AZ43" s="453">
        <f ca="1">IF(AND($D43="Serviço",AZ$12&lt;&gt;0,$H43&gt;0,OR(AUTOEVENTO&lt;&gt;"manual",$M43&lt;&gt;$A$15)),
        IF(Import.TipoArredondamento&lt;&gt;"TransfereGOV",
              ROUND(OFFSET($P43,0,AZ$13),15-13*ORÇAMENTO!$AF$7)/$H43*OFFSET(ORÇAMENTO!$X$15,ROW(AZ43)-ROW(AZ$15),0),
              ROUND(ROUND(OFFSET($P43,0,AZ$13),15-13*ORÇAMENTO!$AF$7)*OFFSET(ORÇAMENTO!$W$15,ROW(AZ43)-ROW(AZ$15),0),15-13*ORÇAMENTO!$AF$11)),
         0)</f>
        <v>0</v>
      </c>
      <c r="BA43" s="453">
        <f ca="1">IF(AND($D43="Serviço",BA$12&lt;&gt;0,$H43&gt;0,OR(AUTOEVENTO&lt;&gt;"manual",$M43&lt;&gt;$A$15)),
        IF(Import.TipoArredondamento&lt;&gt;"TransfereGOV",
              ROUND(OFFSET($P43,0,BA$13),15-13*ORÇAMENTO!$AF$7)/$H43*OFFSET(ORÇAMENTO!$X$15,ROW(BA43)-ROW(BA$15),0),
              ROUND(ROUND(OFFSET($P43,0,BA$13),15-13*ORÇAMENTO!$AF$7)*OFFSET(ORÇAMENTO!$W$15,ROW(BA43)-ROW(BA$15),0),15-13*ORÇAMENTO!$AF$11)),
         0)</f>
        <v>0</v>
      </c>
      <c r="BB43" s="453">
        <f ca="1">IF(AND($D43="Serviço",BB$12&lt;&gt;0,$H43&gt;0,OR(AUTOEVENTO&lt;&gt;"manual",$M43&lt;&gt;$A$15)),
        IF(Import.TipoArredondamento&lt;&gt;"TransfereGOV",
              ROUND(OFFSET($P43,0,BB$13),15-13*ORÇAMENTO!$AF$7)/$H43*OFFSET(ORÇAMENTO!$X$15,ROW(BB43)-ROW(BB$15),0),
              ROUND(ROUND(OFFSET($P43,0,BB$13),15-13*ORÇAMENTO!$AF$7)*OFFSET(ORÇAMENTO!$W$15,ROW(BB43)-ROW(BB$15),0),15-13*ORÇAMENTO!$AF$11)),
         0)</f>
        <v>0</v>
      </c>
      <c r="BC43" s="453">
        <f ca="1">IF(AND($D43="Serviço",BC$12&lt;&gt;0,$H43&gt;0,OR(AUTOEVENTO&lt;&gt;"manual",$M43&lt;&gt;$A$15)),
        IF(Import.TipoArredondamento&lt;&gt;"TransfereGOV",
              ROUND(OFFSET($P43,0,BC$13),15-13*ORÇAMENTO!$AF$7)/$H43*OFFSET(ORÇAMENTO!$X$15,ROW(BC43)-ROW(BC$15),0),
              ROUND(ROUND(OFFSET($P43,0,BC$13),15-13*ORÇAMENTO!$AF$7)*OFFSET(ORÇAMENTO!$W$15,ROW(BC43)-ROW(BC$15),0),15-13*ORÇAMENTO!$AF$11)),
         0)</f>
        <v>0</v>
      </c>
      <c r="BD43" s="453">
        <f ca="1">IF(AND($D43="Serviço",BD$12&lt;&gt;0,$H43&gt;0,OR(AUTOEVENTO&lt;&gt;"manual",$M43&lt;&gt;$A$15)),
        IF(Import.TipoArredondamento&lt;&gt;"TransfereGOV",
              ROUND(OFFSET($P43,0,BD$13),15-13*ORÇAMENTO!$AF$7)/$H43*OFFSET(ORÇAMENTO!$X$15,ROW(BD43)-ROW(BD$15),0),
              ROUND(ROUND(OFFSET($P43,0,BD$13),15-13*ORÇAMENTO!$AF$7)*OFFSET(ORÇAMENTO!$W$15,ROW(BD43)-ROW(BD$15),0),15-13*ORÇAMENTO!$AF$11)),
         0)</f>
        <v>0</v>
      </c>
      <c r="BE43" s="453">
        <f ca="1">IF(AND($D43="Serviço",BE$12&lt;&gt;0,$H43&gt;0,OR(AUTOEVENTO&lt;&gt;"manual",$M43&lt;&gt;$A$15)),
        IF(Import.TipoArredondamento&lt;&gt;"TransfereGOV",
              ROUND(OFFSET($P43,0,BE$13),15-13*ORÇAMENTO!$AF$7)/$H43*OFFSET(ORÇAMENTO!$X$15,ROW(BE43)-ROW(BE$15),0),
              ROUND(ROUND(OFFSET($P43,0,BE$13),15-13*ORÇAMENTO!$AF$7)*OFFSET(ORÇAMENTO!$W$15,ROW(BE43)-ROW(BE$15),0),15-13*ORÇAMENTO!$AF$11)),
         0)</f>
        <v>0</v>
      </c>
      <c r="BF43" s="453">
        <f ca="1">IF(AND($D43="Serviço",BF$12&lt;&gt;0,$H43&gt;0,OR(AUTOEVENTO&lt;&gt;"manual",$M43&lt;&gt;$A$15)),
        IF(Import.TipoArredondamento&lt;&gt;"TransfereGOV",
              ROUND(OFFSET($P43,0,BF$13),15-13*ORÇAMENTO!$AF$7)/$H43*OFFSET(ORÇAMENTO!$X$15,ROW(BF43)-ROW(BF$15),0),
              ROUND(ROUND(OFFSET($P43,0,BF$13),15-13*ORÇAMENTO!$AF$7)*OFFSET(ORÇAMENTO!$W$15,ROW(BF43)-ROW(BF$15),0),15-13*ORÇAMENTO!$AF$11)),
         0)</f>
        <v>0</v>
      </c>
      <c r="BG43" s="453">
        <f ca="1">IF(AND($D43="Serviço",BG$12&lt;&gt;0,$H43&gt;0,OR(AUTOEVENTO&lt;&gt;"manual",$M43&lt;&gt;$A$15)),
        IF(Import.TipoArredondamento&lt;&gt;"TransfereGOV",
              ROUND(OFFSET($P43,0,BG$13),15-13*ORÇAMENTO!$AF$7)/$H43*OFFSET(ORÇAMENTO!$X$15,ROW(BG43)-ROW(BG$15),0),
              ROUND(ROUND(OFFSET($P43,0,BG$13),15-13*ORÇAMENTO!$AF$7)*OFFSET(ORÇAMENTO!$W$15,ROW(BG43)-ROW(BG$15),0),15-13*ORÇAMENTO!$AF$11)),
         0)</f>
        <v>0</v>
      </c>
      <c r="BH43" s="453">
        <f ca="1">IF(AND($D43="Serviço",BH$12&lt;&gt;0,$H43&gt;0,OR(AUTOEVENTO&lt;&gt;"manual",$M43&lt;&gt;$A$15)),
        IF(Import.TipoArredondamento&lt;&gt;"TransfereGOV",
              ROUND(OFFSET($P43,0,BH$13),15-13*ORÇAMENTO!$AF$7)/$H43*OFFSET(ORÇAMENTO!$X$15,ROW(BH43)-ROW(BH$15),0),
              ROUND(ROUND(OFFSET($P43,0,BH$13),15-13*ORÇAMENTO!$AF$7)*OFFSET(ORÇAMENTO!$W$15,ROW(BH43)-ROW(BH$15),0),15-13*ORÇAMENTO!$AF$11)),
         0)</f>
        <v>0</v>
      </c>
      <c r="BI43" s="453">
        <f ca="1">IF(AND($D43="Serviço",BI$12&lt;&gt;0,$H43&gt;0,OR(AUTOEVENTO&lt;&gt;"manual",$M43&lt;&gt;$A$15)),
        IF(Import.TipoArredondamento&lt;&gt;"TransfereGOV",
              ROUND(OFFSET($P43,0,BI$13),15-13*ORÇAMENTO!$AF$7)/$H43*OFFSET(ORÇAMENTO!$X$15,ROW(BI43)-ROW(BI$15),0),
              ROUND(ROUND(OFFSET($P43,0,BI$13),15-13*ORÇAMENTO!$AF$7)*OFFSET(ORÇAMENTO!$W$15,ROW(BI43)-ROW(BI$15),0),15-13*ORÇAMENTO!$AF$11)),
         0)</f>
        <v>0</v>
      </c>
      <c r="BJ43" s="453">
        <f ca="1">IF(AND($D43="Serviço",BJ$12&lt;&gt;0,$H43&gt;0,OR(AUTOEVENTO&lt;&gt;"manual",$M43&lt;&gt;$A$15)),
        IF(Import.TipoArredondamento&lt;&gt;"TransfereGOV",
              ROUND(OFFSET($P43,0,BJ$13),15-13*ORÇAMENTO!$AF$7)/$H43*OFFSET(ORÇAMENTO!$X$15,ROW(BJ43)-ROW(BJ$15),0),
              ROUND(ROUND(OFFSET($P43,0,BJ$13),15-13*ORÇAMENTO!$AF$7)*OFFSET(ORÇAMENTO!$W$15,ROW(BJ43)-ROW(BJ$15),0),15-13*ORÇAMENTO!$AF$11)),
         0)</f>
        <v>0</v>
      </c>
      <c r="BK43" s="453">
        <f ca="1">IF(AND($D43="Serviço",BK$12&lt;&gt;0,$H43&gt;0,OR(AUTOEVENTO&lt;&gt;"manual",$M43&lt;&gt;$A$15)),
        IF(Import.TipoArredondamento&lt;&gt;"TransfereGOV",
              ROUND(OFFSET($P43,0,BK$13),15-13*ORÇAMENTO!$AF$7)/$H43*OFFSET(ORÇAMENTO!$X$15,ROW(BK43)-ROW(BK$15),0),
              ROUND(ROUND(OFFSET($P43,0,BK$13),15-13*ORÇAMENTO!$AF$7)*OFFSET(ORÇAMENTO!$W$15,ROW(BK43)-ROW(BK$15),0),15-13*ORÇAMENTO!$AF$11)),
         0)</f>
        <v>0</v>
      </c>
      <c r="BL43" s="453">
        <f ca="1">IF(AND($D43="Serviço",BL$12&lt;&gt;0,$H43&gt;0,OR(AUTOEVENTO&lt;&gt;"manual",$M43&lt;&gt;$A$15)),
        IF(Import.TipoArredondamento&lt;&gt;"TransfereGOV",
              ROUND(OFFSET($P43,0,BL$13),15-13*ORÇAMENTO!$AF$7)/$H43*OFFSET(ORÇAMENTO!$X$15,ROW(BL43)-ROW(BL$15),0),
              ROUND(ROUND(OFFSET($P43,0,BL$13),15-13*ORÇAMENTO!$AF$7)*OFFSET(ORÇAMENTO!$W$15,ROW(BL43)-ROW(BL$15),0),15-13*ORÇAMENTO!$AF$11)),
         0)</f>
        <v>0</v>
      </c>
      <c r="BM43" s="453">
        <f ca="1">IF(AND($D43="Serviço",BM$12&lt;&gt;0,$H43&gt;0,OR(AUTOEVENTO&lt;&gt;"manual",$M43&lt;&gt;$A$15)),
        IF(Import.TipoArredondamento&lt;&gt;"TransfereGOV",
              ROUND(OFFSET($P43,0,BM$13),15-13*ORÇAMENTO!$AF$7)/$H43*OFFSET(ORÇAMENTO!$X$15,ROW(BM43)-ROW(BM$15),0),
              ROUND(ROUND(OFFSET($P43,0,BM$13),15-13*ORÇAMENTO!$AF$7)*OFFSET(ORÇAMENTO!$W$15,ROW(BM43)-ROW(BM$15),0),15-13*ORÇAMENTO!$AF$11)),
         0)</f>
        <v>0</v>
      </c>
      <c r="BN43" s="453">
        <f ca="1">IF(AND($D43="Serviço",BN$12&lt;&gt;0,$H43&gt;0,OR(AUTOEVENTO&lt;&gt;"manual",$M43&lt;&gt;$A$15)),
        IF(Import.TipoArredondamento&lt;&gt;"TransfereGOV",
              ROUND(OFFSET($P43,0,BN$13),15-13*ORÇAMENTO!$AF$7)/$H43*OFFSET(ORÇAMENTO!$X$15,ROW(BN43)-ROW(BN$15),0),
              ROUND(ROUND(OFFSET($P43,0,BN$13),15-13*ORÇAMENTO!$AF$7)*OFFSET(ORÇAMENTO!$W$15,ROW(BN43)-ROW(BN$15),0),15-13*ORÇAMENTO!$AF$11)),
         0)</f>
        <v>0</v>
      </c>
      <c r="BO43" s="453">
        <f ca="1">IF(AND($D43="Serviço",BO$12&lt;&gt;0,$H43&gt;0,OR(AUTOEVENTO&lt;&gt;"manual",$M43&lt;&gt;$A$15)),
        IF(Import.TipoArredondamento&lt;&gt;"TransfereGOV",
              ROUND(OFFSET($P43,0,BO$13),15-13*ORÇAMENTO!$AF$7)/$H43*OFFSET(ORÇAMENTO!$X$15,ROW(BO43)-ROW(BO$15),0),
              ROUND(ROUND(OFFSET($P43,0,BO$13),15-13*ORÇAMENTO!$AF$7)*OFFSET(ORÇAMENTO!$W$15,ROW(BO43)-ROW(BO$15),0),15-13*ORÇAMENTO!$AF$11)),
         0)</f>
        <v>0</v>
      </c>
      <c r="BP43" s="453">
        <f ca="1">IF(AND($D43="Serviço",BP$12&lt;&gt;0,$H43&gt;0,OR(AUTOEVENTO&lt;&gt;"manual",$M43&lt;&gt;$A$15)),
        IF(Import.TipoArredondamento&lt;&gt;"TransfereGOV",
              ROUND(OFFSET($P43,0,BP$13),15-13*ORÇAMENTO!$AF$7)/$H43*OFFSET(ORÇAMENTO!$X$15,ROW(BP43)-ROW(BP$15),0),
              ROUND(ROUND(OFFSET($P43,0,BP$13),15-13*ORÇAMENTO!$AF$7)*OFFSET(ORÇAMENTO!$W$15,ROW(BP43)-ROW(BP$15),0),15-13*ORÇAMENTO!$AF$11)),
         0)</f>
        <v>0</v>
      </c>
      <c r="BQ43" s="453">
        <f ca="1">IF(AND($D43="Serviço",BQ$12&lt;&gt;0,$H43&gt;0,OR(AUTOEVENTO&lt;&gt;"manual",$M43&lt;&gt;$A$15)),
        IF(Import.TipoArredondamento&lt;&gt;"TransfereGOV",
              ROUND(OFFSET($P43,0,BQ$13),15-13*ORÇAMENTO!$AF$7)/$H43*OFFSET(ORÇAMENTO!$X$15,ROW(BQ43)-ROW(BQ$15),0),
              ROUND(ROUND(OFFSET($P43,0,BQ$13),15-13*ORÇAMENTO!$AF$7)*OFFSET(ORÇAMENTO!$W$15,ROW(BQ43)-ROW(BQ$15),0),15-13*ORÇAMENTO!$AF$11)),
         0)</f>
        <v>0</v>
      </c>
      <c r="BS43" s="171">
        <f ca="1">IF(OR($D43&lt;&gt;"Serviço",AND(AUTOEVENTO="Manual",$M43=$A$15)),0,
         IF(OFFSET(CRONOPLE!$F$15,$M43-$A$15,BS$13)=0,10^12,OFFSET(CRONOPLE!$F$15,$M43-$A$15,BS$13)))</f>
        <v>1</v>
      </c>
      <c r="BT43" s="171">
        <f ca="1">IF(OR($D43&lt;&gt;"Serviço",AND(AUTOEVENTO="Manual",$M43=$A$15)),0,
         IF(OFFSET(CRONOPLE!$F$15,$M43-$A$15,BT$13)=0,10^12,OFFSET(CRONOPLE!$F$15,$M43-$A$15,BT$13)))</f>
        <v>2</v>
      </c>
      <c r="BU43" s="171">
        <f ca="1">IF(OR($D43&lt;&gt;"Serviço",AND(AUTOEVENTO="Manual",$M43=$A$15)),0,
         IF(OFFSET(CRONOPLE!$F$15,$M43-$A$15,BU$13)=0,10^12,OFFSET(CRONOPLE!$F$15,$M43-$A$15,BU$13)))</f>
        <v>3</v>
      </c>
      <c r="BV43" s="171">
        <f ca="1">IF(OR($D43&lt;&gt;"Serviço",AND(AUTOEVENTO="Manual",$M43=$A$15)),0,
         IF(OFFSET(CRONOPLE!$F$15,$M43-$A$15,BV$13)=0,10^12,OFFSET(CRONOPLE!$F$15,$M43-$A$15,BV$13)))</f>
        <v>4</v>
      </c>
      <c r="BW43" s="171">
        <f ca="1">IF(OR($D43&lt;&gt;"Serviço",AND(AUTOEVENTO="Manual",$M43=$A$15)),0,
         IF(OFFSET(CRONOPLE!$F$15,$M43-$A$15,BW$13)=0,10^12,OFFSET(CRONOPLE!$F$15,$M43-$A$15,BW$13)))</f>
        <v>5</v>
      </c>
      <c r="BX43" s="171">
        <f ca="1">IF(OR($D43&lt;&gt;"Serviço",AND(AUTOEVENTO="Manual",$M43=$A$15)),0,
         IF(OFFSET(CRONOPLE!$F$15,$M43-$A$15,BX$13)=0,10^12,OFFSET(CRONOPLE!$F$15,$M43-$A$15,BX$13)))</f>
        <v>6</v>
      </c>
      <c r="BY43" s="171">
        <f ca="1">IF(OR($D43&lt;&gt;"Serviço",AND(AUTOEVENTO="Manual",$M43=$A$15)),0,
         IF(OFFSET(CRONOPLE!$F$15,$M43-$A$15,BY$13)=0,10^12,OFFSET(CRONOPLE!$F$15,$M43-$A$15,BY$13)))</f>
        <v>7</v>
      </c>
      <c r="BZ43" s="171">
        <f ca="1">IF(OR($D43&lt;&gt;"Serviço",AND(AUTOEVENTO="Manual",$M43=$A$15)),0,
         IF(OFFSET(CRONOPLE!$F$15,$M43-$A$15,BZ$13)=0,10^12,OFFSET(CRONOPLE!$F$15,$M43-$A$15,BZ$13)))</f>
        <v>8</v>
      </c>
      <c r="CA43" s="171">
        <f ca="1">IF(OR($D43&lt;&gt;"Serviço",AND(AUTOEVENTO="Manual",$M43=$A$15)),0,
         IF(OFFSET(CRONOPLE!$F$15,$M43-$A$15,CA$13)=0,10^12,OFFSET(CRONOPLE!$F$15,$M43-$A$15,CA$13)))</f>
        <v>9</v>
      </c>
      <c r="CB43" s="171">
        <f ca="1">IF(OR($D43&lt;&gt;"Serviço",AND(AUTOEVENTO="Manual",$M43=$A$15)),0,
         IF(OFFSET(CRONOPLE!$F$15,$M43-$A$15,CB$13)=0,10^12,OFFSET(CRONOPLE!$F$15,$M43-$A$15,CB$13)))</f>
        <v>10</v>
      </c>
      <c r="CC43" s="171">
        <f ca="1">IF(OR($D43&lt;&gt;"Serviço",AND(AUTOEVENTO="Manual",$M43=$A$15)),0,
         IF(OFFSET(CRONOPLE!$F$15,$M43-$A$15,CC$13)=0,10^12,OFFSET(CRONOPLE!$F$15,$M43-$A$15,CC$13)))</f>
        <v>11</v>
      </c>
      <c r="CD43" s="171">
        <f ca="1">IF(OR($D43&lt;&gt;"Serviço",AND(AUTOEVENTO="Manual",$M43=$A$15)),0,
         IF(OFFSET(CRONOPLE!$F$15,$M43-$A$15,CD$13)=0,10^12,OFFSET(CRONOPLE!$F$15,$M43-$A$15,CD$13)))</f>
        <v>12</v>
      </c>
      <c r="CE43" s="171">
        <f ca="1">IF(OR($D43&lt;&gt;"Serviço",AND(AUTOEVENTO="Manual",$M43=$A$15)),0,
         IF(OFFSET(CRONOPLE!$F$15,$M43-$A$15,CE$13)=0,10^12,OFFSET(CRONOPLE!$F$15,$M43-$A$15,CE$13)))</f>
        <v>13</v>
      </c>
      <c r="CF43" s="171">
        <f ca="1">IF(OR($D43&lt;&gt;"Serviço",AND(AUTOEVENTO="Manual",$M43=$A$15)),0,
         IF(OFFSET(CRONOPLE!$F$15,$M43-$A$15,CF$13)=0,10^12,OFFSET(CRONOPLE!$F$15,$M43-$A$15,CF$13)))</f>
        <v>14</v>
      </c>
      <c r="CG43" s="171">
        <f ca="1">IF(OR($D43&lt;&gt;"Serviço",AND(AUTOEVENTO="Manual",$M43=$A$15)),0,
         IF(OFFSET(CRONOPLE!$F$15,$M43-$A$15,CG$13)=0,10^12,OFFSET(CRONOPLE!$F$15,$M43-$A$15,CG$13)))</f>
        <v>15</v>
      </c>
      <c r="CH43" s="171">
        <f ca="1">IF(OR($D43&lt;&gt;"Serviço",AND(AUTOEVENTO="Manual",$M43=$A$15)),0,
         IF(OFFSET(CRONOPLE!$F$15,$M43-$A$15,CH$13)=0,10^12,OFFSET(CRONOPLE!$F$15,$M43-$A$15,CH$13)))</f>
        <v>16</v>
      </c>
      <c r="CI43" s="171">
        <f ca="1">IF(OR($D43&lt;&gt;"Serviço",AND(AUTOEVENTO="Manual",$M43=$A$15)),0,
         IF(OFFSET(CRONOPLE!$F$15,$M43-$A$15,CI$13)=0,10^12,OFFSET(CRONOPLE!$F$15,$M43-$A$15,CI$13)))</f>
        <v>17</v>
      </c>
      <c r="CJ43" s="171">
        <f ca="1">IF(OR($D43&lt;&gt;"Serviço",AND(AUTOEVENTO="Manual",$M43=$A$15)),0,
         IF(OFFSET(CRONOPLE!$F$15,$M43-$A$15,CJ$13)=0,10^12,OFFSET(CRONOPLE!$F$15,$M43-$A$15,CJ$13)))</f>
        <v>18</v>
      </c>
      <c r="CK43" s="171">
        <f ca="1">IF(OR($D43&lt;&gt;"Serviço",AND(AUTOEVENTO="Manual",$M43=$A$15)),0,
         IF(OFFSET(CRONOPLE!$F$15,$M43-$A$15,CK$13)=0,10^12,OFFSET(CRONOPLE!$F$15,$M43-$A$15,CK$13)))</f>
        <v>19</v>
      </c>
      <c r="CL43" s="171">
        <f ca="1">IF(OR($D43&lt;&gt;"Serviço",AND(AUTOEVENTO="Manual",$M43=$A$15)),0,
         IF(OFFSET(CRONOPLE!$F$15,$M43-$A$15,CL$13)=0,10^12,OFFSET(CRONOPLE!$F$15,$M43-$A$15,CL$13)))</f>
        <v>20</v>
      </c>
      <c r="CM43" s="171">
        <f ca="1">IF(OR($D43&lt;&gt;"Serviço",AND(AUTOEVENTO="Manual",$M43=$A$15)),0,
         IF(OFFSET(CRONOPLE!$F$15,$M43-$A$15,CM$13)=0,10^12,OFFSET(CRONOPLE!$F$15,$M43-$A$15,CM$13)))</f>
        <v>1000000000000</v>
      </c>
      <c r="CN43" s="171">
        <f ca="1">IF(OR($D43&lt;&gt;"Serviço",AND(AUTOEVENTO="Manual",$M43=$A$15)),0,
         IF(OFFSET(CRONOPLE!$F$15,$M43-$A$15,CN$13)=0,10^12,OFFSET(CRONOPLE!$F$15,$M43-$A$15,CN$13)))</f>
        <v>1000000000000</v>
      </c>
      <c r="CO43" s="171">
        <f ca="1">IF(OR($D43&lt;&gt;"Serviço",AND(AUTOEVENTO="Manual",$M43=$A$15)),0,
         IF(OFFSET(CRONOPLE!$F$15,$M43-$A$15,CO$13)=0,10^12,OFFSET(CRONOPLE!$F$15,$M43-$A$15,CO$13)))</f>
        <v>1000000000000</v>
      </c>
      <c r="CP43" s="171">
        <f ca="1">IF(OR($D43&lt;&gt;"Serviço",AND(AUTOEVENTO="Manual",$M43=$A$15)),0,
         IF(OFFSET(CRONOPLE!$F$15,$M43-$A$15,CP$13)=0,10^12,OFFSET(CRONOPLE!$F$15,$M43-$A$15,CP$13)))</f>
        <v>1000000000000</v>
      </c>
      <c r="CQ43" s="171">
        <f ca="1">IF(OR($D43&lt;&gt;"Serviço",AND(AUTOEVENTO="Manual",$M43=$A$15)),0,
         IF(OFFSET(CRONOPLE!$F$15,$M43-$A$15,CQ$13)=0,10^12,OFFSET(CRONOPLE!$F$15,$M43-$A$15,CQ$13)))</f>
        <v>1000000000000</v>
      </c>
      <c r="CR43" s="171">
        <f ca="1">IF(OR($D43&lt;&gt;"Serviço",AND(AUTOEVENTO="Manual",$M43=$A$15)),0,
         IF(OFFSET(CRONOPLE!$F$15,$M43-$A$15,CR$13)=0,10^12,OFFSET(CRONOPLE!$F$15,$M43-$A$15,CR$13)))</f>
        <v>1000000000000</v>
      </c>
      <c r="CT43" s="172" cm="1">
        <f t="array" aca="1" ref="CT43" ca="1">IF(OR($D43&lt;&gt;"Serviço",AND(AUTOEVENTO="Manual",$M43=$A$15),$M43&gt;(ROW(PLE.lastrow)-ROW(PLE.firstrow))),0,
           IF(OFFSET(PLE!$G$15,$M43-$A$15,CT$13)="",10^12,OFFSET(PLE!$G$15,$M43-$A$15,CT$13)))</f>
        <v>1000000000000</v>
      </c>
      <c r="CU43" s="172" cm="1">
        <f t="array" aca="1" ref="CU43" ca="1">IF(OR($D43&lt;&gt;"Serviço",AND(AUTOEVENTO="Manual",$M43=$A$15),$M43&gt;(ROW(PLE.lastrow)-ROW(PLE.firstrow))),0,
           IF(OFFSET(PLE!$G$15,$M43-$A$15,CU$13)="",10^12,OFFSET(PLE!$G$15,$M43-$A$15,CU$13)))</f>
        <v>1000000000000</v>
      </c>
      <c r="CV43" s="172" cm="1">
        <f t="array" aca="1" ref="CV43" ca="1">IF(OR($D43&lt;&gt;"Serviço",AND(AUTOEVENTO="Manual",$M43=$A$15),$M43&gt;(ROW(PLE.lastrow)-ROW(PLE.firstrow))),0,
           IF(OFFSET(PLE!$G$15,$M43-$A$15,CV$13)="",10^12,OFFSET(PLE!$G$15,$M43-$A$15,CV$13)))</f>
        <v>1000000000000</v>
      </c>
      <c r="CW43" s="172" cm="1">
        <f t="array" aca="1" ref="CW43" ca="1">IF(OR($D43&lt;&gt;"Serviço",AND(AUTOEVENTO="Manual",$M43=$A$15),$M43&gt;(ROW(PLE.lastrow)-ROW(PLE.firstrow))),0,
           IF(OFFSET(PLE!$G$15,$M43-$A$15,CW$13)="",10^12,OFFSET(PLE!$G$15,$M43-$A$15,CW$13)))</f>
        <v>1000000000000</v>
      </c>
      <c r="CX43" s="172" cm="1">
        <f t="array" aca="1" ref="CX43" ca="1">IF(OR($D43&lt;&gt;"Serviço",AND(AUTOEVENTO="Manual",$M43=$A$15),$M43&gt;(ROW(PLE.lastrow)-ROW(PLE.firstrow))),0,
           IF(OFFSET(PLE!$G$15,$M43-$A$15,CX$13)="",10^12,OFFSET(PLE!$G$15,$M43-$A$15,CX$13)))</f>
        <v>1000000000000</v>
      </c>
      <c r="CY43" s="172" cm="1">
        <f t="array" aca="1" ref="CY43" ca="1">IF(OR($D43&lt;&gt;"Serviço",AND(AUTOEVENTO="Manual",$M43=$A$15),$M43&gt;(ROW(PLE.lastrow)-ROW(PLE.firstrow))),0,
           IF(OFFSET(PLE!$G$15,$M43-$A$15,CY$13)="",10^12,OFFSET(PLE!$G$15,$M43-$A$15,CY$13)))</f>
        <v>1000000000000</v>
      </c>
      <c r="CZ43" s="172" cm="1">
        <f t="array" aca="1" ref="CZ43" ca="1">IF(OR($D43&lt;&gt;"Serviço",AND(AUTOEVENTO="Manual",$M43=$A$15),$M43&gt;(ROW(PLE.lastrow)-ROW(PLE.firstrow))),0,
           IF(OFFSET(PLE!$G$15,$M43-$A$15,CZ$13)="",10^12,OFFSET(PLE!$G$15,$M43-$A$15,CZ$13)))</f>
        <v>1000000000000</v>
      </c>
      <c r="DA43" s="172" cm="1">
        <f t="array" aca="1" ref="DA43" ca="1">IF(OR($D43&lt;&gt;"Serviço",AND(AUTOEVENTO="Manual",$M43=$A$15),$M43&gt;(ROW(PLE.lastrow)-ROW(PLE.firstrow))),0,
           IF(OFFSET(PLE!$G$15,$M43-$A$15,DA$13)="",10^12,OFFSET(PLE!$G$15,$M43-$A$15,DA$13)))</f>
        <v>1000000000000</v>
      </c>
      <c r="DB43" s="172" cm="1">
        <f t="array" aca="1" ref="DB43" ca="1">IF(OR($D43&lt;&gt;"Serviço",AND(AUTOEVENTO="Manual",$M43=$A$15),$M43&gt;(ROW(PLE.lastrow)-ROW(PLE.firstrow))),0,
           IF(OFFSET(PLE!$G$15,$M43-$A$15,DB$13)="",10^12,OFFSET(PLE!$G$15,$M43-$A$15,DB$13)))</f>
        <v>1000000000000</v>
      </c>
      <c r="DC43" s="172" cm="1">
        <f t="array" aca="1" ref="DC43" ca="1">IF(OR($D43&lt;&gt;"Serviço",AND(AUTOEVENTO="Manual",$M43=$A$15),$M43&gt;(ROW(PLE.lastrow)-ROW(PLE.firstrow))),0,
           IF(OFFSET(PLE!$G$15,$M43-$A$15,DC$13)="",10^12,OFFSET(PLE!$G$15,$M43-$A$15,DC$13)))</f>
        <v>1000000000000</v>
      </c>
      <c r="DD43" s="172" cm="1">
        <f t="array" aca="1" ref="DD43" ca="1">IF(OR($D43&lt;&gt;"Serviço",AND(AUTOEVENTO="Manual",$M43=$A$15),$M43&gt;(ROW(PLE.lastrow)-ROW(PLE.firstrow))),0,
           IF(OFFSET(PLE!$G$15,$M43-$A$15,DD$13)="",10^12,OFFSET(PLE!$G$15,$M43-$A$15,DD$13)))</f>
        <v>1000000000000</v>
      </c>
      <c r="DE43" s="172" cm="1">
        <f t="array" aca="1" ref="DE43" ca="1">IF(OR($D43&lt;&gt;"Serviço",AND(AUTOEVENTO="Manual",$M43=$A$15),$M43&gt;(ROW(PLE.lastrow)-ROW(PLE.firstrow))),0,
           IF(OFFSET(PLE!$G$15,$M43-$A$15,DE$13)="",10^12,OFFSET(PLE!$G$15,$M43-$A$15,DE$13)))</f>
        <v>1000000000000</v>
      </c>
      <c r="DF43" s="172" cm="1">
        <f t="array" aca="1" ref="DF43" ca="1">IF(OR($D43&lt;&gt;"Serviço",AND(AUTOEVENTO="Manual",$M43=$A$15),$M43&gt;(ROW(PLE.lastrow)-ROW(PLE.firstrow))),0,
           IF(OFFSET(PLE!$G$15,$M43-$A$15,DF$13)="",10^12,OFFSET(PLE!$G$15,$M43-$A$15,DF$13)))</f>
        <v>1000000000000</v>
      </c>
      <c r="DG43" s="172" cm="1">
        <f t="array" aca="1" ref="DG43" ca="1">IF(OR($D43&lt;&gt;"Serviço",AND(AUTOEVENTO="Manual",$M43=$A$15),$M43&gt;(ROW(PLE.lastrow)-ROW(PLE.firstrow))),0,
           IF(OFFSET(PLE!$G$15,$M43-$A$15,DG$13)="",10^12,OFFSET(PLE!$G$15,$M43-$A$15,DG$13)))</f>
        <v>1000000000000</v>
      </c>
      <c r="DH43" s="172" cm="1">
        <f t="array" aca="1" ref="DH43" ca="1">IF(OR($D43&lt;&gt;"Serviço",AND(AUTOEVENTO="Manual",$M43=$A$15),$M43&gt;(ROW(PLE.lastrow)-ROW(PLE.firstrow))),0,
           IF(OFFSET(PLE!$G$15,$M43-$A$15,DH$13)="",10^12,OFFSET(PLE!$G$15,$M43-$A$15,DH$13)))</f>
        <v>1000000000000</v>
      </c>
      <c r="DI43" s="172" cm="1">
        <f t="array" aca="1" ref="DI43" ca="1">IF(OR($D43&lt;&gt;"Serviço",AND(AUTOEVENTO="Manual",$M43=$A$15),$M43&gt;(ROW(PLE.lastrow)-ROW(PLE.firstrow))),0,
           IF(OFFSET(PLE!$G$15,$M43-$A$15,DI$13)="",10^12,OFFSET(PLE!$G$15,$M43-$A$15,DI$13)))</f>
        <v>1000000000000</v>
      </c>
      <c r="DJ43" s="172" cm="1">
        <f t="array" aca="1" ref="DJ43" ca="1">IF(OR($D43&lt;&gt;"Serviço",AND(AUTOEVENTO="Manual",$M43=$A$15),$M43&gt;(ROW(PLE.lastrow)-ROW(PLE.firstrow))),0,
           IF(OFFSET(PLE!$G$15,$M43-$A$15,DJ$13)="",10^12,OFFSET(PLE!$G$15,$M43-$A$15,DJ$13)))</f>
        <v>1000000000000</v>
      </c>
      <c r="DK43" s="172" cm="1">
        <f t="array" aca="1" ref="DK43" ca="1">IF(OR($D43&lt;&gt;"Serviço",AND(AUTOEVENTO="Manual",$M43=$A$15),$M43&gt;(ROW(PLE.lastrow)-ROW(PLE.firstrow))),0,
           IF(OFFSET(PLE!$G$15,$M43-$A$15,DK$13)="",10^12,OFFSET(PLE!$G$15,$M43-$A$15,DK$13)))</f>
        <v>1000000000000</v>
      </c>
      <c r="DL43" s="172" cm="1">
        <f t="array" aca="1" ref="DL43" ca="1">IF(OR($D43&lt;&gt;"Serviço",AND(AUTOEVENTO="Manual",$M43=$A$15),$M43&gt;(ROW(PLE.lastrow)-ROW(PLE.firstrow))),0,
           IF(OFFSET(PLE!$G$15,$M43-$A$15,DL$13)="",10^12,OFFSET(PLE!$G$15,$M43-$A$15,DL$13)))</f>
        <v>1000000000000</v>
      </c>
      <c r="DM43" s="172" cm="1">
        <f t="array" aca="1" ref="DM43" ca="1">IF(OR($D43&lt;&gt;"Serviço",AND(AUTOEVENTO="Manual",$M43=$A$15),$M43&gt;(ROW(PLE.lastrow)-ROW(PLE.firstrow))),0,
           IF(OFFSET(PLE!$G$15,$M43-$A$15,DM$13)="",10^12,OFFSET(PLE!$G$15,$M43-$A$15,DM$13)))</f>
        <v>1000000000000</v>
      </c>
      <c r="DN43" s="172" cm="1">
        <f t="array" aca="1" ref="DN43" ca="1">IF(OR($D43&lt;&gt;"Serviço",AND(AUTOEVENTO="Manual",$M43=$A$15),$M43&gt;(ROW(PLE.lastrow)-ROW(PLE.firstrow))),0,
           IF(OFFSET(PLE!$G$15,$M43-$A$15,DN$13)="",10^12,OFFSET(PLE!$G$15,$M43-$A$15,DN$13)))</f>
        <v>1000000000000</v>
      </c>
      <c r="DO43" s="172" cm="1">
        <f t="array" aca="1" ref="DO43" ca="1">IF(OR($D43&lt;&gt;"Serviço",AND(AUTOEVENTO="Manual",$M43=$A$15),$M43&gt;(ROW(PLE.lastrow)-ROW(PLE.firstrow))),0,
           IF(OFFSET(PLE!$G$15,$M43-$A$15,DO$13)="",10^12,OFFSET(PLE!$G$15,$M43-$A$15,DO$13)))</f>
        <v>1000000000000</v>
      </c>
      <c r="DP43" s="172" cm="1">
        <f t="array" aca="1" ref="DP43" ca="1">IF(OR($D43&lt;&gt;"Serviço",AND(AUTOEVENTO="Manual",$M43=$A$15),$M43&gt;(ROW(PLE.lastrow)-ROW(PLE.firstrow))),0,
           IF(OFFSET(PLE!$G$15,$M43-$A$15,DP$13)="",10^12,OFFSET(PLE!$G$15,$M43-$A$15,DP$13)))</f>
        <v>1000000000000</v>
      </c>
      <c r="DQ43" s="172" cm="1">
        <f t="array" aca="1" ref="DQ43" ca="1">IF(OR($D43&lt;&gt;"Serviço",AND(AUTOEVENTO="Manual",$M43=$A$15),$M43&gt;(ROW(PLE.lastrow)-ROW(PLE.firstrow))),0,
           IF(OFFSET(PLE!$G$15,$M43-$A$15,DQ$13)="",10^12,OFFSET(PLE!$G$15,$M43-$A$15,DQ$13)))</f>
        <v>1000000000000</v>
      </c>
      <c r="DR43" s="172" cm="1">
        <f t="array" aca="1" ref="DR43" ca="1">IF(OR($D43&lt;&gt;"Serviço",AND(AUTOEVENTO="Manual",$M43=$A$15),$M43&gt;(ROW(PLE.lastrow)-ROW(PLE.firstrow))),0,
           IF(OFFSET(PLE!$G$15,$M43-$A$15,DR$13)="",10^12,OFFSET(PLE!$G$15,$M43-$A$15,DR$13)))</f>
        <v>1000000000000</v>
      </c>
      <c r="DS43" s="172" cm="1">
        <f t="array" aca="1" ref="DS43" ca="1">IF(OR($D43&lt;&gt;"Serviço",AND(AUTOEVENTO="Manual",$M43=$A$15),$M43&gt;(ROW(PLE.lastrow)-ROW(PLE.firstrow))),0,
           IF(OFFSET(PLE!$G$15,$M43-$A$15,DS$13)="",10^12,OFFSET(PLE!$G$15,$M43-$A$15,DS$13)))</f>
        <v>1000000000000</v>
      </c>
    </row>
    <row r="44" spans="1:123" ht="25.5" x14ac:dyDescent="0.2">
      <c r="A44" s="7">
        <f t="shared" ca="1" si="11"/>
        <v>3</v>
      </c>
      <c r="B44" s="7" t="str">
        <f ca="1">OFFSET(ORÇAMENTO!C$15,$L44,0)</f>
        <v>S</v>
      </c>
      <c r="C44" s="7" t="str">
        <f ca="1">OFFSET(ORÇAMENTO!L$15,$L44,0)</f>
        <v/>
      </c>
      <c r="D44" s="116" t="str">
        <f ca="1">OFFSET(ORÇAMENTO!N$15,$L44,0)</f>
        <v>Serviço</v>
      </c>
      <c r="E44" s="117" t="str">
        <f ca="1">OFFSET(ORÇAMENTO!O$15,$L44,0)</f>
        <v>-</v>
      </c>
      <c r="F44" s="163" t="str">
        <f ca="1">OFFSET(ORÇAMENTO!R$15,$L44,0)</f>
        <v>(Código não identificado nas referências)</v>
      </c>
      <c r="G44" s="164" t="str">
        <f ca="1">IF($D44&lt;&gt;"Serviço","",OFFSET(ORÇAMENTO!S$15,$L44,0))</f>
        <v>-</v>
      </c>
      <c r="H44" s="122" cm="1">
        <f t="array" aca="1" ref="H44" ca="1">IF($D44&lt;&gt;"Serviço",0,IF(ACOMPANHAMENTO="BM",ROUND(OFFSET(ORÇAMENTO!AJ$15,$L44,0),15-13*ORÇAMENTO!$AF$7),IF(IFERROR(CÁLCULO.FrentesPreenchidas,0)=0,0,SUM(ROUND(OFFSET($P44,0,1,1,CÁLCULO.FrentesPreenchidas),15-13*ORÇAMENTO!$AF$7)))))</f>
        <v>64.2</v>
      </c>
      <c r="I44" s="468" t="s">
        <v>1235</v>
      </c>
      <c r="J44" s="651" t="str" cm="1">
        <f t="array" aca="1" ref="J44" ca="1">IF(OR(B44&lt;&gt;"S",CÁLCULO.FrentesPreenchidas=0),"",IF(AND(ACOMPANHAMENTO="PLE",AUTOEVENTO="Manual",OR(H44&gt;0,ORÇAMENTO!AC44="QUANT."),OR(K44="",M44=0,N44="")),"►E",IF(AND(ACOMPANHAMENTO="PLE",ORÇAMENTO!AC44="QUANT."),"►Q",IF(AND(ACOMPANHAMENTO="PLE",H44&lt;&gt;SUMPRODUCT(($Q$1:$AQ$1=1)*ROUND(Q44:AQ44,15))),"►S",IF(AND(COUNTIF($P$11:$AQ$11,"▼")=0,H44&gt;0,I44=""),"◄M","")))))</f>
        <v/>
      </c>
      <c r="K44" s="652" t="s">
        <v>1250</v>
      </c>
      <c r="L44" s="165">
        <f t="shared" ca="1" si="12"/>
        <v>29</v>
      </c>
      <c r="M44" s="166">
        <f ca="1">IF($D44&lt;&gt;"Serviço","",
          IF(AUTOEVENTO="manual",$A44,
                IF(ISERROR(MATCH($A44,$A$15:OFFSET($A44,-1,0),0)),MAX($M$15:OFFSET(M44,-1,0))+1,
                      INDEX($M$15:OFFSET(M44,-1,0),MATCH($A44,$A$15:OFFSET($A44,-1,0),0)))))</f>
        <v>3</v>
      </c>
      <c r="N44" s="167" t="str">
        <f ca="1">IF($D44&lt;&gt;"Serviço","",
         IF(AUTOEVENTO="Manual",
                IF($A44=0,"&lt;-- defina o número do agrupador",
                       OFFSET(EVENTOS!$D$15,$A44-$A$15,0)),
                OFFSET($F$15,$A44,0)))</f>
        <v>FUNDAÇÕES</v>
      </c>
      <c r="O44" s="168"/>
      <c r="Q44" s="168">
        <v>3.21</v>
      </c>
      <c r="R44" s="169">
        <v>3.21</v>
      </c>
      <c r="S44" s="169">
        <v>3.21</v>
      </c>
      <c r="T44" s="169">
        <v>3.21</v>
      </c>
      <c r="U44" s="169">
        <v>3.21</v>
      </c>
      <c r="V44" s="169">
        <v>3.21</v>
      </c>
      <c r="W44" s="169">
        <v>3.21</v>
      </c>
      <c r="X44" s="169">
        <v>3.21</v>
      </c>
      <c r="Y44" s="169">
        <v>3.21</v>
      </c>
      <c r="Z44" s="170">
        <v>3.21</v>
      </c>
      <c r="AA44" s="169">
        <v>3.21</v>
      </c>
      <c r="AB44" s="169">
        <v>3.21</v>
      </c>
      <c r="AC44" s="169">
        <v>3.21</v>
      </c>
      <c r="AD44" s="169">
        <v>3.21</v>
      </c>
      <c r="AE44" s="169">
        <v>3.21</v>
      </c>
      <c r="AF44" s="169">
        <v>3.21</v>
      </c>
      <c r="AG44" s="169">
        <v>3.21</v>
      </c>
      <c r="AH44" s="170">
        <v>3.21</v>
      </c>
      <c r="AI44" s="169">
        <v>3.21</v>
      </c>
      <c r="AJ44" s="169">
        <v>3.21</v>
      </c>
      <c r="AK44" s="169"/>
      <c r="AL44" s="169"/>
      <c r="AM44" s="169"/>
      <c r="AN44" s="169"/>
      <c r="AO44" s="169"/>
      <c r="AP44" s="170"/>
      <c r="AR44" s="453">
        <f ca="1">IF(AND($D44="Serviço",AR$12&lt;&gt;0,$H44&gt;0,OR(AUTOEVENTO&lt;&gt;"manual",$M44&lt;&gt;$A$15)),
        IF(Import.TipoArredondamento&lt;&gt;"TransfereGOV",
              ROUND(OFFSET($P44,0,AR$13),15-13*ORÇAMENTO!$AF$7)/$H44*OFFSET(ORÇAMENTO!$X$15,ROW(AR44)-ROW(AR$15),0),
              ROUND(ROUND(OFFSET($P44,0,AR$13),15-13*ORÇAMENTO!$AF$7)*OFFSET(ORÇAMENTO!$W$15,ROW(AR44)-ROW(AR$15),0),15-13*ORÇAMENTO!$AF$11)),
         0)</f>
        <v>0</v>
      </c>
      <c r="AS44" s="453">
        <f ca="1">IF(AND($D44="Serviço",AS$12&lt;&gt;0,$H44&gt;0,OR(AUTOEVENTO&lt;&gt;"manual",$M44&lt;&gt;$A$15)),
        IF(Import.TipoArredondamento&lt;&gt;"TransfereGOV",
              ROUND(OFFSET($P44,0,AS$13),15-13*ORÇAMENTO!$AF$7)/$H44*OFFSET(ORÇAMENTO!$X$15,ROW(AS44)-ROW(AS$15),0),
              ROUND(ROUND(OFFSET($P44,0,AS$13),15-13*ORÇAMENTO!$AF$7)*OFFSET(ORÇAMENTO!$W$15,ROW(AS44)-ROW(AS$15),0),15-13*ORÇAMENTO!$AF$11)),
         0)</f>
        <v>0</v>
      </c>
      <c r="AT44" s="453">
        <f ca="1">IF(AND($D44="Serviço",AT$12&lt;&gt;0,$H44&gt;0,OR(AUTOEVENTO&lt;&gt;"manual",$M44&lt;&gt;$A$15)),
        IF(Import.TipoArredondamento&lt;&gt;"TransfereGOV",
              ROUND(OFFSET($P44,0,AT$13),15-13*ORÇAMENTO!$AF$7)/$H44*OFFSET(ORÇAMENTO!$X$15,ROW(AT44)-ROW(AT$15),0),
              ROUND(ROUND(OFFSET($P44,0,AT$13),15-13*ORÇAMENTO!$AF$7)*OFFSET(ORÇAMENTO!$W$15,ROW(AT44)-ROW(AT$15),0),15-13*ORÇAMENTO!$AF$11)),
         0)</f>
        <v>0</v>
      </c>
      <c r="AU44" s="453">
        <f ca="1">IF(AND($D44="Serviço",AU$12&lt;&gt;0,$H44&gt;0,OR(AUTOEVENTO&lt;&gt;"manual",$M44&lt;&gt;$A$15)),
        IF(Import.TipoArredondamento&lt;&gt;"TransfereGOV",
              ROUND(OFFSET($P44,0,AU$13),15-13*ORÇAMENTO!$AF$7)/$H44*OFFSET(ORÇAMENTO!$X$15,ROW(AU44)-ROW(AU$15),0),
              ROUND(ROUND(OFFSET($P44,0,AU$13),15-13*ORÇAMENTO!$AF$7)*OFFSET(ORÇAMENTO!$W$15,ROW(AU44)-ROW(AU$15),0),15-13*ORÇAMENTO!$AF$11)),
         0)</f>
        <v>0</v>
      </c>
      <c r="AV44" s="453">
        <f ca="1">IF(AND($D44="Serviço",AV$12&lt;&gt;0,$H44&gt;0,OR(AUTOEVENTO&lt;&gt;"manual",$M44&lt;&gt;$A$15)),
        IF(Import.TipoArredondamento&lt;&gt;"TransfereGOV",
              ROUND(OFFSET($P44,0,AV$13),15-13*ORÇAMENTO!$AF$7)/$H44*OFFSET(ORÇAMENTO!$X$15,ROW(AV44)-ROW(AV$15),0),
              ROUND(ROUND(OFFSET($P44,0,AV$13),15-13*ORÇAMENTO!$AF$7)*OFFSET(ORÇAMENTO!$W$15,ROW(AV44)-ROW(AV$15),0),15-13*ORÇAMENTO!$AF$11)),
         0)</f>
        <v>0</v>
      </c>
      <c r="AW44" s="453">
        <f ca="1">IF(AND($D44="Serviço",AW$12&lt;&gt;0,$H44&gt;0,OR(AUTOEVENTO&lt;&gt;"manual",$M44&lt;&gt;$A$15)),
        IF(Import.TipoArredondamento&lt;&gt;"TransfereGOV",
              ROUND(OFFSET($P44,0,AW$13),15-13*ORÇAMENTO!$AF$7)/$H44*OFFSET(ORÇAMENTO!$X$15,ROW(AW44)-ROW(AW$15),0),
              ROUND(ROUND(OFFSET($P44,0,AW$13),15-13*ORÇAMENTO!$AF$7)*OFFSET(ORÇAMENTO!$W$15,ROW(AW44)-ROW(AW$15),0),15-13*ORÇAMENTO!$AF$11)),
         0)</f>
        <v>0</v>
      </c>
      <c r="AX44" s="453">
        <f ca="1">IF(AND($D44="Serviço",AX$12&lt;&gt;0,$H44&gt;0,OR(AUTOEVENTO&lt;&gt;"manual",$M44&lt;&gt;$A$15)),
        IF(Import.TipoArredondamento&lt;&gt;"TransfereGOV",
              ROUND(OFFSET($P44,0,AX$13),15-13*ORÇAMENTO!$AF$7)/$H44*OFFSET(ORÇAMENTO!$X$15,ROW(AX44)-ROW(AX$15),0),
              ROUND(ROUND(OFFSET($P44,0,AX$13),15-13*ORÇAMENTO!$AF$7)*OFFSET(ORÇAMENTO!$W$15,ROW(AX44)-ROW(AX$15),0),15-13*ORÇAMENTO!$AF$11)),
         0)</f>
        <v>0</v>
      </c>
      <c r="AY44" s="453">
        <f ca="1">IF(AND($D44="Serviço",AY$12&lt;&gt;0,$H44&gt;0,OR(AUTOEVENTO&lt;&gt;"manual",$M44&lt;&gt;$A$15)),
        IF(Import.TipoArredondamento&lt;&gt;"TransfereGOV",
              ROUND(OFFSET($P44,0,AY$13),15-13*ORÇAMENTO!$AF$7)/$H44*OFFSET(ORÇAMENTO!$X$15,ROW(AY44)-ROW(AY$15),0),
              ROUND(ROUND(OFFSET($P44,0,AY$13),15-13*ORÇAMENTO!$AF$7)*OFFSET(ORÇAMENTO!$W$15,ROW(AY44)-ROW(AY$15),0),15-13*ORÇAMENTO!$AF$11)),
         0)</f>
        <v>0</v>
      </c>
      <c r="AZ44" s="453">
        <f ca="1">IF(AND($D44="Serviço",AZ$12&lt;&gt;0,$H44&gt;0,OR(AUTOEVENTO&lt;&gt;"manual",$M44&lt;&gt;$A$15)),
        IF(Import.TipoArredondamento&lt;&gt;"TransfereGOV",
              ROUND(OFFSET($P44,0,AZ$13),15-13*ORÇAMENTO!$AF$7)/$H44*OFFSET(ORÇAMENTO!$X$15,ROW(AZ44)-ROW(AZ$15),0),
              ROUND(ROUND(OFFSET($P44,0,AZ$13),15-13*ORÇAMENTO!$AF$7)*OFFSET(ORÇAMENTO!$W$15,ROW(AZ44)-ROW(AZ$15),0),15-13*ORÇAMENTO!$AF$11)),
         0)</f>
        <v>0</v>
      </c>
      <c r="BA44" s="453">
        <f ca="1">IF(AND($D44="Serviço",BA$12&lt;&gt;0,$H44&gt;0,OR(AUTOEVENTO&lt;&gt;"manual",$M44&lt;&gt;$A$15)),
        IF(Import.TipoArredondamento&lt;&gt;"TransfereGOV",
              ROUND(OFFSET($P44,0,BA$13),15-13*ORÇAMENTO!$AF$7)/$H44*OFFSET(ORÇAMENTO!$X$15,ROW(BA44)-ROW(BA$15),0),
              ROUND(ROUND(OFFSET($P44,0,BA$13),15-13*ORÇAMENTO!$AF$7)*OFFSET(ORÇAMENTO!$W$15,ROW(BA44)-ROW(BA$15),0),15-13*ORÇAMENTO!$AF$11)),
         0)</f>
        <v>0</v>
      </c>
      <c r="BB44" s="453">
        <f ca="1">IF(AND($D44="Serviço",BB$12&lt;&gt;0,$H44&gt;0,OR(AUTOEVENTO&lt;&gt;"manual",$M44&lt;&gt;$A$15)),
        IF(Import.TipoArredondamento&lt;&gt;"TransfereGOV",
              ROUND(OFFSET($P44,0,BB$13),15-13*ORÇAMENTO!$AF$7)/$H44*OFFSET(ORÇAMENTO!$X$15,ROW(BB44)-ROW(BB$15),0),
              ROUND(ROUND(OFFSET($P44,0,BB$13),15-13*ORÇAMENTO!$AF$7)*OFFSET(ORÇAMENTO!$W$15,ROW(BB44)-ROW(BB$15),0),15-13*ORÇAMENTO!$AF$11)),
         0)</f>
        <v>0</v>
      </c>
      <c r="BC44" s="453">
        <f ca="1">IF(AND($D44="Serviço",BC$12&lt;&gt;0,$H44&gt;0,OR(AUTOEVENTO&lt;&gt;"manual",$M44&lt;&gt;$A$15)),
        IF(Import.TipoArredondamento&lt;&gt;"TransfereGOV",
              ROUND(OFFSET($P44,0,BC$13),15-13*ORÇAMENTO!$AF$7)/$H44*OFFSET(ORÇAMENTO!$X$15,ROW(BC44)-ROW(BC$15),0),
              ROUND(ROUND(OFFSET($P44,0,BC$13),15-13*ORÇAMENTO!$AF$7)*OFFSET(ORÇAMENTO!$W$15,ROW(BC44)-ROW(BC$15),0),15-13*ORÇAMENTO!$AF$11)),
         0)</f>
        <v>0</v>
      </c>
      <c r="BD44" s="453">
        <f ca="1">IF(AND($D44="Serviço",BD$12&lt;&gt;0,$H44&gt;0,OR(AUTOEVENTO&lt;&gt;"manual",$M44&lt;&gt;$A$15)),
        IF(Import.TipoArredondamento&lt;&gt;"TransfereGOV",
              ROUND(OFFSET($P44,0,BD$13),15-13*ORÇAMENTO!$AF$7)/$H44*OFFSET(ORÇAMENTO!$X$15,ROW(BD44)-ROW(BD$15),0),
              ROUND(ROUND(OFFSET($P44,0,BD$13),15-13*ORÇAMENTO!$AF$7)*OFFSET(ORÇAMENTO!$W$15,ROW(BD44)-ROW(BD$15),0),15-13*ORÇAMENTO!$AF$11)),
         0)</f>
        <v>0</v>
      </c>
      <c r="BE44" s="453">
        <f ca="1">IF(AND($D44="Serviço",BE$12&lt;&gt;0,$H44&gt;0,OR(AUTOEVENTO&lt;&gt;"manual",$M44&lt;&gt;$A$15)),
        IF(Import.TipoArredondamento&lt;&gt;"TransfereGOV",
              ROUND(OFFSET($P44,0,BE$13),15-13*ORÇAMENTO!$AF$7)/$H44*OFFSET(ORÇAMENTO!$X$15,ROW(BE44)-ROW(BE$15),0),
              ROUND(ROUND(OFFSET($P44,0,BE$13),15-13*ORÇAMENTO!$AF$7)*OFFSET(ORÇAMENTO!$W$15,ROW(BE44)-ROW(BE$15),0),15-13*ORÇAMENTO!$AF$11)),
         0)</f>
        <v>0</v>
      </c>
      <c r="BF44" s="453">
        <f ca="1">IF(AND($D44="Serviço",BF$12&lt;&gt;0,$H44&gt;0,OR(AUTOEVENTO&lt;&gt;"manual",$M44&lt;&gt;$A$15)),
        IF(Import.TipoArredondamento&lt;&gt;"TransfereGOV",
              ROUND(OFFSET($P44,0,BF$13),15-13*ORÇAMENTO!$AF$7)/$H44*OFFSET(ORÇAMENTO!$X$15,ROW(BF44)-ROW(BF$15),0),
              ROUND(ROUND(OFFSET($P44,0,BF$13),15-13*ORÇAMENTO!$AF$7)*OFFSET(ORÇAMENTO!$W$15,ROW(BF44)-ROW(BF$15),0),15-13*ORÇAMENTO!$AF$11)),
         0)</f>
        <v>0</v>
      </c>
      <c r="BG44" s="453">
        <f ca="1">IF(AND($D44="Serviço",BG$12&lt;&gt;0,$H44&gt;0,OR(AUTOEVENTO&lt;&gt;"manual",$M44&lt;&gt;$A$15)),
        IF(Import.TipoArredondamento&lt;&gt;"TransfereGOV",
              ROUND(OFFSET($P44,0,BG$13),15-13*ORÇAMENTO!$AF$7)/$H44*OFFSET(ORÇAMENTO!$X$15,ROW(BG44)-ROW(BG$15),0),
              ROUND(ROUND(OFFSET($P44,0,BG$13),15-13*ORÇAMENTO!$AF$7)*OFFSET(ORÇAMENTO!$W$15,ROW(BG44)-ROW(BG$15),0),15-13*ORÇAMENTO!$AF$11)),
         0)</f>
        <v>0</v>
      </c>
      <c r="BH44" s="453">
        <f ca="1">IF(AND($D44="Serviço",BH$12&lt;&gt;0,$H44&gt;0,OR(AUTOEVENTO&lt;&gt;"manual",$M44&lt;&gt;$A$15)),
        IF(Import.TipoArredondamento&lt;&gt;"TransfereGOV",
              ROUND(OFFSET($P44,0,BH$13),15-13*ORÇAMENTO!$AF$7)/$H44*OFFSET(ORÇAMENTO!$X$15,ROW(BH44)-ROW(BH$15),0),
              ROUND(ROUND(OFFSET($P44,0,BH$13),15-13*ORÇAMENTO!$AF$7)*OFFSET(ORÇAMENTO!$W$15,ROW(BH44)-ROW(BH$15),0),15-13*ORÇAMENTO!$AF$11)),
         0)</f>
        <v>0</v>
      </c>
      <c r="BI44" s="453">
        <f ca="1">IF(AND($D44="Serviço",BI$12&lt;&gt;0,$H44&gt;0,OR(AUTOEVENTO&lt;&gt;"manual",$M44&lt;&gt;$A$15)),
        IF(Import.TipoArredondamento&lt;&gt;"TransfereGOV",
              ROUND(OFFSET($P44,0,BI$13),15-13*ORÇAMENTO!$AF$7)/$H44*OFFSET(ORÇAMENTO!$X$15,ROW(BI44)-ROW(BI$15),0),
              ROUND(ROUND(OFFSET($P44,0,BI$13),15-13*ORÇAMENTO!$AF$7)*OFFSET(ORÇAMENTO!$W$15,ROW(BI44)-ROW(BI$15),0),15-13*ORÇAMENTO!$AF$11)),
         0)</f>
        <v>0</v>
      </c>
      <c r="BJ44" s="453">
        <f ca="1">IF(AND($D44="Serviço",BJ$12&lt;&gt;0,$H44&gt;0,OR(AUTOEVENTO&lt;&gt;"manual",$M44&lt;&gt;$A$15)),
        IF(Import.TipoArredondamento&lt;&gt;"TransfereGOV",
              ROUND(OFFSET($P44,0,BJ$13),15-13*ORÇAMENTO!$AF$7)/$H44*OFFSET(ORÇAMENTO!$X$15,ROW(BJ44)-ROW(BJ$15),0),
              ROUND(ROUND(OFFSET($P44,0,BJ$13),15-13*ORÇAMENTO!$AF$7)*OFFSET(ORÇAMENTO!$W$15,ROW(BJ44)-ROW(BJ$15),0),15-13*ORÇAMENTO!$AF$11)),
         0)</f>
        <v>0</v>
      </c>
      <c r="BK44" s="453">
        <f ca="1">IF(AND($D44="Serviço",BK$12&lt;&gt;0,$H44&gt;0,OR(AUTOEVENTO&lt;&gt;"manual",$M44&lt;&gt;$A$15)),
        IF(Import.TipoArredondamento&lt;&gt;"TransfereGOV",
              ROUND(OFFSET($P44,0,BK$13),15-13*ORÇAMENTO!$AF$7)/$H44*OFFSET(ORÇAMENTO!$X$15,ROW(BK44)-ROW(BK$15),0),
              ROUND(ROUND(OFFSET($P44,0,BK$13),15-13*ORÇAMENTO!$AF$7)*OFFSET(ORÇAMENTO!$W$15,ROW(BK44)-ROW(BK$15),0),15-13*ORÇAMENTO!$AF$11)),
         0)</f>
        <v>0</v>
      </c>
      <c r="BL44" s="453">
        <f ca="1">IF(AND($D44="Serviço",BL$12&lt;&gt;0,$H44&gt;0,OR(AUTOEVENTO&lt;&gt;"manual",$M44&lt;&gt;$A$15)),
        IF(Import.TipoArredondamento&lt;&gt;"TransfereGOV",
              ROUND(OFFSET($P44,0,BL$13),15-13*ORÇAMENTO!$AF$7)/$H44*OFFSET(ORÇAMENTO!$X$15,ROW(BL44)-ROW(BL$15),0),
              ROUND(ROUND(OFFSET($P44,0,BL$13),15-13*ORÇAMENTO!$AF$7)*OFFSET(ORÇAMENTO!$W$15,ROW(BL44)-ROW(BL$15),0),15-13*ORÇAMENTO!$AF$11)),
         0)</f>
        <v>0</v>
      </c>
      <c r="BM44" s="453">
        <f ca="1">IF(AND($D44="Serviço",BM$12&lt;&gt;0,$H44&gt;0,OR(AUTOEVENTO&lt;&gt;"manual",$M44&lt;&gt;$A$15)),
        IF(Import.TipoArredondamento&lt;&gt;"TransfereGOV",
              ROUND(OFFSET($P44,0,BM$13),15-13*ORÇAMENTO!$AF$7)/$H44*OFFSET(ORÇAMENTO!$X$15,ROW(BM44)-ROW(BM$15),0),
              ROUND(ROUND(OFFSET($P44,0,BM$13),15-13*ORÇAMENTO!$AF$7)*OFFSET(ORÇAMENTO!$W$15,ROW(BM44)-ROW(BM$15),0),15-13*ORÇAMENTO!$AF$11)),
         0)</f>
        <v>0</v>
      </c>
      <c r="BN44" s="453">
        <f ca="1">IF(AND($D44="Serviço",BN$12&lt;&gt;0,$H44&gt;0,OR(AUTOEVENTO&lt;&gt;"manual",$M44&lt;&gt;$A$15)),
        IF(Import.TipoArredondamento&lt;&gt;"TransfereGOV",
              ROUND(OFFSET($P44,0,BN$13),15-13*ORÇAMENTO!$AF$7)/$H44*OFFSET(ORÇAMENTO!$X$15,ROW(BN44)-ROW(BN$15),0),
              ROUND(ROUND(OFFSET($P44,0,BN$13),15-13*ORÇAMENTO!$AF$7)*OFFSET(ORÇAMENTO!$W$15,ROW(BN44)-ROW(BN$15),0),15-13*ORÇAMENTO!$AF$11)),
         0)</f>
        <v>0</v>
      </c>
      <c r="BO44" s="453">
        <f ca="1">IF(AND($D44="Serviço",BO$12&lt;&gt;0,$H44&gt;0,OR(AUTOEVENTO&lt;&gt;"manual",$M44&lt;&gt;$A$15)),
        IF(Import.TipoArredondamento&lt;&gt;"TransfereGOV",
              ROUND(OFFSET($P44,0,BO$13),15-13*ORÇAMENTO!$AF$7)/$H44*OFFSET(ORÇAMENTO!$X$15,ROW(BO44)-ROW(BO$15),0),
              ROUND(ROUND(OFFSET($P44,0,BO$13),15-13*ORÇAMENTO!$AF$7)*OFFSET(ORÇAMENTO!$W$15,ROW(BO44)-ROW(BO$15),0),15-13*ORÇAMENTO!$AF$11)),
         0)</f>
        <v>0</v>
      </c>
      <c r="BP44" s="453">
        <f ca="1">IF(AND($D44="Serviço",BP$12&lt;&gt;0,$H44&gt;0,OR(AUTOEVENTO&lt;&gt;"manual",$M44&lt;&gt;$A$15)),
        IF(Import.TipoArredondamento&lt;&gt;"TransfereGOV",
              ROUND(OFFSET($P44,0,BP$13),15-13*ORÇAMENTO!$AF$7)/$H44*OFFSET(ORÇAMENTO!$X$15,ROW(BP44)-ROW(BP$15),0),
              ROUND(ROUND(OFFSET($P44,0,BP$13),15-13*ORÇAMENTO!$AF$7)*OFFSET(ORÇAMENTO!$W$15,ROW(BP44)-ROW(BP$15),0),15-13*ORÇAMENTO!$AF$11)),
         0)</f>
        <v>0</v>
      </c>
      <c r="BQ44" s="453">
        <f ca="1">IF(AND($D44="Serviço",BQ$12&lt;&gt;0,$H44&gt;0,OR(AUTOEVENTO&lt;&gt;"manual",$M44&lt;&gt;$A$15)),
        IF(Import.TipoArredondamento&lt;&gt;"TransfereGOV",
              ROUND(OFFSET($P44,0,BQ$13),15-13*ORÇAMENTO!$AF$7)/$H44*OFFSET(ORÇAMENTO!$X$15,ROW(BQ44)-ROW(BQ$15),0),
              ROUND(ROUND(OFFSET($P44,0,BQ$13),15-13*ORÇAMENTO!$AF$7)*OFFSET(ORÇAMENTO!$W$15,ROW(BQ44)-ROW(BQ$15),0),15-13*ORÇAMENTO!$AF$11)),
         0)</f>
        <v>0</v>
      </c>
      <c r="BS44" s="171">
        <f ca="1">IF(OR($D44&lt;&gt;"Serviço",AND(AUTOEVENTO="Manual",$M44=$A$15)),0,
         IF(OFFSET(CRONOPLE!$F$15,$M44-$A$15,BS$13)=0,10^12,OFFSET(CRONOPLE!$F$15,$M44-$A$15,BS$13)))</f>
        <v>1</v>
      </c>
      <c r="BT44" s="171">
        <f ca="1">IF(OR($D44&lt;&gt;"Serviço",AND(AUTOEVENTO="Manual",$M44=$A$15)),0,
         IF(OFFSET(CRONOPLE!$F$15,$M44-$A$15,BT$13)=0,10^12,OFFSET(CRONOPLE!$F$15,$M44-$A$15,BT$13)))</f>
        <v>2</v>
      </c>
      <c r="BU44" s="171">
        <f ca="1">IF(OR($D44&lt;&gt;"Serviço",AND(AUTOEVENTO="Manual",$M44=$A$15)),0,
         IF(OFFSET(CRONOPLE!$F$15,$M44-$A$15,BU$13)=0,10^12,OFFSET(CRONOPLE!$F$15,$M44-$A$15,BU$13)))</f>
        <v>3</v>
      </c>
      <c r="BV44" s="171">
        <f ca="1">IF(OR($D44&lt;&gt;"Serviço",AND(AUTOEVENTO="Manual",$M44=$A$15)),0,
         IF(OFFSET(CRONOPLE!$F$15,$M44-$A$15,BV$13)=0,10^12,OFFSET(CRONOPLE!$F$15,$M44-$A$15,BV$13)))</f>
        <v>4</v>
      </c>
      <c r="BW44" s="171">
        <f ca="1">IF(OR($D44&lt;&gt;"Serviço",AND(AUTOEVENTO="Manual",$M44=$A$15)),0,
         IF(OFFSET(CRONOPLE!$F$15,$M44-$A$15,BW$13)=0,10^12,OFFSET(CRONOPLE!$F$15,$M44-$A$15,BW$13)))</f>
        <v>5</v>
      </c>
      <c r="BX44" s="171">
        <f ca="1">IF(OR($D44&lt;&gt;"Serviço",AND(AUTOEVENTO="Manual",$M44=$A$15)),0,
         IF(OFFSET(CRONOPLE!$F$15,$M44-$A$15,BX$13)=0,10^12,OFFSET(CRONOPLE!$F$15,$M44-$A$15,BX$13)))</f>
        <v>6</v>
      </c>
      <c r="BY44" s="171">
        <f ca="1">IF(OR($D44&lt;&gt;"Serviço",AND(AUTOEVENTO="Manual",$M44=$A$15)),0,
         IF(OFFSET(CRONOPLE!$F$15,$M44-$A$15,BY$13)=0,10^12,OFFSET(CRONOPLE!$F$15,$M44-$A$15,BY$13)))</f>
        <v>7</v>
      </c>
      <c r="BZ44" s="171">
        <f ca="1">IF(OR($D44&lt;&gt;"Serviço",AND(AUTOEVENTO="Manual",$M44=$A$15)),0,
         IF(OFFSET(CRONOPLE!$F$15,$M44-$A$15,BZ$13)=0,10^12,OFFSET(CRONOPLE!$F$15,$M44-$A$15,BZ$13)))</f>
        <v>8</v>
      </c>
      <c r="CA44" s="171">
        <f ca="1">IF(OR($D44&lt;&gt;"Serviço",AND(AUTOEVENTO="Manual",$M44=$A$15)),0,
         IF(OFFSET(CRONOPLE!$F$15,$M44-$A$15,CA$13)=0,10^12,OFFSET(CRONOPLE!$F$15,$M44-$A$15,CA$13)))</f>
        <v>9</v>
      </c>
      <c r="CB44" s="171">
        <f ca="1">IF(OR($D44&lt;&gt;"Serviço",AND(AUTOEVENTO="Manual",$M44=$A$15)),0,
         IF(OFFSET(CRONOPLE!$F$15,$M44-$A$15,CB$13)=0,10^12,OFFSET(CRONOPLE!$F$15,$M44-$A$15,CB$13)))</f>
        <v>10</v>
      </c>
      <c r="CC44" s="171">
        <f ca="1">IF(OR($D44&lt;&gt;"Serviço",AND(AUTOEVENTO="Manual",$M44=$A$15)),0,
         IF(OFFSET(CRONOPLE!$F$15,$M44-$A$15,CC$13)=0,10^12,OFFSET(CRONOPLE!$F$15,$M44-$A$15,CC$13)))</f>
        <v>11</v>
      </c>
      <c r="CD44" s="171">
        <f ca="1">IF(OR($D44&lt;&gt;"Serviço",AND(AUTOEVENTO="Manual",$M44=$A$15)),0,
         IF(OFFSET(CRONOPLE!$F$15,$M44-$A$15,CD$13)=0,10^12,OFFSET(CRONOPLE!$F$15,$M44-$A$15,CD$13)))</f>
        <v>12</v>
      </c>
      <c r="CE44" s="171">
        <f ca="1">IF(OR($D44&lt;&gt;"Serviço",AND(AUTOEVENTO="Manual",$M44=$A$15)),0,
         IF(OFFSET(CRONOPLE!$F$15,$M44-$A$15,CE$13)=0,10^12,OFFSET(CRONOPLE!$F$15,$M44-$A$15,CE$13)))</f>
        <v>13</v>
      </c>
      <c r="CF44" s="171">
        <f ca="1">IF(OR($D44&lt;&gt;"Serviço",AND(AUTOEVENTO="Manual",$M44=$A$15)),0,
         IF(OFFSET(CRONOPLE!$F$15,$M44-$A$15,CF$13)=0,10^12,OFFSET(CRONOPLE!$F$15,$M44-$A$15,CF$13)))</f>
        <v>14</v>
      </c>
      <c r="CG44" s="171">
        <f ca="1">IF(OR($D44&lt;&gt;"Serviço",AND(AUTOEVENTO="Manual",$M44=$A$15)),0,
         IF(OFFSET(CRONOPLE!$F$15,$M44-$A$15,CG$13)=0,10^12,OFFSET(CRONOPLE!$F$15,$M44-$A$15,CG$13)))</f>
        <v>15</v>
      </c>
      <c r="CH44" s="171">
        <f ca="1">IF(OR($D44&lt;&gt;"Serviço",AND(AUTOEVENTO="Manual",$M44=$A$15)),0,
         IF(OFFSET(CRONOPLE!$F$15,$M44-$A$15,CH$13)=0,10^12,OFFSET(CRONOPLE!$F$15,$M44-$A$15,CH$13)))</f>
        <v>16</v>
      </c>
      <c r="CI44" s="171">
        <f ca="1">IF(OR($D44&lt;&gt;"Serviço",AND(AUTOEVENTO="Manual",$M44=$A$15)),0,
         IF(OFFSET(CRONOPLE!$F$15,$M44-$A$15,CI$13)=0,10^12,OFFSET(CRONOPLE!$F$15,$M44-$A$15,CI$13)))</f>
        <v>17</v>
      </c>
      <c r="CJ44" s="171">
        <f ca="1">IF(OR($D44&lt;&gt;"Serviço",AND(AUTOEVENTO="Manual",$M44=$A$15)),0,
         IF(OFFSET(CRONOPLE!$F$15,$M44-$A$15,CJ$13)=0,10^12,OFFSET(CRONOPLE!$F$15,$M44-$A$15,CJ$13)))</f>
        <v>18</v>
      </c>
      <c r="CK44" s="171">
        <f ca="1">IF(OR($D44&lt;&gt;"Serviço",AND(AUTOEVENTO="Manual",$M44=$A$15)),0,
         IF(OFFSET(CRONOPLE!$F$15,$M44-$A$15,CK$13)=0,10^12,OFFSET(CRONOPLE!$F$15,$M44-$A$15,CK$13)))</f>
        <v>19</v>
      </c>
      <c r="CL44" s="171">
        <f ca="1">IF(OR($D44&lt;&gt;"Serviço",AND(AUTOEVENTO="Manual",$M44=$A$15)),0,
         IF(OFFSET(CRONOPLE!$F$15,$M44-$A$15,CL$13)=0,10^12,OFFSET(CRONOPLE!$F$15,$M44-$A$15,CL$13)))</f>
        <v>20</v>
      </c>
      <c r="CM44" s="171">
        <f ca="1">IF(OR($D44&lt;&gt;"Serviço",AND(AUTOEVENTO="Manual",$M44=$A$15)),0,
         IF(OFFSET(CRONOPLE!$F$15,$M44-$A$15,CM$13)=0,10^12,OFFSET(CRONOPLE!$F$15,$M44-$A$15,CM$13)))</f>
        <v>1000000000000</v>
      </c>
      <c r="CN44" s="171">
        <f ca="1">IF(OR($D44&lt;&gt;"Serviço",AND(AUTOEVENTO="Manual",$M44=$A$15)),0,
         IF(OFFSET(CRONOPLE!$F$15,$M44-$A$15,CN$13)=0,10^12,OFFSET(CRONOPLE!$F$15,$M44-$A$15,CN$13)))</f>
        <v>1000000000000</v>
      </c>
      <c r="CO44" s="171">
        <f ca="1">IF(OR($D44&lt;&gt;"Serviço",AND(AUTOEVENTO="Manual",$M44=$A$15)),0,
         IF(OFFSET(CRONOPLE!$F$15,$M44-$A$15,CO$13)=0,10^12,OFFSET(CRONOPLE!$F$15,$M44-$A$15,CO$13)))</f>
        <v>1000000000000</v>
      </c>
      <c r="CP44" s="171">
        <f ca="1">IF(OR($D44&lt;&gt;"Serviço",AND(AUTOEVENTO="Manual",$M44=$A$15)),0,
         IF(OFFSET(CRONOPLE!$F$15,$M44-$A$15,CP$13)=0,10^12,OFFSET(CRONOPLE!$F$15,$M44-$A$15,CP$13)))</f>
        <v>1000000000000</v>
      </c>
      <c r="CQ44" s="171">
        <f ca="1">IF(OR($D44&lt;&gt;"Serviço",AND(AUTOEVENTO="Manual",$M44=$A$15)),0,
         IF(OFFSET(CRONOPLE!$F$15,$M44-$A$15,CQ$13)=0,10^12,OFFSET(CRONOPLE!$F$15,$M44-$A$15,CQ$13)))</f>
        <v>1000000000000</v>
      </c>
      <c r="CR44" s="171">
        <f ca="1">IF(OR($D44&lt;&gt;"Serviço",AND(AUTOEVENTO="Manual",$M44=$A$15)),0,
         IF(OFFSET(CRONOPLE!$F$15,$M44-$A$15,CR$13)=0,10^12,OFFSET(CRONOPLE!$F$15,$M44-$A$15,CR$13)))</f>
        <v>1000000000000</v>
      </c>
      <c r="CT44" s="172" cm="1">
        <f t="array" aca="1" ref="CT44" ca="1">IF(OR($D44&lt;&gt;"Serviço",AND(AUTOEVENTO="Manual",$M44=$A$15),$M44&gt;(ROW(PLE.lastrow)-ROW(PLE.firstrow))),0,
           IF(OFFSET(PLE!$G$15,$M44-$A$15,CT$13)="",10^12,OFFSET(PLE!$G$15,$M44-$A$15,CT$13)))</f>
        <v>1000000000000</v>
      </c>
      <c r="CU44" s="172" cm="1">
        <f t="array" aca="1" ref="CU44" ca="1">IF(OR($D44&lt;&gt;"Serviço",AND(AUTOEVENTO="Manual",$M44=$A$15),$M44&gt;(ROW(PLE.lastrow)-ROW(PLE.firstrow))),0,
           IF(OFFSET(PLE!$G$15,$M44-$A$15,CU$13)="",10^12,OFFSET(PLE!$G$15,$M44-$A$15,CU$13)))</f>
        <v>1000000000000</v>
      </c>
      <c r="CV44" s="172" cm="1">
        <f t="array" aca="1" ref="CV44" ca="1">IF(OR($D44&lt;&gt;"Serviço",AND(AUTOEVENTO="Manual",$M44=$A$15),$M44&gt;(ROW(PLE.lastrow)-ROW(PLE.firstrow))),0,
           IF(OFFSET(PLE!$G$15,$M44-$A$15,CV$13)="",10^12,OFFSET(PLE!$G$15,$M44-$A$15,CV$13)))</f>
        <v>1000000000000</v>
      </c>
      <c r="CW44" s="172" cm="1">
        <f t="array" aca="1" ref="CW44" ca="1">IF(OR($D44&lt;&gt;"Serviço",AND(AUTOEVENTO="Manual",$M44=$A$15),$M44&gt;(ROW(PLE.lastrow)-ROW(PLE.firstrow))),0,
           IF(OFFSET(PLE!$G$15,$M44-$A$15,CW$13)="",10^12,OFFSET(PLE!$G$15,$M44-$A$15,CW$13)))</f>
        <v>1000000000000</v>
      </c>
      <c r="CX44" s="172" cm="1">
        <f t="array" aca="1" ref="CX44" ca="1">IF(OR($D44&lt;&gt;"Serviço",AND(AUTOEVENTO="Manual",$M44=$A$15),$M44&gt;(ROW(PLE.lastrow)-ROW(PLE.firstrow))),0,
           IF(OFFSET(PLE!$G$15,$M44-$A$15,CX$13)="",10^12,OFFSET(PLE!$G$15,$M44-$A$15,CX$13)))</f>
        <v>1000000000000</v>
      </c>
      <c r="CY44" s="172" cm="1">
        <f t="array" aca="1" ref="CY44" ca="1">IF(OR($D44&lt;&gt;"Serviço",AND(AUTOEVENTO="Manual",$M44=$A$15),$M44&gt;(ROW(PLE.lastrow)-ROW(PLE.firstrow))),0,
           IF(OFFSET(PLE!$G$15,$M44-$A$15,CY$13)="",10^12,OFFSET(PLE!$G$15,$M44-$A$15,CY$13)))</f>
        <v>1000000000000</v>
      </c>
      <c r="CZ44" s="172" cm="1">
        <f t="array" aca="1" ref="CZ44" ca="1">IF(OR($D44&lt;&gt;"Serviço",AND(AUTOEVENTO="Manual",$M44=$A$15),$M44&gt;(ROW(PLE.lastrow)-ROW(PLE.firstrow))),0,
           IF(OFFSET(PLE!$G$15,$M44-$A$15,CZ$13)="",10^12,OFFSET(PLE!$G$15,$M44-$A$15,CZ$13)))</f>
        <v>1000000000000</v>
      </c>
      <c r="DA44" s="172" cm="1">
        <f t="array" aca="1" ref="DA44" ca="1">IF(OR($D44&lt;&gt;"Serviço",AND(AUTOEVENTO="Manual",$M44=$A$15),$M44&gt;(ROW(PLE.lastrow)-ROW(PLE.firstrow))),0,
           IF(OFFSET(PLE!$G$15,$M44-$A$15,DA$13)="",10^12,OFFSET(PLE!$G$15,$M44-$A$15,DA$13)))</f>
        <v>1000000000000</v>
      </c>
      <c r="DB44" s="172" cm="1">
        <f t="array" aca="1" ref="DB44" ca="1">IF(OR($D44&lt;&gt;"Serviço",AND(AUTOEVENTO="Manual",$M44=$A$15),$M44&gt;(ROW(PLE.lastrow)-ROW(PLE.firstrow))),0,
           IF(OFFSET(PLE!$G$15,$M44-$A$15,DB$13)="",10^12,OFFSET(PLE!$G$15,$M44-$A$15,DB$13)))</f>
        <v>1000000000000</v>
      </c>
      <c r="DC44" s="172" cm="1">
        <f t="array" aca="1" ref="DC44" ca="1">IF(OR($D44&lt;&gt;"Serviço",AND(AUTOEVENTO="Manual",$M44=$A$15),$M44&gt;(ROW(PLE.lastrow)-ROW(PLE.firstrow))),0,
           IF(OFFSET(PLE!$G$15,$M44-$A$15,DC$13)="",10^12,OFFSET(PLE!$G$15,$M44-$A$15,DC$13)))</f>
        <v>1000000000000</v>
      </c>
      <c r="DD44" s="172" cm="1">
        <f t="array" aca="1" ref="DD44" ca="1">IF(OR($D44&lt;&gt;"Serviço",AND(AUTOEVENTO="Manual",$M44=$A$15),$M44&gt;(ROW(PLE.lastrow)-ROW(PLE.firstrow))),0,
           IF(OFFSET(PLE!$G$15,$M44-$A$15,DD$13)="",10^12,OFFSET(PLE!$G$15,$M44-$A$15,DD$13)))</f>
        <v>1000000000000</v>
      </c>
      <c r="DE44" s="172" cm="1">
        <f t="array" aca="1" ref="DE44" ca="1">IF(OR($D44&lt;&gt;"Serviço",AND(AUTOEVENTO="Manual",$M44=$A$15),$M44&gt;(ROW(PLE.lastrow)-ROW(PLE.firstrow))),0,
           IF(OFFSET(PLE!$G$15,$M44-$A$15,DE$13)="",10^12,OFFSET(PLE!$G$15,$M44-$A$15,DE$13)))</f>
        <v>1000000000000</v>
      </c>
      <c r="DF44" s="172" cm="1">
        <f t="array" aca="1" ref="DF44" ca="1">IF(OR($D44&lt;&gt;"Serviço",AND(AUTOEVENTO="Manual",$M44=$A$15),$M44&gt;(ROW(PLE.lastrow)-ROW(PLE.firstrow))),0,
           IF(OFFSET(PLE!$G$15,$M44-$A$15,DF$13)="",10^12,OFFSET(PLE!$G$15,$M44-$A$15,DF$13)))</f>
        <v>1000000000000</v>
      </c>
      <c r="DG44" s="172" cm="1">
        <f t="array" aca="1" ref="DG44" ca="1">IF(OR($D44&lt;&gt;"Serviço",AND(AUTOEVENTO="Manual",$M44=$A$15),$M44&gt;(ROW(PLE.lastrow)-ROW(PLE.firstrow))),0,
           IF(OFFSET(PLE!$G$15,$M44-$A$15,DG$13)="",10^12,OFFSET(PLE!$G$15,$M44-$A$15,DG$13)))</f>
        <v>1000000000000</v>
      </c>
      <c r="DH44" s="172" cm="1">
        <f t="array" aca="1" ref="DH44" ca="1">IF(OR($D44&lt;&gt;"Serviço",AND(AUTOEVENTO="Manual",$M44=$A$15),$M44&gt;(ROW(PLE.lastrow)-ROW(PLE.firstrow))),0,
           IF(OFFSET(PLE!$G$15,$M44-$A$15,DH$13)="",10^12,OFFSET(PLE!$G$15,$M44-$A$15,DH$13)))</f>
        <v>1000000000000</v>
      </c>
      <c r="DI44" s="172" cm="1">
        <f t="array" aca="1" ref="DI44" ca="1">IF(OR($D44&lt;&gt;"Serviço",AND(AUTOEVENTO="Manual",$M44=$A$15),$M44&gt;(ROW(PLE.lastrow)-ROW(PLE.firstrow))),0,
           IF(OFFSET(PLE!$G$15,$M44-$A$15,DI$13)="",10^12,OFFSET(PLE!$G$15,$M44-$A$15,DI$13)))</f>
        <v>1000000000000</v>
      </c>
      <c r="DJ44" s="172" cm="1">
        <f t="array" aca="1" ref="DJ44" ca="1">IF(OR($D44&lt;&gt;"Serviço",AND(AUTOEVENTO="Manual",$M44=$A$15),$M44&gt;(ROW(PLE.lastrow)-ROW(PLE.firstrow))),0,
           IF(OFFSET(PLE!$G$15,$M44-$A$15,DJ$13)="",10^12,OFFSET(PLE!$G$15,$M44-$A$15,DJ$13)))</f>
        <v>1000000000000</v>
      </c>
      <c r="DK44" s="172" cm="1">
        <f t="array" aca="1" ref="DK44" ca="1">IF(OR($D44&lt;&gt;"Serviço",AND(AUTOEVENTO="Manual",$M44=$A$15),$M44&gt;(ROW(PLE.lastrow)-ROW(PLE.firstrow))),0,
           IF(OFFSET(PLE!$G$15,$M44-$A$15,DK$13)="",10^12,OFFSET(PLE!$G$15,$M44-$A$15,DK$13)))</f>
        <v>1000000000000</v>
      </c>
      <c r="DL44" s="172" cm="1">
        <f t="array" aca="1" ref="DL44" ca="1">IF(OR($D44&lt;&gt;"Serviço",AND(AUTOEVENTO="Manual",$M44=$A$15),$M44&gt;(ROW(PLE.lastrow)-ROW(PLE.firstrow))),0,
           IF(OFFSET(PLE!$G$15,$M44-$A$15,DL$13)="",10^12,OFFSET(PLE!$G$15,$M44-$A$15,DL$13)))</f>
        <v>1000000000000</v>
      </c>
      <c r="DM44" s="172" cm="1">
        <f t="array" aca="1" ref="DM44" ca="1">IF(OR($D44&lt;&gt;"Serviço",AND(AUTOEVENTO="Manual",$M44=$A$15),$M44&gt;(ROW(PLE.lastrow)-ROW(PLE.firstrow))),0,
           IF(OFFSET(PLE!$G$15,$M44-$A$15,DM$13)="",10^12,OFFSET(PLE!$G$15,$M44-$A$15,DM$13)))</f>
        <v>1000000000000</v>
      </c>
      <c r="DN44" s="172" cm="1">
        <f t="array" aca="1" ref="DN44" ca="1">IF(OR($D44&lt;&gt;"Serviço",AND(AUTOEVENTO="Manual",$M44=$A$15),$M44&gt;(ROW(PLE.lastrow)-ROW(PLE.firstrow))),0,
           IF(OFFSET(PLE!$G$15,$M44-$A$15,DN$13)="",10^12,OFFSET(PLE!$G$15,$M44-$A$15,DN$13)))</f>
        <v>1000000000000</v>
      </c>
      <c r="DO44" s="172" cm="1">
        <f t="array" aca="1" ref="DO44" ca="1">IF(OR($D44&lt;&gt;"Serviço",AND(AUTOEVENTO="Manual",$M44=$A$15),$M44&gt;(ROW(PLE.lastrow)-ROW(PLE.firstrow))),0,
           IF(OFFSET(PLE!$G$15,$M44-$A$15,DO$13)="",10^12,OFFSET(PLE!$G$15,$M44-$A$15,DO$13)))</f>
        <v>1000000000000</v>
      </c>
      <c r="DP44" s="172" cm="1">
        <f t="array" aca="1" ref="DP44" ca="1">IF(OR($D44&lt;&gt;"Serviço",AND(AUTOEVENTO="Manual",$M44=$A$15),$M44&gt;(ROW(PLE.lastrow)-ROW(PLE.firstrow))),0,
           IF(OFFSET(PLE!$G$15,$M44-$A$15,DP$13)="",10^12,OFFSET(PLE!$G$15,$M44-$A$15,DP$13)))</f>
        <v>1000000000000</v>
      </c>
      <c r="DQ44" s="172" cm="1">
        <f t="array" aca="1" ref="DQ44" ca="1">IF(OR($D44&lt;&gt;"Serviço",AND(AUTOEVENTO="Manual",$M44=$A$15),$M44&gt;(ROW(PLE.lastrow)-ROW(PLE.firstrow))),0,
           IF(OFFSET(PLE!$G$15,$M44-$A$15,DQ$13)="",10^12,OFFSET(PLE!$G$15,$M44-$A$15,DQ$13)))</f>
        <v>1000000000000</v>
      </c>
      <c r="DR44" s="172" cm="1">
        <f t="array" aca="1" ref="DR44" ca="1">IF(OR($D44&lt;&gt;"Serviço",AND(AUTOEVENTO="Manual",$M44=$A$15),$M44&gt;(ROW(PLE.lastrow)-ROW(PLE.firstrow))),0,
           IF(OFFSET(PLE!$G$15,$M44-$A$15,DR$13)="",10^12,OFFSET(PLE!$G$15,$M44-$A$15,DR$13)))</f>
        <v>1000000000000</v>
      </c>
      <c r="DS44" s="172" cm="1">
        <f t="array" aca="1" ref="DS44" ca="1">IF(OR($D44&lt;&gt;"Serviço",AND(AUTOEVENTO="Manual",$M44=$A$15),$M44&gt;(ROW(PLE.lastrow)-ROW(PLE.firstrow))),0,
           IF(OFFSET(PLE!$G$15,$M44-$A$15,DS$13)="",10^12,OFFSET(PLE!$G$15,$M44-$A$15,DS$13)))</f>
        <v>1000000000000</v>
      </c>
    </row>
    <row r="45" spans="1:123" ht="12.75" x14ac:dyDescent="0.2">
      <c r="A45" s="7">
        <f t="shared" ca="1" si="11"/>
        <v>0</v>
      </c>
      <c r="B45" s="7">
        <f ca="1">OFFSET(ORÇAMENTO!C$15,$L45,0)</f>
        <v>2</v>
      </c>
      <c r="C45" s="7" t="str">
        <f ca="1">OFFSET(ORÇAMENTO!L$15,$L45,0)</f>
        <v>F</v>
      </c>
      <c r="D45" s="116" t="str">
        <f ca="1">OFFSET(ORÇAMENTO!N$15,$L45,0)</f>
        <v>Nível 2</v>
      </c>
      <c r="E45" s="117" t="str">
        <f ca="1">OFFSET(ORÇAMENTO!O$15,$L45,0)</f>
        <v>3.3.</v>
      </c>
      <c r="F45" s="163" t="str">
        <f ca="1">OFFSET(ORÇAMENTO!R$15,$L45,0)</f>
        <v>IMPERMEABILIZAÇÃO</v>
      </c>
      <c r="G45" s="164" t="str">
        <f ca="1">IF($D45&lt;&gt;"Serviço","",OFFSET(ORÇAMENTO!S$15,$L45,0))</f>
        <v/>
      </c>
      <c r="H45" s="122" cm="1">
        <f t="array" aca="1" ref="H45" ca="1">IF($D45&lt;&gt;"Serviço",0,IF(ACOMPANHAMENTO="BM",ROUND(OFFSET(ORÇAMENTO!AJ$15,$L45,0),15-13*ORÇAMENTO!$AF$7),IF(IFERROR(CÁLCULO.FrentesPreenchidas,0)=0,0,SUM(ROUND(OFFSET($P45,0,1,1,CÁLCULO.FrentesPreenchidas),15-13*ORÇAMENTO!$AF$7)))))</f>
        <v>0</v>
      </c>
      <c r="I45" s="468"/>
      <c r="J45" s="651" t="str" cm="1">
        <f t="array" aca="1" ref="J45" ca="1">IF(OR(B45&lt;&gt;"S",CÁLCULO.FrentesPreenchidas=0),"",IF(AND(ACOMPANHAMENTO="PLE",AUTOEVENTO="Manual",OR(H45&gt;0,ORÇAMENTO!AC45="QUANT."),OR(K45="",M45=0,N45="")),"►E",IF(AND(ACOMPANHAMENTO="PLE",ORÇAMENTO!AC45="QUANT."),"►Q",IF(AND(ACOMPANHAMENTO="PLE",H45&lt;&gt;SUMPRODUCT(($Q$1:$AQ$1=1)*ROUND(Q45:AQ45,15))),"►S",IF(AND(COUNTIF($P$11:$AQ$11,"▼")=0,H45&gt;0,I45=""),"◄M","")))))</f>
        <v/>
      </c>
      <c r="K45" s="652"/>
      <c r="L45" s="165">
        <f t="shared" ca="1" si="12"/>
        <v>30</v>
      </c>
      <c r="M45" s="166" t="str">
        <f ca="1">IF($D45&lt;&gt;"Serviço","",
          IF(AUTOEVENTO="manual",$A45,
                IF(ISERROR(MATCH($A45,$A$15:OFFSET($A45,-1,0),0)),MAX($M$15:OFFSET(M45,-1,0))+1,
                      INDEX($M$15:OFFSET(M45,-1,0),MATCH($A45,$A$15:OFFSET($A45,-1,0),0)))))</f>
        <v/>
      </c>
      <c r="N45" s="167" t="str">
        <f ca="1">IF($D45&lt;&gt;"Serviço","",
         IF(AUTOEVENTO="Manual",
                IF($A45=0,"&lt;-- defina o número do agrupador",
                       OFFSET(EVENTOS!$D$15,$A45-$A$15,0)),
                OFFSET($F$15,$A45,0)))</f>
        <v/>
      </c>
      <c r="O45" s="168"/>
      <c r="Q45" s="168"/>
      <c r="R45" s="169"/>
      <c r="S45" s="169"/>
      <c r="T45" s="169"/>
      <c r="U45" s="169"/>
      <c r="V45" s="169"/>
      <c r="W45" s="169"/>
      <c r="X45" s="169"/>
      <c r="Y45" s="169"/>
      <c r="Z45" s="170"/>
      <c r="AA45" s="169"/>
      <c r="AB45" s="169"/>
      <c r="AC45" s="169"/>
      <c r="AD45" s="169"/>
      <c r="AE45" s="169"/>
      <c r="AF45" s="169"/>
      <c r="AG45" s="169"/>
      <c r="AH45" s="170"/>
      <c r="AI45" s="169"/>
      <c r="AJ45" s="169"/>
      <c r="AK45" s="169"/>
      <c r="AL45" s="169"/>
      <c r="AM45" s="169"/>
      <c r="AN45" s="169"/>
      <c r="AO45" s="169"/>
      <c r="AP45" s="170"/>
      <c r="AR45" s="453">
        <f ca="1">IF(AND($D45="Serviço",AR$12&lt;&gt;0,$H45&gt;0,OR(AUTOEVENTO&lt;&gt;"manual",$M45&lt;&gt;$A$15)),
        IF(Import.TipoArredondamento&lt;&gt;"TransfereGOV",
              ROUND(OFFSET($P45,0,AR$13),15-13*ORÇAMENTO!$AF$7)/$H45*OFFSET(ORÇAMENTO!$X$15,ROW(AR45)-ROW(AR$15),0),
              ROUND(ROUND(OFFSET($P45,0,AR$13),15-13*ORÇAMENTO!$AF$7)*OFFSET(ORÇAMENTO!$W$15,ROW(AR45)-ROW(AR$15),0),15-13*ORÇAMENTO!$AF$11)),
         0)</f>
        <v>0</v>
      </c>
      <c r="AS45" s="453">
        <f ca="1">IF(AND($D45="Serviço",AS$12&lt;&gt;0,$H45&gt;0,OR(AUTOEVENTO&lt;&gt;"manual",$M45&lt;&gt;$A$15)),
        IF(Import.TipoArredondamento&lt;&gt;"TransfereGOV",
              ROUND(OFFSET($P45,0,AS$13),15-13*ORÇAMENTO!$AF$7)/$H45*OFFSET(ORÇAMENTO!$X$15,ROW(AS45)-ROW(AS$15),0),
              ROUND(ROUND(OFFSET($P45,0,AS$13),15-13*ORÇAMENTO!$AF$7)*OFFSET(ORÇAMENTO!$W$15,ROW(AS45)-ROW(AS$15),0),15-13*ORÇAMENTO!$AF$11)),
         0)</f>
        <v>0</v>
      </c>
      <c r="AT45" s="453">
        <f ca="1">IF(AND($D45="Serviço",AT$12&lt;&gt;0,$H45&gt;0,OR(AUTOEVENTO&lt;&gt;"manual",$M45&lt;&gt;$A$15)),
        IF(Import.TipoArredondamento&lt;&gt;"TransfereGOV",
              ROUND(OFFSET($P45,0,AT$13),15-13*ORÇAMENTO!$AF$7)/$H45*OFFSET(ORÇAMENTO!$X$15,ROW(AT45)-ROW(AT$15),0),
              ROUND(ROUND(OFFSET($P45,0,AT$13),15-13*ORÇAMENTO!$AF$7)*OFFSET(ORÇAMENTO!$W$15,ROW(AT45)-ROW(AT$15),0),15-13*ORÇAMENTO!$AF$11)),
         0)</f>
        <v>0</v>
      </c>
      <c r="AU45" s="453">
        <f ca="1">IF(AND($D45="Serviço",AU$12&lt;&gt;0,$H45&gt;0,OR(AUTOEVENTO&lt;&gt;"manual",$M45&lt;&gt;$A$15)),
        IF(Import.TipoArredondamento&lt;&gt;"TransfereGOV",
              ROUND(OFFSET($P45,0,AU$13),15-13*ORÇAMENTO!$AF$7)/$H45*OFFSET(ORÇAMENTO!$X$15,ROW(AU45)-ROW(AU$15),0),
              ROUND(ROUND(OFFSET($P45,0,AU$13),15-13*ORÇAMENTO!$AF$7)*OFFSET(ORÇAMENTO!$W$15,ROW(AU45)-ROW(AU$15),0),15-13*ORÇAMENTO!$AF$11)),
         0)</f>
        <v>0</v>
      </c>
      <c r="AV45" s="453">
        <f ca="1">IF(AND($D45="Serviço",AV$12&lt;&gt;0,$H45&gt;0,OR(AUTOEVENTO&lt;&gt;"manual",$M45&lt;&gt;$A$15)),
        IF(Import.TipoArredondamento&lt;&gt;"TransfereGOV",
              ROUND(OFFSET($P45,0,AV$13),15-13*ORÇAMENTO!$AF$7)/$H45*OFFSET(ORÇAMENTO!$X$15,ROW(AV45)-ROW(AV$15),0),
              ROUND(ROUND(OFFSET($P45,0,AV$13),15-13*ORÇAMENTO!$AF$7)*OFFSET(ORÇAMENTO!$W$15,ROW(AV45)-ROW(AV$15),0),15-13*ORÇAMENTO!$AF$11)),
         0)</f>
        <v>0</v>
      </c>
      <c r="AW45" s="453">
        <f ca="1">IF(AND($D45="Serviço",AW$12&lt;&gt;0,$H45&gt;0,OR(AUTOEVENTO&lt;&gt;"manual",$M45&lt;&gt;$A$15)),
        IF(Import.TipoArredondamento&lt;&gt;"TransfereGOV",
              ROUND(OFFSET($P45,0,AW$13),15-13*ORÇAMENTO!$AF$7)/$H45*OFFSET(ORÇAMENTO!$X$15,ROW(AW45)-ROW(AW$15),0),
              ROUND(ROUND(OFFSET($P45,0,AW$13),15-13*ORÇAMENTO!$AF$7)*OFFSET(ORÇAMENTO!$W$15,ROW(AW45)-ROW(AW$15),0),15-13*ORÇAMENTO!$AF$11)),
         0)</f>
        <v>0</v>
      </c>
      <c r="AX45" s="453">
        <f ca="1">IF(AND($D45="Serviço",AX$12&lt;&gt;0,$H45&gt;0,OR(AUTOEVENTO&lt;&gt;"manual",$M45&lt;&gt;$A$15)),
        IF(Import.TipoArredondamento&lt;&gt;"TransfereGOV",
              ROUND(OFFSET($P45,0,AX$13),15-13*ORÇAMENTO!$AF$7)/$H45*OFFSET(ORÇAMENTO!$X$15,ROW(AX45)-ROW(AX$15),0),
              ROUND(ROUND(OFFSET($P45,0,AX$13),15-13*ORÇAMENTO!$AF$7)*OFFSET(ORÇAMENTO!$W$15,ROW(AX45)-ROW(AX$15),0),15-13*ORÇAMENTO!$AF$11)),
         0)</f>
        <v>0</v>
      </c>
      <c r="AY45" s="453">
        <f ca="1">IF(AND($D45="Serviço",AY$12&lt;&gt;0,$H45&gt;0,OR(AUTOEVENTO&lt;&gt;"manual",$M45&lt;&gt;$A$15)),
        IF(Import.TipoArredondamento&lt;&gt;"TransfereGOV",
              ROUND(OFFSET($P45,0,AY$13),15-13*ORÇAMENTO!$AF$7)/$H45*OFFSET(ORÇAMENTO!$X$15,ROW(AY45)-ROW(AY$15),0),
              ROUND(ROUND(OFFSET($P45,0,AY$13),15-13*ORÇAMENTO!$AF$7)*OFFSET(ORÇAMENTO!$W$15,ROW(AY45)-ROW(AY$15),0),15-13*ORÇAMENTO!$AF$11)),
         0)</f>
        <v>0</v>
      </c>
      <c r="AZ45" s="453">
        <f ca="1">IF(AND($D45="Serviço",AZ$12&lt;&gt;0,$H45&gt;0,OR(AUTOEVENTO&lt;&gt;"manual",$M45&lt;&gt;$A$15)),
        IF(Import.TipoArredondamento&lt;&gt;"TransfereGOV",
              ROUND(OFFSET($P45,0,AZ$13),15-13*ORÇAMENTO!$AF$7)/$H45*OFFSET(ORÇAMENTO!$X$15,ROW(AZ45)-ROW(AZ$15),0),
              ROUND(ROUND(OFFSET($P45,0,AZ$13),15-13*ORÇAMENTO!$AF$7)*OFFSET(ORÇAMENTO!$W$15,ROW(AZ45)-ROW(AZ$15),0),15-13*ORÇAMENTO!$AF$11)),
         0)</f>
        <v>0</v>
      </c>
      <c r="BA45" s="453">
        <f ca="1">IF(AND($D45="Serviço",BA$12&lt;&gt;0,$H45&gt;0,OR(AUTOEVENTO&lt;&gt;"manual",$M45&lt;&gt;$A$15)),
        IF(Import.TipoArredondamento&lt;&gt;"TransfereGOV",
              ROUND(OFFSET($P45,0,BA$13),15-13*ORÇAMENTO!$AF$7)/$H45*OFFSET(ORÇAMENTO!$X$15,ROW(BA45)-ROW(BA$15),0),
              ROUND(ROUND(OFFSET($P45,0,BA$13),15-13*ORÇAMENTO!$AF$7)*OFFSET(ORÇAMENTO!$W$15,ROW(BA45)-ROW(BA$15),0),15-13*ORÇAMENTO!$AF$11)),
         0)</f>
        <v>0</v>
      </c>
      <c r="BB45" s="453">
        <f ca="1">IF(AND($D45="Serviço",BB$12&lt;&gt;0,$H45&gt;0,OR(AUTOEVENTO&lt;&gt;"manual",$M45&lt;&gt;$A$15)),
        IF(Import.TipoArredondamento&lt;&gt;"TransfereGOV",
              ROUND(OFFSET($P45,0,BB$13),15-13*ORÇAMENTO!$AF$7)/$H45*OFFSET(ORÇAMENTO!$X$15,ROW(BB45)-ROW(BB$15),0),
              ROUND(ROUND(OFFSET($P45,0,BB$13),15-13*ORÇAMENTO!$AF$7)*OFFSET(ORÇAMENTO!$W$15,ROW(BB45)-ROW(BB$15),0),15-13*ORÇAMENTO!$AF$11)),
         0)</f>
        <v>0</v>
      </c>
      <c r="BC45" s="453">
        <f ca="1">IF(AND($D45="Serviço",BC$12&lt;&gt;0,$H45&gt;0,OR(AUTOEVENTO&lt;&gt;"manual",$M45&lt;&gt;$A$15)),
        IF(Import.TipoArredondamento&lt;&gt;"TransfereGOV",
              ROUND(OFFSET($P45,0,BC$13),15-13*ORÇAMENTO!$AF$7)/$H45*OFFSET(ORÇAMENTO!$X$15,ROW(BC45)-ROW(BC$15),0),
              ROUND(ROUND(OFFSET($P45,0,BC$13),15-13*ORÇAMENTO!$AF$7)*OFFSET(ORÇAMENTO!$W$15,ROW(BC45)-ROW(BC$15),0),15-13*ORÇAMENTO!$AF$11)),
         0)</f>
        <v>0</v>
      </c>
      <c r="BD45" s="453">
        <f ca="1">IF(AND($D45="Serviço",BD$12&lt;&gt;0,$H45&gt;0,OR(AUTOEVENTO&lt;&gt;"manual",$M45&lt;&gt;$A$15)),
        IF(Import.TipoArredondamento&lt;&gt;"TransfereGOV",
              ROUND(OFFSET($P45,0,BD$13),15-13*ORÇAMENTO!$AF$7)/$H45*OFFSET(ORÇAMENTO!$X$15,ROW(BD45)-ROW(BD$15),0),
              ROUND(ROUND(OFFSET($P45,0,BD$13),15-13*ORÇAMENTO!$AF$7)*OFFSET(ORÇAMENTO!$W$15,ROW(BD45)-ROW(BD$15),0),15-13*ORÇAMENTO!$AF$11)),
         0)</f>
        <v>0</v>
      </c>
      <c r="BE45" s="453">
        <f ca="1">IF(AND($D45="Serviço",BE$12&lt;&gt;0,$H45&gt;0,OR(AUTOEVENTO&lt;&gt;"manual",$M45&lt;&gt;$A$15)),
        IF(Import.TipoArredondamento&lt;&gt;"TransfereGOV",
              ROUND(OFFSET($P45,0,BE$13),15-13*ORÇAMENTO!$AF$7)/$H45*OFFSET(ORÇAMENTO!$X$15,ROW(BE45)-ROW(BE$15),0),
              ROUND(ROUND(OFFSET($P45,0,BE$13),15-13*ORÇAMENTO!$AF$7)*OFFSET(ORÇAMENTO!$W$15,ROW(BE45)-ROW(BE$15),0),15-13*ORÇAMENTO!$AF$11)),
         0)</f>
        <v>0</v>
      </c>
      <c r="BF45" s="453">
        <f ca="1">IF(AND($D45="Serviço",BF$12&lt;&gt;0,$H45&gt;0,OR(AUTOEVENTO&lt;&gt;"manual",$M45&lt;&gt;$A$15)),
        IF(Import.TipoArredondamento&lt;&gt;"TransfereGOV",
              ROUND(OFFSET($P45,0,BF$13),15-13*ORÇAMENTO!$AF$7)/$H45*OFFSET(ORÇAMENTO!$X$15,ROW(BF45)-ROW(BF$15),0),
              ROUND(ROUND(OFFSET($P45,0,BF$13),15-13*ORÇAMENTO!$AF$7)*OFFSET(ORÇAMENTO!$W$15,ROW(BF45)-ROW(BF$15),0),15-13*ORÇAMENTO!$AF$11)),
         0)</f>
        <v>0</v>
      </c>
      <c r="BG45" s="453">
        <f ca="1">IF(AND($D45="Serviço",BG$12&lt;&gt;0,$H45&gt;0,OR(AUTOEVENTO&lt;&gt;"manual",$M45&lt;&gt;$A$15)),
        IF(Import.TipoArredondamento&lt;&gt;"TransfereGOV",
              ROUND(OFFSET($P45,0,BG$13),15-13*ORÇAMENTO!$AF$7)/$H45*OFFSET(ORÇAMENTO!$X$15,ROW(BG45)-ROW(BG$15),0),
              ROUND(ROUND(OFFSET($P45,0,BG$13),15-13*ORÇAMENTO!$AF$7)*OFFSET(ORÇAMENTO!$W$15,ROW(BG45)-ROW(BG$15),0),15-13*ORÇAMENTO!$AF$11)),
         0)</f>
        <v>0</v>
      </c>
      <c r="BH45" s="453">
        <f ca="1">IF(AND($D45="Serviço",BH$12&lt;&gt;0,$H45&gt;0,OR(AUTOEVENTO&lt;&gt;"manual",$M45&lt;&gt;$A$15)),
        IF(Import.TipoArredondamento&lt;&gt;"TransfereGOV",
              ROUND(OFFSET($P45,0,BH$13),15-13*ORÇAMENTO!$AF$7)/$H45*OFFSET(ORÇAMENTO!$X$15,ROW(BH45)-ROW(BH$15),0),
              ROUND(ROUND(OFFSET($P45,0,BH$13),15-13*ORÇAMENTO!$AF$7)*OFFSET(ORÇAMENTO!$W$15,ROW(BH45)-ROW(BH$15),0),15-13*ORÇAMENTO!$AF$11)),
         0)</f>
        <v>0</v>
      </c>
      <c r="BI45" s="453">
        <f ca="1">IF(AND($D45="Serviço",BI$12&lt;&gt;0,$H45&gt;0,OR(AUTOEVENTO&lt;&gt;"manual",$M45&lt;&gt;$A$15)),
        IF(Import.TipoArredondamento&lt;&gt;"TransfereGOV",
              ROUND(OFFSET($P45,0,BI$13),15-13*ORÇAMENTO!$AF$7)/$H45*OFFSET(ORÇAMENTO!$X$15,ROW(BI45)-ROW(BI$15),0),
              ROUND(ROUND(OFFSET($P45,0,BI$13),15-13*ORÇAMENTO!$AF$7)*OFFSET(ORÇAMENTO!$W$15,ROW(BI45)-ROW(BI$15),0),15-13*ORÇAMENTO!$AF$11)),
         0)</f>
        <v>0</v>
      </c>
      <c r="BJ45" s="453">
        <f ca="1">IF(AND($D45="Serviço",BJ$12&lt;&gt;0,$H45&gt;0,OR(AUTOEVENTO&lt;&gt;"manual",$M45&lt;&gt;$A$15)),
        IF(Import.TipoArredondamento&lt;&gt;"TransfereGOV",
              ROUND(OFFSET($P45,0,BJ$13),15-13*ORÇAMENTO!$AF$7)/$H45*OFFSET(ORÇAMENTO!$X$15,ROW(BJ45)-ROW(BJ$15),0),
              ROUND(ROUND(OFFSET($P45,0,BJ$13),15-13*ORÇAMENTO!$AF$7)*OFFSET(ORÇAMENTO!$W$15,ROW(BJ45)-ROW(BJ$15),0),15-13*ORÇAMENTO!$AF$11)),
         0)</f>
        <v>0</v>
      </c>
      <c r="BK45" s="453">
        <f ca="1">IF(AND($D45="Serviço",BK$12&lt;&gt;0,$H45&gt;0,OR(AUTOEVENTO&lt;&gt;"manual",$M45&lt;&gt;$A$15)),
        IF(Import.TipoArredondamento&lt;&gt;"TransfereGOV",
              ROUND(OFFSET($P45,0,BK$13),15-13*ORÇAMENTO!$AF$7)/$H45*OFFSET(ORÇAMENTO!$X$15,ROW(BK45)-ROW(BK$15),0),
              ROUND(ROUND(OFFSET($P45,0,BK$13),15-13*ORÇAMENTO!$AF$7)*OFFSET(ORÇAMENTO!$W$15,ROW(BK45)-ROW(BK$15),0),15-13*ORÇAMENTO!$AF$11)),
         0)</f>
        <v>0</v>
      </c>
      <c r="BL45" s="453">
        <f ca="1">IF(AND($D45="Serviço",BL$12&lt;&gt;0,$H45&gt;0,OR(AUTOEVENTO&lt;&gt;"manual",$M45&lt;&gt;$A$15)),
        IF(Import.TipoArredondamento&lt;&gt;"TransfereGOV",
              ROUND(OFFSET($P45,0,BL$13),15-13*ORÇAMENTO!$AF$7)/$H45*OFFSET(ORÇAMENTO!$X$15,ROW(BL45)-ROW(BL$15),0),
              ROUND(ROUND(OFFSET($P45,0,BL$13),15-13*ORÇAMENTO!$AF$7)*OFFSET(ORÇAMENTO!$W$15,ROW(BL45)-ROW(BL$15),0),15-13*ORÇAMENTO!$AF$11)),
         0)</f>
        <v>0</v>
      </c>
      <c r="BM45" s="453">
        <f ca="1">IF(AND($D45="Serviço",BM$12&lt;&gt;0,$H45&gt;0,OR(AUTOEVENTO&lt;&gt;"manual",$M45&lt;&gt;$A$15)),
        IF(Import.TipoArredondamento&lt;&gt;"TransfereGOV",
              ROUND(OFFSET($P45,0,BM$13),15-13*ORÇAMENTO!$AF$7)/$H45*OFFSET(ORÇAMENTO!$X$15,ROW(BM45)-ROW(BM$15),0),
              ROUND(ROUND(OFFSET($P45,0,BM$13),15-13*ORÇAMENTO!$AF$7)*OFFSET(ORÇAMENTO!$W$15,ROW(BM45)-ROW(BM$15),0),15-13*ORÇAMENTO!$AF$11)),
         0)</f>
        <v>0</v>
      </c>
      <c r="BN45" s="453">
        <f ca="1">IF(AND($D45="Serviço",BN$12&lt;&gt;0,$H45&gt;0,OR(AUTOEVENTO&lt;&gt;"manual",$M45&lt;&gt;$A$15)),
        IF(Import.TipoArredondamento&lt;&gt;"TransfereGOV",
              ROUND(OFFSET($P45,0,BN$13),15-13*ORÇAMENTO!$AF$7)/$H45*OFFSET(ORÇAMENTO!$X$15,ROW(BN45)-ROW(BN$15),0),
              ROUND(ROUND(OFFSET($P45,0,BN$13),15-13*ORÇAMENTO!$AF$7)*OFFSET(ORÇAMENTO!$W$15,ROW(BN45)-ROW(BN$15),0),15-13*ORÇAMENTO!$AF$11)),
         0)</f>
        <v>0</v>
      </c>
      <c r="BO45" s="453">
        <f ca="1">IF(AND($D45="Serviço",BO$12&lt;&gt;0,$H45&gt;0,OR(AUTOEVENTO&lt;&gt;"manual",$M45&lt;&gt;$A$15)),
        IF(Import.TipoArredondamento&lt;&gt;"TransfereGOV",
              ROUND(OFFSET($P45,0,BO$13),15-13*ORÇAMENTO!$AF$7)/$H45*OFFSET(ORÇAMENTO!$X$15,ROW(BO45)-ROW(BO$15),0),
              ROUND(ROUND(OFFSET($P45,0,BO$13),15-13*ORÇAMENTO!$AF$7)*OFFSET(ORÇAMENTO!$W$15,ROW(BO45)-ROW(BO$15),0),15-13*ORÇAMENTO!$AF$11)),
         0)</f>
        <v>0</v>
      </c>
      <c r="BP45" s="453">
        <f ca="1">IF(AND($D45="Serviço",BP$12&lt;&gt;0,$H45&gt;0,OR(AUTOEVENTO&lt;&gt;"manual",$M45&lt;&gt;$A$15)),
        IF(Import.TipoArredondamento&lt;&gt;"TransfereGOV",
              ROUND(OFFSET($P45,0,BP$13),15-13*ORÇAMENTO!$AF$7)/$H45*OFFSET(ORÇAMENTO!$X$15,ROW(BP45)-ROW(BP$15),0),
              ROUND(ROUND(OFFSET($P45,0,BP$13),15-13*ORÇAMENTO!$AF$7)*OFFSET(ORÇAMENTO!$W$15,ROW(BP45)-ROW(BP$15),0),15-13*ORÇAMENTO!$AF$11)),
         0)</f>
        <v>0</v>
      </c>
      <c r="BQ45" s="453">
        <f ca="1">IF(AND($D45="Serviço",BQ$12&lt;&gt;0,$H45&gt;0,OR(AUTOEVENTO&lt;&gt;"manual",$M45&lt;&gt;$A$15)),
        IF(Import.TipoArredondamento&lt;&gt;"TransfereGOV",
              ROUND(OFFSET($P45,0,BQ$13),15-13*ORÇAMENTO!$AF$7)/$H45*OFFSET(ORÇAMENTO!$X$15,ROW(BQ45)-ROW(BQ$15),0),
              ROUND(ROUND(OFFSET($P45,0,BQ$13),15-13*ORÇAMENTO!$AF$7)*OFFSET(ORÇAMENTO!$W$15,ROW(BQ45)-ROW(BQ$15),0),15-13*ORÇAMENTO!$AF$11)),
         0)</f>
        <v>0</v>
      </c>
      <c r="BS45" s="171">
        <f ca="1">IF(OR($D45&lt;&gt;"Serviço",AND(AUTOEVENTO="Manual",$M45=$A$15)),0,
         IF(OFFSET(CRONOPLE!$F$15,$M45-$A$15,BS$13)=0,10^12,OFFSET(CRONOPLE!$F$15,$M45-$A$15,BS$13)))</f>
        <v>0</v>
      </c>
      <c r="BT45" s="171">
        <f ca="1">IF(OR($D45&lt;&gt;"Serviço",AND(AUTOEVENTO="Manual",$M45=$A$15)),0,
         IF(OFFSET(CRONOPLE!$F$15,$M45-$A$15,BT$13)=0,10^12,OFFSET(CRONOPLE!$F$15,$M45-$A$15,BT$13)))</f>
        <v>0</v>
      </c>
      <c r="BU45" s="171">
        <f ca="1">IF(OR($D45&lt;&gt;"Serviço",AND(AUTOEVENTO="Manual",$M45=$A$15)),0,
         IF(OFFSET(CRONOPLE!$F$15,$M45-$A$15,BU$13)=0,10^12,OFFSET(CRONOPLE!$F$15,$M45-$A$15,BU$13)))</f>
        <v>0</v>
      </c>
      <c r="BV45" s="171">
        <f ca="1">IF(OR($D45&lt;&gt;"Serviço",AND(AUTOEVENTO="Manual",$M45=$A$15)),0,
         IF(OFFSET(CRONOPLE!$F$15,$M45-$A$15,BV$13)=0,10^12,OFFSET(CRONOPLE!$F$15,$M45-$A$15,BV$13)))</f>
        <v>0</v>
      </c>
      <c r="BW45" s="171">
        <f ca="1">IF(OR($D45&lt;&gt;"Serviço",AND(AUTOEVENTO="Manual",$M45=$A$15)),0,
         IF(OFFSET(CRONOPLE!$F$15,$M45-$A$15,BW$13)=0,10^12,OFFSET(CRONOPLE!$F$15,$M45-$A$15,BW$13)))</f>
        <v>0</v>
      </c>
      <c r="BX45" s="171">
        <f ca="1">IF(OR($D45&lt;&gt;"Serviço",AND(AUTOEVENTO="Manual",$M45=$A$15)),0,
         IF(OFFSET(CRONOPLE!$F$15,$M45-$A$15,BX$13)=0,10^12,OFFSET(CRONOPLE!$F$15,$M45-$A$15,BX$13)))</f>
        <v>0</v>
      </c>
      <c r="BY45" s="171">
        <f ca="1">IF(OR($D45&lt;&gt;"Serviço",AND(AUTOEVENTO="Manual",$M45=$A$15)),0,
         IF(OFFSET(CRONOPLE!$F$15,$M45-$A$15,BY$13)=0,10^12,OFFSET(CRONOPLE!$F$15,$M45-$A$15,BY$13)))</f>
        <v>0</v>
      </c>
      <c r="BZ45" s="171">
        <f ca="1">IF(OR($D45&lt;&gt;"Serviço",AND(AUTOEVENTO="Manual",$M45=$A$15)),0,
         IF(OFFSET(CRONOPLE!$F$15,$M45-$A$15,BZ$13)=0,10^12,OFFSET(CRONOPLE!$F$15,$M45-$A$15,BZ$13)))</f>
        <v>0</v>
      </c>
      <c r="CA45" s="171">
        <f ca="1">IF(OR($D45&lt;&gt;"Serviço",AND(AUTOEVENTO="Manual",$M45=$A$15)),0,
         IF(OFFSET(CRONOPLE!$F$15,$M45-$A$15,CA$13)=0,10^12,OFFSET(CRONOPLE!$F$15,$M45-$A$15,CA$13)))</f>
        <v>0</v>
      </c>
      <c r="CB45" s="171">
        <f ca="1">IF(OR($D45&lt;&gt;"Serviço",AND(AUTOEVENTO="Manual",$M45=$A$15)),0,
         IF(OFFSET(CRONOPLE!$F$15,$M45-$A$15,CB$13)=0,10^12,OFFSET(CRONOPLE!$F$15,$M45-$A$15,CB$13)))</f>
        <v>0</v>
      </c>
      <c r="CC45" s="171">
        <f ca="1">IF(OR($D45&lt;&gt;"Serviço",AND(AUTOEVENTO="Manual",$M45=$A$15)),0,
         IF(OFFSET(CRONOPLE!$F$15,$M45-$A$15,CC$13)=0,10^12,OFFSET(CRONOPLE!$F$15,$M45-$A$15,CC$13)))</f>
        <v>0</v>
      </c>
      <c r="CD45" s="171">
        <f ca="1">IF(OR($D45&lt;&gt;"Serviço",AND(AUTOEVENTO="Manual",$M45=$A$15)),0,
         IF(OFFSET(CRONOPLE!$F$15,$M45-$A$15,CD$13)=0,10^12,OFFSET(CRONOPLE!$F$15,$M45-$A$15,CD$13)))</f>
        <v>0</v>
      </c>
      <c r="CE45" s="171">
        <f ca="1">IF(OR($D45&lt;&gt;"Serviço",AND(AUTOEVENTO="Manual",$M45=$A$15)),0,
         IF(OFFSET(CRONOPLE!$F$15,$M45-$A$15,CE$13)=0,10^12,OFFSET(CRONOPLE!$F$15,$M45-$A$15,CE$13)))</f>
        <v>0</v>
      </c>
      <c r="CF45" s="171">
        <f ca="1">IF(OR($D45&lt;&gt;"Serviço",AND(AUTOEVENTO="Manual",$M45=$A$15)),0,
         IF(OFFSET(CRONOPLE!$F$15,$M45-$A$15,CF$13)=0,10^12,OFFSET(CRONOPLE!$F$15,$M45-$A$15,CF$13)))</f>
        <v>0</v>
      </c>
      <c r="CG45" s="171">
        <f ca="1">IF(OR($D45&lt;&gt;"Serviço",AND(AUTOEVENTO="Manual",$M45=$A$15)),0,
         IF(OFFSET(CRONOPLE!$F$15,$M45-$A$15,CG$13)=0,10^12,OFFSET(CRONOPLE!$F$15,$M45-$A$15,CG$13)))</f>
        <v>0</v>
      </c>
      <c r="CH45" s="171">
        <f ca="1">IF(OR($D45&lt;&gt;"Serviço",AND(AUTOEVENTO="Manual",$M45=$A$15)),0,
         IF(OFFSET(CRONOPLE!$F$15,$M45-$A$15,CH$13)=0,10^12,OFFSET(CRONOPLE!$F$15,$M45-$A$15,CH$13)))</f>
        <v>0</v>
      </c>
      <c r="CI45" s="171">
        <f ca="1">IF(OR($D45&lt;&gt;"Serviço",AND(AUTOEVENTO="Manual",$M45=$A$15)),0,
         IF(OFFSET(CRONOPLE!$F$15,$M45-$A$15,CI$13)=0,10^12,OFFSET(CRONOPLE!$F$15,$M45-$A$15,CI$13)))</f>
        <v>0</v>
      </c>
      <c r="CJ45" s="171">
        <f ca="1">IF(OR($D45&lt;&gt;"Serviço",AND(AUTOEVENTO="Manual",$M45=$A$15)),0,
         IF(OFFSET(CRONOPLE!$F$15,$M45-$A$15,CJ$13)=0,10^12,OFFSET(CRONOPLE!$F$15,$M45-$A$15,CJ$13)))</f>
        <v>0</v>
      </c>
      <c r="CK45" s="171">
        <f ca="1">IF(OR($D45&lt;&gt;"Serviço",AND(AUTOEVENTO="Manual",$M45=$A$15)),0,
         IF(OFFSET(CRONOPLE!$F$15,$M45-$A$15,CK$13)=0,10^12,OFFSET(CRONOPLE!$F$15,$M45-$A$15,CK$13)))</f>
        <v>0</v>
      </c>
      <c r="CL45" s="171">
        <f ca="1">IF(OR($D45&lt;&gt;"Serviço",AND(AUTOEVENTO="Manual",$M45=$A$15)),0,
         IF(OFFSET(CRONOPLE!$F$15,$M45-$A$15,CL$13)=0,10^12,OFFSET(CRONOPLE!$F$15,$M45-$A$15,CL$13)))</f>
        <v>0</v>
      </c>
      <c r="CM45" s="171">
        <f ca="1">IF(OR($D45&lt;&gt;"Serviço",AND(AUTOEVENTO="Manual",$M45=$A$15)),0,
         IF(OFFSET(CRONOPLE!$F$15,$M45-$A$15,CM$13)=0,10^12,OFFSET(CRONOPLE!$F$15,$M45-$A$15,CM$13)))</f>
        <v>0</v>
      </c>
      <c r="CN45" s="171">
        <f ca="1">IF(OR($D45&lt;&gt;"Serviço",AND(AUTOEVENTO="Manual",$M45=$A$15)),0,
         IF(OFFSET(CRONOPLE!$F$15,$M45-$A$15,CN$13)=0,10^12,OFFSET(CRONOPLE!$F$15,$M45-$A$15,CN$13)))</f>
        <v>0</v>
      </c>
      <c r="CO45" s="171">
        <f ca="1">IF(OR($D45&lt;&gt;"Serviço",AND(AUTOEVENTO="Manual",$M45=$A$15)),0,
         IF(OFFSET(CRONOPLE!$F$15,$M45-$A$15,CO$13)=0,10^12,OFFSET(CRONOPLE!$F$15,$M45-$A$15,CO$13)))</f>
        <v>0</v>
      </c>
      <c r="CP45" s="171">
        <f ca="1">IF(OR($D45&lt;&gt;"Serviço",AND(AUTOEVENTO="Manual",$M45=$A$15)),0,
         IF(OFFSET(CRONOPLE!$F$15,$M45-$A$15,CP$13)=0,10^12,OFFSET(CRONOPLE!$F$15,$M45-$A$15,CP$13)))</f>
        <v>0</v>
      </c>
      <c r="CQ45" s="171">
        <f ca="1">IF(OR($D45&lt;&gt;"Serviço",AND(AUTOEVENTO="Manual",$M45=$A$15)),0,
         IF(OFFSET(CRONOPLE!$F$15,$M45-$A$15,CQ$13)=0,10^12,OFFSET(CRONOPLE!$F$15,$M45-$A$15,CQ$13)))</f>
        <v>0</v>
      </c>
      <c r="CR45" s="171">
        <f ca="1">IF(OR($D45&lt;&gt;"Serviço",AND(AUTOEVENTO="Manual",$M45=$A$15)),0,
         IF(OFFSET(CRONOPLE!$F$15,$M45-$A$15,CR$13)=0,10^12,OFFSET(CRONOPLE!$F$15,$M45-$A$15,CR$13)))</f>
        <v>0</v>
      </c>
      <c r="CT45" s="172" cm="1">
        <f t="array" aca="1" ref="CT45" ca="1">IF(OR($D45&lt;&gt;"Serviço",AND(AUTOEVENTO="Manual",$M45=$A$15),$M45&gt;(ROW(PLE.lastrow)-ROW(PLE.firstrow))),0,
           IF(OFFSET(PLE!$G$15,$M45-$A$15,CT$13)="",10^12,OFFSET(PLE!$G$15,$M45-$A$15,CT$13)))</f>
        <v>0</v>
      </c>
      <c r="CU45" s="172" cm="1">
        <f t="array" aca="1" ref="CU45" ca="1">IF(OR($D45&lt;&gt;"Serviço",AND(AUTOEVENTO="Manual",$M45=$A$15),$M45&gt;(ROW(PLE.lastrow)-ROW(PLE.firstrow))),0,
           IF(OFFSET(PLE!$G$15,$M45-$A$15,CU$13)="",10^12,OFFSET(PLE!$G$15,$M45-$A$15,CU$13)))</f>
        <v>0</v>
      </c>
      <c r="CV45" s="172" cm="1">
        <f t="array" aca="1" ref="CV45" ca="1">IF(OR($D45&lt;&gt;"Serviço",AND(AUTOEVENTO="Manual",$M45=$A$15),$M45&gt;(ROW(PLE.lastrow)-ROW(PLE.firstrow))),0,
           IF(OFFSET(PLE!$G$15,$M45-$A$15,CV$13)="",10^12,OFFSET(PLE!$G$15,$M45-$A$15,CV$13)))</f>
        <v>0</v>
      </c>
      <c r="CW45" s="172" cm="1">
        <f t="array" aca="1" ref="CW45" ca="1">IF(OR($D45&lt;&gt;"Serviço",AND(AUTOEVENTO="Manual",$M45=$A$15),$M45&gt;(ROW(PLE.lastrow)-ROW(PLE.firstrow))),0,
           IF(OFFSET(PLE!$G$15,$M45-$A$15,CW$13)="",10^12,OFFSET(PLE!$G$15,$M45-$A$15,CW$13)))</f>
        <v>0</v>
      </c>
      <c r="CX45" s="172" cm="1">
        <f t="array" aca="1" ref="CX45" ca="1">IF(OR($D45&lt;&gt;"Serviço",AND(AUTOEVENTO="Manual",$M45=$A$15),$M45&gt;(ROW(PLE.lastrow)-ROW(PLE.firstrow))),0,
           IF(OFFSET(PLE!$G$15,$M45-$A$15,CX$13)="",10^12,OFFSET(PLE!$G$15,$M45-$A$15,CX$13)))</f>
        <v>0</v>
      </c>
      <c r="CY45" s="172" cm="1">
        <f t="array" aca="1" ref="CY45" ca="1">IF(OR($D45&lt;&gt;"Serviço",AND(AUTOEVENTO="Manual",$M45=$A$15),$M45&gt;(ROW(PLE.lastrow)-ROW(PLE.firstrow))),0,
           IF(OFFSET(PLE!$G$15,$M45-$A$15,CY$13)="",10^12,OFFSET(PLE!$G$15,$M45-$A$15,CY$13)))</f>
        <v>0</v>
      </c>
      <c r="CZ45" s="172" cm="1">
        <f t="array" aca="1" ref="CZ45" ca="1">IF(OR($D45&lt;&gt;"Serviço",AND(AUTOEVENTO="Manual",$M45=$A$15),$M45&gt;(ROW(PLE.lastrow)-ROW(PLE.firstrow))),0,
           IF(OFFSET(PLE!$G$15,$M45-$A$15,CZ$13)="",10^12,OFFSET(PLE!$G$15,$M45-$A$15,CZ$13)))</f>
        <v>0</v>
      </c>
      <c r="DA45" s="172" cm="1">
        <f t="array" aca="1" ref="DA45" ca="1">IF(OR($D45&lt;&gt;"Serviço",AND(AUTOEVENTO="Manual",$M45=$A$15),$M45&gt;(ROW(PLE.lastrow)-ROW(PLE.firstrow))),0,
           IF(OFFSET(PLE!$G$15,$M45-$A$15,DA$13)="",10^12,OFFSET(PLE!$G$15,$M45-$A$15,DA$13)))</f>
        <v>0</v>
      </c>
      <c r="DB45" s="172" cm="1">
        <f t="array" aca="1" ref="DB45" ca="1">IF(OR($D45&lt;&gt;"Serviço",AND(AUTOEVENTO="Manual",$M45=$A$15),$M45&gt;(ROW(PLE.lastrow)-ROW(PLE.firstrow))),0,
           IF(OFFSET(PLE!$G$15,$M45-$A$15,DB$13)="",10^12,OFFSET(PLE!$G$15,$M45-$A$15,DB$13)))</f>
        <v>0</v>
      </c>
      <c r="DC45" s="172" cm="1">
        <f t="array" aca="1" ref="DC45" ca="1">IF(OR($D45&lt;&gt;"Serviço",AND(AUTOEVENTO="Manual",$M45=$A$15),$M45&gt;(ROW(PLE.lastrow)-ROW(PLE.firstrow))),0,
           IF(OFFSET(PLE!$G$15,$M45-$A$15,DC$13)="",10^12,OFFSET(PLE!$G$15,$M45-$A$15,DC$13)))</f>
        <v>0</v>
      </c>
      <c r="DD45" s="172" cm="1">
        <f t="array" aca="1" ref="DD45" ca="1">IF(OR($D45&lt;&gt;"Serviço",AND(AUTOEVENTO="Manual",$M45=$A$15),$M45&gt;(ROW(PLE.lastrow)-ROW(PLE.firstrow))),0,
           IF(OFFSET(PLE!$G$15,$M45-$A$15,DD$13)="",10^12,OFFSET(PLE!$G$15,$M45-$A$15,DD$13)))</f>
        <v>0</v>
      </c>
      <c r="DE45" s="172" cm="1">
        <f t="array" aca="1" ref="DE45" ca="1">IF(OR($D45&lt;&gt;"Serviço",AND(AUTOEVENTO="Manual",$M45=$A$15),$M45&gt;(ROW(PLE.lastrow)-ROW(PLE.firstrow))),0,
           IF(OFFSET(PLE!$G$15,$M45-$A$15,DE$13)="",10^12,OFFSET(PLE!$G$15,$M45-$A$15,DE$13)))</f>
        <v>0</v>
      </c>
      <c r="DF45" s="172" cm="1">
        <f t="array" aca="1" ref="DF45" ca="1">IF(OR($D45&lt;&gt;"Serviço",AND(AUTOEVENTO="Manual",$M45=$A$15),$M45&gt;(ROW(PLE.lastrow)-ROW(PLE.firstrow))),0,
           IF(OFFSET(PLE!$G$15,$M45-$A$15,DF$13)="",10^12,OFFSET(PLE!$G$15,$M45-$A$15,DF$13)))</f>
        <v>0</v>
      </c>
      <c r="DG45" s="172" cm="1">
        <f t="array" aca="1" ref="DG45" ca="1">IF(OR($D45&lt;&gt;"Serviço",AND(AUTOEVENTO="Manual",$M45=$A$15),$M45&gt;(ROW(PLE.lastrow)-ROW(PLE.firstrow))),0,
           IF(OFFSET(PLE!$G$15,$M45-$A$15,DG$13)="",10^12,OFFSET(PLE!$G$15,$M45-$A$15,DG$13)))</f>
        <v>0</v>
      </c>
      <c r="DH45" s="172" cm="1">
        <f t="array" aca="1" ref="DH45" ca="1">IF(OR($D45&lt;&gt;"Serviço",AND(AUTOEVENTO="Manual",$M45=$A$15),$M45&gt;(ROW(PLE.lastrow)-ROW(PLE.firstrow))),0,
           IF(OFFSET(PLE!$G$15,$M45-$A$15,DH$13)="",10^12,OFFSET(PLE!$G$15,$M45-$A$15,DH$13)))</f>
        <v>0</v>
      </c>
      <c r="DI45" s="172" cm="1">
        <f t="array" aca="1" ref="DI45" ca="1">IF(OR($D45&lt;&gt;"Serviço",AND(AUTOEVENTO="Manual",$M45=$A$15),$M45&gt;(ROW(PLE.lastrow)-ROW(PLE.firstrow))),0,
           IF(OFFSET(PLE!$G$15,$M45-$A$15,DI$13)="",10^12,OFFSET(PLE!$G$15,$M45-$A$15,DI$13)))</f>
        <v>0</v>
      </c>
      <c r="DJ45" s="172" cm="1">
        <f t="array" aca="1" ref="DJ45" ca="1">IF(OR($D45&lt;&gt;"Serviço",AND(AUTOEVENTO="Manual",$M45=$A$15),$M45&gt;(ROW(PLE.lastrow)-ROW(PLE.firstrow))),0,
           IF(OFFSET(PLE!$G$15,$M45-$A$15,DJ$13)="",10^12,OFFSET(PLE!$G$15,$M45-$A$15,DJ$13)))</f>
        <v>0</v>
      </c>
      <c r="DK45" s="172" cm="1">
        <f t="array" aca="1" ref="DK45" ca="1">IF(OR($D45&lt;&gt;"Serviço",AND(AUTOEVENTO="Manual",$M45=$A$15),$M45&gt;(ROW(PLE.lastrow)-ROW(PLE.firstrow))),0,
           IF(OFFSET(PLE!$G$15,$M45-$A$15,DK$13)="",10^12,OFFSET(PLE!$G$15,$M45-$A$15,DK$13)))</f>
        <v>0</v>
      </c>
      <c r="DL45" s="172" cm="1">
        <f t="array" aca="1" ref="DL45" ca="1">IF(OR($D45&lt;&gt;"Serviço",AND(AUTOEVENTO="Manual",$M45=$A$15),$M45&gt;(ROW(PLE.lastrow)-ROW(PLE.firstrow))),0,
           IF(OFFSET(PLE!$G$15,$M45-$A$15,DL$13)="",10^12,OFFSET(PLE!$G$15,$M45-$A$15,DL$13)))</f>
        <v>0</v>
      </c>
      <c r="DM45" s="172" cm="1">
        <f t="array" aca="1" ref="DM45" ca="1">IF(OR($D45&lt;&gt;"Serviço",AND(AUTOEVENTO="Manual",$M45=$A$15),$M45&gt;(ROW(PLE.lastrow)-ROW(PLE.firstrow))),0,
           IF(OFFSET(PLE!$G$15,$M45-$A$15,DM$13)="",10^12,OFFSET(PLE!$G$15,$M45-$A$15,DM$13)))</f>
        <v>0</v>
      </c>
      <c r="DN45" s="172" cm="1">
        <f t="array" aca="1" ref="DN45" ca="1">IF(OR($D45&lt;&gt;"Serviço",AND(AUTOEVENTO="Manual",$M45=$A$15),$M45&gt;(ROW(PLE.lastrow)-ROW(PLE.firstrow))),0,
           IF(OFFSET(PLE!$G$15,$M45-$A$15,DN$13)="",10^12,OFFSET(PLE!$G$15,$M45-$A$15,DN$13)))</f>
        <v>0</v>
      </c>
      <c r="DO45" s="172" cm="1">
        <f t="array" aca="1" ref="DO45" ca="1">IF(OR($D45&lt;&gt;"Serviço",AND(AUTOEVENTO="Manual",$M45=$A$15),$M45&gt;(ROW(PLE.lastrow)-ROW(PLE.firstrow))),0,
           IF(OFFSET(PLE!$G$15,$M45-$A$15,DO$13)="",10^12,OFFSET(PLE!$G$15,$M45-$A$15,DO$13)))</f>
        <v>0</v>
      </c>
      <c r="DP45" s="172" cm="1">
        <f t="array" aca="1" ref="DP45" ca="1">IF(OR($D45&lt;&gt;"Serviço",AND(AUTOEVENTO="Manual",$M45=$A$15),$M45&gt;(ROW(PLE.lastrow)-ROW(PLE.firstrow))),0,
           IF(OFFSET(PLE!$G$15,$M45-$A$15,DP$13)="",10^12,OFFSET(PLE!$G$15,$M45-$A$15,DP$13)))</f>
        <v>0</v>
      </c>
      <c r="DQ45" s="172" cm="1">
        <f t="array" aca="1" ref="DQ45" ca="1">IF(OR($D45&lt;&gt;"Serviço",AND(AUTOEVENTO="Manual",$M45=$A$15),$M45&gt;(ROW(PLE.lastrow)-ROW(PLE.firstrow))),0,
           IF(OFFSET(PLE!$G$15,$M45-$A$15,DQ$13)="",10^12,OFFSET(PLE!$G$15,$M45-$A$15,DQ$13)))</f>
        <v>0</v>
      </c>
      <c r="DR45" s="172" cm="1">
        <f t="array" aca="1" ref="DR45" ca="1">IF(OR($D45&lt;&gt;"Serviço",AND(AUTOEVENTO="Manual",$M45=$A$15),$M45&gt;(ROW(PLE.lastrow)-ROW(PLE.firstrow))),0,
           IF(OFFSET(PLE!$G$15,$M45-$A$15,DR$13)="",10^12,OFFSET(PLE!$G$15,$M45-$A$15,DR$13)))</f>
        <v>0</v>
      </c>
      <c r="DS45" s="172" cm="1">
        <f t="array" aca="1" ref="DS45" ca="1">IF(OR($D45&lt;&gt;"Serviço",AND(AUTOEVENTO="Manual",$M45=$A$15),$M45&gt;(ROW(PLE.lastrow)-ROW(PLE.firstrow))),0,
           IF(OFFSET(PLE!$G$15,$M45-$A$15,DS$13)="",10^12,OFFSET(PLE!$G$15,$M45-$A$15,DS$13)))</f>
        <v>0</v>
      </c>
    </row>
    <row r="46" spans="1:123" ht="38.25" x14ac:dyDescent="0.2">
      <c r="A46" s="7">
        <f t="shared" ca="1" si="11"/>
        <v>3</v>
      </c>
      <c r="B46" s="7" t="str">
        <f ca="1">OFFSET(ORÇAMENTO!C$15,$L46,0)</f>
        <v>S</v>
      </c>
      <c r="C46" s="7" t="str">
        <f ca="1">OFFSET(ORÇAMENTO!L$15,$L46,0)</f>
        <v/>
      </c>
      <c r="D46" s="116" t="str">
        <f ca="1">OFFSET(ORÇAMENTO!N$15,$L46,0)</f>
        <v>Serviço</v>
      </c>
      <c r="E46" s="117" t="str">
        <f ca="1">OFFSET(ORÇAMENTO!O$15,$L46,0)</f>
        <v>-</v>
      </c>
      <c r="F46" s="163" t="str">
        <f ca="1">OFFSET(ORÇAMENTO!R$15,$L46,0)</f>
        <v>(Código não identificado nas referências)</v>
      </c>
      <c r="G46" s="164" t="str">
        <f ca="1">IF($D46&lt;&gt;"Serviço","",OFFSET(ORÇAMENTO!S$15,$L46,0))</f>
        <v>-</v>
      </c>
      <c r="H46" s="122" cm="1">
        <f t="array" aca="1" ref="H46" ca="1">IF($D46&lt;&gt;"Serviço",0,IF(ACOMPANHAMENTO="BM",ROUND(OFFSET(ORÇAMENTO!AJ$15,$L46,0),15-13*ORÇAMENTO!$AF$7),IF(IFERROR(CÁLCULO.FrentesPreenchidas,0)=0,0,SUM(ROUND(OFFSET($P46,0,1,1,CÁLCULO.FrentesPreenchidas),15-13*ORÇAMENTO!$AF$7)))))</f>
        <v>679.00000000000011</v>
      </c>
      <c r="I46" s="468" t="s">
        <v>1235</v>
      </c>
      <c r="J46" s="651" t="str" cm="1">
        <f t="array" aca="1" ref="J46" ca="1">IF(OR(B46&lt;&gt;"S",CÁLCULO.FrentesPreenchidas=0),"",IF(AND(ACOMPANHAMENTO="PLE",AUTOEVENTO="Manual",OR(H46&gt;0,ORÇAMENTO!AC46="QUANT."),OR(K46="",M46=0,N46="")),"►E",IF(AND(ACOMPANHAMENTO="PLE",ORÇAMENTO!AC46="QUANT."),"►Q",IF(AND(ACOMPANHAMENTO="PLE",H46&lt;&gt;SUMPRODUCT(($Q$1:$AQ$1=1)*ROUND(Q46:AQ46,15))),"►S",IF(AND(COUNTIF($P$11:$AQ$11,"▼")=0,H46&gt;0,I46=""),"◄M","")))))</f>
        <v/>
      </c>
      <c r="K46" s="652" t="s">
        <v>1250</v>
      </c>
      <c r="L46" s="165">
        <f t="shared" ca="1" si="12"/>
        <v>31</v>
      </c>
      <c r="M46" s="166">
        <f ca="1">IF($D46&lt;&gt;"Serviço","",
          IF(AUTOEVENTO="manual",$A46,
                IF(ISERROR(MATCH($A46,$A$15:OFFSET($A46,-1,0),0)),MAX($M$15:OFFSET(M46,-1,0))+1,
                      INDEX($M$15:OFFSET(M46,-1,0),MATCH($A46,$A$15:OFFSET($A46,-1,0),0)))))</f>
        <v>3</v>
      </c>
      <c r="N46" s="167" t="str">
        <f ca="1">IF($D46&lt;&gt;"Serviço","",
         IF(AUTOEVENTO="Manual",
                IF($A46=0,"&lt;-- defina o número do agrupador",
                       OFFSET(EVENTOS!$D$15,$A46-$A$15,0)),
                OFFSET($F$15,$A46,0)))</f>
        <v>FUNDAÇÕES</v>
      </c>
      <c r="O46" s="168"/>
      <c r="Q46" s="168">
        <v>33.950000000000003</v>
      </c>
      <c r="R46" s="169">
        <v>33.950000000000003</v>
      </c>
      <c r="S46" s="169">
        <v>33.950000000000003</v>
      </c>
      <c r="T46" s="169">
        <v>33.950000000000003</v>
      </c>
      <c r="U46" s="169">
        <v>33.950000000000003</v>
      </c>
      <c r="V46" s="169">
        <v>33.950000000000003</v>
      </c>
      <c r="W46" s="169">
        <v>33.950000000000003</v>
      </c>
      <c r="X46" s="169">
        <v>33.950000000000003</v>
      </c>
      <c r="Y46" s="169">
        <v>33.950000000000003</v>
      </c>
      <c r="Z46" s="170">
        <v>33.950000000000003</v>
      </c>
      <c r="AA46" s="169">
        <v>33.950000000000003</v>
      </c>
      <c r="AB46" s="169">
        <v>33.950000000000003</v>
      </c>
      <c r="AC46" s="169">
        <v>33.950000000000003</v>
      </c>
      <c r="AD46" s="169">
        <v>33.950000000000003</v>
      </c>
      <c r="AE46" s="169">
        <v>33.950000000000003</v>
      </c>
      <c r="AF46" s="169">
        <v>33.950000000000003</v>
      </c>
      <c r="AG46" s="169">
        <v>33.950000000000003</v>
      </c>
      <c r="AH46" s="170">
        <v>33.950000000000003</v>
      </c>
      <c r="AI46" s="169">
        <v>33.950000000000003</v>
      </c>
      <c r="AJ46" s="169">
        <v>33.950000000000003</v>
      </c>
      <c r="AK46" s="169"/>
      <c r="AL46" s="169"/>
      <c r="AM46" s="169"/>
      <c r="AN46" s="169"/>
      <c r="AO46" s="169"/>
      <c r="AP46" s="170"/>
      <c r="AR46" s="453">
        <f ca="1">IF(AND($D46="Serviço",AR$12&lt;&gt;0,$H46&gt;0,OR(AUTOEVENTO&lt;&gt;"manual",$M46&lt;&gt;$A$15)),
        IF(Import.TipoArredondamento&lt;&gt;"TransfereGOV",
              ROUND(OFFSET($P46,0,AR$13),15-13*ORÇAMENTO!$AF$7)/$H46*OFFSET(ORÇAMENTO!$X$15,ROW(AR46)-ROW(AR$15),0),
              ROUND(ROUND(OFFSET($P46,0,AR$13),15-13*ORÇAMENTO!$AF$7)*OFFSET(ORÇAMENTO!$W$15,ROW(AR46)-ROW(AR$15),0),15-13*ORÇAMENTO!$AF$11)),
         0)</f>
        <v>0</v>
      </c>
      <c r="AS46" s="453">
        <f ca="1">IF(AND($D46="Serviço",AS$12&lt;&gt;0,$H46&gt;0,OR(AUTOEVENTO&lt;&gt;"manual",$M46&lt;&gt;$A$15)),
        IF(Import.TipoArredondamento&lt;&gt;"TransfereGOV",
              ROUND(OFFSET($P46,0,AS$13),15-13*ORÇAMENTO!$AF$7)/$H46*OFFSET(ORÇAMENTO!$X$15,ROW(AS46)-ROW(AS$15),0),
              ROUND(ROUND(OFFSET($P46,0,AS$13),15-13*ORÇAMENTO!$AF$7)*OFFSET(ORÇAMENTO!$W$15,ROW(AS46)-ROW(AS$15),0),15-13*ORÇAMENTO!$AF$11)),
         0)</f>
        <v>0</v>
      </c>
      <c r="AT46" s="453">
        <f ca="1">IF(AND($D46="Serviço",AT$12&lt;&gt;0,$H46&gt;0,OR(AUTOEVENTO&lt;&gt;"manual",$M46&lt;&gt;$A$15)),
        IF(Import.TipoArredondamento&lt;&gt;"TransfereGOV",
              ROUND(OFFSET($P46,0,AT$13),15-13*ORÇAMENTO!$AF$7)/$H46*OFFSET(ORÇAMENTO!$X$15,ROW(AT46)-ROW(AT$15),0),
              ROUND(ROUND(OFFSET($P46,0,AT$13),15-13*ORÇAMENTO!$AF$7)*OFFSET(ORÇAMENTO!$W$15,ROW(AT46)-ROW(AT$15),0),15-13*ORÇAMENTO!$AF$11)),
         0)</f>
        <v>0</v>
      </c>
      <c r="AU46" s="453">
        <f ca="1">IF(AND($D46="Serviço",AU$12&lt;&gt;0,$H46&gt;0,OR(AUTOEVENTO&lt;&gt;"manual",$M46&lt;&gt;$A$15)),
        IF(Import.TipoArredondamento&lt;&gt;"TransfereGOV",
              ROUND(OFFSET($P46,0,AU$13),15-13*ORÇAMENTO!$AF$7)/$H46*OFFSET(ORÇAMENTO!$X$15,ROW(AU46)-ROW(AU$15),0),
              ROUND(ROUND(OFFSET($P46,0,AU$13),15-13*ORÇAMENTO!$AF$7)*OFFSET(ORÇAMENTO!$W$15,ROW(AU46)-ROW(AU$15),0),15-13*ORÇAMENTO!$AF$11)),
         0)</f>
        <v>0</v>
      </c>
      <c r="AV46" s="453">
        <f ca="1">IF(AND($D46="Serviço",AV$12&lt;&gt;0,$H46&gt;0,OR(AUTOEVENTO&lt;&gt;"manual",$M46&lt;&gt;$A$15)),
        IF(Import.TipoArredondamento&lt;&gt;"TransfereGOV",
              ROUND(OFFSET($P46,0,AV$13),15-13*ORÇAMENTO!$AF$7)/$H46*OFFSET(ORÇAMENTO!$X$15,ROW(AV46)-ROW(AV$15),0),
              ROUND(ROUND(OFFSET($P46,0,AV$13),15-13*ORÇAMENTO!$AF$7)*OFFSET(ORÇAMENTO!$W$15,ROW(AV46)-ROW(AV$15),0),15-13*ORÇAMENTO!$AF$11)),
         0)</f>
        <v>0</v>
      </c>
      <c r="AW46" s="453">
        <f ca="1">IF(AND($D46="Serviço",AW$12&lt;&gt;0,$H46&gt;0,OR(AUTOEVENTO&lt;&gt;"manual",$M46&lt;&gt;$A$15)),
        IF(Import.TipoArredondamento&lt;&gt;"TransfereGOV",
              ROUND(OFFSET($P46,0,AW$13),15-13*ORÇAMENTO!$AF$7)/$H46*OFFSET(ORÇAMENTO!$X$15,ROW(AW46)-ROW(AW$15),0),
              ROUND(ROUND(OFFSET($P46,0,AW$13),15-13*ORÇAMENTO!$AF$7)*OFFSET(ORÇAMENTO!$W$15,ROW(AW46)-ROW(AW$15),0),15-13*ORÇAMENTO!$AF$11)),
         0)</f>
        <v>0</v>
      </c>
      <c r="AX46" s="453">
        <f ca="1">IF(AND($D46="Serviço",AX$12&lt;&gt;0,$H46&gt;0,OR(AUTOEVENTO&lt;&gt;"manual",$M46&lt;&gt;$A$15)),
        IF(Import.TipoArredondamento&lt;&gt;"TransfereGOV",
              ROUND(OFFSET($P46,0,AX$13),15-13*ORÇAMENTO!$AF$7)/$H46*OFFSET(ORÇAMENTO!$X$15,ROW(AX46)-ROW(AX$15),0),
              ROUND(ROUND(OFFSET($P46,0,AX$13),15-13*ORÇAMENTO!$AF$7)*OFFSET(ORÇAMENTO!$W$15,ROW(AX46)-ROW(AX$15),0),15-13*ORÇAMENTO!$AF$11)),
         0)</f>
        <v>0</v>
      </c>
      <c r="AY46" s="453">
        <f ca="1">IF(AND($D46="Serviço",AY$12&lt;&gt;0,$H46&gt;0,OR(AUTOEVENTO&lt;&gt;"manual",$M46&lt;&gt;$A$15)),
        IF(Import.TipoArredondamento&lt;&gt;"TransfereGOV",
              ROUND(OFFSET($P46,0,AY$13),15-13*ORÇAMENTO!$AF$7)/$H46*OFFSET(ORÇAMENTO!$X$15,ROW(AY46)-ROW(AY$15),0),
              ROUND(ROUND(OFFSET($P46,0,AY$13),15-13*ORÇAMENTO!$AF$7)*OFFSET(ORÇAMENTO!$W$15,ROW(AY46)-ROW(AY$15),0),15-13*ORÇAMENTO!$AF$11)),
         0)</f>
        <v>0</v>
      </c>
      <c r="AZ46" s="453">
        <f ca="1">IF(AND($D46="Serviço",AZ$12&lt;&gt;0,$H46&gt;0,OR(AUTOEVENTO&lt;&gt;"manual",$M46&lt;&gt;$A$15)),
        IF(Import.TipoArredondamento&lt;&gt;"TransfereGOV",
              ROUND(OFFSET($P46,0,AZ$13),15-13*ORÇAMENTO!$AF$7)/$H46*OFFSET(ORÇAMENTO!$X$15,ROW(AZ46)-ROW(AZ$15),0),
              ROUND(ROUND(OFFSET($P46,0,AZ$13),15-13*ORÇAMENTO!$AF$7)*OFFSET(ORÇAMENTO!$W$15,ROW(AZ46)-ROW(AZ$15),0),15-13*ORÇAMENTO!$AF$11)),
         0)</f>
        <v>0</v>
      </c>
      <c r="BA46" s="453">
        <f ca="1">IF(AND($D46="Serviço",BA$12&lt;&gt;0,$H46&gt;0,OR(AUTOEVENTO&lt;&gt;"manual",$M46&lt;&gt;$A$15)),
        IF(Import.TipoArredondamento&lt;&gt;"TransfereGOV",
              ROUND(OFFSET($P46,0,BA$13),15-13*ORÇAMENTO!$AF$7)/$H46*OFFSET(ORÇAMENTO!$X$15,ROW(BA46)-ROW(BA$15),0),
              ROUND(ROUND(OFFSET($P46,0,BA$13),15-13*ORÇAMENTO!$AF$7)*OFFSET(ORÇAMENTO!$W$15,ROW(BA46)-ROW(BA$15),0),15-13*ORÇAMENTO!$AF$11)),
         0)</f>
        <v>0</v>
      </c>
      <c r="BB46" s="453">
        <f ca="1">IF(AND($D46="Serviço",BB$12&lt;&gt;0,$H46&gt;0,OR(AUTOEVENTO&lt;&gt;"manual",$M46&lt;&gt;$A$15)),
        IF(Import.TipoArredondamento&lt;&gt;"TransfereGOV",
              ROUND(OFFSET($P46,0,BB$13),15-13*ORÇAMENTO!$AF$7)/$H46*OFFSET(ORÇAMENTO!$X$15,ROW(BB46)-ROW(BB$15),0),
              ROUND(ROUND(OFFSET($P46,0,BB$13),15-13*ORÇAMENTO!$AF$7)*OFFSET(ORÇAMENTO!$W$15,ROW(BB46)-ROW(BB$15),0),15-13*ORÇAMENTO!$AF$11)),
         0)</f>
        <v>0</v>
      </c>
      <c r="BC46" s="453">
        <f ca="1">IF(AND($D46="Serviço",BC$12&lt;&gt;0,$H46&gt;0,OR(AUTOEVENTO&lt;&gt;"manual",$M46&lt;&gt;$A$15)),
        IF(Import.TipoArredondamento&lt;&gt;"TransfereGOV",
              ROUND(OFFSET($P46,0,BC$13),15-13*ORÇAMENTO!$AF$7)/$H46*OFFSET(ORÇAMENTO!$X$15,ROW(BC46)-ROW(BC$15),0),
              ROUND(ROUND(OFFSET($P46,0,BC$13),15-13*ORÇAMENTO!$AF$7)*OFFSET(ORÇAMENTO!$W$15,ROW(BC46)-ROW(BC$15),0),15-13*ORÇAMENTO!$AF$11)),
         0)</f>
        <v>0</v>
      </c>
      <c r="BD46" s="453">
        <f ca="1">IF(AND($D46="Serviço",BD$12&lt;&gt;0,$H46&gt;0,OR(AUTOEVENTO&lt;&gt;"manual",$M46&lt;&gt;$A$15)),
        IF(Import.TipoArredondamento&lt;&gt;"TransfereGOV",
              ROUND(OFFSET($P46,0,BD$13),15-13*ORÇAMENTO!$AF$7)/$H46*OFFSET(ORÇAMENTO!$X$15,ROW(BD46)-ROW(BD$15),0),
              ROUND(ROUND(OFFSET($P46,0,BD$13),15-13*ORÇAMENTO!$AF$7)*OFFSET(ORÇAMENTO!$W$15,ROW(BD46)-ROW(BD$15),0),15-13*ORÇAMENTO!$AF$11)),
         0)</f>
        <v>0</v>
      </c>
      <c r="BE46" s="453">
        <f ca="1">IF(AND($D46="Serviço",BE$12&lt;&gt;0,$H46&gt;0,OR(AUTOEVENTO&lt;&gt;"manual",$M46&lt;&gt;$A$15)),
        IF(Import.TipoArredondamento&lt;&gt;"TransfereGOV",
              ROUND(OFFSET($P46,0,BE$13),15-13*ORÇAMENTO!$AF$7)/$H46*OFFSET(ORÇAMENTO!$X$15,ROW(BE46)-ROW(BE$15),0),
              ROUND(ROUND(OFFSET($P46,0,BE$13),15-13*ORÇAMENTO!$AF$7)*OFFSET(ORÇAMENTO!$W$15,ROW(BE46)-ROW(BE$15),0),15-13*ORÇAMENTO!$AF$11)),
         0)</f>
        <v>0</v>
      </c>
      <c r="BF46" s="453">
        <f ca="1">IF(AND($D46="Serviço",BF$12&lt;&gt;0,$H46&gt;0,OR(AUTOEVENTO&lt;&gt;"manual",$M46&lt;&gt;$A$15)),
        IF(Import.TipoArredondamento&lt;&gt;"TransfereGOV",
              ROUND(OFFSET($P46,0,BF$13),15-13*ORÇAMENTO!$AF$7)/$H46*OFFSET(ORÇAMENTO!$X$15,ROW(BF46)-ROW(BF$15),0),
              ROUND(ROUND(OFFSET($P46,0,BF$13),15-13*ORÇAMENTO!$AF$7)*OFFSET(ORÇAMENTO!$W$15,ROW(BF46)-ROW(BF$15),0),15-13*ORÇAMENTO!$AF$11)),
         0)</f>
        <v>0</v>
      </c>
      <c r="BG46" s="453">
        <f ca="1">IF(AND($D46="Serviço",BG$12&lt;&gt;0,$H46&gt;0,OR(AUTOEVENTO&lt;&gt;"manual",$M46&lt;&gt;$A$15)),
        IF(Import.TipoArredondamento&lt;&gt;"TransfereGOV",
              ROUND(OFFSET($P46,0,BG$13),15-13*ORÇAMENTO!$AF$7)/$H46*OFFSET(ORÇAMENTO!$X$15,ROW(BG46)-ROW(BG$15),0),
              ROUND(ROUND(OFFSET($P46,0,BG$13),15-13*ORÇAMENTO!$AF$7)*OFFSET(ORÇAMENTO!$W$15,ROW(BG46)-ROW(BG$15),0),15-13*ORÇAMENTO!$AF$11)),
         0)</f>
        <v>0</v>
      </c>
      <c r="BH46" s="453">
        <f ca="1">IF(AND($D46="Serviço",BH$12&lt;&gt;0,$H46&gt;0,OR(AUTOEVENTO&lt;&gt;"manual",$M46&lt;&gt;$A$15)),
        IF(Import.TipoArredondamento&lt;&gt;"TransfereGOV",
              ROUND(OFFSET($P46,0,BH$13),15-13*ORÇAMENTO!$AF$7)/$H46*OFFSET(ORÇAMENTO!$X$15,ROW(BH46)-ROW(BH$15),0),
              ROUND(ROUND(OFFSET($P46,0,BH$13),15-13*ORÇAMENTO!$AF$7)*OFFSET(ORÇAMENTO!$W$15,ROW(BH46)-ROW(BH$15),0),15-13*ORÇAMENTO!$AF$11)),
         0)</f>
        <v>0</v>
      </c>
      <c r="BI46" s="453">
        <f ca="1">IF(AND($D46="Serviço",BI$12&lt;&gt;0,$H46&gt;0,OR(AUTOEVENTO&lt;&gt;"manual",$M46&lt;&gt;$A$15)),
        IF(Import.TipoArredondamento&lt;&gt;"TransfereGOV",
              ROUND(OFFSET($P46,0,BI$13),15-13*ORÇAMENTO!$AF$7)/$H46*OFFSET(ORÇAMENTO!$X$15,ROW(BI46)-ROW(BI$15),0),
              ROUND(ROUND(OFFSET($P46,0,BI$13),15-13*ORÇAMENTO!$AF$7)*OFFSET(ORÇAMENTO!$W$15,ROW(BI46)-ROW(BI$15),0),15-13*ORÇAMENTO!$AF$11)),
         0)</f>
        <v>0</v>
      </c>
      <c r="BJ46" s="453">
        <f ca="1">IF(AND($D46="Serviço",BJ$12&lt;&gt;0,$H46&gt;0,OR(AUTOEVENTO&lt;&gt;"manual",$M46&lt;&gt;$A$15)),
        IF(Import.TipoArredondamento&lt;&gt;"TransfereGOV",
              ROUND(OFFSET($P46,0,BJ$13),15-13*ORÇAMENTO!$AF$7)/$H46*OFFSET(ORÇAMENTO!$X$15,ROW(BJ46)-ROW(BJ$15),0),
              ROUND(ROUND(OFFSET($P46,0,BJ$13),15-13*ORÇAMENTO!$AF$7)*OFFSET(ORÇAMENTO!$W$15,ROW(BJ46)-ROW(BJ$15),0),15-13*ORÇAMENTO!$AF$11)),
         0)</f>
        <v>0</v>
      </c>
      <c r="BK46" s="453">
        <f ca="1">IF(AND($D46="Serviço",BK$12&lt;&gt;0,$H46&gt;0,OR(AUTOEVENTO&lt;&gt;"manual",$M46&lt;&gt;$A$15)),
        IF(Import.TipoArredondamento&lt;&gt;"TransfereGOV",
              ROUND(OFFSET($P46,0,BK$13),15-13*ORÇAMENTO!$AF$7)/$H46*OFFSET(ORÇAMENTO!$X$15,ROW(BK46)-ROW(BK$15),0),
              ROUND(ROUND(OFFSET($P46,0,BK$13),15-13*ORÇAMENTO!$AF$7)*OFFSET(ORÇAMENTO!$W$15,ROW(BK46)-ROW(BK$15),0),15-13*ORÇAMENTO!$AF$11)),
         0)</f>
        <v>0</v>
      </c>
      <c r="BL46" s="453">
        <f ca="1">IF(AND($D46="Serviço",BL$12&lt;&gt;0,$H46&gt;0,OR(AUTOEVENTO&lt;&gt;"manual",$M46&lt;&gt;$A$15)),
        IF(Import.TipoArredondamento&lt;&gt;"TransfereGOV",
              ROUND(OFFSET($P46,0,BL$13),15-13*ORÇAMENTO!$AF$7)/$H46*OFFSET(ORÇAMENTO!$X$15,ROW(BL46)-ROW(BL$15),0),
              ROUND(ROUND(OFFSET($P46,0,BL$13),15-13*ORÇAMENTO!$AF$7)*OFFSET(ORÇAMENTO!$W$15,ROW(BL46)-ROW(BL$15),0),15-13*ORÇAMENTO!$AF$11)),
         0)</f>
        <v>0</v>
      </c>
      <c r="BM46" s="453">
        <f ca="1">IF(AND($D46="Serviço",BM$12&lt;&gt;0,$H46&gt;0,OR(AUTOEVENTO&lt;&gt;"manual",$M46&lt;&gt;$A$15)),
        IF(Import.TipoArredondamento&lt;&gt;"TransfereGOV",
              ROUND(OFFSET($P46,0,BM$13),15-13*ORÇAMENTO!$AF$7)/$H46*OFFSET(ORÇAMENTO!$X$15,ROW(BM46)-ROW(BM$15),0),
              ROUND(ROUND(OFFSET($P46,0,BM$13),15-13*ORÇAMENTO!$AF$7)*OFFSET(ORÇAMENTO!$W$15,ROW(BM46)-ROW(BM$15),0),15-13*ORÇAMENTO!$AF$11)),
         0)</f>
        <v>0</v>
      </c>
      <c r="BN46" s="453">
        <f ca="1">IF(AND($D46="Serviço",BN$12&lt;&gt;0,$H46&gt;0,OR(AUTOEVENTO&lt;&gt;"manual",$M46&lt;&gt;$A$15)),
        IF(Import.TipoArredondamento&lt;&gt;"TransfereGOV",
              ROUND(OFFSET($P46,0,BN$13),15-13*ORÇAMENTO!$AF$7)/$H46*OFFSET(ORÇAMENTO!$X$15,ROW(BN46)-ROW(BN$15),0),
              ROUND(ROUND(OFFSET($P46,0,BN$13),15-13*ORÇAMENTO!$AF$7)*OFFSET(ORÇAMENTO!$W$15,ROW(BN46)-ROW(BN$15),0),15-13*ORÇAMENTO!$AF$11)),
         0)</f>
        <v>0</v>
      </c>
      <c r="BO46" s="453">
        <f ca="1">IF(AND($D46="Serviço",BO$12&lt;&gt;0,$H46&gt;0,OR(AUTOEVENTO&lt;&gt;"manual",$M46&lt;&gt;$A$15)),
        IF(Import.TipoArredondamento&lt;&gt;"TransfereGOV",
              ROUND(OFFSET($P46,0,BO$13),15-13*ORÇAMENTO!$AF$7)/$H46*OFFSET(ORÇAMENTO!$X$15,ROW(BO46)-ROW(BO$15),0),
              ROUND(ROUND(OFFSET($P46,0,BO$13),15-13*ORÇAMENTO!$AF$7)*OFFSET(ORÇAMENTO!$W$15,ROW(BO46)-ROW(BO$15),0),15-13*ORÇAMENTO!$AF$11)),
         0)</f>
        <v>0</v>
      </c>
      <c r="BP46" s="453">
        <f ca="1">IF(AND($D46="Serviço",BP$12&lt;&gt;0,$H46&gt;0,OR(AUTOEVENTO&lt;&gt;"manual",$M46&lt;&gt;$A$15)),
        IF(Import.TipoArredondamento&lt;&gt;"TransfereGOV",
              ROUND(OFFSET($P46,0,BP$13),15-13*ORÇAMENTO!$AF$7)/$H46*OFFSET(ORÇAMENTO!$X$15,ROW(BP46)-ROW(BP$15),0),
              ROUND(ROUND(OFFSET($P46,0,BP$13),15-13*ORÇAMENTO!$AF$7)*OFFSET(ORÇAMENTO!$W$15,ROW(BP46)-ROW(BP$15),0),15-13*ORÇAMENTO!$AF$11)),
         0)</f>
        <v>0</v>
      </c>
      <c r="BQ46" s="453">
        <f ca="1">IF(AND($D46="Serviço",BQ$12&lt;&gt;0,$H46&gt;0,OR(AUTOEVENTO&lt;&gt;"manual",$M46&lt;&gt;$A$15)),
        IF(Import.TipoArredondamento&lt;&gt;"TransfereGOV",
              ROUND(OFFSET($P46,0,BQ$13),15-13*ORÇAMENTO!$AF$7)/$H46*OFFSET(ORÇAMENTO!$X$15,ROW(BQ46)-ROW(BQ$15),0),
              ROUND(ROUND(OFFSET($P46,0,BQ$13),15-13*ORÇAMENTO!$AF$7)*OFFSET(ORÇAMENTO!$W$15,ROW(BQ46)-ROW(BQ$15),0),15-13*ORÇAMENTO!$AF$11)),
         0)</f>
        <v>0</v>
      </c>
      <c r="BS46" s="171">
        <f ca="1">IF(OR($D46&lt;&gt;"Serviço",AND(AUTOEVENTO="Manual",$M46=$A$15)),0,
         IF(OFFSET(CRONOPLE!$F$15,$M46-$A$15,BS$13)=0,10^12,OFFSET(CRONOPLE!$F$15,$M46-$A$15,BS$13)))</f>
        <v>1</v>
      </c>
      <c r="BT46" s="171">
        <f ca="1">IF(OR($D46&lt;&gt;"Serviço",AND(AUTOEVENTO="Manual",$M46=$A$15)),0,
         IF(OFFSET(CRONOPLE!$F$15,$M46-$A$15,BT$13)=0,10^12,OFFSET(CRONOPLE!$F$15,$M46-$A$15,BT$13)))</f>
        <v>2</v>
      </c>
      <c r="BU46" s="171">
        <f ca="1">IF(OR($D46&lt;&gt;"Serviço",AND(AUTOEVENTO="Manual",$M46=$A$15)),0,
         IF(OFFSET(CRONOPLE!$F$15,$M46-$A$15,BU$13)=0,10^12,OFFSET(CRONOPLE!$F$15,$M46-$A$15,BU$13)))</f>
        <v>3</v>
      </c>
      <c r="BV46" s="171">
        <f ca="1">IF(OR($D46&lt;&gt;"Serviço",AND(AUTOEVENTO="Manual",$M46=$A$15)),0,
         IF(OFFSET(CRONOPLE!$F$15,$M46-$A$15,BV$13)=0,10^12,OFFSET(CRONOPLE!$F$15,$M46-$A$15,BV$13)))</f>
        <v>4</v>
      </c>
      <c r="BW46" s="171">
        <f ca="1">IF(OR($D46&lt;&gt;"Serviço",AND(AUTOEVENTO="Manual",$M46=$A$15)),0,
         IF(OFFSET(CRONOPLE!$F$15,$M46-$A$15,BW$13)=0,10^12,OFFSET(CRONOPLE!$F$15,$M46-$A$15,BW$13)))</f>
        <v>5</v>
      </c>
      <c r="BX46" s="171">
        <f ca="1">IF(OR($D46&lt;&gt;"Serviço",AND(AUTOEVENTO="Manual",$M46=$A$15)),0,
         IF(OFFSET(CRONOPLE!$F$15,$M46-$A$15,BX$13)=0,10^12,OFFSET(CRONOPLE!$F$15,$M46-$A$15,BX$13)))</f>
        <v>6</v>
      </c>
      <c r="BY46" s="171">
        <f ca="1">IF(OR($D46&lt;&gt;"Serviço",AND(AUTOEVENTO="Manual",$M46=$A$15)),0,
         IF(OFFSET(CRONOPLE!$F$15,$M46-$A$15,BY$13)=0,10^12,OFFSET(CRONOPLE!$F$15,$M46-$A$15,BY$13)))</f>
        <v>7</v>
      </c>
      <c r="BZ46" s="171">
        <f ca="1">IF(OR($D46&lt;&gt;"Serviço",AND(AUTOEVENTO="Manual",$M46=$A$15)),0,
         IF(OFFSET(CRONOPLE!$F$15,$M46-$A$15,BZ$13)=0,10^12,OFFSET(CRONOPLE!$F$15,$M46-$A$15,BZ$13)))</f>
        <v>8</v>
      </c>
      <c r="CA46" s="171">
        <f ca="1">IF(OR($D46&lt;&gt;"Serviço",AND(AUTOEVENTO="Manual",$M46=$A$15)),0,
         IF(OFFSET(CRONOPLE!$F$15,$M46-$A$15,CA$13)=0,10^12,OFFSET(CRONOPLE!$F$15,$M46-$A$15,CA$13)))</f>
        <v>9</v>
      </c>
      <c r="CB46" s="171">
        <f ca="1">IF(OR($D46&lt;&gt;"Serviço",AND(AUTOEVENTO="Manual",$M46=$A$15)),0,
         IF(OFFSET(CRONOPLE!$F$15,$M46-$A$15,CB$13)=0,10^12,OFFSET(CRONOPLE!$F$15,$M46-$A$15,CB$13)))</f>
        <v>10</v>
      </c>
      <c r="CC46" s="171">
        <f ca="1">IF(OR($D46&lt;&gt;"Serviço",AND(AUTOEVENTO="Manual",$M46=$A$15)),0,
         IF(OFFSET(CRONOPLE!$F$15,$M46-$A$15,CC$13)=0,10^12,OFFSET(CRONOPLE!$F$15,$M46-$A$15,CC$13)))</f>
        <v>11</v>
      </c>
      <c r="CD46" s="171">
        <f ca="1">IF(OR($D46&lt;&gt;"Serviço",AND(AUTOEVENTO="Manual",$M46=$A$15)),0,
         IF(OFFSET(CRONOPLE!$F$15,$M46-$A$15,CD$13)=0,10^12,OFFSET(CRONOPLE!$F$15,$M46-$A$15,CD$13)))</f>
        <v>12</v>
      </c>
      <c r="CE46" s="171">
        <f ca="1">IF(OR($D46&lt;&gt;"Serviço",AND(AUTOEVENTO="Manual",$M46=$A$15)),0,
         IF(OFFSET(CRONOPLE!$F$15,$M46-$A$15,CE$13)=0,10^12,OFFSET(CRONOPLE!$F$15,$M46-$A$15,CE$13)))</f>
        <v>13</v>
      </c>
      <c r="CF46" s="171">
        <f ca="1">IF(OR($D46&lt;&gt;"Serviço",AND(AUTOEVENTO="Manual",$M46=$A$15)),0,
         IF(OFFSET(CRONOPLE!$F$15,$M46-$A$15,CF$13)=0,10^12,OFFSET(CRONOPLE!$F$15,$M46-$A$15,CF$13)))</f>
        <v>14</v>
      </c>
      <c r="CG46" s="171">
        <f ca="1">IF(OR($D46&lt;&gt;"Serviço",AND(AUTOEVENTO="Manual",$M46=$A$15)),0,
         IF(OFFSET(CRONOPLE!$F$15,$M46-$A$15,CG$13)=0,10^12,OFFSET(CRONOPLE!$F$15,$M46-$A$15,CG$13)))</f>
        <v>15</v>
      </c>
      <c r="CH46" s="171">
        <f ca="1">IF(OR($D46&lt;&gt;"Serviço",AND(AUTOEVENTO="Manual",$M46=$A$15)),0,
         IF(OFFSET(CRONOPLE!$F$15,$M46-$A$15,CH$13)=0,10^12,OFFSET(CRONOPLE!$F$15,$M46-$A$15,CH$13)))</f>
        <v>16</v>
      </c>
      <c r="CI46" s="171">
        <f ca="1">IF(OR($D46&lt;&gt;"Serviço",AND(AUTOEVENTO="Manual",$M46=$A$15)),0,
         IF(OFFSET(CRONOPLE!$F$15,$M46-$A$15,CI$13)=0,10^12,OFFSET(CRONOPLE!$F$15,$M46-$A$15,CI$13)))</f>
        <v>17</v>
      </c>
      <c r="CJ46" s="171">
        <f ca="1">IF(OR($D46&lt;&gt;"Serviço",AND(AUTOEVENTO="Manual",$M46=$A$15)),0,
         IF(OFFSET(CRONOPLE!$F$15,$M46-$A$15,CJ$13)=0,10^12,OFFSET(CRONOPLE!$F$15,$M46-$A$15,CJ$13)))</f>
        <v>18</v>
      </c>
      <c r="CK46" s="171">
        <f ca="1">IF(OR($D46&lt;&gt;"Serviço",AND(AUTOEVENTO="Manual",$M46=$A$15)),0,
         IF(OFFSET(CRONOPLE!$F$15,$M46-$A$15,CK$13)=0,10^12,OFFSET(CRONOPLE!$F$15,$M46-$A$15,CK$13)))</f>
        <v>19</v>
      </c>
      <c r="CL46" s="171">
        <f ca="1">IF(OR($D46&lt;&gt;"Serviço",AND(AUTOEVENTO="Manual",$M46=$A$15)),0,
         IF(OFFSET(CRONOPLE!$F$15,$M46-$A$15,CL$13)=0,10^12,OFFSET(CRONOPLE!$F$15,$M46-$A$15,CL$13)))</f>
        <v>20</v>
      </c>
      <c r="CM46" s="171">
        <f ca="1">IF(OR($D46&lt;&gt;"Serviço",AND(AUTOEVENTO="Manual",$M46=$A$15)),0,
         IF(OFFSET(CRONOPLE!$F$15,$M46-$A$15,CM$13)=0,10^12,OFFSET(CRONOPLE!$F$15,$M46-$A$15,CM$13)))</f>
        <v>1000000000000</v>
      </c>
      <c r="CN46" s="171">
        <f ca="1">IF(OR($D46&lt;&gt;"Serviço",AND(AUTOEVENTO="Manual",$M46=$A$15)),0,
         IF(OFFSET(CRONOPLE!$F$15,$M46-$A$15,CN$13)=0,10^12,OFFSET(CRONOPLE!$F$15,$M46-$A$15,CN$13)))</f>
        <v>1000000000000</v>
      </c>
      <c r="CO46" s="171">
        <f ca="1">IF(OR($D46&lt;&gt;"Serviço",AND(AUTOEVENTO="Manual",$M46=$A$15)),0,
         IF(OFFSET(CRONOPLE!$F$15,$M46-$A$15,CO$13)=0,10^12,OFFSET(CRONOPLE!$F$15,$M46-$A$15,CO$13)))</f>
        <v>1000000000000</v>
      </c>
      <c r="CP46" s="171">
        <f ca="1">IF(OR($D46&lt;&gt;"Serviço",AND(AUTOEVENTO="Manual",$M46=$A$15)),0,
         IF(OFFSET(CRONOPLE!$F$15,$M46-$A$15,CP$13)=0,10^12,OFFSET(CRONOPLE!$F$15,$M46-$A$15,CP$13)))</f>
        <v>1000000000000</v>
      </c>
      <c r="CQ46" s="171">
        <f ca="1">IF(OR($D46&lt;&gt;"Serviço",AND(AUTOEVENTO="Manual",$M46=$A$15)),0,
         IF(OFFSET(CRONOPLE!$F$15,$M46-$A$15,CQ$13)=0,10^12,OFFSET(CRONOPLE!$F$15,$M46-$A$15,CQ$13)))</f>
        <v>1000000000000</v>
      </c>
      <c r="CR46" s="171">
        <f ca="1">IF(OR($D46&lt;&gt;"Serviço",AND(AUTOEVENTO="Manual",$M46=$A$15)),0,
         IF(OFFSET(CRONOPLE!$F$15,$M46-$A$15,CR$13)=0,10^12,OFFSET(CRONOPLE!$F$15,$M46-$A$15,CR$13)))</f>
        <v>1000000000000</v>
      </c>
      <c r="CT46" s="172" cm="1">
        <f t="array" aca="1" ref="CT46" ca="1">IF(OR($D46&lt;&gt;"Serviço",AND(AUTOEVENTO="Manual",$M46=$A$15),$M46&gt;(ROW(PLE.lastrow)-ROW(PLE.firstrow))),0,
           IF(OFFSET(PLE!$G$15,$M46-$A$15,CT$13)="",10^12,OFFSET(PLE!$G$15,$M46-$A$15,CT$13)))</f>
        <v>1000000000000</v>
      </c>
      <c r="CU46" s="172" cm="1">
        <f t="array" aca="1" ref="CU46" ca="1">IF(OR($D46&lt;&gt;"Serviço",AND(AUTOEVENTO="Manual",$M46=$A$15),$M46&gt;(ROW(PLE.lastrow)-ROW(PLE.firstrow))),0,
           IF(OFFSET(PLE!$G$15,$M46-$A$15,CU$13)="",10^12,OFFSET(PLE!$G$15,$M46-$A$15,CU$13)))</f>
        <v>1000000000000</v>
      </c>
      <c r="CV46" s="172" cm="1">
        <f t="array" aca="1" ref="CV46" ca="1">IF(OR($D46&lt;&gt;"Serviço",AND(AUTOEVENTO="Manual",$M46=$A$15),$M46&gt;(ROW(PLE.lastrow)-ROW(PLE.firstrow))),0,
           IF(OFFSET(PLE!$G$15,$M46-$A$15,CV$13)="",10^12,OFFSET(PLE!$G$15,$M46-$A$15,CV$13)))</f>
        <v>1000000000000</v>
      </c>
      <c r="CW46" s="172" cm="1">
        <f t="array" aca="1" ref="CW46" ca="1">IF(OR($D46&lt;&gt;"Serviço",AND(AUTOEVENTO="Manual",$M46=$A$15),$M46&gt;(ROW(PLE.lastrow)-ROW(PLE.firstrow))),0,
           IF(OFFSET(PLE!$G$15,$M46-$A$15,CW$13)="",10^12,OFFSET(PLE!$G$15,$M46-$A$15,CW$13)))</f>
        <v>1000000000000</v>
      </c>
      <c r="CX46" s="172" cm="1">
        <f t="array" aca="1" ref="CX46" ca="1">IF(OR($D46&lt;&gt;"Serviço",AND(AUTOEVENTO="Manual",$M46=$A$15),$M46&gt;(ROW(PLE.lastrow)-ROW(PLE.firstrow))),0,
           IF(OFFSET(PLE!$G$15,$M46-$A$15,CX$13)="",10^12,OFFSET(PLE!$G$15,$M46-$A$15,CX$13)))</f>
        <v>1000000000000</v>
      </c>
      <c r="CY46" s="172" cm="1">
        <f t="array" aca="1" ref="CY46" ca="1">IF(OR($D46&lt;&gt;"Serviço",AND(AUTOEVENTO="Manual",$M46=$A$15),$M46&gt;(ROW(PLE.lastrow)-ROW(PLE.firstrow))),0,
           IF(OFFSET(PLE!$G$15,$M46-$A$15,CY$13)="",10^12,OFFSET(PLE!$G$15,$M46-$A$15,CY$13)))</f>
        <v>1000000000000</v>
      </c>
      <c r="CZ46" s="172" cm="1">
        <f t="array" aca="1" ref="CZ46" ca="1">IF(OR($D46&lt;&gt;"Serviço",AND(AUTOEVENTO="Manual",$M46=$A$15),$M46&gt;(ROW(PLE.lastrow)-ROW(PLE.firstrow))),0,
           IF(OFFSET(PLE!$G$15,$M46-$A$15,CZ$13)="",10^12,OFFSET(PLE!$G$15,$M46-$A$15,CZ$13)))</f>
        <v>1000000000000</v>
      </c>
      <c r="DA46" s="172" cm="1">
        <f t="array" aca="1" ref="DA46" ca="1">IF(OR($D46&lt;&gt;"Serviço",AND(AUTOEVENTO="Manual",$M46=$A$15),$M46&gt;(ROW(PLE.lastrow)-ROW(PLE.firstrow))),0,
           IF(OFFSET(PLE!$G$15,$M46-$A$15,DA$13)="",10^12,OFFSET(PLE!$G$15,$M46-$A$15,DA$13)))</f>
        <v>1000000000000</v>
      </c>
      <c r="DB46" s="172" cm="1">
        <f t="array" aca="1" ref="DB46" ca="1">IF(OR($D46&lt;&gt;"Serviço",AND(AUTOEVENTO="Manual",$M46=$A$15),$M46&gt;(ROW(PLE.lastrow)-ROW(PLE.firstrow))),0,
           IF(OFFSET(PLE!$G$15,$M46-$A$15,DB$13)="",10^12,OFFSET(PLE!$G$15,$M46-$A$15,DB$13)))</f>
        <v>1000000000000</v>
      </c>
      <c r="DC46" s="172" cm="1">
        <f t="array" aca="1" ref="DC46" ca="1">IF(OR($D46&lt;&gt;"Serviço",AND(AUTOEVENTO="Manual",$M46=$A$15),$M46&gt;(ROW(PLE.lastrow)-ROW(PLE.firstrow))),0,
           IF(OFFSET(PLE!$G$15,$M46-$A$15,DC$13)="",10^12,OFFSET(PLE!$G$15,$M46-$A$15,DC$13)))</f>
        <v>1000000000000</v>
      </c>
      <c r="DD46" s="172" cm="1">
        <f t="array" aca="1" ref="DD46" ca="1">IF(OR($D46&lt;&gt;"Serviço",AND(AUTOEVENTO="Manual",$M46=$A$15),$M46&gt;(ROW(PLE.lastrow)-ROW(PLE.firstrow))),0,
           IF(OFFSET(PLE!$G$15,$M46-$A$15,DD$13)="",10^12,OFFSET(PLE!$G$15,$M46-$A$15,DD$13)))</f>
        <v>1000000000000</v>
      </c>
      <c r="DE46" s="172" cm="1">
        <f t="array" aca="1" ref="DE46" ca="1">IF(OR($D46&lt;&gt;"Serviço",AND(AUTOEVENTO="Manual",$M46=$A$15),$M46&gt;(ROW(PLE.lastrow)-ROW(PLE.firstrow))),0,
           IF(OFFSET(PLE!$G$15,$M46-$A$15,DE$13)="",10^12,OFFSET(PLE!$G$15,$M46-$A$15,DE$13)))</f>
        <v>1000000000000</v>
      </c>
      <c r="DF46" s="172" cm="1">
        <f t="array" aca="1" ref="DF46" ca="1">IF(OR($D46&lt;&gt;"Serviço",AND(AUTOEVENTO="Manual",$M46=$A$15),$M46&gt;(ROW(PLE.lastrow)-ROW(PLE.firstrow))),0,
           IF(OFFSET(PLE!$G$15,$M46-$A$15,DF$13)="",10^12,OFFSET(PLE!$G$15,$M46-$A$15,DF$13)))</f>
        <v>1000000000000</v>
      </c>
      <c r="DG46" s="172" cm="1">
        <f t="array" aca="1" ref="DG46" ca="1">IF(OR($D46&lt;&gt;"Serviço",AND(AUTOEVENTO="Manual",$M46=$A$15),$M46&gt;(ROW(PLE.lastrow)-ROW(PLE.firstrow))),0,
           IF(OFFSET(PLE!$G$15,$M46-$A$15,DG$13)="",10^12,OFFSET(PLE!$G$15,$M46-$A$15,DG$13)))</f>
        <v>1000000000000</v>
      </c>
      <c r="DH46" s="172" cm="1">
        <f t="array" aca="1" ref="DH46" ca="1">IF(OR($D46&lt;&gt;"Serviço",AND(AUTOEVENTO="Manual",$M46=$A$15),$M46&gt;(ROW(PLE.lastrow)-ROW(PLE.firstrow))),0,
           IF(OFFSET(PLE!$G$15,$M46-$A$15,DH$13)="",10^12,OFFSET(PLE!$G$15,$M46-$A$15,DH$13)))</f>
        <v>1000000000000</v>
      </c>
      <c r="DI46" s="172" cm="1">
        <f t="array" aca="1" ref="DI46" ca="1">IF(OR($D46&lt;&gt;"Serviço",AND(AUTOEVENTO="Manual",$M46=$A$15),$M46&gt;(ROW(PLE.lastrow)-ROW(PLE.firstrow))),0,
           IF(OFFSET(PLE!$G$15,$M46-$A$15,DI$13)="",10^12,OFFSET(PLE!$G$15,$M46-$A$15,DI$13)))</f>
        <v>1000000000000</v>
      </c>
      <c r="DJ46" s="172" cm="1">
        <f t="array" aca="1" ref="DJ46" ca="1">IF(OR($D46&lt;&gt;"Serviço",AND(AUTOEVENTO="Manual",$M46=$A$15),$M46&gt;(ROW(PLE.lastrow)-ROW(PLE.firstrow))),0,
           IF(OFFSET(PLE!$G$15,$M46-$A$15,DJ$13)="",10^12,OFFSET(PLE!$G$15,$M46-$A$15,DJ$13)))</f>
        <v>1000000000000</v>
      </c>
      <c r="DK46" s="172" cm="1">
        <f t="array" aca="1" ref="DK46" ca="1">IF(OR($D46&lt;&gt;"Serviço",AND(AUTOEVENTO="Manual",$M46=$A$15),$M46&gt;(ROW(PLE.lastrow)-ROW(PLE.firstrow))),0,
           IF(OFFSET(PLE!$G$15,$M46-$A$15,DK$13)="",10^12,OFFSET(PLE!$G$15,$M46-$A$15,DK$13)))</f>
        <v>1000000000000</v>
      </c>
      <c r="DL46" s="172" cm="1">
        <f t="array" aca="1" ref="DL46" ca="1">IF(OR($D46&lt;&gt;"Serviço",AND(AUTOEVENTO="Manual",$M46=$A$15),$M46&gt;(ROW(PLE.lastrow)-ROW(PLE.firstrow))),0,
           IF(OFFSET(PLE!$G$15,$M46-$A$15,DL$13)="",10^12,OFFSET(PLE!$G$15,$M46-$A$15,DL$13)))</f>
        <v>1000000000000</v>
      </c>
      <c r="DM46" s="172" cm="1">
        <f t="array" aca="1" ref="DM46" ca="1">IF(OR($D46&lt;&gt;"Serviço",AND(AUTOEVENTO="Manual",$M46=$A$15),$M46&gt;(ROW(PLE.lastrow)-ROW(PLE.firstrow))),0,
           IF(OFFSET(PLE!$G$15,$M46-$A$15,DM$13)="",10^12,OFFSET(PLE!$G$15,$M46-$A$15,DM$13)))</f>
        <v>1000000000000</v>
      </c>
      <c r="DN46" s="172" cm="1">
        <f t="array" aca="1" ref="DN46" ca="1">IF(OR($D46&lt;&gt;"Serviço",AND(AUTOEVENTO="Manual",$M46=$A$15),$M46&gt;(ROW(PLE.lastrow)-ROW(PLE.firstrow))),0,
           IF(OFFSET(PLE!$G$15,$M46-$A$15,DN$13)="",10^12,OFFSET(PLE!$G$15,$M46-$A$15,DN$13)))</f>
        <v>1000000000000</v>
      </c>
      <c r="DO46" s="172" cm="1">
        <f t="array" aca="1" ref="DO46" ca="1">IF(OR($D46&lt;&gt;"Serviço",AND(AUTOEVENTO="Manual",$M46=$A$15),$M46&gt;(ROW(PLE.lastrow)-ROW(PLE.firstrow))),0,
           IF(OFFSET(PLE!$G$15,$M46-$A$15,DO$13)="",10^12,OFFSET(PLE!$G$15,$M46-$A$15,DO$13)))</f>
        <v>1000000000000</v>
      </c>
      <c r="DP46" s="172" cm="1">
        <f t="array" aca="1" ref="DP46" ca="1">IF(OR($D46&lt;&gt;"Serviço",AND(AUTOEVENTO="Manual",$M46=$A$15),$M46&gt;(ROW(PLE.lastrow)-ROW(PLE.firstrow))),0,
           IF(OFFSET(PLE!$G$15,$M46-$A$15,DP$13)="",10^12,OFFSET(PLE!$G$15,$M46-$A$15,DP$13)))</f>
        <v>1000000000000</v>
      </c>
      <c r="DQ46" s="172" cm="1">
        <f t="array" aca="1" ref="DQ46" ca="1">IF(OR($D46&lt;&gt;"Serviço",AND(AUTOEVENTO="Manual",$M46=$A$15),$M46&gt;(ROW(PLE.lastrow)-ROW(PLE.firstrow))),0,
           IF(OFFSET(PLE!$G$15,$M46-$A$15,DQ$13)="",10^12,OFFSET(PLE!$G$15,$M46-$A$15,DQ$13)))</f>
        <v>1000000000000</v>
      </c>
      <c r="DR46" s="172" cm="1">
        <f t="array" aca="1" ref="DR46" ca="1">IF(OR($D46&lt;&gt;"Serviço",AND(AUTOEVENTO="Manual",$M46=$A$15),$M46&gt;(ROW(PLE.lastrow)-ROW(PLE.firstrow))),0,
           IF(OFFSET(PLE!$G$15,$M46-$A$15,DR$13)="",10^12,OFFSET(PLE!$G$15,$M46-$A$15,DR$13)))</f>
        <v>1000000000000</v>
      </c>
      <c r="DS46" s="172" cm="1">
        <f t="array" aca="1" ref="DS46" ca="1">IF(OR($D46&lt;&gt;"Serviço",AND(AUTOEVENTO="Manual",$M46=$A$15),$M46&gt;(ROW(PLE.lastrow)-ROW(PLE.firstrow))),0,
           IF(OFFSET(PLE!$G$15,$M46-$A$15,DS$13)="",10^12,OFFSET(PLE!$G$15,$M46-$A$15,DS$13)))</f>
        <v>1000000000000</v>
      </c>
    </row>
    <row r="47" spans="1:123" ht="38.25" x14ac:dyDescent="0.2">
      <c r="A47" s="7">
        <f t="shared" ca="1" si="11"/>
        <v>3</v>
      </c>
      <c r="B47" s="7" t="str">
        <f ca="1">OFFSET(ORÇAMENTO!C$15,$L47,0)</f>
        <v>S</v>
      </c>
      <c r="C47" s="7" t="str">
        <f ca="1">OFFSET(ORÇAMENTO!L$15,$L47,0)</f>
        <v/>
      </c>
      <c r="D47" s="116" t="str">
        <f ca="1">OFFSET(ORÇAMENTO!N$15,$L47,0)</f>
        <v>Serviço</v>
      </c>
      <c r="E47" s="117" t="str">
        <f ca="1">OFFSET(ORÇAMENTO!O$15,$L47,0)</f>
        <v>-</v>
      </c>
      <c r="F47" s="163" t="str">
        <f ca="1">OFFSET(ORÇAMENTO!R$15,$L47,0)</f>
        <v>(Código não identificado nas referências)</v>
      </c>
      <c r="G47" s="164" t="str">
        <f ca="1">IF($D47&lt;&gt;"Serviço","",OFFSET(ORÇAMENTO!S$15,$L47,0))</f>
        <v>-</v>
      </c>
      <c r="H47" s="122" cm="1">
        <f t="array" aca="1" ref="H47" ca="1">IF($D47&lt;&gt;"Serviço",0,IF(ACOMPANHAMENTO="BM",ROUND(OFFSET(ORÇAMENTO!AJ$15,$L47,0),15-13*ORÇAMENTO!$AF$7),IF(IFERROR(CÁLCULO.FrentesPreenchidas,0)=0,0,SUM(ROUND(OFFSET($P47,0,1,1,CÁLCULO.FrentesPreenchidas),15-13*ORÇAMENTO!$AF$7)))))</f>
        <v>679.00000000000011</v>
      </c>
      <c r="I47" s="468" t="s">
        <v>1235</v>
      </c>
      <c r="J47" s="651" t="str" cm="1">
        <f t="array" aca="1" ref="J47" ca="1">IF(OR(B47&lt;&gt;"S",CÁLCULO.FrentesPreenchidas=0),"",IF(AND(ACOMPANHAMENTO="PLE",AUTOEVENTO="Manual",OR(H47&gt;0,ORÇAMENTO!AC47="QUANT."),OR(K47="",M47=0,N47="")),"►E",IF(AND(ACOMPANHAMENTO="PLE",ORÇAMENTO!AC47="QUANT."),"►Q",IF(AND(ACOMPANHAMENTO="PLE",H47&lt;&gt;SUMPRODUCT(($Q$1:$AQ$1=1)*ROUND(Q47:AQ47,15))),"►S",IF(AND(COUNTIF($P$11:$AQ$11,"▼")=0,H47&gt;0,I47=""),"◄M","")))))</f>
        <v/>
      </c>
      <c r="K47" s="652" t="s">
        <v>1250</v>
      </c>
      <c r="L47" s="165">
        <f t="shared" ca="1" si="12"/>
        <v>32</v>
      </c>
      <c r="M47" s="166">
        <f ca="1">IF($D47&lt;&gt;"Serviço","",
          IF(AUTOEVENTO="manual",$A47,
                IF(ISERROR(MATCH($A47,$A$15:OFFSET($A47,-1,0),0)),MAX($M$15:OFFSET(M47,-1,0))+1,
                      INDEX($M$15:OFFSET(M47,-1,0),MATCH($A47,$A$15:OFFSET($A47,-1,0),0)))))</f>
        <v>3</v>
      </c>
      <c r="N47" s="167" t="str">
        <f ca="1">IF($D47&lt;&gt;"Serviço","",
         IF(AUTOEVENTO="Manual",
                IF($A47=0,"&lt;-- defina o número do agrupador",
                       OFFSET(EVENTOS!$D$15,$A47-$A$15,0)),
                OFFSET($F$15,$A47,0)))</f>
        <v>FUNDAÇÕES</v>
      </c>
      <c r="O47" s="168"/>
      <c r="Q47" s="168">
        <v>33.950000000000003</v>
      </c>
      <c r="R47" s="169">
        <v>33.950000000000003</v>
      </c>
      <c r="S47" s="169">
        <v>33.950000000000003</v>
      </c>
      <c r="T47" s="169">
        <v>33.950000000000003</v>
      </c>
      <c r="U47" s="169">
        <v>33.950000000000003</v>
      </c>
      <c r="V47" s="169">
        <v>33.950000000000003</v>
      </c>
      <c r="W47" s="169">
        <v>33.950000000000003</v>
      </c>
      <c r="X47" s="169">
        <v>33.950000000000003</v>
      </c>
      <c r="Y47" s="169">
        <v>33.950000000000003</v>
      </c>
      <c r="Z47" s="170">
        <v>33.950000000000003</v>
      </c>
      <c r="AA47" s="169">
        <v>33.950000000000003</v>
      </c>
      <c r="AB47" s="169">
        <v>33.950000000000003</v>
      </c>
      <c r="AC47" s="169">
        <v>33.950000000000003</v>
      </c>
      <c r="AD47" s="169">
        <v>33.950000000000003</v>
      </c>
      <c r="AE47" s="169">
        <v>33.950000000000003</v>
      </c>
      <c r="AF47" s="169">
        <v>33.950000000000003</v>
      </c>
      <c r="AG47" s="169">
        <v>33.950000000000003</v>
      </c>
      <c r="AH47" s="170">
        <v>33.950000000000003</v>
      </c>
      <c r="AI47" s="169">
        <v>33.950000000000003</v>
      </c>
      <c r="AJ47" s="169">
        <v>33.950000000000003</v>
      </c>
      <c r="AK47" s="169"/>
      <c r="AL47" s="169"/>
      <c r="AM47" s="169"/>
      <c r="AN47" s="169"/>
      <c r="AO47" s="169"/>
      <c r="AP47" s="170"/>
      <c r="AR47" s="453">
        <f ca="1">IF(AND($D47="Serviço",AR$12&lt;&gt;0,$H47&gt;0,OR(AUTOEVENTO&lt;&gt;"manual",$M47&lt;&gt;$A$15)),
        IF(Import.TipoArredondamento&lt;&gt;"TransfereGOV",
              ROUND(OFFSET($P47,0,AR$13),15-13*ORÇAMENTO!$AF$7)/$H47*OFFSET(ORÇAMENTO!$X$15,ROW(AR47)-ROW(AR$15),0),
              ROUND(ROUND(OFFSET($P47,0,AR$13),15-13*ORÇAMENTO!$AF$7)*OFFSET(ORÇAMENTO!$W$15,ROW(AR47)-ROW(AR$15),0),15-13*ORÇAMENTO!$AF$11)),
         0)</f>
        <v>0</v>
      </c>
      <c r="AS47" s="453">
        <f ca="1">IF(AND($D47="Serviço",AS$12&lt;&gt;0,$H47&gt;0,OR(AUTOEVENTO&lt;&gt;"manual",$M47&lt;&gt;$A$15)),
        IF(Import.TipoArredondamento&lt;&gt;"TransfereGOV",
              ROUND(OFFSET($P47,0,AS$13),15-13*ORÇAMENTO!$AF$7)/$H47*OFFSET(ORÇAMENTO!$X$15,ROW(AS47)-ROW(AS$15),0),
              ROUND(ROUND(OFFSET($P47,0,AS$13),15-13*ORÇAMENTO!$AF$7)*OFFSET(ORÇAMENTO!$W$15,ROW(AS47)-ROW(AS$15),0),15-13*ORÇAMENTO!$AF$11)),
         0)</f>
        <v>0</v>
      </c>
      <c r="AT47" s="453">
        <f ca="1">IF(AND($D47="Serviço",AT$12&lt;&gt;0,$H47&gt;0,OR(AUTOEVENTO&lt;&gt;"manual",$M47&lt;&gt;$A$15)),
        IF(Import.TipoArredondamento&lt;&gt;"TransfereGOV",
              ROUND(OFFSET($P47,0,AT$13),15-13*ORÇAMENTO!$AF$7)/$H47*OFFSET(ORÇAMENTO!$X$15,ROW(AT47)-ROW(AT$15),0),
              ROUND(ROUND(OFFSET($P47,0,AT$13),15-13*ORÇAMENTO!$AF$7)*OFFSET(ORÇAMENTO!$W$15,ROW(AT47)-ROW(AT$15),0),15-13*ORÇAMENTO!$AF$11)),
         0)</f>
        <v>0</v>
      </c>
      <c r="AU47" s="453">
        <f ca="1">IF(AND($D47="Serviço",AU$12&lt;&gt;0,$H47&gt;0,OR(AUTOEVENTO&lt;&gt;"manual",$M47&lt;&gt;$A$15)),
        IF(Import.TipoArredondamento&lt;&gt;"TransfereGOV",
              ROUND(OFFSET($P47,0,AU$13),15-13*ORÇAMENTO!$AF$7)/$H47*OFFSET(ORÇAMENTO!$X$15,ROW(AU47)-ROW(AU$15),0),
              ROUND(ROUND(OFFSET($P47,0,AU$13),15-13*ORÇAMENTO!$AF$7)*OFFSET(ORÇAMENTO!$W$15,ROW(AU47)-ROW(AU$15),0),15-13*ORÇAMENTO!$AF$11)),
         0)</f>
        <v>0</v>
      </c>
      <c r="AV47" s="453">
        <f ca="1">IF(AND($D47="Serviço",AV$12&lt;&gt;0,$H47&gt;0,OR(AUTOEVENTO&lt;&gt;"manual",$M47&lt;&gt;$A$15)),
        IF(Import.TipoArredondamento&lt;&gt;"TransfereGOV",
              ROUND(OFFSET($P47,0,AV$13),15-13*ORÇAMENTO!$AF$7)/$H47*OFFSET(ORÇAMENTO!$X$15,ROW(AV47)-ROW(AV$15),0),
              ROUND(ROUND(OFFSET($P47,0,AV$13),15-13*ORÇAMENTO!$AF$7)*OFFSET(ORÇAMENTO!$W$15,ROW(AV47)-ROW(AV$15),0),15-13*ORÇAMENTO!$AF$11)),
         0)</f>
        <v>0</v>
      </c>
      <c r="AW47" s="453">
        <f ca="1">IF(AND($D47="Serviço",AW$12&lt;&gt;0,$H47&gt;0,OR(AUTOEVENTO&lt;&gt;"manual",$M47&lt;&gt;$A$15)),
        IF(Import.TipoArredondamento&lt;&gt;"TransfereGOV",
              ROUND(OFFSET($P47,0,AW$13),15-13*ORÇAMENTO!$AF$7)/$H47*OFFSET(ORÇAMENTO!$X$15,ROW(AW47)-ROW(AW$15),0),
              ROUND(ROUND(OFFSET($P47,0,AW$13),15-13*ORÇAMENTO!$AF$7)*OFFSET(ORÇAMENTO!$W$15,ROW(AW47)-ROW(AW$15),0),15-13*ORÇAMENTO!$AF$11)),
         0)</f>
        <v>0</v>
      </c>
      <c r="AX47" s="453">
        <f ca="1">IF(AND($D47="Serviço",AX$12&lt;&gt;0,$H47&gt;0,OR(AUTOEVENTO&lt;&gt;"manual",$M47&lt;&gt;$A$15)),
        IF(Import.TipoArredondamento&lt;&gt;"TransfereGOV",
              ROUND(OFFSET($P47,0,AX$13),15-13*ORÇAMENTO!$AF$7)/$H47*OFFSET(ORÇAMENTO!$X$15,ROW(AX47)-ROW(AX$15),0),
              ROUND(ROUND(OFFSET($P47,0,AX$13),15-13*ORÇAMENTO!$AF$7)*OFFSET(ORÇAMENTO!$W$15,ROW(AX47)-ROW(AX$15),0),15-13*ORÇAMENTO!$AF$11)),
         0)</f>
        <v>0</v>
      </c>
      <c r="AY47" s="453">
        <f ca="1">IF(AND($D47="Serviço",AY$12&lt;&gt;0,$H47&gt;0,OR(AUTOEVENTO&lt;&gt;"manual",$M47&lt;&gt;$A$15)),
        IF(Import.TipoArredondamento&lt;&gt;"TransfereGOV",
              ROUND(OFFSET($P47,0,AY$13),15-13*ORÇAMENTO!$AF$7)/$H47*OFFSET(ORÇAMENTO!$X$15,ROW(AY47)-ROW(AY$15),0),
              ROUND(ROUND(OFFSET($P47,0,AY$13),15-13*ORÇAMENTO!$AF$7)*OFFSET(ORÇAMENTO!$W$15,ROW(AY47)-ROW(AY$15),0),15-13*ORÇAMENTO!$AF$11)),
         0)</f>
        <v>0</v>
      </c>
      <c r="AZ47" s="453">
        <f ca="1">IF(AND($D47="Serviço",AZ$12&lt;&gt;0,$H47&gt;0,OR(AUTOEVENTO&lt;&gt;"manual",$M47&lt;&gt;$A$15)),
        IF(Import.TipoArredondamento&lt;&gt;"TransfereGOV",
              ROUND(OFFSET($P47,0,AZ$13),15-13*ORÇAMENTO!$AF$7)/$H47*OFFSET(ORÇAMENTO!$X$15,ROW(AZ47)-ROW(AZ$15),0),
              ROUND(ROUND(OFFSET($P47,0,AZ$13),15-13*ORÇAMENTO!$AF$7)*OFFSET(ORÇAMENTO!$W$15,ROW(AZ47)-ROW(AZ$15),0),15-13*ORÇAMENTO!$AF$11)),
         0)</f>
        <v>0</v>
      </c>
      <c r="BA47" s="453">
        <f ca="1">IF(AND($D47="Serviço",BA$12&lt;&gt;0,$H47&gt;0,OR(AUTOEVENTO&lt;&gt;"manual",$M47&lt;&gt;$A$15)),
        IF(Import.TipoArredondamento&lt;&gt;"TransfereGOV",
              ROUND(OFFSET($P47,0,BA$13),15-13*ORÇAMENTO!$AF$7)/$H47*OFFSET(ORÇAMENTO!$X$15,ROW(BA47)-ROW(BA$15),0),
              ROUND(ROUND(OFFSET($P47,0,BA$13),15-13*ORÇAMENTO!$AF$7)*OFFSET(ORÇAMENTO!$W$15,ROW(BA47)-ROW(BA$15),0),15-13*ORÇAMENTO!$AF$11)),
         0)</f>
        <v>0</v>
      </c>
      <c r="BB47" s="453">
        <f ca="1">IF(AND($D47="Serviço",BB$12&lt;&gt;0,$H47&gt;0,OR(AUTOEVENTO&lt;&gt;"manual",$M47&lt;&gt;$A$15)),
        IF(Import.TipoArredondamento&lt;&gt;"TransfereGOV",
              ROUND(OFFSET($P47,0,BB$13),15-13*ORÇAMENTO!$AF$7)/$H47*OFFSET(ORÇAMENTO!$X$15,ROW(BB47)-ROW(BB$15),0),
              ROUND(ROUND(OFFSET($P47,0,BB$13),15-13*ORÇAMENTO!$AF$7)*OFFSET(ORÇAMENTO!$W$15,ROW(BB47)-ROW(BB$15),0),15-13*ORÇAMENTO!$AF$11)),
         0)</f>
        <v>0</v>
      </c>
      <c r="BC47" s="453">
        <f ca="1">IF(AND($D47="Serviço",BC$12&lt;&gt;0,$H47&gt;0,OR(AUTOEVENTO&lt;&gt;"manual",$M47&lt;&gt;$A$15)),
        IF(Import.TipoArredondamento&lt;&gt;"TransfereGOV",
              ROUND(OFFSET($P47,0,BC$13),15-13*ORÇAMENTO!$AF$7)/$H47*OFFSET(ORÇAMENTO!$X$15,ROW(BC47)-ROW(BC$15),0),
              ROUND(ROUND(OFFSET($P47,0,BC$13),15-13*ORÇAMENTO!$AF$7)*OFFSET(ORÇAMENTO!$W$15,ROW(BC47)-ROW(BC$15),0),15-13*ORÇAMENTO!$AF$11)),
         0)</f>
        <v>0</v>
      </c>
      <c r="BD47" s="453">
        <f ca="1">IF(AND($D47="Serviço",BD$12&lt;&gt;0,$H47&gt;0,OR(AUTOEVENTO&lt;&gt;"manual",$M47&lt;&gt;$A$15)),
        IF(Import.TipoArredondamento&lt;&gt;"TransfereGOV",
              ROUND(OFFSET($P47,0,BD$13),15-13*ORÇAMENTO!$AF$7)/$H47*OFFSET(ORÇAMENTO!$X$15,ROW(BD47)-ROW(BD$15),0),
              ROUND(ROUND(OFFSET($P47,0,BD$13),15-13*ORÇAMENTO!$AF$7)*OFFSET(ORÇAMENTO!$W$15,ROW(BD47)-ROW(BD$15),0),15-13*ORÇAMENTO!$AF$11)),
         0)</f>
        <v>0</v>
      </c>
      <c r="BE47" s="453">
        <f ca="1">IF(AND($D47="Serviço",BE$12&lt;&gt;0,$H47&gt;0,OR(AUTOEVENTO&lt;&gt;"manual",$M47&lt;&gt;$A$15)),
        IF(Import.TipoArredondamento&lt;&gt;"TransfereGOV",
              ROUND(OFFSET($P47,0,BE$13),15-13*ORÇAMENTO!$AF$7)/$H47*OFFSET(ORÇAMENTO!$X$15,ROW(BE47)-ROW(BE$15),0),
              ROUND(ROUND(OFFSET($P47,0,BE$13),15-13*ORÇAMENTO!$AF$7)*OFFSET(ORÇAMENTO!$W$15,ROW(BE47)-ROW(BE$15),0),15-13*ORÇAMENTO!$AF$11)),
         0)</f>
        <v>0</v>
      </c>
      <c r="BF47" s="453">
        <f ca="1">IF(AND($D47="Serviço",BF$12&lt;&gt;0,$H47&gt;0,OR(AUTOEVENTO&lt;&gt;"manual",$M47&lt;&gt;$A$15)),
        IF(Import.TipoArredondamento&lt;&gt;"TransfereGOV",
              ROUND(OFFSET($P47,0,BF$13),15-13*ORÇAMENTO!$AF$7)/$H47*OFFSET(ORÇAMENTO!$X$15,ROW(BF47)-ROW(BF$15),0),
              ROUND(ROUND(OFFSET($P47,0,BF$13),15-13*ORÇAMENTO!$AF$7)*OFFSET(ORÇAMENTO!$W$15,ROW(BF47)-ROW(BF$15),0),15-13*ORÇAMENTO!$AF$11)),
         0)</f>
        <v>0</v>
      </c>
      <c r="BG47" s="453">
        <f ca="1">IF(AND($D47="Serviço",BG$12&lt;&gt;0,$H47&gt;0,OR(AUTOEVENTO&lt;&gt;"manual",$M47&lt;&gt;$A$15)),
        IF(Import.TipoArredondamento&lt;&gt;"TransfereGOV",
              ROUND(OFFSET($P47,0,BG$13),15-13*ORÇAMENTO!$AF$7)/$H47*OFFSET(ORÇAMENTO!$X$15,ROW(BG47)-ROW(BG$15),0),
              ROUND(ROUND(OFFSET($P47,0,BG$13),15-13*ORÇAMENTO!$AF$7)*OFFSET(ORÇAMENTO!$W$15,ROW(BG47)-ROW(BG$15),0),15-13*ORÇAMENTO!$AF$11)),
         0)</f>
        <v>0</v>
      </c>
      <c r="BH47" s="453">
        <f ca="1">IF(AND($D47="Serviço",BH$12&lt;&gt;0,$H47&gt;0,OR(AUTOEVENTO&lt;&gt;"manual",$M47&lt;&gt;$A$15)),
        IF(Import.TipoArredondamento&lt;&gt;"TransfereGOV",
              ROUND(OFFSET($P47,0,BH$13),15-13*ORÇAMENTO!$AF$7)/$H47*OFFSET(ORÇAMENTO!$X$15,ROW(BH47)-ROW(BH$15),0),
              ROUND(ROUND(OFFSET($P47,0,BH$13),15-13*ORÇAMENTO!$AF$7)*OFFSET(ORÇAMENTO!$W$15,ROW(BH47)-ROW(BH$15),0),15-13*ORÇAMENTO!$AF$11)),
         0)</f>
        <v>0</v>
      </c>
      <c r="BI47" s="453">
        <f ca="1">IF(AND($D47="Serviço",BI$12&lt;&gt;0,$H47&gt;0,OR(AUTOEVENTO&lt;&gt;"manual",$M47&lt;&gt;$A$15)),
        IF(Import.TipoArredondamento&lt;&gt;"TransfereGOV",
              ROUND(OFFSET($P47,0,BI$13),15-13*ORÇAMENTO!$AF$7)/$H47*OFFSET(ORÇAMENTO!$X$15,ROW(BI47)-ROW(BI$15),0),
              ROUND(ROUND(OFFSET($P47,0,BI$13),15-13*ORÇAMENTO!$AF$7)*OFFSET(ORÇAMENTO!$W$15,ROW(BI47)-ROW(BI$15),0),15-13*ORÇAMENTO!$AF$11)),
         0)</f>
        <v>0</v>
      </c>
      <c r="BJ47" s="453">
        <f ca="1">IF(AND($D47="Serviço",BJ$12&lt;&gt;0,$H47&gt;0,OR(AUTOEVENTO&lt;&gt;"manual",$M47&lt;&gt;$A$15)),
        IF(Import.TipoArredondamento&lt;&gt;"TransfereGOV",
              ROUND(OFFSET($P47,0,BJ$13),15-13*ORÇAMENTO!$AF$7)/$H47*OFFSET(ORÇAMENTO!$X$15,ROW(BJ47)-ROW(BJ$15),0),
              ROUND(ROUND(OFFSET($P47,0,BJ$13),15-13*ORÇAMENTO!$AF$7)*OFFSET(ORÇAMENTO!$W$15,ROW(BJ47)-ROW(BJ$15),0),15-13*ORÇAMENTO!$AF$11)),
         0)</f>
        <v>0</v>
      </c>
      <c r="BK47" s="453">
        <f ca="1">IF(AND($D47="Serviço",BK$12&lt;&gt;0,$H47&gt;0,OR(AUTOEVENTO&lt;&gt;"manual",$M47&lt;&gt;$A$15)),
        IF(Import.TipoArredondamento&lt;&gt;"TransfereGOV",
              ROUND(OFFSET($P47,0,BK$13),15-13*ORÇAMENTO!$AF$7)/$H47*OFFSET(ORÇAMENTO!$X$15,ROW(BK47)-ROW(BK$15),0),
              ROUND(ROUND(OFFSET($P47,0,BK$13),15-13*ORÇAMENTO!$AF$7)*OFFSET(ORÇAMENTO!$W$15,ROW(BK47)-ROW(BK$15),0),15-13*ORÇAMENTO!$AF$11)),
         0)</f>
        <v>0</v>
      </c>
      <c r="BL47" s="453">
        <f ca="1">IF(AND($D47="Serviço",BL$12&lt;&gt;0,$H47&gt;0,OR(AUTOEVENTO&lt;&gt;"manual",$M47&lt;&gt;$A$15)),
        IF(Import.TipoArredondamento&lt;&gt;"TransfereGOV",
              ROUND(OFFSET($P47,0,BL$13),15-13*ORÇAMENTO!$AF$7)/$H47*OFFSET(ORÇAMENTO!$X$15,ROW(BL47)-ROW(BL$15),0),
              ROUND(ROUND(OFFSET($P47,0,BL$13),15-13*ORÇAMENTO!$AF$7)*OFFSET(ORÇAMENTO!$W$15,ROW(BL47)-ROW(BL$15),0),15-13*ORÇAMENTO!$AF$11)),
         0)</f>
        <v>0</v>
      </c>
      <c r="BM47" s="453">
        <f ca="1">IF(AND($D47="Serviço",BM$12&lt;&gt;0,$H47&gt;0,OR(AUTOEVENTO&lt;&gt;"manual",$M47&lt;&gt;$A$15)),
        IF(Import.TipoArredondamento&lt;&gt;"TransfereGOV",
              ROUND(OFFSET($P47,0,BM$13),15-13*ORÇAMENTO!$AF$7)/$H47*OFFSET(ORÇAMENTO!$X$15,ROW(BM47)-ROW(BM$15),0),
              ROUND(ROUND(OFFSET($P47,0,BM$13),15-13*ORÇAMENTO!$AF$7)*OFFSET(ORÇAMENTO!$W$15,ROW(BM47)-ROW(BM$15),0),15-13*ORÇAMENTO!$AF$11)),
         0)</f>
        <v>0</v>
      </c>
      <c r="BN47" s="453">
        <f ca="1">IF(AND($D47="Serviço",BN$12&lt;&gt;0,$H47&gt;0,OR(AUTOEVENTO&lt;&gt;"manual",$M47&lt;&gt;$A$15)),
        IF(Import.TipoArredondamento&lt;&gt;"TransfereGOV",
              ROUND(OFFSET($P47,0,BN$13),15-13*ORÇAMENTO!$AF$7)/$H47*OFFSET(ORÇAMENTO!$X$15,ROW(BN47)-ROW(BN$15),0),
              ROUND(ROUND(OFFSET($P47,0,BN$13),15-13*ORÇAMENTO!$AF$7)*OFFSET(ORÇAMENTO!$W$15,ROW(BN47)-ROW(BN$15),0),15-13*ORÇAMENTO!$AF$11)),
         0)</f>
        <v>0</v>
      </c>
      <c r="BO47" s="453">
        <f ca="1">IF(AND($D47="Serviço",BO$12&lt;&gt;0,$H47&gt;0,OR(AUTOEVENTO&lt;&gt;"manual",$M47&lt;&gt;$A$15)),
        IF(Import.TipoArredondamento&lt;&gt;"TransfereGOV",
              ROUND(OFFSET($P47,0,BO$13),15-13*ORÇAMENTO!$AF$7)/$H47*OFFSET(ORÇAMENTO!$X$15,ROW(BO47)-ROW(BO$15),0),
              ROUND(ROUND(OFFSET($P47,0,BO$13),15-13*ORÇAMENTO!$AF$7)*OFFSET(ORÇAMENTO!$W$15,ROW(BO47)-ROW(BO$15),0),15-13*ORÇAMENTO!$AF$11)),
         0)</f>
        <v>0</v>
      </c>
      <c r="BP47" s="453">
        <f ca="1">IF(AND($D47="Serviço",BP$12&lt;&gt;0,$H47&gt;0,OR(AUTOEVENTO&lt;&gt;"manual",$M47&lt;&gt;$A$15)),
        IF(Import.TipoArredondamento&lt;&gt;"TransfereGOV",
              ROUND(OFFSET($P47,0,BP$13),15-13*ORÇAMENTO!$AF$7)/$H47*OFFSET(ORÇAMENTO!$X$15,ROW(BP47)-ROW(BP$15),0),
              ROUND(ROUND(OFFSET($P47,0,BP$13),15-13*ORÇAMENTO!$AF$7)*OFFSET(ORÇAMENTO!$W$15,ROW(BP47)-ROW(BP$15),0),15-13*ORÇAMENTO!$AF$11)),
         0)</f>
        <v>0</v>
      </c>
      <c r="BQ47" s="453">
        <f ca="1">IF(AND($D47="Serviço",BQ$12&lt;&gt;0,$H47&gt;0,OR(AUTOEVENTO&lt;&gt;"manual",$M47&lt;&gt;$A$15)),
        IF(Import.TipoArredondamento&lt;&gt;"TransfereGOV",
              ROUND(OFFSET($P47,0,BQ$13),15-13*ORÇAMENTO!$AF$7)/$H47*OFFSET(ORÇAMENTO!$X$15,ROW(BQ47)-ROW(BQ$15),0),
              ROUND(ROUND(OFFSET($P47,0,BQ$13),15-13*ORÇAMENTO!$AF$7)*OFFSET(ORÇAMENTO!$W$15,ROW(BQ47)-ROW(BQ$15),0),15-13*ORÇAMENTO!$AF$11)),
         0)</f>
        <v>0</v>
      </c>
      <c r="BS47" s="171">
        <f ca="1">IF(OR($D47&lt;&gt;"Serviço",AND(AUTOEVENTO="Manual",$M47=$A$15)),0,
         IF(OFFSET(CRONOPLE!$F$15,$M47-$A$15,BS$13)=0,10^12,OFFSET(CRONOPLE!$F$15,$M47-$A$15,BS$13)))</f>
        <v>1</v>
      </c>
      <c r="BT47" s="171">
        <f ca="1">IF(OR($D47&lt;&gt;"Serviço",AND(AUTOEVENTO="Manual",$M47=$A$15)),0,
         IF(OFFSET(CRONOPLE!$F$15,$M47-$A$15,BT$13)=0,10^12,OFFSET(CRONOPLE!$F$15,$M47-$A$15,BT$13)))</f>
        <v>2</v>
      </c>
      <c r="BU47" s="171">
        <f ca="1">IF(OR($D47&lt;&gt;"Serviço",AND(AUTOEVENTO="Manual",$M47=$A$15)),0,
         IF(OFFSET(CRONOPLE!$F$15,$M47-$A$15,BU$13)=0,10^12,OFFSET(CRONOPLE!$F$15,$M47-$A$15,BU$13)))</f>
        <v>3</v>
      </c>
      <c r="BV47" s="171">
        <f ca="1">IF(OR($D47&lt;&gt;"Serviço",AND(AUTOEVENTO="Manual",$M47=$A$15)),0,
         IF(OFFSET(CRONOPLE!$F$15,$M47-$A$15,BV$13)=0,10^12,OFFSET(CRONOPLE!$F$15,$M47-$A$15,BV$13)))</f>
        <v>4</v>
      </c>
      <c r="BW47" s="171">
        <f ca="1">IF(OR($D47&lt;&gt;"Serviço",AND(AUTOEVENTO="Manual",$M47=$A$15)),0,
         IF(OFFSET(CRONOPLE!$F$15,$M47-$A$15,BW$13)=0,10^12,OFFSET(CRONOPLE!$F$15,$M47-$A$15,BW$13)))</f>
        <v>5</v>
      </c>
      <c r="BX47" s="171">
        <f ca="1">IF(OR($D47&lt;&gt;"Serviço",AND(AUTOEVENTO="Manual",$M47=$A$15)),0,
         IF(OFFSET(CRONOPLE!$F$15,$M47-$A$15,BX$13)=0,10^12,OFFSET(CRONOPLE!$F$15,$M47-$A$15,BX$13)))</f>
        <v>6</v>
      </c>
      <c r="BY47" s="171">
        <f ca="1">IF(OR($D47&lt;&gt;"Serviço",AND(AUTOEVENTO="Manual",$M47=$A$15)),0,
         IF(OFFSET(CRONOPLE!$F$15,$M47-$A$15,BY$13)=0,10^12,OFFSET(CRONOPLE!$F$15,$M47-$A$15,BY$13)))</f>
        <v>7</v>
      </c>
      <c r="BZ47" s="171">
        <f ca="1">IF(OR($D47&lt;&gt;"Serviço",AND(AUTOEVENTO="Manual",$M47=$A$15)),0,
         IF(OFFSET(CRONOPLE!$F$15,$M47-$A$15,BZ$13)=0,10^12,OFFSET(CRONOPLE!$F$15,$M47-$A$15,BZ$13)))</f>
        <v>8</v>
      </c>
      <c r="CA47" s="171">
        <f ca="1">IF(OR($D47&lt;&gt;"Serviço",AND(AUTOEVENTO="Manual",$M47=$A$15)),0,
         IF(OFFSET(CRONOPLE!$F$15,$M47-$A$15,CA$13)=0,10^12,OFFSET(CRONOPLE!$F$15,$M47-$A$15,CA$13)))</f>
        <v>9</v>
      </c>
      <c r="CB47" s="171">
        <f ca="1">IF(OR($D47&lt;&gt;"Serviço",AND(AUTOEVENTO="Manual",$M47=$A$15)),0,
         IF(OFFSET(CRONOPLE!$F$15,$M47-$A$15,CB$13)=0,10^12,OFFSET(CRONOPLE!$F$15,$M47-$A$15,CB$13)))</f>
        <v>10</v>
      </c>
      <c r="CC47" s="171">
        <f ca="1">IF(OR($D47&lt;&gt;"Serviço",AND(AUTOEVENTO="Manual",$M47=$A$15)),0,
         IF(OFFSET(CRONOPLE!$F$15,$M47-$A$15,CC$13)=0,10^12,OFFSET(CRONOPLE!$F$15,$M47-$A$15,CC$13)))</f>
        <v>11</v>
      </c>
      <c r="CD47" s="171">
        <f ca="1">IF(OR($D47&lt;&gt;"Serviço",AND(AUTOEVENTO="Manual",$M47=$A$15)),0,
         IF(OFFSET(CRONOPLE!$F$15,$M47-$A$15,CD$13)=0,10^12,OFFSET(CRONOPLE!$F$15,$M47-$A$15,CD$13)))</f>
        <v>12</v>
      </c>
      <c r="CE47" s="171">
        <f ca="1">IF(OR($D47&lt;&gt;"Serviço",AND(AUTOEVENTO="Manual",$M47=$A$15)),0,
         IF(OFFSET(CRONOPLE!$F$15,$M47-$A$15,CE$13)=0,10^12,OFFSET(CRONOPLE!$F$15,$M47-$A$15,CE$13)))</f>
        <v>13</v>
      </c>
      <c r="CF47" s="171">
        <f ca="1">IF(OR($D47&lt;&gt;"Serviço",AND(AUTOEVENTO="Manual",$M47=$A$15)),0,
         IF(OFFSET(CRONOPLE!$F$15,$M47-$A$15,CF$13)=0,10^12,OFFSET(CRONOPLE!$F$15,$M47-$A$15,CF$13)))</f>
        <v>14</v>
      </c>
      <c r="CG47" s="171">
        <f ca="1">IF(OR($D47&lt;&gt;"Serviço",AND(AUTOEVENTO="Manual",$M47=$A$15)),0,
         IF(OFFSET(CRONOPLE!$F$15,$M47-$A$15,CG$13)=0,10^12,OFFSET(CRONOPLE!$F$15,$M47-$A$15,CG$13)))</f>
        <v>15</v>
      </c>
      <c r="CH47" s="171">
        <f ca="1">IF(OR($D47&lt;&gt;"Serviço",AND(AUTOEVENTO="Manual",$M47=$A$15)),0,
         IF(OFFSET(CRONOPLE!$F$15,$M47-$A$15,CH$13)=0,10^12,OFFSET(CRONOPLE!$F$15,$M47-$A$15,CH$13)))</f>
        <v>16</v>
      </c>
      <c r="CI47" s="171">
        <f ca="1">IF(OR($D47&lt;&gt;"Serviço",AND(AUTOEVENTO="Manual",$M47=$A$15)),0,
         IF(OFFSET(CRONOPLE!$F$15,$M47-$A$15,CI$13)=0,10^12,OFFSET(CRONOPLE!$F$15,$M47-$A$15,CI$13)))</f>
        <v>17</v>
      </c>
      <c r="CJ47" s="171">
        <f ca="1">IF(OR($D47&lt;&gt;"Serviço",AND(AUTOEVENTO="Manual",$M47=$A$15)),0,
         IF(OFFSET(CRONOPLE!$F$15,$M47-$A$15,CJ$13)=0,10^12,OFFSET(CRONOPLE!$F$15,$M47-$A$15,CJ$13)))</f>
        <v>18</v>
      </c>
      <c r="CK47" s="171">
        <f ca="1">IF(OR($D47&lt;&gt;"Serviço",AND(AUTOEVENTO="Manual",$M47=$A$15)),0,
         IF(OFFSET(CRONOPLE!$F$15,$M47-$A$15,CK$13)=0,10^12,OFFSET(CRONOPLE!$F$15,$M47-$A$15,CK$13)))</f>
        <v>19</v>
      </c>
      <c r="CL47" s="171">
        <f ca="1">IF(OR($D47&lt;&gt;"Serviço",AND(AUTOEVENTO="Manual",$M47=$A$15)),0,
         IF(OFFSET(CRONOPLE!$F$15,$M47-$A$15,CL$13)=0,10^12,OFFSET(CRONOPLE!$F$15,$M47-$A$15,CL$13)))</f>
        <v>20</v>
      </c>
      <c r="CM47" s="171">
        <f ca="1">IF(OR($D47&lt;&gt;"Serviço",AND(AUTOEVENTO="Manual",$M47=$A$15)),0,
         IF(OFFSET(CRONOPLE!$F$15,$M47-$A$15,CM$13)=0,10^12,OFFSET(CRONOPLE!$F$15,$M47-$A$15,CM$13)))</f>
        <v>1000000000000</v>
      </c>
      <c r="CN47" s="171">
        <f ca="1">IF(OR($D47&lt;&gt;"Serviço",AND(AUTOEVENTO="Manual",$M47=$A$15)),0,
         IF(OFFSET(CRONOPLE!$F$15,$M47-$A$15,CN$13)=0,10^12,OFFSET(CRONOPLE!$F$15,$M47-$A$15,CN$13)))</f>
        <v>1000000000000</v>
      </c>
      <c r="CO47" s="171">
        <f ca="1">IF(OR($D47&lt;&gt;"Serviço",AND(AUTOEVENTO="Manual",$M47=$A$15)),0,
         IF(OFFSET(CRONOPLE!$F$15,$M47-$A$15,CO$13)=0,10^12,OFFSET(CRONOPLE!$F$15,$M47-$A$15,CO$13)))</f>
        <v>1000000000000</v>
      </c>
      <c r="CP47" s="171">
        <f ca="1">IF(OR($D47&lt;&gt;"Serviço",AND(AUTOEVENTO="Manual",$M47=$A$15)),0,
         IF(OFFSET(CRONOPLE!$F$15,$M47-$A$15,CP$13)=0,10^12,OFFSET(CRONOPLE!$F$15,$M47-$A$15,CP$13)))</f>
        <v>1000000000000</v>
      </c>
      <c r="CQ47" s="171">
        <f ca="1">IF(OR($D47&lt;&gt;"Serviço",AND(AUTOEVENTO="Manual",$M47=$A$15)),0,
         IF(OFFSET(CRONOPLE!$F$15,$M47-$A$15,CQ$13)=0,10^12,OFFSET(CRONOPLE!$F$15,$M47-$A$15,CQ$13)))</f>
        <v>1000000000000</v>
      </c>
      <c r="CR47" s="171">
        <f ca="1">IF(OR($D47&lt;&gt;"Serviço",AND(AUTOEVENTO="Manual",$M47=$A$15)),0,
         IF(OFFSET(CRONOPLE!$F$15,$M47-$A$15,CR$13)=0,10^12,OFFSET(CRONOPLE!$F$15,$M47-$A$15,CR$13)))</f>
        <v>1000000000000</v>
      </c>
      <c r="CT47" s="172" cm="1">
        <f t="array" aca="1" ref="CT47" ca="1">IF(OR($D47&lt;&gt;"Serviço",AND(AUTOEVENTO="Manual",$M47=$A$15),$M47&gt;(ROW(PLE.lastrow)-ROW(PLE.firstrow))),0,
           IF(OFFSET(PLE!$G$15,$M47-$A$15,CT$13)="",10^12,OFFSET(PLE!$G$15,$M47-$A$15,CT$13)))</f>
        <v>1000000000000</v>
      </c>
      <c r="CU47" s="172" cm="1">
        <f t="array" aca="1" ref="CU47" ca="1">IF(OR($D47&lt;&gt;"Serviço",AND(AUTOEVENTO="Manual",$M47=$A$15),$M47&gt;(ROW(PLE.lastrow)-ROW(PLE.firstrow))),0,
           IF(OFFSET(PLE!$G$15,$M47-$A$15,CU$13)="",10^12,OFFSET(PLE!$G$15,$M47-$A$15,CU$13)))</f>
        <v>1000000000000</v>
      </c>
      <c r="CV47" s="172" cm="1">
        <f t="array" aca="1" ref="CV47" ca="1">IF(OR($D47&lt;&gt;"Serviço",AND(AUTOEVENTO="Manual",$M47=$A$15),$M47&gt;(ROW(PLE.lastrow)-ROW(PLE.firstrow))),0,
           IF(OFFSET(PLE!$G$15,$M47-$A$15,CV$13)="",10^12,OFFSET(PLE!$G$15,$M47-$A$15,CV$13)))</f>
        <v>1000000000000</v>
      </c>
      <c r="CW47" s="172" cm="1">
        <f t="array" aca="1" ref="CW47" ca="1">IF(OR($D47&lt;&gt;"Serviço",AND(AUTOEVENTO="Manual",$M47=$A$15),$M47&gt;(ROW(PLE.lastrow)-ROW(PLE.firstrow))),0,
           IF(OFFSET(PLE!$G$15,$M47-$A$15,CW$13)="",10^12,OFFSET(PLE!$G$15,$M47-$A$15,CW$13)))</f>
        <v>1000000000000</v>
      </c>
      <c r="CX47" s="172" cm="1">
        <f t="array" aca="1" ref="CX47" ca="1">IF(OR($D47&lt;&gt;"Serviço",AND(AUTOEVENTO="Manual",$M47=$A$15),$M47&gt;(ROW(PLE.lastrow)-ROW(PLE.firstrow))),0,
           IF(OFFSET(PLE!$G$15,$M47-$A$15,CX$13)="",10^12,OFFSET(PLE!$G$15,$M47-$A$15,CX$13)))</f>
        <v>1000000000000</v>
      </c>
      <c r="CY47" s="172" cm="1">
        <f t="array" aca="1" ref="CY47" ca="1">IF(OR($D47&lt;&gt;"Serviço",AND(AUTOEVENTO="Manual",$M47=$A$15),$M47&gt;(ROW(PLE.lastrow)-ROW(PLE.firstrow))),0,
           IF(OFFSET(PLE!$G$15,$M47-$A$15,CY$13)="",10^12,OFFSET(PLE!$G$15,$M47-$A$15,CY$13)))</f>
        <v>1000000000000</v>
      </c>
      <c r="CZ47" s="172" cm="1">
        <f t="array" aca="1" ref="CZ47" ca="1">IF(OR($D47&lt;&gt;"Serviço",AND(AUTOEVENTO="Manual",$M47=$A$15),$M47&gt;(ROW(PLE.lastrow)-ROW(PLE.firstrow))),0,
           IF(OFFSET(PLE!$G$15,$M47-$A$15,CZ$13)="",10^12,OFFSET(PLE!$G$15,$M47-$A$15,CZ$13)))</f>
        <v>1000000000000</v>
      </c>
      <c r="DA47" s="172" cm="1">
        <f t="array" aca="1" ref="DA47" ca="1">IF(OR($D47&lt;&gt;"Serviço",AND(AUTOEVENTO="Manual",$M47=$A$15),$M47&gt;(ROW(PLE.lastrow)-ROW(PLE.firstrow))),0,
           IF(OFFSET(PLE!$G$15,$M47-$A$15,DA$13)="",10^12,OFFSET(PLE!$G$15,$M47-$A$15,DA$13)))</f>
        <v>1000000000000</v>
      </c>
      <c r="DB47" s="172" cm="1">
        <f t="array" aca="1" ref="DB47" ca="1">IF(OR($D47&lt;&gt;"Serviço",AND(AUTOEVENTO="Manual",$M47=$A$15),$M47&gt;(ROW(PLE.lastrow)-ROW(PLE.firstrow))),0,
           IF(OFFSET(PLE!$G$15,$M47-$A$15,DB$13)="",10^12,OFFSET(PLE!$G$15,$M47-$A$15,DB$13)))</f>
        <v>1000000000000</v>
      </c>
      <c r="DC47" s="172" cm="1">
        <f t="array" aca="1" ref="DC47" ca="1">IF(OR($D47&lt;&gt;"Serviço",AND(AUTOEVENTO="Manual",$M47=$A$15),$M47&gt;(ROW(PLE.lastrow)-ROW(PLE.firstrow))),0,
           IF(OFFSET(PLE!$G$15,$M47-$A$15,DC$13)="",10^12,OFFSET(PLE!$G$15,$M47-$A$15,DC$13)))</f>
        <v>1000000000000</v>
      </c>
      <c r="DD47" s="172" cm="1">
        <f t="array" aca="1" ref="DD47" ca="1">IF(OR($D47&lt;&gt;"Serviço",AND(AUTOEVENTO="Manual",$M47=$A$15),$M47&gt;(ROW(PLE.lastrow)-ROW(PLE.firstrow))),0,
           IF(OFFSET(PLE!$G$15,$M47-$A$15,DD$13)="",10^12,OFFSET(PLE!$G$15,$M47-$A$15,DD$13)))</f>
        <v>1000000000000</v>
      </c>
      <c r="DE47" s="172" cm="1">
        <f t="array" aca="1" ref="DE47" ca="1">IF(OR($D47&lt;&gt;"Serviço",AND(AUTOEVENTO="Manual",$M47=$A$15),$M47&gt;(ROW(PLE.lastrow)-ROW(PLE.firstrow))),0,
           IF(OFFSET(PLE!$G$15,$M47-$A$15,DE$13)="",10^12,OFFSET(PLE!$G$15,$M47-$A$15,DE$13)))</f>
        <v>1000000000000</v>
      </c>
      <c r="DF47" s="172" cm="1">
        <f t="array" aca="1" ref="DF47" ca="1">IF(OR($D47&lt;&gt;"Serviço",AND(AUTOEVENTO="Manual",$M47=$A$15),$M47&gt;(ROW(PLE.lastrow)-ROW(PLE.firstrow))),0,
           IF(OFFSET(PLE!$G$15,$M47-$A$15,DF$13)="",10^12,OFFSET(PLE!$G$15,$M47-$A$15,DF$13)))</f>
        <v>1000000000000</v>
      </c>
      <c r="DG47" s="172" cm="1">
        <f t="array" aca="1" ref="DG47" ca="1">IF(OR($D47&lt;&gt;"Serviço",AND(AUTOEVENTO="Manual",$M47=$A$15),$M47&gt;(ROW(PLE.lastrow)-ROW(PLE.firstrow))),0,
           IF(OFFSET(PLE!$G$15,$M47-$A$15,DG$13)="",10^12,OFFSET(PLE!$G$15,$M47-$A$15,DG$13)))</f>
        <v>1000000000000</v>
      </c>
      <c r="DH47" s="172" cm="1">
        <f t="array" aca="1" ref="DH47" ca="1">IF(OR($D47&lt;&gt;"Serviço",AND(AUTOEVENTO="Manual",$M47=$A$15),$M47&gt;(ROW(PLE.lastrow)-ROW(PLE.firstrow))),0,
           IF(OFFSET(PLE!$G$15,$M47-$A$15,DH$13)="",10^12,OFFSET(PLE!$G$15,$M47-$A$15,DH$13)))</f>
        <v>1000000000000</v>
      </c>
      <c r="DI47" s="172" cm="1">
        <f t="array" aca="1" ref="DI47" ca="1">IF(OR($D47&lt;&gt;"Serviço",AND(AUTOEVENTO="Manual",$M47=$A$15),$M47&gt;(ROW(PLE.lastrow)-ROW(PLE.firstrow))),0,
           IF(OFFSET(PLE!$G$15,$M47-$A$15,DI$13)="",10^12,OFFSET(PLE!$G$15,$M47-$A$15,DI$13)))</f>
        <v>1000000000000</v>
      </c>
      <c r="DJ47" s="172" cm="1">
        <f t="array" aca="1" ref="DJ47" ca="1">IF(OR($D47&lt;&gt;"Serviço",AND(AUTOEVENTO="Manual",$M47=$A$15),$M47&gt;(ROW(PLE.lastrow)-ROW(PLE.firstrow))),0,
           IF(OFFSET(PLE!$G$15,$M47-$A$15,DJ$13)="",10^12,OFFSET(PLE!$G$15,$M47-$A$15,DJ$13)))</f>
        <v>1000000000000</v>
      </c>
      <c r="DK47" s="172" cm="1">
        <f t="array" aca="1" ref="DK47" ca="1">IF(OR($D47&lt;&gt;"Serviço",AND(AUTOEVENTO="Manual",$M47=$A$15),$M47&gt;(ROW(PLE.lastrow)-ROW(PLE.firstrow))),0,
           IF(OFFSET(PLE!$G$15,$M47-$A$15,DK$13)="",10^12,OFFSET(PLE!$G$15,$M47-$A$15,DK$13)))</f>
        <v>1000000000000</v>
      </c>
      <c r="DL47" s="172" cm="1">
        <f t="array" aca="1" ref="DL47" ca="1">IF(OR($D47&lt;&gt;"Serviço",AND(AUTOEVENTO="Manual",$M47=$A$15),$M47&gt;(ROW(PLE.lastrow)-ROW(PLE.firstrow))),0,
           IF(OFFSET(PLE!$G$15,$M47-$A$15,DL$13)="",10^12,OFFSET(PLE!$G$15,$M47-$A$15,DL$13)))</f>
        <v>1000000000000</v>
      </c>
      <c r="DM47" s="172" cm="1">
        <f t="array" aca="1" ref="DM47" ca="1">IF(OR($D47&lt;&gt;"Serviço",AND(AUTOEVENTO="Manual",$M47=$A$15),$M47&gt;(ROW(PLE.lastrow)-ROW(PLE.firstrow))),0,
           IF(OFFSET(PLE!$G$15,$M47-$A$15,DM$13)="",10^12,OFFSET(PLE!$G$15,$M47-$A$15,DM$13)))</f>
        <v>1000000000000</v>
      </c>
      <c r="DN47" s="172" cm="1">
        <f t="array" aca="1" ref="DN47" ca="1">IF(OR($D47&lt;&gt;"Serviço",AND(AUTOEVENTO="Manual",$M47=$A$15),$M47&gt;(ROW(PLE.lastrow)-ROW(PLE.firstrow))),0,
           IF(OFFSET(PLE!$G$15,$M47-$A$15,DN$13)="",10^12,OFFSET(PLE!$G$15,$M47-$A$15,DN$13)))</f>
        <v>1000000000000</v>
      </c>
      <c r="DO47" s="172" cm="1">
        <f t="array" aca="1" ref="DO47" ca="1">IF(OR($D47&lt;&gt;"Serviço",AND(AUTOEVENTO="Manual",$M47=$A$15),$M47&gt;(ROW(PLE.lastrow)-ROW(PLE.firstrow))),0,
           IF(OFFSET(PLE!$G$15,$M47-$A$15,DO$13)="",10^12,OFFSET(PLE!$G$15,$M47-$A$15,DO$13)))</f>
        <v>1000000000000</v>
      </c>
      <c r="DP47" s="172" cm="1">
        <f t="array" aca="1" ref="DP47" ca="1">IF(OR($D47&lt;&gt;"Serviço",AND(AUTOEVENTO="Manual",$M47=$A$15),$M47&gt;(ROW(PLE.lastrow)-ROW(PLE.firstrow))),0,
           IF(OFFSET(PLE!$G$15,$M47-$A$15,DP$13)="",10^12,OFFSET(PLE!$G$15,$M47-$A$15,DP$13)))</f>
        <v>1000000000000</v>
      </c>
      <c r="DQ47" s="172" cm="1">
        <f t="array" aca="1" ref="DQ47" ca="1">IF(OR($D47&lt;&gt;"Serviço",AND(AUTOEVENTO="Manual",$M47=$A$15),$M47&gt;(ROW(PLE.lastrow)-ROW(PLE.firstrow))),0,
           IF(OFFSET(PLE!$G$15,$M47-$A$15,DQ$13)="",10^12,OFFSET(PLE!$G$15,$M47-$A$15,DQ$13)))</f>
        <v>1000000000000</v>
      </c>
      <c r="DR47" s="172" cm="1">
        <f t="array" aca="1" ref="DR47" ca="1">IF(OR($D47&lt;&gt;"Serviço",AND(AUTOEVENTO="Manual",$M47=$A$15),$M47&gt;(ROW(PLE.lastrow)-ROW(PLE.firstrow))),0,
           IF(OFFSET(PLE!$G$15,$M47-$A$15,DR$13)="",10^12,OFFSET(PLE!$G$15,$M47-$A$15,DR$13)))</f>
        <v>1000000000000</v>
      </c>
      <c r="DS47" s="172" cm="1">
        <f t="array" aca="1" ref="DS47" ca="1">IF(OR($D47&lt;&gt;"Serviço",AND(AUTOEVENTO="Manual",$M47=$A$15),$M47&gt;(ROW(PLE.lastrow)-ROW(PLE.firstrow))),0,
           IF(OFFSET(PLE!$G$15,$M47-$A$15,DS$13)="",10^12,OFFSET(PLE!$G$15,$M47-$A$15,DS$13)))</f>
        <v>1000000000000</v>
      </c>
    </row>
    <row r="48" spans="1:123" ht="25.5" x14ac:dyDescent="0.2">
      <c r="A48" s="7">
        <f t="shared" ca="1" si="11"/>
        <v>3</v>
      </c>
      <c r="B48" s="7" t="str">
        <f ca="1">OFFSET(ORÇAMENTO!C$15,$L48,0)</f>
        <v>S</v>
      </c>
      <c r="C48" s="7" t="str">
        <f ca="1">OFFSET(ORÇAMENTO!L$15,$L48,0)</f>
        <v/>
      </c>
      <c r="D48" s="116" t="str">
        <f ca="1">OFFSET(ORÇAMENTO!N$15,$L48,0)</f>
        <v>Serviço</v>
      </c>
      <c r="E48" s="117" t="str">
        <f ca="1">OFFSET(ORÇAMENTO!O$15,$L48,0)</f>
        <v>-</v>
      </c>
      <c r="F48" s="163" t="str">
        <f ca="1">OFFSET(ORÇAMENTO!R$15,$L48,0)</f>
        <v>(Código não identificado nas referências)</v>
      </c>
      <c r="G48" s="164" t="str">
        <f ca="1">IF($D48&lt;&gt;"Serviço","",OFFSET(ORÇAMENTO!S$15,$L48,0))</f>
        <v>-</v>
      </c>
      <c r="H48" s="122" cm="1">
        <f t="array" aca="1" ref="H48" ca="1">IF($D48&lt;&gt;"Serviço",0,IF(ACOMPANHAMENTO="BM",ROUND(OFFSET(ORÇAMENTO!AJ$15,$L48,0),15-13*ORÇAMENTO!$AF$7),IF(IFERROR(CÁLCULO.FrentesPreenchidas,0)=0,0,SUM(ROUND(OFFSET($P48,0,1,1,CÁLCULO.FrentesPreenchidas),15-13*ORÇAMENTO!$AF$7)))))</f>
        <v>679.00000000000011</v>
      </c>
      <c r="I48" s="468" t="s">
        <v>1235</v>
      </c>
      <c r="J48" s="651" t="str" cm="1">
        <f t="array" aca="1" ref="J48" ca="1">IF(OR(B48&lt;&gt;"S",CÁLCULO.FrentesPreenchidas=0),"",IF(AND(ACOMPANHAMENTO="PLE",AUTOEVENTO="Manual",OR(H48&gt;0,ORÇAMENTO!AC48="QUANT."),OR(K48="",M48=0,N48="")),"►E",IF(AND(ACOMPANHAMENTO="PLE",ORÇAMENTO!AC48="QUANT."),"►Q",IF(AND(ACOMPANHAMENTO="PLE",H48&lt;&gt;SUMPRODUCT(($Q$1:$AQ$1=1)*ROUND(Q48:AQ48,15))),"►S",IF(AND(COUNTIF($P$11:$AQ$11,"▼")=0,H48&gt;0,I48=""),"◄M","")))))</f>
        <v/>
      </c>
      <c r="K48" s="652" t="s">
        <v>1250</v>
      </c>
      <c r="L48" s="165">
        <f t="shared" ca="1" si="12"/>
        <v>33</v>
      </c>
      <c r="M48" s="166">
        <f ca="1">IF($D48&lt;&gt;"Serviço","",
          IF(AUTOEVENTO="manual",$A48,
                IF(ISERROR(MATCH($A48,$A$15:OFFSET($A48,-1,0),0)),MAX($M$15:OFFSET(M48,-1,0))+1,
                      INDEX($M$15:OFFSET(M48,-1,0),MATCH($A48,$A$15:OFFSET($A48,-1,0),0)))))</f>
        <v>3</v>
      </c>
      <c r="N48" s="167" t="str">
        <f ca="1">IF($D48&lt;&gt;"Serviço","",
         IF(AUTOEVENTO="Manual",
                IF($A48=0,"&lt;-- defina o número do agrupador",
                       OFFSET(EVENTOS!$D$15,$A48-$A$15,0)),
                OFFSET($F$15,$A48,0)))</f>
        <v>FUNDAÇÕES</v>
      </c>
      <c r="O48" s="168"/>
      <c r="Q48" s="168">
        <v>33.950000000000003</v>
      </c>
      <c r="R48" s="169">
        <v>33.950000000000003</v>
      </c>
      <c r="S48" s="169">
        <v>33.950000000000003</v>
      </c>
      <c r="T48" s="169">
        <v>33.950000000000003</v>
      </c>
      <c r="U48" s="169">
        <v>33.950000000000003</v>
      </c>
      <c r="V48" s="169">
        <v>33.950000000000003</v>
      </c>
      <c r="W48" s="169">
        <v>33.950000000000003</v>
      </c>
      <c r="X48" s="169">
        <v>33.950000000000003</v>
      </c>
      <c r="Y48" s="169">
        <v>33.950000000000003</v>
      </c>
      <c r="Z48" s="170">
        <v>33.950000000000003</v>
      </c>
      <c r="AA48" s="169">
        <v>33.950000000000003</v>
      </c>
      <c r="AB48" s="169">
        <v>33.950000000000003</v>
      </c>
      <c r="AC48" s="169">
        <v>33.950000000000003</v>
      </c>
      <c r="AD48" s="169">
        <v>33.950000000000003</v>
      </c>
      <c r="AE48" s="169">
        <v>33.950000000000003</v>
      </c>
      <c r="AF48" s="169">
        <v>33.950000000000003</v>
      </c>
      <c r="AG48" s="169">
        <v>33.950000000000003</v>
      </c>
      <c r="AH48" s="170">
        <v>33.950000000000003</v>
      </c>
      <c r="AI48" s="169">
        <v>33.950000000000003</v>
      </c>
      <c r="AJ48" s="169">
        <v>33.950000000000003</v>
      </c>
      <c r="AK48" s="169"/>
      <c r="AL48" s="169"/>
      <c r="AM48" s="169"/>
      <c r="AN48" s="169"/>
      <c r="AO48" s="169"/>
      <c r="AP48" s="170"/>
      <c r="AR48" s="453">
        <f ca="1">IF(AND($D48="Serviço",AR$12&lt;&gt;0,$H48&gt;0,OR(AUTOEVENTO&lt;&gt;"manual",$M48&lt;&gt;$A$15)),
        IF(Import.TipoArredondamento&lt;&gt;"TransfereGOV",
              ROUND(OFFSET($P48,0,AR$13),15-13*ORÇAMENTO!$AF$7)/$H48*OFFSET(ORÇAMENTO!$X$15,ROW(AR48)-ROW(AR$15),0),
              ROUND(ROUND(OFFSET($P48,0,AR$13),15-13*ORÇAMENTO!$AF$7)*OFFSET(ORÇAMENTO!$W$15,ROW(AR48)-ROW(AR$15),0),15-13*ORÇAMENTO!$AF$11)),
         0)</f>
        <v>0</v>
      </c>
      <c r="AS48" s="453">
        <f ca="1">IF(AND($D48="Serviço",AS$12&lt;&gt;0,$H48&gt;0,OR(AUTOEVENTO&lt;&gt;"manual",$M48&lt;&gt;$A$15)),
        IF(Import.TipoArredondamento&lt;&gt;"TransfereGOV",
              ROUND(OFFSET($P48,0,AS$13),15-13*ORÇAMENTO!$AF$7)/$H48*OFFSET(ORÇAMENTO!$X$15,ROW(AS48)-ROW(AS$15),0),
              ROUND(ROUND(OFFSET($P48,0,AS$13),15-13*ORÇAMENTO!$AF$7)*OFFSET(ORÇAMENTO!$W$15,ROW(AS48)-ROW(AS$15),0),15-13*ORÇAMENTO!$AF$11)),
         0)</f>
        <v>0</v>
      </c>
      <c r="AT48" s="453">
        <f ca="1">IF(AND($D48="Serviço",AT$12&lt;&gt;0,$H48&gt;0,OR(AUTOEVENTO&lt;&gt;"manual",$M48&lt;&gt;$A$15)),
        IF(Import.TipoArredondamento&lt;&gt;"TransfereGOV",
              ROUND(OFFSET($P48,0,AT$13),15-13*ORÇAMENTO!$AF$7)/$H48*OFFSET(ORÇAMENTO!$X$15,ROW(AT48)-ROW(AT$15),0),
              ROUND(ROUND(OFFSET($P48,0,AT$13),15-13*ORÇAMENTO!$AF$7)*OFFSET(ORÇAMENTO!$W$15,ROW(AT48)-ROW(AT$15),0),15-13*ORÇAMENTO!$AF$11)),
         0)</f>
        <v>0</v>
      </c>
      <c r="AU48" s="453">
        <f ca="1">IF(AND($D48="Serviço",AU$12&lt;&gt;0,$H48&gt;0,OR(AUTOEVENTO&lt;&gt;"manual",$M48&lt;&gt;$A$15)),
        IF(Import.TipoArredondamento&lt;&gt;"TransfereGOV",
              ROUND(OFFSET($P48,0,AU$13),15-13*ORÇAMENTO!$AF$7)/$H48*OFFSET(ORÇAMENTO!$X$15,ROW(AU48)-ROW(AU$15),0),
              ROUND(ROUND(OFFSET($P48,0,AU$13),15-13*ORÇAMENTO!$AF$7)*OFFSET(ORÇAMENTO!$W$15,ROW(AU48)-ROW(AU$15),0),15-13*ORÇAMENTO!$AF$11)),
         0)</f>
        <v>0</v>
      </c>
      <c r="AV48" s="453">
        <f ca="1">IF(AND($D48="Serviço",AV$12&lt;&gt;0,$H48&gt;0,OR(AUTOEVENTO&lt;&gt;"manual",$M48&lt;&gt;$A$15)),
        IF(Import.TipoArredondamento&lt;&gt;"TransfereGOV",
              ROUND(OFFSET($P48,0,AV$13),15-13*ORÇAMENTO!$AF$7)/$H48*OFFSET(ORÇAMENTO!$X$15,ROW(AV48)-ROW(AV$15),0),
              ROUND(ROUND(OFFSET($P48,0,AV$13),15-13*ORÇAMENTO!$AF$7)*OFFSET(ORÇAMENTO!$W$15,ROW(AV48)-ROW(AV$15),0),15-13*ORÇAMENTO!$AF$11)),
         0)</f>
        <v>0</v>
      </c>
      <c r="AW48" s="453">
        <f ca="1">IF(AND($D48="Serviço",AW$12&lt;&gt;0,$H48&gt;0,OR(AUTOEVENTO&lt;&gt;"manual",$M48&lt;&gt;$A$15)),
        IF(Import.TipoArredondamento&lt;&gt;"TransfereGOV",
              ROUND(OFFSET($P48,0,AW$13),15-13*ORÇAMENTO!$AF$7)/$H48*OFFSET(ORÇAMENTO!$X$15,ROW(AW48)-ROW(AW$15),0),
              ROUND(ROUND(OFFSET($P48,0,AW$13),15-13*ORÇAMENTO!$AF$7)*OFFSET(ORÇAMENTO!$W$15,ROW(AW48)-ROW(AW$15),0),15-13*ORÇAMENTO!$AF$11)),
         0)</f>
        <v>0</v>
      </c>
      <c r="AX48" s="453">
        <f ca="1">IF(AND($D48="Serviço",AX$12&lt;&gt;0,$H48&gt;0,OR(AUTOEVENTO&lt;&gt;"manual",$M48&lt;&gt;$A$15)),
        IF(Import.TipoArredondamento&lt;&gt;"TransfereGOV",
              ROUND(OFFSET($P48,0,AX$13),15-13*ORÇAMENTO!$AF$7)/$H48*OFFSET(ORÇAMENTO!$X$15,ROW(AX48)-ROW(AX$15),0),
              ROUND(ROUND(OFFSET($P48,0,AX$13),15-13*ORÇAMENTO!$AF$7)*OFFSET(ORÇAMENTO!$W$15,ROW(AX48)-ROW(AX$15),0),15-13*ORÇAMENTO!$AF$11)),
         0)</f>
        <v>0</v>
      </c>
      <c r="AY48" s="453">
        <f ca="1">IF(AND($D48="Serviço",AY$12&lt;&gt;0,$H48&gt;0,OR(AUTOEVENTO&lt;&gt;"manual",$M48&lt;&gt;$A$15)),
        IF(Import.TipoArredondamento&lt;&gt;"TransfereGOV",
              ROUND(OFFSET($P48,0,AY$13),15-13*ORÇAMENTO!$AF$7)/$H48*OFFSET(ORÇAMENTO!$X$15,ROW(AY48)-ROW(AY$15),0),
              ROUND(ROUND(OFFSET($P48,0,AY$13),15-13*ORÇAMENTO!$AF$7)*OFFSET(ORÇAMENTO!$W$15,ROW(AY48)-ROW(AY$15),0),15-13*ORÇAMENTO!$AF$11)),
         0)</f>
        <v>0</v>
      </c>
      <c r="AZ48" s="453">
        <f ca="1">IF(AND($D48="Serviço",AZ$12&lt;&gt;0,$H48&gt;0,OR(AUTOEVENTO&lt;&gt;"manual",$M48&lt;&gt;$A$15)),
        IF(Import.TipoArredondamento&lt;&gt;"TransfereGOV",
              ROUND(OFFSET($P48,0,AZ$13),15-13*ORÇAMENTO!$AF$7)/$H48*OFFSET(ORÇAMENTO!$X$15,ROW(AZ48)-ROW(AZ$15),0),
              ROUND(ROUND(OFFSET($P48,0,AZ$13),15-13*ORÇAMENTO!$AF$7)*OFFSET(ORÇAMENTO!$W$15,ROW(AZ48)-ROW(AZ$15),0),15-13*ORÇAMENTO!$AF$11)),
         0)</f>
        <v>0</v>
      </c>
      <c r="BA48" s="453">
        <f ca="1">IF(AND($D48="Serviço",BA$12&lt;&gt;0,$H48&gt;0,OR(AUTOEVENTO&lt;&gt;"manual",$M48&lt;&gt;$A$15)),
        IF(Import.TipoArredondamento&lt;&gt;"TransfereGOV",
              ROUND(OFFSET($P48,0,BA$13),15-13*ORÇAMENTO!$AF$7)/$H48*OFFSET(ORÇAMENTO!$X$15,ROW(BA48)-ROW(BA$15),0),
              ROUND(ROUND(OFFSET($P48,0,BA$13),15-13*ORÇAMENTO!$AF$7)*OFFSET(ORÇAMENTO!$W$15,ROW(BA48)-ROW(BA$15),0),15-13*ORÇAMENTO!$AF$11)),
         0)</f>
        <v>0</v>
      </c>
      <c r="BB48" s="453">
        <f ca="1">IF(AND($D48="Serviço",BB$12&lt;&gt;0,$H48&gt;0,OR(AUTOEVENTO&lt;&gt;"manual",$M48&lt;&gt;$A$15)),
        IF(Import.TipoArredondamento&lt;&gt;"TransfereGOV",
              ROUND(OFFSET($P48,0,BB$13),15-13*ORÇAMENTO!$AF$7)/$H48*OFFSET(ORÇAMENTO!$X$15,ROW(BB48)-ROW(BB$15),0),
              ROUND(ROUND(OFFSET($P48,0,BB$13),15-13*ORÇAMENTO!$AF$7)*OFFSET(ORÇAMENTO!$W$15,ROW(BB48)-ROW(BB$15),0),15-13*ORÇAMENTO!$AF$11)),
         0)</f>
        <v>0</v>
      </c>
      <c r="BC48" s="453">
        <f ca="1">IF(AND($D48="Serviço",BC$12&lt;&gt;0,$H48&gt;0,OR(AUTOEVENTO&lt;&gt;"manual",$M48&lt;&gt;$A$15)),
        IF(Import.TipoArredondamento&lt;&gt;"TransfereGOV",
              ROUND(OFFSET($P48,0,BC$13),15-13*ORÇAMENTO!$AF$7)/$H48*OFFSET(ORÇAMENTO!$X$15,ROW(BC48)-ROW(BC$15),0),
              ROUND(ROUND(OFFSET($P48,0,BC$13),15-13*ORÇAMENTO!$AF$7)*OFFSET(ORÇAMENTO!$W$15,ROW(BC48)-ROW(BC$15),0),15-13*ORÇAMENTO!$AF$11)),
         0)</f>
        <v>0</v>
      </c>
      <c r="BD48" s="453">
        <f ca="1">IF(AND($D48="Serviço",BD$12&lt;&gt;0,$H48&gt;0,OR(AUTOEVENTO&lt;&gt;"manual",$M48&lt;&gt;$A$15)),
        IF(Import.TipoArredondamento&lt;&gt;"TransfereGOV",
              ROUND(OFFSET($P48,0,BD$13),15-13*ORÇAMENTO!$AF$7)/$H48*OFFSET(ORÇAMENTO!$X$15,ROW(BD48)-ROW(BD$15),0),
              ROUND(ROUND(OFFSET($P48,0,BD$13),15-13*ORÇAMENTO!$AF$7)*OFFSET(ORÇAMENTO!$W$15,ROW(BD48)-ROW(BD$15),0),15-13*ORÇAMENTO!$AF$11)),
         0)</f>
        <v>0</v>
      </c>
      <c r="BE48" s="453">
        <f ca="1">IF(AND($D48="Serviço",BE$12&lt;&gt;0,$H48&gt;0,OR(AUTOEVENTO&lt;&gt;"manual",$M48&lt;&gt;$A$15)),
        IF(Import.TipoArredondamento&lt;&gt;"TransfereGOV",
              ROUND(OFFSET($P48,0,BE$13),15-13*ORÇAMENTO!$AF$7)/$H48*OFFSET(ORÇAMENTO!$X$15,ROW(BE48)-ROW(BE$15),0),
              ROUND(ROUND(OFFSET($P48,0,BE$13),15-13*ORÇAMENTO!$AF$7)*OFFSET(ORÇAMENTO!$W$15,ROW(BE48)-ROW(BE$15),0),15-13*ORÇAMENTO!$AF$11)),
         0)</f>
        <v>0</v>
      </c>
      <c r="BF48" s="453">
        <f ca="1">IF(AND($D48="Serviço",BF$12&lt;&gt;0,$H48&gt;0,OR(AUTOEVENTO&lt;&gt;"manual",$M48&lt;&gt;$A$15)),
        IF(Import.TipoArredondamento&lt;&gt;"TransfereGOV",
              ROUND(OFFSET($P48,0,BF$13),15-13*ORÇAMENTO!$AF$7)/$H48*OFFSET(ORÇAMENTO!$X$15,ROW(BF48)-ROW(BF$15),0),
              ROUND(ROUND(OFFSET($P48,0,BF$13),15-13*ORÇAMENTO!$AF$7)*OFFSET(ORÇAMENTO!$W$15,ROW(BF48)-ROW(BF$15),0),15-13*ORÇAMENTO!$AF$11)),
         0)</f>
        <v>0</v>
      </c>
      <c r="BG48" s="453">
        <f ca="1">IF(AND($D48="Serviço",BG$12&lt;&gt;0,$H48&gt;0,OR(AUTOEVENTO&lt;&gt;"manual",$M48&lt;&gt;$A$15)),
        IF(Import.TipoArredondamento&lt;&gt;"TransfereGOV",
              ROUND(OFFSET($P48,0,BG$13),15-13*ORÇAMENTO!$AF$7)/$H48*OFFSET(ORÇAMENTO!$X$15,ROW(BG48)-ROW(BG$15),0),
              ROUND(ROUND(OFFSET($P48,0,BG$13),15-13*ORÇAMENTO!$AF$7)*OFFSET(ORÇAMENTO!$W$15,ROW(BG48)-ROW(BG$15),0),15-13*ORÇAMENTO!$AF$11)),
         0)</f>
        <v>0</v>
      </c>
      <c r="BH48" s="453">
        <f ca="1">IF(AND($D48="Serviço",BH$12&lt;&gt;0,$H48&gt;0,OR(AUTOEVENTO&lt;&gt;"manual",$M48&lt;&gt;$A$15)),
        IF(Import.TipoArredondamento&lt;&gt;"TransfereGOV",
              ROUND(OFFSET($P48,0,BH$13),15-13*ORÇAMENTO!$AF$7)/$H48*OFFSET(ORÇAMENTO!$X$15,ROW(BH48)-ROW(BH$15),0),
              ROUND(ROUND(OFFSET($P48,0,BH$13),15-13*ORÇAMENTO!$AF$7)*OFFSET(ORÇAMENTO!$W$15,ROW(BH48)-ROW(BH$15),0),15-13*ORÇAMENTO!$AF$11)),
         0)</f>
        <v>0</v>
      </c>
      <c r="BI48" s="453">
        <f ca="1">IF(AND($D48="Serviço",BI$12&lt;&gt;0,$H48&gt;0,OR(AUTOEVENTO&lt;&gt;"manual",$M48&lt;&gt;$A$15)),
        IF(Import.TipoArredondamento&lt;&gt;"TransfereGOV",
              ROUND(OFFSET($P48,0,BI$13),15-13*ORÇAMENTO!$AF$7)/$H48*OFFSET(ORÇAMENTO!$X$15,ROW(BI48)-ROW(BI$15),0),
              ROUND(ROUND(OFFSET($P48,0,BI$13),15-13*ORÇAMENTO!$AF$7)*OFFSET(ORÇAMENTO!$W$15,ROW(BI48)-ROW(BI$15),0),15-13*ORÇAMENTO!$AF$11)),
         0)</f>
        <v>0</v>
      </c>
      <c r="BJ48" s="453">
        <f ca="1">IF(AND($D48="Serviço",BJ$12&lt;&gt;0,$H48&gt;0,OR(AUTOEVENTO&lt;&gt;"manual",$M48&lt;&gt;$A$15)),
        IF(Import.TipoArredondamento&lt;&gt;"TransfereGOV",
              ROUND(OFFSET($P48,0,BJ$13),15-13*ORÇAMENTO!$AF$7)/$H48*OFFSET(ORÇAMENTO!$X$15,ROW(BJ48)-ROW(BJ$15),0),
              ROUND(ROUND(OFFSET($P48,0,BJ$13),15-13*ORÇAMENTO!$AF$7)*OFFSET(ORÇAMENTO!$W$15,ROW(BJ48)-ROW(BJ$15),0),15-13*ORÇAMENTO!$AF$11)),
         0)</f>
        <v>0</v>
      </c>
      <c r="BK48" s="453">
        <f ca="1">IF(AND($D48="Serviço",BK$12&lt;&gt;0,$H48&gt;0,OR(AUTOEVENTO&lt;&gt;"manual",$M48&lt;&gt;$A$15)),
        IF(Import.TipoArredondamento&lt;&gt;"TransfereGOV",
              ROUND(OFFSET($P48,0,BK$13),15-13*ORÇAMENTO!$AF$7)/$H48*OFFSET(ORÇAMENTO!$X$15,ROW(BK48)-ROW(BK$15),0),
              ROUND(ROUND(OFFSET($P48,0,BK$13),15-13*ORÇAMENTO!$AF$7)*OFFSET(ORÇAMENTO!$W$15,ROW(BK48)-ROW(BK$15),0),15-13*ORÇAMENTO!$AF$11)),
         0)</f>
        <v>0</v>
      </c>
      <c r="BL48" s="453">
        <f ca="1">IF(AND($D48="Serviço",BL$12&lt;&gt;0,$H48&gt;0,OR(AUTOEVENTO&lt;&gt;"manual",$M48&lt;&gt;$A$15)),
        IF(Import.TipoArredondamento&lt;&gt;"TransfereGOV",
              ROUND(OFFSET($P48,0,BL$13),15-13*ORÇAMENTO!$AF$7)/$H48*OFFSET(ORÇAMENTO!$X$15,ROW(BL48)-ROW(BL$15),0),
              ROUND(ROUND(OFFSET($P48,0,BL$13),15-13*ORÇAMENTO!$AF$7)*OFFSET(ORÇAMENTO!$W$15,ROW(BL48)-ROW(BL$15),0),15-13*ORÇAMENTO!$AF$11)),
         0)</f>
        <v>0</v>
      </c>
      <c r="BM48" s="453">
        <f ca="1">IF(AND($D48="Serviço",BM$12&lt;&gt;0,$H48&gt;0,OR(AUTOEVENTO&lt;&gt;"manual",$M48&lt;&gt;$A$15)),
        IF(Import.TipoArredondamento&lt;&gt;"TransfereGOV",
              ROUND(OFFSET($P48,0,BM$13),15-13*ORÇAMENTO!$AF$7)/$H48*OFFSET(ORÇAMENTO!$X$15,ROW(BM48)-ROW(BM$15),0),
              ROUND(ROUND(OFFSET($P48,0,BM$13),15-13*ORÇAMENTO!$AF$7)*OFFSET(ORÇAMENTO!$W$15,ROW(BM48)-ROW(BM$15),0),15-13*ORÇAMENTO!$AF$11)),
         0)</f>
        <v>0</v>
      </c>
      <c r="BN48" s="453">
        <f ca="1">IF(AND($D48="Serviço",BN$12&lt;&gt;0,$H48&gt;0,OR(AUTOEVENTO&lt;&gt;"manual",$M48&lt;&gt;$A$15)),
        IF(Import.TipoArredondamento&lt;&gt;"TransfereGOV",
              ROUND(OFFSET($P48,0,BN$13),15-13*ORÇAMENTO!$AF$7)/$H48*OFFSET(ORÇAMENTO!$X$15,ROW(BN48)-ROW(BN$15),0),
              ROUND(ROUND(OFFSET($P48,0,BN$13),15-13*ORÇAMENTO!$AF$7)*OFFSET(ORÇAMENTO!$W$15,ROW(BN48)-ROW(BN$15),0),15-13*ORÇAMENTO!$AF$11)),
         0)</f>
        <v>0</v>
      </c>
      <c r="BO48" s="453">
        <f ca="1">IF(AND($D48="Serviço",BO$12&lt;&gt;0,$H48&gt;0,OR(AUTOEVENTO&lt;&gt;"manual",$M48&lt;&gt;$A$15)),
        IF(Import.TipoArredondamento&lt;&gt;"TransfereGOV",
              ROUND(OFFSET($P48,0,BO$13),15-13*ORÇAMENTO!$AF$7)/$H48*OFFSET(ORÇAMENTO!$X$15,ROW(BO48)-ROW(BO$15),0),
              ROUND(ROUND(OFFSET($P48,0,BO$13),15-13*ORÇAMENTO!$AF$7)*OFFSET(ORÇAMENTO!$W$15,ROW(BO48)-ROW(BO$15),0),15-13*ORÇAMENTO!$AF$11)),
         0)</f>
        <v>0</v>
      </c>
      <c r="BP48" s="453">
        <f ca="1">IF(AND($D48="Serviço",BP$12&lt;&gt;0,$H48&gt;0,OR(AUTOEVENTO&lt;&gt;"manual",$M48&lt;&gt;$A$15)),
        IF(Import.TipoArredondamento&lt;&gt;"TransfereGOV",
              ROUND(OFFSET($P48,0,BP$13),15-13*ORÇAMENTO!$AF$7)/$H48*OFFSET(ORÇAMENTO!$X$15,ROW(BP48)-ROW(BP$15),0),
              ROUND(ROUND(OFFSET($P48,0,BP$13),15-13*ORÇAMENTO!$AF$7)*OFFSET(ORÇAMENTO!$W$15,ROW(BP48)-ROW(BP$15),0),15-13*ORÇAMENTO!$AF$11)),
         0)</f>
        <v>0</v>
      </c>
      <c r="BQ48" s="453">
        <f ca="1">IF(AND($D48="Serviço",BQ$12&lt;&gt;0,$H48&gt;0,OR(AUTOEVENTO&lt;&gt;"manual",$M48&lt;&gt;$A$15)),
        IF(Import.TipoArredondamento&lt;&gt;"TransfereGOV",
              ROUND(OFFSET($P48,0,BQ$13),15-13*ORÇAMENTO!$AF$7)/$H48*OFFSET(ORÇAMENTO!$X$15,ROW(BQ48)-ROW(BQ$15),0),
              ROUND(ROUND(OFFSET($P48,0,BQ$13),15-13*ORÇAMENTO!$AF$7)*OFFSET(ORÇAMENTO!$W$15,ROW(BQ48)-ROW(BQ$15),0),15-13*ORÇAMENTO!$AF$11)),
         0)</f>
        <v>0</v>
      </c>
      <c r="BS48" s="171">
        <f ca="1">IF(OR($D48&lt;&gt;"Serviço",AND(AUTOEVENTO="Manual",$M48=$A$15)),0,
         IF(OFFSET(CRONOPLE!$F$15,$M48-$A$15,BS$13)=0,10^12,OFFSET(CRONOPLE!$F$15,$M48-$A$15,BS$13)))</f>
        <v>1</v>
      </c>
      <c r="BT48" s="171">
        <f ca="1">IF(OR($D48&lt;&gt;"Serviço",AND(AUTOEVENTO="Manual",$M48=$A$15)),0,
         IF(OFFSET(CRONOPLE!$F$15,$M48-$A$15,BT$13)=0,10^12,OFFSET(CRONOPLE!$F$15,$M48-$A$15,BT$13)))</f>
        <v>2</v>
      </c>
      <c r="BU48" s="171">
        <f ca="1">IF(OR($D48&lt;&gt;"Serviço",AND(AUTOEVENTO="Manual",$M48=$A$15)),0,
         IF(OFFSET(CRONOPLE!$F$15,$M48-$A$15,BU$13)=0,10^12,OFFSET(CRONOPLE!$F$15,$M48-$A$15,BU$13)))</f>
        <v>3</v>
      </c>
      <c r="BV48" s="171">
        <f ca="1">IF(OR($D48&lt;&gt;"Serviço",AND(AUTOEVENTO="Manual",$M48=$A$15)),0,
         IF(OFFSET(CRONOPLE!$F$15,$M48-$A$15,BV$13)=0,10^12,OFFSET(CRONOPLE!$F$15,$M48-$A$15,BV$13)))</f>
        <v>4</v>
      </c>
      <c r="BW48" s="171">
        <f ca="1">IF(OR($D48&lt;&gt;"Serviço",AND(AUTOEVENTO="Manual",$M48=$A$15)),0,
         IF(OFFSET(CRONOPLE!$F$15,$M48-$A$15,BW$13)=0,10^12,OFFSET(CRONOPLE!$F$15,$M48-$A$15,BW$13)))</f>
        <v>5</v>
      </c>
      <c r="BX48" s="171">
        <f ca="1">IF(OR($D48&lt;&gt;"Serviço",AND(AUTOEVENTO="Manual",$M48=$A$15)),0,
         IF(OFFSET(CRONOPLE!$F$15,$M48-$A$15,BX$13)=0,10^12,OFFSET(CRONOPLE!$F$15,$M48-$A$15,BX$13)))</f>
        <v>6</v>
      </c>
      <c r="BY48" s="171">
        <f ca="1">IF(OR($D48&lt;&gt;"Serviço",AND(AUTOEVENTO="Manual",$M48=$A$15)),0,
         IF(OFFSET(CRONOPLE!$F$15,$M48-$A$15,BY$13)=0,10^12,OFFSET(CRONOPLE!$F$15,$M48-$A$15,BY$13)))</f>
        <v>7</v>
      </c>
      <c r="BZ48" s="171">
        <f ca="1">IF(OR($D48&lt;&gt;"Serviço",AND(AUTOEVENTO="Manual",$M48=$A$15)),0,
         IF(OFFSET(CRONOPLE!$F$15,$M48-$A$15,BZ$13)=0,10^12,OFFSET(CRONOPLE!$F$15,$M48-$A$15,BZ$13)))</f>
        <v>8</v>
      </c>
      <c r="CA48" s="171">
        <f ca="1">IF(OR($D48&lt;&gt;"Serviço",AND(AUTOEVENTO="Manual",$M48=$A$15)),0,
         IF(OFFSET(CRONOPLE!$F$15,$M48-$A$15,CA$13)=0,10^12,OFFSET(CRONOPLE!$F$15,$M48-$A$15,CA$13)))</f>
        <v>9</v>
      </c>
      <c r="CB48" s="171">
        <f ca="1">IF(OR($D48&lt;&gt;"Serviço",AND(AUTOEVENTO="Manual",$M48=$A$15)),0,
         IF(OFFSET(CRONOPLE!$F$15,$M48-$A$15,CB$13)=0,10^12,OFFSET(CRONOPLE!$F$15,$M48-$A$15,CB$13)))</f>
        <v>10</v>
      </c>
      <c r="CC48" s="171">
        <f ca="1">IF(OR($D48&lt;&gt;"Serviço",AND(AUTOEVENTO="Manual",$M48=$A$15)),0,
         IF(OFFSET(CRONOPLE!$F$15,$M48-$A$15,CC$13)=0,10^12,OFFSET(CRONOPLE!$F$15,$M48-$A$15,CC$13)))</f>
        <v>11</v>
      </c>
      <c r="CD48" s="171">
        <f ca="1">IF(OR($D48&lt;&gt;"Serviço",AND(AUTOEVENTO="Manual",$M48=$A$15)),0,
         IF(OFFSET(CRONOPLE!$F$15,$M48-$A$15,CD$13)=0,10^12,OFFSET(CRONOPLE!$F$15,$M48-$A$15,CD$13)))</f>
        <v>12</v>
      </c>
      <c r="CE48" s="171">
        <f ca="1">IF(OR($D48&lt;&gt;"Serviço",AND(AUTOEVENTO="Manual",$M48=$A$15)),0,
         IF(OFFSET(CRONOPLE!$F$15,$M48-$A$15,CE$13)=0,10^12,OFFSET(CRONOPLE!$F$15,$M48-$A$15,CE$13)))</f>
        <v>13</v>
      </c>
      <c r="CF48" s="171">
        <f ca="1">IF(OR($D48&lt;&gt;"Serviço",AND(AUTOEVENTO="Manual",$M48=$A$15)),0,
         IF(OFFSET(CRONOPLE!$F$15,$M48-$A$15,CF$13)=0,10^12,OFFSET(CRONOPLE!$F$15,$M48-$A$15,CF$13)))</f>
        <v>14</v>
      </c>
      <c r="CG48" s="171">
        <f ca="1">IF(OR($D48&lt;&gt;"Serviço",AND(AUTOEVENTO="Manual",$M48=$A$15)),0,
         IF(OFFSET(CRONOPLE!$F$15,$M48-$A$15,CG$13)=0,10^12,OFFSET(CRONOPLE!$F$15,$M48-$A$15,CG$13)))</f>
        <v>15</v>
      </c>
      <c r="CH48" s="171">
        <f ca="1">IF(OR($D48&lt;&gt;"Serviço",AND(AUTOEVENTO="Manual",$M48=$A$15)),0,
         IF(OFFSET(CRONOPLE!$F$15,$M48-$A$15,CH$13)=0,10^12,OFFSET(CRONOPLE!$F$15,$M48-$A$15,CH$13)))</f>
        <v>16</v>
      </c>
      <c r="CI48" s="171">
        <f ca="1">IF(OR($D48&lt;&gt;"Serviço",AND(AUTOEVENTO="Manual",$M48=$A$15)),0,
         IF(OFFSET(CRONOPLE!$F$15,$M48-$A$15,CI$13)=0,10^12,OFFSET(CRONOPLE!$F$15,$M48-$A$15,CI$13)))</f>
        <v>17</v>
      </c>
      <c r="CJ48" s="171">
        <f ca="1">IF(OR($D48&lt;&gt;"Serviço",AND(AUTOEVENTO="Manual",$M48=$A$15)),0,
         IF(OFFSET(CRONOPLE!$F$15,$M48-$A$15,CJ$13)=0,10^12,OFFSET(CRONOPLE!$F$15,$M48-$A$15,CJ$13)))</f>
        <v>18</v>
      </c>
      <c r="CK48" s="171">
        <f ca="1">IF(OR($D48&lt;&gt;"Serviço",AND(AUTOEVENTO="Manual",$M48=$A$15)),0,
         IF(OFFSET(CRONOPLE!$F$15,$M48-$A$15,CK$13)=0,10^12,OFFSET(CRONOPLE!$F$15,$M48-$A$15,CK$13)))</f>
        <v>19</v>
      </c>
      <c r="CL48" s="171">
        <f ca="1">IF(OR($D48&lt;&gt;"Serviço",AND(AUTOEVENTO="Manual",$M48=$A$15)),0,
         IF(OFFSET(CRONOPLE!$F$15,$M48-$A$15,CL$13)=0,10^12,OFFSET(CRONOPLE!$F$15,$M48-$A$15,CL$13)))</f>
        <v>20</v>
      </c>
      <c r="CM48" s="171">
        <f ca="1">IF(OR($D48&lt;&gt;"Serviço",AND(AUTOEVENTO="Manual",$M48=$A$15)),0,
         IF(OFFSET(CRONOPLE!$F$15,$M48-$A$15,CM$13)=0,10^12,OFFSET(CRONOPLE!$F$15,$M48-$A$15,CM$13)))</f>
        <v>1000000000000</v>
      </c>
      <c r="CN48" s="171">
        <f ca="1">IF(OR($D48&lt;&gt;"Serviço",AND(AUTOEVENTO="Manual",$M48=$A$15)),0,
         IF(OFFSET(CRONOPLE!$F$15,$M48-$A$15,CN$13)=0,10^12,OFFSET(CRONOPLE!$F$15,$M48-$A$15,CN$13)))</f>
        <v>1000000000000</v>
      </c>
      <c r="CO48" s="171">
        <f ca="1">IF(OR($D48&lt;&gt;"Serviço",AND(AUTOEVENTO="Manual",$M48=$A$15)),0,
         IF(OFFSET(CRONOPLE!$F$15,$M48-$A$15,CO$13)=0,10^12,OFFSET(CRONOPLE!$F$15,$M48-$A$15,CO$13)))</f>
        <v>1000000000000</v>
      </c>
      <c r="CP48" s="171">
        <f ca="1">IF(OR($D48&lt;&gt;"Serviço",AND(AUTOEVENTO="Manual",$M48=$A$15)),0,
         IF(OFFSET(CRONOPLE!$F$15,$M48-$A$15,CP$13)=0,10^12,OFFSET(CRONOPLE!$F$15,$M48-$A$15,CP$13)))</f>
        <v>1000000000000</v>
      </c>
      <c r="CQ48" s="171">
        <f ca="1">IF(OR($D48&lt;&gt;"Serviço",AND(AUTOEVENTO="Manual",$M48=$A$15)),0,
         IF(OFFSET(CRONOPLE!$F$15,$M48-$A$15,CQ$13)=0,10^12,OFFSET(CRONOPLE!$F$15,$M48-$A$15,CQ$13)))</f>
        <v>1000000000000</v>
      </c>
      <c r="CR48" s="171">
        <f ca="1">IF(OR($D48&lt;&gt;"Serviço",AND(AUTOEVENTO="Manual",$M48=$A$15)),0,
         IF(OFFSET(CRONOPLE!$F$15,$M48-$A$15,CR$13)=0,10^12,OFFSET(CRONOPLE!$F$15,$M48-$A$15,CR$13)))</f>
        <v>1000000000000</v>
      </c>
      <c r="CT48" s="172" cm="1">
        <f t="array" aca="1" ref="CT48" ca="1">IF(OR($D48&lt;&gt;"Serviço",AND(AUTOEVENTO="Manual",$M48=$A$15),$M48&gt;(ROW(PLE.lastrow)-ROW(PLE.firstrow))),0,
           IF(OFFSET(PLE!$G$15,$M48-$A$15,CT$13)="",10^12,OFFSET(PLE!$G$15,$M48-$A$15,CT$13)))</f>
        <v>1000000000000</v>
      </c>
      <c r="CU48" s="172" cm="1">
        <f t="array" aca="1" ref="CU48" ca="1">IF(OR($D48&lt;&gt;"Serviço",AND(AUTOEVENTO="Manual",$M48=$A$15),$M48&gt;(ROW(PLE.lastrow)-ROW(PLE.firstrow))),0,
           IF(OFFSET(PLE!$G$15,$M48-$A$15,CU$13)="",10^12,OFFSET(PLE!$G$15,$M48-$A$15,CU$13)))</f>
        <v>1000000000000</v>
      </c>
      <c r="CV48" s="172" cm="1">
        <f t="array" aca="1" ref="CV48" ca="1">IF(OR($D48&lt;&gt;"Serviço",AND(AUTOEVENTO="Manual",$M48=$A$15),$M48&gt;(ROW(PLE.lastrow)-ROW(PLE.firstrow))),0,
           IF(OFFSET(PLE!$G$15,$M48-$A$15,CV$13)="",10^12,OFFSET(PLE!$G$15,$M48-$A$15,CV$13)))</f>
        <v>1000000000000</v>
      </c>
      <c r="CW48" s="172" cm="1">
        <f t="array" aca="1" ref="CW48" ca="1">IF(OR($D48&lt;&gt;"Serviço",AND(AUTOEVENTO="Manual",$M48=$A$15),$M48&gt;(ROW(PLE.lastrow)-ROW(PLE.firstrow))),0,
           IF(OFFSET(PLE!$G$15,$M48-$A$15,CW$13)="",10^12,OFFSET(PLE!$G$15,$M48-$A$15,CW$13)))</f>
        <v>1000000000000</v>
      </c>
      <c r="CX48" s="172" cm="1">
        <f t="array" aca="1" ref="CX48" ca="1">IF(OR($D48&lt;&gt;"Serviço",AND(AUTOEVENTO="Manual",$M48=$A$15),$M48&gt;(ROW(PLE.lastrow)-ROW(PLE.firstrow))),0,
           IF(OFFSET(PLE!$G$15,$M48-$A$15,CX$13)="",10^12,OFFSET(PLE!$G$15,$M48-$A$15,CX$13)))</f>
        <v>1000000000000</v>
      </c>
      <c r="CY48" s="172" cm="1">
        <f t="array" aca="1" ref="CY48" ca="1">IF(OR($D48&lt;&gt;"Serviço",AND(AUTOEVENTO="Manual",$M48=$A$15),$M48&gt;(ROW(PLE.lastrow)-ROW(PLE.firstrow))),0,
           IF(OFFSET(PLE!$G$15,$M48-$A$15,CY$13)="",10^12,OFFSET(PLE!$G$15,$M48-$A$15,CY$13)))</f>
        <v>1000000000000</v>
      </c>
      <c r="CZ48" s="172" cm="1">
        <f t="array" aca="1" ref="CZ48" ca="1">IF(OR($D48&lt;&gt;"Serviço",AND(AUTOEVENTO="Manual",$M48=$A$15),$M48&gt;(ROW(PLE.lastrow)-ROW(PLE.firstrow))),0,
           IF(OFFSET(PLE!$G$15,$M48-$A$15,CZ$13)="",10^12,OFFSET(PLE!$G$15,$M48-$A$15,CZ$13)))</f>
        <v>1000000000000</v>
      </c>
      <c r="DA48" s="172" cm="1">
        <f t="array" aca="1" ref="DA48" ca="1">IF(OR($D48&lt;&gt;"Serviço",AND(AUTOEVENTO="Manual",$M48=$A$15),$M48&gt;(ROW(PLE.lastrow)-ROW(PLE.firstrow))),0,
           IF(OFFSET(PLE!$G$15,$M48-$A$15,DA$13)="",10^12,OFFSET(PLE!$G$15,$M48-$A$15,DA$13)))</f>
        <v>1000000000000</v>
      </c>
      <c r="DB48" s="172" cm="1">
        <f t="array" aca="1" ref="DB48" ca="1">IF(OR($D48&lt;&gt;"Serviço",AND(AUTOEVENTO="Manual",$M48=$A$15),$M48&gt;(ROW(PLE.lastrow)-ROW(PLE.firstrow))),0,
           IF(OFFSET(PLE!$G$15,$M48-$A$15,DB$13)="",10^12,OFFSET(PLE!$G$15,$M48-$A$15,DB$13)))</f>
        <v>1000000000000</v>
      </c>
      <c r="DC48" s="172" cm="1">
        <f t="array" aca="1" ref="DC48" ca="1">IF(OR($D48&lt;&gt;"Serviço",AND(AUTOEVENTO="Manual",$M48=$A$15),$M48&gt;(ROW(PLE.lastrow)-ROW(PLE.firstrow))),0,
           IF(OFFSET(PLE!$G$15,$M48-$A$15,DC$13)="",10^12,OFFSET(PLE!$G$15,$M48-$A$15,DC$13)))</f>
        <v>1000000000000</v>
      </c>
      <c r="DD48" s="172" cm="1">
        <f t="array" aca="1" ref="DD48" ca="1">IF(OR($D48&lt;&gt;"Serviço",AND(AUTOEVENTO="Manual",$M48=$A$15),$M48&gt;(ROW(PLE.lastrow)-ROW(PLE.firstrow))),0,
           IF(OFFSET(PLE!$G$15,$M48-$A$15,DD$13)="",10^12,OFFSET(PLE!$G$15,$M48-$A$15,DD$13)))</f>
        <v>1000000000000</v>
      </c>
      <c r="DE48" s="172" cm="1">
        <f t="array" aca="1" ref="DE48" ca="1">IF(OR($D48&lt;&gt;"Serviço",AND(AUTOEVENTO="Manual",$M48=$A$15),$M48&gt;(ROW(PLE.lastrow)-ROW(PLE.firstrow))),0,
           IF(OFFSET(PLE!$G$15,$M48-$A$15,DE$13)="",10^12,OFFSET(PLE!$G$15,$M48-$A$15,DE$13)))</f>
        <v>1000000000000</v>
      </c>
      <c r="DF48" s="172" cm="1">
        <f t="array" aca="1" ref="DF48" ca="1">IF(OR($D48&lt;&gt;"Serviço",AND(AUTOEVENTO="Manual",$M48=$A$15),$M48&gt;(ROW(PLE.lastrow)-ROW(PLE.firstrow))),0,
           IF(OFFSET(PLE!$G$15,$M48-$A$15,DF$13)="",10^12,OFFSET(PLE!$G$15,$M48-$A$15,DF$13)))</f>
        <v>1000000000000</v>
      </c>
      <c r="DG48" s="172" cm="1">
        <f t="array" aca="1" ref="DG48" ca="1">IF(OR($D48&lt;&gt;"Serviço",AND(AUTOEVENTO="Manual",$M48=$A$15),$M48&gt;(ROW(PLE.lastrow)-ROW(PLE.firstrow))),0,
           IF(OFFSET(PLE!$G$15,$M48-$A$15,DG$13)="",10^12,OFFSET(PLE!$G$15,$M48-$A$15,DG$13)))</f>
        <v>1000000000000</v>
      </c>
      <c r="DH48" s="172" cm="1">
        <f t="array" aca="1" ref="DH48" ca="1">IF(OR($D48&lt;&gt;"Serviço",AND(AUTOEVENTO="Manual",$M48=$A$15),$M48&gt;(ROW(PLE.lastrow)-ROW(PLE.firstrow))),0,
           IF(OFFSET(PLE!$G$15,$M48-$A$15,DH$13)="",10^12,OFFSET(PLE!$G$15,$M48-$A$15,DH$13)))</f>
        <v>1000000000000</v>
      </c>
      <c r="DI48" s="172" cm="1">
        <f t="array" aca="1" ref="DI48" ca="1">IF(OR($D48&lt;&gt;"Serviço",AND(AUTOEVENTO="Manual",$M48=$A$15),$M48&gt;(ROW(PLE.lastrow)-ROW(PLE.firstrow))),0,
           IF(OFFSET(PLE!$G$15,$M48-$A$15,DI$13)="",10^12,OFFSET(PLE!$G$15,$M48-$A$15,DI$13)))</f>
        <v>1000000000000</v>
      </c>
      <c r="DJ48" s="172" cm="1">
        <f t="array" aca="1" ref="DJ48" ca="1">IF(OR($D48&lt;&gt;"Serviço",AND(AUTOEVENTO="Manual",$M48=$A$15),$M48&gt;(ROW(PLE.lastrow)-ROW(PLE.firstrow))),0,
           IF(OFFSET(PLE!$G$15,$M48-$A$15,DJ$13)="",10^12,OFFSET(PLE!$G$15,$M48-$A$15,DJ$13)))</f>
        <v>1000000000000</v>
      </c>
      <c r="DK48" s="172" cm="1">
        <f t="array" aca="1" ref="DK48" ca="1">IF(OR($D48&lt;&gt;"Serviço",AND(AUTOEVENTO="Manual",$M48=$A$15),$M48&gt;(ROW(PLE.lastrow)-ROW(PLE.firstrow))),0,
           IF(OFFSET(PLE!$G$15,$M48-$A$15,DK$13)="",10^12,OFFSET(PLE!$G$15,$M48-$A$15,DK$13)))</f>
        <v>1000000000000</v>
      </c>
      <c r="DL48" s="172" cm="1">
        <f t="array" aca="1" ref="DL48" ca="1">IF(OR($D48&lt;&gt;"Serviço",AND(AUTOEVENTO="Manual",$M48=$A$15),$M48&gt;(ROW(PLE.lastrow)-ROW(PLE.firstrow))),0,
           IF(OFFSET(PLE!$G$15,$M48-$A$15,DL$13)="",10^12,OFFSET(PLE!$G$15,$M48-$A$15,DL$13)))</f>
        <v>1000000000000</v>
      </c>
      <c r="DM48" s="172" cm="1">
        <f t="array" aca="1" ref="DM48" ca="1">IF(OR($D48&lt;&gt;"Serviço",AND(AUTOEVENTO="Manual",$M48=$A$15),$M48&gt;(ROW(PLE.lastrow)-ROW(PLE.firstrow))),0,
           IF(OFFSET(PLE!$G$15,$M48-$A$15,DM$13)="",10^12,OFFSET(PLE!$G$15,$M48-$A$15,DM$13)))</f>
        <v>1000000000000</v>
      </c>
      <c r="DN48" s="172" cm="1">
        <f t="array" aca="1" ref="DN48" ca="1">IF(OR($D48&lt;&gt;"Serviço",AND(AUTOEVENTO="Manual",$M48=$A$15),$M48&gt;(ROW(PLE.lastrow)-ROW(PLE.firstrow))),0,
           IF(OFFSET(PLE!$G$15,$M48-$A$15,DN$13)="",10^12,OFFSET(PLE!$G$15,$M48-$A$15,DN$13)))</f>
        <v>1000000000000</v>
      </c>
      <c r="DO48" s="172" cm="1">
        <f t="array" aca="1" ref="DO48" ca="1">IF(OR($D48&lt;&gt;"Serviço",AND(AUTOEVENTO="Manual",$M48=$A$15),$M48&gt;(ROW(PLE.lastrow)-ROW(PLE.firstrow))),0,
           IF(OFFSET(PLE!$G$15,$M48-$A$15,DO$13)="",10^12,OFFSET(PLE!$G$15,$M48-$A$15,DO$13)))</f>
        <v>1000000000000</v>
      </c>
      <c r="DP48" s="172" cm="1">
        <f t="array" aca="1" ref="DP48" ca="1">IF(OR($D48&lt;&gt;"Serviço",AND(AUTOEVENTO="Manual",$M48=$A$15),$M48&gt;(ROW(PLE.lastrow)-ROW(PLE.firstrow))),0,
           IF(OFFSET(PLE!$G$15,$M48-$A$15,DP$13)="",10^12,OFFSET(PLE!$G$15,$M48-$A$15,DP$13)))</f>
        <v>1000000000000</v>
      </c>
      <c r="DQ48" s="172" cm="1">
        <f t="array" aca="1" ref="DQ48" ca="1">IF(OR($D48&lt;&gt;"Serviço",AND(AUTOEVENTO="Manual",$M48=$A$15),$M48&gt;(ROW(PLE.lastrow)-ROW(PLE.firstrow))),0,
           IF(OFFSET(PLE!$G$15,$M48-$A$15,DQ$13)="",10^12,OFFSET(PLE!$G$15,$M48-$A$15,DQ$13)))</f>
        <v>1000000000000</v>
      </c>
      <c r="DR48" s="172" cm="1">
        <f t="array" aca="1" ref="DR48" ca="1">IF(OR($D48&lt;&gt;"Serviço",AND(AUTOEVENTO="Manual",$M48=$A$15),$M48&gt;(ROW(PLE.lastrow)-ROW(PLE.firstrow))),0,
           IF(OFFSET(PLE!$G$15,$M48-$A$15,DR$13)="",10^12,OFFSET(PLE!$G$15,$M48-$A$15,DR$13)))</f>
        <v>1000000000000</v>
      </c>
      <c r="DS48" s="172" cm="1">
        <f t="array" aca="1" ref="DS48" ca="1">IF(OR($D48&lt;&gt;"Serviço",AND(AUTOEVENTO="Manual",$M48=$A$15),$M48&gt;(ROW(PLE.lastrow)-ROW(PLE.firstrow))),0,
           IF(OFFSET(PLE!$G$15,$M48-$A$15,DS$13)="",10^12,OFFSET(PLE!$G$15,$M48-$A$15,DS$13)))</f>
        <v>1000000000000</v>
      </c>
    </row>
    <row r="49" spans="1:123" ht="12.75" x14ac:dyDescent="0.2">
      <c r="A49" s="7">
        <f t="shared" ca="1" si="11"/>
        <v>0</v>
      </c>
      <c r="B49" s="7">
        <f ca="1">OFFSET(ORÇAMENTO!C$15,$L49,0)</f>
        <v>1</v>
      </c>
      <c r="C49" s="7" t="str">
        <f ca="1">OFFSET(ORÇAMENTO!L$15,$L49,0)</f>
        <v>F</v>
      </c>
      <c r="D49" s="116" t="str">
        <f ca="1">OFFSET(ORÇAMENTO!N$15,$L49,0)</f>
        <v>Meta</v>
      </c>
      <c r="E49" s="117" t="str">
        <f ca="1">OFFSET(ORÇAMENTO!O$15,$L49,0)</f>
        <v>4.</v>
      </c>
      <c r="F49" s="163" t="str">
        <f ca="1">OFFSET(ORÇAMENTO!R$15,$L49,0)</f>
        <v>SUPRAESTRUTURA</v>
      </c>
      <c r="G49" s="164" t="str">
        <f ca="1">IF($D49&lt;&gt;"Serviço","",OFFSET(ORÇAMENTO!S$15,$L49,0))</f>
        <v/>
      </c>
      <c r="H49" s="122" cm="1">
        <f t="array" aca="1" ref="H49" ca="1">IF($D49&lt;&gt;"Serviço",0,IF(ACOMPANHAMENTO="BM",ROUND(OFFSET(ORÇAMENTO!AJ$15,$L49,0),15-13*ORÇAMENTO!$AF$7),IF(IFERROR(CÁLCULO.FrentesPreenchidas,0)=0,0,SUM(ROUND(OFFSET($P49,0,1,1,CÁLCULO.FrentesPreenchidas),15-13*ORÇAMENTO!$AF$7)))))</f>
        <v>0</v>
      </c>
      <c r="I49" s="468"/>
      <c r="J49" s="651" t="str" cm="1">
        <f t="array" aca="1" ref="J49" ca="1">IF(OR(B49&lt;&gt;"S",CÁLCULO.FrentesPreenchidas=0),"",IF(AND(ACOMPANHAMENTO="PLE",AUTOEVENTO="Manual",OR(H49&gt;0,ORÇAMENTO!AC49="QUANT."),OR(K49="",M49=0,N49="")),"►E",IF(AND(ACOMPANHAMENTO="PLE",ORÇAMENTO!AC49="QUANT."),"►Q",IF(AND(ACOMPANHAMENTO="PLE",H49&lt;&gt;SUMPRODUCT(($Q$1:$AQ$1=1)*ROUND(Q49:AQ49,15))),"►S",IF(AND(COUNTIF($P$11:$AQ$11,"▼")=0,H49&gt;0,I49=""),"◄M","")))))</f>
        <v/>
      </c>
      <c r="K49" s="652"/>
      <c r="L49" s="165">
        <f t="shared" ca="1" si="12"/>
        <v>34</v>
      </c>
      <c r="M49" s="166" t="str">
        <f ca="1">IF($D49&lt;&gt;"Serviço","",
          IF(AUTOEVENTO="manual",$A49,
                IF(ISERROR(MATCH($A49,$A$15:OFFSET($A49,-1,0),0)),MAX($M$15:OFFSET(M49,-1,0))+1,
                      INDEX($M$15:OFFSET(M49,-1,0),MATCH($A49,$A$15:OFFSET($A49,-1,0),0)))))</f>
        <v/>
      </c>
      <c r="N49" s="167" t="str">
        <f ca="1">IF($D49&lt;&gt;"Serviço","",
         IF(AUTOEVENTO="Manual",
                IF($A49=0,"&lt;-- defina o número do agrupador",
                       OFFSET(EVENTOS!$D$15,$A49-$A$15,0)),
                OFFSET($F$15,$A49,0)))</f>
        <v/>
      </c>
      <c r="O49" s="168"/>
      <c r="Q49" s="168"/>
      <c r="R49" s="169"/>
      <c r="S49" s="169"/>
      <c r="T49" s="169"/>
      <c r="U49" s="169"/>
      <c r="V49" s="169"/>
      <c r="W49" s="169"/>
      <c r="X49" s="169"/>
      <c r="Y49" s="169"/>
      <c r="Z49" s="170"/>
      <c r="AA49" s="169"/>
      <c r="AB49" s="169"/>
      <c r="AC49" s="169"/>
      <c r="AD49" s="169"/>
      <c r="AE49" s="169"/>
      <c r="AF49" s="169"/>
      <c r="AG49" s="169"/>
      <c r="AH49" s="170"/>
      <c r="AI49" s="169"/>
      <c r="AJ49" s="169"/>
      <c r="AK49" s="169"/>
      <c r="AL49" s="169"/>
      <c r="AM49" s="169"/>
      <c r="AN49" s="169"/>
      <c r="AO49" s="169"/>
      <c r="AP49" s="170"/>
      <c r="AR49" s="453">
        <f ca="1">IF(AND($D49="Serviço",AR$12&lt;&gt;0,$H49&gt;0,OR(AUTOEVENTO&lt;&gt;"manual",$M49&lt;&gt;$A$15)),
        IF(Import.TipoArredondamento&lt;&gt;"TransfereGOV",
              ROUND(OFFSET($P49,0,AR$13),15-13*ORÇAMENTO!$AF$7)/$H49*OFFSET(ORÇAMENTO!$X$15,ROW(AR49)-ROW(AR$15),0),
              ROUND(ROUND(OFFSET($P49,0,AR$13),15-13*ORÇAMENTO!$AF$7)*OFFSET(ORÇAMENTO!$W$15,ROW(AR49)-ROW(AR$15),0),15-13*ORÇAMENTO!$AF$11)),
         0)</f>
        <v>0</v>
      </c>
      <c r="AS49" s="453">
        <f ca="1">IF(AND($D49="Serviço",AS$12&lt;&gt;0,$H49&gt;0,OR(AUTOEVENTO&lt;&gt;"manual",$M49&lt;&gt;$A$15)),
        IF(Import.TipoArredondamento&lt;&gt;"TransfereGOV",
              ROUND(OFFSET($P49,0,AS$13),15-13*ORÇAMENTO!$AF$7)/$H49*OFFSET(ORÇAMENTO!$X$15,ROW(AS49)-ROW(AS$15),0),
              ROUND(ROUND(OFFSET($P49,0,AS$13),15-13*ORÇAMENTO!$AF$7)*OFFSET(ORÇAMENTO!$W$15,ROW(AS49)-ROW(AS$15),0),15-13*ORÇAMENTO!$AF$11)),
         0)</f>
        <v>0</v>
      </c>
      <c r="AT49" s="453">
        <f ca="1">IF(AND($D49="Serviço",AT$12&lt;&gt;0,$H49&gt;0,OR(AUTOEVENTO&lt;&gt;"manual",$M49&lt;&gt;$A$15)),
        IF(Import.TipoArredondamento&lt;&gt;"TransfereGOV",
              ROUND(OFFSET($P49,0,AT$13),15-13*ORÇAMENTO!$AF$7)/$H49*OFFSET(ORÇAMENTO!$X$15,ROW(AT49)-ROW(AT$15),0),
              ROUND(ROUND(OFFSET($P49,0,AT$13),15-13*ORÇAMENTO!$AF$7)*OFFSET(ORÇAMENTO!$W$15,ROW(AT49)-ROW(AT$15),0),15-13*ORÇAMENTO!$AF$11)),
         0)</f>
        <v>0</v>
      </c>
      <c r="AU49" s="453">
        <f ca="1">IF(AND($D49="Serviço",AU$12&lt;&gt;0,$H49&gt;0,OR(AUTOEVENTO&lt;&gt;"manual",$M49&lt;&gt;$A$15)),
        IF(Import.TipoArredondamento&lt;&gt;"TransfereGOV",
              ROUND(OFFSET($P49,0,AU$13),15-13*ORÇAMENTO!$AF$7)/$H49*OFFSET(ORÇAMENTO!$X$15,ROW(AU49)-ROW(AU$15),0),
              ROUND(ROUND(OFFSET($P49,0,AU$13),15-13*ORÇAMENTO!$AF$7)*OFFSET(ORÇAMENTO!$W$15,ROW(AU49)-ROW(AU$15),0),15-13*ORÇAMENTO!$AF$11)),
         0)</f>
        <v>0</v>
      </c>
      <c r="AV49" s="453">
        <f ca="1">IF(AND($D49="Serviço",AV$12&lt;&gt;0,$H49&gt;0,OR(AUTOEVENTO&lt;&gt;"manual",$M49&lt;&gt;$A$15)),
        IF(Import.TipoArredondamento&lt;&gt;"TransfereGOV",
              ROUND(OFFSET($P49,0,AV$13),15-13*ORÇAMENTO!$AF$7)/$H49*OFFSET(ORÇAMENTO!$X$15,ROW(AV49)-ROW(AV$15),0),
              ROUND(ROUND(OFFSET($P49,0,AV$13),15-13*ORÇAMENTO!$AF$7)*OFFSET(ORÇAMENTO!$W$15,ROW(AV49)-ROW(AV$15),0),15-13*ORÇAMENTO!$AF$11)),
         0)</f>
        <v>0</v>
      </c>
      <c r="AW49" s="453">
        <f ca="1">IF(AND($D49="Serviço",AW$12&lt;&gt;0,$H49&gt;0,OR(AUTOEVENTO&lt;&gt;"manual",$M49&lt;&gt;$A$15)),
        IF(Import.TipoArredondamento&lt;&gt;"TransfereGOV",
              ROUND(OFFSET($P49,0,AW$13),15-13*ORÇAMENTO!$AF$7)/$H49*OFFSET(ORÇAMENTO!$X$15,ROW(AW49)-ROW(AW$15),0),
              ROUND(ROUND(OFFSET($P49,0,AW$13),15-13*ORÇAMENTO!$AF$7)*OFFSET(ORÇAMENTO!$W$15,ROW(AW49)-ROW(AW$15),0),15-13*ORÇAMENTO!$AF$11)),
         0)</f>
        <v>0</v>
      </c>
      <c r="AX49" s="453">
        <f ca="1">IF(AND($D49="Serviço",AX$12&lt;&gt;0,$H49&gt;0,OR(AUTOEVENTO&lt;&gt;"manual",$M49&lt;&gt;$A$15)),
        IF(Import.TipoArredondamento&lt;&gt;"TransfereGOV",
              ROUND(OFFSET($P49,0,AX$13),15-13*ORÇAMENTO!$AF$7)/$H49*OFFSET(ORÇAMENTO!$X$15,ROW(AX49)-ROW(AX$15),0),
              ROUND(ROUND(OFFSET($P49,0,AX$13),15-13*ORÇAMENTO!$AF$7)*OFFSET(ORÇAMENTO!$W$15,ROW(AX49)-ROW(AX$15),0),15-13*ORÇAMENTO!$AF$11)),
         0)</f>
        <v>0</v>
      </c>
      <c r="AY49" s="453">
        <f ca="1">IF(AND($D49="Serviço",AY$12&lt;&gt;0,$H49&gt;0,OR(AUTOEVENTO&lt;&gt;"manual",$M49&lt;&gt;$A$15)),
        IF(Import.TipoArredondamento&lt;&gt;"TransfereGOV",
              ROUND(OFFSET($P49,0,AY$13),15-13*ORÇAMENTO!$AF$7)/$H49*OFFSET(ORÇAMENTO!$X$15,ROW(AY49)-ROW(AY$15),0),
              ROUND(ROUND(OFFSET($P49,0,AY$13),15-13*ORÇAMENTO!$AF$7)*OFFSET(ORÇAMENTO!$W$15,ROW(AY49)-ROW(AY$15),0),15-13*ORÇAMENTO!$AF$11)),
         0)</f>
        <v>0</v>
      </c>
      <c r="AZ49" s="453">
        <f ca="1">IF(AND($D49="Serviço",AZ$12&lt;&gt;0,$H49&gt;0,OR(AUTOEVENTO&lt;&gt;"manual",$M49&lt;&gt;$A$15)),
        IF(Import.TipoArredondamento&lt;&gt;"TransfereGOV",
              ROUND(OFFSET($P49,0,AZ$13),15-13*ORÇAMENTO!$AF$7)/$H49*OFFSET(ORÇAMENTO!$X$15,ROW(AZ49)-ROW(AZ$15),0),
              ROUND(ROUND(OFFSET($P49,0,AZ$13),15-13*ORÇAMENTO!$AF$7)*OFFSET(ORÇAMENTO!$W$15,ROW(AZ49)-ROW(AZ$15),0),15-13*ORÇAMENTO!$AF$11)),
         0)</f>
        <v>0</v>
      </c>
      <c r="BA49" s="453">
        <f ca="1">IF(AND($D49="Serviço",BA$12&lt;&gt;0,$H49&gt;0,OR(AUTOEVENTO&lt;&gt;"manual",$M49&lt;&gt;$A$15)),
        IF(Import.TipoArredondamento&lt;&gt;"TransfereGOV",
              ROUND(OFFSET($P49,0,BA$13),15-13*ORÇAMENTO!$AF$7)/$H49*OFFSET(ORÇAMENTO!$X$15,ROW(BA49)-ROW(BA$15),0),
              ROUND(ROUND(OFFSET($P49,0,BA$13),15-13*ORÇAMENTO!$AF$7)*OFFSET(ORÇAMENTO!$W$15,ROW(BA49)-ROW(BA$15),0),15-13*ORÇAMENTO!$AF$11)),
         0)</f>
        <v>0</v>
      </c>
      <c r="BB49" s="453">
        <f ca="1">IF(AND($D49="Serviço",BB$12&lt;&gt;0,$H49&gt;0,OR(AUTOEVENTO&lt;&gt;"manual",$M49&lt;&gt;$A$15)),
        IF(Import.TipoArredondamento&lt;&gt;"TransfereGOV",
              ROUND(OFFSET($P49,0,BB$13),15-13*ORÇAMENTO!$AF$7)/$H49*OFFSET(ORÇAMENTO!$X$15,ROW(BB49)-ROW(BB$15),0),
              ROUND(ROUND(OFFSET($P49,0,BB$13),15-13*ORÇAMENTO!$AF$7)*OFFSET(ORÇAMENTO!$W$15,ROW(BB49)-ROW(BB$15),0),15-13*ORÇAMENTO!$AF$11)),
         0)</f>
        <v>0</v>
      </c>
      <c r="BC49" s="453">
        <f ca="1">IF(AND($D49="Serviço",BC$12&lt;&gt;0,$H49&gt;0,OR(AUTOEVENTO&lt;&gt;"manual",$M49&lt;&gt;$A$15)),
        IF(Import.TipoArredondamento&lt;&gt;"TransfereGOV",
              ROUND(OFFSET($P49,0,BC$13),15-13*ORÇAMENTO!$AF$7)/$H49*OFFSET(ORÇAMENTO!$X$15,ROW(BC49)-ROW(BC$15),0),
              ROUND(ROUND(OFFSET($P49,0,BC$13),15-13*ORÇAMENTO!$AF$7)*OFFSET(ORÇAMENTO!$W$15,ROW(BC49)-ROW(BC$15),0),15-13*ORÇAMENTO!$AF$11)),
         0)</f>
        <v>0</v>
      </c>
      <c r="BD49" s="453">
        <f ca="1">IF(AND($D49="Serviço",BD$12&lt;&gt;0,$H49&gt;0,OR(AUTOEVENTO&lt;&gt;"manual",$M49&lt;&gt;$A$15)),
        IF(Import.TipoArredondamento&lt;&gt;"TransfereGOV",
              ROUND(OFFSET($P49,0,BD$13),15-13*ORÇAMENTO!$AF$7)/$H49*OFFSET(ORÇAMENTO!$X$15,ROW(BD49)-ROW(BD$15),0),
              ROUND(ROUND(OFFSET($P49,0,BD$13),15-13*ORÇAMENTO!$AF$7)*OFFSET(ORÇAMENTO!$W$15,ROW(BD49)-ROW(BD$15),0),15-13*ORÇAMENTO!$AF$11)),
         0)</f>
        <v>0</v>
      </c>
      <c r="BE49" s="453">
        <f ca="1">IF(AND($D49="Serviço",BE$12&lt;&gt;0,$H49&gt;0,OR(AUTOEVENTO&lt;&gt;"manual",$M49&lt;&gt;$A$15)),
        IF(Import.TipoArredondamento&lt;&gt;"TransfereGOV",
              ROUND(OFFSET($P49,0,BE$13),15-13*ORÇAMENTO!$AF$7)/$H49*OFFSET(ORÇAMENTO!$X$15,ROW(BE49)-ROW(BE$15),0),
              ROUND(ROUND(OFFSET($P49,0,BE$13),15-13*ORÇAMENTO!$AF$7)*OFFSET(ORÇAMENTO!$W$15,ROW(BE49)-ROW(BE$15),0),15-13*ORÇAMENTO!$AF$11)),
         0)</f>
        <v>0</v>
      </c>
      <c r="BF49" s="453">
        <f ca="1">IF(AND($D49="Serviço",BF$12&lt;&gt;0,$H49&gt;0,OR(AUTOEVENTO&lt;&gt;"manual",$M49&lt;&gt;$A$15)),
        IF(Import.TipoArredondamento&lt;&gt;"TransfereGOV",
              ROUND(OFFSET($P49,0,BF$13),15-13*ORÇAMENTO!$AF$7)/$H49*OFFSET(ORÇAMENTO!$X$15,ROW(BF49)-ROW(BF$15),0),
              ROUND(ROUND(OFFSET($P49,0,BF$13),15-13*ORÇAMENTO!$AF$7)*OFFSET(ORÇAMENTO!$W$15,ROW(BF49)-ROW(BF$15),0),15-13*ORÇAMENTO!$AF$11)),
         0)</f>
        <v>0</v>
      </c>
      <c r="BG49" s="453">
        <f ca="1">IF(AND($D49="Serviço",BG$12&lt;&gt;0,$H49&gt;0,OR(AUTOEVENTO&lt;&gt;"manual",$M49&lt;&gt;$A$15)),
        IF(Import.TipoArredondamento&lt;&gt;"TransfereGOV",
              ROUND(OFFSET($P49,0,BG$13),15-13*ORÇAMENTO!$AF$7)/$H49*OFFSET(ORÇAMENTO!$X$15,ROW(BG49)-ROW(BG$15),0),
              ROUND(ROUND(OFFSET($P49,0,BG$13),15-13*ORÇAMENTO!$AF$7)*OFFSET(ORÇAMENTO!$W$15,ROW(BG49)-ROW(BG$15),0),15-13*ORÇAMENTO!$AF$11)),
         0)</f>
        <v>0</v>
      </c>
      <c r="BH49" s="453">
        <f ca="1">IF(AND($D49="Serviço",BH$12&lt;&gt;0,$H49&gt;0,OR(AUTOEVENTO&lt;&gt;"manual",$M49&lt;&gt;$A$15)),
        IF(Import.TipoArredondamento&lt;&gt;"TransfereGOV",
              ROUND(OFFSET($P49,0,BH$13),15-13*ORÇAMENTO!$AF$7)/$H49*OFFSET(ORÇAMENTO!$X$15,ROW(BH49)-ROW(BH$15),0),
              ROUND(ROUND(OFFSET($P49,0,BH$13),15-13*ORÇAMENTO!$AF$7)*OFFSET(ORÇAMENTO!$W$15,ROW(BH49)-ROW(BH$15),0),15-13*ORÇAMENTO!$AF$11)),
         0)</f>
        <v>0</v>
      </c>
      <c r="BI49" s="453">
        <f ca="1">IF(AND($D49="Serviço",BI$12&lt;&gt;0,$H49&gt;0,OR(AUTOEVENTO&lt;&gt;"manual",$M49&lt;&gt;$A$15)),
        IF(Import.TipoArredondamento&lt;&gt;"TransfereGOV",
              ROUND(OFFSET($P49,0,BI$13),15-13*ORÇAMENTO!$AF$7)/$H49*OFFSET(ORÇAMENTO!$X$15,ROW(BI49)-ROW(BI$15),0),
              ROUND(ROUND(OFFSET($P49,0,BI$13),15-13*ORÇAMENTO!$AF$7)*OFFSET(ORÇAMENTO!$W$15,ROW(BI49)-ROW(BI$15),0),15-13*ORÇAMENTO!$AF$11)),
         0)</f>
        <v>0</v>
      </c>
      <c r="BJ49" s="453">
        <f ca="1">IF(AND($D49="Serviço",BJ$12&lt;&gt;0,$H49&gt;0,OR(AUTOEVENTO&lt;&gt;"manual",$M49&lt;&gt;$A$15)),
        IF(Import.TipoArredondamento&lt;&gt;"TransfereGOV",
              ROUND(OFFSET($P49,0,BJ$13),15-13*ORÇAMENTO!$AF$7)/$H49*OFFSET(ORÇAMENTO!$X$15,ROW(BJ49)-ROW(BJ$15),0),
              ROUND(ROUND(OFFSET($P49,0,BJ$13),15-13*ORÇAMENTO!$AF$7)*OFFSET(ORÇAMENTO!$W$15,ROW(BJ49)-ROW(BJ$15),0),15-13*ORÇAMENTO!$AF$11)),
         0)</f>
        <v>0</v>
      </c>
      <c r="BK49" s="453">
        <f ca="1">IF(AND($D49="Serviço",BK$12&lt;&gt;0,$H49&gt;0,OR(AUTOEVENTO&lt;&gt;"manual",$M49&lt;&gt;$A$15)),
        IF(Import.TipoArredondamento&lt;&gt;"TransfereGOV",
              ROUND(OFFSET($P49,0,BK$13),15-13*ORÇAMENTO!$AF$7)/$H49*OFFSET(ORÇAMENTO!$X$15,ROW(BK49)-ROW(BK$15),0),
              ROUND(ROUND(OFFSET($P49,0,BK$13),15-13*ORÇAMENTO!$AF$7)*OFFSET(ORÇAMENTO!$W$15,ROW(BK49)-ROW(BK$15),0),15-13*ORÇAMENTO!$AF$11)),
         0)</f>
        <v>0</v>
      </c>
      <c r="BL49" s="453">
        <f ca="1">IF(AND($D49="Serviço",BL$12&lt;&gt;0,$H49&gt;0,OR(AUTOEVENTO&lt;&gt;"manual",$M49&lt;&gt;$A$15)),
        IF(Import.TipoArredondamento&lt;&gt;"TransfereGOV",
              ROUND(OFFSET($P49,0,BL$13),15-13*ORÇAMENTO!$AF$7)/$H49*OFFSET(ORÇAMENTO!$X$15,ROW(BL49)-ROW(BL$15),0),
              ROUND(ROUND(OFFSET($P49,0,BL$13),15-13*ORÇAMENTO!$AF$7)*OFFSET(ORÇAMENTO!$W$15,ROW(BL49)-ROW(BL$15),0),15-13*ORÇAMENTO!$AF$11)),
         0)</f>
        <v>0</v>
      </c>
      <c r="BM49" s="453">
        <f ca="1">IF(AND($D49="Serviço",BM$12&lt;&gt;0,$H49&gt;0,OR(AUTOEVENTO&lt;&gt;"manual",$M49&lt;&gt;$A$15)),
        IF(Import.TipoArredondamento&lt;&gt;"TransfereGOV",
              ROUND(OFFSET($P49,0,BM$13),15-13*ORÇAMENTO!$AF$7)/$H49*OFFSET(ORÇAMENTO!$X$15,ROW(BM49)-ROW(BM$15),0),
              ROUND(ROUND(OFFSET($P49,0,BM$13),15-13*ORÇAMENTO!$AF$7)*OFFSET(ORÇAMENTO!$W$15,ROW(BM49)-ROW(BM$15),0),15-13*ORÇAMENTO!$AF$11)),
         0)</f>
        <v>0</v>
      </c>
      <c r="BN49" s="453">
        <f ca="1">IF(AND($D49="Serviço",BN$12&lt;&gt;0,$H49&gt;0,OR(AUTOEVENTO&lt;&gt;"manual",$M49&lt;&gt;$A$15)),
        IF(Import.TipoArredondamento&lt;&gt;"TransfereGOV",
              ROUND(OFFSET($P49,0,BN$13),15-13*ORÇAMENTO!$AF$7)/$H49*OFFSET(ORÇAMENTO!$X$15,ROW(BN49)-ROW(BN$15),0),
              ROUND(ROUND(OFFSET($P49,0,BN$13),15-13*ORÇAMENTO!$AF$7)*OFFSET(ORÇAMENTO!$W$15,ROW(BN49)-ROW(BN$15),0),15-13*ORÇAMENTO!$AF$11)),
         0)</f>
        <v>0</v>
      </c>
      <c r="BO49" s="453">
        <f ca="1">IF(AND($D49="Serviço",BO$12&lt;&gt;0,$H49&gt;0,OR(AUTOEVENTO&lt;&gt;"manual",$M49&lt;&gt;$A$15)),
        IF(Import.TipoArredondamento&lt;&gt;"TransfereGOV",
              ROUND(OFFSET($P49,0,BO$13),15-13*ORÇAMENTO!$AF$7)/$H49*OFFSET(ORÇAMENTO!$X$15,ROW(BO49)-ROW(BO$15),0),
              ROUND(ROUND(OFFSET($P49,0,BO$13),15-13*ORÇAMENTO!$AF$7)*OFFSET(ORÇAMENTO!$W$15,ROW(BO49)-ROW(BO$15),0),15-13*ORÇAMENTO!$AF$11)),
         0)</f>
        <v>0</v>
      </c>
      <c r="BP49" s="453">
        <f ca="1">IF(AND($D49="Serviço",BP$12&lt;&gt;0,$H49&gt;0,OR(AUTOEVENTO&lt;&gt;"manual",$M49&lt;&gt;$A$15)),
        IF(Import.TipoArredondamento&lt;&gt;"TransfereGOV",
              ROUND(OFFSET($P49,0,BP$13),15-13*ORÇAMENTO!$AF$7)/$H49*OFFSET(ORÇAMENTO!$X$15,ROW(BP49)-ROW(BP$15),0),
              ROUND(ROUND(OFFSET($P49,0,BP$13),15-13*ORÇAMENTO!$AF$7)*OFFSET(ORÇAMENTO!$W$15,ROW(BP49)-ROW(BP$15),0),15-13*ORÇAMENTO!$AF$11)),
         0)</f>
        <v>0</v>
      </c>
      <c r="BQ49" s="453">
        <f ca="1">IF(AND($D49="Serviço",BQ$12&lt;&gt;0,$H49&gt;0,OR(AUTOEVENTO&lt;&gt;"manual",$M49&lt;&gt;$A$15)),
        IF(Import.TipoArredondamento&lt;&gt;"TransfereGOV",
              ROUND(OFFSET($P49,0,BQ$13),15-13*ORÇAMENTO!$AF$7)/$H49*OFFSET(ORÇAMENTO!$X$15,ROW(BQ49)-ROW(BQ$15),0),
              ROUND(ROUND(OFFSET($P49,0,BQ$13),15-13*ORÇAMENTO!$AF$7)*OFFSET(ORÇAMENTO!$W$15,ROW(BQ49)-ROW(BQ$15),0),15-13*ORÇAMENTO!$AF$11)),
         0)</f>
        <v>0</v>
      </c>
      <c r="BS49" s="171">
        <f ca="1">IF(OR($D49&lt;&gt;"Serviço",AND(AUTOEVENTO="Manual",$M49=$A$15)),0,
         IF(OFFSET(CRONOPLE!$F$15,$M49-$A$15,BS$13)=0,10^12,OFFSET(CRONOPLE!$F$15,$M49-$A$15,BS$13)))</f>
        <v>0</v>
      </c>
      <c r="BT49" s="171">
        <f ca="1">IF(OR($D49&lt;&gt;"Serviço",AND(AUTOEVENTO="Manual",$M49=$A$15)),0,
         IF(OFFSET(CRONOPLE!$F$15,$M49-$A$15,BT$13)=0,10^12,OFFSET(CRONOPLE!$F$15,$M49-$A$15,BT$13)))</f>
        <v>0</v>
      </c>
      <c r="BU49" s="171">
        <f ca="1">IF(OR($D49&lt;&gt;"Serviço",AND(AUTOEVENTO="Manual",$M49=$A$15)),0,
         IF(OFFSET(CRONOPLE!$F$15,$M49-$A$15,BU$13)=0,10^12,OFFSET(CRONOPLE!$F$15,$M49-$A$15,BU$13)))</f>
        <v>0</v>
      </c>
      <c r="BV49" s="171">
        <f ca="1">IF(OR($D49&lt;&gt;"Serviço",AND(AUTOEVENTO="Manual",$M49=$A$15)),0,
         IF(OFFSET(CRONOPLE!$F$15,$M49-$A$15,BV$13)=0,10^12,OFFSET(CRONOPLE!$F$15,$M49-$A$15,BV$13)))</f>
        <v>0</v>
      </c>
      <c r="BW49" s="171">
        <f ca="1">IF(OR($D49&lt;&gt;"Serviço",AND(AUTOEVENTO="Manual",$M49=$A$15)),0,
         IF(OFFSET(CRONOPLE!$F$15,$M49-$A$15,BW$13)=0,10^12,OFFSET(CRONOPLE!$F$15,$M49-$A$15,BW$13)))</f>
        <v>0</v>
      </c>
      <c r="BX49" s="171">
        <f ca="1">IF(OR($D49&lt;&gt;"Serviço",AND(AUTOEVENTO="Manual",$M49=$A$15)),0,
         IF(OFFSET(CRONOPLE!$F$15,$M49-$A$15,BX$13)=0,10^12,OFFSET(CRONOPLE!$F$15,$M49-$A$15,BX$13)))</f>
        <v>0</v>
      </c>
      <c r="BY49" s="171">
        <f ca="1">IF(OR($D49&lt;&gt;"Serviço",AND(AUTOEVENTO="Manual",$M49=$A$15)),0,
         IF(OFFSET(CRONOPLE!$F$15,$M49-$A$15,BY$13)=0,10^12,OFFSET(CRONOPLE!$F$15,$M49-$A$15,BY$13)))</f>
        <v>0</v>
      </c>
      <c r="BZ49" s="171">
        <f ca="1">IF(OR($D49&lt;&gt;"Serviço",AND(AUTOEVENTO="Manual",$M49=$A$15)),0,
         IF(OFFSET(CRONOPLE!$F$15,$M49-$A$15,BZ$13)=0,10^12,OFFSET(CRONOPLE!$F$15,$M49-$A$15,BZ$13)))</f>
        <v>0</v>
      </c>
      <c r="CA49" s="171">
        <f ca="1">IF(OR($D49&lt;&gt;"Serviço",AND(AUTOEVENTO="Manual",$M49=$A$15)),0,
         IF(OFFSET(CRONOPLE!$F$15,$M49-$A$15,CA$13)=0,10^12,OFFSET(CRONOPLE!$F$15,$M49-$A$15,CA$13)))</f>
        <v>0</v>
      </c>
      <c r="CB49" s="171">
        <f ca="1">IF(OR($D49&lt;&gt;"Serviço",AND(AUTOEVENTO="Manual",$M49=$A$15)),0,
         IF(OFFSET(CRONOPLE!$F$15,$M49-$A$15,CB$13)=0,10^12,OFFSET(CRONOPLE!$F$15,$M49-$A$15,CB$13)))</f>
        <v>0</v>
      </c>
      <c r="CC49" s="171">
        <f ca="1">IF(OR($D49&lt;&gt;"Serviço",AND(AUTOEVENTO="Manual",$M49=$A$15)),0,
         IF(OFFSET(CRONOPLE!$F$15,$M49-$A$15,CC$13)=0,10^12,OFFSET(CRONOPLE!$F$15,$M49-$A$15,CC$13)))</f>
        <v>0</v>
      </c>
      <c r="CD49" s="171">
        <f ca="1">IF(OR($D49&lt;&gt;"Serviço",AND(AUTOEVENTO="Manual",$M49=$A$15)),0,
         IF(OFFSET(CRONOPLE!$F$15,$M49-$A$15,CD$13)=0,10^12,OFFSET(CRONOPLE!$F$15,$M49-$A$15,CD$13)))</f>
        <v>0</v>
      </c>
      <c r="CE49" s="171">
        <f ca="1">IF(OR($D49&lt;&gt;"Serviço",AND(AUTOEVENTO="Manual",$M49=$A$15)),0,
         IF(OFFSET(CRONOPLE!$F$15,$M49-$A$15,CE$13)=0,10^12,OFFSET(CRONOPLE!$F$15,$M49-$A$15,CE$13)))</f>
        <v>0</v>
      </c>
      <c r="CF49" s="171">
        <f ca="1">IF(OR($D49&lt;&gt;"Serviço",AND(AUTOEVENTO="Manual",$M49=$A$15)),0,
         IF(OFFSET(CRONOPLE!$F$15,$M49-$A$15,CF$13)=0,10^12,OFFSET(CRONOPLE!$F$15,$M49-$A$15,CF$13)))</f>
        <v>0</v>
      </c>
      <c r="CG49" s="171">
        <f ca="1">IF(OR($D49&lt;&gt;"Serviço",AND(AUTOEVENTO="Manual",$M49=$A$15)),0,
         IF(OFFSET(CRONOPLE!$F$15,$M49-$A$15,CG$13)=0,10^12,OFFSET(CRONOPLE!$F$15,$M49-$A$15,CG$13)))</f>
        <v>0</v>
      </c>
      <c r="CH49" s="171">
        <f ca="1">IF(OR($D49&lt;&gt;"Serviço",AND(AUTOEVENTO="Manual",$M49=$A$15)),0,
         IF(OFFSET(CRONOPLE!$F$15,$M49-$A$15,CH$13)=0,10^12,OFFSET(CRONOPLE!$F$15,$M49-$A$15,CH$13)))</f>
        <v>0</v>
      </c>
      <c r="CI49" s="171">
        <f ca="1">IF(OR($D49&lt;&gt;"Serviço",AND(AUTOEVENTO="Manual",$M49=$A$15)),0,
         IF(OFFSET(CRONOPLE!$F$15,$M49-$A$15,CI$13)=0,10^12,OFFSET(CRONOPLE!$F$15,$M49-$A$15,CI$13)))</f>
        <v>0</v>
      </c>
      <c r="CJ49" s="171">
        <f ca="1">IF(OR($D49&lt;&gt;"Serviço",AND(AUTOEVENTO="Manual",$M49=$A$15)),0,
         IF(OFFSET(CRONOPLE!$F$15,$M49-$A$15,CJ$13)=0,10^12,OFFSET(CRONOPLE!$F$15,$M49-$A$15,CJ$13)))</f>
        <v>0</v>
      </c>
      <c r="CK49" s="171">
        <f ca="1">IF(OR($D49&lt;&gt;"Serviço",AND(AUTOEVENTO="Manual",$M49=$A$15)),0,
         IF(OFFSET(CRONOPLE!$F$15,$M49-$A$15,CK$13)=0,10^12,OFFSET(CRONOPLE!$F$15,$M49-$A$15,CK$13)))</f>
        <v>0</v>
      </c>
      <c r="CL49" s="171">
        <f ca="1">IF(OR($D49&lt;&gt;"Serviço",AND(AUTOEVENTO="Manual",$M49=$A$15)),0,
         IF(OFFSET(CRONOPLE!$F$15,$M49-$A$15,CL$13)=0,10^12,OFFSET(CRONOPLE!$F$15,$M49-$A$15,CL$13)))</f>
        <v>0</v>
      </c>
      <c r="CM49" s="171">
        <f ca="1">IF(OR($D49&lt;&gt;"Serviço",AND(AUTOEVENTO="Manual",$M49=$A$15)),0,
         IF(OFFSET(CRONOPLE!$F$15,$M49-$A$15,CM$13)=0,10^12,OFFSET(CRONOPLE!$F$15,$M49-$A$15,CM$13)))</f>
        <v>0</v>
      </c>
      <c r="CN49" s="171">
        <f ca="1">IF(OR($D49&lt;&gt;"Serviço",AND(AUTOEVENTO="Manual",$M49=$A$15)),0,
         IF(OFFSET(CRONOPLE!$F$15,$M49-$A$15,CN$13)=0,10^12,OFFSET(CRONOPLE!$F$15,$M49-$A$15,CN$13)))</f>
        <v>0</v>
      </c>
      <c r="CO49" s="171">
        <f ca="1">IF(OR($D49&lt;&gt;"Serviço",AND(AUTOEVENTO="Manual",$M49=$A$15)),0,
         IF(OFFSET(CRONOPLE!$F$15,$M49-$A$15,CO$13)=0,10^12,OFFSET(CRONOPLE!$F$15,$M49-$A$15,CO$13)))</f>
        <v>0</v>
      </c>
      <c r="CP49" s="171">
        <f ca="1">IF(OR($D49&lt;&gt;"Serviço",AND(AUTOEVENTO="Manual",$M49=$A$15)),0,
         IF(OFFSET(CRONOPLE!$F$15,$M49-$A$15,CP$13)=0,10^12,OFFSET(CRONOPLE!$F$15,$M49-$A$15,CP$13)))</f>
        <v>0</v>
      </c>
      <c r="CQ49" s="171">
        <f ca="1">IF(OR($D49&lt;&gt;"Serviço",AND(AUTOEVENTO="Manual",$M49=$A$15)),0,
         IF(OFFSET(CRONOPLE!$F$15,$M49-$A$15,CQ$13)=0,10^12,OFFSET(CRONOPLE!$F$15,$M49-$A$15,CQ$13)))</f>
        <v>0</v>
      </c>
      <c r="CR49" s="171">
        <f ca="1">IF(OR($D49&lt;&gt;"Serviço",AND(AUTOEVENTO="Manual",$M49=$A$15)),0,
         IF(OFFSET(CRONOPLE!$F$15,$M49-$A$15,CR$13)=0,10^12,OFFSET(CRONOPLE!$F$15,$M49-$A$15,CR$13)))</f>
        <v>0</v>
      </c>
      <c r="CT49" s="172" cm="1">
        <f t="array" aca="1" ref="CT49" ca="1">IF(OR($D49&lt;&gt;"Serviço",AND(AUTOEVENTO="Manual",$M49=$A$15),$M49&gt;(ROW(PLE.lastrow)-ROW(PLE.firstrow))),0,
           IF(OFFSET(PLE!$G$15,$M49-$A$15,CT$13)="",10^12,OFFSET(PLE!$G$15,$M49-$A$15,CT$13)))</f>
        <v>0</v>
      </c>
      <c r="CU49" s="172" cm="1">
        <f t="array" aca="1" ref="CU49" ca="1">IF(OR($D49&lt;&gt;"Serviço",AND(AUTOEVENTO="Manual",$M49=$A$15),$M49&gt;(ROW(PLE.lastrow)-ROW(PLE.firstrow))),0,
           IF(OFFSET(PLE!$G$15,$M49-$A$15,CU$13)="",10^12,OFFSET(PLE!$G$15,$M49-$A$15,CU$13)))</f>
        <v>0</v>
      </c>
      <c r="CV49" s="172" cm="1">
        <f t="array" aca="1" ref="CV49" ca="1">IF(OR($D49&lt;&gt;"Serviço",AND(AUTOEVENTO="Manual",$M49=$A$15),$M49&gt;(ROW(PLE.lastrow)-ROW(PLE.firstrow))),0,
           IF(OFFSET(PLE!$G$15,$M49-$A$15,CV$13)="",10^12,OFFSET(PLE!$G$15,$M49-$A$15,CV$13)))</f>
        <v>0</v>
      </c>
      <c r="CW49" s="172" cm="1">
        <f t="array" aca="1" ref="CW49" ca="1">IF(OR($D49&lt;&gt;"Serviço",AND(AUTOEVENTO="Manual",$M49=$A$15),$M49&gt;(ROW(PLE.lastrow)-ROW(PLE.firstrow))),0,
           IF(OFFSET(PLE!$G$15,$M49-$A$15,CW$13)="",10^12,OFFSET(PLE!$G$15,$M49-$A$15,CW$13)))</f>
        <v>0</v>
      </c>
      <c r="CX49" s="172" cm="1">
        <f t="array" aca="1" ref="CX49" ca="1">IF(OR($D49&lt;&gt;"Serviço",AND(AUTOEVENTO="Manual",$M49=$A$15),$M49&gt;(ROW(PLE.lastrow)-ROW(PLE.firstrow))),0,
           IF(OFFSET(PLE!$G$15,$M49-$A$15,CX$13)="",10^12,OFFSET(PLE!$G$15,$M49-$A$15,CX$13)))</f>
        <v>0</v>
      </c>
      <c r="CY49" s="172" cm="1">
        <f t="array" aca="1" ref="CY49" ca="1">IF(OR($D49&lt;&gt;"Serviço",AND(AUTOEVENTO="Manual",$M49=$A$15),$M49&gt;(ROW(PLE.lastrow)-ROW(PLE.firstrow))),0,
           IF(OFFSET(PLE!$G$15,$M49-$A$15,CY$13)="",10^12,OFFSET(PLE!$G$15,$M49-$A$15,CY$13)))</f>
        <v>0</v>
      </c>
      <c r="CZ49" s="172" cm="1">
        <f t="array" aca="1" ref="CZ49" ca="1">IF(OR($D49&lt;&gt;"Serviço",AND(AUTOEVENTO="Manual",$M49=$A$15),$M49&gt;(ROW(PLE.lastrow)-ROW(PLE.firstrow))),0,
           IF(OFFSET(PLE!$G$15,$M49-$A$15,CZ$13)="",10^12,OFFSET(PLE!$G$15,$M49-$A$15,CZ$13)))</f>
        <v>0</v>
      </c>
      <c r="DA49" s="172" cm="1">
        <f t="array" aca="1" ref="DA49" ca="1">IF(OR($D49&lt;&gt;"Serviço",AND(AUTOEVENTO="Manual",$M49=$A$15),$M49&gt;(ROW(PLE.lastrow)-ROW(PLE.firstrow))),0,
           IF(OFFSET(PLE!$G$15,$M49-$A$15,DA$13)="",10^12,OFFSET(PLE!$G$15,$M49-$A$15,DA$13)))</f>
        <v>0</v>
      </c>
      <c r="DB49" s="172" cm="1">
        <f t="array" aca="1" ref="DB49" ca="1">IF(OR($D49&lt;&gt;"Serviço",AND(AUTOEVENTO="Manual",$M49=$A$15),$M49&gt;(ROW(PLE.lastrow)-ROW(PLE.firstrow))),0,
           IF(OFFSET(PLE!$G$15,$M49-$A$15,DB$13)="",10^12,OFFSET(PLE!$G$15,$M49-$A$15,DB$13)))</f>
        <v>0</v>
      </c>
      <c r="DC49" s="172" cm="1">
        <f t="array" aca="1" ref="DC49" ca="1">IF(OR($D49&lt;&gt;"Serviço",AND(AUTOEVENTO="Manual",$M49=$A$15),$M49&gt;(ROW(PLE.lastrow)-ROW(PLE.firstrow))),0,
           IF(OFFSET(PLE!$G$15,$M49-$A$15,DC$13)="",10^12,OFFSET(PLE!$G$15,$M49-$A$15,DC$13)))</f>
        <v>0</v>
      </c>
      <c r="DD49" s="172" cm="1">
        <f t="array" aca="1" ref="DD49" ca="1">IF(OR($D49&lt;&gt;"Serviço",AND(AUTOEVENTO="Manual",$M49=$A$15),$M49&gt;(ROW(PLE.lastrow)-ROW(PLE.firstrow))),0,
           IF(OFFSET(PLE!$G$15,$M49-$A$15,DD$13)="",10^12,OFFSET(PLE!$G$15,$M49-$A$15,DD$13)))</f>
        <v>0</v>
      </c>
      <c r="DE49" s="172" cm="1">
        <f t="array" aca="1" ref="DE49" ca="1">IF(OR($D49&lt;&gt;"Serviço",AND(AUTOEVENTO="Manual",$M49=$A$15),$M49&gt;(ROW(PLE.lastrow)-ROW(PLE.firstrow))),0,
           IF(OFFSET(PLE!$G$15,$M49-$A$15,DE$13)="",10^12,OFFSET(PLE!$G$15,$M49-$A$15,DE$13)))</f>
        <v>0</v>
      </c>
      <c r="DF49" s="172" cm="1">
        <f t="array" aca="1" ref="DF49" ca="1">IF(OR($D49&lt;&gt;"Serviço",AND(AUTOEVENTO="Manual",$M49=$A$15),$M49&gt;(ROW(PLE.lastrow)-ROW(PLE.firstrow))),0,
           IF(OFFSET(PLE!$G$15,$M49-$A$15,DF$13)="",10^12,OFFSET(PLE!$G$15,$M49-$A$15,DF$13)))</f>
        <v>0</v>
      </c>
      <c r="DG49" s="172" cm="1">
        <f t="array" aca="1" ref="DG49" ca="1">IF(OR($D49&lt;&gt;"Serviço",AND(AUTOEVENTO="Manual",$M49=$A$15),$M49&gt;(ROW(PLE.lastrow)-ROW(PLE.firstrow))),0,
           IF(OFFSET(PLE!$G$15,$M49-$A$15,DG$13)="",10^12,OFFSET(PLE!$G$15,$M49-$A$15,DG$13)))</f>
        <v>0</v>
      </c>
      <c r="DH49" s="172" cm="1">
        <f t="array" aca="1" ref="DH49" ca="1">IF(OR($D49&lt;&gt;"Serviço",AND(AUTOEVENTO="Manual",$M49=$A$15),$M49&gt;(ROW(PLE.lastrow)-ROW(PLE.firstrow))),0,
           IF(OFFSET(PLE!$G$15,$M49-$A$15,DH$13)="",10^12,OFFSET(PLE!$G$15,$M49-$A$15,DH$13)))</f>
        <v>0</v>
      </c>
      <c r="DI49" s="172" cm="1">
        <f t="array" aca="1" ref="DI49" ca="1">IF(OR($D49&lt;&gt;"Serviço",AND(AUTOEVENTO="Manual",$M49=$A$15),$M49&gt;(ROW(PLE.lastrow)-ROW(PLE.firstrow))),0,
           IF(OFFSET(PLE!$G$15,$M49-$A$15,DI$13)="",10^12,OFFSET(PLE!$G$15,$M49-$A$15,DI$13)))</f>
        <v>0</v>
      </c>
      <c r="DJ49" s="172" cm="1">
        <f t="array" aca="1" ref="DJ49" ca="1">IF(OR($D49&lt;&gt;"Serviço",AND(AUTOEVENTO="Manual",$M49=$A$15),$M49&gt;(ROW(PLE.lastrow)-ROW(PLE.firstrow))),0,
           IF(OFFSET(PLE!$G$15,$M49-$A$15,DJ$13)="",10^12,OFFSET(PLE!$G$15,$M49-$A$15,DJ$13)))</f>
        <v>0</v>
      </c>
      <c r="DK49" s="172" cm="1">
        <f t="array" aca="1" ref="DK49" ca="1">IF(OR($D49&lt;&gt;"Serviço",AND(AUTOEVENTO="Manual",$M49=$A$15),$M49&gt;(ROW(PLE.lastrow)-ROW(PLE.firstrow))),0,
           IF(OFFSET(PLE!$G$15,$M49-$A$15,DK$13)="",10^12,OFFSET(PLE!$G$15,$M49-$A$15,DK$13)))</f>
        <v>0</v>
      </c>
      <c r="DL49" s="172" cm="1">
        <f t="array" aca="1" ref="DL49" ca="1">IF(OR($D49&lt;&gt;"Serviço",AND(AUTOEVENTO="Manual",$M49=$A$15),$M49&gt;(ROW(PLE.lastrow)-ROW(PLE.firstrow))),0,
           IF(OFFSET(PLE!$G$15,$M49-$A$15,DL$13)="",10^12,OFFSET(PLE!$G$15,$M49-$A$15,DL$13)))</f>
        <v>0</v>
      </c>
      <c r="DM49" s="172" cm="1">
        <f t="array" aca="1" ref="DM49" ca="1">IF(OR($D49&lt;&gt;"Serviço",AND(AUTOEVENTO="Manual",$M49=$A$15),$M49&gt;(ROW(PLE.lastrow)-ROW(PLE.firstrow))),0,
           IF(OFFSET(PLE!$G$15,$M49-$A$15,DM$13)="",10^12,OFFSET(PLE!$G$15,$M49-$A$15,DM$13)))</f>
        <v>0</v>
      </c>
      <c r="DN49" s="172" cm="1">
        <f t="array" aca="1" ref="DN49" ca="1">IF(OR($D49&lt;&gt;"Serviço",AND(AUTOEVENTO="Manual",$M49=$A$15),$M49&gt;(ROW(PLE.lastrow)-ROW(PLE.firstrow))),0,
           IF(OFFSET(PLE!$G$15,$M49-$A$15,DN$13)="",10^12,OFFSET(PLE!$G$15,$M49-$A$15,DN$13)))</f>
        <v>0</v>
      </c>
      <c r="DO49" s="172" cm="1">
        <f t="array" aca="1" ref="DO49" ca="1">IF(OR($D49&lt;&gt;"Serviço",AND(AUTOEVENTO="Manual",$M49=$A$15),$M49&gt;(ROW(PLE.lastrow)-ROW(PLE.firstrow))),0,
           IF(OFFSET(PLE!$G$15,$M49-$A$15,DO$13)="",10^12,OFFSET(PLE!$G$15,$M49-$A$15,DO$13)))</f>
        <v>0</v>
      </c>
      <c r="DP49" s="172" cm="1">
        <f t="array" aca="1" ref="DP49" ca="1">IF(OR($D49&lt;&gt;"Serviço",AND(AUTOEVENTO="Manual",$M49=$A$15),$M49&gt;(ROW(PLE.lastrow)-ROW(PLE.firstrow))),0,
           IF(OFFSET(PLE!$G$15,$M49-$A$15,DP$13)="",10^12,OFFSET(PLE!$G$15,$M49-$A$15,DP$13)))</f>
        <v>0</v>
      </c>
      <c r="DQ49" s="172" cm="1">
        <f t="array" aca="1" ref="DQ49" ca="1">IF(OR($D49&lt;&gt;"Serviço",AND(AUTOEVENTO="Manual",$M49=$A$15),$M49&gt;(ROW(PLE.lastrow)-ROW(PLE.firstrow))),0,
           IF(OFFSET(PLE!$G$15,$M49-$A$15,DQ$13)="",10^12,OFFSET(PLE!$G$15,$M49-$A$15,DQ$13)))</f>
        <v>0</v>
      </c>
      <c r="DR49" s="172" cm="1">
        <f t="array" aca="1" ref="DR49" ca="1">IF(OR($D49&lt;&gt;"Serviço",AND(AUTOEVENTO="Manual",$M49=$A$15),$M49&gt;(ROW(PLE.lastrow)-ROW(PLE.firstrow))),0,
           IF(OFFSET(PLE!$G$15,$M49-$A$15,DR$13)="",10^12,OFFSET(PLE!$G$15,$M49-$A$15,DR$13)))</f>
        <v>0</v>
      </c>
      <c r="DS49" s="172" cm="1">
        <f t="array" aca="1" ref="DS49" ca="1">IF(OR($D49&lt;&gt;"Serviço",AND(AUTOEVENTO="Manual",$M49=$A$15),$M49&gt;(ROW(PLE.lastrow)-ROW(PLE.firstrow))),0,
           IF(OFFSET(PLE!$G$15,$M49-$A$15,DS$13)="",10^12,OFFSET(PLE!$G$15,$M49-$A$15,DS$13)))</f>
        <v>0</v>
      </c>
    </row>
    <row r="50" spans="1:123" ht="12.75" x14ac:dyDescent="0.2">
      <c r="A50" s="7">
        <f t="shared" ca="1" si="11"/>
        <v>0</v>
      </c>
      <c r="B50" s="7">
        <f ca="1">OFFSET(ORÇAMENTO!C$15,$L50,0)</f>
        <v>2</v>
      </c>
      <c r="C50" s="7" t="str">
        <f ca="1">OFFSET(ORÇAMENTO!L$15,$L50,0)</f>
        <v>F</v>
      </c>
      <c r="D50" s="116" t="str">
        <f ca="1">OFFSET(ORÇAMENTO!N$15,$L50,0)</f>
        <v>Nível 2</v>
      </c>
      <c r="E50" s="117" t="str">
        <f ca="1">OFFSET(ORÇAMENTO!O$15,$L50,0)</f>
        <v>4.1.</v>
      </c>
      <c r="F50" s="163" t="str">
        <f ca="1">OFFSET(ORÇAMENTO!R$15,$L50,0)</f>
        <v>PILARES, VIGAS E LAJES</v>
      </c>
      <c r="G50" s="164" t="str">
        <f ca="1">IF($D50&lt;&gt;"Serviço","",OFFSET(ORÇAMENTO!S$15,$L50,0))</f>
        <v/>
      </c>
      <c r="H50" s="122" cm="1">
        <f t="array" aca="1" ref="H50" ca="1">IF($D50&lt;&gt;"Serviço",0,IF(ACOMPANHAMENTO="BM",ROUND(OFFSET(ORÇAMENTO!AJ$15,$L50,0),15-13*ORÇAMENTO!$AF$7),IF(IFERROR(CÁLCULO.FrentesPreenchidas,0)=0,0,SUM(ROUND(OFFSET($P50,0,1,1,CÁLCULO.FrentesPreenchidas),15-13*ORÇAMENTO!$AF$7)))))</f>
        <v>0</v>
      </c>
      <c r="I50" s="468"/>
      <c r="J50" s="651" t="str" cm="1">
        <f t="array" aca="1" ref="J50" ca="1">IF(OR(B50&lt;&gt;"S",CÁLCULO.FrentesPreenchidas=0),"",IF(AND(ACOMPANHAMENTO="PLE",AUTOEVENTO="Manual",OR(H50&gt;0,ORÇAMENTO!AC50="QUANT."),OR(K50="",M50=0,N50="")),"►E",IF(AND(ACOMPANHAMENTO="PLE",ORÇAMENTO!AC50="QUANT."),"►Q",IF(AND(ACOMPANHAMENTO="PLE",H50&lt;&gt;SUMPRODUCT(($Q$1:$AQ$1=1)*ROUND(Q50:AQ50,15))),"►S",IF(AND(COUNTIF($P$11:$AQ$11,"▼")=0,H50&gt;0,I50=""),"◄M","")))))</f>
        <v/>
      </c>
      <c r="K50" s="652"/>
      <c r="L50" s="165">
        <f t="shared" ca="1" si="12"/>
        <v>35</v>
      </c>
      <c r="M50" s="166" t="str">
        <f ca="1">IF($D50&lt;&gt;"Serviço","",
          IF(AUTOEVENTO="manual",$A50,
                IF(ISERROR(MATCH($A50,$A$15:OFFSET($A50,-1,0),0)),MAX($M$15:OFFSET(M50,-1,0))+1,
                      INDEX($M$15:OFFSET(M50,-1,0),MATCH($A50,$A$15:OFFSET($A50,-1,0),0)))))</f>
        <v/>
      </c>
      <c r="N50" s="167" t="str">
        <f ca="1">IF($D50&lt;&gt;"Serviço","",
         IF(AUTOEVENTO="Manual",
                IF($A50=0,"&lt;-- defina o número do agrupador",
                       OFFSET(EVENTOS!$D$15,$A50-$A$15,0)),
                OFFSET($F$15,$A50,0)))</f>
        <v/>
      </c>
      <c r="O50" s="168"/>
      <c r="Q50" s="168"/>
      <c r="R50" s="169"/>
      <c r="S50" s="169"/>
      <c r="T50" s="169"/>
      <c r="U50" s="169"/>
      <c r="V50" s="169"/>
      <c r="W50" s="169"/>
      <c r="X50" s="169"/>
      <c r="Y50" s="169"/>
      <c r="Z50" s="170"/>
      <c r="AA50" s="169"/>
      <c r="AB50" s="169"/>
      <c r="AC50" s="169"/>
      <c r="AD50" s="169"/>
      <c r="AE50" s="169"/>
      <c r="AF50" s="169"/>
      <c r="AG50" s="169"/>
      <c r="AH50" s="170"/>
      <c r="AI50" s="169"/>
      <c r="AJ50" s="169"/>
      <c r="AK50" s="169"/>
      <c r="AL50" s="169"/>
      <c r="AM50" s="169"/>
      <c r="AN50" s="169"/>
      <c r="AO50" s="169"/>
      <c r="AP50" s="170"/>
      <c r="AR50" s="453">
        <f ca="1">IF(AND($D50="Serviço",AR$12&lt;&gt;0,$H50&gt;0,OR(AUTOEVENTO&lt;&gt;"manual",$M50&lt;&gt;$A$15)),
        IF(Import.TipoArredondamento&lt;&gt;"TransfereGOV",
              ROUND(OFFSET($P50,0,AR$13),15-13*ORÇAMENTO!$AF$7)/$H50*OFFSET(ORÇAMENTO!$X$15,ROW(AR50)-ROW(AR$15),0),
              ROUND(ROUND(OFFSET($P50,0,AR$13),15-13*ORÇAMENTO!$AF$7)*OFFSET(ORÇAMENTO!$W$15,ROW(AR50)-ROW(AR$15),0),15-13*ORÇAMENTO!$AF$11)),
         0)</f>
        <v>0</v>
      </c>
      <c r="AS50" s="453">
        <f ca="1">IF(AND($D50="Serviço",AS$12&lt;&gt;0,$H50&gt;0,OR(AUTOEVENTO&lt;&gt;"manual",$M50&lt;&gt;$A$15)),
        IF(Import.TipoArredondamento&lt;&gt;"TransfereGOV",
              ROUND(OFFSET($P50,0,AS$13),15-13*ORÇAMENTO!$AF$7)/$H50*OFFSET(ORÇAMENTO!$X$15,ROW(AS50)-ROW(AS$15),0),
              ROUND(ROUND(OFFSET($P50,0,AS$13),15-13*ORÇAMENTO!$AF$7)*OFFSET(ORÇAMENTO!$W$15,ROW(AS50)-ROW(AS$15),0),15-13*ORÇAMENTO!$AF$11)),
         0)</f>
        <v>0</v>
      </c>
      <c r="AT50" s="453">
        <f ca="1">IF(AND($D50="Serviço",AT$12&lt;&gt;0,$H50&gt;0,OR(AUTOEVENTO&lt;&gt;"manual",$M50&lt;&gt;$A$15)),
        IF(Import.TipoArredondamento&lt;&gt;"TransfereGOV",
              ROUND(OFFSET($P50,0,AT$13),15-13*ORÇAMENTO!$AF$7)/$H50*OFFSET(ORÇAMENTO!$X$15,ROW(AT50)-ROW(AT$15),0),
              ROUND(ROUND(OFFSET($P50,0,AT$13),15-13*ORÇAMENTO!$AF$7)*OFFSET(ORÇAMENTO!$W$15,ROW(AT50)-ROW(AT$15),0),15-13*ORÇAMENTO!$AF$11)),
         0)</f>
        <v>0</v>
      </c>
      <c r="AU50" s="453">
        <f ca="1">IF(AND($D50="Serviço",AU$12&lt;&gt;0,$H50&gt;0,OR(AUTOEVENTO&lt;&gt;"manual",$M50&lt;&gt;$A$15)),
        IF(Import.TipoArredondamento&lt;&gt;"TransfereGOV",
              ROUND(OFFSET($P50,0,AU$13),15-13*ORÇAMENTO!$AF$7)/$H50*OFFSET(ORÇAMENTO!$X$15,ROW(AU50)-ROW(AU$15),0),
              ROUND(ROUND(OFFSET($P50,0,AU$13),15-13*ORÇAMENTO!$AF$7)*OFFSET(ORÇAMENTO!$W$15,ROW(AU50)-ROW(AU$15),0),15-13*ORÇAMENTO!$AF$11)),
         0)</f>
        <v>0</v>
      </c>
      <c r="AV50" s="453">
        <f ca="1">IF(AND($D50="Serviço",AV$12&lt;&gt;0,$H50&gt;0,OR(AUTOEVENTO&lt;&gt;"manual",$M50&lt;&gt;$A$15)),
        IF(Import.TipoArredondamento&lt;&gt;"TransfereGOV",
              ROUND(OFFSET($P50,0,AV$13),15-13*ORÇAMENTO!$AF$7)/$H50*OFFSET(ORÇAMENTO!$X$15,ROW(AV50)-ROW(AV$15),0),
              ROUND(ROUND(OFFSET($P50,0,AV$13),15-13*ORÇAMENTO!$AF$7)*OFFSET(ORÇAMENTO!$W$15,ROW(AV50)-ROW(AV$15),0),15-13*ORÇAMENTO!$AF$11)),
         0)</f>
        <v>0</v>
      </c>
      <c r="AW50" s="453">
        <f ca="1">IF(AND($D50="Serviço",AW$12&lt;&gt;0,$H50&gt;0,OR(AUTOEVENTO&lt;&gt;"manual",$M50&lt;&gt;$A$15)),
        IF(Import.TipoArredondamento&lt;&gt;"TransfereGOV",
              ROUND(OFFSET($P50,0,AW$13),15-13*ORÇAMENTO!$AF$7)/$H50*OFFSET(ORÇAMENTO!$X$15,ROW(AW50)-ROW(AW$15),0),
              ROUND(ROUND(OFFSET($P50,0,AW$13),15-13*ORÇAMENTO!$AF$7)*OFFSET(ORÇAMENTO!$W$15,ROW(AW50)-ROW(AW$15),0),15-13*ORÇAMENTO!$AF$11)),
         0)</f>
        <v>0</v>
      </c>
      <c r="AX50" s="453">
        <f ca="1">IF(AND($D50="Serviço",AX$12&lt;&gt;0,$H50&gt;0,OR(AUTOEVENTO&lt;&gt;"manual",$M50&lt;&gt;$A$15)),
        IF(Import.TipoArredondamento&lt;&gt;"TransfereGOV",
              ROUND(OFFSET($P50,0,AX$13),15-13*ORÇAMENTO!$AF$7)/$H50*OFFSET(ORÇAMENTO!$X$15,ROW(AX50)-ROW(AX$15),0),
              ROUND(ROUND(OFFSET($P50,0,AX$13),15-13*ORÇAMENTO!$AF$7)*OFFSET(ORÇAMENTO!$W$15,ROW(AX50)-ROW(AX$15),0),15-13*ORÇAMENTO!$AF$11)),
         0)</f>
        <v>0</v>
      </c>
      <c r="AY50" s="453">
        <f ca="1">IF(AND($D50="Serviço",AY$12&lt;&gt;0,$H50&gt;0,OR(AUTOEVENTO&lt;&gt;"manual",$M50&lt;&gt;$A$15)),
        IF(Import.TipoArredondamento&lt;&gt;"TransfereGOV",
              ROUND(OFFSET($P50,0,AY$13),15-13*ORÇAMENTO!$AF$7)/$H50*OFFSET(ORÇAMENTO!$X$15,ROW(AY50)-ROW(AY$15),0),
              ROUND(ROUND(OFFSET($P50,0,AY$13),15-13*ORÇAMENTO!$AF$7)*OFFSET(ORÇAMENTO!$W$15,ROW(AY50)-ROW(AY$15),0),15-13*ORÇAMENTO!$AF$11)),
         0)</f>
        <v>0</v>
      </c>
      <c r="AZ50" s="453">
        <f ca="1">IF(AND($D50="Serviço",AZ$12&lt;&gt;0,$H50&gt;0,OR(AUTOEVENTO&lt;&gt;"manual",$M50&lt;&gt;$A$15)),
        IF(Import.TipoArredondamento&lt;&gt;"TransfereGOV",
              ROUND(OFFSET($P50,0,AZ$13),15-13*ORÇAMENTO!$AF$7)/$H50*OFFSET(ORÇAMENTO!$X$15,ROW(AZ50)-ROW(AZ$15),0),
              ROUND(ROUND(OFFSET($P50,0,AZ$13),15-13*ORÇAMENTO!$AF$7)*OFFSET(ORÇAMENTO!$W$15,ROW(AZ50)-ROW(AZ$15),0),15-13*ORÇAMENTO!$AF$11)),
         0)</f>
        <v>0</v>
      </c>
      <c r="BA50" s="453">
        <f ca="1">IF(AND($D50="Serviço",BA$12&lt;&gt;0,$H50&gt;0,OR(AUTOEVENTO&lt;&gt;"manual",$M50&lt;&gt;$A$15)),
        IF(Import.TipoArredondamento&lt;&gt;"TransfereGOV",
              ROUND(OFFSET($P50,0,BA$13),15-13*ORÇAMENTO!$AF$7)/$H50*OFFSET(ORÇAMENTO!$X$15,ROW(BA50)-ROW(BA$15),0),
              ROUND(ROUND(OFFSET($P50,0,BA$13),15-13*ORÇAMENTO!$AF$7)*OFFSET(ORÇAMENTO!$W$15,ROW(BA50)-ROW(BA$15),0),15-13*ORÇAMENTO!$AF$11)),
         0)</f>
        <v>0</v>
      </c>
      <c r="BB50" s="453">
        <f ca="1">IF(AND($D50="Serviço",BB$12&lt;&gt;0,$H50&gt;0,OR(AUTOEVENTO&lt;&gt;"manual",$M50&lt;&gt;$A$15)),
        IF(Import.TipoArredondamento&lt;&gt;"TransfereGOV",
              ROUND(OFFSET($P50,0,BB$13),15-13*ORÇAMENTO!$AF$7)/$H50*OFFSET(ORÇAMENTO!$X$15,ROW(BB50)-ROW(BB$15),0),
              ROUND(ROUND(OFFSET($P50,0,BB$13),15-13*ORÇAMENTO!$AF$7)*OFFSET(ORÇAMENTO!$W$15,ROW(BB50)-ROW(BB$15),0),15-13*ORÇAMENTO!$AF$11)),
         0)</f>
        <v>0</v>
      </c>
      <c r="BC50" s="453">
        <f ca="1">IF(AND($D50="Serviço",BC$12&lt;&gt;0,$H50&gt;0,OR(AUTOEVENTO&lt;&gt;"manual",$M50&lt;&gt;$A$15)),
        IF(Import.TipoArredondamento&lt;&gt;"TransfereGOV",
              ROUND(OFFSET($P50,0,BC$13),15-13*ORÇAMENTO!$AF$7)/$H50*OFFSET(ORÇAMENTO!$X$15,ROW(BC50)-ROW(BC$15),0),
              ROUND(ROUND(OFFSET($P50,0,BC$13),15-13*ORÇAMENTO!$AF$7)*OFFSET(ORÇAMENTO!$W$15,ROW(BC50)-ROW(BC$15),0),15-13*ORÇAMENTO!$AF$11)),
         0)</f>
        <v>0</v>
      </c>
      <c r="BD50" s="453">
        <f ca="1">IF(AND($D50="Serviço",BD$12&lt;&gt;0,$H50&gt;0,OR(AUTOEVENTO&lt;&gt;"manual",$M50&lt;&gt;$A$15)),
        IF(Import.TipoArredondamento&lt;&gt;"TransfereGOV",
              ROUND(OFFSET($P50,0,BD$13),15-13*ORÇAMENTO!$AF$7)/$H50*OFFSET(ORÇAMENTO!$X$15,ROW(BD50)-ROW(BD$15),0),
              ROUND(ROUND(OFFSET($P50,0,BD$13),15-13*ORÇAMENTO!$AF$7)*OFFSET(ORÇAMENTO!$W$15,ROW(BD50)-ROW(BD$15),0),15-13*ORÇAMENTO!$AF$11)),
         0)</f>
        <v>0</v>
      </c>
      <c r="BE50" s="453">
        <f ca="1">IF(AND($D50="Serviço",BE$12&lt;&gt;0,$H50&gt;0,OR(AUTOEVENTO&lt;&gt;"manual",$M50&lt;&gt;$A$15)),
        IF(Import.TipoArredondamento&lt;&gt;"TransfereGOV",
              ROUND(OFFSET($P50,0,BE$13),15-13*ORÇAMENTO!$AF$7)/$H50*OFFSET(ORÇAMENTO!$X$15,ROW(BE50)-ROW(BE$15),0),
              ROUND(ROUND(OFFSET($P50,0,BE$13),15-13*ORÇAMENTO!$AF$7)*OFFSET(ORÇAMENTO!$W$15,ROW(BE50)-ROW(BE$15),0),15-13*ORÇAMENTO!$AF$11)),
         0)</f>
        <v>0</v>
      </c>
      <c r="BF50" s="453">
        <f ca="1">IF(AND($D50="Serviço",BF$12&lt;&gt;0,$H50&gt;0,OR(AUTOEVENTO&lt;&gt;"manual",$M50&lt;&gt;$A$15)),
        IF(Import.TipoArredondamento&lt;&gt;"TransfereGOV",
              ROUND(OFFSET($P50,0,BF$13),15-13*ORÇAMENTO!$AF$7)/$H50*OFFSET(ORÇAMENTO!$X$15,ROW(BF50)-ROW(BF$15),0),
              ROUND(ROUND(OFFSET($P50,0,BF$13),15-13*ORÇAMENTO!$AF$7)*OFFSET(ORÇAMENTO!$W$15,ROW(BF50)-ROW(BF$15),0),15-13*ORÇAMENTO!$AF$11)),
         0)</f>
        <v>0</v>
      </c>
      <c r="BG50" s="453">
        <f ca="1">IF(AND($D50="Serviço",BG$12&lt;&gt;0,$H50&gt;0,OR(AUTOEVENTO&lt;&gt;"manual",$M50&lt;&gt;$A$15)),
        IF(Import.TipoArredondamento&lt;&gt;"TransfereGOV",
              ROUND(OFFSET($P50,0,BG$13),15-13*ORÇAMENTO!$AF$7)/$H50*OFFSET(ORÇAMENTO!$X$15,ROW(BG50)-ROW(BG$15),0),
              ROUND(ROUND(OFFSET($P50,0,BG$13),15-13*ORÇAMENTO!$AF$7)*OFFSET(ORÇAMENTO!$W$15,ROW(BG50)-ROW(BG$15),0),15-13*ORÇAMENTO!$AF$11)),
         0)</f>
        <v>0</v>
      </c>
      <c r="BH50" s="453">
        <f ca="1">IF(AND($D50="Serviço",BH$12&lt;&gt;0,$H50&gt;0,OR(AUTOEVENTO&lt;&gt;"manual",$M50&lt;&gt;$A$15)),
        IF(Import.TipoArredondamento&lt;&gt;"TransfereGOV",
              ROUND(OFFSET($P50,0,BH$13),15-13*ORÇAMENTO!$AF$7)/$H50*OFFSET(ORÇAMENTO!$X$15,ROW(BH50)-ROW(BH$15),0),
              ROUND(ROUND(OFFSET($P50,0,BH$13),15-13*ORÇAMENTO!$AF$7)*OFFSET(ORÇAMENTO!$W$15,ROW(BH50)-ROW(BH$15),0),15-13*ORÇAMENTO!$AF$11)),
         0)</f>
        <v>0</v>
      </c>
      <c r="BI50" s="453">
        <f ca="1">IF(AND($D50="Serviço",BI$12&lt;&gt;0,$H50&gt;0,OR(AUTOEVENTO&lt;&gt;"manual",$M50&lt;&gt;$A$15)),
        IF(Import.TipoArredondamento&lt;&gt;"TransfereGOV",
              ROUND(OFFSET($P50,0,BI$13),15-13*ORÇAMENTO!$AF$7)/$H50*OFFSET(ORÇAMENTO!$X$15,ROW(BI50)-ROW(BI$15),0),
              ROUND(ROUND(OFFSET($P50,0,BI$13),15-13*ORÇAMENTO!$AF$7)*OFFSET(ORÇAMENTO!$W$15,ROW(BI50)-ROW(BI$15),0),15-13*ORÇAMENTO!$AF$11)),
         0)</f>
        <v>0</v>
      </c>
      <c r="BJ50" s="453">
        <f ca="1">IF(AND($D50="Serviço",BJ$12&lt;&gt;0,$H50&gt;0,OR(AUTOEVENTO&lt;&gt;"manual",$M50&lt;&gt;$A$15)),
        IF(Import.TipoArredondamento&lt;&gt;"TransfereGOV",
              ROUND(OFFSET($P50,0,BJ$13),15-13*ORÇAMENTO!$AF$7)/$H50*OFFSET(ORÇAMENTO!$X$15,ROW(BJ50)-ROW(BJ$15),0),
              ROUND(ROUND(OFFSET($P50,0,BJ$13),15-13*ORÇAMENTO!$AF$7)*OFFSET(ORÇAMENTO!$W$15,ROW(BJ50)-ROW(BJ$15),0),15-13*ORÇAMENTO!$AF$11)),
         0)</f>
        <v>0</v>
      </c>
      <c r="BK50" s="453">
        <f ca="1">IF(AND($D50="Serviço",BK$12&lt;&gt;0,$H50&gt;0,OR(AUTOEVENTO&lt;&gt;"manual",$M50&lt;&gt;$A$15)),
        IF(Import.TipoArredondamento&lt;&gt;"TransfereGOV",
              ROUND(OFFSET($P50,0,BK$13),15-13*ORÇAMENTO!$AF$7)/$H50*OFFSET(ORÇAMENTO!$X$15,ROW(BK50)-ROW(BK$15),0),
              ROUND(ROUND(OFFSET($P50,0,BK$13),15-13*ORÇAMENTO!$AF$7)*OFFSET(ORÇAMENTO!$W$15,ROW(BK50)-ROW(BK$15),0),15-13*ORÇAMENTO!$AF$11)),
         0)</f>
        <v>0</v>
      </c>
      <c r="BL50" s="453">
        <f ca="1">IF(AND($D50="Serviço",BL$12&lt;&gt;0,$H50&gt;0,OR(AUTOEVENTO&lt;&gt;"manual",$M50&lt;&gt;$A$15)),
        IF(Import.TipoArredondamento&lt;&gt;"TransfereGOV",
              ROUND(OFFSET($P50,0,BL$13),15-13*ORÇAMENTO!$AF$7)/$H50*OFFSET(ORÇAMENTO!$X$15,ROW(BL50)-ROW(BL$15),0),
              ROUND(ROUND(OFFSET($P50,0,BL$13),15-13*ORÇAMENTO!$AF$7)*OFFSET(ORÇAMENTO!$W$15,ROW(BL50)-ROW(BL$15),0),15-13*ORÇAMENTO!$AF$11)),
         0)</f>
        <v>0</v>
      </c>
      <c r="BM50" s="453">
        <f ca="1">IF(AND($D50="Serviço",BM$12&lt;&gt;0,$H50&gt;0,OR(AUTOEVENTO&lt;&gt;"manual",$M50&lt;&gt;$A$15)),
        IF(Import.TipoArredondamento&lt;&gt;"TransfereGOV",
              ROUND(OFFSET($P50,0,BM$13),15-13*ORÇAMENTO!$AF$7)/$H50*OFFSET(ORÇAMENTO!$X$15,ROW(BM50)-ROW(BM$15),0),
              ROUND(ROUND(OFFSET($P50,0,BM$13),15-13*ORÇAMENTO!$AF$7)*OFFSET(ORÇAMENTO!$W$15,ROW(BM50)-ROW(BM$15),0),15-13*ORÇAMENTO!$AF$11)),
         0)</f>
        <v>0</v>
      </c>
      <c r="BN50" s="453">
        <f ca="1">IF(AND($D50="Serviço",BN$12&lt;&gt;0,$H50&gt;0,OR(AUTOEVENTO&lt;&gt;"manual",$M50&lt;&gt;$A$15)),
        IF(Import.TipoArredondamento&lt;&gt;"TransfereGOV",
              ROUND(OFFSET($P50,0,BN$13),15-13*ORÇAMENTO!$AF$7)/$H50*OFFSET(ORÇAMENTO!$X$15,ROW(BN50)-ROW(BN$15),0),
              ROUND(ROUND(OFFSET($P50,0,BN$13),15-13*ORÇAMENTO!$AF$7)*OFFSET(ORÇAMENTO!$W$15,ROW(BN50)-ROW(BN$15),0),15-13*ORÇAMENTO!$AF$11)),
         0)</f>
        <v>0</v>
      </c>
      <c r="BO50" s="453">
        <f ca="1">IF(AND($D50="Serviço",BO$12&lt;&gt;0,$H50&gt;0,OR(AUTOEVENTO&lt;&gt;"manual",$M50&lt;&gt;$A$15)),
        IF(Import.TipoArredondamento&lt;&gt;"TransfereGOV",
              ROUND(OFFSET($P50,0,BO$13),15-13*ORÇAMENTO!$AF$7)/$H50*OFFSET(ORÇAMENTO!$X$15,ROW(BO50)-ROW(BO$15),0),
              ROUND(ROUND(OFFSET($P50,0,BO$13),15-13*ORÇAMENTO!$AF$7)*OFFSET(ORÇAMENTO!$W$15,ROW(BO50)-ROW(BO$15),0),15-13*ORÇAMENTO!$AF$11)),
         0)</f>
        <v>0</v>
      </c>
      <c r="BP50" s="453">
        <f ca="1">IF(AND($D50="Serviço",BP$12&lt;&gt;0,$H50&gt;0,OR(AUTOEVENTO&lt;&gt;"manual",$M50&lt;&gt;$A$15)),
        IF(Import.TipoArredondamento&lt;&gt;"TransfereGOV",
              ROUND(OFFSET($P50,0,BP$13),15-13*ORÇAMENTO!$AF$7)/$H50*OFFSET(ORÇAMENTO!$X$15,ROW(BP50)-ROW(BP$15),0),
              ROUND(ROUND(OFFSET($P50,0,BP$13),15-13*ORÇAMENTO!$AF$7)*OFFSET(ORÇAMENTO!$W$15,ROW(BP50)-ROW(BP$15),0),15-13*ORÇAMENTO!$AF$11)),
         0)</f>
        <v>0</v>
      </c>
      <c r="BQ50" s="453">
        <f ca="1">IF(AND($D50="Serviço",BQ$12&lt;&gt;0,$H50&gt;0,OR(AUTOEVENTO&lt;&gt;"manual",$M50&lt;&gt;$A$15)),
        IF(Import.TipoArredondamento&lt;&gt;"TransfereGOV",
              ROUND(OFFSET($P50,0,BQ$13),15-13*ORÇAMENTO!$AF$7)/$H50*OFFSET(ORÇAMENTO!$X$15,ROW(BQ50)-ROW(BQ$15),0),
              ROUND(ROUND(OFFSET($P50,0,BQ$13),15-13*ORÇAMENTO!$AF$7)*OFFSET(ORÇAMENTO!$W$15,ROW(BQ50)-ROW(BQ$15),0),15-13*ORÇAMENTO!$AF$11)),
         0)</f>
        <v>0</v>
      </c>
      <c r="BS50" s="171">
        <f ca="1">IF(OR($D50&lt;&gt;"Serviço",AND(AUTOEVENTO="Manual",$M50=$A$15)),0,
         IF(OFFSET(CRONOPLE!$F$15,$M50-$A$15,BS$13)=0,10^12,OFFSET(CRONOPLE!$F$15,$M50-$A$15,BS$13)))</f>
        <v>0</v>
      </c>
      <c r="BT50" s="171">
        <f ca="1">IF(OR($D50&lt;&gt;"Serviço",AND(AUTOEVENTO="Manual",$M50=$A$15)),0,
         IF(OFFSET(CRONOPLE!$F$15,$M50-$A$15,BT$13)=0,10^12,OFFSET(CRONOPLE!$F$15,$M50-$A$15,BT$13)))</f>
        <v>0</v>
      </c>
      <c r="BU50" s="171">
        <f ca="1">IF(OR($D50&lt;&gt;"Serviço",AND(AUTOEVENTO="Manual",$M50=$A$15)),0,
         IF(OFFSET(CRONOPLE!$F$15,$M50-$A$15,BU$13)=0,10^12,OFFSET(CRONOPLE!$F$15,$M50-$A$15,BU$13)))</f>
        <v>0</v>
      </c>
      <c r="BV50" s="171">
        <f ca="1">IF(OR($D50&lt;&gt;"Serviço",AND(AUTOEVENTO="Manual",$M50=$A$15)),0,
         IF(OFFSET(CRONOPLE!$F$15,$M50-$A$15,BV$13)=0,10^12,OFFSET(CRONOPLE!$F$15,$M50-$A$15,BV$13)))</f>
        <v>0</v>
      </c>
      <c r="BW50" s="171">
        <f ca="1">IF(OR($D50&lt;&gt;"Serviço",AND(AUTOEVENTO="Manual",$M50=$A$15)),0,
         IF(OFFSET(CRONOPLE!$F$15,$M50-$A$15,BW$13)=0,10^12,OFFSET(CRONOPLE!$F$15,$M50-$A$15,BW$13)))</f>
        <v>0</v>
      </c>
      <c r="BX50" s="171">
        <f ca="1">IF(OR($D50&lt;&gt;"Serviço",AND(AUTOEVENTO="Manual",$M50=$A$15)),0,
         IF(OFFSET(CRONOPLE!$F$15,$M50-$A$15,BX$13)=0,10^12,OFFSET(CRONOPLE!$F$15,$M50-$A$15,BX$13)))</f>
        <v>0</v>
      </c>
      <c r="BY50" s="171">
        <f ca="1">IF(OR($D50&lt;&gt;"Serviço",AND(AUTOEVENTO="Manual",$M50=$A$15)),0,
         IF(OFFSET(CRONOPLE!$F$15,$M50-$A$15,BY$13)=0,10^12,OFFSET(CRONOPLE!$F$15,$M50-$A$15,BY$13)))</f>
        <v>0</v>
      </c>
      <c r="BZ50" s="171">
        <f ca="1">IF(OR($D50&lt;&gt;"Serviço",AND(AUTOEVENTO="Manual",$M50=$A$15)),0,
         IF(OFFSET(CRONOPLE!$F$15,$M50-$A$15,BZ$13)=0,10^12,OFFSET(CRONOPLE!$F$15,$M50-$A$15,BZ$13)))</f>
        <v>0</v>
      </c>
      <c r="CA50" s="171">
        <f ca="1">IF(OR($D50&lt;&gt;"Serviço",AND(AUTOEVENTO="Manual",$M50=$A$15)),0,
         IF(OFFSET(CRONOPLE!$F$15,$M50-$A$15,CA$13)=0,10^12,OFFSET(CRONOPLE!$F$15,$M50-$A$15,CA$13)))</f>
        <v>0</v>
      </c>
      <c r="CB50" s="171">
        <f ca="1">IF(OR($D50&lt;&gt;"Serviço",AND(AUTOEVENTO="Manual",$M50=$A$15)),0,
         IF(OFFSET(CRONOPLE!$F$15,$M50-$A$15,CB$13)=0,10^12,OFFSET(CRONOPLE!$F$15,$M50-$A$15,CB$13)))</f>
        <v>0</v>
      </c>
      <c r="CC50" s="171">
        <f ca="1">IF(OR($D50&lt;&gt;"Serviço",AND(AUTOEVENTO="Manual",$M50=$A$15)),0,
         IF(OFFSET(CRONOPLE!$F$15,$M50-$A$15,CC$13)=0,10^12,OFFSET(CRONOPLE!$F$15,$M50-$A$15,CC$13)))</f>
        <v>0</v>
      </c>
      <c r="CD50" s="171">
        <f ca="1">IF(OR($D50&lt;&gt;"Serviço",AND(AUTOEVENTO="Manual",$M50=$A$15)),0,
         IF(OFFSET(CRONOPLE!$F$15,$M50-$A$15,CD$13)=0,10^12,OFFSET(CRONOPLE!$F$15,$M50-$A$15,CD$13)))</f>
        <v>0</v>
      </c>
      <c r="CE50" s="171">
        <f ca="1">IF(OR($D50&lt;&gt;"Serviço",AND(AUTOEVENTO="Manual",$M50=$A$15)),0,
         IF(OFFSET(CRONOPLE!$F$15,$M50-$A$15,CE$13)=0,10^12,OFFSET(CRONOPLE!$F$15,$M50-$A$15,CE$13)))</f>
        <v>0</v>
      </c>
      <c r="CF50" s="171">
        <f ca="1">IF(OR($D50&lt;&gt;"Serviço",AND(AUTOEVENTO="Manual",$M50=$A$15)),0,
         IF(OFFSET(CRONOPLE!$F$15,$M50-$A$15,CF$13)=0,10^12,OFFSET(CRONOPLE!$F$15,$M50-$A$15,CF$13)))</f>
        <v>0</v>
      </c>
      <c r="CG50" s="171">
        <f ca="1">IF(OR($D50&lt;&gt;"Serviço",AND(AUTOEVENTO="Manual",$M50=$A$15)),0,
         IF(OFFSET(CRONOPLE!$F$15,$M50-$A$15,CG$13)=0,10^12,OFFSET(CRONOPLE!$F$15,$M50-$A$15,CG$13)))</f>
        <v>0</v>
      </c>
      <c r="CH50" s="171">
        <f ca="1">IF(OR($D50&lt;&gt;"Serviço",AND(AUTOEVENTO="Manual",$M50=$A$15)),0,
         IF(OFFSET(CRONOPLE!$F$15,$M50-$A$15,CH$13)=0,10^12,OFFSET(CRONOPLE!$F$15,$M50-$A$15,CH$13)))</f>
        <v>0</v>
      </c>
      <c r="CI50" s="171">
        <f ca="1">IF(OR($D50&lt;&gt;"Serviço",AND(AUTOEVENTO="Manual",$M50=$A$15)),0,
         IF(OFFSET(CRONOPLE!$F$15,$M50-$A$15,CI$13)=0,10^12,OFFSET(CRONOPLE!$F$15,$M50-$A$15,CI$13)))</f>
        <v>0</v>
      </c>
      <c r="CJ50" s="171">
        <f ca="1">IF(OR($D50&lt;&gt;"Serviço",AND(AUTOEVENTO="Manual",$M50=$A$15)),0,
         IF(OFFSET(CRONOPLE!$F$15,$M50-$A$15,CJ$13)=0,10^12,OFFSET(CRONOPLE!$F$15,$M50-$A$15,CJ$13)))</f>
        <v>0</v>
      </c>
      <c r="CK50" s="171">
        <f ca="1">IF(OR($D50&lt;&gt;"Serviço",AND(AUTOEVENTO="Manual",$M50=$A$15)),0,
         IF(OFFSET(CRONOPLE!$F$15,$M50-$A$15,CK$13)=0,10^12,OFFSET(CRONOPLE!$F$15,$M50-$A$15,CK$13)))</f>
        <v>0</v>
      </c>
      <c r="CL50" s="171">
        <f ca="1">IF(OR($D50&lt;&gt;"Serviço",AND(AUTOEVENTO="Manual",$M50=$A$15)),0,
         IF(OFFSET(CRONOPLE!$F$15,$M50-$A$15,CL$13)=0,10^12,OFFSET(CRONOPLE!$F$15,$M50-$A$15,CL$13)))</f>
        <v>0</v>
      </c>
      <c r="CM50" s="171">
        <f ca="1">IF(OR($D50&lt;&gt;"Serviço",AND(AUTOEVENTO="Manual",$M50=$A$15)),0,
         IF(OFFSET(CRONOPLE!$F$15,$M50-$A$15,CM$13)=0,10^12,OFFSET(CRONOPLE!$F$15,$M50-$A$15,CM$13)))</f>
        <v>0</v>
      </c>
      <c r="CN50" s="171">
        <f ca="1">IF(OR($D50&lt;&gt;"Serviço",AND(AUTOEVENTO="Manual",$M50=$A$15)),0,
         IF(OFFSET(CRONOPLE!$F$15,$M50-$A$15,CN$13)=0,10^12,OFFSET(CRONOPLE!$F$15,$M50-$A$15,CN$13)))</f>
        <v>0</v>
      </c>
      <c r="CO50" s="171">
        <f ca="1">IF(OR($D50&lt;&gt;"Serviço",AND(AUTOEVENTO="Manual",$M50=$A$15)),0,
         IF(OFFSET(CRONOPLE!$F$15,$M50-$A$15,CO$13)=0,10^12,OFFSET(CRONOPLE!$F$15,$M50-$A$15,CO$13)))</f>
        <v>0</v>
      </c>
      <c r="CP50" s="171">
        <f ca="1">IF(OR($D50&lt;&gt;"Serviço",AND(AUTOEVENTO="Manual",$M50=$A$15)),0,
         IF(OFFSET(CRONOPLE!$F$15,$M50-$A$15,CP$13)=0,10^12,OFFSET(CRONOPLE!$F$15,$M50-$A$15,CP$13)))</f>
        <v>0</v>
      </c>
      <c r="CQ50" s="171">
        <f ca="1">IF(OR($D50&lt;&gt;"Serviço",AND(AUTOEVENTO="Manual",$M50=$A$15)),0,
         IF(OFFSET(CRONOPLE!$F$15,$M50-$A$15,CQ$13)=0,10^12,OFFSET(CRONOPLE!$F$15,$M50-$A$15,CQ$13)))</f>
        <v>0</v>
      </c>
      <c r="CR50" s="171">
        <f ca="1">IF(OR($D50&lt;&gt;"Serviço",AND(AUTOEVENTO="Manual",$M50=$A$15)),0,
         IF(OFFSET(CRONOPLE!$F$15,$M50-$A$15,CR$13)=0,10^12,OFFSET(CRONOPLE!$F$15,$M50-$A$15,CR$13)))</f>
        <v>0</v>
      </c>
      <c r="CT50" s="172" cm="1">
        <f t="array" aca="1" ref="CT50" ca="1">IF(OR($D50&lt;&gt;"Serviço",AND(AUTOEVENTO="Manual",$M50=$A$15),$M50&gt;(ROW(PLE.lastrow)-ROW(PLE.firstrow))),0,
           IF(OFFSET(PLE!$G$15,$M50-$A$15,CT$13)="",10^12,OFFSET(PLE!$G$15,$M50-$A$15,CT$13)))</f>
        <v>0</v>
      </c>
      <c r="CU50" s="172" cm="1">
        <f t="array" aca="1" ref="CU50" ca="1">IF(OR($D50&lt;&gt;"Serviço",AND(AUTOEVENTO="Manual",$M50=$A$15),$M50&gt;(ROW(PLE.lastrow)-ROW(PLE.firstrow))),0,
           IF(OFFSET(PLE!$G$15,$M50-$A$15,CU$13)="",10^12,OFFSET(PLE!$G$15,$M50-$A$15,CU$13)))</f>
        <v>0</v>
      </c>
      <c r="CV50" s="172" cm="1">
        <f t="array" aca="1" ref="CV50" ca="1">IF(OR($D50&lt;&gt;"Serviço",AND(AUTOEVENTO="Manual",$M50=$A$15),$M50&gt;(ROW(PLE.lastrow)-ROW(PLE.firstrow))),0,
           IF(OFFSET(PLE!$G$15,$M50-$A$15,CV$13)="",10^12,OFFSET(PLE!$G$15,$M50-$A$15,CV$13)))</f>
        <v>0</v>
      </c>
      <c r="CW50" s="172" cm="1">
        <f t="array" aca="1" ref="CW50" ca="1">IF(OR($D50&lt;&gt;"Serviço",AND(AUTOEVENTO="Manual",$M50=$A$15),$M50&gt;(ROW(PLE.lastrow)-ROW(PLE.firstrow))),0,
           IF(OFFSET(PLE!$G$15,$M50-$A$15,CW$13)="",10^12,OFFSET(PLE!$G$15,$M50-$A$15,CW$13)))</f>
        <v>0</v>
      </c>
      <c r="CX50" s="172" cm="1">
        <f t="array" aca="1" ref="CX50" ca="1">IF(OR($D50&lt;&gt;"Serviço",AND(AUTOEVENTO="Manual",$M50=$A$15),$M50&gt;(ROW(PLE.lastrow)-ROW(PLE.firstrow))),0,
           IF(OFFSET(PLE!$G$15,$M50-$A$15,CX$13)="",10^12,OFFSET(PLE!$G$15,$M50-$A$15,CX$13)))</f>
        <v>0</v>
      </c>
      <c r="CY50" s="172" cm="1">
        <f t="array" aca="1" ref="CY50" ca="1">IF(OR($D50&lt;&gt;"Serviço",AND(AUTOEVENTO="Manual",$M50=$A$15),$M50&gt;(ROW(PLE.lastrow)-ROW(PLE.firstrow))),0,
           IF(OFFSET(PLE!$G$15,$M50-$A$15,CY$13)="",10^12,OFFSET(PLE!$G$15,$M50-$A$15,CY$13)))</f>
        <v>0</v>
      </c>
      <c r="CZ50" s="172" cm="1">
        <f t="array" aca="1" ref="CZ50" ca="1">IF(OR($D50&lt;&gt;"Serviço",AND(AUTOEVENTO="Manual",$M50=$A$15),$M50&gt;(ROW(PLE.lastrow)-ROW(PLE.firstrow))),0,
           IF(OFFSET(PLE!$G$15,$M50-$A$15,CZ$13)="",10^12,OFFSET(PLE!$G$15,$M50-$A$15,CZ$13)))</f>
        <v>0</v>
      </c>
      <c r="DA50" s="172" cm="1">
        <f t="array" aca="1" ref="DA50" ca="1">IF(OR($D50&lt;&gt;"Serviço",AND(AUTOEVENTO="Manual",$M50=$A$15),$M50&gt;(ROW(PLE.lastrow)-ROW(PLE.firstrow))),0,
           IF(OFFSET(PLE!$G$15,$M50-$A$15,DA$13)="",10^12,OFFSET(PLE!$G$15,$M50-$A$15,DA$13)))</f>
        <v>0</v>
      </c>
      <c r="DB50" s="172" cm="1">
        <f t="array" aca="1" ref="DB50" ca="1">IF(OR($D50&lt;&gt;"Serviço",AND(AUTOEVENTO="Manual",$M50=$A$15),$M50&gt;(ROW(PLE.lastrow)-ROW(PLE.firstrow))),0,
           IF(OFFSET(PLE!$G$15,$M50-$A$15,DB$13)="",10^12,OFFSET(PLE!$G$15,$M50-$A$15,DB$13)))</f>
        <v>0</v>
      </c>
      <c r="DC50" s="172" cm="1">
        <f t="array" aca="1" ref="DC50" ca="1">IF(OR($D50&lt;&gt;"Serviço",AND(AUTOEVENTO="Manual",$M50=$A$15),$M50&gt;(ROW(PLE.lastrow)-ROW(PLE.firstrow))),0,
           IF(OFFSET(PLE!$G$15,$M50-$A$15,DC$13)="",10^12,OFFSET(PLE!$G$15,$M50-$A$15,DC$13)))</f>
        <v>0</v>
      </c>
      <c r="DD50" s="172" cm="1">
        <f t="array" aca="1" ref="DD50" ca="1">IF(OR($D50&lt;&gt;"Serviço",AND(AUTOEVENTO="Manual",$M50=$A$15),$M50&gt;(ROW(PLE.lastrow)-ROW(PLE.firstrow))),0,
           IF(OFFSET(PLE!$G$15,$M50-$A$15,DD$13)="",10^12,OFFSET(PLE!$G$15,$M50-$A$15,DD$13)))</f>
        <v>0</v>
      </c>
      <c r="DE50" s="172" cm="1">
        <f t="array" aca="1" ref="DE50" ca="1">IF(OR($D50&lt;&gt;"Serviço",AND(AUTOEVENTO="Manual",$M50=$A$15),$M50&gt;(ROW(PLE.lastrow)-ROW(PLE.firstrow))),0,
           IF(OFFSET(PLE!$G$15,$M50-$A$15,DE$13)="",10^12,OFFSET(PLE!$G$15,$M50-$A$15,DE$13)))</f>
        <v>0</v>
      </c>
      <c r="DF50" s="172" cm="1">
        <f t="array" aca="1" ref="DF50" ca="1">IF(OR($D50&lt;&gt;"Serviço",AND(AUTOEVENTO="Manual",$M50=$A$15),$M50&gt;(ROW(PLE.lastrow)-ROW(PLE.firstrow))),0,
           IF(OFFSET(PLE!$G$15,$M50-$A$15,DF$13)="",10^12,OFFSET(PLE!$G$15,$M50-$A$15,DF$13)))</f>
        <v>0</v>
      </c>
      <c r="DG50" s="172" cm="1">
        <f t="array" aca="1" ref="DG50" ca="1">IF(OR($D50&lt;&gt;"Serviço",AND(AUTOEVENTO="Manual",$M50=$A$15),$M50&gt;(ROW(PLE.lastrow)-ROW(PLE.firstrow))),0,
           IF(OFFSET(PLE!$G$15,$M50-$A$15,DG$13)="",10^12,OFFSET(PLE!$G$15,$M50-$A$15,DG$13)))</f>
        <v>0</v>
      </c>
      <c r="DH50" s="172" cm="1">
        <f t="array" aca="1" ref="DH50" ca="1">IF(OR($D50&lt;&gt;"Serviço",AND(AUTOEVENTO="Manual",$M50=$A$15),$M50&gt;(ROW(PLE.lastrow)-ROW(PLE.firstrow))),0,
           IF(OFFSET(PLE!$G$15,$M50-$A$15,DH$13)="",10^12,OFFSET(PLE!$G$15,$M50-$A$15,DH$13)))</f>
        <v>0</v>
      </c>
      <c r="DI50" s="172" cm="1">
        <f t="array" aca="1" ref="DI50" ca="1">IF(OR($D50&lt;&gt;"Serviço",AND(AUTOEVENTO="Manual",$M50=$A$15),$M50&gt;(ROW(PLE.lastrow)-ROW(PLE.firstrow))),0,
           IF(OFFSET(PLE!$G$15,$M50-$A$15,DI$13)="",10^12,OFFSET(PLE!$G$15,$M50-$A$15,DI$13)))</f>
        <v>0</v>
      </c>
      <c r="DJ50" s="172" cm="1">
        <f t="array" aca="1" ref="DJ50" ca="1">IF(OR($D50&lt;&gt;"Serviço",AND(AUTOEVENTO="Manual",$M50=$A$15),$M50&gt;(ROW(PLE.lastrow)-ROW(PLE.firstrow))),0,
           IF(OFFSET(PLE!$G$15,$M50-$A$15,DJ$13)="",10^12,OFFSET(PLE!$G$15,$M50-$A$15,DJ$13)))</f>
        <v>0</v>
      </c>
      <c r="DK50" s="172" cm="1">
        <f t="array" aca="1" ref="DK50" ca="1">IF(OR($D50&lt;&gt;"Serviço",AND(AUTOEVENTO="Manual",$M50=$A$15),$M50&gt;(ROW(PLE.lastrow)-ROW(PLE.firstrow))),0,
           IF(OFFSET(PLE!$G$15,$M50-$A$15,DK$13)="",10^12,OFFSET(PLE!$G$15,$M50-$A$15,DK$13)))</f>
        <v>0</v>
      </c>
      <c r="DL50" s="172" cm="1">
        <f t="array" aca="1" ref="DL50" ca="1">IF(OR($D50&lt;&gt;"Serviço",AND(AUTOEVENTO="Manual",$M50=$A$15),$M50&gt;(ROW(PLE.lastrow)-ROW(PLE.firstrow))),0,
           IF(OFFSET(PLE!$G$15,$M50-$A$15,DL$13)="",10^12,OFFSET(PLE!$G$15,$M50-$A$15,DL$13)))</f>
        <v>0</v>
      </c>
      <c r="DM50" s="172" cm="1">
        <f t="array" aca="1" ref="DM50" ca="1">IF(OR($D50&lt;&gt;"Serviço",AND(AUTOEVENTO="Manual",$M50=$A$15),$M50&gt;(ROW(PLE.lastrow)-ROW(PLE.firstrow))),0,
           IF(OFFSET(PLE!$G$15,$M50-$A$15,DM$13)="",10^12,OFFSET(PLE!$G$15,$M50-$A$15,DM$13)))</f>
        <v>0</v>
      </c>
      <c r="DN50" s="172" cm="1">
        <f t="array" aca="1" ref="DN50" ca="1">IF(OR($D50&lt;&gt;"Serviço",AND(AUTOEVENTO="Manual",$M50=$A$15),$M50&gt;(ROW(PLE.lastrow)-ROW(PLE.firstrow))),0,
           IF(OFFSET(PLE!$G$15,$M50-$A$15,DN$13)="",10^12,OFFSET(PLE!$G$15,$M50-$A$15,DN$13)))</f>
        <v>0</v>
      </c>
      <c r="DO50" s="172" cm="1">
        <f t="array" aca="1" ref="DO50" ca="1">IF(OR($D50&lt;&gt;"Serviço",AND(AUTOEVENTO="Manual",$M50=$A$15),$M50&gt;(ROW(PLE.lastrow)-ROW(PLE.firstrow))),0,
           IF(OFFSET(PLE!$G$15,$M50-$A$15,DO$13)="",10^12,OFFSET(PLE!$G$15,$M50-$A$15,DO$13)))</f>
        <v>0</v>
      </c>
      <c r="DP50" s="172" cm="1">
        <f t="array" aca="1" ref="DP50" ca="1">IF(OR($D50&lt;&gt;"Serviço",AND(AUTOEVENTO="Manual",$M50=$A$15),$M50&gt;(ROW(PLE.lastrow)-ROW(PLE.firstrow))),0,
           IF(OFFSET(PLE!$G$15,$M50-$A$15,DP$13)="",10^12,OFFSET(PLE!$G$15,$M50-$A$15,DP$13)))</f>
        <v>0</v>
      </c>
      <c r="DQ50" s="172" cm="1">
        <f t="array" aca="1" ref="DQ50" ca="1">IF(OR($D50&lt;&gt;"Serviço",AND(AUTOEVENTO="Manual",$M50=$A$15),$M50&gt;(ROW(PLE.lastrow)-ROW(PLE.firstrow))),0,
           IF(OFFSET(PLE!$G$15,$M50-$A$15,DQ$13)="",10^12,OFFSET(PLE!$G$15,$M50-$A$15,DQ$13)))</f>
        <v>0</v>
      </c>
      <c r="DR50" s="172" cm="1">
        <f t="array" aca="1" ref="DR50" ca="1">IF(OR($D50&lt;&gt;"Serviço",AND(AUTOEVENTO="Manual",$M50=$A$15),$M50&gt;(ROW(PLE.lastrow)-ROW(PLE.firstrow))),0,
           IF(OFFSET(PLE!$G$15,$M50-$A$15,DR$13)="",10^12,OFFSET(PLE!$G$15,$M50-$A$15,DR$13)))</f>
        <v>0</v>
      </c>
      <c r="DS50" s="172" cm="1">
        <f t="array" aca="1" ref="DS50" ca="1">IF(OR($D50&lt;&gt;"Serviço",AND(AUTOEVENTO="Manual",$M50=$A$15),$M50&gt;(ROW(PLE.lastrow)-ROW(PLE.firstrow))),0,
           IF(OFFSET(PLE!$G$15,$M50-$A$15,DS$13)="",10^12,OFFSET(PLE!$G$15,$M50-$A$15,DS$13)))</f>
        <v>0</v>
      </c>
    </row>
    <row r="51" spans="1:123" ht="51" x14ac:dyDescent="0.2">
      <c r="A51" s="7">
        <f t="shared" ca="1" si="11"/>
        <v>4</v>
      </c>
      <c r="B51" s="7" t="str">
        <f ca="1">OFFSET(ORÇAMENTO!C$15,$L51,0)</f>
        <v>S</v>
      </c>
      <c r="C51" s="7" t="str">
        <f ca="1">OFFSET(ORÇAMENTO!L$15,$L51,0)</f>
        <v/>
      </c>
      <c r="D51" s="116" t="str">
        <f ca="1">OFFSET(ORÇAMENTO!N$15,$L51,0)</f>
        <v>Serviço</v>
      </c>
      <c r="E51" s="117" t="str">
        <f ca="1">OFFSET(ORÇAMENTO!O$15,$L51,0)</f>
        <v>-</v>
      </c>
      <c r="F51" s="163" t="str">
        <f ca="1">OFFSET(ORÇAMENTO!R$15,$L51,0)</f>
        <v>(Código não identificado nas referências)</v>
      </c>
      <c r="G51" s="164" t="str">
        <f ca="1">IF($D51&lt;&gt;"Serviço","",OFFSET(ORÇAMENTO!S$15,$L51,0))</f>
        <v>-</v>
      </c>
      <c r="H51" s="122" cm="1">
        <f t="array" aca="1" ref="H51" ca="1">IF($D51&lt;&gt;"Serviço",0,IF(ACOMPANHAMENTO="BM",ROUND(OFFSET(ORÇAMENTO!AJ$15,$L51,0),15-13*ORÇAMENTO!$AF$7),IF(IFERROR(CÁLCULO.FrentesPreenchidas,0)=0,0,SUM(ROUND(OFFSET($P51,0,1,1,CÁLCULO.FrentesPreenchidas),15-13*ORÇAMENTO!$AF$7)))))</f>
        <v>287.79999999999984</v>
      </c>
      <c r="I51" s="468" t="s">
        <v>1235</v>
      </c>
      <c r="J51" s="651" t="str" cm="1">
        <f t="array" aca="1" ref="J51" ca="1">IF(OR(B51&lt;&gt;"S",CÁLCULO.FrentesPreenchidas=0),"",IF(AND(ACOMPANHAMENTO="PLE",AUTOEVENTO="Manual",OR(H51&gt;0,ORÇAMENTO!AC51="QUANT."),OR(K51="",M51=0,N51="")),"►E",IF(AND(ACOMPANHAMENTO="PLE",ORÇAMENTO!AC51="QUANT."),"►Q",IF(AND(ACOMPANHAMENTO="PLE",H51&lt;&gt;SUMPRODUCT(($Q$1:$AQ$1=1)*ROUND(Q51:AQ51,15))),"►S",IF(AND(COUNTIF($P$11:$AQ$11,"▼")=0,H51&gt;0,I51=""),"◄M","")))))</f>
        <v/>
      </c>
      <c r="K51" s="652" t="s">
        <v>1252</v>
      </c>
      <c r="L51" s="165">
        <f t="shared" ca="1" si="12"/>
        <v>36</v>
      </c>
      <c r="M51" s="166">
        <f ca="1">IF($D51&lt;&gt;"Serviço","",
          IF(AUTOEVENTO="manual",$A51,
                IF(ISERROR(MATCH($A51,$A$15:OFFSET($A51,-1,0),0)),MAX($M$15:OFFSET(M51,-1,0))+1,
                      INDEX($M$15:OFFSET(M51,-1,0),MATCH($A51,$A$15:OFFSET($A51,-1,0),0)))))</f>
        <v>4</v>
      </c>
      <c r="N51" s="167" t="str">
        <f ca="1">IF($D51&lt;&gt;"Serviço","",
         IF(AUTOEVENTO="Manual",
                IF($A51=0,"&lt;-- defina o número do agrupador",
                       OFFSET(EVENTOS!$D$15,$A51-$A$15,0)),
                OFFSET($F$15,$A51,0)))</f>
        <v>SUPRAESTRUTURA</v>
      </c>
      <c r="O51" s="168"/>
      <c r="Q51" s="168">
        <v>14.39</v>
      </c>
      <c r="R51" s="169">
        <v>14.39</v>
      </c>
      <c r="S51" s="169">
        <v>14.39</v>
      </c>
      <c r="T51" s="169">
        <v>14.39</v>
      </c>
      <c r="U51" s="169">
        <v>14.39</v>
      </c>
      <c r="V51" s="169">
        <v>14.39</v>
      </c>
      <c r="W51" s="169">
        <v>14.39</v>
      </c>
      <c r="X51" s="169">
        <v>14.39</v>
      </c>
      <c r="Y51" s="169">
        <v>14.39</v>
      </c>
      <c r="Z51" s="170">
        <v>14.39</v>
      </c>
      <c r="AA51" s="169">
        <v>14.39</v>
      </c>
      <c r="AB51" s="169">
        <v>14.39</v>
      </c>
      <c r="AC51" s="169">
        <v>14.39</v>
      </c>
      <c r="AD51" s="169">
        <v>14.39</v>
      </c>
      <c r="AE51" s="169">
        <v>14.39</v>
      </c>
      <c r="AF51" s="169">
        <v>14.39</v>
      </c>
      <c r="AG51" s="169">
        <v>14.39</v>
      </c>
      <c r="AH51" s="170">
        <v>14.39</v>
      </c>
      <c r="AI51" s="169">
        <v>14.39</v>
      </c>
      <c r="AJ51" s="169">
        <v>14.39</v>
      </c>
      <c r="AK51" s="169"/>
      <c r="AL51" s="169"/>
      <c r="AM51" s="169"/>
      <c r="AN51" s="169"/>
      <c r="AO51" s="169"/>
      <c r="AP51" s="170"/>
      <c r="AR51" s="453">
        <f ca="1">IF(AND($D51="Serviço",AR$12&lt;&gt;0,$H51&gt;0,OR(AUTOEVENTO&lt;&gt;"manual",$M51&lt;&gt;$A$15)),
        IF(Import.TipoArredondamento&lt;&gt;"TransfereGOV",
              ROUND(OFFSET($P51,0,AR$13),15-13*ORÇAMENTO!$AF$7)/$H51*OFFSET(ORÇAMENTO!$X$15,ROW(AR51)-ROW(AR$15),0),
              ROUND(ROUND(OFFSET($P51,0,AR$13),15-13*ORÇAMENTO!$AF$7)*OFFSET(ORÇAMENTO!$W$15,ROW(AR51)-ROW(AR$15),0),15-13*ORÇAMENTO!$AF$11)),
         0)</f>
        <v>0</v>
      </c>
      <c r="AS51" s="453">
        <f ca="1">IF(AND($D51="Serviço",AS$12&lt;&gt;0,$H51&gt;0,OR(AUTOEVENTO&lt;&gt;"manual",$M51&lt;&gt;$A$15)),
        IF(Import.TipoArredondamento&lt;&gt;"TransfereGOV",
              ROUND(OFFSET($P51,0,AS$13),15-13*ORÇAMENTO!$AF$7)/$H51*OFFSET(ORÇAMENTO!$X$15,ROW(AS51)-ROW(AS$15),0),
              ROUND(ROUND(OFFSET($P51,0,AS$13),15-13*ORÇAMENTO!$AF$7)*OFFSET(ORÇAMENTO!$W$15,ROW(AS51)-ROW(AS$15),0),15-13*ORÇAMENTO!$AF$11)),
         0)</f>
        <v>0</v>
      </c>
      <c r="AT51" s="453">
        <f ca="1">IF(AND($D51="Serviço",AT$12&lt;&gt;0,$H51&gt;0,OR(AUTOEVENTO&lt;&gt;"manual",$M51&lt;&gt;$A$15)),
        IF(Import.TipoArredondamento&lt;&gt;"TransfereGOV",
              ROUND(OFFSET($P51,0,AT$13),15-13*ORÇAMENTO!$AF$7)/$H51*OFFSET(ORÇAMENTO!$X$15,ROW(AT51)-ROW(AT$15),0),
              ROUND(ROUND(OFFSET($P51,0,AT$13),15-13*ORÇAMENTO!$AF$7)*OFFSET(ORÇAMENTO!$W$15,ROW(AT51)-ROW(AT$15),0),15-13*ORÇAMENTO!$AF$11)),
         0)</f>
        <v>0</v>
      </c>
      <c r="AU51" s="453">
        <f ca="1">IF(AND($D51="Serviço",AU$12&lt;&gt;0,$H51&gt;0,OR(AUTOEVENTO&lt;&gt;"manual",$M51&lt;&gt;$A$15)),
        IF(Import.TipoArredondamento&lt;&gt;"TransfereGOV",
              ROUND(OFFSET($P51,0,AU$13),15-13*ORÇAMENTO!$AF$7)/$H51*OFFSET(ORÇAMENTO!$X$15,ROW(AU51)-ROW(AU$15),0),
              ROUND(ROUND(OFFSET($P51,0,AU$13),15-13*ORÇAMENTO!$AF$7)*OFFSET(ORÇAMENTO!$W$15,ROW(AU51)-ROW(AU$15),0),15-13*ORÇAMENTO!$AF$11)),
         0)</f>
        <v>0</v>
      </c>
      <c r="AV51" s="453">
        <f ca="1">IF(AND($D51="Serviço",AV$12&lt;&gt;0,$H51&gt;0,OR(AUTOEVENTO&lt;&gt;"manual",$M51&lt;&gt;$A$15)),
        IF(Import.TipoArredondamento&lt;&gt;"TransfereGOV",
              ROUND(OFFSET($P51,0,AV$13),15-13*ORÇAMENTO!$AF$7)/$H51*OFFSET(ORÇAMENTO!$X$15,ROW(AV51)-ROW(AV$15),0),
              ROUND(ROUND(OFFSET($P51,0,AV$13),15-13*ORÇAMENTO!$AF$7)*OFFSET(ORÇAMENTO!$W$15,ROW(AV51)-ROW(AV$15),0),15-13*ORÇAMENTO!$AF$11)),
         0)</f>
        <v>0</v>
      </c>
      <c r="AW51" s="453">
        <f ca="1">IF(AND($D51="Serviço",AW$12&lt;&gt;0,$H51&gt;0,OR(AUTOEVENTO&lt;&gt;"manual",$M51&lt;&gt;$A$15)),
        IF(Import.TipoArredondamento&lt;&gt;"TransfereGOV",
              ROUND(OFFSET($P51,0,AW$13),15-13*ORÇAMENTO!$AF$7)/$H51*OFFSET(ORÇAMENTO!$X$15,ROW(AW51)-ROW(AW$15),0),
              ROUND(ROUND(OFFSET($P51,0,AW$13),15-13*ORÇAMENTO!$AF$7)*OFFSET(ORÇAMENTO!$W$15,ROW(AW51)-ROW(AW$15),0),15-13*ORÇAMENTO!$AF$11)),
         0)</f>
        <v>0</v>
      </c>
      <c r="AX51" s="453">
        <f ca="1">IF(AND($D51="Serviço",AX$12&lt;&gt;0,$H51&gt;0,OR(AUTOEVENTO&lt;&gt;"manual",$M51&lt;&gt;$A$15)),
        IF(Import.TipoArredondamento&lt;&gt;"TransfereGOV",
              ROUND(OFFSET($P51,0,AX$13),15-13*ORÇAMENTO!$AF$7)/$H51*OFFSET(ORÇAMENTO!$X$15,ROW(AX51)-ROW(AX$15),0),
              ROUND(ROUND(OFFSET($P51,0,AX$13),15-13*ORÇAMENTO!$AF$7)*OFFSET(ORÇAMENTO!$W$15,ROW(AX51)-ROW(AX$15),0),15-13*ORÇAMENTO!$AF$11)),
         0)</f>
        <v>0</v>
      </c>
      <c r="AY51" s="453">
        <f ca="1">IF(AND($D51="Serviço",AY$12&lt;&gt;0,$H51&gt;0,OR(AUTOEVENTO&lt;&gt;"manual",$M51&lt;&gt;$A$15)),
        IF(Import.TipoArredondamento&lt;&gt;"TransfereGOV",
              ROUND(OFFSET($P51,0,AY$13),15-13*ORÇAMENTO!$AF$7)/$H51*OFFSET(ORÇAMENTO!$X$15,ROW(AY51)-ROW(AY$15),0),
              ROUND(ROUND(OFFSET($P51,0,AY$13),15-13*ORÇAMENTO!$AF$7)*OFFSET(ORÇAMENTO!$W$15,ROW(AY51)-ROW(AY$15),0),15-13*ORÇAMENTO!$AF$11)),
         0)</f>
        <v>0</v>
      </c>
      <c r="AZ51" s="453">
        <f ca="1">IF(AND($D51="Serviço",AZ$12&lt;&gt;0,$H51&gt;0,OR(AUTOEVENTO&lt;&gt;"manual",$M51&lt;&gt;$A$15)),
        IF(Import.TipoArredondamento&lt;&gt;"TransfereGOV",
              ROUND(OFFSET($P51,0,AZ$13),15-13*ORÇAMENTO!$AF$7)/$H51*OFFSET(ORÇAMENTO!$X$15,ROW(AZ51)-ROW(AZ$15),0),
              ROUND(ROUND(OFFSET($P51,0,AZ$13),15-13*ORÇAMENTO!$AF$7)*OFFSET(ORÇAMENTO!$W$15,ROW(AZ51)-ROW(AZ$15),0),15-13*ORÇAMENTO!$AF$11)),
         0)</f>
        <v>0</v>
      </c>
      <c r="BA51" s="453">
        <f ca="1">IF(AND($D51="Serviço",BA$12&lt;&gt;0,$H51&gt;0,OR(AUTOEVENTO&lt;&gt;"manual",$M51&lt;&gt;$A$15)),
        IF(Import.TipoArredondamento&lt;&gt;"TransfereGOV",
              ROUND(OFFSET($P51,0,BA$13),15-13*ORÇAMENTO!$AF$7)/$H51*OFFSET(ORÇAMENTO!$X$15,ROW(BA51)-ROW(BA$15),0),
              ROUND(ROUND(OFFSET($P51,0,BA$13),15-13*ORÇAMENTO!$AF$7)*OFFSET(ORÇAMENTO!$W$15,ROW(BA51)-ROW(BA$15),0),15-13*ORÇAMENTO!$AF$11)),
         0)</f>
        <v>0</v>
      </c>
      <c r="BB51" s="453">
        <f ca="1">IF(AND($D51="Serviço",BB$12&lt;&gt;0,$H51&gt;0,OR(AUTOEVENTO&lt;&gt;"manual",$M51&lt;&gt;$A$15)),
        IF(Import.TipoArredondamento&lt;&gt;"TransfereGOV",
              ROUND(OFFSET($P51,0,BB$13),15-13*ORÇAMENTO!$AF$7)/$H51*OFFSET(ORÇAMENTO!$X$15,ROW(BB51)-ROW(BB$15),0),
              ROUND(ROUND(OFFSET($P51,0,BB$13),15-13*ORÇAMENTO!$AF$7)*OFFSET(ORÇAMENTO!$W$15,ROW(BB51)-ROW(BB$15),0),15-13*ORÇAMENTO!$AF$11)),
         0)</f>
        <v>0</v>
      </c>
      <c r="BC51" s="453">
        <f ca="1">IF(AND($D51="Serviço",BC$12&lt;&gt;0,$H51&gt;0,OR(AUTOEVENTO&lt;&gt;"manual",$M51&lt;&gt;$A$15)),
        IF(Import.TipoArredondamento&lt;&gt;"TransfereGOV",
              ROUND(OFFSET($P51,0,BC$13),15-13*ORÇAMENTO!$AF$7)/$H51*OFFSET(ORÇAMENTO!$X$15,ROW(BC51)-ROW(BC$15),0),
              ROUND(ROUND(OFFSET($P51,0,BC$13),15-13*ORÇAMENTO!$AF$7)*OFFSET(ORÇAMENTO!$W$15,ROW(BC51)-ROW(BC$15),0),15-13*ORÇAMENTO!$AF$11)),
         0)</f>
        <v>0</v>
      </c>
      <c r="BD51" s="453">
        <f ca="1">IF(AND($D51="Serviço",BD$12&lt;&gt;0,$H51&gt;0,OR(AUTOEVENTO&lt;&gt;"manual",$M51&lt;&gt;$A$15)),
        IF(Import.TipoArredondamento&lt;&gt;"TransfereGOV",
              ROUND(OFFSET($P51,0,BD$13),15-13*ORÇAMENTO!$AF$7)/$H51*OFFSET(ORÇAMENTO!$X$15,ROW(BD51)-ROW(BD$15),0),
              ROUND(ROUND(OFFSET($P51,0,BD$13),15-13*ORÇAMENTO!$AF$7)*OFFSET(ORÇAMENTO!$W$15,ROW(BD51)-ROW(BD$15),0),15-13*ORÇAMENTO!$AF$11)),
         0)</f>
        <v>0</v>
      </c>
      <c r="BE51" s="453">
        <f ca="1">IF(AND($D51="Serviço",BE$12&lt;&gt;0,$H51&gt;0,OR(AUTOEVENTO&lt;&gt;"manual",$M51&lt;&gt;$A$15)),
        IF(Import.TipoArredondamento&lt;&gt;"TransfereGOV",
              ROUND(OFFSET($P51,0,BE$13),15-13*ORÇAMENTO!$AF$7)/$H51*OFFSET(ORÇAMENTO!$X$15,ROW(BE51)-ROW(BE$15),0),
              ROUND(ROUND(OFFSET($P51,0,BE$13),15-13*ORÇAMENTO!$AF$7)*OFFSET(ORÇAMENTO!$W$15,ROW(BE51)-ROW(BE$15),0),15-13*ORÇAMENTO!$AF$11)),
         0)</f>
        <v>0</v>
      </c>
      <c r="BF51" s="453">
        <f ca="1">IF(AND($D51="Serviço",BF$12&lt;&gt;0,$H51&gt;0,OR(AUTOEVENTO&lt;&gt;"manual",$M51&lt;&gt;$A$15)),
        IF(Import.TipoArredondamento&lt;&gt;"TransfereGOV",
              ROUND(OFFSET($P51,0,BF$13),15-13*ORÇAMENTO!$AF$7)/$H51*OFFSET(ORÇAMENTO!$X$15,ROW(BF51)-ROW(BF$15),0),
              ROUND(ROUND(OFFSET($P51,0,BF$13),15-13*ORÇAMENTO!$AF$7)*OFFSET(ORÇAMENTO!$W$15,ROW(BF51)-ROW(BF$15),0),15-13*ORÇAMENTO!$AF$11)),
         0)</f>
        <v>0</v>
      </c>
      <c r="BG51" s="453">
        <f ca="1">IF(AND($D51="Serviço",BG$12&lt;&gt;0,$H51&gt;0,OR(AUTOEVENTO&lt;&gt;"manual",$M51&lt;&gt;$A$15)),
        IF(Import.TipoArredondamento&lt;&gt;"TransfereGOV",
              ROUND(OFFSET($P51,0,BG$13),15-13*ORÇAMENTO!$AF$7)/$H51*OFFSET(ORÇAMENTO!$X$15,ROW(BG51)-ROW(BG$15),0),
              ROUND(ROUND(OFFSET($P51,0,BG$13),15-13*ORÇAMENTO!$AF$7)*OFFSET(ORÇAMENTO!$W$15,ROW(BG51)-ROW(BG$15),0),15-13*ORÇAMENTO!$AF$11)),
         0)</f>
        <v>0</v>
      </c>
      <c r="BH51" s="453">
        <f ca="1">IF(AND($D51="Serviço",BH$12&lt;&gt;0,$H51&gt;0,OR(AUTOEVENTO&lt;&gt;"manual",$M51&lt;&gt;$A$15)),
        IF(Import.TipoArredondamento&lt;&gt;"TransfereGOV",
              ROUND(OFFSET($P51,0,BH$13),15-13*ORÇAMENTO!$AF$7)/$H51*OFFSET(ORÇAMENTO!$X$15,ROW(BH51)-ROW(BH$15),0),
              ROUND(ROUND(OFFSET($P51,0,BH$13),15-13*ORÇAMENTO!$AF$7)*OFFSET(ORÇAMENTO!$W$15,ROW(BH51)-ROW(BH$15),0),15-13*ORÇAMENTO!$AF$11)),
         0)</f>
        <v>0</v>
      </c>
      <c r="BI51" s="453">
        <f ca="1">IF(AND($D51="Serviço",BI$12&lt;&gt;0,$H51&gt;0,OR(AUTOEVENTO&lt;&gt;"manual",$M51&lt;&gt;$A$15)),
        IF(Import.TipoArredondamento&lt;&gt;"TransfereGOV",
              ROUND(OFFSET($P51,0,BI$13),15-13*ORÇAMENTO!$AF$7)/$H51*OFFSET(ORÇAMENTO!$X$15,ROW(BI51)-ROW(BI$15),0),
              ROUND(ROUND(OFFSET($P51,0,BI$13),15-13*ORÇAMENTO!$AF$7)*OFFSET(ORÇAMENTO!$W$15,ROW(BI51)-ROW(BI$15),0),15-13*ORÇAMENTO!$AF$11)),
         0)</f>
        <v>0</v>
      </c>
      <c r="BJ51" s="453">
        <f ca="1">IF(AND($D51="Serviço",BJ$12&lt;&gt;0,$H51&gt;0,OR(AUTOEVENTO&lt;&gt;"manual",$M51&lt;&gt;$A$15)),
        IF(Import.TipoArredondamento&lt;&gt;"TransfereGOV",
              ROUND(OFFSET($P51,0,BJ$13),15-13*ORÇAMENTO!$AF$7)/$H51*OFFSET(ORÇAMENTO!$X$15,ROW(BJ51)-ROW(BJ$15),0),
              ROUND(ROUND(OFFSET($P51,0,BJ$13),15-13*ORÇAMENTO!$AF$7)*OFFSET(ORÇAMENTO!$W$15,ROW(BJ51)-ROW(BJ$15),0),15-13*ORÇAMENTO!$AF$11)),
         0)</f>
        <v>0</v>
      </c>
      <c r="BK51" s="453">
        <f ca="1">IF(AND($D51="Serviço",BK$12&lt;&gt;0,$H51&gt;0,OR(AUTOEVENTO&lt;&gt;"manual",$M51&lt;&gt;$A$15)),
        IF(Import.TipoArredondamento&lt;&gt;"TransfereGOV",
              ROUND(OFFSET($P51,0,BK$13),15-13*ORÇAMENTO!$AF$7)/$H51*OFFSET(ORÇAMENTO!$X$15,ROW(BK51)-ROW(BK$15),0),
              ROUND(ROUND(OFFSET($P51,0,BK$13),15-13*ORÇAMENTO!$AF$7)*OFFSET(ORÇAMENTO!$W$15,ROW(BK51)-ROW(BK$15),0),15-13*ORÇAMENTO!$AF$11)),
         0)</f>
        <v>0</v>
      </c>
      <c r="BL51" s="453">
        <f ca="1">IF(AND($D51="Serviço",BL$12&lt;&gt;0,$H51&gt;0,OR(AUTOEVENTO&lt;&gt;"manual",$M51&lt;&gt;$A$15)),
        IF(Import.TipoArredondamento&lt;&gt;"TransfereGOV",
              ROUND(OFFSET($P51,0,BL$13),15-13*ORÇAMENTO!$AF$7)/$H51*OFFSET(ORÇAMENTO!$X$15,ROW(BL51)-ROW(BL$15),0),
              ROUND(ROUND(OFFSET($P51,0,BL$13),15-13*ORÇAMENTO!$AF$7)*OFFSET(ORÇAMENTO!$W$15,ROW(BL51)-ROW(BL$15),0),15-13*ORÇAMENTO!$AF$11)),
         0)</f>
        <v>0</v>
      </c>
      <c r="BM51" s="453">
        <f ca="1">IF(AND($D51="Serviço",BM$12&lt;&gt;0,$H51&gt;0,OR(AUTOEVENTO&lt;&gt;"manual",$M51&lt;&gt;$A$15)),
        IF(Import.TipoArredondamento&lt;&gt;"TransfereGOV",
              ROUND(OFFSET($P51,0,BM$13),15-13*ORÇAMENTO!$AF$7)/$H51*OFFSET(ORÇAMENTO!$X$15,ROW(BM51)-ROW(BM$15),0),
              ROUND(ROUND(OFFSET($P51,0,BM$13),15-13*ORÇAMENTO!$AF$7)*OFFSET(ORÇAMENTO!$W$15,ROW(BM51)-ROW(BM$15),0),15-13*ORÇAMENTO!$AF$11)),
         0)</f>
        <v>0</v>
      </c>
      <c r="BN51" s="453">
        <f ca="1">IF(AND($D51="Serviço",BN$12&lt;&gt;0,$H51&gt;0,OR(AUTOEVENTO&lt;&gt;"manual",$M51&lt;&gt;$A$15)),
        IF(Import.TipoArredondamento&lt;&gt;"TransfereGOV",
              ROUND(OFFSET($P51,0,BN$13),15-13*ORÇAMENTO!$AF$7)/$H51*OFFSET(ORÇAMENTO!$X$15,ROW(BN51)-ROW(BN$15),0),
              ROUND(ROUND(OFFSET($P51,0,BN$13),15-13*ORÇAMENTO!$AF$7)*OFFSET(ORÇAMENTO!$W$15,ROW(BN51)-ROW(BN$15),0),15-13*ORÇAMENTO!$AF$11)),
         0)</f>
        <v>0</v>
      </c>
      <c r="BO51" s="453">
        <f ca="1">IF(AND($D51="Serviço",BO$12&lt;&gt;0,$H51&gt;0,OR(AUTOEVENTO&lt;&gt;"manual",$M51&lt;&gt;$A$15)),
        IF(Import.TipoArredondamento&lt;&gt;"TransfereGOV",
              ROUND(OFFSET($P51,0,BO$13),15-13*ORÇAMENTO!$AF$7)/$H51*OFFSET(ORÇAMENTO!$X$15,ROW(BO51)-ROW(BO$15),0),
              ROUND(ROUND(OFFSET($P51,0,BO$13),15-13*ORÇAMENTO!$AF$7)*OFFSET(ORÇAMENTO!$W$15,ROW(BO51)-ROW(BO$15),0),15-13*ORÇAMENTO!$AF$11)),
         0)</f>
        <v>0</v>
      </c>
      <c r="BP51" s="453">
        <f ca="1">IF(AND($D51="Serviço",BP$12&lt;&gt;0,$H51&gt;0,OR(AUTOEVENTO&lt;&gt;"manual",$M51&lt;&gt;$A$15)),
        IF(Import.TipoArredondamento&lt;&gt;"TransfereGOV",
              ROUND(OFFSET($P51,0,BP$13),15-13*ORÇAMENTO!$AF$7)/$H51*OFFSET(ORÇAMENTO!$X$15,ROW(BP51)-ROW(BP$15),0),
              ROUND(ROUND(OFFSET($P51,0,BP$13),15-13*ORÇAMENTO!$AF$7)*OFFSET(ORÇAMENTO!$W$15,ROW(BP51)-ROW(BP$15),0),15-13*ORÇAMENTO!$AF$11)),
         0)</f>
        <v>0</v>
      </c>
      <c r="BQ51" s="453">
        <f ca="1">IF(AND($D51="Serviço",BQ$12&lt;&gt;0,$H51&gt;0,OR(AUTOEVENTO&lt;&gt;"manual",$M51&lt;&gt;$A$15)),
        IF(Import.TipoArredondamento&lt;&gt;"TransfereGOV",
              ROUND(OFFSET($P51,0,BQ$13),15-13*ORÇAMENTO!$AF$7)/$H51*OFFSET(ORÇAMENTO!$X$15,ROW(BQ51)-ROW(BQ$15),0),
              ROUND(ROUND(OFFSET($P51,0,BQ$13),15-13*ORÇAMENTO!$AF$7)*OFFSET(ORÇAMENTO!$W$15,ROW(BQ51)-ROW(BQ$15),0),15-13*ORÇAMENTO!$AF$11)),
         0)</f>
        <v>0</v>
      </c>
      <c r="BS51" s="171">
        <f ca="1">IF(OR($D51&lt;&gt;"Serviço",AND(AUTOEVENTO="Manual",$M51=$A$15)),0,
         IF(OFFSET(CRONOPLE!$F$15,$M51-$A$15,BS$13)=0,10^12,OFFSET(CRONOPLE!$F$15,$M51-$A$15,BS$13)))</f>
        <v>1</v>
      </c>
      <c r="BT51" s="171">
        <f ca="1">IF(OR($D51&lt;&gt;"Serviço",AND(AUTOEVENTO="Manual",$M51=$A$15)),0,
         IF(OFFSET(CRONOPLE!$F$15,$M51-$A$15,BT$13)=0,10^12,OFFSET(CRONOPLE!$F$15,$M51-$A$15,BT$13)))</f>
        <v>2</v>
      </c>
      <c r="BU51" s="171">
        <f ca="1">IF(OR($D51&lt;&gt;"Serviço",AND(AUTOEVENTO="Manual",$M51=$A$15)),0,
         IF(OFFSET(CRONOPLE!$F$15,$M51-$A$15,BU$13)=0,10^12,OFFSET(CRONOPLE!$F$15,$M51-$A$15,BU$13)))</f>
        <v>3</v>
      </c>
      <c r="BV51" s="171">
        <f ca="1">IF(OR($D51&lt;&gt;"Serviço",AND(AUTOEVENTO="Manual",$M51=$A$15)),0,
         IF(OFFSET(CRONOPLE!$F$15,$M51-$A$15,BV$13)=0,10^12,OFFSET(CRONOPLE!$F$15,$M51-$A$15,BV$13)))</f>
        <v>4</v>
      </c>
      <c r="BW51" s="171">
        <f ca="1">IF(OR($D51&lt;&gt;"Serviço",AND(AUTOEVENTO="Manual",$M51=$A$15)),0,
         IF(OFFSET(CRONOPLE!$F$15,$M51-$A$15,BW$13)=0,10^12,OFFSET(CRONOPLE!$F$15,$M51-$A$15,BW$13)))</f>
        <v>5</v>
      </c>
      <c r="BX51" s="171">
        <f ca="1">IF(OR($D51&lt;&gt;"Serviço",AND(AUTOEVENTO="Manual",$M51=$A$15)),0,
         IF(OFFSET(CRONOPLE!$F$15,$M51-$A$15,BX$13)=0,10^12,OFFSET(CRONOPLE!$F$15,$M51-$A$15,BX$13)))</f>
        <v>6</v>
      </c>
      <c r="BY51" s="171">
        <f ca="1">IF(OR($D51&lt;&gt;"Serviço",AND(AUTOEVENTO="Manual",$M51=$A$15)),0,
         IF(OFFSET(CRONOPLE!$F$15,$M51-$A$15,BY$13)=0,10^12,OFFSET(CRONOPLE!$F$15,$M51-$A$15,BY$13)))</f>
        <v>7</v>
      </c>
      <c r="BZ51" s="171">
        <f ca="1">IF(OR($D51&lt;&gt;"Serviço",AND(AUTOEVENTO="Manual",$M51=$A$15)),0,
         IF(OFFSET(CRONOPLE!$F$15,$M51-$A$15,BZ$13)=0,10^12,OFFSET(CRONOPLE!$F$15,$M51-$A$15,BZ$13)))</f>
        <v>8</v>
      </c>
      <c r="CA51" s="171">
        <f ca="1">IF(OR($D51&lt;&gt;"Serviço",AND(AUTOEVENTO="Manual",$M51=$A$15)),0,
         IF(OFFSET(CRONOPLE!$F$15,$M51-$A$15,CA$13)=0,10^12,OFFSET(CRONOPLE!$F$15,$M51-$A$15,CA$13)))</f>
        <v>9</v>
      </c>
      <c r="CB51" s="171">
        <f ca="1">IF(OR($D51&lt;&gt;"Serviço",AND(AUTOEVENTO="Manual",$M51=$A$15)),0,
         IF(OFFSET(CRONOPLE!$F$15,$M51-$A$15,CB$13)=0,10^12,OFFSET(CRONOPLE!$F$15,$M51-$A$15,CB$13)))</f>
        <v>10</v>
      </c>
      <c r="CC51" s="171">
        <f ca="1">IF(OR($D51&lt;&gt;"Serviço",AND(AUTOEVENTO="Manual",$M51=$A$15)),0,
         IF(OFFSET(CRONOPLE!$F$15,$M51-$A$15,CC$13)=0,10^12,OFFSET(CRONOPLE!$F$15,$M51-$A$15,CC$13)))</f>
        <v>11</v>
      </c>
      <c r="CD51" s="171">
        <f ca="1">IF(OR($D51&lt;&gt;"Serviço",AND(AUTOEVENTO="Manual",$M51=$A$15)),0,
         IF(OFFSET(CRONOPLE!$F$15,$M51-$A$15,CD$13)=0,10^12,OFFSET(CRONOPLE!$F$15,$M51-$A$15,CD$13)))</f>
        <v>12</v>
      </c>
      <c r="CE51" s="171">
        <f ca="1">IF(OR($D51&lt;&gt;"Serviço",AND(AUTOEVENTO="Manual",$M51=$A$15)),0,
         IF(OFFSET(CRONOPLE!$F$15,$M51-$A$15,CE$13)=0,10^12,OFFSET(CRONOPLE!$F$15,$M51-$A$15,CE$13)))</f>
        <v>13</v>
      </c>
      <c r="CF51" s="171">
        <f ca="1">IF(OR($D51&lt;&gt;"Serviço",AND(AUTOEVENTO="Manual",$M51=$A$15)),0,
         IF(OFFSET(CRONOPLE!$F$15,$M51-$A$15,CF$13)=0,10^12,OFFSET(CRONOPLE!$F$15,$M51-$A$15,CF$13)))</f>
        <v>14</v>
      </c>
      <c r="CG51" s="171">
        <f ca="1">IF(OR($D51&lt;&gt;"Serviço",AND(AUTOEVENTO="Manual",$M51=$A$15)),0,
         IF(OFFSET(CRONOPLE!$F$15,$M51-$A$15,CG$13)=0,10^12,OFFSET(CRONOPLE!$F$15,$M51-$A$15,CG$13)))</f>
        <v>15</v>
      </c>
      <c r="CH51" s="171">
        <f ca="1">IF(OR($D51&lt;&gt;"Serviço",AND(AUTOEVENTO="Manual",$M51=$A$15)),0,
         IF(OFFSET(CRONOPLE!$F$15,$M51-$A$15,CH$13)=0,10^12,OFFSET(CRONOPLE!$F$15,$M51-$A$15,CH$13)))</f>
        <v>16</v>
      </c>
      <c r="CI51" s="171">
        <f ca="1">IF(OR($D51&lt;&gt;"Serviço",AND(AUTOEVENTO="Manual",$M51=$A$15)),0,
         IF(OFFSET(CRONOPLE!$F$15,$M51-$A$15,CI$13)=0,10^12,OFFSET(CRONOPLE!$F$15,$M51-$A$15,CI$13)))</f>
        <v>17</v>
      </c>
      <c r="CJ51" s="171">
        <f ca="1">IF(OR($D51&lt;&gt;"Serviço",AND(AUTOEVENTO="Manual",$M51=$A$15)),0,
         IF(OFFSET(CRONOPLE!$F$15,$M51-$A$15,CJ$13)=0,10^12,OFFSET(CRONOPLE!$F$15,$M51-$A$15,CJ$13)))</f>
        <v>18</v>
      </c>
      <c r="CK51" s="171">
        <f ca="1">IF(OR($D51&lt;&gt;"Serviço",AND(AUTOEVENTO="Manual",$M51=$A$15)),0,
         IF(OFFSET(CRONOPLE!$F$15,$M51-$A$15,CK$13)=0,10^12,OFFSET(CRONOPLE!$F$15,$M51-$A$15,CK$13)))</f>
        <v>19</v>
      </c>
      <c r="CL51" s="171">
        <f ca="1">IF(OR($D51&lt;&gt;"Serviço",AND(AUTOEVENTO="Manual",$M51=$A$15)),0,
         IF(OFFSET(CRONOPLE!$F$15,$M51-$A$15,CL$13)=0,10^12,OFFSET(CRONOPLE!$F$15,$M51-$A$15,CL$13)))</f>
        <v>20</v>
      </c>
      <c r="CM51" s="171">
        <f ca="1">IF(OR($D51&lt;&gt;"Serviço",AND(AUTOEVENTO="Manual",$M51=$A$15)),0,
         IF(OFFSET(CRONOPLE!$F$15,$M51-$A$15,CM$13)=0,10^12,OFFSET(CRONOPLE!$F$15,$M51-$A$15,CM$13)))</f>
        <v>1000000000000</v>
      </c>
      <c r="CN51" s="171">
        <f ca="1">IF(OR($D51&lt;&gt;"Serviço",AND(AUTOEVENTO="Manual",$M51=$A$15)),0,
         IF(OFFSET(CRONOPLE!$F$15,$M51-$A$15,CN$13)=0,10^12,OFFSET(CRONOPLE!$F$15,$M51-$A$15,CN$13)))</f>
        <v>1000000000000</v>
      </c>
      <c r="CO51" s="171">
        <f ca="1">IF(OR($D51&lt;&gt;"Serviço",AND(AUTOEVENTO="Manual",$M51=$A$15)),0,
         IF(OFFSET(CRONOPLE!$F$15,$M51-$A$15,CO$13)=0,10^12,OFFSET(CRONOPLE!$F$15,$M51-$A$15,CO$13)))</f>
        <v>1000000000000</v>
      </c>
      <c r="CP51" s="171">
        <f ca="1">IF(OR($D51&lt;&gt;"Serviço",AND(AUTOEVENTO="Manual",$M51=$A$15)),0,
         IF(OFFSET(CRONOPLE!$F$15,$M51-$A$15,CP$13)=0,10^12,OFFSET(CRONOPLE!$F$15,$M51-$A$15,CP$13)))</f>
        <v>1000000000000</v>
      </c>
      <c r="CQ51" s="171">
        <f ca="1">IF(OR($D51&lt;&gt;"Serviço",AND(AUTOEVENTO="Manual",$M51=$A$15)),0,
         IF(OFFSET(CRONOPLE!$F$15,$M51-$A$15,CQ$13)=0,10^12,OFFSET(CRONOPLE!$F$15,$M51-$A$15,CQ$13)))</f>
        <v>1000000000000</v>
      </c>
      <c r="CR51" s="171">
        <f ca="1">IF(OR($D51&lt;&gt;"Serviço",AND(AUTOEVENTO="Manual",$M51=$A$15)),0,
         IF(OFFSET(CRONOPLE!$F$15,$M51-$A$15,CR$13)=0,10^12,OFFSET(CRONOPLE!$F$15,$M51-$A$15,CR$13)))</f>
        <v>1000000000000</v>
      </c>
      <c r="CT51" s="172" cm="1">
        <f t="array" aca="1" ref="CT51" ca="1">IF(OR($D51&lt;&gt;"Serviço",AND(AUTOEVENTO="Manual",$M51=$A$15),$M51&gt;(ROW(PLE.lastrow)-ROW(PLE.firstrow))),0,
           IF(OFFSET(PLE!$G$15,$M51-$A$15,CT$13)="",10^12,OFFSET(PLE!$G$15,$M51-$A$15,CT$13)))</f>
        <v>1000000000000</v>
      </c>
      <c r="CU51" s="172" cm="1">
        <f t="array" aca="1" ref="CU51" ca="1">IF(OR($D51&lt;&gt;"Serviço",AND(AUTOEVENTO="Manual",$M51=$A$15),$M51&gt;(ROW(PLE.lastrow)-ROW(PLE.firstrow))),0,
           IF(OFFSET(PLE!$G$15,$M51-$A$15,CU$13)="",10^12,OFFSET(PLE!$G$15,$M51-$A$15,CU$13)))</f>
        <v>1000000000000</v>
      </c>
      <c r="CV51" s="172" cm="1">
        <f t="array" aca="1" ref="CV51" ca="1">IF(OR($D51&lt;&gt;"Serviço",AND(AUTOEVENTO="Manual",$M51=$A$15),$M51&gt;(ROW(PLE.lastrow)-ROW(PLE.firstrow))),0,
           IF(OFFSET(PLE!$G$15,$M51-$A$15,CV$13)="",10^12,OFFSET(PLE!$G$15,$M51-$A$15,CV$13)))</f>
        <v>1000000000000</v>
      </c>
      <c r="CW51" s="172" cm="1">
        <f t="array" aca="1" ref="CW51" ca="1">IF(OR($D51&lt;&gt;"Serviço",AND(AUTOEVENTO="Manual",$M51=$A$15),$M51&gt;(ROW(PLE.lastrow)-ROW(PLE.firstrow))),0,
           IF(OFFSET(PLE!$G$15,$M51-$A$15,CW$13)="",10^12,OFFSET(PLE!$G$15,$M51-$A$15,CW$13)))</f>
        <v>1000000000000</v>
      </c>
      <c r="CX51" s="172" cm="1">
        <f t="array" aca="1" ref="CX51" ca="1">IF(OR($D51&lt;&gt;"Serviço",AND(AUTOEVENTO="Manual",$M51=$A$15),$M51&gt;(ROW(PLE.lastrow)-ROW(PLE.firstrow))),0,
           IF(OFFSET(PLE!$G$15,$M51-$A$15,CX$13)="",10^12,OFFSET(PLE!$G$15,$M51-$A$15,CX$13)))</f>
        <v>1000000000000</v>
      </c>
      <c r="CY51" s="172" cm="1">
        <f t="array" aca="1" ref="CY51" ca="1">IF(OR($D51&lt;&gt;"Serviço",AND(AUTOEVENTO="Manual",$M51=$A$15),$M51&gt;(ROW(PLE.lastrow)-ROW(PLE.firstrow))),0,
           IF(OFFSET(PLE!$G$15,$M51-$A$15,CY$13)="",10^12,OFFSET(PLE!$G$15,$M51-$A$15,CY$13)))</f>
        <v>1000000000000</v>
      </c>
      <c r="CZ51" s="172" cm="1">
        <f t="array" aca="1" ref="CZ51" ca="1">IF(OR($D51&lt;&gt;"Serviço",AND(AUTOEVENTO="Manual",$M51=$A$15),$M51&gt;(ROW(PLE.lastrow)-ROW(PLE.firstrow))),0,
           IF(OFFSET(PLE!$G$15,$M51-$A$15,CZ$13)="",10^12,OFFSET(PLE!$G$15,$M51-$A$15,CZ$13)))</f>
        <v>1000000000000</v>
      </c>
      <c r="DA51" s="172" cm="1">
        <f t="array" aca="1" ref="DA51" ca="1">IF(OR($D51&lt;&gt;"Serviço",AND(AUTOEVENTO="Manual",$M51=$A$15),$M51&gt;(ROW(PLE.lastrow)-ROW(PLE.firstrow))),0,
           IF(OFFSET(PLE!$G$15,$M51-$A$15,DA$13)="",10^12,OFFSET(PLE!$G$15,$M51-$A$15,DA$13)))</f>
        <v>1000000000000</v>
      </c>
      <c r="DB51" s="172" cm="1">
        <f t="array" aca="1" ref="DB51" ca="1">IF(OR($D51&lt;&gt;"Serviço",AND(AUTOEVENTO="Manual",$M51=$A$15),$M51&gt;(ROW(PLE.lastrow)-ROW(PLE.firstrow))),0,
           IF(OFFSET(PLE!$G$15,$M51-$A$15,DB$13)="",10^12,OFFSET(PLE!$G$15,$M51-$A$15,DB$13)))</f>
        <v>1000000000000</v>
      </c>
      <c r="DC51" s="172" cm="1">
        <f t="array" aca="1" ref="DC51" ca="1">IF(OR($D51&lt;&gt;"Serviço",AND(AUTOEVENTO="Manual",$M51=$A$15),$M51&gt;(ROW(PLE.lastrow)-ROW(PLE.firstrow))),0,
           IF(OFFSET(PLE!$G$15,$M51-$A$15,DC$13)="",10^12,OFFSET(PLE!$G$15,$M51-$A$15,DC$13)))</f>
        <v>1000000000000</v>
      </c>
      <c r="DD51" s="172" cm="1">
        <f t="array" aca="1" ref="DD51" ca="1">IF(OR($D51&lt;&gt;"Serviço",AND(AUTOEVENTO="Manual",$M51=$A$15),$M51&gt;(ROW(PLE.lastrow)-ROW(PLE.firstrow))),0,
           IF(OFFSET(PLE!$G$15,$M51-$A$15,DD$13)="",10^12,OFFSET(PLE!$G$15,$M51-$A$15,DD$13)))</f>
        <v>1000000000000</v>
      </c>
      <c r="DE51" s="172" cm="1">
        <f t="array" aca="1" ref="DE51" ca="1">IF(OR($D51&lt;&gt;"Serviço",AND(AUTOEVENTO="Manual",$M51=$A$15),$M51&gt;(ROW(PLE.lastrow)-ROW(PLE.firstrow))),0,
           IF(OFFSET(PLE!$G$15,$M51-$A$15,DE$13)="",10^12,OFFSET(PLE!$G$15,$M51-$A$15,DE$13)))</f>
        <v>1000000000000</v>
      </c>
      <c r="DF51" s="172" cm="1">
        <f t="array" aca="1" ref="DF51" ca="1">IF(OR($D51&lt;&gt;"Serviço",AND(AUTOEVENTO="Manual",$M51=$A$15),$M51&gt;(ROW(PLE.lastrow)-ROW(PLE.firstrow))),0,
           IF(OFFSET(PLE!$G$15,$M51-$A$15,DF$13)="",10^12,OFFSET(PLE!$G$15,$M51-$A$15,DF$13)))</f>
        <v>1000000000000</v>
      </c>
      <c r="DG51" s="172" cm="1">
        <f t="array" aca="1" ref="DG51" ca="1">IF(OR($D51&lt;&gt;"Serviço",AND(AUTOEVENTO="Manual",$M51=$A$15),$M51&gt;(ROW(PLE.lastrow)-ROW(PLE.firstrow))),0,
           IF(OFFSET(PLE!$G$15,$M51-$A$15,DG$13)="",10^12,OFFSET(PLE!$G$15,$M51-$A$15,DG$13)))</f>
        <v>1000000000000</v>
      </c>
      <c r="DH51" s="172" cm="1">
        <f t="array" aca="1" ref="DH51" ca="1">IF(OR($D51&lt;&gt;"Serviço",AND(AUTOEVENTO="Manual",$M51=$A$15),$M51&gt;(ROW(PLE.lastrow)-ROW(PLE.firstrow))),0,
           IF(OFFSET(PLE!$G$15,$M51-$A$15,DH$13)="",10^12,OFFSET(PLE!$G$15,$M51-$A$15,DH$13)))</f>
        <v>1000000000000</v>
      </c>
      <c r="DI51" s="172" cm="1">
        <f t="array" aca="1" ref="DI51" ca="1">IF(OR($D51&lt;&gt;"Serviço",AND(AUTOEVENTO="Manual",$M51=$A$15),$M51&gt;(ROW(PLE.lastrow)-ROW(PLE.firstrow))),0,
           IF(OFFSET(PLE!$G$15,$M51-$A$15,DI$13)="",10^12,OFFSET(PLE!$G$15,$M51-$A$15,DI$13)))</f>
        <v>1000000000000</v>
      </c>
      <c r="DJ51" s="172" cm="1">
        <f t="array" aca="1" ref="DJ51" ca="1">IF(OR($D51&lt;&gt;"Serviço",AND(AUTOEVENTO="Manual",$M51=$A$15),$M51&gt;(ROW(PLE.lastrow)-ROW(PLE.firstrow))),0,
           IF(OFFSET(PLE!$G$15,$M51-$A$15,DJ$13)="",10^12,OFFSET(PLE!$G$15,$M51-$A$15,DJ$13)))</f>
        <v>1000000000000</v>
      </c>
      <c r="DK51" s="172" cm="1">
        <f t="array" aca="1" ref="DK51" ca="1">IF(OR($D51&lt;&gt;"Serviço",AND(AUTOEVENTO="Manual",$M51=$A$15),$M51&gt;(ROW(PLE.lastrow)-ROW(PLE.firstrow))),0,
           IF(OFFSET(PLE!$G$15,$M51-$A$15,DK$13)="",10^12,OFFSET(PLE!$G$15,$M51-$A$15,DK$13)))</f>
        <v>1000000000000</v>
      </c>
      <c r="DL51" s="172" cm="1">
        <f t="array" aca="1" ref="DL51" ca="1">IF(OR($D51&lt;&gt;"Serviço",AND(AUTOEVENTO="Manual",$M51=$A$15),$M51&gt;(ROW(PLE.lastrow)-ROW(PLE.firstrow))),0,
           IF(OFFSET(PLE!$G$15,$M51-$A$15,DL$13)="",10^12,OFFSET(PLE!$G$15,$M51-$A$15,DL$13)))</f>
        <v>1000000000000</v>
      </c>
      <c r="DM51" s="172" cm="1">
        <f t="array" aca="1" ref="DM51" ca="1">IF(OR($D51&lt;&gt;"Serviço",AND(AUTOEVENTO="Manual",$M51=$A$15),$M51&gt;(ROW(PLE.lastrow)-ROW(PLE.firstrow))),0,
           IF(OFFSET(PLE!$G$15,$M51-$A$15,DM$13)="",10^12,OFFSET(PLE!$G$15,$M51-$A$15,DM$13)))</f>
        <v>1000000000000</v>
      </c>
      <c r="DN51" s="172" cm="1">
        <f t="array" aca="1" ref="DN51" ca="1">IF(OR($D51&lt;&gt;"Serviço",AND(AUTOEVENTO="Manual",$M51=$A$15),$M51&gt;(ROW(PLE.lastrow)-ROW(PLE.firstrow))),0,
           IF(OFFSET(PLE!$G$15,$M51-$A$15,DN$13)="",10^12,OFFSET(PLE!$G$15,$M51-$A$15,DN$13)))</f>
        <v>1000000000000</v>
      </c>
      <c r="DO51" s="172" cm="1">
        <f t="array" aca="1" ref="DO51" ca="1">IF(OR($D51&lt;&gt;"Serviço",AND(AUTOEVENTO="Manual",$M51=$A$15),$M51&gt;(ROW(PLE.lastrow)-ROW(PLE.firstrow))),0,
           IF(OFFSET(PLE!$G$15,$M51-$A$15,DO$13)="",10^12,OFFSET(PLE!$G$15,$M51-$A$15,DO$13)))</f>
        <v>1000000000000</v>
      </c>
      <c r="DP51" s="172" cm="1">
        <f t="array" aca="1" ref="DP51" ca="1">IF(OR($D51&lt;&gt;"Serviço",AND(AUTOEVENTO="Manual",$M51=$A$15),$M51&gt;(ROW(PLE.lastrow)-ROW(PLE.firstrow))),0,
           IF(OFFSET(PLE!$G$15,$M51-$A$15,DP$13)="",10^12,OFFSET(PLE!$G$15,$M51-$A$15,DP$13)))</f>
        <v>1000000000000</v>
      </c>
      <c r="DQ51" s="172" cm="1">
        <f t="array" aca="1" ref="DQ51" ca="1">IF(OR($D51&lt;&gt;"Serviço",AND(AUTOEVENTO="Manual",$M51=$A$15),$M51&gt;(ROW(PLE.lastrow)-ROW(PLE.firstrow))),0,
           IF(OFFSET(PLE!$G$15,$M51-$A$15,DQ$13)="",10^12,OFFSET(PLE!$G$15,$M51-$A$15,DQ$13)))</f>
        <v>1000000000000</v>
      </c>
      <c r="DR51" s="172" cm="1">
        <f t="array" aca="1" ref="DR51" ca="1">IF(OR($D51&lt;&gt;"Serviço",AND(AUTOEVENTO="Manual",$M51=$A$15),$M51&gt;(ROW(PLE.lastrow)-ROW(PLE.firstrow))),0,
           IF(OFFSET(PLE!$G$15,$M51-$A$15,DR$13)="",10^12,OFFSET(PLE!$G$15,$M51-$A$15,DR$13)))</f>
        <v>1000000000000</v>
      </c>
      <c r="DS51" s="172" cm="1">
        <f t="array" aca="1" ref="DS51" ca="1">IF(OR($D51&lt;&gt;"Serviço",AND(AUTOEVENTO="Manual",$M51=$A$15),$M51&gt;(ROW(PLE.lastrow)-ROW(PLE.firstrow))),0,
           IF(OFFSET(PLE!$G$15,$M51-$A$15,DS$13)="",10^12,OFFSET(PLE!$G$15,$M51-$A$15,DS$13)))</f>
        <v>1000000000000</v>
      </c>
    </row>
    <row r="52" spans="1:123" ht="38.25" x14ac:dyDescent="0.2">
      <c r="A52" s="7">
        <f t="shared" ca="1" si="11"/>
        <v>4</v>
      </c>
      <c r="B52" s="7" t="str">
        <f ca="1">OFFSET(ORÇAMENTO!C$15,$L52,0)</f>
        <v>S</v>
      </c>
      <c r="C52" s="7" t="str">
        <f ca="1">OFFSET(ORÇAMENTO!L$15,$L52,0)</f>
        <v/>
      </c>
      <c r="D52" s="116" t="str">
        <f ca="1">OFFSET(ORÇAMENTO!N$15,$L52,0)</f>
        <v>Serviço</v>
      </c>
      <c r="E52" s="117" t="str">
        <f ca="1">OFFSET(ORÇAMENTO!O$15,$L52,0)</f>
        <v>-</v>
      </c>
      <c r="F52" s="163" t="str">
        <f ca="1">OFFSET(ORÇAMENTO!R$15,$L52,0)</f>
        <v>(Código não identificado nas referências)</v>
      </c>
      <c r="G52" s="164" t="str">
        <f ca="1">IF($D52&lt;&gt;"Serviço","",OFFSET(ORÇAMENTO!S$15,$L52,0))</f>
        <v>-</v>
      </c>
      <c r="H52" s="122" cm="1">
        <f t="array" aca="1" ref="H52" ca="1">IF($D52&lt;&gt;"Serviço",0,IF(ACOMPANHAMENTO="BM",ROUND(OFFSET(ORÇAMENTO!AJ$15,$L52,0),15-13*ORÇAMENTO!$AF$7),IF(IFERROR(CÁLCULO.FrentesPreenchidas,0)=0,0,SUM(ROUND(OFFSET($P52,0,1,1,CÁLCULO.FrentesPreenchidas),15-13*ORÇAMENTO!$AF$7)))))</f>
        <v>410.80000000000007</v>
      </c>
      <c r="I52" s="468" t="s">
        <v>1235</v>
      </c>
      <c r="J52" s="651" t="str" cm="1">
        <f t="array" aca="1" ref="J52" ca="1">IF(OR(B52&lt;&gt;"S",CÁLCULO.FrentesPreenchidas=0),"",IF(AND(ACOMPANHAMENTO="PLE",AUTOEVENTO="Manual",OR(H52&gt;0,ORÇAMENTO!AC52="QUANT."),OR(K52="",M52=0,N52="")),"►E",IF(AND(ACOMPANHAMENTO="PLE",ORÇAMENTO!AC52="QUANT."),"►Q",IF(AND(ACOMPANHAMENTO="PLE",H52&lt;&gt;SUMPRODUCT(($Q$1:$AQ$1=1)*ROUND(Q52:AQ52,15))),"►S",IF(AND(COUNTIF($P$11:$AQ$11,"▼")=0,H52&gt;0,I52=""),"◄M","")))))</f>
        <v/>
      </c>
      <c r="K52" s="652" t="s">
        <v>1252</v>
      </c>
      <c r="L52" s="165">
        <f t="shared" ca="1" si="12"/>
        <v>37</v>
      </c>
      <c r="M52" s="166">
        <f ca="1">IF($D52&lt;&gt;"Serviço","",
          IF(AUTOEVENTO="manual",$A52,
                IF(ISERROR(MATCH($A52,$A$15:OFFSET($A52,-1,0),0)),MAX($M$15:OFFSET(M52,-1,0))+1,
                      INDEX($M$15:OFFSET(M52,-1,0),MATCH($A52,$A$15:OFFSET($A52,-1,0),0)))))</f>
        <v>4</v>
      </c>
      <c r="N52" s="167" t="str">
        <f ca="1">IF($D52&lt;&gt;"Serviço","",
         IF(AUTOEVENTO="Manual",
                IF($A52=0,"&lt;-- defina o número do agrupador",
                       OFFSET(EVENTOS!$D$15,$A52-$A$15,0)),
                OFFSET($F$15,$A52,0)))</f>
        <v>SUPRAESTRUTURA</v>
      </c>
      <c r="O52" s="168"/>
      <c r="Q52" s="168">
        <v>20.54</v>
      </c>
      <c r="R52" s="169">
        <v>20.54</v>
      </c>
      <c r="S52" s="169">
        <v>20.54</v>
      </c>
      <c r="T52" s="169">
        <v>20.54</v>
      </c>
      <c r="U52" s="169">
        <v>20.54</v>
      </c>
      <c r="V52" s="169">
        <v>20.54</v>
      </c>
      <c r="W52" s="169">
        <v>20.54</v>
      </c>
      <c r="X52" s="169">
        <v>20.54</v>
      </c>
      <c r="Y52" s="169">
        <v>20.54</v>
      </c>
      <c r="Z52" s="170">
        <v>20.54</v>
      </c>
      <c r="AA52" s="169">
        <v>20.54</v>
      </c>
      <c r="AB52" s="169">
        <v>20.54</v>
      </c>
      <c r="AC52" s="169">
        <v>20.54</v>
      </c>
      <c r="AD52" s="169">
        <v>20.54</v>
      </c>
      <c r="AE52" s="169">
        <v>20.54</v>
      </c>
      <c r="AF52" s="169">
        <v>20.54</v>
      </c>
      <c r="AG52" s="169">
        <v>20.54</v>
      </c>
      <c r="AH52" s="170">
        <v>20.54</v>
      </c>
      <c r="AI52" s="169">
        <v>20.54</v>
      </c>
      <c r="AJ52" s="169">
        <v>20.54</v>
      </c>
      <c r="AK52" s="169"/>
      <c r="AL52" s="169"/>
      <c r="AM52" s="169"/>
      <c r="AN52" s="169"/>
      <c r="AO52" s="169"/>
      <c r="AP52" s="170"/>
      <c r="AR52" s="453">
        <f ca="1">IF(AND($D52="Serviço",AR$12&lt;&gt;0,$H52&gt;0,OR(AUTOEVENTO&lt;&gt;"manual",$M52&lt;&gt;$A$15)),
        IF(Import.TipoArredondamento&lt;&gt;"TransfereGOV",
              ROUND(OFFSET($P52,0,AR$13),15-13*ORÇAMENTO!$AF$7)/$H52*OFFSET(ORÇAMENTO!$X$15,ROW(AR52)-ROW(AR$15),0),
              ROUND(ROUND(OFFSET($P52,0,AR$13),15-13*ORÇAMENTO!$AF$7)*OFFSET(ORÇAMENTO!$W$15,ROW(AR52)-ROW(AR$15),0),15-13*ORÇAMENTO!$AF$11)),
         0)</f>
        <v>0</v>
      </c>
      <c r="AS52" s="453">
        <f ca="1">IF(AND($D52="Serviço",AS$12&lt;&gt;0,$H52&gt;0,OR(AUTOEVENTO&lt;&gt;"manual",$M52&lt;&gt;$A$15)),
        IF(Import.TipoArredondamento&lt;&gt;"TransfereGOV",
              ROUND(OFFSET($P52,0,AS$13),15-13*ORÇAMENTO!$AF$7)/$H52*OFFSET(ORÇAMENTO!$X$15,ROW(AS52)-ROW(AS$15),0),
              ROUND(ROUND(OFFSET($P52,0,AS$13),15-13*ORÇAMENTO!$AF$7)*OFFSET(ORÇAMENTO!$W$15,ROW(AS52)-ROW(AS$15),0),15-13*ORÇAMENTO!$AF$11)),
         0)</f>
        <v>0</v>
      </c>
      <c r="AT52" s="453">
        <f ca="1">IF(AND($D52="Serviço",AT$12&lt;&gt;0,$H52&gt;0,OR(AUTOEVENTO&lt;&gt;"manual",$M52&lt;&gt;$A$15)),
        IF(Import.TipoArredondamento&lt;&gt;"TransfereGOV",
              ROUND(OFFSET($P52,0,AT$13),15-13*ORÇAMENTO!$AF$7)/$H52*OFFSET(ORÇAMENTO!$X$15,ROW(AT52)-ROW(AT$15),0),
              ROUND(ROUND(OFFSET($P52,0,AT$13),15-13*ORÇAMENTO!$AF$7)*OFFSET(ORÇAMENTO!$W$15,ROW(AT52)-ROW(AT$15),0),15-13*ORÇAMENTO!$AF$11)),
         0)</f>
        <v>0</v>
      </c>
      <c r="AU52" s="453">
        <f ca="1">IF(AND($D52="Serviço",AU$12&lt;&gt;0,$H52&gt;0,OR(AUTOEVENTO&lt;&gt;"manual",$M52&lt;&gt;$A$15)),
        IF(Import.TipoArredondamento&lt;&gt;"TransfereGOV",
              ROUND(OFFSET($P52,0,AU$13),15-13*ORÇAMENTO!$AF$7)/$H52*OFFSET(ORÇAMENTO!$X$15,ROW(AU52)-ROW(AU$15),0),
              ROUND(ROUND(OFFSET($P52,0,AU$13),15-13*ORÇAMENTO!$AF$7)*OFFSET(ORÇAMENTO!$W$15,ROW(AU52)-ROW(AU$15),0),15-13*ORÇAMENTO!$AF$11)),
         0)</f>
        <v>0</v>
      </c>
      <c r="AV52" s="453">
        <f ca="1">IF(AND($D52="Serviço",AV$12&lt;&gt;0,$H52&gt;0,OR(AUTOEVENTO&lt;&gt;"manual",$M52&lt;&gt;$A$15)),
        IF(Import.TipoArredondamento&lt;&gt;"TransfereGOV",
              ROUND(OFFSET($P52,0,AV$13),15-13*ORÇAMENTO!$AF$7)/$H52*OFFSET(ORÇAMENTO!$X$15,ROW(AV52)-ROW(AV$15),0),
              ROUND(ROUND(OFFSET($P52,0,AV$13),15-13*ORÇAMENTO!$AF$7)*OFFSET(ORÇAMENTO!$W$15,ROW(AV52)-ROW(AV$15),0),15-13*ORÇAMENTO!$AF$11)),
         0)</f>
        <v>0</v>
      </c>
      <c r="AW52" s="453">
        <f ca="1">IF(AND($D52="Serviço",AW$12&lt;&gt;0,$H52&gt;0,OR(AUTOEVENTO&lt;&gt;"manual",$M52&lt;&gt;$A$15)),
        IF(Import.TipoArredondamento&lt;&gt;"TransfereGOV",
              ROUND(OFFSET($P52,0,AW$13),15-13*ORÇAMENTO!$AF$7)/$H52*OFFSET(ORÇAMENTO!$X$15,ROW(AW52)-ROW(AW$15),0),
              ROUND(ROUND(OFFSET($P52,0,AW$13),15-13*ORÇAMENTO!$AF$7)*OFFSET(ORÇAMENTO!$W$15,ROW(AW52)-ROW(AW$15),0),15-13*ORÇAMENTO!$AF$11)),
         0)</f>
        <v>0</v>
      </c>
      <c r="AX52" s="453">
        <f ca="1">IF(AND($D52="Serviço",AX$12&lt;&gt;0,$H52&gt;0,OR(AUTOEVENTO&lt;&gt;"manual",$M52&lt;&gt;$A$15)),
        IF(Import.TipoArredondamento&lt;&gt;"TransfereGOV",
              ROUND(OFFSET($P52,0,AX$13),15-13*ORÇAMENTO!$AF$7)/$H52*OFFSET(ORÇAMENTO!$X$15,ROW(AX52)-ROW(AX$15),0),
              ROUND(ROUND(OFFSET($P52,0,AX$13),15-13*ORÇAMENTO!$AF$7)*OFFSET(ORÇAMENTO!$W$15,ROW(AX52)-ROW(AX$15),0),15-13*ORÇAMENTO!$AF$11)),
         0)</f>
        <v>0</v>
      </c>
      <c r="AY52" s="453">
        <f ca="1">IF(AND($D52="Serviço",AY$12&lt;&gt;0,$H52&gt;0,OR(AUTOEVENTO&lt;&gt;"manual",$M52&lt;&gt;$A$15)),
        IF(Import.TipoArredondamento&lt;&gt;"TransfereGOV",
              ROUND(OFFSET($P52,0,AY$13),15-13*ORÇAMENTO!$AF$7)/$H52*OFFSET(ORÇAMENTO!$X$15,ROW(AY52)-ROW(AY$15),0),
              ROUND(ROUND(OFFSET($P52,0,AY$13),15-13*ORÇAMENTO!$AF$7)*OFFSET(ORÇAMENTO!$W$15,ROW(AY52)-ROW(AY$15),0),15-13*ORÇAMENTO!$AF$11)),
         0)</f>
        <v>0</v>
      </c>
      <c r="AZ52" s="453">
        <f ca="1">IF(AND($D52="Serviço",AZ$12&lt;&gt;0,$H52&gt;0,OR(AUTOEVENTO&lt;&gt;"manual",$M52&lt;&gt;$A$15)),
        IF(Import.TipoArredondamento&lt;&gt;"TransfereGOV",
              ROUND(OFFSET($P52,0,AZ$13),15-13*ORÇAMENTO!$AF$7)/$H52*OFFSET(ORÇAMENTO!$X$15,ROW(AZ52)-ROW(AZ$15),0),
              ROUND(ROUND(OFFSET($P52,0,AZ$13),15-13*ORÇAMENTO!$AF$7)*OFFSET(ORÇAMENTO!$W$15,ROW(AZ52)-ROW(AZ$15),0),15-13*ORÇAMENTO!$AF$11)),
         0)</f>
        <v>0</v>
      </c>
      <c r="BA52" s="453">
        <f ca="1">IF(AND($D52="Serviço",BA$12&lt;&gt;0,$H52&gt;0,OR(AUTOEVENTO&lt;&gt;"manual",$M52&lt;&gt;$A$15)),
        IF(Import.TipoArredondamento&lt;&gt;"TransfereGOV",
              ROUND(OFFSET($P52,0,BA$13),15-13*ORÇAMENTO!$AF$7)/$H52*OFFSET(ORÇAMENTO!$X$15,ROW(BA52)-ROW(BA$15),0),
              ROUND(ROUND(OFFSET($P52,0,BA$13),15-13*ORÇAMENTO!$AF$7)*OFFSET(ORÇAMENTO!$W$15,ROW(BA52)-ROW(BA$15),0),15-13*ORÇAMENTO!$AF$11)),
         0)</f>
        <v>0</v>
      </c>
      <c r="BB52" s="453">
        <f ca="1">IF(AND($D52="Serviço",BB$12&lt;&gt;0,$H52&gt;0,OR(AUTOEVENTO&lt;&gt;"manual",$M52&lt;&gt;$A$15)),
        IF(Import.TipoArredondamento&lt;&gt;"TransfereGOV",
              ROUND(OFFSET($P52,0,BB$13),15-13*ORÇAMENTO!$AF$7)/$H52*OFFSET(ORÇAMENTO!$X$15,ROW(BB52)-ROW(BB$15),0),
              ROUND(ROUND(OFFSET($P52,0,BB$13),15-13*ORÇAMENTO!$AF$7)*OFFSET(ORÇAMENTO!$W$15,ROW(BB52)-ROW(BB$15),0),15-13*ORÇAMENTO!$AF$11)),
         0)</f>
        <v>0</v>
      </c>
      <c r="BC52" s="453">
        <f ca="1">IF(AND($D52="Serviço",BC$12&lt;&gt;0,$H52&gt;0,OR(AUTOEVENTO&lt;&gt;"manual",$M52&lt;&gt;$A$15)),
        IF(Import.TipoArredondamento&lt;&gt;"TransfereGOV",
              ROUND(OFFSET($P52,0,BC$13),15-13*ORÇAMENTO!$AF$7)/$H52*OFFSET(ORÇAMENTO!$X$15,ROW(BC52)-ROW(BC$15),0),
              ROUND(ROUND(OFFSET($P52,0,BC$13),15-13*ORÇAMENTO!$AF$7)*OFFSET(ORÇAMENTO!$W$15,ROW(BC52)-ROW(BC$15),0),15-13*ORÇAMENTO!$AF$11)),
         0)</f>
        <v>0</v>
      </c>
      <c r="BD52" s="453">
        <f ca="1">IF(AND($D52="Serviço",BD$12&lt;&gt;0,$H52&gt;0,OR(AUTOEVENTO&lt;&gt;"manual",$M52&lt;&gt;$A$15)),
        IF(Import.TipoArredondamento&lt;&gt;"TransfereGOV",
              ROUND(OFFSET($P52,0,BD$13),15-13*ORÇAMENTO!$AF$7)/$H52*OFFSET(ORÇAMENTO!$X$15,ROW(BD52)-ROW(BD$15),0),
              ROUND(ROUND(OFFSET($P52,0,BD$13),15-13*ORÇAMENTO!$AF$7)*OFFSET(ORÇAMENTO!$W$15,ROW(BD52)-ROW(BD$15),0),15-13*ORÇAMENTO!$AF$11)),
         0)</f>
        <v>0</v>
      </c>
      <c r="BE52" s="453">
        <f ca="1">IF(AND($D52="Serviço",BE$12&lt;&gt;0,$H52&gt;0,OR(AUTOEVENTO&lt;&gt;"manual",$M52&lt;&gt;$A$15)),
        IF(Import.TipoArredondamento&lt;&gt;"TransfereGOV",
              ROUND(OFFSET($P52,0,BE$13),15-13*ORÇAMENTO!$AF$7)/$H52*OFFSET(ORÇAMENTO!$X$15,ROW(BE52)-ROW(BE$15),0),
              ROUND(ROUND(OFFSET($P52,0,BE$13),15-13*ORÇAMENTO!$AF$7)*OFFSET(ORÇAMENTO!$W$15,ROW(BE52)-ROW(BE$15),0),15-13*ORÇAMENTO!$AF$11)),
         0)</f>
        <v>0</v>
      </c>
      <c r="BF52" s="453">
        <f ca="1">IF(AND($D52="Serviço",BF$12&lt;&gt;0,$H52&gt;0,OR(AUTOEVENTO&lt;&gt;"manual",$M52&lt;&gt;$A$15)),
        IF(Import.TipoArredondamento&lt;&gt;"TransfereGOV",
              ROUND(OFFSET($P52,0,BF$13),15-13*ORÇAMENTO!$AF$7)/$H52*OFFSET(ORÇAMENTO!$X$15,ROW(BF52)-ROW(BF$15),0),
              ROUND(ROUND(OFFSET($P52,0,BF$13),15-13*ORÇAMENTO!$AF$7)*OFFSET(ORÇAMENTO!$W$15,ROW(BF52)-ROW(BF$15),0),15-13*ORÇAMENTO!$AF$11)),
         0)</f>
        <v>0</v>
      </c>
      <c r="BG52" s="453">
        <f ca="1">IF(AND($D52="Serviço",BG$12&lt;&gt;0,$H52&gt;0,OR(AUTOEVENTO&lt;&gt;"manual",$M52&lt;&gt;$A$15)),
        IF(Import.TipoArredondamento&lt;&gt;"TransfereGOV",
              ROUND(OFFSET($P52,0,BG$13),15-13*ORÇAMENTO!$AF$7)/$H52*OFFSET(ORÇAMENTO!$X$15,ROW(BG52)-ROW(BG$15),0),
              ROUND(ROUND(OFFSET($P52,0,BG$13),15-13*ORÇAMENTO!$AF$7)*OFFSET(ORÇAMENTO!$W$15,ROW(BG52)-ROW(BG$15),0),15-13*ORÇAMENTO!$AF$11)),
         0)</f>
        <v>0</v>
      </c>
      <c r="BH52" s="453">
        <f ca="1">IF(AND($D52="Serviço",BH$12&lt;&gt;0,$H52&gt;0,OR(AUTOEVENTO&lt;&gt;"manual",$M52&lt;&gt;$A$15)),
        IF(Import.TipoArredondamento&lt;&gt;"TransfereGOV",
              ROUND(OFFSET($P52,0,BH$13),15-13*ORÇAMENTO!$AF$7)/$H52*OFFSET(ORÇAMENTO!$X$15,ROW(BH52)-ROW(BH$15),0),
              ROUND(ROUND(OFFSET($P52,0,BH$13),15-13*ORÇAMENTO!$AF$7)*OFFSET(ORÇAMENTO!$W$15,ROW(BH52)-ROW(BH$15),0),15-13*ORÇAMENTO!$AF$11)),
         0)</f>
        <v>0</v>
      </c>
      <c r="BI52" s="453">
        <f ca="1">IF(AND($D52="Serviço",BI$12&lt;&gt;0,$H52&gt;0,OR(AUTOEVENTO&lt;&gt;"manual",$M52&lt;&gt;$A$15)),
        IF(Import.TipoArredondamento&lt;&gt;"TransfereGOV",
              ROUND(OFFSET($P52,0,BI$13),15-13*ORÇAMENTO!$AF$7)/$H52*OFFSET(ORÇAMENTO!$X$15,ROW(BI52)-ROW(BI$15),0),
              ROUND(ROUND(OFFSET($P52,0,BI$13),15-13*ORÇAMENTO!$AF$7)*OFFSET(ORÇAMENTO!$W$15,ROW(BI52)-ROW(BI$15),0),15-13*ORÇAMENTO!$AF$11)),
         0)</f>
        <v>0</v>
      </c>
      <c r="BJ52" s="453">
        <f ca="1">IF(AND($D52="Serviço",BJ$12&lt;&gt;0,$H52&gt;0,OR(AUTOEVENTO&lt;&gt;"manual",$M52&lt;&gt;$A$15)),
        IF(Import.TipoArredondamento&lt;&gt;"TransfereGOV",
              ROUND(OFFSET($P52,0,BJ$13),15-13*ORÇAMENTO!$AF$7)/$H52*OFFSET(ORÇAMENTO!$X$15,ROW(BJ52)-ROW(BJ$15),0),
              ROUND(ROUND(OFFSET($P52,0,BJ$13),15-13*ORÇAMENTO!$AF$7)*OFFSET(ORÇAMENTO!$W$15,ROW(BJ52)-ROW(BJ$15),0),15-13*ORÇAMENTO!$AF$11)),
         0)</f>
        <v>0</v>
      </c>
      <c r="BK52" s="453">
        <f ca="1">IF(AND($D52="Serviço",BK$12&lt;&gt;0,$H52&gt;0,OR(AUTOEVENTO&lt;&gt;"manual",$M52&lt;&gt;$A$15)),
        IF(Import.TipoArredondamento&lt;&gt;"TransfereGOV",
              ROUND(OFFSET($P52,0,BK$13),15-13*ORÇAMENTO!$AF$7)/$H52*OFFSET(ORÇAMENTO!$X$15,ROW(BK52)-ROW(BK$15),0),
              ROUND(ROUND(OFFSET($P52,0,BK$13),15-13*ORÇAMENTO!$AF$7)*OFFSET(ORÇAMENTO!$W$15,ROW(BK52)-ROW(BK$15),0),15-13*ORÇAMENTO!$AF$11)),
         0)</f>
        <v>0</v>
      </c>
      <c r="BL52" s="453">
        <f ca="1">IF(AND($D52="Serviço",BL$12&lt;&gt;0,$H52&gt;0,OR(AUTOEVENTO&lt;&gt;"manual",$M52&lt;&gt;$A$15)),
        IF(Import.TipoArredondamento&lt;&gt;"TransfereGOV",
              ROUND(OFFSET($P52,0,BL$13),15-13*ORÇAMENTO!$AF$7)/$H52*OFFSET(ORÇAMENTO!$X$15,ROW(BL52)-ROW(BL$15),0),
              ROUND(ROUND(OFFSET($P52,0,BL$13),15-13*ORÇAMENTO!$AF$7)*OFFSET(ORÇAMENTO!$W$15,ROW(BL52)-ROW(BL$15),0),15-13*ORÇAMENTO!$AF$11)),
         0)</f>
        <v>0</v>
      </c>
      <c r="BM52" s="453">
        <f ca="1">IF(AND($D52="Serviço",BM$12&lt;&gt;0,$H52&gt;0,OR(AUTOEVENTO&lt;&gt;"manual",$M52&lt;&gt;$A$15)),
        IF(Import.TipoArredondamento&lt;&gt;"TransfereGOV",
              ROUND(OFFSET($P52,0,BM$13),15-13*ORÇAMENTO!$AF$7)/$H52*OFFSET(ORÇAMENTO!$X$15,ROW(BM52)-ROW(BM$15),0),
              ROUND(ROUND(OFFSET($P52,0,BM$13),15-13*ORÇAMENTO!$AF$7)*OFFSET(ORÇAMENTO!$W$15,ROW(BM52)-ROW(BM$15),0),15-13*ORÇAMENTO!$AF$11)),
         0)</f>
        <v>0</v>
      </c>
      <c r="BN52" s="453">
        <f ca="1">IF(AND($D52="Serviço",BN$12&lt;&gt;0,$H52&gt;0,OR(AUTOEVENTO&lt;&gt;"manual",$M52&lt;&gt;$A$15)),
        IF(Import.TipoArredondamento&lt;&gt;"TransfereGOV",
              ROUND(OFFSET($P52,0,BN$13),15-13*ORÇAMENTO!$AF$7)/$H52*OFFSET(ORÇAMENTO!$X$15,ROW(BN52)-ROW(BN$15),0),
              ROUND(ROUND(OFFSET($P52,0,BN$13),15-13*ORÇAMENTO!$AF$7)*OFFSET(ORÇAMENTO!$W$15,ROW(BN52)-ROW(BN$15),0),15-13*ORÇAMENTO!$AF$11)),
         0)</f>
        <v>0</v>
      </c>
      <c r="BO52" s="453">
        <f ca="1">IF(AND($D52="Serviço",BO$12&lt;&gt;0,$H52&gt;0,OR(AUTOEVENTO&lt;&gt;"manual",$M52&lt;&gt;$A$15)),
        IF(Import.TipoArredondamento&lt;&gt;"TransfereGOV",
              ROUND(OFFSET($P52,0,BO$13),15-13*ORÇAMENTO!$AF$7)/$H52*OFFSET(ORÇAMENTO!$X$15,ROW(BO52)-ROW(BO$15),0),
              ROUND(ROUND(OFFSET($P52,0,BO$13),15-13*ORÇAMENTO!$AF$7)*OFFSET(ORÇAMENTO!$W$15,ROW(BO52)-ROW(BO$15),0),15-13*ORÇAMENTO!$AF$11)),
         0)</f>
        <v>0</v>
      </c>
      <c r="BP52" s="453">
        <f ca="1">IF(AND($D52="Serviço",BP$12&lt;&gt;0,$H52&gt;0,OR(AUTOEVENTO&lt;&gt;"manual",$M52&lt;&gt;$A$15)),
        IF(Import.TipoArredondamento&lt;&gt;"TransfereGOV",
              ROUND(OFFSET($P52,0,BP$13),15-13*ORÇAMENTO!$AF$7)/$H52*OFFSET(ORÇAMENTO!$X$15,ROW(BP52)-ROW(BP$15),0),
              ROUND(ROUND(OFFSET($P52,0,BP$13),15-13*ORÇAMENTO!$AF$7)*OFFSET(ORÇAMENTO!$W$15,ROW(BP52)-ROW(BP$15),0),15-13*ORÇAMENTO!$AF$11)),
         0)</f>
        <v>0</v>
      </c>
      <c r="BQ52" s="453">
        <f ca="1">IF(AND($D52="Serviço",BQ$12&lt;&gt;0,$H52&gt;0,OR(AUTOEVENTO&lt;&gt;"manual",$M52&lt;&gt;$A$15)),
        IF(Import.TipoArredondamento&lt;&gt;"TransfereGOV",
              ROUND(OFFSET($P52,0,BQ$13),15-13*ORÇAMENTO!$AF$7)/$H52*OFFSET(ORÇAMENTO!$X$15,ROW(BQ52)-ROW(BQ$15),0),
              ROUND(ROUND(OFFSET($P52,0,BQ$13),15-13*ORÇAMENTO!$AF$7)*OFFSET(ORÇAMENTO!$W$15,ROW(BQ52)-ROW(BQ$15),0),15-13*ORÇAMENTO!$AF$11)),
         0)</f>
        <v>0</v>
      </c>
      <c r="BS52" s="171">
        <f ca="1">IF(OR($D52&lt;&gt;"Serviço",AND(AUTOEVENTO="Manual",$M52=$A$15)),0,
         IF(OFFSET(CRONOPLE!$F$15,$M52-$A$15,BS$13)=0,10^12,OFFSET(CRONOPLE!$F$15,$M52-$A$15,BS$13)))</f>
        <v>1</v>
      </c>
      <c r="BT52" s="171">
        <f ca="1">IF(OR($D52&lt;&gt;"Serviço",AND(AUTOEVENTO="Manual",$M52=$A$15)),0,
         IF(OFFSET(CRONOPLE!$F$15,$M52-$A$15,BT$13)=0,10^12,OFFSET(CRONOPLE!$F$15,$M52-$A$15,BT$13)))</f>
        <v>2</v>
      </c>
      <c r="BU52" s="171">
        <f ca="1">IF(OR($D52&lt;&gt;"Serviço",AND(AUTOEVENTO="Manual",$M52=$A$15)),0,
         IF(OFFSET(CRONOPLE!$F$15,$M52-$A$15,BU$13)=0,10^12,OFFSET(CRONOPLE!$F$15,$M52-$A$15,BU$13)))</f>
        <v>3</v>
      </c>
      <c r="BV52" s="171">
        <f ca="1">IF(OR($D52&lt;&gt;"Serviço",AND(AUTOEVENTO="Manual",$M52=$A$15)),0,
         IF(OFFSET(CRONOPLE!$F$15,$M52-$A$15,BV$13)=0,10^12,OFFSET(CRONOPLE!$F$15,$M52-$A$15,BV$13)))</f>
        <v>4</v>
      </c>
      <c r="BW52" s="171">
        <f ca="1">IF(OR($D52&lt;&gt;"Serviço",AND(AUTOEVENTO="Manual",$M52=$A$15)),0,
         IF(OFFSET(CRONOPLE!$F$15,$M52-$A$15,BW$13)=0,10^12,OFFSET(CRONOPLE!$F$15,$M52-$A$15,BW$13)))</f>
        <v>5</v>
      </c>
      <c r="BX52" s="171">
        <f ca="1">IF(OR($D52&lt;&gt;"Serviço",AND(AUTOEVENTO="Manual",$M52=$A$15)),0,
         IF(OFFSET(CRONOPLE!$F$15,$M52-$A$15,BX$13)=0,10^12,OFFSET(CRONOPLE!$F$15,$M52-$A$15,BX$13)))</f>
        <v>6</v>
      </c>
      <c r="BY52" s="171">
        <f ca="1">IF(OR($D52&lt;&gt;"Serviço",AND(AUTOEVENTO="Manual",$M52=$A$15)),0,
         IF(OFFSET(CRONOPLE!$F$15,$M52-$A$15,BY$13)=0,10^12,OFFSET(CRONOPLE!$F$15,$M52-$A$15,BY$13)))</f>
        <v>7</v>
      </c>
      <c r="BZ52" s="171">
        <f ca="1">IF(OR($D52&lt;&gt;"Serviço",AND(AUTOEVENTO="Manual",$M52=$A$15)),0,
         IF(OFFSET(CRONOPLE!$F$15,$M52-$A$15,BZ$13)=0,10^12,OFFSET(CRONOPLE!$F$15,$M52-$A$15,BZ$13)))</f>
        <v>8</v>
      </c>
      <c r="CA52" s="171">
        <f ca="1">IF(OR($D52&lt;&gt;"Serviço",AND(AUTOEVENTO="Manual",$M52=$A$15)),0,
         IF(OFFSET(CRONOPLE!$F$15,$M52-$A$15,CA$13)=0,10^12,OFFSET(CRONOPLE!$F$15,$M52-$A$15,CA$13)))</f>
        <v>9</v>
      </c>
      <c r="CB52" s="171">
        <f ca="1">IF(OR($D52&lt;&gt;"Serviço",AND(AUTOEVENTO="Manual",$M52=$A$15)),0,
         IF(OFFSET(CRONOPLE!$F$15,$M52-$A$15,CB$13)=0,10^12,OFFSET(CRONOPLE!$F$15,$M52-$A$15,CB$13)))</f>
        <v>10</v>
      </c>
      <c r="CC52" s="171">
        <f ca="1">IF(OR($D52&lt;&gt;"Serviço",AND(AUTOEVENTO="Manual",$M52=$A$15)),0,
         IF(OFFSET(CRONOPLE!$F$15,$M52-$A$15,CC$13)=0,10^12,OFFSET(CRONOPLE!$F$15,$M52-$A$15,CC$13)))</f>
        <v>11</v>
      </c>
      <c r="CD52" s="171">
        <f ca="1">IF(OR($D52&lt;&gt;"Serviço",AND(AUTOEVENTO="Manual",$M52=$A$15)),0,
         IF(OFFSET(CRONOPLE!$F$15,$M52-$A$15,CD$13)=0,10^12,OFFSET(CRONOPLE!$F$15,$M52-$A$15,CD$13)))</f>
        <v>12</v>
      </c>
      <c r="CE52" s="171">
        <f ca="1">IF(OR($D52&lt;&gt;"Serviço",AND(AUTOEVENTO="Manual",$M52=$A$15)),0,
         IF(OFFSET(CRONOPLE!$F$15,$M52-$A$15,CE$13)=0,10^12,OFFSET(CRONOPLE!$F$15,$M52-$A$15,CE$13)))</f>
        <v>13</v>
      </c>
      <c r="CF52" s="171">
        <f ca="1">IF(OR($D52&lt;&gt;"Serviço",AND(AUTOEVENTO="Manual",$M52=$A$15)),0,
         IF(OFFSET(CRONOPLE!$F$15,$M52-$A$15,CF$13)=0,10^12,OFFSET(CRONOPLE!$F$15,$M52-$A$15,CF$13)))</f>
        <v>14</v>
      </c>
      <c r="CG52" s="171">
        <f ca="1">IF(OR($D52&lt;&gt;"Serviço",AND(AUTOEVENTO="Manual",$M52=$A$15)),0,
         IF(OFFSET(CRONOPLE!$F$15,$M52-$A$15,CG$13)=0,10^12,OFFSET(CRONOPLE!$F$15,$M52-$A$15,CG$13)))</f>
        <v>15</v>
      </c>
      <c r="CH52" s="171">
        <f ca="1">IF(OR($D52&lt;&gt;"Serviço",AND(AUTOEVENTO="Manual",$M52=$A$15)),0,
         IF(OFFSET(CRONOPLE!$F$15,$M52-$A$15,CH$13)=0,10^12,OFFSET(CRONOPLE!$F$15,$M52-$A$15,CH$13)))</f>
        <v>16</v>
      </c>
      <c r="CI52" s="171">
        <f ca="1">IF(OR($D52&lt;&gt;"Serviço",AND(AUTOEVENTO="Manual",$M52=$A$15)),0,
         IF(OFFSET(CRONOPLE!$F$15,$M52-$A$15,CI$13)=0,10^12,OFFSET(CRONOPLE!$F$15,$M52-$A$15,CI$13)))</f>
        <v>17</v>
      </c>
      <c r="CJ52" s="171">
        <f ca="1">IF(OR($D52&lt;&gt;"Serviço",AND(AUTOEVENTO="Manual",$M52=$A$15)),0,
         IF(OFFSET(CRONOPLE!$F$15,$M52-$A$15,CJ$13)=0,10^12,OFFSET(CRONOPLE!$F$15,$M52-$A$15,CJ$13)))</f>
        <v>18</v>
      </c>
      <c r="CK52" s="171">
        <f ca="1">IF(OR($D52&lt;&gt;"Serviço",AND(AUTOEVENTO="Manual",$M52=$A$15)),0,
         IF(OFFSET(CRONOPLE!$F$15,$M52-$A$15,CK$13)=0,10^12,OFFSET(CRONOPLE!$F$15,$M52-$A$15,CK$13)))</f>
        <v>19</v>
      </c>
      <c r="CL52" s="171">
        <f ca="1">IF(OR($D52&lt;&gt;"Serviço",AND(AUTOEVENTO="Manual",$M52=$A$15)),0,
         IF(OFFSET(CRONOPLE!$F$15,$M52-$A$15,CL$13)=0,10^12,OFFSET(CRONOPLE!$F$15,$M52-$A$15,CL$13)))</f>
        <v>20</v>
      </c>
      <c r="CM52" s="171">
        <f ca="1">IF(OR($D52&lt;&gt;"Serviço",AND(AUTOEVENTO="Manual",$M52=$A$15)),0,
         IF(OFFSET(CRONOPLE!$F$15,$M52-$A$15,CM$13)=0,10^12,OFFSET(CRONOPLE!$F$15,$M52-$A$15,CM$13)))</f>
        <v>1000000000000</v>
      </c>
      <c r="CN52" s="171">
        <f ca="1">IF(OR($D52&lt;&gt;"Serviço",AND(AUTOEVENTO="Manual",$M52=$A$15)),0,
         IF(OFFSET(CRONOPLE!$F$15,$M52-$A$15,CN$13)=0,10^12,OFFSET(CRONOPLE!$F$15,$M52-$A$15,CN$13)))</f>
        <v>1000000000000</v>
      </c>
      <c r="CO52" s="171">
        <f ca="1">IF(OR($D52&lt;&gt;"Serviço",AND(AUTOEVENTO="Manual",$M52=$A$15)),0,
         IF(OFFSET(CRONOPLE!$F$15,$M52-$A$15,CO$13)=0,10^12,OFFSET(CRONOPLE!$F$15,$M52-$A$15,CO$13)))</f>
        <v>1000000000000</v>
      </c>
      <c r="CP52" s="171">
        <f ca="1">IF(OR($D52&lt;&gt;"Serviço",AND(AUTOEVENTO="Manual",$M52=$A$15)),0,
         IF(OFFSET(CRONOPLE!$F$15,$M52-$A$15,CP$13)=0,10^12,OFFSET(CRONOPLE!$F$15,$M52-$A$15,CP$13)))</f>
        <v>1000000000000</v>
      </c>
      <c r="CQ52" s="171">
        <f ca="1">IF(OR($D52&lt;&gt;"Serviço",AND(AUTOEVENTO="Manual",$M52=$A$15)),0,
         IF(OFFSET(CRONOPLE!$F$15,$M52-$A$15,CQ$13)=0,10^12,OFFSET(CRONOPLE!$F$15,$M52-$A$15,CQ$13)))</f>
        <v>1000000000000</v>
      </c>
      <c r="CR52" s="171">
        <f ca="1">IF(OR($D52&lt;&gt;"Serviço",AND(AUTOEVENTO="Manual",$M52=$A$15)),0,
         IF(OFFSET(CRONOPLE!$F$15,$M52-$A$15,CR$13)=0,10^12,OFFSET(CRONOPLE!$F$15,$M52-$A$15,CR$13)))</f>
        <v>1000000000000</v>
      </c>
      <c r="CT52" s="172" cm="1">
        <f t="array" aca="1" ref="CT52" ca="1">IF(OR($D52&lt;&gt;"Serviço",AND(AUTOEVENTO="Manual",$M52=$A$15),$M52&gt;(ROW(PLE.lastrow)-ROW(PLE.firstrow))),0,
           IF(OFFSET(PLE!$G$15,$M52-$A$15,CT$13)="",10^12,OFFSET(PLE!$G$15,$M52-$A$15,CT$13)))</f>
        <v>1000000000000</v>
      </c>
      <c r="CU52" s="172" cm="1">
        <f t="array" aca="1" ref="CU52" ca="1">IF(OR($D52&lt;&gt;"Serviço",AND(AUTOEVENTO="Manual",$M52=$A$15),$M52&gt;(ROW(PLE.lastrow)-ROW(PLE.firstrow))),0,
           IF(OFFSET(PLE!$G$15,$M52-$A$15,CU$13)="",10^12,OFFSET(PLE!$G$15,$M52-$A$15,CU$13)))</f>
        <v>1000000000000</v>
      </c>
      <c r="CV52" s="172" cm="1">
        <f t="array" aca="1" ref="CV52" ca="1">IF(OR($D52&lt;&gt;"Serviço",AND(AUTOEVENTO="Manual",$M52=$A$15),$M52&gt;(ROW(PLE.lastrow)-ROW(PLE.firstrow))),0,
           IF(OFFSET(PLE!$G$15,$M52-$A$15,CV$13)="",10^12,OFFSET(PLE!$G$15,$M52-$A$15,CV$13)))</f>
        <v>1000000000000</v>
      </c>
      <c r="CW52" s="172" cm="1">
        <f t="array" aca="1" ref="CW52" ca="1">IF(OR($D52&lt;&gt;"Serviço",AND(AUTOEVENTO="Manual",$M52=$A$15),$M52&gt;(ROW(PLE.lastrow)-ROW(PLE.firstrow))),0,
           IF(OFFSET(PLE!$G$15,$M52-$A$15,CW$13)="",10^12,OFFSET(PLE!$G$15,$M52-$A$15,CW$13)))</f>
        <v>1000000000000</v>
      </c>
      <c r="CX52" s="172" cm="1">
        <f t="array" aca="1" ref="CX52" ca="1">IF(OR($D52&lt;&gt;"Serviço",AND(AUTOEVENTO="Manual",$M52=$A$15),$M52&gt;(ROW(PLE.lastrow)-ROW(PLE.firstrow))),0,
           IF(OFFSET(PLE!$G$15,$M52-$A$15,CX$13)="",10^12,OFFSET(PLE!$G$15,$M52-$A$15,CX$13)))</f>
        <v>1000000000000</v>
      </c>
      <c r="CY52" s="172" cm="1">
        <f t="array" aca="1" ref="CY52" ca="1">IF(OR($D52&lt;&gt;"Serviço",AND(AUTOEVENTO="Manual",$M52=$A$15),$M52&gt;(ROW(PLE.lastrow)-ROW(PLE.firstrow))),0,
           IF(OFFSET(PLE!$G$15,$M52-$A$15,CY$13)="",10^12,OFFSET(PLE!$G$15,$M52-$A$15,CY$13)))</f>
        <v>1000000000000</v>
      </c>
      <c r="CZ52" s="172" cm="1">
        <f t="array" aca="1" ref="CZ52" ca="1">IF(OR($D52&lt;&gt;"Serviço",AND(AUTOEVENTO="Manual",$M52=$A$15),$M52&gt;(ROW(PLE.lastrow)-ROW(PLE.firstrow))),0,
           IF(OFFSET(PLE!$G$15,$M52-$A$15,CZ$13)="",10^12,OFFSET(PLE!$G$15,$M52-$A$15,CZ$13)))</f>
        <v>1000000000000</v>
      </c>
      <c r="DA52" s="172" cm="1">
        <f t="array" aca="1" ref="DA52" ca="1">IF(OR($D52&lt;&gt;"Serviço",AND(AUTOEVENTO="Manual",$M52=$A$15),$M52&gt;(ROW(PLE.lastrow)-ROW(PLE.firstrow))),0,
           IF(OFFSET(PLE!$G$15,$M52-$A$15,DA$13)="",10^12,OFFSET(PLE!$G$15,$M52-$A$15,DA$13)))</f>
        <v>1000000000000</v>
      </c>
      <c r="DB52" s="172" cm="1">
        <f t="array" aca="1" ref="DB52" ca="1">IF(OR($D52&lt;&gt;"Serviço",AND(AUTOEVENTO="Manual",$M52=$A$15),$M52&gt;(ROW(PLE.lastrow)-ROW(PLE.firstrow))),0,
           IF(OFFSET(PLE!$G$15,$M52-$A$15,DB$13)="",10^12,OFFSET(PLE!$G$15,$M52-$A$15,DB$13)))</f>
        <v>1000000000000</v>
      </c>
      <c r="DC52" s="172" cm="1">
        <f t="array" aca="1" ref="DC52" ca="1">IF(OR($D52&lt;&gt;"Serviço",AND(AUTOEVENTO="Manual",$M52=$A$15),$M52&gt;(ROW(PLE.lastrow)-ROW(PLE.firstrow))),0,
           IF(OFFSET(PLE!$G$15,$M52-$A$15,DC$13)="",10^12,OFFSET(PLE!$G$15,$M52-$A$15,DC$13)))</f>
        <v>1000000000000</v>
      </c>
      <c r="DD52" s="172" cm="1">
        <f t="array" aca="1" ref="DD52" ca="1">IF(OR($D52&lt;&gt;"Serviço",AND(AUTOEVENTO="Manual",$M52=$A$15),$M52&gt;(ROW(PLE.lastrow)-ROW(PLE.firstrow))),0,
           IF(OFFSET(PLE!$G$15,$M52-$A$15,DD$13)="",10^12,OFFSET(PLE!$G$15,$M52-$A$15,DD$13)))</f>
        <v>1000000000000</v>
      </c>
      <c r="DE52" s="172" cm="1">
        <f t="array" aca="1" ref="DE52" ca="1">IF(OR($D52&lt;&gt;"Serviço",AND(AUTOEVENTO="Manual",$M52=$A$15),$M52&gt;(ROW(PLE.lastrow)-ROW(PLE.firstrow))),0,
           IF(OFFSET(PLE!$G$15,$M52-$A$15,DE$13)="",10^12,OFFSET(PLE!$G$15,$M52-$A$15,DE$13)))</f>
        <v>1000000000000</v>
      </c>
      <c r="DF52" s="172" cm="1">
        <f t="array" aca="1" ref="DF52" ca="1">IF(OR($D52&lt;&gt;"Serviço",AND(AUTOEVENTO="Manual",$M52=$A$15),$M52&gt;(ROW(PLE.lastrow)-ROW(PLE.firstrow))),0,
           IF(OFFSET(PLE!$G$15,$M52-$A$15,DF$13)="",10^12,OFFSET(PLE!$G$15,$M52-$A$15,DF$13)))</f>
        <v>1000000000000</v>
      </c>
      <c r="DG52" s="172" cm="1">
        <f t="array" aca="1" ref="DG52" ca="1">IF(OR($D52&lt;&gt;"Serviço",AND(AUTOEVENTO="Manual",$M52=$A$15),$M52&gt;(ROW(PLE.lastrow)-ROW(PLE.firstrow))),0,
           IF(OFFSET(PLE!$G$15,$M52-$A$15,DG$13)="",10^12,OFFSET(PLE!$G$15,$M52-$A$15,DG$13)))</f>
        <v>1000000000000</v>
      </c>
      <c r="DH52" s="172" cm="1">
        <f t="array" aca="1" ref="DH52" ca="1">IF(OR($D52&lt;&gt;"Serviço",AND(AUTOEVENTO="Manual",$M52=$A$15),$M52&gt;(ROW(PLE.lastrow)-ROW(PLE.firstrow))),0,
           IF(OFFSET(PLE!$G$15,$M52-$A$15,DH$13)="",10^12,OFFSET(PLE!$G$15,$M52-$A$15,DH$13)))</f>
        <v>1000000000000</v>
      </c>
      <c r="DI52" s="172" cm="1">
        <f t="array" aca="1" ref="DI52" ca="1">IF(OR($D52&lt;&gt;"Serviço",AND(AUTOEVENTO="Manual",$M52=$A$15),$M52&gt;(ROW(PLE.lastrow)-ROW(PLE.firstrow))),0,
           IF(OFFSET(PLE!$G$15,$M52-$A$15,DI$13)="",10^12,OFFSET(PLE!$G$15,$M52-$A$15,DI$13)))</f>
        <v>1000000000000</v>
      </c>
      <c r="DJ52" s="172" cm="1">
        <f t="array" aca="1" ref="DJ52" ca="1">IF(OR($D52&lt;&gt;"Serviço",AND(AUTOEVENTO="Manual",$M52=$A$15),$M52&gt;(ROW(PLE.lastrow)-ROW(PLE.firstrow))),0,
           IF(OFFSET(PLE!$G$15,$M52-$A$15,DJ$13)="",10^12,OFFSET(PLE!$G$15,$M52-$A$15,DJ$13)))</f>
        <v>1000000000000</v>
      </c>
      <c r="DK52" s="172" cm="1">
        <f t="array" aca="1" ref="DK52" ca="1">IF(OR($D52&lt;&gt;"Serviço",AND(AUTOEVENTO="Manual",$M52=$A$15),$M52&gt;(ROW(PLE.lastrow)-ROW(PLE.firstrow))),0,
           IF(OFFSET(PLE!$G$15,$M52-$A$15,DK$13)="",10^12,OFFSET(PLE!$G$15,$M52-$A$15,DK$13)))</f>
        <v>1000000000000</v>
      </c>
      <c r="DL52" s="172" cm="1">
        <f t="array" aca="1" ref="DL52" ca="1">IF(OR($D52&lt;&gt;"Serviço",AND(AUTOEVENTO="Manual",$M52=$A$15),$M52&gt;(ROW(PLE.lastrow)-ROW(PLE.firstrow))),0,
           IF(OFFSET(PLE!$G$15,$M52-$A$15,DL$13)="",10^12,OFFSET(PLE!$G$15,$M52-$A$15,DL$13)))</f>
        <v>1000000000000</v>
      </c>
      <c r="DM52" s="172" cm="1">
        <f t="array" aca="1" ref="DM52" ca="1">IF(OR($D52&lt;&gt;"Serviço",AND(AUTOEVENTO="Manual",$M52=$A$15),$M52&gt;(ROW(PLE.lastrow)-ROW(PLE.firstrow))),0,
           IF(OFFSET(PLE!$G$15,$M52-$A$15,DM$13)="",10^12,OFFSET(PLE!$G$15,$M52-$A$15,DM$13)))</f>
        <v>1000000000000</v>
      </c>
      <c r="DN52" s="172" cm="1">
        <f t="array" aca="1" ref="DN52" ca="1">IF(OR($D52&lt;&gt;"Serviço",AND(AUTOEVENTO="Manual",$M52=$A$15),$M52&gt;(ROW(PLE.lastrow)-ROW(PLE.firstrow))),0,
           IF(OFFSET(PLE!$G$15,$M52-$A$15,DN$13)="",10^12,OFFSET(PLE!$G$15,$M52-$A$15,DN$13)))</f>
        <v>1000000000000</v>
      </c>
      <c r="DO52" s="172" cm="1">
        <f t="array" aca="1" ref="DO52" ca="1">IF(OR($D52&lt;&gt;"Serviço",AND(AUTOEVENTO="Manual",$M52=$A$15),$M52&gt;(ROW(PLE.lastrow)-ROW(PLE.firstrow))),0,
           IF(OFFSET(PLE!$G$15,$M52-$A$15,DO$13)="",10^12,OFFSET(PLE!$G$15,$M52-$A$15,DO$13)))</f>
        <v>1000000000000</v>
      </c>
      <c r="DP52" s="172" cm="1">
        <f t="array" aca="1" ref="DP52" ca="1">IF(OR($D52&lt;&gt;"Serviço",AND(AUTOEVENTO="Manual",$M52=$A$15),$M52&gt;(ROW(PLE.lastrow)-ROW(PLE.firstrow))),0,
           IF(OFFSET(PLE!$G$15,$M52-$A$15,DP$13)="",10^12,OFFSET(PLE!$G$15,$M52-$A$15,DP$13)))</f>
        <v>1000000000000</v>
      </c>
      <c r="DQ52" s="172" cm="1">
        <f t="array" aca="1" ref="DQ52" ca="1">IF(OR($D52&lt;&gt;"Serviço",AND(AUTOEVENTO="Manual",$M52=$A$15),$M52&gt;(ROW(PLE.lastrow)-ROW(PLE.firstrow))),0,
           IF(OFFSET(PLE!$G$15,$M52-$A$15,DQ$13)="",10^12,OFFSET(PLE!$G$15,$M52-$A$15,DQ$13)))</f>
        <v>1000000000000</v>
      </c>
      <c r="DR52" s="172" cm="1">
        <f t="array" aca="1" ref="DR52" ca="1">IF(OR($D52&lt;&gt;"Serviço",AND(AUTOEVENTO="Manual",$M52=$A$15),$M52&gt;(ROW(PLE.lastrow)-ROW(PLE.firstrow))),0,
           IF(OFFSET(PLE!$G$15,$M52-$A$15,DR$13)="",10^12,OFFSET(PLE!$G$15,$M52-$A$15,DR$13)))</f>
        <v>1000000000000</v>
      </c>
      <c r="DS52" s="172" cm="1">
        <f t="array" aca="1" ref="DS52" ca="1">IF(OR($D52&lt;&gt;"Serviço",AND(AUTOEVENTO="Manual",$M52=$A$15),$M52&gt;(ROW(PLE.lastrow)-ROW(PLE.firstrow))),0,
           IF(OFFSET(PLE!$G$15,$M52-$A$15,DS$13)="",10^12,OFFSET(PLE!$G$15,$M52-$A$15,DS$13)))</f>
        <v>1000000000000</v>
      </c>
    </row>
    <row r="53" spans="1:123" ht="38.25" x14ac:dyDescent="0.2">
      <c r="A53" s="7">
        <f t="shared" ca="1" si="11"/>
        <v>4</v>
      </c>
      <c r="B53" s="7" t="str">
        <f ca="1">OFFSET(ORÇAMENTO!C$15,$L53,0)</f>
        <v>S</v>
      </c>
      <c r="C53" s="7" t="str">
        <f ca="1">OFFSET(ORÇAMENTO!L$15,$L53,0)</f>
        <v/>
      </c>
      <c r="D53" s="116" t="str">
        <f ca="1">OFFSET(ORÇAMENTO!N$15,$L53,0)</f>
        <v>Serviço</v>
      </c>
      <c r="E53" s="117" t="str">
        <f ca="1">OFFSET(ORÇAMENTO!O$15,$L53,0)</f>
        <v>-</v>
      </c>
      <c r="F53" s="163" t="str">
        <f ca="1">OFFSET(ORÇAMENTO!R$15,$L53,0)</f>
        <v>(Código não identificado nas referências)</v>
      </c>
      <c r="G53" s="164" t="str">
        <f ca="1">IF($D53&lt;&gt;"Serviço","",OFFSET(ORÇAMENTO!S$15,$L53,0))</f>
        <v>-</v>
      </c>
      <c r="H53" s="122" cm="1">
        <f t="array" aca="1" ref="H53" ca="1">IF($D53&lt;&gt;"Serviço",0,IF(ACOMPANHAMENTO="BM",ROUND(OFFSET(ORÇAMENTO!AJ$15,$L53,0),15-13*ORÇAMENTO!$AF$7),IF(IFERROR(CÁLCULO.FrentesPreenchidas,0)=0,0,SUM(ROUND(OFFSET($P53,0,1,1,CÁLCULO.FrentesPreenchidas),15-13*ORÇAMENTO!$AF$7)))))</f>
        <v>82.6</v>
      </c>
      <c r="I53" s="468" t="s">
        <v>1235</v>
      </c>
      <c r="J53" s="651" t="str" cm="1">
        <f t="array" aca="1" ref="J53" ca="1">IF(OR(B53&lt;&gt;"S",CÁLCULO.FrentesPreenchidas=0),"",IF(AND(ACOMPANHAMENTO="PLE",AUTOEVENTO="Manual",OR(H53&gt;0,ORÇAMENTO!AC53="QUANT."),OR(K53="",M53=0,N53="")),"►E",IF(AND(ACOMPANHAMENTO="PLE",ORÇAMENTO!AC53="QUANT."),"►Q",IF(AND(ACOMPANHAMENTO="PLE",H53&lt;&gt;SUMPRODUCT(($Q$1:$AQ$1=1)*ROUND(Q53:AQ53,15))),"►S",IF(AND(COUNTIF($P$11:$AQ$11,"▼")=0,H53&gt;0,I53=""),"◄M","")))))</f>
        <v/>
      </c>
      <c r="K53" s="652" t="s">
        <v>1252</v>
      </c>
      <c r="L53" s="165">
        <f t="shared" ca="1" si="12"/>
        <v>38</v>
      </c>
      <c r="M53" s="166">
        <f ca="1">IF($D53&lt;&gt;"Serviço","",
          IF(AUTOEVENTO="manual",$A53,
                IF(ISERROR(MATCH($A53,$A$15:OFFSET($A53,-1,0),0)),MAX($M$15:OFFSET(M53,-1,0))+1,
                      INDEX($M$15:OFFSET(M53,-1,0),MATCH($A53,$A$15:OFFSET($A53,-1,0),0)))))</f>
        <v>4</v>
      </c>
      <c r="N53" s="167" t="str">
        <f ca="1">IF($D53&lt;&gt;"Serviço","",
         IF(AUTOEVENTO="Manual",
                IF($A53=0,"&lt;-- defina o número do agrupador",
                       OFFSET(EVENTOS!$D$15,$A53-$A$15,0)),
                OFFSET($F$15,$A53,0)))</f>
        <v>SUPRAESTRUTURA</v>
      </c>
      <c r="O53" s="168"/>
      <c r="Q53" s="168">
        <v>4.13</v>
      </c>
      <c r="R53" s="169">
        <v>4.13</v>
      </c>
      <c r="S53" s="169">
        <v>4.13</v>
      </c>
      <c r="T53" s="169">
        <v>4.13</v>
      </c>
      <c r="U53" s="169">
        <v>4.13</v>
      </c>
      <c r="V53" s="169">
        <v>4.13</v>
      </c>
      <c r="W53" s="169">
        <v>4.13</v>
      </c>
      <c r="X53" s="169">
        <v>4.13</v>
      </c>
      <c r="Y53" s="169">
        <v>4.13</v>
      </c>
      <c r="Z53" s="170">
        <v>4.13</v>
      </c>
      <c r="AA53" s="169">
        <v>4.13</v>
      </c>
      <c r="AB53" s="169">
        <v>4.13</v>
      </c>
      <c r="AC53" s="169">
        <v>4.13</v>
      </c>
      <c r="AD53" s="169">
        <v>4.13</v>
      </c>
      <c r="AE53" s="169">
        <v>4.13</v>
      </c>
      <c r="AF53" s="169">
        <v>4.13</v>
      </c>
      <c r="AG53" s="169">
        <v>4.13</v>
      </c>
      <c r="AH53" s="170">
        <v>4.13</v>
      </c>
      <c r="AI53" s="169">
        <v>4.13</v>
      </c>
      <c r="AJ53" s="169">
        <v>4.13</v>
      </c>
      <c r="AK53" s="169"/>
      <c r="AL53" s="169"/>
      <c r="AM53" s="169"/>
      <c r="AN53" s="169"/>
      <c r="AO53" s="169"/>
      <c r="AP53" s="170"/>
      <c r="AR53" s="453">
        <f ca="1">IF(AND($D53="Serviço",AR$12&lt;&gt;0,$H53&gt;0,OR(AUTOEVENTO&lt;&gt;"manual",$M53&lt;&gt;$A$15)),
        IF(Import.TipoArredondamento&lt;&gt;"TransfereGOV",
              ROUND(OFFSET($P53,0,AR$13),15-13*ORÇAMENTO!$AF$7)/$H53*OFFSET(ORÇAMENTO!$X$15,ROW(AR53)-ROW(AR$15),0),
              ROUND(ROUND(OFFSET($P53,0,AR$13),15-13*ORÇAMENTO!$AF$7)*OFFSET(ORÇAMENTO!$W$15,ROW(AR53)-ROW(AR$15),0),15-13*ORÇAMENTO!$AF$11)),
         0)</f>
        <v>0</v>
      </c>
      <c r="AS53" s="453">
        <f ca="1">IF(AND($D53="Serviço",AS$12&lt;&gt;0,$H53&gt;0,OR(AUTOEVENTO&lt;&gt;"manual",$M53&lt;&gt;$A$15)),
        IF(Import.TipoArredondamento&lt;&gt;"TransfereGOV",
              ROUND(OFFSET($P53,0,AS$13),15-13*ORÇAMENTO!$AF$7)/$H53*OFFSET(ORÇAMENTO!$X$15,ROW(AS53)-ROW(AS$15),0),
              ROUND(ROUND(OFFSET($P53,0,AS$13),15-13*ORÇAMENTO!$AF$7)*OFFSET(ORÇAMENTO!$W$15,ROW(AS53)-ROW(AS$15),0),15-13*ORÇAMENTO!$AF$11)),
         0)</f>
        <v>0</v>
      </c>
      <c r="AT53" s="453">
        <f ca="1">IF(AND($D53="Serviço",AT$12&lt;&gt;0,$H53&gt;0,OR(AUTOEVENTO&lt;&gt;"manual",$M53&lt;&gt;$A$15)),
        IF(Import.TipoArredondamento&lt;&gt;"TransfereGOV",
              ROUND(OFFSET($P53,0,AT$13),15-13*ORÇAMENTO!$AF$7)/$H53*OFFSET(ORÇAMENTO!$X$15,ROW(AT53)-ROW(AT$15),0),
              ROUND(ROUND(OFFSET($P53,0,AT$13),15-13*ORÇAMENTO!$AF$7)*OFFSET(ORÇAMENTO!$W$15,ROW(AT53)-ROW(AT$15),0),15-13*ORÇAMENTO!$AF$11)),
         0)</f>
        <v>0</v>
      </c>
      <c r="AU53" s="453">
        <f ca="1">IF(AND($D53="Serviço",AU$12&lt;&gt;0,$H53&gt;0,OR(AUTOEVENTO&lt;&gt;"manual",$M53&lt;&gt;$A$15)),
        IF(Import.TipoArredondamento&lt;&gt;"TransfereGOV",
              ROUND(OFFSET($P53,0,AU$13),15-13*ORÇAMENTO!$AF$7)/$H53*OFFSET(ORÇAMENTO!$X$15,ROW(AU53)-ROW(AU$15),0),
              ROUND(ROUND(OFFSET($P53,0,AU$13),15-13*ORÇAMENTO!$AF$7)*OFFSET(ORÇAMENTO!$W$15,ROW(AU53)-ROW(AU$15),0),15-13*ORÇAMENTO!$AF$11)),
         0)</f>
        <v>0</v>
      </c>
      <c r="AV53" s="453">
        <f ca="1">IF(AND($D53="Serviço",AV$12&lt;&gt;0,$H53&gt;0,OR(AUTOEVENTO&lt;&gt;"manual",$M53&lt;&gt;$A$15)),
        IF(Import.TipoArredondamento&lt;&gt;"TransfereGOV",
              ROUND(OFFSET($P53,0,AV$13),15-13*ORÇAMENTO!$AF$7)/$H53*OFFSET(ORÇAMENTO!$X$15,ROW(AV53)-ROW(AV$15),0),
              ROUND(ROUND(OFFSET($P53,0,AV$13),15-13*ORÇAMENTO!$AF$7)*OFFSET(ORÇAMENTO!$W$15,ROW(AV53)-ROW(AV$15),0),15-13*ORÇAMENTO!$AF$11)),
         0)</f>
        <v>0</v>
      </c>
      <c r="AW53" s="453">
        <f ca="1">IF(AND($D53="Serviço",AW$12&lt;&gt;0,$H53&gt;0,OR(AUTOEVENTO&lt;&gt;"manual",$M53&lt;&gt;$A$15)),
        IF(Import.TipoArredondamento&lt;&gt;"TransfereGOV",
              ROUND(OFFSET($P53,0,AW$13),15-13*ORÇAMENTO!$AF$7)/$H53*OFFSET(ORÇAMENTO!$X$15,ROW(AW53)-ROW(AW$15),0),
              ROUND(ROUND(OFFSET($P53,0,AW$13),15-13*ORÇAMENTO!$AF$7)*OFFSET(ORÇAMENTO!$W$15,ROW(AW53)-ROW(AW$15),0),15-13*ORÇAMENTO!$AF$11)),
         0)</f>
        <v>0</v>
      </c>
      <c r="AX53" s="453">
        <f ca="1">IF(AND($D53="Serviço",AX$12&lt;&gt;0,$H53&gt;0,OR(AUTOEVENTO&lt;&gt;"manual",$M53&lt;&gt;$A$15)),
        IF(Import.TipoArredondamento&lt;&gt;"TransfereGOV",
              ROUND(OFFSET($P53,0,AX$13),15-13*ORÇAMENTO!$AF$7)/$H53*OFFSET(ORÇAMENTO!$X$15,ROW(AX53)-ROW(AX$15),0),
              ROUND(ROUND(OFFSET($P53,0,AX$13),15-13*ORÇAMENTO!$AF$7)*OFFSET(ORÇAMENTO!$W$15,ROW(AX53)-ROW(AX$15),0),15-13*ORÇAMENTO!$AF$11)),
         0)</f>
        <v>0</v>
      </c>
      <c r="AY53" s="453">
        <f ca="1">IF(AND($D53="Serviço",AY$12&lt;&gt;0,$H53&gt;0,OR(AUTOEVENTO&lt;&gt;"manual",$M53&lt;&gt;$A$15)),
        IF(Import.TipoArredondamento&lt;&gt;"TransfereGOV",
              ROUND(OFFSET($P53,0,AY$13),15-13*ORÇAMENTO!$AF$7)/$H53*OFFSET(ORÇAMENTO!$X$15,ROW(AY53)-ROW(AY$15),0),
              ROUND(ROUND(OFFSET($P53,0,AY$13),15-13*ORÇAMENTO!$AF$7)*OFFSET(ORÇAMENTO!$W$15,ROW(AY53)-ROW(AY$15),0),15-13*ORÇAMENTO!$AF$11)),
         0)</f>
        <v>0</v>
      </c>
      <c r="AZ53" s="453">
        <f ca="1">IF(AND($D53="Serviço",AZ$12&lt;&gt;0,$H53&gt;0,OR(AUTOEVENTO&lt;&gt;"manual",$M53&lt;&gt;$A$15)),
        IF(Import.TipoArredondamento&lt;&gt;"TransfereGOV",
              ROUND(OFFSET($P53,0,AZ$13),15-13*ORÇAMENTO!$AF$7)/$H53*OFFSET(ORÇAMENTO!$X$15,ROW(AZ53)-ROW(AZ$15),0),
              ROUND(ROUND(OFFSET($P53,0,AZ$13),15-13*ORÇAMENTO!$AF$7)*OFFSET(ORÇAMENTO!$W$15,ROW(AZ53)-ROW(AZ$15),0),15-13*ORÇAMENTO!$AF$11)),
         0)</f>
        <v>0</v>
      </c>
      <c r="BA53" s="453">
        <f ca="1">IF(AND($D53="Serviço",BA$12&lt;&gt;0,$H53&gt;0,OR(AUTOEVENTO&lt;&gt;"manual",$M53&lt;&gt;$A$15)),
        IF(Import.TipoArredondamento&lt;&gt;"TransfereGOV",
              ROUND(OFFSET($P53,0,BA$13),15-13*ORÇAMENTO!$AF$7)/$H53*OFFSET(ORÇAMENTO!$X$15,ROW(BA53)-ROW(BA$15),0),
              ROUND(ROUND(OFFSET($P53,0,BA$13),15-13*ORÇAMENTO!$AF$7)*OFFSET(ORÇAMENTO!$W$15,ROW(BA53)-ROW(BA$15),0),15-13*ORÇAMENTO!$AF$11)),
         0)</f>
        <v>0</v>
      </c>
      <c r="BB53" s="453">
        <f ca="1">IF(AND($D53="Serviço",BB$12&lt;&gt;0,$H53&gt;0,OR(AUTOEVENTO&lt;&gt;"manual",$M53&lt;&gt;$A$15)),
        IF(Import.TipoArredondamento&lt;&gt;"TransfereGOV",
              ROUND(OFFSET($P53,0,BB$13),15-13*ORÇAMENTO!$AF$7)/$H53*OFFSET(ORÇAMENTO!$X$15,ROW(BB53)-ROW(BB$15),0),
              ROUND(ROUND(OFFSET($P53,0,BB$13),15-13*ORÇAMENTO!$AF$7)*OFFSET(ORÇAMENTO!$W$15,ROW(BB53)-ROW(BB$15),0),15-13*ORÇAMENTO!$AF$11)),
         0)</f>
        <v>0</v>
      </c>
      <c r="BC53" s="453">
        <f ca="1">IF(AND($D53="Serviço",BC$12&lt;&gt;0,$H53&gt;0,OR(AUTOEVENTO&lt;&gt;"manual",$M53&lt;&gt;$A$15)),
        IF(Import.TipoArredondamento&lt;&gt;"TransfereGOV",
              ROUND(OFFSET($P53,0,BC$13),15-13*ORÇAMENTO!$AF$7)/$H53*OFFSET(ORÇAMENTO!$X$15,ROW(BC53)-ROW(BC$15),0),
              ROUND(ROUND(OFFSET($P53,0,BC$13),15-13*ORÇAMENTO!$AF$7)*OFFSET(ORÇAMENTO!$W$15,ROW(BC53)-ROW(BC$15),0),15-13*ORÇAMENTO!$AF$11)),
         0)</f>
        <v>0</v>
      </c>
      <c r="BD53" s="453">
        <f ca="1">IF(AND($D53="Serviço",BD$12&lt;&gt;0,$H53&gt;0,OR(AUTOEVENTO&lt;&gt;"manual",$M53&lt;&gt;$A$15)),
        IF(Import.TipoArredondamento&lt;&gt;"TransfereGOV",
              ROUND(OFFSET($P53,0,BD$13),15-13*ORÇAMENTO!$AF$7)/$H53*OFFSET(ORÇAMENTO!$X$15,ROW(BD53)-ROW(BD$15),0),
              ROUND(ROUND(OFFSET($P53,0,BD$13),15-13*ORÇAMENTO!$AF$7)*OFFSET(ORÇAMENTO!$W$15,ROW(BD53)-ROW(BD$15),0),15-13*ORÇAMENTO!$AF$11)),
         0)</f>
        <v>0</v>
      </c>
      <c r="BE53" s="453">
        <f ca="1">IF(AND($D53="Serviço",BE$12&lt;&gt;0,$H53&gt;0,OR(AUTOEVENTO&lt;&gt;"manual",$M53&lt;&gt;$A$15)),
        IF(Import.TipoArredondamento&lt;&gt;"TransfereGOV",
              ROUND(OFFSET($P53,0,BE$13),15-13*ORÇAMENTO!$AF$7)/$H53*OFFSET(ORÇAMENTO!$X$15,ROW(BE53)-ROW(BE$15),0),
              ROUND(ROUND(OFFSET($P53,0,BE$13),15-13*ORÇAMENTO!$AF$7)*OFFSET(ORÇAMENTO!$W$15,ROW(BE53)-ROW(BE$15),0),15-13*ORÇAMENTO!$AF$11)),
         0)</f>
        <v>0</v>
      </c>
      <c r="BF53" s="453">
        <f ca="1">IF(AND($D53="Serviço",BF$12&lt;&gt;0,$H53&gt;0,OR(AUTOEVENTO&lt;&gt;"manual",$M53&lt;&gt;$A$15)),
        IF(Import.TipoArredondamento&lt;&gt;"TransfereGOV",
              ROUND(OFFSET($P53,0,BF$13),15-13*ORÇAMENTO!$AF$7)/$H53*OFFSET(ORÇAMENTO!$X$15,ROW(BF53)-ROW(BF$15),0),
              ROUND(ROUND(OFFSET($P53,0,BF$13),15-13*ORÇAMENTO!$AF$7)*OFFSET(ORÇAMENTO!$W$15,ROW(BF53)-ROW(BF$15),0),15-13*ORÇAMENTO!$AF$11)),
         0)</f>
        <v>0</v>
      </c>
      <c r="BG53" s="453">
        <f ca="1">IF(AND($D53="Serviço",BG$12&lt;&gt;0,$H53&gt;0,OR(AUTOEVENTO&lt;&gt;"manual",$M53&lt;&gt;$A$15)),
        IF(Import.TipoArredondamento&lt;&gt;"TransfereGOV",
              ROUND(OFFSET($P53,0,BG$13),15-13*ORÇAMENTO!$AF$7)/$H53*OFFSET(ORÇAMENTO!$X$15,ROW(BG53)-ROW(BG$15),0),
              ROUND(ROUND(OFFSET($P53,0,BG$13),15-13*ORÇAMENTO!$AF$7)*OFFSET(ORÇAMENTO!$W$15,ROW(BG53)-ROW(BG$15),0),15-13*ORÇAMENTO!$AF$11)),
         0)</f>
        <v>0</v>
      </c>
      <c r="BH53" s="453">
        <f ca="1">IF(AND($D53="Serviço",BH$12&lt;&gt;0,$H53&gt;0,OR(AUTOEVENTO&lt;&gt;"manual",$M53&lt;&gt;$A$15)),
        IF(Import.TipoArredondamento&lt;&gt;"TransfereGOV",
              ROUND(OFFSET($P53,0,BH$13),15-13*ORÇAMENTO!$AF$7)/$H53*OFFSET(ORÇAMENTO!$X$15,ROW(BH53)-ROW(BH$15),0),
              ROUND(ROUND(OFFSET($P53,0,BH$13),15-13*ORÇAMENTO!$AF$7)*OFFSET(ORÇAMENTO!$W$15,ROW(BH53)-ROW(BH$15),0),15-13*ORÇAMENTO!$AF$11)),
         0)</f>
        <v>0</v>
      </c>
      <c r="BI53" s="453">
        <f ca="1">IF(AND($D53="Serviço",BI$12&lt;&gt;0,$H53&gt;0,OR(AUTOEVENTO&lt;&gt;"manual",$M53&lt;&gt;$A$15)),
        IF(Import.TipoArredondamento&lt;&gt;"TransfereGOV",
              ROUND(OFFSET($P53,0,BI$13),15-13*ORÇAMENTO!$AF$7)/$H53*OFFSET(ORÇAMENTO!$X$15,ROW(BI53)-ROW(BI$15),0),
              ROUND(ROUND(OFFSET($P53,0,BI$13),15-13*ORÇAMENTO!$AF$7)*OFFSET(ORÇAMENTO!$W$15,ROW(BI53)-ROW(BI$15),0),15-13*ORÇAMENTO!$AF$11)),
         0)</f>
        <v>0</v>
      </c>
      <c r="BJ53" s="453">
        <f ca="1">IF(AND($D53="Serviço",BJ$12&lt;&gt;0,$H53&gt;0,OR(AUTOEVENTO&lt;&gt;"manual",$M53&lt;&gt;$A$15)),
        IF(Import.TipoArredondamento&lt;&gt;"TransfereGOV",
              ROUND(OFFSET($P53,0,BJ$13),15-13*ORÇAMENTO!$AF$7)/$H53*OFFSET(ORÇAMENTO!$X$15,ROW(BJ53)-ROW(BJ$15),0),
              ROUND(ROUND(OFFSET($P53,0,BJ$13),15-13*ORÇAMENTO!$AF$7)*OFFSET(ORÇAMENTO!$W$15,ROW(BJ53)-ROW(BJ$15),0),15-13*ORÇAMENTO!$AF$11)),
         0)</f>
        <v>0</v>
      </c>
      <c r="BK53" s="453">
        <f ca="1">IF(AND($D53="Serviço",BK$12&lt;&gt;0,$H53&gt;0,OR(AUTOEVENTO&lt;&gt;"manual",$M53&lt;&gt;$A$15)),
        IF(Import.TipoArredondamento&lt;&gt;"TransfereGOV",
              ROUND(OFFSET($P53,0,BK$13),15-13*ORÇAMENTO!$AF$7)/$H53*OFFSET(ORÇAMENTO!$X$15,ROW(BK53)-ROW(BK$15),0),
              ROUND(ROUND(OFFSET($P53,0,BK$13),15-13*ORÇAMENTO!$AF$7)*OFFSET(ORÇAMENTO!$W$15,ROW(BK53)-ROW(BK$15),0),15-13*ORÇAMENTO!$AF$11)),
         0)</f>
        <v>0</v>
      </c>
      <c r="BL53" s="453">
        <f ca="1">IF(AND($D53="Serviço",BL$12&lt;&gt;0,$H53&gt;0,OR(AUTOEVENTO&lt;&gt;"manual",$M53&lt;&gt;$A$15)),
        IF(Import.TipoArredondamento&lt;&gt;"TransfereGOV",
              ROUND(OFFSET($P53,0,BL$13),15-13*ORÇAMENTO!$AF$7)/$H53*OFFSET(ORÇAMENTO!$X$15,ROW(BL53)-ROW(BL$15),0),
              ROUND(ROUND(OFFSET($P53,0,BL$13),15-13*ORÇAMENTO!$AF$7)*OFFSET(ORÇAMENTO!$W$15,ROW(BL53)-ROW(BL$15),0),15-13*ORÇAMENTO!$AF$11)),
         0)</f>
        <v>0</v>
      </c>
      <c r="BM53" s="453">
        <f ca="1">IF(AND($D53="Serviço",BM$12&lt;&gt;0,$H53&gt;0,OR(AUTOEVENTO&lt;&gt;"manual",$M53&lt;&gt;$A$15)),
        IF(Import.TipoArredondamento&lt;&gt;"TransfereGOV",
              ROUND(OFFSET($P53,0,BM$13),15-13*ORÇAMENTO!$AF$7)/$H53*OFFSET(ORÇAMENTO!$X$15,ROW(BM53)-ROW(BM$15),0),
              ROUND(ROUND(OFFSET($P53,0,BM$13),15-13*ORÇAMENTO!$AF$7)*OFFSET(ORÇAMENTO!$W$15,ROW(BM53)-ROW(BM$15),0),15-13*ORÇAMENTO!$AF$11)),
         0)</f>
        <v>0</v>
      </c>
      <c r="BN53" s="453">
        <f ca="1">IF(AND($D53="Serviço",BN$12&lt;&gt;0,$H53&gt;0,OR(AUTOEVENTO&lt;&gt;"manual",$M53&lt;&gt;$A$15)),
        IF(Import.TipoArredondamento&lt;&gt;"TransfereGOV",
              ROUND(OFFSET($P53,0,BN$13),15-13*ORÇAMENTO!$AF$7)/$H53*OFFSET(ORÇAMENTO!$X$15,ROW(BN53)-ROW(BN$15),0),
              ROUND(ROUND(OFFSET($P53,0,BN$13),15-13*ORÇAMENTO!$AF$7)*OFFSET(ORÇAMENTO!$W$15,ROW(BN53)-ROW(BN$15),0),15-13*ORÇAMENTO!$AF$11)),
         0)</f>
        <v>0</v>
      </c>
      <c r="BO53" s="453">
        <f ca="1">IF(AND($D53="Serviço",BO$12&lt;&gt;0,$H53&gt;0,OR(AUTOEVENTO&lt;&gt;"manual",$M53&lt;&gt;$A$15)),
        IF(Import.TipoArredondamento&lt;&gt;"TransfereGOV",
              ROUND(OFFSET($P53,0,BO$13),15-13*ORÇAMENTO!$AF$7)/$H53*OFFSET(ORÇAMENTO!$X$15,ROW(BO53)-ROW(BO$15),0),
              ROUND(ROUND(OFFSET($P53,0,BO$13),15-13*ORÇAMENTO!$AF$7)*OFFSET(ORÇAMENTO!$W$15,ROW(BO53)-ROW(BO$15),0),15-13*ORÇAMENTO!$AF$11)),
         0)</f>
        <v>0</v>
      </c>
      <c r="BP53" s="453">
        <f ca="1">IF(AND($D53="Serviço",BP$12&lt;&gt;0,$H53&gt;0,OR(AUTOEVENTO&lt;&gt;"manual",$M53&lt;&gt;$A$15)),
        IF(Import.TipoArredondamento&lt;&gt;"TransfereGOV",
              ROUND(OFFSET($P53,0,BP$13),15-13*ORÇAMENTO!$AF$7)/$H53*OFFSET(ORÇAMENTO!$X$15,ROW(BP53)-ROW(BP$15),0),
              ROUND(ROUND(OFFSET($P53,0,BP$13),15-13*ORÇAMENTO!$AF$7)*OFFSET(ORÇAMENTO!$W$15,ROW(BP53)-ROW(BP$15),0),15-13*ORÇAMENTO!$AF$11)),
         0)</f>
        <v>0</v>
      </c>
      <c r="BQ53" s="453">
        <f ca="1">IF(AND($D53="Serviço",BQ$12&lt;&gt;0,$H53&gt;0,OR(AUTOEVENTO&lt;&gt;"manual",$M53&lt;&gt;$A$15)),
        IF(Import.TipoArredondamento&lt;&gt;"TransfereGOV",
              ROUND(OFFSET($P53,0,BQ$13),15-13*ORÇAMENTO!$AF$7)/$H53*OFFSET(ORÇAMENTO!$X$15,ROW(BQ53)-ROW(BQ$15),0),
              ROUND(ROUND(OFFSET($P53,0,BQ$13),15-13*ORÇAMENTO!$AF$7)*OFFSET(ORÇAMENTO!$W$15,ROW(BQ53)-ROW(BQ$15),0),15-13*ORÇAMENTO!$AF$11)),
         0)</f>
        <v>0</v>
      </c>
      <c r="BS53" s="171">
        <f ca="1">IF(OR($D53&lt;&gt;"Serviço",AND(AUTOEVENTO="Manual",$M53=$A$15)),0,
         IF(OFFSET(CRONOPLE!$F$15,$M53-$A$15,BS$13)=0,10^12,OFFSET(CRONOPLE!$F$15,$M53-$A$15,BS$13)))</f>
        <v>1</v>
      </c>
      <c r="BT53" s="171">
        <f ca="1">IF(OR($D53&lt;&gt;"Serviço",AND(AUTOEVENTO="Manual",$M53=$A$15)),0,
         IF(OFFSET(CRONOPLE!$F$15,$M53-$A$15,BT$13)=0,10^12,OFFSET(CRONOPLE!$F$15,$M53-$A$15,BT$13)))</f>
        <v>2</v>
      </c>
      <c r="BU53" s="171">
        <f ca="1">IF(OR($D53&lt;&gt;"Serviço",AND(AUTOEVENTO="Manual",$M53=$A$15)),0,
         IF(OFFSET(CRONOPLE!$F$15,$M53-$A$15,BU$13)=0,10^12,OFFSET(CRONOPLE!$F$15,$M53-$A$15,BU$13)))</f>
        <v>3</v>
      </c>
      <c r="BV53" s="171">
        <f ca="1">IF(OR($D53&lt;&gt;"Serviço",AND(AUTOEVENTO="Manual",$M53=$A$15)),0,
         IF(OFFSET(CRONOPLE!$F$15,$M53-$A$15,BV$13)=0,10^12,OFFSET(CRONOPLE!$F$15,$M53-$A$15,BV$13)))</f>
        <v>4</v>
      </c>
      <c r="BW53" s="171">
        <f ca="1">IF(OR($D53&lt;&gt;"Serviço",AND(AUTOEVENTO="Manual",$M53=$A$15)),0,
         IF(OFFSET(CRONOPLE!$F$15,$M53-$A$15,BW$13)=0,10^12,OFFSET(CRONOPLE!$F$15,$M53-$A$15,BW$13)))</f>
        <v>5</v>
      </c>
      <c r="BX53" s="171">
        <f ca="1">IF(OR($D53&lt;&gt;"Serviço",AND(AUTOEVENTO="Manual",$M53=$A$15)),0,
         IF(OFFSET(CRONOPLE!$F$15,$M53-$A$15,BX$13)=0,10^12,OFFSET(CRONOPLE!$F$15,$M53-$A$15,BX$13)))</f>
        <v>6</v>
      </c>
      <c r="BY53" s="171">
        <f ca="1">IF(OR($D53&lt;&gt;"Serviço",AND(AUTOEVENTO="Manual",$M53=$A$15)),0,
         IF(OFFSET(CRONOPLE!$F$15,$M53-$A$15,BY$13)=0,10^12,OFFSET(CRONOPLE!$F$15,$M53-$A$15,BY$13)))</f>
        <v>7</v>
      </c>
      <c r="BZ53" s="171">
        <f ca="1">IF(OR($D53&lt;&gt;"Serviço",AND(AUTOEVENTO="Manual",$M53=$A$15)),0,
         IF(OFFSET(CRONOPLE!$F$15,$M53-$A$15,BZ$13)=0,10^12,OFFSET(CRONOPLE!$F$15,$M53-$A$15,BZ$13)))</f>
        <v>8</v>
      </c>
      <c r="CA53" s="171">
        <f ca="1">IF(OR($D53&lt;&gt;"Serviço",AND(AUTOEVENTO="Manual",$M53=$A$15)),0,
         IF(OFFSET(CRONOPLE!$F$15,$M53-$A$15,CA$13)=0,10^12,OFFSET(CRONOPLE!$F$15,$M53-$A$15,CA$13)))</f>
        <v>9</v>
      </c>
      <c r="CB53" s="171">
        <f ca="1">IF(OR($D53&lt;&gt;"Serviço",AND(AUTOEVENTO="Manual",$M53=$A$15)),0,
         IF(OFFSET(CRONOPLE!$F$15,$M53-$A$15,CB$13)=0,10^12,OFFSET(CRONOPLE!$F$15,$M53-$A$15,CB$13)))</f>
        <v>10</v>
      </c>
      <c r="CC53" s="171">
        <f ca="1">IF(OR($D53&lt;&gt;"Serviço",AND(AUTOEVENTO="Manual",$M53=$A$15)),0,
         IF(OFFSET(CRONOPLE!$F$15,$M53-$A$15,CC$13)=0,10^12,OFFSET(CRONOPLE!$F$15,$M53-$A$15,CC$13)))</f>
        <v>11</v>
      </c>
      <c r="CD53" s="171">
        <f ca="1">IF(OR($D53&lt;&gt;"Serviço",AND(AUTOEVENTO="Manual",$M53=$A$15)),0,
         IF(OFFSET(CRONOPLE!$F$15,$M53-$A$15,CD$13)=0,10^12,OFFSET(CRONOPLE!$F$15,$M53-$A$15,CD$13)))</f>
        <v>12</v>
      </c>
      <c r="CE53" s="171">
        <f ca="1">IF(OR($D53&lt;&gt;"Serviço",AND(AUTOEVENTO="Manual",$M53=$A$15)),0,
         IF(OFFSET(CRONOPLE!$F$15,$M53-$A$15,CE$13)=0,10^12,OFFSET(CRONOPLE!$F$15,$M53-$A$15,CE$13)))</f>
        <v>13</v>
      </c>
      <c r="CF53" s="171">
        <f ca="1">IF(OR($D53&lt;&gt;"Serviço",AND(AUTOEVENTO="Manual",$M53=$A$15)),0,
         IF(OFFSET(CRONOPLE!$F$15,$M53-$A$15,CF$13)=0,10^12,OFFSET(CRONOPLE!$F$15,$M53-$A$15,CF$13)))</f>
        <v>14</v>
      </c>
      <c r="CG53" s="171">
        <f ca="1">IF(OR($D53&lt;&gt;"Serviço",AND(AUTOEVENTO="Manual",$M53=$A$15)),0,
         IF(OFFSET(CRONOPLE!$F$15,$M53-$A$15,CG$13)=0,10^12,OFFSET(CRONOPLE!$F$15,$M53-$A$15,CG$13)))</f>
        <v>15</v>
      </c>
      <c r="CH53" s="171">
        <f ca="1">IF(OR($D53&lt;&gt;"Serviço",AND(AUTOEVENTO="Manual",$M53=$A$15)),0,
         IF(OFFSET(CRONOPLE!$F$15,$M53-$A$15,CH$13)=0,10^12,OFFSET(CRONOPLE!$F$15,$M53-$A$15,CH$13)))</f>
        <v>16</v>
      </c>
      <c r="CI53" s="171">
        <f ca="1">IF(OR($D53&lt;&gt;"Serviço",AND(AUTOEVENTO="Manual",$M53=$A$15)),0,
         IF(OFFSET(CRONOPLE!$F$15,$M53-$A$15,CI$13)=0,10^12,OFFSET(CRONOPLE!$F$15,$M53-$A$15,CI$13)))</f>
        <v>17</v>
      </c>
      <c r="CJ53" s="171">
        <f ca="1">IF(OR($D53&lt;&gt;"Serviço",AND(AUTOEVENTO="Manual",$M53=$A$15)),0,
         IF(OFFSET(CRONOPLE!$F$15,$M53-$A$15,CJ$13)=0,10^12,OFFSET(CRONOPLE!$F$15,$M53-$A$15,CJ$13)))</f>
        <v>18</v>
      </c>
      <c r="CK53" s="171">
        <f ca="1">IF(OR($D53&lt;&gt;"Serviço",AND(AUTOEVENTO="Manual",$M53=$A$15)),0,
         IF(OFFSET(CRONOPLE!$F$15,$M53-$A$15,CK$13)=0,10^12,OFFSET(CRONOPLE!$F$15,$M53-$A$15,CK$13)))</f>
        <v>19</v>
      </c>
      <c r="CL53" s="171">
        <f ca="1">IF(OR($D53&lt;&gt;"Serviço",AND(AUTOEVENTO="Manual",$M53=$A$15)),0,
         IF(OFFSET(CRONOPLE!$F$15,$M53-$A$15,CL$13)=0,10^12,OFFSET(CRONOPLE!$F$15,$M53-$A$15,CL$13)))</f>
        <v>20</v>
      </c>
      <c r="CM53" s="171">
        <f ca="1">IF(OR($D53&lt;&gt;"Serviço",AND(AUTOEVENTO="Manual",$M53=$A$15)),0,
         IF(OFFSET(CRONOPLE!$F$15,$M53-$A$15,CM$13)=0,10^12,OFFSET(CRONOPLE!$F$15,$M53-$A$15,CM$13)))</f>
        <v>1000000000000</v>
      </c>
      <c r="CN53" s="171">
        <f ca="1">IF(OR($D53&lt;&gt;"Serviço",AND(AUTOEVENTO="Manual",$M53=$A$15)),0,
         IF(OFFSET(CRONOPLE!$F$15,$M53-$A$15,CN$13)=0,10^12,OFFSET(CRONOPLE!$F$15,$M53-$A$15,CN$13)))</f>
        <v>1000000000000</v>
      </c>
      <c r="CO53" s="171">
        <f ca="1">IF(OR($D53&lt;&gt;"Serviço",AND(AUTOEVENTO="Manual",$M53=$A$15)),0,
         IF(OFFSET(CRONOPLE!$F$15,$M53-$A$15,CO$13)=0,10^12,OFFSET(CRONOPLE!$F$15,$M53-$A$15,CO$13)))</f>
        <v>1000000000000</v>
      </c>
      <c r="CP53" s="171">
        <f ca="1">IF(OR($D53&lt;&gt;"Serviço",AND(AUTOEVENTO="Manual",$M53=$A$15)),0,
         IF(OFFSET(CRONOPLE!$F$15,$M53-$A$15,CP$13)=0,10^12,OFFSET(CRONOPLE!$F$15,$M53-$A$15,CP$13)))</f>
        <v>1000000000000</v>
      </c>
      <c r="CQ53" s="171">
        <f ca="1">IF(OR($D53&lt;&gt;"Serviço",AND(AUTOEVENTO="Manual",$M53=$A$15)),0,
         IF(OFFSET(CRONOPLE!$F$15,$M53-$A$15,CQ$13)=0,10^12,OFFSET(CRONOPLE!$F$15,$M53-$A$15,CQ$13)))</f>
        <v>1000000000000</v>
      </c>
      <c r="CR53" s="171">
        <f ca="1">IF(OR($D53&lt;&gt;"Serviço",AND(AUTOEVENTO="Manual",$M53=$A$15)),0,
         IF(OFFSET(CRONOPLE!$F$15,$M53-$A$15,CR$13)=0,10^12,OFFSET(CRONOPLE!$F$15,$M53-$A$15,CR$13)))</f>
        <v>1000000000000</v>
      </c>
      <c r="CT53" s="172" cm="1">
        <f t="array" aca="1" ref="CT53" ca="1">IF(OR($D53&lt;&gt;"Serviço",AND(AUTOEVENTO="Manual",$M53=$A$15),$M53&gt;(ROW(PLE.lastrow)-ROW(PLE.firstrow))),0,
           IF(OFFSET(PLE!$G$15,$M53-$A$15,CT$13)="",10^12,OFFSET(PLE!$G$15,$M53-$A$15,CT$13)))</f>
        <v>1000000000000</v>
      </c>
      <c r="CU53" s="172" cm="1">
        <f t="array" aca="1" ref="CU53" ca="1">IF(OR($D53&lt;&gt;"Serviço",AND(AUTOEVENTO="Manual",$M53=$A$15),$M53&gt;(ROW(PLE.lastrow)-ROW(PLE.firstrow))),0,
           IF(OFFSET(PLE!$G$15,$M53-$A$15,CU$13)="",10^12,OFFSET(PLE!$G$15,$M53-$A$15,CU$13)))</f>
        <v>1000000000000</v>
      </c>
      <c r="CV53" s="172" cm="1">
        <f t="array" aca="1" ref="CV53" ca="1">IF(OR($D53&lt;&gt;"Serviço",AND(AUTOEVENTO="Manual",$M53=$A$15),$M53&gt;(ROW(PLE.lastrow)-ROW(PLE.firstrow))),0,
           IF(OFFSET(PLE!$G$15,$M53-$A$15,CV$13)="",10^12,OFFSET(PLE!$G$15,$M53-$A$15,CV$13)))</f>
        <v>1000000000000</v>
      </c>
      <c r="CW53" s="172" cm="1">
        <f t="array" aca="1" ref="CW53" ca="1">IF(OR($D53&lt;&gt;"Serviço",AND(AUTOEVENTO="Manual",$M53=$A$15),$M53&gt;(ROW(PLE.lastrow)-ROW(PLE.firstrow))),0,
           IF(OFFSET(PLE!$G$15,$M53-$A$15,CW$13)="",10^12,OFFSET(PLE!$G$15,$M53-$A$15,CW$13)))</f>
        <v>1000000000000</v>
      </c>
      <c r="CX53" s="172" cm="1">
        <f t="array" aca="1" ref="CX53" ca="1">IF(OR($D53&lt;&gt;"Serviço",AND(AUTOEVENTO="Manual",$M53=$A$15),$M53&gt;(ROW(PLE.lastrow)-ROW(PLE.firstrow))),0,
           IF(OFFSET(PLE!$G$15,$M53-$A$15,CX$13)="",10^12,OFFSET(PLE!$G$15,$M53-$A$15,CX$13)))</f>
        <v>1000000000000</v>
      </c>
      <c r="CY53" s="172" cm="1">
        <f t="array" aca="1" ref="CY53" ca="1">IF(OR($D53&lt;&gt;"Serviço",AND(AUTOEVENTO="Manual",$M53=$A$15),$M53&gt;(ROW(PLE.lastrow)-ROW(PLE.firstrow))),0,
           IF(OFFSET(PLE!$G$15,$M53-$A$15,CY$13)="",10^12,OFFSET(PLE!$G$15,$M53-$A$15,CY$13)))</f>
        <v>1000000000000</v>
      </c>
      <c r="CZ53" s="172" cm="1">
        <f t="array" aca="1" ref="CZ53" ca="1">IF(OR($D53&lt;&gt;"Serviço",AND(AUTOEVENTO="Manual",$M53=$A$15),$M53&gt;(ROW(PLE.lastrow)-ROW(PLE.firstrow))),0,
           IF(OFFSET(PLE!$G$15,$M53-$A$15,CZ$13)="",10^12,OFFSET(PLE!$G$15,$M53-$A$15,CZ$13)))</f>
        <v>1000000000000</v>
      </c>
      <c r="DA53" s="172" cm="1">
        <f t="array" aca="1" ref="DA53" ca="1">IF(OR($D53&lt;&gt;"Serviço",AND(AUTOEVENTO="Manual",$M53=$A$15),$M53&gt;(ROW(PLE.lastrow)-ROW(PLE.firstrow))),0,
           IF(OFFSET(PLE!$G$15,$M53-$A$15,DA$13)="",10^12,OFFSET(PLE!$G$15,$M53-$A$15,DA$13)))</f>
        <v>1000000000000</v>
      </c>
      <c r="DB53" s="172" cm="1">
        <f t="array" aca="1" ref="DB53" ca="1">IF(OR($D53&lt;&gt;"Serviço",AND(AUTOEVENTO="Manual",$M53=$A$15),$M53&gt;(ROW(PLE.lastrow)-ROW(PLE.firstrow))),0,
           IF(OFFSET(PLE!$G$15,$M53-$A$15,DB$13)="",10^12,OFFSET(PLE!$G$15,$M53-$A$15,DB$13)))</f>
        <v>1000000000000</v>
      </c>
      <c r="DC53" s="172" cm="1">
        <f t="array" aca="1" ref="DC53" ca="1">IF(OR($D53&lt;&gt;"Serviço",AND(AUTOEVENTO="Manual",$M53=$A$15),$M53&gt;(ROW(PLE.lastrow)-ROW(PLE.firstrow))),0,
           IF(OFFSET(PLE!$G$15,$M53-$A$15,DC$13)="",10^12,OFFSET(PLE!$G$15,$M53-$A$15,DC$13)))</f>
        <v>1000000000000</v>
      </c>
      <c r="DD53" s="172" cm="1">
        <f t="array" aca="1" ref="DD53" ca="1">IF(OR($D53&lt;&gt;"Serviço",AND(AUTOEVENTO="Manual",$M53=$A$15),$M53&gt;(ROW(PLE.lastrow)-ROW(PLE.firstrow))),0,
           IF(OFFSET(PLE!$G$15,$M53-$A$15,DD$13)="",10^12,OFFSET(PLE!$G$15,$M53-$A$15,DD$13)))</f>
        <v>1000000000000</v>
      </c>
      <c r="DE53" s="172" cm="1">
        <f t="array" aca="1" ref="DE53" ca="1">IF(OR($D53&lt;&gt;"Serviço",AND(AUTOEVENTO="Manual",$M53=$A$15),$M53&gt;(ROW(PLE.lastrow)-ROW(PLE.firstrow))),0,
           IF(OFFSET(PLE!$G$15,$M53-$A$15,DE$13)="",10^12,OFFSET(PLE!$G$15,$M53-$A$15,DE$13)))</f>
        <v>1000000000000</v>
      </c>
      <c r="DF53" s="172" cm="1">
        <f t="array" aca="1" ref="DF53" ca="1">IF(OR($D53&lt;&gt;"Serviço",AND(AUTOEVENTO="Manual",$M53=$A$15),$M53&gt;(ROW(PLE.lastrow)-ROW(PLE.firstrow))),0,
           IF(OFFSET(PLE!$G$15,$M53-$A$15,DF$13)="",10^12,OFFSET(PLE!$G$15,$M53-$A$15,DF$13)))</f>
        <v>1000000000000</v>
      </c>
      <c r="DG53" s="172" cm="1">
        <f t="array" aca="1" ref="DG53" ca="1">IF(OR($D53&lt;&gt;"Serviço",AND(AUTOEVENTO="Manual",$M53=$A$15),$M53&gt;(ROW(PLE.lastrow)-ROW(PLE.firstrow))),0,
           IF(OFFSET(PLE!$G$15,$M53-$A$15,DG$13)="",10^12,OFFSET(PLE!$G$15,$M53-$A$15,DG$13)))</f>
        <v>1000000000000</v>
      </c>
      <c r="DH53" s="172" cm="1">
        <f t="array" aca="1" ref="DH53" ca="1">IF(OR($D53&lt;&gt;"Serviço",AND(AUTOEVENTO="Manual",$M53=$A$15),$M53&gt;(ROW(PLE.lastrow)-ROW(PLE.firstrow))),0,
           IF(OFFSET(PLE!$G$15,$M53-$A$15,DH$13)="",10^12,OFFSET(PLE!$G$15,$M53-$A$15,DH$13)))</f>
        <v>1000000000000</v>
      </c>
      <c r="DI53" s="172" cm="1">
        <f t="array" aca="1" ref="DI53" ca="1">IF(OR($D53&lt;&gt;"Serviço",AND(AUTOEVENTO="Manual",$M53=$A$15),$M53&gt;(ROW(PLE.lastrow)-ROW(PLE.firstrow))),0,
           IF(OFFSET(PLE!$G$15,$M53-$A$15,DI$13)="",10^12,OFFSET(PLE!$G$15,$M53-$A$15,DI$13)))</f>
        <v>1000000000000</v>
      </c>
      <c r="DJ53" s="172" cm="1">
        <f t="array" aca="1" ref="DJ53" ca="1">IF(OR($D53&lt;&gt;"Serviço",AND(AUTOEVENTO="Manual",$M53=$A$15),$M53&gt;(ROW(PLE.lastrow)-ROW(PLE.firstrow))),0,
           IF(OFFSET(PLE!$G$15,$M53-$A$15,DJ$13)="",10^12,OFFSET(PLE!$G$15,$M53-$A$15,DJ$13)))</f>
        <v>1000000000000</v>
      </c>
      <c r="DK53" s="172" cm="1">
        <f t="array" aca="1" ref="DK53" ca="1">IF(OR($D53&lt;&gt;"Serviço",AND(AUTOEVENTO="Manual",$M53=$A$15),$M53&gt;(ROW(PLE.lastrow)-ROW(PLE.firstrow))),0,
           IF(OFFSET(PLE!$G$15,$M53-$A$15,DK$13)="",10^12,OFFSET(PLE!$G$15,$M53-$A$15,DK$13)))</f>
        <v>1000000000000</v>
      </c>
      <c r="DL53" s="172" cm="1">
        <f t="array" aca="1" ref="DL53" ca="1">IF(OR($D53&lt;&gt;"Serviço",AND(AUTOEVENTO="Manual",$M53=$A$15),$M53&gt;(ROW(PLE.lastrow)-ROW(PLE.firstrow))),0,
           IF(OFFSET(PLE!$G$15,$M53-$A$15,DL$13)="",10^12,OFFSET(PLE!$G$15,$M53-$A$15,DL$13)))</f>
        <v>1000000000000</v>
      </c>
      <c r="DM53" s="172" cm="1">
        <f t="array" aca="1" ref="DM53" ca="1">IF(OR($D53&lt;&gt;"Serviço",AND(AUTOEVENTO="Manual",$M53=$A$15),$M53&gt;(ROW(PLE.lastrow)-ROW(PLE.firstrow))),0,
           IF(OFFSET(PLE!$G$15,$M53-$A$15,DM$13)="",10^12,OFFSET(PLE!$G$15,$M53-$A$15,DM$13)))</f>
        <v>1000000000000</v>
      </c>
      <c r="DN53" s="172" cm="1">
        <f t="array" aca="1" ref="DN53" ca="1">IF(OR($D53&lt;&gt;"Serviço",AND(AUTOEVENTO="Manual",$M53=$A$15),$M53&gt;(ROW(PLE.lastrow)-ROW(PLE.firstrow))),0,
           IF(OFFSET(PLE!$G$15,$M53-$A$15,DN$13)="",10^12,OFFSET(PLE!$G$15,$M53-$A$15,DN$13)))</f>
        <v>1000000000000</v>
      </c>
      <c r="DO53" s="172" cm="1">
        <f t="array" aca="1" ref="DO53" ca="1">IF(OR($D53&lt;&gt;"Serviço",AND(AUTOEVENTO="Manual",$M53=$A$15),$M53&gt;(ROW(PLE.lastrow)-ROW(PLE.firstrow))),0,
           IF(OFFSET(PLE!$G$15,$M53-$A$15,DO$13)="",10^12,OFFSET(PLE!$G$15,$M53-$A$15,DO$13)))</f>
        <v>1000000000000</v>
      </c>
      <c r="DP53" s="172" cm="1">
        <f t="array" aca="1" ref="DP53" ca="1">IF(OR($D53&lt;&gt;"Serviço",AND(AUTOEVENTO="Manual",$M53=$A$15),$M53&gt;(ROW(PLE.lastrow)-ROW(PLE.firstrow))),0,
           IF(OFFSET(PLE!$G$15,$M53-$A$15,DP$13)="",10^12,OFFSET(PLE!$G$15,$M53-$A$15,DP$13)))</f>
        <v>1000000000000</v>
      </c>
      <c r="DQ53" s="172" cm="1">
        <f t="array" aca="1" ref="DQ53" ca="1">IF(OR($D53&lt;&gt;"Serviço",AND(AUTOEVENTO="Manual",$M53=$A$15),$M53&gt;(ROW(PLE.lastrow)-ROW(PLE.firstrow))),0,
           IF(OFFSET(PLE!$G$15,$M53-$A$15,DQ$13)="",10^12,OFFSET(PLE!$G$15,$M53-$A$15,DQ$13)))</f>
        <v>1000000000000</v>
      </c>
      <c r="DR53" s="172" cm="1">
        <f t="array" aca="1" ref="DR53" ca="1">IF(OR($D53&lt;&gt;"Serviço",AND(AUTOEVENTO="Manual",$M53=$A$15),$M53&gt;(ROW(PLE.lastrow)-ROW(PLE.firstrow))),0,
           IF(OFFSET(PLE!$G$15,$M53-$A$15,DR$13)="",10^12,OFFSET(PLE!$G$15,$M53-$A$15,DR$13)))</f>
        <v>1000000000000</v>
      </c>
      <c r="DS53" s="172" cm="1">
        <f t="array" aca="1" ref="DS53" ca="1">IF(OR($D53&lt;&gt;"Serviço",AND(AUTOEVENTO="Manual",$M53=$A$15),$M53&gt;(ROW(PLE.lastrow)-ROW(PLE.firstrow))),0,
           IF(OFFSET(PLE!$G$15,$M53-$A$15,DS$13)="",10^12,OFFSET(PLE!$G$15,$M53-$A$15,DS$13)))</f>
        <v>1000000000000</v>
      </c>
    </row>
    <row r="54" spans="1:123" ht="38.25" x14ac:dyDescent="0.2">
      <c r="A54" s="7">
        <f t="shared" ca="1" si="11"/>
        <v>4</v>
      </c>
      <c r="B54" s="7" t="str">
        <f ca="1">OFFSET(ORÇAMENTO!C$15,$L54,0)</f>
        <v>S</v>
      </c>
      <c r="C54" s="7" t="str">
        <f ca="1">OFFSET(ORÇAMENTO!L$15,$L54,0)</f>
        <v/>
      </c>
      <c r="D54" s="116" t="str">
        <f ca="1">OFFSET(ORÇAMENTO!N$15,$L54,0)</f>
        <v>Serviço</v>
      </c>
      <c r="E54" s="117" t="str">
        <f ca="1">OFFSET(ORÇAMENTO!O$15,$L54,0)</f>
        <v>-</v>
      </c>
      <c r="F54" s="163" t="str">
        <f ca="1">OFFSET(ORÇAMENTO!R$15,$L54,0)</f>
        <v>(Código não identificado nas referências)</v>
      </c>
      <c r="G54" s="164" t="str">
        <f ca="1">IF($D54&lt;&gt;"Serviço","",OFFSET(ORÇAMENTO!S$15,$L54,0))</f>
        <v>-</v>
      </c>
      <c r="H54" s="122" cm="1">
        <f t="array" aca="1" ref="H54" ca="1">IF($D54&lt;&gt;"Serviço",0,IF(ACOMPANHAMENTO="BM",ROUND(OFFSET(ORÇAMENTO!AJ$15,$L54,0),15-13*ORÇAMENTO!$AF$7),IF(IFERROR(CÁLCULO.FrentesPreenchidas,0)=0,0,SUM(ROUND(OFFSET($P54,0,1,1,CÁLCULO.FrentesPreenchidas),15-13*ORÇAMENTO!$AF$7)))))</f>
        <v>1408.0000000000002</v>
      </c>
      <c r="I54" s="468" t="s">
        <v>1235</v>
      </c>
      <c r="J54" s="651" t="str" cm="1">
        <f t="array" aca="1" ref="J54" ca="1">IF(OR(B54&lt;&gt;"S",CÁLCULO.FrentesPreenchidas=0),"",IF(AND(ACOMPANHAMENTO="PLE",AUTOEVENTO="Manual",OR(H54&gt;0,ORÇAMENTO!AC54="QUANT."),OR(K54="",M54=0,N54="")),"►E",IF(AND(ACOMPANHAMENTO="PLE",ORÇAMENTO!AC54="QUANT."),"►Q",IF(AND(ACOMPANHAMENTO="PLE",H54&lt;&gt;SUMPRODUCT(($Q$1:$AQ$1=1)*ROUND(Q54:AQ54,15))),"►S",IF(AND(COUNTIF($P$11:$AQ$11,"▼")=0,H54&gt;0,I54=""),"◄M","")))))</f>
        <v/>
      </c>
      <c r="K54" s="652" t="s">
        <v>1252</v>
      </c>
      <c r="L54" s="165">
        <f t="shared" ca="1" si="12"/>
        <v>39</v>
      </c>
      <c r="M54" s="166">
        <f ca="1">IF($D54&lt;&gt;"Serviço","",
          IF(AUTOEVENTO="manual",$A54,
                IF(ISERROR(MATCH($A54,$A$15:OFFSET($A54,-1,0),0)),MAX($M$15:OFFSET(M54,-1,0))+1,
                      INDEX($M$15:OFFSET(M54,-1,0),MATCH($A54,$A$15:OFFSET($A54,-1,0),0)))))</f>
        <v>4</v>
      </c>
      <c r="N54" s="167" t="str">
        <f ca="1">IF($D54&lt;&gt;"Serviço","",
         IF(AUTOEVENTO="Manual",
                IF($A54=0,"&lt;-- defina o número do agrupador",
                       OFFSET(EVENTOS!$D$15,$A54-$A$15,0)),
                OFFSET($F$15,$A54,0)))</f>
        <v>SUPRAESTRUTURA</v>
      </c>
      <c r="O54" s="168"/>
      <c r="Q54" s="168">
        <v>70.400000000000006</v>
      </c>
      <c r="R54" s="169">
        <v>70.400000000000006</v>
      </c>
      <c r="S54" s="169">
        <v>70.400000000000006</v>
      </c>
      <c r="T54" s="169">
        <v>70.400000000000006</v>
      </c>
      <c r="U54" s="169">
        <v>70.400000000000006</v>
      </c>
      <c r="V54" s="169">
        <v>70.400000000000006</v>
      </c>
      <c r="W54" s="169">
        <v>70.400000000000006</v>
      </c>
      <c r="X54" s="169">
        <v>70.400000000000006</v>
      </c>
      <c r="Y54" s="169">
        <v>70.400000000000006</v>
      </c>
      <c r="Z54" s="170">
        <v>70.400000000000006</v>
      </c>
      <c r="AA54" s="169">
        <v>70.400000000000006</v>
      </c>
      <c r="AB54" s="169">
        <v>70.400000000000006</v>
      </c>
      <c r="AC54" s="169">
        <v>70.400000000000006</v>
      </c>
      <c r="AD54" s="169">
        <v>70.400000000000006</v>
      </c>
      <c r="AE54" s="169">
        <v>70.400000000000006</v>
      </c>
      <c r="AF54" s="169">
        <v>70.400000000000006</v>
      </c>
      <c r="AG54" s="169">
        <v>70.400000000000006</v>
      </c>
      <c r="AH54" s="170">
        <v>70.400000000000006</v>
      </c>
      <c r="AI54" s="169">
        <v>70.400000000000006</v>
      </c>
      <c r="AJ54" s="169">
        <v>70.400000000000006</v>
      </c>
      <c r="AK54" s="169"/>
      <c r="AL54" s="169"/>
      <c r="AM54" s="169"/>
      <c r="AN54" s="169"/>
      <c r="AO54" s="169"/>
      <c r="AP54" s="170"/>
      <c r="AR54" s="453">
        <f ca="1">IF(AND($D54="Serviço",AR$12&lt;&gt;0,$H54&gt;0,OR(AUTOEVENTO&lt;&gt;"manual",$M54&lt;&gt;$A$15)),
        IF(Import.TipoArredondamento&lt;&gt;"TransfereGOV",
              ROUND(OFFSET($P54,0,AR$13),15-13*ORÇAMENTO!$AF$7)/$H54*OFFSET(ORÇAMENTO!$X$15,ROW(AR54)-ROW(AR$15),0),
              ROUND(ROUND(OFFSET($P54,0,AR$13),15-13*ORÇAMENTO!$AF$7)*OFFSET(ORÇAMENTO!$W$15,ROW(AR54)-ROW(AR$15),0),15-13*ORÇAMENTO!$AF$11)),
         0)</f>
        <v>0</v>
      </c>
      <c r="AS54" s="453">
        <f ca="1">IF(AND($D54="Serviço",AS$12&lt;&gt;0,$H54&gt;0,OR(AUTOEVENTO&lt;&gt;"manual",$M54&lt;&gt;$A$15)),
        IF(Import.TipoArredondamento&lt;&gt;"TransfereGOV",
              ROUND(OFFSET($P54,0,AS$13),15-13*ORÇAMENTO!$AF$7)/$H54*OFFSET(ORÇAMENTO!$X$15,ROW(AS54)-ROW(AS$15),0),
              ROUND(ROUND(OFFSET($P54,0,AS$13),15-13*ORÇAMENTO!$AF$7)*OFFSET(ORÇAMENTO!$W$15,ROW(AS54)-ROW(AS$15),0),15-13*ORÇAMENTO!$AF$11)),
         0)</f>
        <v>0</v>
      </c>
      <c r="AT54" s="453">
        <f ca="1">IF(AND($D54="Serviço",AT$12&lt;&gt;0,$H54&gt;0,OR(AUTOEVENTO&lt;&gt;"manual",$M54&lt;&gt;$A$15)),
        IF(Import.TipoArredondamento&lt;&gt;"TransfereGOV",
              ROUND(OFFSET($P54,0,AT$13),15-13*ORÇAMENTO!$AF$7)/$H54*OFFSET(ORÇAMENTO!$X$15,ROW(AT54)-ROW(AT$15),0),
              ROUND(ROUND(OFFSET($P54,0,AT$13),15-13*ORÇAMENTO!$AF$7)*OFFSET(ORÇAMENTO!$W$15,ROW(AT54)-ROW(AT$15),0),15-13*ORÇAMENTO!$AF$11)),
         0)</f>
        <v>0</v>
      </c>
      <c r="AU54" s="453">
        <f ca="1">IF(AND($D54="Serviço",AU$12&lt;&gt;0,$H54&gt;0,OR(AUTOEVENTO&lt;&gt;"manual",$M54&lt;&gt;$A$15)),
        IF(Import.TipoArredondamento&lt;&gt;"TransfereGOV",
              ROUND(OFFSET($P54,0,AU$13),15-13*ORÇAMENTO!$AF$7)/$H54*OFFSET(ORÇAMENTO!$X$15,ROW(AU54)-ROW(AU$15),0),
              ROUND(ROUND(OFFSET($P54,0,AU$13),15-13*ORÇAMENTO!$AF$7)*OFFSET(ORÇAMENTO!$W$15,ROW(AU54)-ROW(AU$15),0),15-13*ORÇAMENTO!$AF$11)),
         0)</f>
        <v>0</v>
      </c>
      <c r="AV54" s="453">
        <f ca="1">IF(AND($D54="Serviço",AV$12&lt;&gt;0,$H54&gt;0,OR(AUTOEVENTO&lt;&gt;"manual",$M54&lt;&gt;$A$15)),
        IF(Import.TipoArredondamento&lt;&gt;"TransfereGOV",
              ROUND(OFFSET($P54,0,AV$13),15-13*ORÇAMENTO!$AF$7)/$H54*OFFSET(ORÇAMENTO!$X$15,ROW(AV54)-ROW(AV$15),0),
              ROUND(ROUND(OFFSET($P54,0,AV$13),15-13*ORÇAMENTO!$AF$7)*OFFSET(ORÇAMENTO!$W$15,ROW(AV54)-ROW(AV$15),0),15-13*ORÇAMENTO!$AF$11)),
         0)</f>
        <v>0</v>
      </c>
      <c r="AW54" s="453">
        <f ca="1">IF(AND($D54="Serviço",AW$12&lt;&gt;0,$H54&gt;0,OR(AUTOEVENTO&lt;&gt;"manual",$M54&lt;&gt;$A$15)),
        IF(Import.TipoArredondamento&lt;&gt;"TransfereGOV",
              ROUND(OFFSET($P54,0,AW$13),15-13*ORÇAMENTO!$AF$7)/$H54*OFFSET(ORÇAMENTO!$X$15,ROW(AW54)-ROW(AW$15),0),
              ROUND(ROUND(OFFSET($P54,0,AW$13),15-13*ORÇAMENTO!$AF$7)*OFFSET(ORÇAMENTO!$W$15,ROW(AW54)-ROW(AW$15),0),15-13*ORÇAMENTO!$AF$11)),
         0)</f>
        <v>0</v>
      </c>
      <c r="AX54" s="453">
        <f ca="1">IF(AND($D54="Serviço",AX$12&lt;&gt;0,$H54&gt;0,OR(AUTOEVENTO&lt;&gt;"manual",$M54&lt;&gt;$A$15)),
        IF(Import.TipoArredondamento&lt;&gt;"TransfereGOV",
              ROUND(OFFSET($P54,0,AX$13),15-13*ORÇAMENTO!$AF$7)/$H54*OFFSET(ORÇAMENTO!$X$15,ROW(AX54)-ROW(AX$15),0),
              ROUND(ROUND(OFFSET($P54,0,AX$13),15-13*ORÇAMENTO!$AF$7)*OFFSET(ORÇAMENTO!$W$15,ROW(AX54)-ROW(AX$15),0),15-13*ORÇAMENTO!$AF$11)),
         0)</f>
        <v>0</v>
      </c>
      <c r="AY54" s="453">
        <f ca="1">IF(AND($D54="Serviço",AY$12&lt;&gt;0,$H54&gt;0,OR(AUTOEVENTO&lt;&gt;"manual",$M54&lt;&gt;$A$15)),
        IF(Import.TipoArredondamento&lt;&gt;"TransfereGOV",
              ROUND(OFFSET($P54,0,AY$13),15-13*ORÇAMENTO!$AF$7)/$H54*OFFSET(ORÇAMENTO!$X$15,ROW(AY54)-ROW(AY$15),0),
              ROUND(ROUND(OFFSET($P54,0,AY$13),15-13*ORÇAMENTO!$AF$7)*OFFSET(ORÇAMENTO!$W$15,ROW(AY54)-ROW(AY$15),0),15-13*ORÇAMENTO!$AF$11)),
         0)</f>
        <v>0</v>
      </c>
      <c r="AZ54" s="453">
        <f ca="1">IF(AND($D54="Serviço",AZ$12&lt;&gt;0,$H54&gt;0,OR(AUTOEVENTO&lt;&gt;"manual",$M54&lt;&gt;$A$15)),
        IF(Import.TipoArredondamento&lt;&gt;"TransfereGOV",
              ROUND(OFFSET($P54,0,AZ$13),15-13*ORÇAMENTO!$AF$7)/$H54*OFFSET(ORÇAMENTO!$X$15,ROW(AZ54)-ROW(AZ$15),0),
              ROUND(ROUND(OFFSET($P54,0,AZ$13),15-13*ORÇAMENTO!$AF$7)*OFFSET(ORÇAMENTO!$W$15,ROW(AZ54)-ROW(AZ$15),0),15-13*ORÇAMENTO!$AF$11)),
         0)</f>
        <v>0</v>
      </c>
      <c r="BA54" s="453">
        <f ca="1">IF(AND($D54="Serviço",BA$12&lt;&gt;0,$H54&gt;0,OR(AUTOEVENTO&lt;&gt;"manual",$M54&lt;&gt;$A$15)),
        IF(Import.TipoArredondamento&lt;&gt;"TransfereGOV",
              ROUND(OFFSET($P54,0,BA$13),15-13*ORÇAMENTO!$AF$7)/$H54*OFFSET(ORÇAMENTO!$X$15,ROW(BA54)-ROW(BA$15),0),
              ROUND(ROUND(OFFSET($P54,0,BA$13),15-13*ORÇAMENTO!$AF$7)*OFFSET(ORÇAMENTO!$W$15,ROW(BA54)-ROW(BA$15),0),15-13*ORÇAMENTO!$AF$11)),
         0)</f>
        <v>0</v>
      </c>
      <c r="BB54" s="453">
        <f ca="1">IF(AND($D54="Serviço",BB$12&lt;&gt;0,$H54&gt;0,OR(AUTOEVENTO&lt;&gt;"manual",$M54&lt;&gt;$A$15)),
        IF(Import.TipoArredondamento&lt;&gt;"TransfereGOV",
              ROUND(OFFSET($P54,0,BB$13),15-13*ORÇAMENTO!$AF$7)/$H54*OFFSET(ORÇAMENTO!$X$15,ROW(BB54)-ROW(BB$15),0),
              ROUND(ROUND(OFFSET($P54,0,BB$13),15-13*ORÇAMENTO!$AF$7)*OFFSET(ORÇAMENTO!$W$15,ROW(BB54)-ROW(BB$15),0),15-13*ORÇAMENTO!$AF$11)),
         0)</f>
        <v>0</v>
      </c>
      <c r="BC54" s="453">
        <f ca="1">IF(AND($D54="Serviço",BC$12&lt;&gt;0,$H54&gt;0,OR(AUTOEVENTO&lt;&gt;"manual",$M54&lt;&gt;$A$15)),
        IF(Import.TipoArredondamento&lt;&gt;"TransfereGOV",
              ROUND(OFFSET($P54,0,BC$13),15-13*ORÇAMENTO!$AF$7)/$H54*OFFSET(ORÇAMENTO!$X$15,ROW(BC54)-ROW(BC$15),0),
              ROUND(ROUND(OFFSET($P54,0,BC$13),15-13*ORÇAMENTO!$AF$7)*OFFSET(ORÇAMENTO!$W$15,ROW(BC54)-ROW(BC$15),0),15-13*ORÇAMENTO!$AF$11)),
         0)</f>
        <v>0</v>
      </c>
      <c r="BD54" s="453">
        <f ca="1">IF(AND($D54="Serviço",BD$12&lt;&gt;0,$H54&gt;0,OR(AUTOEVENTO&lt;&gt;"manual",$M54&lt;&gt;$A$15)),
        IF(Import.TipoArredondamento&lt;&gt;"TransfereGOV",
              ROUND(OFFSET($P54,0,BD$13),15-13*ORÇAMENTO!$AF$7)/$H54*OFFSET(ORÇAMENTO!$X$15,ROW(BD54)-ROW(BD$15),0),
              ROUND(ROUND(OFFSET($P54,0,BD$13),15-13*ORÇAMENTO!$AF$7)*OFFSET(ORÇAMENTO!$W$15,ROW(BD54)-ROW(BD$15),0),15-13*ORÇAMENTO!$AF$11)),
         0)</f>
        <v>0</v>
      </c>
      <c r="BE54" s="453">
        <f ca="1">IF(AND($D54="Serviço",BE$12&lt;&gt;0,$H54&gt;0,OR(AUTOEVENTO&lt;&gt;"manual",$M54&lt;&gt;$A$15)),
        IF(Import.TipoArredondamento&lt;&gt;"TransfereGOV",
              ROUND(OFFSET($P54,0,BE$13),15-13*ORÇAMENTO!$AF$7)/$H54*OFFSET(ORÇAMENTO!$X$15,ROW(BE54)-ROW(BE$15),0),
              ROUND(ROUND(OFFSET($P54,0,BE$13),15-13*ORÇAMENTO!$AF$7)*OFFSET(ORÇAMENTO!$W$15,ROW(BE54)-ROW(BE$15),0),15-13*ORÇAMENTO!$AF$11)),
         0)</f>
        <v>0</v>
      </c>
      <c r="BF54" s="453">
        <f ca="1">IF(AND($D54="Serviço",BF$12&lt;&gt;0,$H54&gt;0,OR(AUTOEVENTO&lt;&gt;"manual",$M54&lt;&gt;$A$15)),
        IF(Import.TipoArredondamento&lt;&gt;"TransfereGOV",
              ROUND(OFFSET($P54,0,BF$13),15-13*ORÇAMENTO!$AF$7)/$H54*OFFSET(ORÇAMENTO!$X$15,ROW(BF54)-ROW(BF$15),0),
              ROUND(ROUND(OFFSET($P54,0,BF$13),15-13*ORÇAMENTO!$AF$7)*OFFSET(ORÇAMENTO!$W$15,ROW(BF54)-ROW(BF$15),0),15-13*ORÇAMENTO!$AF$11)),
         0)</f>
        <v>0</v>
      </c>
      <c r="BG54" s="453">
        <f ca="1">IF(AND($D54="Serviço",BG$12&lt;&gt;0,$H54&gt;0,OR(AUTOEVENTO&lt;&gt;"manual",$M54&lt;&gt;$A$15)),
        IF(Import.TipoArredondamento&lt;&gt;"TransfereGOV",
              ROUND(OFFSET($P54,0,BG$13),15-13*ORÇAMENTO!$AF$7)/$H54*OFFSET(ORÇAMENTO!$X$15,ROW(BG54)-ROW(BG$15),0),
              ROUND(ROUND(OFFSET($P54,0,BG$13),15-13*ORÇAMENTO!$AF$7)*OFFSET(ORÇAMENTO!$W$15,ROW(BG54)-ROW(BG$15),0),15-13*ORÇAMENTO!$AF$11)),
         0)</f>
        <v>0</v>
      </c>
      <c r="BH54" s="453">
        <f ca="1">IF(AND($D54="Serviço",BH$12&lt;&gt;0,$H54&gt;0,OR(AUTOEVENTO&lt;&gt;"manual",$M54&lt;&gt;$A$15)),
        IF(Import.TipoArredondamento&lt;&gt;"TransfereGOV",
              ROUND(OFFSET($P54,0,BH$13),15-13*ORÇAMENTO!$AF$7)/$H54*OFFSET(ORÇAMENTO!$X$15,ROW(BH54)-ROW(BH$15),0),
              ROUND(ROUND(OFFSET($P54,0,BH$13),15-13*ORÇAMENTO!$AF$7)*OFFSET(ORÇAMENTO!$W$15,ROW(BH54)-ROW(BH$15),0),15-13*ORÇAMENTO!$AF$11)),
         0)</f>
        <v>0</v>
      </c>
      <c r="BI54" s="453">
        <f ca="1">IF(AND($D54="Serviço",BI$12&lt;&gt;0,$H54&gt;0,OR(AUTOEVENTO&lt;&gt;"manual",$M54&lt;&gt;$A$15)),
        IF(Import.TipoArredondamento&lt;&gt;"TransfereGOV",
              ROUND(OFFSET($P54,0,BI$13),15-13*ORÇAMENTO!$AF$7)/$H54*OFFSET(ORÇAMENTO!$X$15,ROW(BI54)-ROW(BI$15),0),
              ROUND(ROUND(OFFSET($P54,0,BI$13),15-13*ORÇAMENTO!$AF$7)*OFFSET(ORÇAMENTO!$W$15,ROW(BI54)-ROW(BI$15),0),15-13*ORÇAMENTO!$AF$11)),
         0)</f>
        <v>0</v>
      </c>
      <c r="BJ54" s="453">
        <f ca="1">IF(AND($D54="Serviço",BJ$12&lt;&gt;0,$H54&gt;0,OR(AUTOEVENTO&lt;&gt;"manual",$M54&lt;&gt;$A$15)),
        IF(Import.TipoArredondamento&lt;&gt;"TransfereGOV",
              ROUND(OFFSET($P54,0,BJ$13),15-13*ORÇAMENTO!$AF$7)/$H54*OFFSET(ORÇAMENTO!$X$15,ROW(BJ54)-ROW(BJ$15),0),
              ROUND(ROUND(OFFSET($P54,0,BJ$13),15-13*ORÇAMENTO!$AF$7)*OFFSET(ORÇAMENTO!$W$15,ROW(BJ54)-ROW(BJ$15),0),15-13*ORÇAMENTO!$AF$11)),
         0)</f>
        <v>0</v>
      </c>
      <c r="BK54" s="453">
        <f ca="1">IF(AND($D54="Serviço",BK$12&lt;&gt;0,$H54&gt;0,OR(AUTOEVENTO&lt;&gt;"manual",$M54&lt;&gt;$A$15)),
        IF(Import.TipoArredondamento&lt;&gt;"TransfereGOV",
              ROUND(OFFSET($P54,0,BK$13),15-13*ORÇAMENTO!$AF$7)/$H54*OFFSET(ORÇAMENTO!$X$15,ROW(BK54)-ROW(BK$15),0),
              ROUND(ROUND(OFFSET($P54,0,BK$13),15-13*ORÇAMENTO!$AF$7)*OFFSET(ORÇAMENTO!$W$15,ROW(BK54)-ROW(BK$15),0),15-13*ORÇAMENTO!$AF$11)),
         0)</f>
        <v>0</v>
      </c>
      <c r="BL54" s="453">
        <f ca="1">IF(AND($D54="Serviço",BL$12&lt;&gt;0,$H54&gt;0,OR(AUTOEVENTO&lt;&gt;"manual",$M54&lt;&gt;$A$15)),
        IF(Import.TipoArredondamento&lt;&gt;"TransfereGOV",
              ROUND(OFFSET($P54,0,BL$13),15-13*ORÇAMENTO!$AF$7)/$H54*OFFSET(ORÇAMENTO!$X$15,ROW(BL54)-ROW(BL$15),0),
              ROUND(ROUND(OFFSET($P54,0,BL$13),15-13*ORÇAMENTO!$AF$7)*OFFSET(ORÇAMENTO!$W$15,ROW(BL54)-ROW(BL$15),0),15-13*ORÇAMENTO!$AF$11)),
         0)</f>
        <v>0</v>
      </c>
      <c r="BM54" s="453">
        <f ca="1">IF(AND($D54="Serviço",BM$12&lt;&gt;0,$H54&gt;0,OR(AUTOEVENTO&lt;&gt;"manual",$M54&lt;&gt;$A$15)),
        IF(Import.TipoArredondamento&lt;&gt;"TransfereGOV",
              ROUND(OFFSET($P54,0,BM$13),15-13*ORÇAMENTO!$AF$7)/$H54*OFFSET(ORÇAMENTO!$X$15,ROW(BM54)-ROW(BM$15),0),
              ROUND(ROUND(OFFSET($P54,0,BM$13),15-13*ORÇAMENTO!$AF$7)*OFFSET(ORÇAMENTO!$W$15,ROW(BM54)-ROW(BM$15),0),15-13*ORÇAMENTO!$AF$11)),
         0)</f>
        <v>0</v>
      </c>
      <c r="BN54" s="453">
        <f ca="1">IF(AND($D54="Serviço",BN$12&lt;&gt;0,$H54&gt;0,OR(AUTOEVENTO&lt;&gt;"manual",$M54&lt;&gt;$A$15)),
        IF(Import.TipoArredondamento&lt;&gt;"TransfereGOV",
              ROUND(OFFSET($P54,0,BN$13),15-13*ORÇAMENTO!$AF$7)/$H54*OFFSET(ORÇAMENTO!$X$15,ROW(BN54)-ROW(BN$15),0),
              ROUND(ROUND(OFFSET($P54,0,BN$13),15-13*ORÇAMENTO!$AF$7)*OFFSET(ORÇAMENTO!$W$15,ROW(BN54)-ROW(BN$15),0),15-13*ORÇAMENTO!$AF$11)),
         0)</f>
        <v>0</v>
      </c>
      <c r="BO54" s="453">
        <f ca="1">IF(AND($D54="Serviço",BO$12&lt;&gt;0,$H54&gt;0,OR(AUTOEVENTO&lt;&gt;"manual",$M54&lt;&gt;$A$15)),
        IF(Import.TipoArredondamento&lt;&gt;"TransfereGOV",
              ROUND(OFFSET($P54,0,BO$13),15-13*ORÇAMENTO!$AF$7)/$H54*OFFSET(ORÇAMENTO!$X$15,ROW(BO54)-ROW(BO$15),0),
              ROUND(ROUND(OFFSET($P54,0,BO$13),15-13*ORÇAMENTO!$AF$7)*OFFSET(ORÇAMENTO!$W$15,ROW(BO54)-ROW(BO$15),0),15-13*ORÇAMENTO!$AF$11)),
         0)</f>
        <v>0</v>
      </c>
      <c r="BP54" s="453">
        <f ca="1">IF(AND($D54="Serviço",BP$12&lt;&gt;0,$H54&gt;0,OR(AUTOEVENTO&lt;&gt;"manual",$M54&lt;&gt;$A$15)),
        IF(Import.TipoArredondamento&lt;&gt;"TransfereGOV",
              ROUND(OFFSET($P54,0,BP$13),15-13*ORÇAMENTO!$AF$7)/$H54*OFFSET(ORÇAMENTO!$X$15,ROW(BP54)-ROW(BP$15),0),
              ROUND(ROUND(OFFSET($P54,0,BP$13),15-13*ORÇAMENTO!$AF$7)*OFFSET(ORÇAMENTO!$W$15,ROW(BP54)-ROW(BP$15),0),15-13*ORÇAMENTO!$AF$11)),
         0)</f>
        <v>0</v>
      </c>
      <c r="BQ54" s="453">
        <f ca="1">IF(AND($D54="Serviço",BQ$12&lt;&gt;0,$H54&gt;0,OR(AUTOEVENTO&lt;&gt;"manual",$M54&lt;&gt;$A$15)),
        IF(Import.TipoArredondamento&lt;&gt;"TransfereGOV",
              ROUND(OFFSET($P54,0,BQ$13),15-13*ORÇAMENTO!$AF$7)/$H54*OFFSET(ORÇAMENTO!$X$15,ROW(BQ54)-ROW(BQ$15),0),
              ROUND(ROUND(OFFSET($P54,0,BQ$13),15-13*ORÇAMENTO!$AF$7)*OFFSET(ORÇAMENTO!$W$15,ROW(BQ54)-ROW(BQ$15),0),15-13*ORÇAMENTO!$AF$11)),
         0)</f>
        <v>0</v>
      </c>
      <c r="BS54" s="171">
        <f ca="1">IF(OR($D54&lt;&gt;"Serviço",AND(AUTOEVENTO="Manual",$M54=$A$15)),0,
         IF(OFFSET(CRONOPLE!$F$15,$M54-$A$15,BS$13)=0,10^12,OFFSET(CRONOPLE!$F$15,$M54-$A$15,BS$13)))</f>
        <v>1</v>
      </c>
      <c r="BT54" s="171">
        <f ca="1">IF(OR($D54&lt;&gt;"Serviço",AND(AUTOEVENTO="Manual",$M54=$A$15)),0,
         IF(OFFSET(CRONOPLE!$F$15,$M54-$A$15,BT$13)=0,10^12,OFFSET(CRONOPLE!$F$15,$M54-$A$15,BT$13)))</f>
        <v>2</v>
      </c>
      <c r="BU54" s="171">
        <f ca="1">IF(OR($D54&lt;&gt;"Serviço",AND(AUTOEVENTO="Manual",$M54=$A$15)),0,
         IF(OFFSET(CRONOPLE!$F$15,$M54-$A$15,BU$13)=0,10^12,OFFSET(CRONOPLE!$F$15,$M54-$A$15,BU$13)))</f>
        <v>3</v>
      </c>
      <c r="BV54" s="171">
        <f ca="1">IF(OR($D54&lt;&gt;"Serviço",AND(AUTOEVENTO="Manual",$M54=$A$15)),0,
         IF(OFFSET(CRONOPLE!$F$15,$M54-$A$15,BV$13)=0,10^12,OFFSET(CRONOPLE!$F$15,$M54-$A$15,BV$13)))</f>
        <v>4</v>
      </c>
      <c r="BW54" s="171">
        <f ca="1">IF(OR($D54&lt;&gt;"Serviço",AND(AUTOEVENTO="Manual",$M54=$A$15)),0,
         IF(OFFSET(CRONOPLE!$F$15,$M54-$A$15,BW$13)=0,10^12,OFFSET(CRONOPLE!$F$15,$M54-$A$15,BW$13)))</f>
        <v>5</v>
      </c>
      <c r="BX54" s="171">
        <f ca="1">IF(OR($D54&lt;&gt;"Serviço",AND(AUTOEVENTO="Manual",$M54=$A$15)),0,
         IF(OFFSET(CRONOPLE!$F$15,$M54-$A$15,BX$13)=0,10^12,OFFSET(CRONOPLE!$F$15,$M54-$A$15,BX$13)))</f>
        <v>6</v>
      </c>
      <c r="BY54" s="171">
        <f ca="1">IF(OR($D54&lt;&gt;"Serviço",AND(AUTOEVENTO="Manual",$M54=$A$15)),0,
         IF(OFFSET(CRONOPLE!$F$15,$M54-$A$15,BY$13)=0,10^12,OFFSET(CRONOPLE!$F$15,$M54-$A$15,BY$13)))</f>
        <v>7</v>
      </c>
      <c r="BZ54" s="171">
        <f ca="1">IF(OR($D54&lt;&gt;"Serviço",AND(AUTOEVENTO="Manual",$M54=$A$15)),0,
         IF(OFFSET(CRONOPLE!$F$15,$M54-$A$15,BZ$13)=0,10^12,OFFSET(CRONOPLE!$F$15,$M54-$A$15,BZ$13)))</f>
        <v>8</v>
      </c>
      <c r="CA54" s="171">
        <f ca="1">IF(OR($D54&lt;&gt;"Serviço",AND(AUTOEVENTO="Manual",$M54=$A$15)),0,
         IF(OFFSET(CRONOPLE!$F$15,$M54-$A$15,CA$13)=0,10^12,OFFSET(CRONOPLE!$F$15,$M54-$A$15,CA$13)))</f>
        <v>9</v>
      </c>
      <c r="CB54" s="171">
        <f ca="1">IF(OR($D54&lt;&gt;"Serviço",AND(AUTOEVENTO="Manual",$M54=$A$15)),0,
         IF(OFFSET(CRONOPLE!$F$15,$M54-$A$15,CB$13)=0,10^12,OFFSET(CRONOPLE!$F$15,$M54-$A$15,CB$13)))</f>
        <v>10</v>
      </c>
      <c r="CC54" s="171">
        <f ca="1">IF(OR($D54&lt;&gt;"Serviço",AND(AUTOEVENTO="Manual",$M54=$A$15)),0,
         IF(OFFSET(CRONOPLE!$F$15,$M54-$A$15,CC$13)=0,10^12,OFFSET(CRONOPLE!$F$15,$M54-$A$15,CC$13)))</f>
        <v>11</v>
      </c>
      <c r="CD54" s="171">
        <f ca="1">IF(OR($D54&lt;&gt;"Serviço",AND(AUTOEVENTO="Manual",$M54=$A$15)),0,
         IF(OFFSET(CRONOPLE!$F$15,$M54-$A$15,CD$13)=0,10^12,OFFSET(CRONOPLE!$F$15,$M54-$A$15,CD$13)))</f>
        <v>12</v>
      </c>
      <c r="CE54" s="171">
        <f ca="1">IF(OR($D54&lt;&gt;"Serviço",AND(AUTOEVENTO="Manual",$M54=$A$15)),0,
         IF(OFFSET(CRONOPLE!$F$15,$M54-$A$15,CE$13)=0,10^12,OFFSET(CRONOPLE!$F$15,$M54-$A$15,CE$13)))</f>
        <v>13</v>
      </c>
      <c r="CF54" s="171">
        <f ca="1">IF(OR($D54&lt;&gt;"Serviço",AND(AUTOEVENTO="Manual",$M54=$A$15)),0,
         IF(OFFSET(CRONOPLE!$F$15,$M54-$A$15,CF$13)=0,10^12,OFFSET(CRONOPLE!$F$15,$M54-$A$15,CF$13)))</f>
        <v>14</v>
      </c>
      <c r="CG54" s="171">
        <f ca="1">IF(OR($D54&lt;&gt;"Serviço",AND(AUTOEVENTO="Manual",$M54=$A$15)),0,
         IF(OFFSET(CRONOPLE!$F$15,$M54-$A$15,CG$13)=0,10^12,OFFSET(CRONOPLE!$F$15,$M54-$A$15,CG$13)))</f>
        <v>15</v>
      </c>
      <c r="CH54" s="171">
        <f ca="1">IF(OR($D54&lt;&gt;"Serviço",AND(AUTOEVENTO="Manual",$M54=$A$15)),0,
         IF(OFFSET(CRONOPLE!$F$15,$M54-$A$15,CH$13)=0,10^12,OFFSET(CRONOPLE!$F$15,$M54-$A$15,CH$13)))</f>
        <v>16</v>
      </c>
      <c r="CI54" s="171">
        <f ca="1">IF(OR($D54&lt;&gt;"Serviço",AND(AUTOEVENTO="Manual",$M54=$A$15)),0,
         IF(OFFSET(CRONOPLE!$F$15,$M54-$A$15,CI$13)=0,10^12,OFFSET(CRONOPLE!$F$15,$M54-$A$15,CI$13)))</f>
        <v>17</v>
      </c>
      <c r="CJ54" s="171">
        <f ca="1">IF(OR($D54&lt;&gt;"Serviço",AND(AUTOEVENTO="Manual",$M54=$A$15)),0,
         IF(OFFSET(CRONOPLE!$F$15,$M54-$A$15,CJ$13)=0,10^12,OFFSET(CRONOPLE!$F$15,$M54-$A$15,CJ$13)))</f>
        <v>18</v>
      </c>
      <c r="CK54" s="171">
        <f ca="1">IF(OR($D54&lt;&gt;"Serviço",AND(AUTOEVENTO="Manual",$M54=$A$15)),0,
         IF(OFFSET(CRONOPLE!$F$15,$M54-$A$15,CK$13)=0,10^12,OFFSET(CRONOPLE!$F$15,$M54-$A$15,CK$13)))</f>
        <v>19</v>
      </c>
      <c r="CL54" s="171">
        <f ca="1">IF(OR($D54&lt;&gt;"Serviço",AND(AUTOEVENTO="Manual",$M54=$A$15)),0,
         IF(OFFSET(CRONOPLE!$F$15,$M54-$A$15,CL$13)=0,10^12,OFFSET(CRONOPLE!$F$15,$M54-$A$15,CL$13)))</f>
        <v>20</v>
      </c>
      <c r="CM54" s="171">
        <f ca="1">IF(OR($D54&lt;&gt;"Serviço",AND(AUTOEVENTO="Manual",$M54=$A$15)),0,
         IF(OFFSET(CRONOPLE!$F$15,$M54-$A$15,CM$13)=0,10^12,OFFSET(CRONOPLE!$F$15,$M54-$A$15,CM$13)))</f>
        <v>1000000000000</v>
      </c>
      <c r="CN54" s="171">
        <f ca="1">IF(OR($D54&lt;&gt;"Serviço",AND(AUTOEVENTO="Manual",$M54=$A$15)),0,
         IF(OFFSET(CRONOPLE!$F$15,$M54-$A$15,CN$13)=0,10^12,OFFSET(CRONOPLE!$F$15,$M54-$A$15,CN$13)))</f>
        <v>1000000000000</v>
      </c>
      <c r="CO54" s="171">
        <f ca="1">IF(OR($D54&lt;&gt;"Serviço",AND(AUTOEVENTO="Manual",$M54=$A$15)),0,
         IF(OFFSET(CRONOPLE!$F$15,$M54-$A$15,CO$13)=0,10^12,OFFSET(CRONOPLE!$F$15,$M54-$A$15,CO$13)))</f>
        <v>1000000000000</v>
      </c>
      <c r="CP54" s="171">
        <f ca="1">IF(OR($D54&lt;&gt;"Serviço",AND(AUTOEVENTO="Manual",$M54=$A$15)),0,
         IF(OFFSET(CRONOPLE!$F$15,$M54-$A$15,CP$13)=0,10^12,OFFSET(CRONOPLE!$F$15,$M54-$A$15,CP$13)))</f>
        <v>1000000000000</v>
      </c>
      <c r="CQ54" s="171">
        <f ca="1">IF(OR($D54&lt;&gt;"Serviço",AND(AUTOEVENTO="Manual",$M54=$A$15)),0,
         IF(OFFSET(CRONOPLE!$F$15,$M54-$A$15,CQ$13)=0,10^12,OFFSET(CRONOPLE!$F$15,$M54-$A$15,CQ$13)))</f>
        <v>1000000000000</v>
      </c>
      <c r="CR54" s="171">
        <f ca="1">IF(OR($D54&lt;&gt;"Serviço",AND(AUTOEVENTO="Manual",$M54=$A$15)),0,
         IF(OFFSET(CRONOPLE!$F$15,$M54-$A$15,CR$13)=0,10^12,OFFSET(CRONOPLE!$F$15,$M54-$A$15,CR$13)))</f>
        <v>1000000000000</v>
      </c>
      <c r="CT54" s="172" cm="1">
        <f t="array" aca="1" ref="CT54" ca="1">IF(OR($D54&lt;&gt;"Serviço",AND(AUTOEVENTO="Manual",$M54=$A$15),$M54&gt;(ROW(PLE.lastrow)-ROW(PLE.firstrow))),0,
           IF(OFFSET(PLE!$G$15,$M54-$A$15,CT$13)="",10^12,OFFSET(PLE!$G$15,$M54-$A$15,CT$13)))</f>
        <v>1000000000000</v>
      </c>
      <c r="CU54" s="172" cm="1">
        <f t="array" aca="1" ref="CU54" ca="1">IF(OR($D54&lt;&gt;"Serviço",AND(AUTOEVENTO="Manual",$M54=$A$15),$M54&gt;(ROW(PLE.lastrow)-ROW(PLE.firstrow))),0,
           IF(OFFSET(PLE!$G$15,$M54-$A$15,CU$13)="",10^12,OFFSET(PLE!$G$15,$M54-$A$15,CU$13)))</f>
        <v>1000000000000</v>
      </c>
      <c r="CV54" s="172" cm="1">
        <f t="array" aca="1" ref="CV54" ca="1">IF(OR($D54&lt;&gt;"Serviço",AND(AUTOEVENTO="Manual",$M54=$A$15),$M54&gt;(ROW(PLE.lastrow)-ROW(PLE.firstrow))),0,
           IF(OFFSET(PLE!$G$15,$M54-$A$15,CV$13)="",10^12,OFFSET(PLE!$G$15,$M54-$A$15,CV$13)))</f>
        <v>1000000000000</v>
      </c>
      <c r="CW54" s="172" cm="1">
        <f t="array" aca="1" ref="CW54" ca="1">IF(OR($D54&lt;&gt;"Serviço",AND(AUTOEVENTO="Manual",$M54=$A$15),$M54&gt;(ROW(PLE.lastrow)-ROW(PLE.firstrow))),0,
           IF(OFFSET(PLE!$G$15,$M54-$A$15,CW$13)="",10^12,OFFSET(PLE!$G$15,$M54-$A$15,CW$13)))</f>
        <v>1000000000000</v>
      </c>
      <c r="CX54" s="172" cm="1">
        <f t="array" aca="1" ref="CX54" ca="1">IF(OR($D54&lt;&gt;"Serviço",AND(AUTOEVENTO="Manual",$M54=$A$15),$M54&gt;(ROW(PLE.lastrow)-ROW(PLE.firstrow))),0,
           IF(OFFSET(PLE!$G$15,$M54-$A$15,CX$13)="",10^12,OFFSET(PLE!$G$15,$M54-$A$15,CX$13)))</f>
        <v>1000000000000</v>
      </c>
      <c r="CY54" s="172" cm="1">
        <f t="array" aca="1" ref="CY54" ca="1">IF(OR($D54&lt;&gt;"Serviço",AND(AUTOEVENTO="Manual",$M54=$A$15),$M54&gt;(ROW(PLE.lastrow)-ROW(PLE.firstrow))),0,
           IF(OFFSET(PLE!$G$15,$M54-$A$15,CY$13)="",10^12,OFFSET(PLE!$G$15,$M54-$A$15,CY$13)))</f>
        <v>1000000000000</v>
      </c>
      <c r="CZ54" s="172" cm="1">
        <f t="array" aca="1" ref="CZ54" ca="1">IF(OR($D54&lt;&gt;"Serviço",AND(AUTOEVENTO="Manual",$M54=$A$15),$M54&gt;(ROW(PLE.lastrow)-ROW(PLE.firstrow))),0,
           IF(OFFSET(PLE!$G$15,$M54-$A$15,CZ$13)="",10^12,OFFSET(PLE!$G$15,$M54-$A$15,CZ$13)))</f>
        <v>1000000000000</v>
      </c>
      <c r="DA54" s="172" cm="1">
        <f t="array" aca="1" ref="DA54" ca="1">IF(OR($D54&lt;&gt;"Serviço",AND(AUTOEVENTO="Manual",$M54=$A$15),$M54&gt;(ROW(PLE.lastrow)-ROW(PLE.firstrow))),0,
           IF(OFFSET(PLE!$G$15,$M54-$A$15,DA$13)="",10^12,OFFSET(PLE!$G$15,$M54-$A$15,DA$13)))</f>
        <v>1000000000000</v>
      </c>
      <c r="DB54" s="172" cm="1">
        <f t="array" aca="1" ref="DB54" ca="1">IF(OR($D54&lt;&gt;"Serviço",AND(AUTOEVENTO="Manual",$M54=$A$15),$M54&gt;(ROW(PLE.lastrow)-ROW(PLE.firstrow))),0,
           IF(OFFSET(PLE!$G$15,$M54-$A$15,DB$13)="",10^12,OFFSET(PLE!$G$15,$M54-$A$15,DB$13)))</f>
        <v>1000000000000</v>
      </c>
      <c r="DC54" s="172" cm="1">
        <f t="array" aca="1" ref="DC54" ca="1">IF(OR($D54&lt;&gt;"Serviço",AND(AUTOEVENTO="Manual",$M54=$A$15),$M54&gt;(ROW(PLE.lastrow)-ROW(PLE.firstrow))),0,
           IF(OFFSET(PLE!$G$15,$M54-$A$15,DC$13)="",10^12,OFFSET(PLE!$G$15,$M54-$A$15,DC$13)))</f>
        <v>1000000000000</v>
      </c>
      <c r="DD54" s="172" cm="1">
        <f t="array" aca="1" ref="DD54" ca="1">IF(OR($D54&lt;&gt;"Serviço",AND(AUTOEVENTO="Manual",$M54=$A$15),$M54&gt;(ROW(PLE.lastrow)-ROW(PLE.firstrow))),0,
           IF(OFFSET(PLE!$G$15,$M54-$A$15,DD$13)="",10^12,OFFSET(PLE!$G$15,$M54-$A$15,DD$13)))</f>
        <v>1000000000000</v>
      </c>
      <c r="DE54" s="172" cm="1">
        <f t="array" aca="1" ref="DE54" ca="1">IF(OR($D54&lt;&gt;"Serviço",AND(AUTOEVENTO="Manual",$M54=$A$15),$M54&gt;(ROW(PLE.lastrow)-ROW(PLE.firstrow))),0,
           IF(OFFSET(PLE!$G$15,$M54-$A$15,DE$13)="",10^12,OFFSET(PLE!$G$15,$M54-$A$15,DE$13)))</f>
        <v>1000000000000</v>
      </c>
      <c r="DF54" s="172" cm="1">
        <f t="array" aca="1" ref="DF54" ca="1">IF(OR($D54&lt;&gt;"Serviço",AND(AUTOEVENTO="Manual",$M54=$A$15),$M54&gt;(ROW(PLE.lastrow)-ROW(PLE.firstrow))),0,
           IF(OFFSET(PLE!$G$15,$M54-$A$15,DF$13)="",10^12,OFFSET(PLE!$G$15,$M54-$A$15,DF$13)))</f>
        <v>1000000000000</v>
      </c>
      <c r="DG54" s="172" cm="1">
        <f t="array" aca="1" ref="DG54" ca="1">IF(OR($D54&lt;&gt;"Serviço",AND(AUTOEVENTO="Manual",$M54=$A$15),$M54&gt;(ROW(PLE.lastrow)-ROW(PLE.firstrow))),0,
           IF(OFFSET(PLE!$G$15,$M54-$A$15,DG$13)="",10^12,OFFSET(PLE!$G$15,$M54-$A$15,DG$13)))</f>
        <v>1000000000000</v>
      </c>
      <c r="DH54" s="172" cm="1">
        <f t="array" aca="1" ref="DH54" ca="1">IF(OR($D54&lt;&gt;"Serviço",AND(AUTOEVENTO="Manual",$M54=$A$15),$M54&gt;(ROW(PLE.lastrow)-ROW(PLE.firstrow))),0,
           IF(OFFSET(PLE!$G$15,$M54-$A$15,DH$13)="",10^12,OFFSET(PLE!$G$15,$M54-$A$15,DH$13)))</f>
        <v>1000000000000</v>
      </c>
      <c r="DI54" s="172" cm="1">
        <f t="array" aca="1" ref="DI54" ca="1">IF(OR($D54&lt;&gt;"Serviço",AND(AUTOEVENTO="Manual",$M54=$A$15),$M54&gt;(ROW(PLE.lastrow)-ROW(PLE.firstrow))),0,
           IF(OFFSET(PLE!$G$15,$M54-$A$15,DI$13)="",10^12,OFFSET(PLE!$G$15,$M54-$A$15,DI$13)))</f>
        <v>1000000000000</v>
      </c>
      <c r="DJ54" s="172" cm="1">
        <f t="array" aca="1" ref="DJ54" ca="1">IF(OR($D54&lt;&gt;"Serviço",AND(AUTOEVENTO="Manual",$M54=$A$15),$M54&gt;(ROW(PLE.lastrow)-ROW(PLE.firstrow))),0,
           IF(OFFSET(PLE!$G$15,$M54-$A$15,DJ$13)="",10^12,OFFSET(PLE!$G$15,$M54-$A$15,DJ$13)))</f>
        <v>1000000000000</v>
      </c>
      <c r="DK54" s="172" cm="1">
        <f t="array" aca="1" ref="DK54" ca="1">IF(OR($D54&lt;&gt;"Serviço",AND(AUTOEVENTO="Manual",$M54=$A$15),$M54&gt;(ROW(PLE.lastrow)-ROW(PLE.firstrow))),0,
           IF(OFFSET(PLE!$G$15,$M54-$A$15,DK$13)="",10^12,OFFSET(PLE!$G$15,$M54-$A$15,DK$13)))</f>
        <v>1000000000000</v>
      </c>
      <c r="DL54" s="172" cm="1">
        <f t="array" aca="1" ref="DL54" ca="1">IF(OR($D54&lt;&gt;"Serviço",AND(AUTOEVENTO="Manual",$M54=$A$15),$M54&gt;(ROW(PLE.lastrow)-ROW(PLE.firstrow))),0,
           IF(OFFSET(PLE!$G$15,$M54-$A$15,DL$13)="",10^12,OFFSET(PLE!$G$15,$M54-$A$15,DL$13)))</f>
        <v>1000000000000</v>
      </c>
      <c r="DM54" s="172" cm="1">
        <f t="array" aca="1" ref="DM54" ca="1">IF(OR($D54&lt;&gt;"Serviço",AND(AUTOEVENTO="Manual",$M54=$A$15),$M54&gt;(ROW(PLE.lastrow)-ROW(PLE.firstrow))),0,
           IF(OFFSET(PLE!$G$15,$M54-$A$15,DM$13)="",10^12,OFFSET(PLE!$G$15,$M54-$A$15,DM$13)))</f>
        <v>1000000000000</v>
      </c>
      <c r="DN54" s="172" cm="1">
        <f t="array" aca="1" ref="DN54" ca="1">IF(OR($D54&lt;&gt;"Serviço",AND(AUTOEVENTO="Manual",$M54=$A$15),$M54&gt;(ROW(PLE.lastrow)-ROW(PLE.firstrow))),0,
           IF(OFFSET(PLE!$G$15,$M54-$A$15,DN$13)="",10^12,OFFSET(PLE!$G$15,$M54-$A$15,DN$13)))</f>
        <v>1000000000000</v>
      </c>
      <c r="DO54" s="172" cm="1">
        <f t="array" aca="1" ref="DO54" ca="1">IF(OR($D54&lt;&gt;"Serviço",AND(AUTOEVENTO="Manual",$M54=$A$15),$M54&gt;(ROW(PLE.lastrow)-ROW(PLE.firstrow))),0,
           IF(OFFSET(PLE!$G$15,$M54-$A$15,DO$13)="",10^12,OFFSET(PLE!$G$15,$M54-$A$15,DO$13)))</f>
        <v>1000000000000</v>
      </c>
      <c r="DP54" s="172" cm="1">
        <f t="array" aca="1" ref="DP54" ca="1">IF(OR($D54&lt;&gt;"Serviço",AND(AUTOEVENTO="Manual",$M54=$A$15),$M54&gt;(ROW(PLE.lastrow)-ROW(PLE.firstrow))),0,
           IF(OFFSET(PLE!$G$15,$M54-$A$15,DP$13)="",10^12,OFFSET(PLE!$G$15,$M54-$A$15,DP$13)))</f>
        <v>1000000000000</v>
      </c>
      <c r="DQ54" s="172" cm="1">
        <f t="array" aca="1" ref="DQ54" ca="1">IF(OR($D54&lt;&gt;"Serviço",AND(AUTOEVENTO="Manual",$M54=$A$15),$M54&gt;(ROW(PLE.lastrow)-ROW(PLE.firstrow))),0,
           IF(OFFSET(PLE!$G$15,$M54-$A$15,DQ$13)="",10^12,OFFSET(PLE!$G$15,$M54-$A$15,DQ$13)))</f>
        <v>1000000000000</v>
      </c>
      <c r="DR54" s="172" cm="1">
        <f t="array" aca="1" ref="DR54" ca="1">IF(OR($D54&lt;&gt;"Serviço",AND(AUTOEVENTO="Manual",$M54=$A$15),$M54&gt;(ROW(PLE.lastrow)-ROW(PLE.firstrow))),0,
           IF(OFFSET(PLE!$G$15,$M54-$A$15,DR$13)="",10^12,OFFSET(PLE!$G$15,$M54-$A$15,DR$13)))</f>
        <v>1000000000000</v>
      </c>
      <c r="DS54" s="172" cm="1">
        <f t="array" aca="1" ref="DS54" ca="1">IF(OR($D54&lt;&gt;"Serviço",AND(AUTOEVENTO="Manual",$M54=$A$15),$M54&gt;(ROW(PLE.lastrow)-ROW(PLE.firstrow))),0,
           IF(OFFSET(PLE!$G$15,$M54-$A$15,DS$13)="",10^12,OFFSET(PLE!$G$15,$M54-$A$15,DS$13)))</f>
        <v>1000000000000</v>
      </c>
    </row>
    <row r="55" spans="1:123" ht="38.25" x14ac:dyDescent="0.2">
      <c r="A55" s="7">
        <f t="shared" ca="1" si="11"/>
        <v>4</v>
      </c>
      <c r="B55" s="7" t="str">
        <f ca="1">OFFSET(ORÇAMENTO!C$15,$L55,0)</f>
        <v>S</v>
      </c>
      <c r="C55" s="7" t="str">
        <f ca="1">OFFSET(ORÇAMENTO!L$15,$L55,0)</f>
        <v/>
      </c>
      <c r="D55" s="116" t="str">
        <f ca="1">OFFSET(ORÇAMENTO!N$15,$L55,0)</f>
        <v>Serviço</v>
      </c>
      <c r="E55" s="117" t="str">
        <f ca="1">OFFSET(ORÇAMENTO!O$15,$L55,0)</f>
        <v>-</v>
      </c>
      <c r="F55" s="163" t="str">
        <f ca="1">OFFSET(ORÇAMENTO!R$15,$L55,0)</f>
        <v>(Código não identificado nas referências)</v>
      </c>
      <c r="G55" s="164" t="str">
        <f ca="1">IF($D55&lt;&gt;"Serviço","",OFFSET(ORÇAMENTO!S$15,$L55,0))</f>
        <v>-</v>
      </c>
      <c r="H55" s="122" cm="1">
        <f t="array" aca="1" ref="H55" ca="1">IF($D55&lt;&gt;"Serviço",0,IF(ACOMPANHAMENTO="BM",ROUND(OFFSET(ORÇAMENTO!AJ$15,$L55,0),15-13*ORÇAMENTO!$AF$7),IF(IFERROR(CÁLCULO.FrentesPreenchidas,0)=0,0,SUM(ROUND(OFFSET($P55,0,1,1,CÁLCULO.FrentesPreenchidas),15-13*ORÇAMENTO!$AF$7)))))</f>
        <v>300</v>
      </c>
      <c r="I55" s="468" t="s">
        <v>1235</v>
      </c>
      <c r="J55" s="651" t="str" cm="1">
        <f t="array" aca="1" ref="J55" ca="1">IF(OR(B55&lt;&gt;"S",CÁLCULO.FrentesPreenchidas=0),"",IF(AND(ACOMPANHAMENTO="PLE",AUTOEVENTO="Manual",OR(H55&gt;0,ORÇAMENTO!AC55="QUANT."),OR(K55="",M55=0,N55="")),"►E",IF(AND(ACOMPANHAMENTO="PLE",ORÇAMENTO!AC55="QUANT."),"►Q",IF(AND(ACOMPANHAMENTO="PLE",H55&lt;&gt;SUMPRODUCT(($Q$1:$AQ$1=1)*ROUND(Q55:AQ55,15))),"►S",IF(AND(COUNTIF($P$11:$AQ$11,"▼")=0,H55&gt;0,I55=""),"◄M","")))))</f>
        <v/>
      </c>
      <c r="K55" s="652" t="s">
        <v>1252</v>
      </c>
      <c r="L55" s="165">
        <f t="shared" ca="1" si="12"/>
        <v>40</v>
      </c>
      <c r="M55" s="166">
        <f ca="1">IF($D55&lt;&gt;"Serviço","",
          IF(AUTOEVENTO="manual",$A55,
                IF(ISERROR(MATCH($A55,$A$15:OFFSET($A55,-1,0),0)),MAX($M$15:OFFSET(M55,-1,0))+1,
                      INDEX($M$15:OFFSET(M55,-1,0),MATCH($A55,$A$15:OFFSET($A55,-1,0),0)))))</f>
        <v>4</v>
      </c>
      <c r="N55" s="167" t="str">
        <f ca="1">IF($D55&lt;&gt;"Serviço","",
         IF(AUTOEVENTO="Manual",
                IF($A55=0,"&lt;-- defina o número do agrupador",
                       OFFSET(EVENTOS!$D$15,$A55-$A$15,0)),
                OFFSET($F$15,$A55,0)))</f>
        <v>SUPRAESTRUTURA</v>
      </c>
      <c r="O55" s="168"/>
      <c r="Q55" s="168">
        <v>15</v>
      </c>
      <c r="R55" s="169">
        <v>15</v>
      </c>
      <c r="S55" s="169">
        <v>15</v>
      </c>
      <c r="T55" s="169">
        <v>15</v>
      </c>
      <c r="U55" s="169">
        <v>15</v>
      </c>
      <c r="V55" s="169">
        <v>15</v>
      </c>
      <c r="W55" s="169">
        <v>15</v>
      </c>
      <c r="X55" s="169">
        <v>15</v>
      </c>
      <c r="Y55" s="169">
        <v>15</v>
      </c>
      <c r="Z55" s="170">
        <v>15</v>
      </c>
      <c r="AA55" s="169">
        <v>15</v>
      </c>
      <c r="AB55" s="169">
        <v>15</v>
      </c>
      <c r="AC55" s="169">
        <v>15</v>
      </c>
      <c r="AD55" s="169">
        <v>15</v>
      </c>
      <c r="AE55" s="169">
        <v>15</v>
      </c>
      <c r="AF55" s="169">
        <v>15</v>
      </c>
      <c r="AG55" s="169">
        <v>15</v>
      </c>
      <c r="AH55" s="170">
        <v>15</v>
      </c>
      <c r="AI55" s="169">
        <v>15</v>
      </c>
      <c r="AJ55" s="169">
        <v>15</v>
      </c>
      <c r="AK55" s="169"/>
      <c r="AL55" s="169"/>
      <c r="AM55" s="169"/>
      <c r="AN55" s="169"/>
      <c r="AO55" s="169"/>
      <c r="AP55" s="170"/>
      <c r="AR55" s="453">
        <f ca="1">IF(AND($D55="Serviço",AR$12&lt;&gt;0,$H55&gt;0,OR(AUTOEVENTO&lt;&gt;"manual",$M55&lt;&gt;$A$15)),
        IF(Import.TipoArredondamento&lt;&gt;"TransfereGOV",
              ROUND(OFFSET($P55,0,AR$13),15-13*ORÇAMENTO!$AF$7)/$H55*OFFSET(ORÇAMENTO!$X$15,ROW(AR55)-ROW(AR$15),0),
              ROUND(ROUND(OFFSET($P55,0,AR$13),15-13*ORÇAMENTO!$AF$7)*OFFSET(ORÇAMENTO!$W$15,ROW(AR55)-ROW(AR$15),0),15-13*ORÇAMENTO!$AF$11)),
         0)</f>
        <v>0</v>
      </c>
      <c r="AS55" s="453">
        <f ca="1">IF(AND($D55="Serviço",AS$12&lt;&gt;0,$H55&gt;0,OR(AUTOEVENTO&lt;&gt;"manual",$M55&lt;&gt;$A$15)),
        IF(Import.TipoArredondamento&lt;&gt;"TransfereGOV",
              ROUND(OFFSET($P55,0,AS$13),15-13*ORÇAMENTO!$AF$7)/$H55*OFFSET(ORÇAMENTO!$X$15,ROW(AS55)-ROW(AS$15),0),
              ROUND(ROUND(OFFSET($P55,0,AS$13),15-13*ORÇAMENTO!$AF$7)*OFFSET(ORÇAMENTO!$W$15,ROW(AS55)-ROW(AS$15),0),15-13*ORÇAMENTO!$AF$11)),
         0)</f>
        <v>0</v>
      </c>
      <c r="AT55" s="453">
        <f ca="1">IF(AND($D55="Serviço",AT$12&lt;&gt;0,$H55&gt;0,OR(AUTOEVENTO&lt;&gt;"manual",$M55&lt;&gt;$A$15)),
        IF(Import.TipoArredondamento&lt;&gt;"TransfereGOV",
              ROUND(OFFSET($P55,0,AT$13),15-13*ORÇAMENTO!$AF$7)/$H55*OFFSET(ORÇAMENTO!$X$15,ROW(AT55)-ROW(AT$15),0),
              ROUND(ROUND(OFFSET($P55,0,AT$13),15-13*ORÇAMENTO!$AF$7)*OFFSET(ORÇAMENTO!$W$15,ROW(AT55)-ROW(AT$15),0),15-13*ORÇAMENTO!$AF$11)),
         0)</f>
        <v>0</v>
      </c>
      <c r="AU55" s="453">
        <f ca="1">IF(AND($D55="Serviço",AU$12&lt;&gt;0,$H55&gt;0,OR(AUTOEVENTO&lt;&gt;"manual",$M55&lt;&gt;$A$15)),
        IF(Import.TipoArredondamento&lt;&gt;"TransfereGOV",
              ROUND(OFFSET($P55,0,AU$13),15-13*ORÇAMENTO!$AF$7)/$H55*OFFSET(ORÇAMENTO!$X$15,ROW(AU55)-ROW(AU$15),0),
              ROUND(ROUND(OFFSET($P55,0,AU$13),15-13*ORÇAMENTO!$AF$7)*OFFSET(ORÇAMENTO!$W$15,ROW(AU55)-ROW(AU$15),0),15-13*ORÇAMENTO!$AF$11)),
         0)</f>
        <v>0</v>
      </c>
      <c r="AV55" s="453">
        <f ca="1">IF(AND($D55="Serviço",AV$12&lt;&gt;0,$H55&gt;0,OR(AUTOEVENTO&lt;&gt;"manual",$M55&lt;&gt;$A$15)),
        IF(Import.TipoArredondamento&lt;&gt;"TransfereGOV",
              ROUND(OFFSET($P55,0,AV$13),15-13*ORÇAMENTO!$AF$7)/$H55*OFFSET(ORÇAMENTO!$X$15,ROW(AV55)-ROW(AV$15),0),
              ROUND(ROUND(OFFSET($P55,0,AV$13),15-13*ORÇAMENTO!$AF$7)*OFFSET(ORÇAMENTO!$W$15,ROW(AV55)-ROW(AV$15),0),15-13*ORÇAMENTO!$AF$11)),
         0)</f>
        <v>0</v>
      </c>
      <c r="AW55" s="453">
        <f ca="1">IF(AND($D55="Serviço",AW$12&lt;&gt;0,$H55&gt;0,OR(AUTOEVENTO&lt;&gt;"manual",$M55&lt;&gt;$A$15)),
        IF(Import.TipoArredondamento&lt;&gt;"TransfereGOV",
              ROUND(OFFSET($P55,0,AW$13),15-13*ORÇAMENTO!$AF$7)/$H55*OFFSET(ORÇAMENTO!$X$15,ROW(AW55)-ROW(AW$15),0),
              ROUND(ROUND(OFFSET($P55,0,AW$13),15-13*ORÇAMENTO!$AF$7)*OFFSET(ORÇAMENTO!$W$15,ROW(AW55)-ROW(AW$15),0),15-13*ORÇAMENTO!$AF$11)),
         0)</f>
        <v>0</v>
      </c>
      <c r="AX55" s="453">
        <f ca="1">IF(AND($D55="Serviço",AX$12&lt;&gt;0,$H55&gt;0,OR(AUTOEVENTO&lt;&gt;"manual",$M55&lt;&gt;$A$15)),
        IF(Import.TipoArredondamento&lt;&gt;"TransfereGOV",
              ROUND(OFFSET($P55,0,AX$13),15-13*ORÇAMENTO!$AF$7)/$H55*OFFSET(ORÇAMENTO!$X$15,ROW(AX55)-ROW(AX$15),0),
              ROUND(ROUND(OFFSET($P55,0,AX$13),15-13*ORÇAMENTO!$AF$7)*OFFSET(ORÇAMENTO!$W$15,ROW(AX55)-ROW(AX$15),0),15-13*ORÇAMENTO!$AF$11)),
         0)</f>
        <v>0</v>
      </c>
      <c r="AY55" s="453">
        <f ca="1">IF(AND($D55="Serviço",AY$12&lt;&gt;0,$H55&gt;0,OR(AUTOEVENTO&lt;&gt;"manual",$M55&lt;&gt;$A$15)),
        IF(Import.TipoArredondamento&lt;&gt;"TransfereGOV",
              ROUND(OFFSET($P55,0,AY$13),15-13*ORÇAMENTO!$AF$7)/$H55*OFFSET(ORÇAMENTO!$X$15,ROW(AY55)-ROW(AY$15),0),
              ROUND(ROUND(OFFSET($P55,0,AY$13),15-13*ORÇAMENTO!$AF$7)*OFFSET(ORÇAMENTO!$W$15,ROW(AY55)-ROW(AY$15),0),15-13*ORÇAMENTO!$AF$11)),
         0)</f>
        <v>0</v>
      </c>
      <c r="AZ55" s="453">
        <f ca="1">IF(AND($D55="Serviço",AZ$12&lt;&gt;0,$H55&gt;0,OR(AUTOEVENTO&lt;&gt;"manual",$M55&lt;&gt;$A$15)),
        IF(Import.TipoArredondamento&lt;&gt;"TransfereGOV",
              ROUND(OFFSET($P55,0,AZ$13),15-13*ORÇAMENTO!$AF$7)/$H55*OFFSET(ORÇAMENTO!$X$15,ROW(AZ55)-ROW(AZ$15),0),
              ROUND(ROUND(OFFSET($P55,0,AZ$13),15-13*ORÇAMENTO!$AF$7)*OFFSET(ORÇAMENTO!$W$15,ROW(AZ55)-ROW(AZ$15),0),15-13*ORÇAMENTO!$AF$11)),
         0)</f>
        <v>0</v>
      </c>
      <c r="BA55" s="453">
        <f ca="1">IF(AND($D55="Serviço",BA$12&lt;&gt;0,$H55&gt;0,OR(AUTOEVENTO&lt;&gt;"manual",$M55&lt;&gt;$A$15)),
        IF(Import.TipoArredondamento&lt;&gt;"TransfereGOV",
              ROUND(OFFSET($P55,0,BA$13),15-13*ORÇAMENTO!$AF$7)/$H55*OFFSET(ORÇAMENTO!$X$15,ROW(BA55)-ROW(BA$15),0),
              ROUND(ROUND(OFFSET($P55,0,BA$13),15-13*ORÇAMENTO!$AF$7)*OFFSET(ORÇAMENTO!$W$15,ROW(BA55)-ROW(BA$15),0),15-13*ORÇAMENTO!$AF$11)),
         0)</f>
        <v>0</v>
      </c>
      <c r="BB55" s="453">
        <f ca="1">IF(AND($D55="Serviço",BB$12&lt;&gt;0,$H55&gt;0,OR(AUTOEVENTO&lt;&gt;"manual",$M55&lt;&gt;$A$15)),
        IF(Import.TipoArredondamento&lt;&gt;"TransfereGOV",
              ROUND(OFFSET($P55,0,BB$13),15-13*ORÇAMENTO!$AF$7)/$H55*OFFSET(ORÇAMENTO!$X$15,ROW(BB55)-ROW(BB$15),0),
              ROUND(ROUND(OFFSET($P55,0,BB$13),15-13*ORÇAMENTO!$AF$7)*OFFSET(ORÇAMENTO!$W$15,ROW(BB55)-ROW(BB$15),0),15-13*ORÇAMENTO!$AF$11)),
         0)</f>
        <v>0</v>
      </c>
      <c r="BC55" s="453">
        <f ca="1">IF(AND($D55="Serviço",BC$12&lt;&gt;0,$H55&gt;0,OR(AUTOEVENTO&lt;&gt;"manual",$M55&lt;&gt;$A$15)),
        IF(Import.TipoArredondamento&lt;&gt;"TransfereGOV",
              ROUND(OFFSET($P55,0,BC$13),15-13*ORÇAMENTO!$AF$7)/$H55*OFFSET(ORÇAMENTO!$X$15,ROW(BC55)-ROW(BC$15),0),
              ROUND(ROUND(OFFSET($P55,0,BC$13),15-13*ORÇAMENTO!$AF$7)*OFFSET(ORÇAMENTO!$W$15,ROW(BC55)-ROW(BC$15),0),15-13*ORÇAMENTO!$AF$11)),
         0)</f>
        <v>0</v>
      </c>
      <c r="BD55" s="453">
        <f ca="1">IF(AND($D55="Serviço",BD$12&lt;&gt;0,$H55&gt;0,OR(AUTOEVENTO&lt;&gt;"manual",$M55&lt;&gt;$A$15)),
        IF(Import.TipoArredondamento&lt;&gt;"TransfereGOV",
              ROUND(OFFSET($P55,0,BD$13),15-13*ORÇAMENTO!$AF$7)/$H55*OFFSET(ORÇAMENTO!$X$15,ROW(BD55)-ROW(BD$15),0),
              ROUND(ROUND(OFFSET($P55,0,BD$13),15-13*ORÇAMENTO!$AF$7)*OFFSET(ORÇAMENTO!$W$15,ROW(BD55)-ROW(BD$15),0),15-13*ORÇAMENTO!$AF$11)),
         0)</f>
        <v>0</v>
      </c>
      <c r="BE55" s="453">
        <f ca="1">IF(AND($D55="Serviço",BE$12&lt;&gt;0,$H55&gt;0,OR(AUTOEVENTO&lt;&gt;"manual",$M55&lt;&gt;$A$15)),
        IF(Import.TipoArredondamento&lt;&gt;"TransfereGOV",
              ROUND(OFFSET($P55,0,BE$13),15-13*ORÇAMENTO!$AF$7)/$H55*OFFSET(ORÇAMENTO!$X$15,ROW(BE55)-ROW(BE$15),0),
              ROUND(ROUND(OFFSET($P55,0,BE$13),15-13*ORÇAMENTO!$AF$7)*OFFSET(ORÇAMENTO!$W$15,ROW(BE55)-ROW(BE$15),0),15-13*ORÇAMENTO!$AF$11)),
         0)</f>
        <v>0</v>
      </c>
      <c r="BF55" s="453">
        <f ca="1">IF(AND($D55="Serviço",BF$12&lt;&gt;0,$H55&gt;0,OR(AUTOEVENTO&lt;&gt;"manual",$M55&lt;&gt;$A$15)),
        IF(Import.TipoArredondamento&lt;&gt;"TransfereGOV",
              ROUND(OFFSET($P55,0,BF$13),15-13*ORÇAMENTO!$AF$7)/$H55*OFFSET(ORÇAMENTO!$X$15,ROW(BF55)-ROW(BF$15),0),
              ROUND(ROUND(OFFSET($P55,0,BF$13),15-13*ORÇAMENTO!$AF$7)*OFFSET(ORÇAMENTO!$W$15,ROW(BF55)-ROW(BF$15),0),15-13*ORÇAMENTO!$AF$11)),
         0)</f>
        <v>0</v>
      </c>
      <c r="BG55" s="453">
        <f ca="1">IF(AND($D55="Serviço",BG$12&lt;&gt;0,$H55&gt;0,OR(AUTOEVENTO&lt;&gt;"manual",$M55&lt;&gt;$A$15)),
        IF(Import.TipoArredondamento&lt;&gt;"TransfereGOV",
              ROUND(OFFSET($P55,0,BG$13),15-13*ORÇAMENTO!$AF$7)/$H55*OFFSET(ORÇAMENTO!$X$15,ROW(BG55)-ROW(BG$15),0),
              ROUND(ROUND(OFFSET($P55,0,BG$13),15-13*ORÇAMENTO!$AF$7)*OFFSET(ORÇAMENTO!$W$15,ROW(BG55)-ROW(BG$15),0),15-13*ORÇAMENTO!$AF$11)),
         0)</f>
        <v>0</v>
      </c>
      <c r="BH55" s="453">
        <f ca="1">IF(AND($D55="Serviço",BH$12&lt;&gt;0,$H55&gt;0,OR(AUTOEVENTO&lt;&gt;"manual",$M55&lt;&gt;$A$15)),
        IF(Import.TipoArredondamento&lt;&gt;"TransfereGOV",
              ROUND(OFFSET($P55,0,BH$13),15-13*ORÇAMENTO!$AF$7)/$H55*OFFSET(ORÇAMENTO!$X$15,ROW(BH55)-ROW(BH$15),0),
              ROUND(ROUND(OFFSET($P55,0,BH$13),15-13*ORÇAMENTO!$AF$7)*OFFSET(ORÇAMENTO!$W$15,ROW(BH55)-ROW(BH$15),0),15-13*ORÇAMENTO!$AF$11)),
         0)</f>
        <v>0</v>
      </c>
      <c r="BI55" s="453">
        <f ca="1">IF(AND($D55="Serviço",BI$12&lt;&gt;0,$H55&gt;0,OR(AUTOEVENTO&lt;&gt;"manual",$M55&lt;&gt;$A$15)),
        IF(Import.TipoArredondamento&lt;&gt;"TransfereGOV",
              ROUND(OFFSET($P55,0,BI$13),15-13*ORÇAMENTO!$AF$7)/$H55*OFFSET(ORÇAMENTO!$X$15,ROW(BI55)-ROW(BI$15),0),
              ROUND(ROUND(OFFSET($P55,0,BI$13),15-13*ORÇAMENTO!$AF$7)*OFFSET(ORÇAMENTO!$W$15,ROW(BI55)-ROW(BI$15),0),15-13*ORÇAMENTO!$AF$11)),
         0)</f>
        <v>0</v>
      </c>
      <c r="BJ55" s="453">
        <f ca="1">IF(AND($D55="Serviço",BJ$12&lt;&gt;0,$H55&gt;0,OR(AUTOEVENTO&lt;&gt;"manual",$M55&lt;&gt;$A$15)),
        IF(Import.TipoArredondamento&lt;&gt;"TransfereGOV",
              ROUND(OFFSET($P55,0,BJ$13),15-13*ORÇAMENTO!$AF$7)/$H55*OFFSET(ORÇAMENTO!$X$15,ROW(BJ55)-ROW(BJ$15),0),
              ROUND(ROUND(OFFSET($P55,0,BJ$13),15-13*ORÇAMENTO!$AF$7)*OFFSET(ORÇAMENTO!$W$15,ROW(BJ55)-ROW(BJ$15),0),15-13*ORÇAMENTO!$AF$11)),
         0)</f>
        <v>0</v>
      </c>
      <c r="BK55" s="453">
        <f ca="1">IF(AND($D55="Serviço",BK$12&lt;&gt;0,$H55&gt;0,OR(AUTOEVENTO&lt;&gt;"manual",$M55&lt;&gt;$A$15)),
        IF(Import.TipoArredondamento&lt;&gt;"TransfereGOV",
              ROUND(OFFSET($P55,0,BK$13),15-13*ORÇAMENTO!$AF$7)/$H55*OFFSET(ORÇAMENTO!$X$15,ROW(BK55)-ROW(BK$15),0),
              ROUND(ROUND(OFFSET($P55,0,BK$13),15-13*ORÇAMENTO!$AF$7)*OFFSET(ORÇAMENTO!$W$15,ROW(BK55)-ROW(BK$15),0),15-13*ORÇAMENTO!$AF$11)),
         0)</f>
        <v>0</v>
      </c>
      <c r="BL55" s="453">
        <f ca="1">IF(AND($D55="Serviço",BL$12&lt;&gt;0,$H55&gt;0,OR(AUTOEVENTO&lt;&gt;"manual",$M55&lt;&gt;$A$15)),
        IF(Import.TipoArredondamento&lt;&gt;"TransfereGOV",
              ROUND(OFFSET($P55,0,BL$13),15-13*ORÇAMENTO!$AF$7)/$H55*OFFSET(ORÇAMENTO!$X$15,ROW(BL55)-ROW(BL$15),0),
              ROUND(ROUND(OFFSET($P55,0,BL$13),15-13*ORÇAMENTO!$AF$7)*OFFSET(ORÇAMENTO!$W$15,ROW(BL55)-ROW(BL$15),0),15-13*ORÇAMENTO!$AF$11)),
         0)</f>
        <v>0</v>
      </c>
      <c r="BM55" s="453">
        <f ca="1">IF(AND($D55="Serviço",BM$12&lt;&gt;0,$H55&gt;0,OR(AUTOEVENTO&lt;&gt;"manual",$M55&lt;&gt;$A$15)),
        IF(Import.TipoArredondamento&lt;&gt;"TransfereGOV",
              ROUND(OFFSET($P55,0,BM$13),15-13*ORÇAMENTO!$AF$7)/$H55*OFFSET(ORÇAMENTO!$X$15,ROW(BM55)-ROW(BM$15),0),
              ROUND(ROUND(OFFSET($P55,0,BM$13),15-13*ORÇAMENTO!$AF$7)*OFFSET(ORÇAMENTO!$W$15,ROW(BM55)-ROW(BM$15),0),15-13*ORÇAMENTO!$AF$11)),
         0)</f>
        <v>0</v>
      </c>
      <c r="BN55" s="453">
        <f ca="1">IF(AND($D55="Serviço",BN$12&lt;&gt;0,$H55&gt;0,OR(AUTOEVENTO&lt;&gt;"manual",$M55&lt;&gt;$A$15)),
        IF(Import.TipoArredondamento&lt;&gt;"TransfereGOV",
              ROUND(OFFSET($P55,0,BN$13),15-13*ORÇAMENTO!$AF$7)/$H55*OFFSET(ORÇAMENTO!$X$15,ROW(BN55)-ROW(BN$15),0),
              ROUND(ROUND(OFFSET($P55,0,BN$13),15-13*ORÇAMENTO!$AF$7)*OFFSET(ORÇAMENTO!$W$15,ROW(BN55)-ROW(BN$15),0),15-13*ORÇAMENTO!$AF$11)),
         0)</f>
        <v>0</v>
      </c>
      <c r="BO55" s="453">
        <f ca="1">IF(AND($D55="Serviço",BO$12&lt;&gt;0,$H55&gt;0,OR(AUTOEVENTO&lt;&gt;"manual",$M55&lt;&gt;$A$15)),
        IF(Import.TipoArredondamento&lt;&gt;"TransfereGOV",
              ROUND(OFFSET($P55,0,BO$13),15-13*ORÇAMENTO!$AF$7)/$H55*OFFSET(ORÇAMENTO!$X$15,ROW(BO55)-ROW(BO$15),0),
              ROUND(ROUND(OFFSET($P55,0,BO$13),15-13*ORÇAMENTO!$AF$7)*OFFSET(ORÇAMENTO!$W$15,ROW(BO55)-ROW(BO$15),0),15-13*ORÇAMENTO!$AF$11)),
         0)</f>
        <v>0</v>
      </c>
      <c r="BP55" s="453">
        <f ca="1">IF(AND($D55="Serviço",BP$12&lt;&gt;0,$H55&gt;0,OR(AUTOEVENTO&lt;&gt;"manual",$M55&lt;&gt;$A$15)),
        IF(Import.TipoArredondamento&lt;&gt;"TransfereGOV",
              ROUND(OFFSET($P55,0,BP$13),15-13*ORÇAMENTO!$AF$7)/$H55*OFFSET(ORÇAMENTO!$X$15,ROW(BP55)-ROW(BP$15),0),
              ROUND(ROUND(OFFSET($P55,0,BP$13),15-13*ORÇAMENTO!$AF$7)*OFFSET(ORÇAMENTO!$W$15,ROW(BP55)-ROW(BP$15),0),15-13*ORÇAMENTO!$AF$11)),
         0)</f>
        <v>0</v>
      </c>
      <c r="BQ55" s="453">
        <f ca="1">IF(AND($D55="Serviço",BQ$12&lt;&gt;0,$H55&gt;0,OR(AUTOEVENTO&lt;&gt;"manual",$M55&lt;&gt;$A$15)),
        IF(Import.TipoArredondamento&lt;&gt;"TransfereGOV",
              ROUND(OFFSET($P55,0,BQ$13),15-13*ORÇAMENTO!$AF$7)/$H55*OFFSET(ORÇAMENTO!$X$15,ROW(BQ55)-ROW(BQ$15),0),
              ROUND(ROUND(OFFSET($P55,0,BQ$13),15-13*ORÇAMENTO!$AF$7)*OFFSET(ORÇAMENTO!$W$15,ROW(BQ55)-ROW(BQ$15),0),15-13*ORÇAMENTO!$AF$11)),
         0)</f>
        <v>0</v>
      </c>
      <c r="BS55" s="171">
        <f ca="1">IF(OR($D55&lt;&gt;"Serviço",AND(AUTOEVENTO="Manual",$M55=$A$15)),0,
         IF(OFFSET(CRONOPLE!$F$15,$M55-$A$15,BS$13)=0,10^12,OFFSET(CRONOPLE!$F$15,$M55-$A$15,BS$13)))</f>
        <v>1</v>
      </c>
      <c r="BT55" s="171">
        <f ca="1">IF(OR($D55&lt;&gt;"Serviço",AND(AUTOEVENTO="Manual",$M55=$A$15)),0,
         IF(OFFSET(CRONOPLE!$F$15,$M55-$A$15,BT$13)=0,10^12,OFFSET(CRONOPLE!$F$15,$M55-$A$15,BT$13)))</f>
        <v>2</v>
      </c>
      <c r="BU55" s="171">
        <f ca="1">IF(OR($D55&lt;&gt;"Serviço",AND(AUTOEVENTO="Manual",$M55=$A$15)),0,
         IF(OFFSET(CRONOPLE!$F$15,$M55-$A$15,BU$13)=0,10^12,OFFSET(CRONOPLE!$F$15,$M55-$A$15,BU$13)))</f>
        <v>3</v>
      </c>
      <c r="BV55" s="171">
        <f ca="1">IF(OR($D55&lt;&gt;"Serviço",AND(AUTOEVENTO="Manual",$M55=$A$15)),0,
         IF(OFFSET(CRONOPLE!$F$15,$M55-$A$15,BV$13)=0,10^12,OFFSET(CRONOPLE!$F$15,$M55-$A$15,BV$13)))</f>
        <v>4</v>
      </c>
      <c r="BW55" s="171">
        <f ca="1">IF(OR($D55&lt;&gt;"Serviço",AND(AUTOEVENTO="Manual",$M55=$A$15)),0,
         IF(OFFSET(CRONOPLE!$F$15,$M55-$A$15,BW$13)=0,10^12,OFFSET(CRONOPLE!$F$15,$M55-$A$15,BW$13)))</f>
        <v>5</v>
      </c>
      <c r="BX55" s="171">
        <f ca="1">IF(OR($D55&lt;&gt;"Serviço",AND(AUTOEVENTO="Manual",$M55=$A$15)),0,
         IF(OFFSET(CRONOPLE!$F$15,$M55-$A$15,BX$13)=0,10^12,OFFSET(CRONOPLE!$F$15,$M55-$A$15,BX$13)))</f>
        <v>6</v>
      </c>
      <c r="BY55" s="171">
        <f ca="1">IF(OR($D55&lt;&gt;"Serviço",AND(AUTOEVENTO="Manual",$M55=$A$15)),0,
         IF(OFFSET(CRONOPLE!$F$15,$M55-$A$15,BY$13)=0,10^12,OFFSET(CRONOPLE!$F$15,$M55-$A$15,BY$13)))</f>
        <v>7</v>
      </c>
      <c r="BZ55" s="171">
        <f ca="1">IF(OR($D55&lt;&gt;"Serviço",AND(AUTOEVENTO="Manual",$M55=$A$15)),0,
         IF(OFFSET(CRONOPLE!$F$15,$M55-$A$15,BZ$13)=0,10^12,OFFSET(CRONOPLE!$F$15,$M55-$A$15,BZ$13)))</f>
        <v>8</v>
      </c>
      <c r="CA55" s="171">
        <f ca="1">IF(OR($D55&lt;&gt;"Serviço",AND(AUTOEVENTO="Manual",$M55=$A$15)),0,
         IF(OFFSET(CRONOPLE!$F$15,$M55-$A$15,CA$13)=0,10^12,OFFSET(CRONOPLE!$F$15,$M55-$A$15,CA$13)))</f>
        <v>9</v>
      </c>
      <c r="CB55" s="171">
        <f ca="1">IF(OR($D55&lt;&gt;"Serviço",AND(AUTOEVENTO="Manual",$M55=$A$15)),0,
         IF(OFFSET(CRONOPLE!$F$15,$M55-$A$15,CB$13)=0,10^12,OFFSET(CRONOPLE!$F$15,$M55-$A$15,CB$13)))</f>
        <v>10</v>
      </c>
      <c r="CC55" s="171">
        <f ca="1">IF(OR($D55&lt;&gt;"Serviço",AND(AUTOEVENTO="Manual",$M55=$A$15)),0,
         IF(OFFSET(CRONOPLE!$F$15,$M55-$A$15,CC$13)=0,10^12,OFFSET(CRONOPLE!$F$15,$M55-$A$15,CC$13)))</f>
        <v>11</v>
      </c>
      <c r="CD55" s="171">
        <f ca="1">IF(OR($D55&lt;&gt;"Serviço",AND(AUTOEVENTO="Manual",$M55=$A$15)),0,
         IF(OFFSET(CRONOPLE!$F$15,$M55-$A$15,CD$13)=0,10^12,OFFSET(CRONOPLE!$F$15,$M55-$A$15,CD$13)))</f>
        <v>12</v>
      </c>
      <c r="CE55" s="171">
        <f ca="1">IF(OR($D55&lt;&gt;"Serviço",AND(AUTOEVENTO="Manual",$M55=$A$15)),0,
         IF(OFFSET(CRONOPLE!$F$15,$M55-$A$15,CE$13)=0,10^12,OFFSET(CRONOPLE!$F$15,$M55-$A$15,CE$13)))</f>
        <v>13</v>
      </c>
      <c r="CF55" s="171">
        <f ca="1">IF(OR($D55&lt;&gt;"Serviço",AND(AUTOEVENTO="Manual",$M55=$A$15)),0,
         IF(OFFSET(CRONOPLE!$F$15,$M55-$A$15,CF$13)=0,10^12,OFFSET(CRONOPLE!$F$15,$M55-$A$15,CF$13)))</f>
        <v>14</v>
      </c>
      <c r="CG55" s="171">
        <f ca="1">IF(OR($D55&lt;&gt;"Serviço",AND(AUTOEVENTO="Manual",$M55=$A$15)),0,
         IF(OFFSET(CRONOPLE!$F$15,$M55-$A$15,CG$13)=0,10^12,OFFSET(CRONOPLE!$F$15,$M55-$A$15,CG$13)))</f>
        <v>15</v>
      </c>
      <c r="CH55" s="171">
        <f ca="1">IF(OR($D55&lt;&gt;"Serviço",AND(AUTOEVENTO="Manual",$M55=$A$15)),0,
         IF(OFFSET(CRONOPLE!$F$15,$M55-$A$15,CH$13)=0,10^12,OFFSET(CRONOPLE!$F$15,$M55-$A$15,CH$13)))</f>
        <v>16</v>
      </c>
      <c r="CI55" s="171">
        <f ca="1">IF(OR($D55&lt;&gt;"Serviço",AND(AUTOEVENTO="Manual",$M55=$A$15)),0,
         IF(OFFSET(CRONOPLE!$F$15,$M55-$A$15,CI$13)=0,10^12,OFFSET(CRONOPLE!$F$15,$M55-$A$15,CI$13)))</f>
        <v>17</v>
      </c>
      <c r="CJ55" s="171">
        <f ca="1">IF(OR($D55&lt;&gt;"Serviço",AND(AUTOEVENTO="Manual",$M55=$A$15)),0,
         IF(OFFSET(CRONOPLE!$F$15,$M55-$A$15,CJ$13)=0,10^12,OFFSET(CRONOPLE!$F$15,$M55-$A$15,CJ$13)))</f>
        <v>18</v>
      </c>
      <c r="CK55" s="171">
        <f ca="1">IF(OR($D55&lt;&gt;"Serviço",AND(AUTOEVENTO="Manual",$M55=$A$15)),0,
         IF(OFFSET(CRONOPLE!$F$15,$M55-$A$15,CK$13)=0,10^12,OFFSET(CRONOPLE!$F$15,$M55-$A$15,CK$13)))</f>
        <v>19</v>
      </c>
      <c r="CL55" s="171">
        <f ca="1">IF(OR($D55&lt;&gt;"Serviço",AND(AUTOEVENTO="Manual",$M55=$A$15)),0,
         IF(OFFSET(CRONOPLE!$F$15,$M55-$A$15,CL$13)=0,10^12,OFFSET(CRONOPLE!$F$15,$M55-$A$15,CL$13)))</f>
        <v>20</v>
      </c>
      <c r="CM55" s="171">
        <f ca="1">IF(OR($D55&lt;&gt;"Serviço",AND(AUTOEVENTO="Manual",$M55=$A$15)),0,
         IF(OFFSET(CRONOPLE!$F$15,$M55-$A$15,CM$13)=0,10^12,OFFSET(CRONOPLE!$F$15,$M55-$A$15,CM$13)))</f>
        <v>1000000000000</v>
      </c>
      <c r="CN55" s="171">
        <f ca="1">IF(OR($D55&lt;&gt;"Serviço",AND(AUTOEVENTO="Manual",$M55=$A$15)),0,
         IF(OFFSET(CRONOPLE!$F$15,$M55-$A$15,CN$13)=0,10^12,OFFSET(CRONOPLE!$F$15,$M55-$A$15,CN$13)))</f>
        <v>1000000000000</v>
      </c>
      <c r="CO55" s="171">
        <f ca="1">IF(OR($D55&lt;&gt;"Serviço",AND(AUTOEVENTO="Manual",$M55=$A$15)),0,
         IF(OFFSET(CRONOPLE!$F$15,$M55-$A$15,CO$13)=0,10^12,OFFSET(CRONOPLE!$F$15,$M55-$A$15,CO$13)))</f>
        <v>1000000000000</v>
      </c>
      <c r="CP55" s="171">
        <f ca="1">IF(OR($D55&lt;&gt;"Serviço",AND(AUTOEVENTO="Manual",$M55=$A$15)),0,
         IF(OFFSET(CRONOPLE!$F$15,$M55-$A$15,CP$13)=0,10^12,OFFSET(CRONOPLE!$F$15,$M55-$A$15,CP$13)))</f>
        <v>1000000000000</v>
      </c>
      <c r="CQ55" s="171">
        <f ca="1">IF(OR($D55&lt;&gt;"Serviço",AND(AUTOEVENTO="Manual",$M55=$A$15)),0,
         IF(OFFSET(CRONOPLE!$F$15,$M55-$A$15,CQ$13)=0,10^12,OFFSET(CRONOPLE!$F$15,$M55-$A$15,CQ$13)))</f>
        <v>1000000000000</v>
      </c>
      <c r="CR55" s="171">
        <f ca="1">IF(OR($D55&lt;&gt;"Serviço",AND(AUTOEVENTO="Manual",$M55=$A$15)),0,
         IF(OFFSET(CRONOPLE!$F$15,$M55-$A$15,CR$13)=0,10^12,OFFSET(CRONOPLE!$F$15,$M55-$A$15,CR$13)))</f>
        <v>1000000000000</v>
      </c>
      <c r="CT55" s="172" cm="1">
        <f t="array" aca="1" ref="CT55" ca="1">IF(OR($D55&lt;&gt;"Serviço",AND(AUTOEVENTO="Manual",$M55=$A$15),$M55&gt;(ROW(PLE.lastrow)-ROW(PLE.firstrow))),0,
           IF(OFFSET(PLE!$G$15,$M55-$A$15,CT$13)="",10^12,OFFSET(PLE!$G$15,$M55-$A$15,CT$13)))</f>
        <v>1000000000000</v>
      </c>
      <c r="CU55" s="172" cm="1">
        <f t="array" aca="1" ref="CU55" ca="1">IF(OR($D55&lt;&gt;"Serviço",AND(AUTOEVENTO="Manual",$M55=$A$15),$M55&gt;(ROW(PLE.lastrow)-ROW(PLE.firstrow))),0,
           IF(OFFSET(PLE!$G$15,$M55-$A$15,CU$13)="",10^12,OFFSET(PLE!$G$15,$M55-$A$15,CU$13)))</f>
        <v>1000000000000</v>
      </c>
      <c r="CV55" s="172" cm="1">
        <f t="array" aca="1" ref="CV55" ca="1">IF(OR($D55&lt;&gt;"Serviço",AND(AUTOEVENTO="Manual",$M55=$A$15),$M55&gt;(ROW(PLE.lastrow)-ROW(PLE.firstrow))),0,
           IF(OFFSET(PLE!$G$15,$M55-$A$15,CV$13)="",10^12,OFFSET(PLE!$G$15,$M55-$A$15,CV$13)))</f>
        <v>1000000000000</v>
      </c>
      <c r="CW55" s="172" cm="1">
        <f t="array" aca="1" ref="CW55" ca="1">IF(OR($D55&lt;&gt;"Serviço",AND(AUTOEVENTO="Manual",$M55=$A$15),$M55&gt;(ROW(PLE.lastrow)-ROW(PLE.firstrow))),0,
           IF(OFFSET(PLE!$G$15,$M55-$A$15,CW$13)="",10^12,OFFSET(PLE!$G$15,$M55-$A$15,CW$13)))</f>
        <v>1000000000000</v>
      </c>
      <c r="CX55" s="172" cm="1">
        <f t="array" aca="1" ref="CX55" ca="1">IF(OR($D55&lt;&gt;"Serviço",AND(AUTOEVENTO="Manual",$M55=$A$15),$M55&gt;(ROW(PLE.lastrow)-ROW(PLE.firstrow))),0,
           IF(OFFSET(PLE!$G$15,$M55-$A$15,CX$13)="",10^12,OFFSET(PLE!$G$15,$M55-$A$15,CX$13)))</f>
        <v>1000000000000</v>
      </c>
      <c r="CY55" s="172" cm="1">
        <f t="array" aca="1" ref="CY55" ca="1">IF(OR($D55&lt;&gt;"Serviço",AND(AUTOEVENTO="Manual",$M55=$A$15),$M55&gt;(ROW(PLE.lastrow)-ROW(PLE.firstrow))),0,
           IF(OFFSET(PLE!$G$15,$M55-$A$15,CY$13)="",10^12,OFFSET(PLE!$G$15,$M55-$A$15,CY$13)))</f>
        <v>1000000000000</v>
      </c>
      <c r="CZ55" s="172" cm="1">
        <f t="array" aca="1" ref="CZ55" ca="1">IF(OR($D55&lt;&gt;"Serviço",AND(AUTOEVENTO="Manual",$M55=$A$15),$M55&gt;(ROW(PLE.lastrow)-ROW(PLE.firstrow))),0,
           IF(OFFSET(PLE!$G$15,$M55-$A$15,CZ$13)="",10^12,OFFSET(PLE!$G$15,$M55-$A$15,CZ$13)))</f>
        <v>1000000000000</v>
      </c>
      <c r="DA55" s="172" cm="1">
        <f t="array" aca="1" ref="DA55" ca="1">IF(OR($D55&lt;&gt;"Serviço",AND(AUTOEVENTO="Manual",$M55=$A$15),$M55&gt;(ROW(PLE.lastrow)-ROW(PLE.firstrow))),0,
           IF(OFFSET(PLE!$G$15,$M55-$A$15,DA$13)="",10^12,OFFSET(PLE!$G$15,$M55-$A$15,DA$13)))</f>
        <v>1000000000000</v>
      </c>
      <c r="DB55" s="172" cm="1">
        <f t="array" aca="1" ref="DB55" ca="1">IF(OR($D55&lt;&gt;"Serviço",AND(AUTOEVENTO="Manual",$M55=$A$15),$M55&gt;(ROW(PLE.lastrow)-ROW(PLE.firstrow))),0,
           IF(OFFSET(PLE!$G$15,$M55-$A$15,DB$13)="",10^12,OFFSET(PLE!$G$15,$M55-$A$15,DB$13)))</f>
        <v>1000000000000</v>
      </c>
      <c r="DC55" s="172" cm="1">
        <f t="array" aca="1" ref="DC55" ca="1">IF(OR($D55&lt;&gt;"Serviço",AND(AUTOEVENTO="Manual",$M55=$A$15),$M55&gt;(ROW(PLE.lastrow)-ROW(PLE.firstrow))),0,
           IF(OFFSET(PLE!$G$15,$M55-$A$15,DC$13)="",10^12,OFFSET(PLE!$G$15,$M55-$A$15,DC$13)))</f>
        <v>1000000000000</v>
      </c>
      <c r="DD55" s="172" cm="1">
        <f t="array" aca="1" ref="DD55" ca="1">IF(OR($D55&lt;&gt;"Serviço",AND(AUTOEVENTO="Manual",$M55=$A$15),$M55&gt;(ROW(PLE.lastrow)-ROW(PLE.firstrow))),0,
           IF(OFFSET(PLE!$G$15,$M55-$A$15,DD$13)="",10^12,OFFSET(PLE!$G$15,$M55-$A$15,DD$13)))</f>
        <v>1000000000000</v>
      </c>
      <c r="DE55" s="172" cm="1">
        <f t="array" aca="1" ref="DE55" ca="1">IF(OR($D55&lt;&gt;"Serviço",AND(AUTOEVENTO="Manual",$M55=$A$15),$M55&gt;(ROW(PLE.lastrow)-ROW(PLE.firstrow))),0,
           IF(OFFSET(PLE!$G$15,$M55-$A$15,DE$13)="",10^12,OFFSET(PLE!$G$15,$M55-$A$15,DE$13)))</f>
        <v>1000000000000</v>
      </c>
      <c r="DF55" s="172" cm="1">
        <f t="array" aca="1" ref="DF55" ca="1">IF(OR($D55&lt;&gt;"Serviço",AND(AUTOEVENTO="Manual",$M55=$A$15),$M55&gt;(ROW(PLE.lastrow)-ROW(PLE.firstrow))),0,
           IF(OFFSET(PLE!$G$15,$M55-$A$15,DF$13)="",10^12,OFFSET(PLE!$G$15,$M55-$A$15,DF$13)))</f>
        <v>1000000000000</v>
      </c>
      <c r="DG55" s="172" cm="1">
        <f t="array" aca="1" ref="DG55" ca="1">IF(OR($D55&lt;&gt;"Serviço",AND(AUTOEVENTO="Manual",$M55=$A$15),$M55&gt;(ROW(PLE.lastrow)-ROW(PLE.firstrow))),0,
           IF(OFFSET(PLE!$G$15,$M55-$A$15,DG$13)="",10^12,OFFSET(PLE!$G$15,$M55-$A$15,DG$13)))</f>
        <v>1000000000000</v>
      </c>
      <c r="DH55" s="172" cm="1">
        <f t="array" aca="1" ref="DH55" ca="1">IF(OR($D55&lt;&gt;"Serviço",AND(AUTOEVENTO="Manual",$M55=$A$15),$M55&gt;(ROW(PLE.lastrow)-ROW(PLE.firstrow))),0,
           IF(OFFSET(PLE!$G$15,$M55-$A$15,DH$13)="",10^12,OFFSET(PLE!$G$15,$M55-$A$15,DH$13)))</f>
        <v>1000000000000</v>
      </c>
      <c r="DI55" s="172" cm="1">
        <f t="array" aca="1" ref="DI55" ca="1">IF(OR($D55&lt;&gt;"Serviço",AND(AUTOEVENTO="Manual",$M55=$A$15),$M55&gt;(ROW(PLE.lastrow)-ROW(PLE.firstrow))),0,
           IF(OFFSET(PLE!$G$15,$M55-$A$15,DI$13)="",10^12,OFFSET(PLE!$G$15,$M55-$A$15,DI$13)))</f>
        <v>1000000000000</v>
      </c>
      <c r="DJ55" s="172" cm="1">
        <f t="array" aca="1" ref="DJ55" ca="1">IF(OR($D55&lt;&gt;"Serviço",AND(AUTOEVENTO="Manual",$M55=$A$15),$M55&gt;(ROW(PLE.lastrow)-ROW(PLE.firstrow))),0,
           IF(OFFSET(PLE!$G$15,$M55-$A$15,DJ$13)="",10^12,OFFSET(PLE!$G$15,$M55-$A$15,DJ$13)))</f>
        <v>1000000000000</v>
      </c>
      <c r="DK55" s="172" cm="1">
        <f t="array" aca="1" ref="DK55" ca="1">IF(OR($D55&lt;&gt;"Serviço",AND(AUTOEVENTO="Manual",$M55=$A$15),$M55&gt;(ROW(PLE.lastrow)-ROW(PLE.firstrow))),0,
           IF(OFFSET(PLE!$G$15,$M55-$A$15,DK$13)="",10^12,OFFSET(PLE!$G$15,$M55-$A$15,DK$13)))</f>
        <v>1000000000000</v>
      </c>
      <c r="DL55" s="172" cm="1">
        <f t="array" aca="1" ref="DL55" ca="1">IF(OR($D55&lt;&gt;"Serviço",AND(AUTOEVENTO="Manual",$M55=$A$15),$M55&gt;(ROW(PLE.lastrow)-ROW(PLE.firstrow))),0,
           IF(OFFSET(PLE!$G$15,$M55-$A$15,DL$13)="",10^12,OFFSET(PLE!$G$15,$M55-$A$15,DL$13)))</f>
        <v>1000000000000</v>
      </c>
      <c r="DM55" s="172" cm="1">
        <f t="array" aca="1" ref="DM55" ca="1">IF(OR($D55&lt;&gt;"Serviço",AND(AUTOEVENTO="Manual",$M55=$A$15),$M55&gt;(ROW(PLE.lastrow)-ROW(PLE.firstrow))),0,
           IF(OFFSET(PLE!$G$15,$M55-$A$15,DM$13)="",10^12,OFFSET(PLE!$G$15,$M55-$A$15,DM$13)))</f>
        <v>1000000000000</v>
      </c>
      <c r="DN55" s="172" cm="1">
        <f t="array" aca="1" ref="DN55" ca="1">IF(OR($D55&lt;&gt;"Serviço",AND(AUTOEVENTO="Manual",$M55=$A$15),$M55&gt;(ROW(PLE.lastrow)-ROW(PLE.firstrow))),0,
           IF(OFFSET(PLE!$G$15,$M55-$A$15,DN$13)="",10^12,OFFSET(PLE!$G$15,$M55-$A$15,DN$13)))</f>
        <v>1000000000000</v>
      </c>
      <c r="DO55" s="172" cm="1">
        <f t="array" aca="1" ref="DO55" ca="1">IF(OR($D55&lt;&gt;"Serviço",AND(AUTOEVENTO="Manual",$M55=$A$15),$M55&gt;(ROW(PLE.lastrow)-ROW(PLE.firstrow))),0,
           IF(OFFSET(PLE!$G$15,$M55-$A$15,DO$13)="",10^12,OFFSET(PLE!$G$15,$M55-$A$15,DO$13)))</f>
        <v>1000000000000</v>
      </c>
      <c r="DP55" s="172" cm="1">
        <f t="array" aca="1" ref="DP55" ca="1">IF(OR($D55&lt;&gt;"Serviço",AND(AUTOEVENTO="Manual",$M55=$A$15),$M55&gt;(ROW(PLE.lastrow)-ROW(PLE.firstrow))),0,
           IF(OFFSET(PLE!$G$15,$M55-$A$15,DP$13)="",10^12,OFFSET(PLE!$G$15,$M55-$A$15,DP$13)))</f>
        <v>1000000000000</v>
      </c>
      <c r="DQ55" s="172" cm="1">
        <f t="array" aca="1" ref="DQ55" ca="1">IF(OR($D55&lt;&gt;"Serviço",AND(AUTOEVENTO="Manual",$M55=$A$15),$M55&gt;(ROW(PLE.lastrow)-ROW(PLE.firstrow))),0,
           IF(OFFSET(PLE!$G$15,$M55-$A$15,DQ$13)="",10^12,OFFSET(PLE!$G$15,$M55-$A$15,DQ$13)))</f>
        <v>1000000000000</v>
      </c>
      <c r="DR55" s="172" cm="1">
        <f t="array" aca="1" ref="DR55" ca="1">IF(OR($D55&lt;&gt;"Serviço",AND(AUTOEVENTO="Manual",$M55=$A$15),$M55&gt;(ROW(PLE.lastrow)-ROW(PLE.firstrow))),0,
           IF(OFFSET(PLE!$G$15,$M55-$A$15,DR$13)="",10^12,OFFSET(PLE!$G$15,$M55-$A$15,DR$13)))</f>
        <v>1000000000000</v>
      </c>
      <c r="DS55" s="172" cm="1">
        <f t="array" aca="1" ref="DS55" ca="1">IF(OR($D55&lt;&gt;"Serviço",AND(AUTOEVENTO="Manual",$M55=$A$15),$M55&gt;(ROW(PLE.lastrow)-ROW(PLE.firstrow))),0,
           IF(OFFSET(PLE!$G$15,$M55-$A$15,DS$13)="",10^12,OFFSET(PLE!$G$15,$M55-$A$15,DS$13)))</f>
        <v>1000000000000</v>
      </c>
    </row>
    <row r="56" spans="1:123" ht="38.25" x14ac:dyDescent="0.2">
      <c r="A56" s="7">
        <f t="shared" ca="1" si="11"/>
        <v>4</v>
      </c>
      <c r="B56" s="7" t="str">
        <f ca="1">OFFSET(ORÇAMENTO!C$15,$L56,0)</f>
        <v>S</v>
      </c>
      <c r="C56" s="7" t="str">
        <f ca="1">OFFSET(ORÇAMENTO!L$15,$L56,0)</f>
        <v/>
      </c>
      <c r="D56" s="116" t="str">
        <f ca="1">OFFSET(ORÇAMENTO!N$15,$L56,0)</f>
        <v>Serviço</v>
      </c>
      <c r="E56" s="117" t="str">
        <f ca="1">OFFSET(ORÇAMENTO!O$15,$L56,0)</f>
        <v>-</v>
      </c>
      <c r="F56" s="163" t="str">
        <f ca="1">OFFSET(ORÇAMENTO!R$15,$L56,0)</f>
        <v>(Código não identificado nas referências)</v>
      </c>
      <c r="G56" s="164" t="str">
        <f ca="1">IF($D56&lt;&gt;"Serviço","",OFFSET(ORÇAMENTO!S$15,$L56,0))</f>
        <v>-</v>
      </c>
      <c r="H56" s="122" cm="1">
        <f t="array" aca="1" ref="H56" ca="1">IF($D56&lt;&gt;"Serviço",0,IF(ACOMPANHAMENTO="BM",ROUND(OFFSET(ORÇAMENTO!AJ$15,$L56,0),15-13*ORÇAMENTO!$AF$7),IF(IFERROR(CÁLCULO.FrentesPreenchidas,0)=0,0,SUM(ROUND(OFFSET($P56,0,1,1,CÁLCULO.FrentesPreenchidas),15-13*ORÇAMENTO!$AF$7)))))</f>
        <v>1305.9999999999995</v>
      </c>
      <c r="I56" s="468" t="s">
        <v>1235</v>
      </c>
      <c r="J56" s="651" t="str" cm="1">
        <f t="array" aca="1" ref="J56" ca="1">IF(OR(B56&lt;&gt;"S",CÁLCULO.FrentesPreenchidas=0),"",IF(AND(ACOMPANHAMENTO="PLE",AUTOEVENTO="Manual",OR(H56&gt;0,ORÇAMENTO!AC56="QUANT."),OR(K56="",M56=0,N56="")),"►E",IF(AND(ACOMPANHAMENTO="PLE",ORÇAMENTO!AC56="QUANT."),"►Q",IF(AND(ACOMPANHAMENTO="PLE",H56&lt;&gt;SUMPRODUCT(($Q$1:$AQ$1=1)*ROUND(Q56:AQ56,15))),"►S",IF(AND(COUNTIF($P$11:$AQ$11,"▼")=0,H56&gt;0,I56=""),"◄M","")))))</f>
        <v/>
      </c>
      <c r="K56" s="652" t="s">
        <v>1252</v>
      </c>
      <c r="L56" s="165">
        <f t="shared" ca="1" si="12"/>
        <v>41</v>
      </c>
      <c r="M56" s="166">
        <f ca="1">IF($D56&lt;&gt;"Serviço","",
          IF(AUTOEVENTO="manual",$A56,
                IF(ISERROR(MATCH($A56,$A$15:OFFSET($A56,-1,0),0)),MAX($M$15:OFFSET(M56,-1,0))+1,
                      INDEX($M$15:OFFSET(M56,-1,0),MATCH($A56,$A$15:OFFSET($A56,-1,0),0)))))</f>
        <v>4</v>
      </c>
      <c r="N56" s="167" t="str">
        <f ca="1">IF($D56&lt;&gt;"Serviço","",
         IF(AUTOEVENTO="Manual",
                IF($A56=0,"&lt;-- defina o número do agrupador",
                       OFFSET(EVENTOS!$D$15,$A56-$A$15,0)),
                OFFSET($F$15,$A56,0)))</f>
        <v>SUPRAESTRUTURA</v>
      </c>
      <c r="O56" s="168"/>
      <c r="Q56" s="168">
        <v>65.3</v>
      </c>
      <c r="R56" s="169">
        <v>65.3</v>
      </c>
      <c r="S56" s="169">
        <v>65.3</v>
      </c>
      <c r="T56" s="169">
        <v>65.3</v>
      </c>
      <c r="U56" s="169">
        <v>65.3</v>
      </c>
      <c r="V56" s="169">
        <v>65.3</v>
      </c>
      <c r="W56" s="169">
        <v>65.3</v>
      </c>
      <c r="X56" s="169">
        <v>65.3</v>
      </c>
      <c r="Y56" s="169">
        <v>65.3</v>
      </c>
      <c r="Z56" s="170">
        <v>65.3</v>
      </c>
      <c r="AA56" s="169">
        <v>65.3</v>
      </c>
      <c r="AB56" s="169">
        <v>65.3</v>
      </c>
      <c r="AC56" s="169">
        <v>65.3</v>
      </c>
      <c r="AD56" s="169">
        <v>65.3</v>
      </c>
      <c r="AE56" s="169">
        <v>65.3</v>
      </c>
      <c r="AF56" s="169">
        <v>65.3</v>
      </c>
      <c r="AG56" s="169">
        <v>65.3</v>
      </c>
      <c r="AH56" s="170">
        <v>65.3</v>
      </c>
      <c r="AI56" s="169">
        <v>65.3</v>
      </c>
      <c r="AJ56" s="169">
        <v>65.3</v>
      </c>
      <c r="AK56" s="169"/>
      <c r="AL56" s="169"/>
      <c r="AM56" s="169"/>
      <c r="AN56" s="169"/>
      <c r="AO56" s="169"/>
      <c r="AP56" s="170"/>
      <c r="AR56" s="453">
        <f ca="1">IF(AND($D56="Serviço",AR$12&lt;&gt;0,$H56&gt;0,OR(AUTOEVENTO&lt;&gt;"manual",$M56&lt;&gt;$A$15)),
        IF(Import.TipoArredondamento&lt;&gt;"TransfereGOV",
              ROUND(OFFSET($P56,0,AR$13),15-13*ORÇAMENTO!$AF$7)/$H56*OFFSET(ORÇAMENTO!$X$15,ROW(AR56)-ROW(AR$15),0),
              ROUND(ROUND(OFFSET($P56,0,AR$13),15-13*ORÇAMENTO!$AF$7)*OFFSET(ORÇAMENTO!$W$15,ROW(AR56)-ROW(AR$15),0),15-13*ORÇAMENTO!$AF$11)),
         0)</f>
        <v>0</v>
      </c>
      <c r="AS56" s="453">
        <f ca="1">IF(AND($D56="Serviço",AS$12&lt;&gt;0,$H56&gt;0,OR(AUTOEVENTO&lt;&gt;"manual",$M56&lt;&gt;$A$15)),
        IF(Import.TipoArredondamento&lt;&gt;"TransfereGOV",
              ROUND(OFFSET($P56,0,AS$13),15-13*ORÇAMENTO!$AF$7)/$H56*OFFSET(ORÇAMENTO!$X$15,ROW(AS56)-ROW(AS$15),0),
              ROUND(ROUND(OFFSET($P56,0,AS$13),15-13*ORÇAMENTO!$AF$7)*OFFSET(ORÇAMENTO!$W$15,ROW(AS56)-ROW(AS$15),0),15-13*ORÇAMENTO!$AF$11)),
         0)</f>
        <v>0</v>
      </c>
      <c r="AT56" s="453">
        <f ca="1">IF(AND($D56="Serviço",AT$12&lt;&gt;0,$H56&gt;0,OR(AUTOEVENTO&lt;&gt;"manual",$M56&lt;&gt;$A$15)),
        IF(Import.TipoArredondamento&lt;&gt;"TransfereGOV",
              ROUND(OFFSET($P56,0,AT$13),15-13*ORÇAMENTO!$AF$7)/$H56*OFFSET(ORÇAMENTO!$X$15,ROW(AT56)-ROW(AT$15),0),
              ROUND(ROUND(OFFSET($P56,0,AT$13),15-13*ORÇAMENTO!$AF$7)*OFFSET(ORÇAMENTO!$W$15,ROW(AT56)-ROW(AT$15),0),15-13*ORÇAMENTO!$AF$11)),
         0)</f>
        <v>0</v>
      </c>
      <c r="AU56" s="453">
        <f ca="1">IF(AND($D56="Serviço",AU$12&lt;&gt;0,$H56&gt;0,OR(AUTOEVENTO&lt;&gt;"manual",$M56&lt;&gt;$A$15)),
        IF(Import.TipoArredondamento&lt;&gt;"TransfereGOV",
              ROUND(OFFSET($P56,0,AU$13),15-13*ORÇAMENTO!$AF$7)/$H56*OFFSET(ORÇAMENTO!$X$15,ROW(AU56)-ROW(AU$15),0),
              ROUND(ROUND(OFFSET($P56,0,AU$13),15-13*ORÇAMENTO!$AF$7)*OFFSET(ORÇAMENTO!$W$15,ROW(AU56)-ROW(AU$15),0),15-13*ORÇAMENTO!$AF$11)),
         0)</f>
        <v>0</v>
      </c>
      <c r="AV56" s="453">
        <f ca="1">IF(AND($D56="Serviço",AV$12&lt;&gt;0,$H56&gt;0,OR(AUTOEVENTO&lt;&gt;"manual",$M56&lt;&gt;$A$15)),
        IF(Import.TipoArredondamento&lt;&gt;"TransfereGOV",
              ROUND(OFFSET($P56,0,AV$13),15-13*ORÇAMENTO!$AF$7)/$H56*OFFSET(ORÇAMENTO!$X$15,ROW(AV56)-ROW(AV$15),0),
              ROUND(ROUND(OFFSET($P56,0,AV$13),15-13*ORÇAMENTO!$AF$7)*OFFSET(ORÇAMENTO!$W$15,ROW(AV56)-ROW(AV$15),0),15-13*ORÇAMENTO!$AF$11)),
         0)</f>
        <v>0</v>
      </c>
      <c r="AW56" s="453">
        <f ca="1">IF(AND($D56="Serviço",AW$12&lt;&gt;0,$H56&gt;0,OR(AUTOEVENTO&lt;&gt;"manual",$M56&lt;&gt;$A$15)),
        IF(Import.TipoArredondamento&lt;&gt;"TransfereGOV",
              ROUND(OFFSET($P56,0,AW$13),15-13*ORÇAMENTO!$AF$7)/$H56*OFFSET(ORÇAMENTO!$X$15,ROW(AW56)-ROW(AW$15),0),
              ROUND(ROUND(OFFSET($P56,0,AW$13),15-13*ORÇAMENTO!$AF$7)*OFFSET(ORÇAMENTO!$W$15,ROW(AW56)-ROW(AW$15),0),15-13*ORÇAMENTO!$AF$11)),
         0)</f>
        <v>0</v>
      </c>
      <c r="AX56" s="453">
        <f ca="1">IF(AND($D56="Serviço",AX$12&lt;&gt;0,$H56&gt;0,OR(AUTOEVENTO&lt;&gt;"manual",$M56&lt;&gt;$A$15)),
        IF(Import.TipoArredondamento&lt;&gt;"TransfereGOV",
              ROUND(OFFSET($P56,0,AX$13),15-13*ORÇAMENTO!$AF$7)/$H56*OFFSET(ORÇAMENTO!$X$15,ROW(AX56)-ROW(AX$15),0),
              ROUND(ROUND(OFFSET($P56,0,AX$13),15-13*ORÇAMENTO!$AF$7)*OFFSET(ORÇAMENTO!$W$15,ROW(AX56)-ROW(AX$15),0),15-13*ORÇAMENTO!$AF$11)),
         0)</f>
        <v>0</v>
      </c>
      <c r="AY56" s="453">
        <f ca="1">IF(AND($D56="Serviço",AY$12&lt;&gt;0,$H56&gt;0,OR(AUTOEVENTO&lt;&gt;"manual",$M56&lt;&gt;$A$15)),
        IF(Import.TipoArredondamento&lt;&gt;"TransfereGOV",
              ROUND(OFFSET($P56,0,AY$13),15-13*ORÇAMENTO!$AF$7)/$H56*OFFSET(ORÇAMENTO!$X$15,ROW(AY56)-ROW(AY$15),0),
              ROUND(ROUND(OFFSET($P56,0,AY$13),15-13*ORÇAMENTO!$AF$7)*OFFSET(ORÇAMENTO!$W$15,ROW(AY56)-ROW(AY$15),0),15-13*ORÇAMENTO!$AF$11)),
         0)</f>
        <v>0</v>
      </c>
      <c r="AZ56" s="453">
        <f ca="1">IF(AND($D56="Serviço",AZ$12&lt;&gt;0,$H56&gt;0,OR(AUTOEVENTO&lt;&gt;"manual",$M56&lt;&gt;$A$15)),
        IF(Import.TipoArredondamento&lt;&gt;"TransfereGOV",
              ROUND(OFFSET($P56,0,AZ$13),15-13*ORÇAMENTO!$AF$7)/$H56*OFFSET(ORÇAMENTO!$X$15,ROW(AZ56)-ROW(AZ$15),0),
              ROUND(ROUND(OFFSET($P56,0,AZ$13),15-13*ORÇAMENTO!$AF$7)*OFFSET(ORÇAMENTO!$W$15,ROW(AZ56)-ROW(AZ$15),0),15-13*ORÇAMENTO!$AF$11)),
         0)</f>
        <v>0</v>
      </c>
      <c r="BA56" s="453">
        <f ca="1">IF(AND($D56="Serviço",BA$12&lt;&gt;0,$H56&gt;0,OR(AUTOEVENTO&lt;&gt;"manual",$M56&lt;&gt;$A$15)),
        IF(Import.TipoArredondamento&lt;&gt;"TransfereGOV",
              ROUND(OFFSET($P56,0,BA$13),15-13*ORÇAMENTO!$AF$7)/$H56*OFFSET(ORÇAMENTO!$X$15,ROW(BA56)-ROW(BA$15),0),
              ROUND(ROUND(OFFSET($P56,0,BA$13),15-13*ORÇAMENTO!$AF$7)*OFFSET(ORÇAMENTO!$W$15,ROW(BA56)-ROW(BA$15),0),15-13*ORÇAMENTO!$AF$11)),
         0)</f>
        <v>0</v>
      </c>
      <c r="BB56" s="453">
        <f ca="1">IF(AND($D56="Serviço",BB$12&lt;&gt;0,$H56&gt;0,OR(AUTOEVENTO&lt;&gt;"manual",$M56&lt;&gt;$A$15)),
        IF(Import.TipoArredondamento&lt;&gt;"TransfereGOV",
              ROUND(OFFSET($P56,0,BB$13),15-13*ORÇAMENTO!$AF$7)/$H56*OFFSET(ORÇAMENTO!$X$15,ROW(BB56)-ROW(BB$15),0),
              ROUND(ROUND(OFFSET($P56,0,BB$13),15-13*ORÇAMENTO!$AF$7)*OFFSET(ORÇAMENTO!$W$15,ROW(BB56)-ROW(BB$15),0),15-13*ORÇAMENTO!$AF$11)),
         0)</f>
        <v>0</v>
      </c>
      <c r="BC56" s="453">
        <f ca="1">IF(AND($D56="Serviço",BC$12&lt;&gt;0,$H56&gt;0,OR(AUTOEVENTO&lt;&gt;"manual",$M56&lt;&gt;$A$15)),
        IF(Import.TipoArredondamento&lt;&gt;"TransfereGOV",
              ROUND(OFFSET($P56,0,BC$13),15-13*ORÇAMENTO!$AF$7)/$H56*OFFSET(ORÇAMENTO!$X$15,ROW(BC56)-ROW(BC$15),0),
              ROUND(ROUND(OFFSET($P56,0,BC$13),15-13*ORÇAMENTO!$AF$7)*OFFSET(ORÇAMENTO!$W$15,ROW(BC56)-ROW(BC$15),0),15-13*ORÇAMENTO!$AF$11)),
         0)</f>
        <v>0</v>
      </c>
      <c r="BD56" s="453">
        <f ca="1">IF(AND($D56="Serviço",BD$12&lt;&gt;0,$H56&gt;0,OR(AUTOEVENTO&lt;&gt;"manual",$M56&lt;&gt;$A$15)),
        IF(Import.TipoArredondamento&lt;&gt;"TransfereGOV",
              ROUND(OFFSET($P56,0,BD$13),15-13*ORÇAMENTO!$AF$7)/$H56*OFFSET(ORÇAMENTO!$X$15,ROW(BD56)-ROW(BD$15),0),
              ROUND(ROUND(OFFSET($P56,0,BD$13),15-13*ORÇAMENTO!$AF$7)*OFFSET(ORÇAMENTO!$W$15,ROW(BD56)-ROW(BD$15),0),15-13*ORÇAMENTO!$AF$11)),
         0)</f>
        <v>0</v>
      </c>
      <c r="BE56" s="453">
        <f ca="1">IF(AND($D56="Serviço",BE$12&lt;&gt;0,$H56&gt;0,OR(AUTOEVENTO&lt;&gt;"manual",$M56&lt;&gt;$A$15)),
        IF(Import.TipoArredondamento&lt;&gt;"TransfereGOV",
              ROUND(OFFSET($P56,0,BE$13),15-13*ORÇAMENTO!$AF$7)/$H56*OFFSET(ORÇAMENTO!$X$15,ROW(BE56)-ROW(BE$15),0),
              ROUND(ROUND(OFFSET($P56,0,BE$13),15-13*ORÇAMENTO!$AF$7)*OFFSET(ORÇAMENTO!$W$15,ROW(BE56)-ROW(BE$15),0),15-13*ORÇAMENTO!$AF$11)),
         0)</f>
        <v>0</v>
      </c>
      <c r="BF56" s="453">
        <f ca="1">IF(AND($D56="Serviço",BF$12&lt;&gt;0,$H56&gt;0,OR(AUTOEVENTO&lt;&gt;"manual",$M56&lt;&gt;$A$15)),
        IF(Import.TipoArredondamento&lt;&gt;"TransfereGOV",
              ROUND(OFFSET($P56,0,BF$13),15-13*ORÇAMENTO!$AF$7)/$H56*OFFSET(ORÇAMENTO!$X$15,ROW(BF56)-ROW(BF$15),0),
              ROUND(ROUND(OFFSET($P56,0,BF$13),15-13*ORÇAMENTO!$AF$7)*OFFSET(ORÇAMENTO!$W$15,ROW(BF56)-ROW(BF$15),0),15-13*ORÇAMENTO!$AF$11)),
         0)</f>
        <v>0</v>
      </c>
      <c r="BG56" s="453">
        <f ca="1">IF(AND($D56="Serviço",BG$12&lt;&gt;0,$H56&gt;0,OR(AUTOEVENTO&lt;&gt;"manual",$M56&lt;&gt;$A$15)),
        IF(Import.TipoArredondamento&lt;&gt;"TransfereGOV",
              ROUND(OFFSET($P56,0,BG$13),15-13*ORÇAMENTO!$AF$7)/$H56*OFFSET(ORÇAMENTO!$X$15,ROW(BG56)-ROW(BG$15),0),
              ROUND(ROUND(OFFSET($P56,0,BG$13),15-13*ORÇAMENTO!$AF$7)*OFFSET(ORÇAMENTO!$W$15,ROW(BG56)-ROW(BG$15),0),15-13*ORÇAMENTO!$AF$11)),
         0)</f>
        <v>0</v>
      </c>
      <c r="BH56" s="453">
        <f ca="1">IF(AND($D56="Serviço",BH$12&lt;&gt;0,$H56&gt;0,OR(AUTOEVENTO&lt;&gt;"manual",$M56&lt;&gt;$A$15)),
        IF(Import.TipoArredondamento&lt;&gt;"TransfereGOV",
              ROUND(OFFSET($P56,0,BH$13),15-13*ORÇAMENTO!$AF$7)/$H56*OFFSET(ORÇAMENTO!$X$15,ROW(BH56)-ROW(BH$15),0),
              ROUND(ROUND(OFFSET($P56,0,BH$13),15-13*ORÇAMENTO!$AF$7)*OFFSET(ORÇAMENTO!$W$15,ROW(BH56)-ROW(BH$15),0),15-13*ORÇAMENTO!$AF$11)),
         0)</f>
        <v>0</v>
      </c>
      <c r="BI56" s="453">
        <f ca="1">IF(AND($D56="Serviço",BI$12&lt;&gt;0,$H56&gt;0,OR(AUTOEVENTO&lt;&gt;"manual",$M56&lt;&gt;$A$15)),
        IF(Import.TipoArredondamento&lt;&gt;"TransfereGOV",
              ROUND(OFFSET($P56,0,BI$13),15-13*ORÇAMENTO!$AF$7)/$H56*OFFSET(ORÇAMENTO!$X$15,ROW(BI56)-ROW(BI$15),0),
              ROUND(ROUND(OFFSET($P56,0,BI$13),15-13*ORÇAMENTO!$AF$7)*OFFSET(ORÇAMENTO!$W$15,ROW(BI56)-ROW(BI$15),0),15-13*ORÇAMENTO!$AF$11)),
         0)</f>
        <v>0</v>
      </c>
      <c r="BJ56" s="453">
        <f ca="1">IF(AND($D56="Serviço",BJ$12&lt;&gt;0,$H56&gt;0,OR(AUTOEVENTO&lt;&gt;"manual",$M56&lt;&gt;$A$15)),
        IF(Import.TipoArredondamento&lt;&gt;"TransfereGOV",
              ROUND(OFFSET($P56,0,BJ$13),15-13*ORÇAMENTO!$AF$7)/$H56*OFFSET(ORÇAMENTO!$X$15,ROW(BJ56)-ROW(BJ$15),0),
              ROUND(ROUND(OFFSET($P56,0,BJ$13),15-13*ORÇAMENTO!$AF$7)*OFFSET(ORÇAMENTO!$W$15,ROW(BJ56)-ROW(BJ$15),0),15-13*ORÇAMENTO!$AF$11)),
         0)</f>
        <v>0</v>
      </c>
      <c r="BK56" s="453">
        <f ca="1">IF(AND($D56="Serviço",BK$12&lt;&gt;0,$H56&gt;0,OR(AUTOEVENTO&lt;&gt;"manual",$M56&lt;&gt;$A$15)),
        IF(Import.TipoArredondamento&lt;&gt;"TransfereGOV",
              ROUND(OFFSET($P56,0,BK$13),15-13*ORÇAMENTO!$AF$7)/$H56*OFFSET(ORÇAMENTO!$X$15,ROW(BK56)-ROW(BK$15),0),
              ROUND(ROUND(OFFSET($P56,0,BK$13),15-13*ORÇAMENTO!$AF$7)*OFFSET(ORÇAMENTO!$W$15,ROW(BK56)-ROW(BK$15),0),15-13*ORÇAMENTO!$AF$11)),
         0)</f>
        <v>0</v>
      </c>
      <c r="BL56" s="453">
        <f ca="1">IF(AND($D56="Serviço",BL$12&lt;&gt;0,$H56&gt;0,OR(AUTOEVENTO&lt;&gt;"manual",$M56&lt;&gt;$A$15)),
        IF(Import.TipoArredondamento&lt;&gt;"TransfereGOV",
              ROUND(OFFSET($P56,0,BL$13),15-13*ORÇAMENTO!$AF$7)/$H56*OFFSET(ORÇAMENTO!$X$15,ROW(BL56)-ROW(BL$15),0),
              ROUND(ROUND(OFFSET($P56,0,BL$13),15-13*ORÇAMENTO!$AF$7)*OFFSET(ORÇAMENTO!$W$15,ROW(BL56)-ROW(BL$15),0),15-13*ORÇAMENTO!$AF$11)),
         0)</f>
        <v>0</v>
      </c>
      <c r="BM56" s="453">
        <f ca="1">IF(AND($D56="Serviço",BM$12&lt;&gt;0,$H56&gt;0,OR(AUTOEVENTO&lt;&gt;"manual",$M56&lt;&gt;$A$15)),
        IF(Import.TipoArredondamento&lt;&gt;"TransfereGOV",
              ROUND(OFFSET($P56,0,BM$13),15-13*ORÇAMENTO!$AF$7)/$H56*OFFSET(ORÇAMENTO!$X$15,ROW(BM56)-ROW(BM$15),0),
              ROUND(ROUND(OFFSET($P56,0,BM$13),15-13*ORÇAMENTO!$AF$7)*OFFSET(ORÇAMENTO!$W$15,ROW(BM56)-ROW(BM$15),0),15-13*ORÇAMENTO!$AF$11)),
         0)</f>
        <v>0</v>
      </c>
      <c r="BN56" s="453">
        <f ca="1">IF(AND($D56="Serviço",BN$12&lt;&gt;0,$H56&gt;0,OR(AUTOEVENTO&lt;&gt;"manual",$M56&lt;&gt;$A$15)),
        IF(Import.TipoArredondamento&lt;&gt;"TransfereGOV",
              ROUND(OFFSET($P56,0,BN$13),15-13*ORÇAMENTO!$AF$7)/$H56*OFFSET(ORÇAMENTO!$X$15,ROW(BN56)-ROW(BN$15),0),
              ROUND(ROUND(OFFSET($P56,0,BN$13),15-13*ORÇAMENTO!$AF$7)*OFFSET(ORÇAMENTO!$W$15,ROW(BN56)-ROW(BN$15),0),15-13*ORÇAMENTO!$AF$11)),
         0)</f>
        <v>0</v>
      </c>
      <c r="BO56" s="453">
        <f ca="1">IF(AND($D56="Serviço",BO$12&lt;&gt;0,$H56&gt;0,OR(AUTOEVENTO&lt;&gt;"manual",$M56&lt;&gt;$A$15)),
        IF(Import.TipoArredondamento&lt;&gt;"TransfereGOV",
              ROUND(OFFSET($P56,0,BO$13),15-13*ORÇAMENTO!$AF$7)/$H56*OFFSET(ORÇAMENTO!$X$15,ROW(BO56)-ROW(BO$15),0),
              ROUND(ROUND(OFFSET($P56,0,BO$13),15-13*ORÇAMENTO!$AF$7)*OFFSET(ORÇAMENTO!$W$15,ROW(BO56)-ROW(BO$15),0),15-13*ORÇAMENTO!$AF$11)),
         0)</f>
        <v>0</v>
      </c>
      <c r="BP56" s="453">
        <f ca="1">IF(AND($D56="Serviço",BP$12&lt;&gt;0,$H56&gt;0,OR(AUTOEVENTO&lt;&gt;"manual",$M56&lt;&gt;$A$15)),
        IF(Import.TipoArredondamento&lt;&gt;"TransfereGOV",
              ROUND(OFFSET($P56,0,BP$13),15-13*ORÇAMENTO!$AF$7)/$H56*OFFSET(ORÇAMENTO!$X$15,ROW(BP56)-ROW(BP$15),0),
              ROUND(ROUND(OFFSET($P56,0,BP$13),15-13*ORÇAMENTO!$AF$7)*OFFSET(ORÇAMENTO!$W$15,ROW(BP56)-ROW(BP$15),0),15-13*ORÇAMENTO!$AF$11)),
         0)</f>
        <v>0</v>
      </c>
      <c r="BQ56" s="453">
        <f ca="1">IF(AND($D56="Serviço",BQ$12&lt;&gt;0,$H56&gt;0,OR(AUTOEVENTO&lt;&gt;"manual",$M56&lt;&gt;$A$15)),
        IF(Import.TipoArredondamento&lt;&gt;"TransfereGOV",
              ROUND(OFFSET($P56,0,BQ$13),15-13*ORÇAMENTO!$AF$7)/$H56*OFFSET(ORÇAMENTO!$X$15,ROW(BQ56)-ROW(BQ$15),0),
              ROUND(ROUND(OFFSET($P56,0,BQ$13),15-13*ORÇAMENTO!$AF$7)*OFFSET(ORÇAMENTO!$W$15,ROW(BQ56)-ROW(BQ$15),0),15-13*ORÇAMENTO!$AF$11)),
         0)</f>
        <v>0</v>
      </c>
      <c r="BS56" s="171">
        <f ca="1">IF(OR($D56&lt;&gt;"Serviço",AND(AUTOEVENTO="Manual",$M56=$A$15)),0,
         IF(OFFSET(CRONOPLE!$F$15,$M56-$A$15,BS$13)=0,10^12,OFFSET(CRONOPLE!$F$15,$M56-$A$15,BS$13)))</f>
        <v>1</v>
      </c>
      <c r="BT56" s="171">
        <f ca="1">IF(OR($D56&lt;&gt;"Serviço",AND(AUTOEVENTO="Manual",$M56=$A$15)),0,
         IF(OFFSET(CRONOPLE!$F$15,$M56-$A$15,BT$13)=0,10^12,OFFSET(CRONOPLE!$F$15,$M56-$A$15,BT$13)))</f>
        <v>2</v>
      </c>
      <c r="BU56" s="171">
        <f ca="1">IF(OR($D56&lt;&gt;"Serviço",AND(AUTOEVENTO="Manual",$M56=$A$15)),0,
         IF(OFFSET(CRONOPLE!$F$15,$M56-$A$15,BU$13)=0,10^12,OFFSET(CRONOPLE!$F$15,$M56-$A$15,BU$13)))</f>
        <v>3</v>
      </c>
      <c r="BV56" s="171">
        <f ca="1">IF(OR($D56&lt;&gt;"Serviço",AND(AUTOEVENTO="Manual",$M56=$A$15)),0,
         IF(OFFSET(CRONOPLE!$F$15,$M56-$A$15,BV$13)=0,10^12,OFFSET(CRONOPLE!$F$15,$M56-$A$15,BV$13)))</f>
        <v>4</v>
      </c>
      <c r="BW56" s="171">
        <f ca="1">IF(OR($D56&lt;&gt;"Serviço",AND(AUTOEVENTO="Manual",$M56=$A$15)),0,
         IF(OFFSET(CRONOPLE!$F$15,$M56-$A$15,BW$13)=0,10^12,OFFSET(CRONOPLE!$F$15,$M56-$A$15,BW$13)))</f>
        <v>5</v>
      </c>
      <c r="BX56" s="171">
        <f ca="1">IF(OR($D56&lt;&gt;"Serviço",AND(AUTOEVENTO="Manual",$M56=$A$15)),0,
         IF(OFFSET(CRONOPLE!$F$15,$M56-$A$15,BX$13)=0,10^12,OFFSET(CRONOPLE!$F$15,$M56-$A$15,BX$13)))</f>
        <v>6</v>
      </c>
      <c r="BY56" s="171">
        <f ca="1">IF(OR($D56&lt;&gt;"Serviço",AND(AUTOEVENTO="Manual",$M56=$A$15)),0,
         IF(OFFSET(CRONOPLE!$F$15,$M56-$A$15,BY$13)=0,10^12,OFFSET(CRONOPLE!$F$15,$M56-$A$15,BY$13)))</f>
        <v>7</v>
      </c>
      <c r="BZ56" s="171">
        <f ca="1">IF(OR($D56&lt;&gt;"Serviço",AND(AUTOEVENTO="Manual",$M56=$A$15)),0,
         IF(OFFSET(CRONOPLE!$F$15,$M56-$A$15,BZ$13)=0,10^12,OFFSET(CRONOPLE!$F$15,$M56-$A$15,BZ$13)))</f>
        <v>8</v>
      </c>
      <c r="CA56" s="171">
        <f ca="1">IF(OR($D56&lt;&gt;"Serviço",AND(AUTOEVENTO="Manual",$M56=$A$15)),0,
         IF(OFFSET(CRONOPLE!$F$15,$M56-$A$15,CA$13)=0,10^12,OFFSET(CRONOPLE!$F$15,$M56-$A$15,CA$13)))</f>
        <v>9</v>
      </c>
      <c r="CB56" s="171">
        <f ca="1">IF(OR($D56&lt;&gt;"Serviço",AND(AUTOEVENTO="Manual",$M56=$A$15)),0,
         IF(OFFSET(CRONOPLE!$F$15,$M56-$A$15,CB$13)=0,10^12,OFFSET(CRONOPLE!$F$15,$M56-$A$15,CB$13)))</f>
        <v>10</v>
      </c>
      <c r="CC56" s="171">
        <f ca="1">IF(OR($D56&lt;&gt;"Serviço",AND(AUTOEVENTO="Manual",$M56=$A$15)),0,
         IF(OFFSET(CRONOPLE!$F$15,$M56-$A$15,CC$13)=0,10^12,OFFSET(CRONOPLE!$F$15,$M56-$A$15,CC$13)))</f>
        <v>11</v>
      </c>
      <c r="CD56" s="171">
        <f ca="1">IF(OR($D56&lt;&gt;"Serviço",AND(AUTOEVENTO="Manual",$M56=$A$15)),0,
         IF(OFFSET(CRONOPLE!$F$15,$M56-$A$15,CD$13)=0,10^12,OFFSET(CRONOPLE!$F$15,$M56-$A$15,CD$13)))</f>
        <v>12</v>
      </c>
      <c r="CE56" s="171">
        <f ca="1">IF(OR($D56&lt;&gt;"Serviço",AND(AUTOEVENTO="Manual",$M56=$A$15)),0,
         IF(OFFSET(CRONOPLE!$F$15,$M56-$A$15,CE$13)=0,10^12,OFFSET(CRONOPLE!$F$15,$M56-$A$15,CE$13)))</f>
        <v>13</v>
      </c>
      <c r="CF56" s="171">
        <f ca="1">IF(OR($D56&lt;&gt;"Serviço",AND(AUTOEVENTO="Manual",$M56=$A$15)),0,
         IF(OFFSET(CRONOPLE!$F$15,$M56-$A$15,CF$13)=0,10^12,OFFSET(CRONOPLE!$F$15,$M56-$A$15,CF$13)))</f>
        <v>14</v>
      </c>
      <c r="CG56" s="171">
        <f ca="1">IF(OR($D56&lt;&gt;"Serviço",AND(AUTOEVENTO="Manual",$M56=$A$15)),0,
         IF(OFFSET(CRONOPLE!$F$15,$M56-$A$15,CG$13)=0,10^12,OFFSET(CRONOPLE!$F$15,$M56-$A$15,CG$13)))</f>
        <v>15</v>
      </c>
      <c r="CH56" s="171">
        <f ca="1">IF(OR($D56&lt;&gt;"Serviço",AND(AUTOEVENTO="Manual",$M56=$A$15)),0,
         IF(OFFSET(CRONOPLE!$F$15,$M56-$A$15,CH$13)=0,10^12,OFFSET(CRONOPLE!$F$15,$M56-$A$15,CH$13)))</f>
        <v>16</v>
      </c>
      <c r="CI56" s="171">
        <f ca="1">IF(OR($D56&lt;&gt;"Serviço",AND(AUTOEVENTO="Manual",$M56=$A$15)),0,
         IF(OFFSET(CRONOPLE!$F$15,$M56-$A$15,CI$13)=0,10^12,OFFSET(CRONOPLE!$F$15,$M56-$A$15,CI$13)))</f>
        <v>17</v>
      </c>
      <c r="CJ56" s="171">
        <f ca="1">IF(OR($D56&lt;&gt;"Serviço",AND(AUTOEVENTO="Manual",$M56=$A$15)),0,
         IF(OFFSET(CRONOPLE!$F$15,$M56-$A$15,CJ$13)=0,10^12,OFFSET(CRONOPLE!$F$15,$M56-$A$15,CJ$13)))</f>
        <v>18</v>
      </c>
      <c r="CK56" s="171">
        <f ca="1">IF(OR($D56&lt;&gt;"Serviço",AND(AUTOEVENTO="Manual",$M56=$A$15)),0,
         IF(OFFSET(CRONOPLE!$F$15,$M56-$A$15,CK$13)=0,10^12,OFFSET(CRONOPLE!$F$15,$M56-$A$15,CK$13)))</f>
        <v>19</v>
      </c>
      <c r="CL56" s="171">
        <f ca="1">IF(OR($D56&lt;&gt;"Serviço",AND(AUTOEVENTO="Manual",$M56=$A$15)),0,
         IF(OFFSET(CRONOPLE!$F$15,$M56-$A$15,CL$13)=0,10^12,OFFSET(CRONOPLE!$F$15,$M56-$A$15,CL$13)))</f>
        <v>20</v>
      </c>
      <c r="CM56" s="171">
        <f ca="1">IF(OR($D56&lt;&gt;"Serviço",AND(AUTOEVENTO="Manual",$M56=$A$15)),0,
         IF(OFFSET(CRONOPLE!$F$15,$M56-$A$15,CM$13)=0,10^12,OFFSET(CRONOPLE!$F$15,$M56-$A$15,CM$13)))</f>
        <v>1000000000000</v>
      </c>
      <c r="CN56" s="171">
        <f ca="1">IF(OR($D56&lt;&gt;"Serviço",AND(AUTOEVENTO="Manual",$M56=$A$15)),0,
         IF(OFFSET(CRONOPLE!$F$15,$M56-$A$15,CN$13)=0,10^12,OFFSET(CRONOPLE!$F$15,$M56-$A$15,CN$13)))</f>
        <v>1000000000000</v>
      </c>
      <c r="CO56" s="171">
        <f ca="1">IF(OR($D56&lt;&gt;"Serviço",AND(AUTOEVENTO="Manual",$M56=$A$15)),0,
         IF(OFFSET(CRONOPLE!$F$15,$M56-$A$15,CO$13)=0,10^12,OFFSET(CRONOPLE!$F$15,$M56-$A$15,CO$13)))</f>
        <v>1000000000000</v>
      </c>
      <c r="CP56" s="171">
        <f ca="1">IF(OR($D56&lt;&gt;"Serviço",AND(AUTOEVENTO="Manual",$M56=$A$15)),0,
         IF(OFFSET(CRONOPLE!$F$15,$M56-$A$15,CP$13)=0,10^12,OFFSET(CRONOPLE!$F$15,$M56-$A$15,CP$13)))</f>
        <v>1000000000000</v>
      </c>
      <c r="CQ56" s="171">
        <f ca="1">IF(OR($D56&lt;&gt;"Serviço",AND(AUTOEVENTO="Manual",$M56=$A$15)),0,
         IF(OFFSET(CRONOPLE!$F$15,$M56-$A$15,CQ$13)=0,10^12,OFFSET(CRONOPLE!$F$15,$M56-$A$15,CQ$13)))</f>
        <v>1000000000000</v>
      </c>
      <c r="CR56" s="171">
        <f ca="1">IF(OR($D56&lt;&gt;"Serviço",AND(AUTOEVENTO="Manual",$M56=$A$15)),0,
         IF(OFFSET(CRONOPLE!$F$15,$M56-$A$15,CR$13)=0,10^12,OFFSET(CRONOPLE!$F$15,$M56-$A$15,CR$13)))</f>
        <v>1000000000000</v>
      </c>
      <c r="CT56" s="172" cm="1">
        <f t="array" aca="1" ref="CT56" ca="1">IF(OR($D56&lt;&gt;"Serviço",AND(AUTOEVENTO="Manual",$M56=$A$15),$M56&gt;(ROW(PLE.lastrow)-ROW(PLE.firstrow))),0,
           IF(OFFSET(PLE!$G$15,$M56-$A$15,CT$13)="",10^12,OFFSET(PLE!$G$15,$M56-$A$15,CT$13)))</f>
        <v>1000000000000</v>
      </c>
      <c r="CU56" s="172" cm="1">
        <f t="array" aca="1" ref="CU56" ca="1">IF(OR($D56&lt;&gt;"Serviço",AND(AUTOEVENTO="Manual",$M56=$A$15),$M56&gt;(ROW(PLE.lastrow)-ROW(PLE.firstrow))),0,
           IF(OFFSET(PLE!$G$15,$M56-$A$15,CU$13)="",10^12,OFFSET(PLE!$G$15,$M56-$A$15,CU$13)))</f>
        <v>1000000000000</v>
      </c>
      <c r="CV56" s="172" cm="1">
        <f t="array" aca="1" ref="CV56" ca="1">IF(OR($D56&lt;&gt;"Serviço",AND(AUTOEVENTO="Manual",$M56=$A$15),$M56&gt;(ROW(PLE.lastrow)-ROW(PLE.firstrow))),0,
           IF(OFFSET(PLE!$G$15,$M56-$A$15,CV$13)="",10^12,OFFSET(PLE!$G$15,$M56-$A$15,CV$13)))</f>
        <v>1000000000000</v>
      </c>
      <c r="CW56" s="172" cm="1">
        <f t="array" aca="1" ref="CW56" ca="1">IF(OR($D56&lt;&gt;"Serviço",AND(AUTOEVENTO="Manual",$M56=$A$15),$M56&gt;(ROW(PLE.lastrow)-ROW(PLE.firstrow))),0,
           IF(OFFSET(PLE!$G$15,$M56-$A$15,CW$13)="",10^12,OFFSET(PLE!$G$15,$M56-$A$15,CW$13)))</f>
        <v>1000000000000</v>
      </c>
      <c r="CX56" s="172" cm="1">
        <f t="array" aca="1" ref="CX56" ca="1">IF(OR($D56&lt;&gt;"Serviço",AND(AUTOEVENTO="Manual",$M56=$A$15),$M56&gt;(ROW(PLE.lastrow)-ROW(PLE.firstrow))),0,
           IF(OFFSET(PLE!$G$15,$M56-$A$15,CX$13)="",10^12,OFFSET(PLE!$G$15,$M56-$A$15,CX$13)))</f>
        <v>1000000000000</v>
      </c>
      <c r="CY56" s="172" cm="1">
        <f t="array" aca="1" ref="CY56" ca="1">IF(OR($D56&lt;&gt;"Serviço",AND(AUTOEVENTO="Manual",$M56=$A$15),$M56&gt;(ROW(PLE.lastrow)-ROW(PLE.firstrow))),0,
           IF(OFFSET(PLE!$G$15,$M56-$A$15,CY$13)="",10^12,OFFSET(PLE!$G$15,$M56-$A$15,CY$13)))</f>
        <v>1000000000000</v>
      </c>
      <c r="CZ56" s="172" cm="1">
        <f t="array" aca="1" ref="CZ56" ca="1">IF(OR($D56&lt;&gt;"Serviço",AND(AUTOEVENTO="Manual",$M56=$A$15),$M56&gt;(ROW(PLE.lastrow)-ROW(PLE.firstrow))),0,
           IF(OFFSET(PLE!$G$15,$M56-$A$15,CZ$13)="",10^12,OFFSET(PLE!$G$15,$M56-$A$15,CZ$13)))</f>
        <v>1000000000000</v>
      </c>
      <c r="DA56" s="172" cm="1">
        <f t="array" aca="1" ref="DA56" ca="1">IF(OR($D56&lt;&gt;"Serviço",AND(AUTOEVENTO="Manual",$M56=$A$15),$M56&gt;(ROW(PLE.lastrow)-ROW(PLE.firstrow))),0,
           IF(OFFSET(PLE!$G$15,$M56-$A$15,DA$13)="",10^12,OFFSET(PLE!$G$15,$M56-$A$15,DA$13)))</f>
        <v>1000000000000</v>
      </c>
      <c r="DB56" s="172" cm="1">
        <f t="array" aca="1" ref="DB56" ca="1">IF(OR($D56&lt;&gt;"Serviço",AND(AUTOEVENTO="Manual",$M56=$A$15),$M56&gt;(ROW(PLE.lastrow)-ROW(PLE.firstrow))),0,
           IF(OFFSET(PLE!$G$15,$M56-$A$15,DB$13)="",10^12,OFFSET(PLE!$G$15,$M56-$A$15,DB$13)))</f>
        <v>1000000000000</v>
      </c>
      <c r="DC56" s="172" cm="1">
        <f t="array" aca="1" ref="DC56" ca="1">IF(OR($D56&lt;&gt;"Serviço",AND(AUTOEVENTO="Manual",$M56=$A$15),$M56&gt;(ROW(PLE.lastrow)-ROW(PLE.firstrow))),0,
           IF(OFFSET(PLE!$G$15,$M56-$A$15,DC$13)="",10^12,OFFSET(PLE!$G$15,$M56-$A$15,DC$13)))</f>
        <v>1000000000000</v>
      </c>
      <c r="DD56" s="172" cm="1">
        <f t="array" aca="1" ref="DD56" ca="1">IF(OR($D56&lt;&gt;"Serviço",AND(AUTOEVENTO="Manual",$M56=$A$15),$M56&gt;(ROW(PLE.lastrow)-ROW(PLE.firstrow))),0,
           IF(OFFSET(PLE!$G$15,$M56-$A$15,DD$13)="",10^12,OFFSET(PLE!$G$15,$M56-$A$15,DD$13)))</f>
        <v>1000000000000</v>
      </c>
      <c r="DE56" s="172" cm="1">
        <f t="array" aca="1" ref="DE56" ca="1">IF(OR($D56&lt;&gt;"Serviço",AND(AUTOEVENTO="Manual",$M56=$A$15),$M56&gt;(ROW(PLE.lastrow)-ROW(PLE.firstrow))),0,
           IF(OFFSET(PLE!$G$15,$M56-$A$15,DE$13)="",10^12,OFFSET(PLE!$G$15,$M56-$A$15,DE$13)))</f>
        <v>1000000000000</v>
      </c>
      <c r="DF56" s="172" cm="1">
        <f t="array" aca="1" ref="DF56" ca="1">IF(OR($D56&lt;&gt;"Serviço",AND(AUTOEVENTO="Manual",$M56=$A$15),$M56&gt;(ROW(PLE.lastrow)-ROW(PLE.firstrow))),0,
           IF(OFFSET(PLE!$G$15,$M56-$A$15,DF$13)="",10^12,OFFSET(PLE!$G$15,$M56-$A$15,DF$13)))</f>
        <v>1000000000000</v>
      </c>
      <c r="DG56" s="172" cm="1">
        <f t="array" aca="1" ref="DG56" ca="1">IF(OR($D56&lt;&gt;"Serviço",AND(AUTOEVENTO="Manual",$M56=$A$15),$M56&gt;(ROW(PLE.lastrow)-ROW(PLE.firstrow))),0,
           IF(OFFSET(PLE!$G$15,$M56-$A$15,DG$13)="",10^12,OFFSET(PLE!$G$15,$M56-$A$15,DG$13)))</f>
        <v>1000000000000</v>
      </c>
      <c r="DH56" s="172" cm="1">
        <f t="array" aca="1" ref="DH56" ca="1">IF(OR($D56&lt;&gt;"Serviço",AND(AUTOEVENTO="Manual",$M56=$A$15),$M56&gt;(ROW(PLE.lastrow)-ROW(PLE.firstrow))),0,
           IF(OFFSET(PLE!$G$15,$M56-$A$15,DH$13)="",10^12,OFFSET(PLE!$G$15,$M56-$A$15,DH$13)))</f>
        <v>1000000000000</v>
      </c>
      <c r="DI56" s="172" cm="1">
        <f t="array" aca="1" ref="DI56" ca="1">IF(OR($D56&lt;&gt;"Serviço",AND(AUTOEVENTO="Manual",$M56=$A$15),$M56&gt;(ROW(PLE.lastrow)-ROW(PLE.firstrow))),0,
           IF(OFFSET(PLE!$G$15,$M56-$A$15,DI$13)="",10^12,OFFSET(PLE!$G$15,$M56-$A$15,DI$13)))</f>
        <v>1000000000000</v>
      </c>
      <c r="DJ56" s="172" cm="1">
        <f t="array" aca="1" ref="DJ56" ca="1">IF(OR($D56&lt;&gt;"Serviço",AND(AUTOEVENTO="Manual",$M56=$A$15),$M56&gt;(ROW(PLE.lastrow)-ROW(PLE.firstrow))),0,
           IF(OFFSET(PLE!$G$15,$M56-$A$15,DJ$13)="",10^12,OFFSET(PLE!$G$15,$M56-$A$15,DJ$13)))</f>
        <v>1000000000000</v>
      </c>
      <c r="DK56" s="172" cm="1">
        <f t="array" aca="1" ref="DK56" ca="1">IF(OR($D56&lt;&gt;"Serviço",AND(AUTOEVENTO="Manual",$M56=$A$15),$M56&gt;(ROW(PLE.lastrow)-ROW(PLE.firstrow))),0,
           IF(OFFSET(PLE!$G$15,$M56-$A$15,DK$13)="",10^12,OFFSET(PLE!$G$15,$M56-$A$15,DK$13)))</f>
        <v>1000000000000</v>
      </c>
      <c r="DL56" s="172" cm="1">
        <f t="array" aca="1" ref="DL56" ca="1">IF(OR($D56&lt;&gt;"Serviço",AND(AUTOEVENTO="Manual",$M56=$A$15),$M56&gt;(ROW(PLE.lastrow)-ROW(PLE.firstrow))),0,
           IF(OFFSET(PLE!$G$15,$M56-$A$15,DL$13)="",10^12,OFFSET(PLE!$G$15,$M56-$A$15,DL$13)))</f>
        <v>1000000000000</v>
      </c>
      <c r="DM56" s="172" cm="1">
        <f t="array" aca="1" ref="DM56" ca="1">IF(OR($D56&lt;&gt;"Serviço",AND(AUTOEVENTO="Manual",$M56=$A$15),$M56&gt;(ROW(PLE.lastrow)-ROW(PLE.firstrow))),0,
           IF(OFFSET(PLE!$G$15,$M56-$A$15,DM$13)="",10^12,OFFSET(PLE!$G$15,$M56-$A$15,DM$13)))</f>
        <v>1000000000000</v>
      </c>
      <c r="DN56" s="172" cm="1">
        <f t="array" aca="1" ref="DN56" ca="1">IF(OR($D56&lt;&gt;"Serviço",AND(AUTOEVENTO="Manual",$M56=$A$15),$M56&gt;(ROW(PLE.lastrow)-ROW(PLE.firstrow))),0,
           IF(OFFSET(PLE!$G$15,$M56-$A$15,DN$13)="",10^12,OFFSET(PLE!$G$15,$M56-$A$15,DN$13)))</f>
        <v>1000000000000</v>
      </c>
      <c r="DO56" s="172" cm="1">
        <f t="array" aca="1" ref="DO56" ca="1">IF(OR($D56&lt;&gt;"Serviço",AND(AUTOEVENTO="Manual",$M56=$A$15),$M56&gt;(ROW(PLE.lastrow)-ROW(PLE.firstrow))),0,
           IF(OFFSET(PLE!$G$15,$M56-$A$15,DO$13)="",10^12,OFFSET(PLE!$G$15,$M56-$A$15,DO$13)))</f>
        <v>1000000000000</v>
      </c>
      <c r="DP56" s="172" cm="1">
        <f t="array" aca="1" ref="DP56" ca="1">IF(OR($D56&lt;&gt;"Serviço",AND(AUTOEVENTO="Manual",$M56=$A$15),$M56&gt;(ROW(PLE.lastrow)-ROW(PLE.firstrow))),0,
           IF(OFFSET(PLE!$G$15,$M56-$A$15,DP$13)="",10^12,OFFSET(PLE!$G$15,$M56-$A$15,DP$13)))</f>
        <v>1000000000000</v>
      </c>
      <c r="DQ56" s="172" cm="1">
        <f t="array" aca="1" ref="DQ56" ca="1">IF(OR($D56&lt;&gt;"Serviço",AND(AUTOEVENTO="Manual",$M56=$A$15),$M56&gt;(ROW(PLE.lastrow)-ROW(PLE.firstrow))),0,
           IF(OFFSET(PLE!$G$15,$M56-$A$15,DQ$13)="",10^12,OFFSET(PLE!$G$15,$M56-$A$15,DQ$13)))</f>
        <v>1000000000000</v>
      </c>
      <c r="DR56" s="172" cm="1">
        <f t="array" aca="1" ref="DR56" ca="1">IF(OR($D56&lt;&gt;"Serviço",AND(AUTOEVENTO="Manual",$M56=$A$15),$M56&gt;(ROW(PLE.lastrow)-ROW(PLE.firstrow))),0,
           IF(OFFSET(PLE!$G$15,$M56-$A$15,DR$13)="",10^12,OFFSET(PLE!$G$15,$M56-$A$15,DR$13)))</f>
        <v>1000000000000</v>
      </c>
      <c r="DS56" s="172" cm="1">
        <f t="array" aca="1" ref="DS56" ca="1">IF(OR($D56&lt;&gt;"Serviço",AND(AUTOEVENTO="Manual",$M56=$A$15),$M56&gt;(ROW(PLE.lastrow)-ROW(PLE.firstrow))),0,
           IF(OFFSET(PLE!$G$15,$M56-$A$15,DS$13)="",10^12,OFFSET(PLE!$G$15,$M56-$A$15,DS$13)))</f>
        <v>1000000000000</v>
      </c>
    </row>
    <row r="57" spans="1:123" ht="38.25" x14ac:dyDescent="0.2">
      <c r="A57" s="7">
        <f t="shared" ca="1" si="11"/>
        <v>4</v>
      </c>
      <c r="B57" s="7" t="str">
        <f ca="1">OFFSET(ORÇAMENTO!C$15,$L57,0)</f>
        <v>S</v>
      </c>
      <c r="C57" s="7" t="str">
        <f ca="1">OFFSET(ORÇAMENTO!L$15,$L57,0)</f>
        <v/>
      </c>
      <c r="D57" s="116" t="str">
        <f ca="1">OFFSET(ORÇAMENTO!N$15,$L57,0)</f>
        <v>Serviço</v>
      </c>
      <c r="E57" s="117" t="str">
        <f ca="1">OFFSET(ORÇAMENTO!O$15,$L57,0)</f>
        <v>-</v>
      </c>
      <c r="F57" s="163" t="str">
        <f ca="1">OFFSET(ORÇAMENTO!R$15,$L57,0)</f>
        <v>(Código não identificado nas referências)</v>
      </c>
      <c r="G57" s="164" t="str">
        <f ca="1">IF($D57&lt;&gt;"Serviço","",OFFSET(ORÇAMENTO!S$15,$L57,0))</f>
        <v>-</v>
      </c>
      <c r="H57" s="122" cm="1">
        <f t="array" aca="1" ref="H57" ca="1">IF($D57&lt;&gt;"Serviço",0,IF(ACOMPANHAMENTO="BM",ROUND(OFFSET(ORÇAMENTO!AJ$15,$L57,0),15-13*ORÇAMENTO!$AF$7),IF(IFERROR(CÁLCULO.FrentesPreenchidas,0)=0,0,SUM(ROUND(OFFSET($P57,0,1,1,CÁLCULO.FrentesPreenchidas),15-13*ORÇAMENTO!$AF$7)))))</f>
        <v>1711.9999999999993</v>
      </c>
      <c r="I57" s="468" t="s">
        <v>1235</v>
      </c>
      <c r="J57" s="651" t="str" cm="1">
        <f t="array" aca="1" ref="J57" ca="1">IF(OR(B57&lt;&gt;"S",CÁLCULO.FrentesPreenchidas=0),"",IF(AND(ACOMPANHAMENTO="PLE",AUTOEVENTO="Manual",OR(H57&gt;0,ORÇAMENTO!AC57="QUANT."),OR(K57="",M57=0,N57="")),"►E",IF(AND(ACOMPANHAMENTO="PLE",ORÇAMENTO!AC57="QUANT."),"►Q",IF(AND(ACOMPANHAMENTO="PLE",H57&lt;&gt;SUMPRODUCT(($Q$1:$AQ$1=1)*ROUND(Q57:AQ57,15))),"►S",IF(AND(COUNTIF($P$11:$AQ$11,"▼")=0,H57&gt;0,I57=""),"◄M","")))))</f>
        <v/>
      </c>
      <c r="K57" s="652" t="s">
        <v>1252</v>
      </c>
      <c r="L57" s="165">
        <f t="shared" ca="1" si="12"/>
        <v>42</v>
      </c>
      <c r="M57" s="166">
        <f ca="1">IF($D57&lt;&gt;"Serviço","",
          IF(AUTOEVENTO="manual",$A57,
                IF(ISERROR(MATCH($A57,$A$15:OFFSET($A57,-1,0),0)),MAX($M$15:OFFSET(M57,-1,0))+1,
                      INDEX($M$15:OFFSET(M57,-1,0),MATCH($A57,$A$15:OFFSET($A57,-1,0),0)))))</f>
        <v>4</v>
      </c>
      <c r="N57" s="167" t="str">
        <f ca="1">IF($D57&lt;&gt;"Serviço","",
         IF(AUTOEVENTO="Manual",
                IF($A57=0,"&lt;-- defina o número do agrupador",
                       OFFSET(EVENTOS!$D$15,$A57-$A$15,0)),
                OFFSET($F$15,$A57,0)))</f>
        <v>SUPRAESTRUTURA</v>
      </c>
      <c r="O57" s="168"/>
      <c r="Q57" s="168">
        <v>85.6</v>
      </c>
      <c r="R57" s="169">
        <v>85.6</v>
      </c>
      <c r="S57" s="169">
        <v>85.6</v>
      </c>
      <c r="T57" s="169">
        <v>85.6</v>
      </c>
      <c r="U57" s="169">
        <v>85.6</v>
      </c>
      <c r="V57" s="169">
        <v>85.6</v>
      </c>
      <c r="W57" s="169">
        <v>85.6</v>
      </c>
      <c r="X57" s="169">
        <v>85.6</v>
      </c>
      <c r="Y57" s="169">
        <v>85.6</v>
      </c>
      <c r="Z57" s="170">
        <v>85.6</v>
      </c>
      <c r="AA57" s="169">
        <v>85.6</v>
      </c>
      <c r="AB57" s="169">
        <v>85.6</v>
      </c>
      <c r="AC57" s="169">
        <v>85.6</v>
      </c>
      <c r="AD57" s="169">
        <v>85.6</v>
      </c>
      <c r="AE57" s="169">
        <v>85.6</v>
      </c>
      <c r="AF57" s="169">
        <v>85.6</v>
      </c>
      <c r="AG57" s="169">
        <v>85.6</v>
      </c>
      <c r="AH57" s="170">
        <v>85.6</v>
      </c>
      <c r="AI57" s="169">
        <v>85.6</v>
      </c>
      <c r="AJ57" s="169">
        <v>85.6</v>
      </c>
      <c r="AK57" s="169"/>
      <c r="AL57" s="169"/>
      <c r="AM57" s="169"/>
      <c r="AN57" s="169"/>
      <c r="AO57" s="169"/>
      <c r="AP57" s="170"/>
      <c r="AR57" s="453">
        <f ca="1">IF(AND($D57="Serviço",AR$12&lt;&gt;0,$H57&gt;0,OR(AUTOEVENTO&lt;&gt;"manual",$M57&lt;&gt;$A$15)),
        IF(Import.TipoArredondamento&lt;&gt;"TransfereGOV",
              ROUND(OFFSET($P57,0,AR$13),15-13*ORÇAMENTO!$AF$7)/$H57*OFFSET(ORÇAMENTO!$X$15,ROW(AR57)-ROW(AR$15),0),
              ROUND(ROUND(OFFSET($P57,0,AR$13),15-13*ORÇAMENTO!$AF$7)*OFFSET(ORÇAMENTO!$W$15,ROW(AR57)-ROW(AR$15),0),15-13*ORÇAMENTO!$AF$11)),
         0)</f>
        <v>0</v>
      </c>
      <c r="AS57" s="453">
        <f ca="1">IF(AND($D57="Serviço",AS$12&lt;&gt;0,$H57&gt;0,OR(AUTOEVENTO&lt;&gt;"manual",$M57&lt;&gt;$A$15)),
        IF(Import.TipoArredondamento&lt;&gt;"TransfereGOV",
              ROUND(OFFSET($P57,0,AS$13),15-13*ORÇAMENTO!$AF$7)/$H57*OFFSET(ORÇAMENTO!$X$15,ROW(AS57)-ROW(AS$15),0),
              ROUND(ROUND(OFFSET($P57,0,AS$13),15-13*ORÇAMENTO!$AF$7)*OFFSET(ORÇAMENTO!$W$15,ROW(AS57)-ROW(AS$15),0),15-13*ORÇAMENTO!$AF$11)),
         0)</f>
        <v>0</v>
      </c>
      <c r="AT57" s="453">
        <f ca="1">IF(AND($D57="Serviço",AT$12&lt;&gt;0,$H57&gt;0,OR(AUTOEVENTO&lt;&gt;"manual",$M57&lt;&gt;$A$15)),
        IF(Import.TipoArredondamento&lt;&gt;"TransfereGOV",
              ROUND(OFFSET($P57,0,AT$13),15-13*ORÇAMENTO!$AF$7)/$H57*OFFSET(ORÇAMENTO!$X$15,ROW(AT57)-ROW(AT$15),0),
              ROUND(ROUND(OFFSET($P57,0,AT$13),15-13*ORÇAMENTO!$AF$7)*OFFSET(ORÇAMENTO!$W$15,ROW(AT57)-ROW(AT$15),0),15-13*ORÇAMENTO!$AF$11)),
         0)</f>
        <v>0</v>
      </c>
      <c r="AU57" s="453">
        <f ca="1">IF(AND($D57="Serviço",AU$12&lt;&gt;0,$H57&gt;0,OR(AUTOEVENTO&lt;&gt;"manual",$M57&lt;&gt;$A$15)),
        IF(Import.TipoArredondamento&lt;&gt;"TransfereGOV",
              ROUND(OFFSET($P57,0,AU$13),15-13*ORÇAMENTO!$AF$7)/$H57*OFFSET(ORÇAMENTO!$X$15,ROW(AU57)-ROW(AU$15),0),
              ROUND(ROUND(OFFSET($P57,0,AU$13),15-13*ORÇAMENTO!$AF$7)*OFFSET(ORÇAMENTO!$W$15,ROW(AU57)-ROW(AU$15),0),15-13*ORÇAMENTO!$AF$11)),
         0)</f>
        <v>0</v>
      </c>
      <c r="AV57" s="453">
        <f ca="1">IF(AND($D57="Serviço",AV$12&lt;&gt;0,$H57&gt;0,OR(AUTOEVENTO&lt;&gt;"manual",$M57&lt;&gt;$A$15)),
        IF(Import.TipoArredondamento&lt;&gt;"TransfereGOV",
              ROUND(OFFSET($P57,0,AV$13),15-13*ORÇAMENTO!$AF$7)/$H57*OFFSET(ORÇAMENTO!$X$15,ROW(AV57)-ROW(AV$15),0),
              ROUND(ROUND(OFFSET($P57,0,AV$13),15-13*ORÇAMENTO!$AF$7)*OFFSET(ORÇAMENTO!$W$15,ROW(AV57)-ROW(AV$15),0),15-13*ORÇAMENTO!$AF$11)),
         0)</f>
        <v>0</v>
      </c>
      <c r="AW57" s="453">
        <f ca="1">IF(AND($D57="Serviço",AW$12&lt;&gt;0,$H57&gt;0,OR(AUTOEVENTO&lt;&gt;"manual",$M57&lt;&gt;$A$15)),
        IF(Import.TipoArredondamento&lt;&gt;"TransfereGOV",
              ROUND(OFFSET($P57,0,AW$13),15-13*ORÇAMENTO!$AF$7)/$H57*OFFSET(ORÇAMENTO!$X$15,ROW(AW57)-ROW(AW$15),0),
              ROUND(ROUND(OFFSET($P57,0,AW$13),15-13*ORÇAMENTO!$AF$7)*OFFSET(ORÇAMENTO!$W$15,ROW(AW57)-ROW(AW$15),0),15-13*ORÇAMENTO!$AF$11)),
         0)</f>
        <v>0</v>
      </c>
      <c r="AX57" s="453">
        <f ca="1">IF(AND($D57="Serviço",AX$12&lt;&gt;0,$H57&gt;0,OR(AUTOEVENTO&lt;&gt;"manual",$M57&lt;&gt;$A$15)),
        IF(Import.TipoArredondamento&lt;&gt;"TransfereGOV",
              ROUND(OFFSET($P57,0,AX$13),15-13*ORÇAMENTO!$AF$7)/$H57*OFFSET(ORÇAMENTO!$X$15,ROW(AX57)-ROW(AX$15),0),
              ROUND(ROUND(OFFSET($P57,0,AX$13),15-13*ORÇAMENTO!$AF$7)*OFFSET(ORÇAMENTO!$W$15,ROW(AX57)-ROW(AX$15),0),15-13*ORÇAMENTO!$AF$11)),
         0)</f>
        <v>0</v>
      </c>
      <c r="AY57" s="453">
        <f ca="1">IF(AND($D57="Serviço",AY$12&lt;&gt;0,$H57&gt;0,OR(AUTOEVENTO&lt;&gt;"manual",$M57&lt;&gt;$A$15)),
        IF(Import.TipoArredondamento&lt;&gt;"TransfereGOV",
              ROUND(OFFSET($P57,0,AY$13),15-13*ORÇAMENTO!$AF$7)/$H57*OFFSET(ORÇAMENTO!$X$15,ROW(AY57)-ROW(AY$15),0),
              ROUND(ROUND(OFFSET($P57,0,AY$13),15-13*ORÇAMENTO!$AF$7)*OFFSET(ORÇAMENTO!$W$15,ROW(AY57)-ROW(AY$15),0),15-13*ORÇAMENTO!$AF$11)),
         0)</f>
        <v>0</v>
      </c>
      <c r="AZ57" s="453">
        <f ca="1">IF(AND($D57="Serviço",AZ$12&lt;&gt;0,$H57&gt;0,OR(AUTOEVENTO&lt;&gt;"manual",$M57&lt;&gt;$A$15)),
        IF(Import.TipoArredondamento&lt;&gt;"TransfereGOV",
              ROUND(OFFSET($P57,0,AZ$13),15-13*ORÇAMENTO!$AF$7)/$H57*OFFSET(ORÇAMENTO!$X$15,ROW(AZ57)-ROW(AZ$15),0),
              ROUND(ROUND(OFFSET($P57,0,AZ$13),15-13*ORÇAMENTO!$AF$7)*OFFSET(ORÇAMENTO!$W$15,ROW(AZ57)-ROW(AZ$15),0),15-13*ORÇAMENTO!$AF$11)),
         0)</f>
        <v>0</v>
      </c>
      <c r="BA57" s="453">
        <f ca="1">IF(AND($D57="Serviço",BA$12&lt;&gt;0,$H57&gt;0,OR(AUTOEVENTO&lt;&gt;"manual",$M57&lt;&gt;$A$15)),
        IF(Import.TipoArredondamento&lt;&gt;"TransfereGOV",
              ROUND(OFFSET($P57,0,BA$13),15-13*ORÇAMENTO!$AF$7)/$H57*OFFSET(ORÇAMENTO!$X$15,ROW(BA57)-ROW(BA$15),0),
              ROUND(ROUND(OFFSET($P57,0,BA$13),15-13*ORÇAMENTO!$AF$7)*OFFSET(ORÇAMENTO!$W$15,ROW(BA57)-ROW(BA$15),0),15-13*ORÇAMENTO!$AF$11)),
         0)</f>
        <v>0</v>
      </c>
      <c r="BB57" s="453">
        <f ca="1">IF(AND($D57="Serviço",BB$12&lt;&gt;0,$H57&gt;0,OR(AUTOEVENTO&lt;&gt;"manual",$M57&lt;&gt;$A$15)),
        IF(Import.TipoArredondamento&lt;&gt;"TransfereGOV",
              ROUND(OFFSET($P57,0,BB$13),15-13*ORÇAMENTO!$AF$7)/$H57*OFFSET(ORÇAMENTO!$X$15,ROW(BB57)-ROW(BB$15),0),
              ROUND(ROUND(OFFSET($P57,0,BB$13),15-13*ORÇAMENTO!$AF$7)*OFFSET(ORÇAMENTO!$W$15,ROW(BB57)-ROW(BB$15),0),15-13*ORÇAMENTO!$AF$11)),
         0)</f>
        <v>0</v>
      </c>
      <c r="BC57" s="453">
        <f ca="1">IF(AND($D57="Serviço",BC$12&lt;&gt;0,$H57&gt;0,OR(AUTOEVENTO&lt;&gt;"manual",$M57&lt;&gt;$A$15)),
        IF(Import.TipoArredondamento&lt;&gt;"TransfereGOV",
              ROUND(OFFSET($P57,0,BC$13),15-13*ORÇAMENTO!$AF$7)/$H57*OFFSET(ORÇAMENTO!$X$15,ROW(BC57)-ROW(BC$15),0),
              ROUND(ROUND(OFFSET($P57,0,BC$13),15-13*ORÇAMENTO!$AF$7)*OFFSET(ORÇAMENTO!$W$15,ROW(BC57)-ROW(BC$15),0),15-13*ORÇAMENTO!$AF$11)),
         0)</f>
        <v>0</v>
      </c>
      <c r="BD57" s="453">
        <f ca="1">IF(AND($D57="Serviço",BD$12&lt;&gt;0,$H57&gt;0,OR(AUTOEVENTO&lt;&gt;"manual",$M57&lt;&gt;$A$15)),
        IF(Import.TipoArredondamento&lt;&gt;"TransfereGOV",
              ROUND(OFFSET($P57,0,BD$13),15-13*ORÇAMENTO!$AF$7)/$H57*OFFSET(ORÇAMENTO!$X$15,ROW(BD57)-ROW(BD$15),0),
              ROUND(ROUND(OFFSET($P57,0,BD$13),15-13*ORÇAMENTO!$AF$7)*OFFSET(ORÇAMENTO!$W$15,ROW(BD57)-ROW(BD$15),0),15-13*ORÇAMENTO!$AF$11)),
         0)</f>
        <v>0</v>
      </c>
      <c r="BE57" s="453">
        <f ca="1">IF(AND($D57="Serviço",BE$12&lt;&gt;0,$H57&gt;0,OR(AUTOEVENTO&lt;&gt;"manual",$M57&lt;&gt;$A$15)),
        IF(Import.TipoArredondamento&lt;&gt;"TransfereGOV",
              ROUND(OFFSET($P57,0,BE$13),15-13*ORÇAMENTO!$AF$7)/$H57*OFFSET(ORÇAMENTO!$X$15,ROW(BE57)-ROW(BE$15),0),
              ROUND(ROUND(OFFSET($P57,0,BE$13),15-13*ORÇAMENTO!$AF$7)*OFFSET(ORÇAMENTO!$W$15,ROW(BE57)-ROW(BE$15),0),15-13*ORÇAMENTO!$AF$11)),
         0)</f>
        <v>0</v>
      </c>
      <c r="BF57" s="453">
        <f ca="1">IF(AND($D57="Serviço",BF$12&lt;&gt;0,$H57&gt;0,OR(AUTOEVENTO&lt;&gt;"manual",$M57&lt;&gt;$A$15)),
        IF(Import.TipoArredondamento&lt;&gt;"TransfereGOV",
              ROUND(OFFSET($P57,0,BF$13),15-13*ORÇAMENTO!$AF$7)/$H57*OFFSET(ORÇAMENTO!$X$15,ROW(BF57)-ROW(BF$15),0),
              ROUND(ROUND(OFFSET($P57,0,BF$13),15-13*ORÇAMENTO!$AF$7)*OFFSET(ORÇAMENTO!$W$15,ROW(BF57)-ROW(BF$15),0),15-13*ORÇAMENTO!$AF$11)),
         0)</f>
        <v>0</v>
      </c>
      <c r="BG57" s="453">
        <f ca="1">IF(AND($D57="Serviço",BG$12&lt;&gt;0,$H57&gt;0,OR(AUTOEVENTO&lt;&gt;"manual",$M57&lt;&gt;$A$15)),
        IF(Import.TipoArredondamento&lt;&gt;"TransfereGOV",
              ROUND(OFFSET($P57,0,BG$13),15-13*ORÇAMENTO!$AF$7)/$H57*OFFSET(ORÇAMENTO!$X$15,ROW(BG57)-ROW(BG$15),0),
              ROUND(ROUND(OFFSET($P57,0,BG$13),15-13*ORÇAMENTO!$AF$7)*OFFSET(ORÇAMENTO!$W$15,ROW(BG57)-ROW(BG$15),0),15-13*ORÇAMENTO!$AF$11)),
         0)</f>
        <v>0</v>
      </c>
      <c r="BH57" s="453">
        <f ca="1">IF(AND($D57="Serviço",BH$12&lt;&gt;0,$H57&gt;0,OR(AUTOEVENTO&lt;&gt;"manual",$M57&lt;&gt;$A$15)),
        IF(Import.TipoArredondamento&lt;&gt;"TransfereGOV",
              ROUND(OFFSET($P57,0,BH$13),15-13*ORÇAMENTO!$AF$7)/$H57*OFFSET(ORÇAMENTO!$X$15,ROW(BH57)-ROW(BH$15),0),
              ROUND(ROUND(OFFSET($P57,0,BH$13),15-13*ORÇAMENTO!$AF$7)*OFFSET(ORÇAMENTO!$W$15,ROW(BH57)-ROW(BH$15),0),15-13*ORÇAMENTO!$AF$11)),
         0)</f>
        <v>0</v>
      </c>
      <c r="BI57" s="453">
        <f ca="1">IF(AND($D57="Serviço",BI$12&lt;&gt;0,$H57&gt;0,OR(AUTOEVENTO&lt;&gt;"manual",$M57&lt;&gt;$A$15)),
        IF(Import.TipoArredondamento&lt;&gt;"TransfereGOV",
              ROUND(OFFSET($P57,0,BI$13),15-13*ORÇAMENTO!$AF$7)/$H57*OFFSET(ORÇAMENTO!$X$15,ROW(BI57)-ROW(BI$15),0),
              ROUND(ROUND(OFFSET($P57,0,BI$13),15-13*ORÇAMENTO!$AF$7)*OFFSET(ORÇAMENTO!$W$15,ROW(BI57)-ROW(BI$15),0),15-13*ORÇAMENTO!$AF$11)),
         0)</f>
        <v>0</v>
      </c>
      <c r="BJ57" s="453">
        <f ca="1">IF(AND($D57="Serviço",BJ$12&lt;&gt;0,$H57&gt;0,OR(AUTOEVENTO&lt;&gt;"manual",$M57&lt;&gt;$A$15)),
        IF(Import.TipoArredondamento&lt;&gt;"TransfereGOV",
              ROUND(OFFSET($P57,0,BJ$13),15-13*ORÇAMENTO!$AF$7)/$H57*OFFSET(ORÇAMENTO!$X$15,ROW(BJ57)-ROW(BJ$15),0),
              ROUND(ROUND(OFFSET($P57,0,BJ$13),15-13*ORÇAMENTO!$AF$7)*OFFSET(ORÇAMENTO!$W$15,ROW(BJ57)-ROW(BJ$15),0),15-13*ORÇAMENTO!$AF$11)),
         0)</f>
        <v>0</v>
      </c>
      <c r="BK57" s="453">
        <f ca="1">IF(AND($D57="Serviço",BK$12&lt;&gt;0,$H57&gt;0,OR(AUTOEVENTO&lt;&gt;"manual",$M57&lt;&gt;$A$15)),
        IF(Import.TipoArredondamento&lt;&gt;"TransfereGOV",
              ROUND(OFFSET($P57,0,BK$13),15-13*ORÇAMENTO!$AF$7)/$H57*OFFSET(ORÇAMENTO!$X$15,ROW(BK57)-ROW(BK$15),0),
              ROUND(ROUND(OFFSET($P57,0,BK$13),15-13*ORÇAMENTO!$AF$7)*OFFSET(ORÇAMENTO!$W$15,ROW(BK57)-ROW(BK$15),0),15-13*ORÇAMENTO!$AF$11)),
         0)</f>
        <v>0</v>
      </c>
      <c r="BL57" s="453">
        <f ca="1">IF(AND($D57="Serviço",BL$12&lt;&gt;0,$H57&gt;0,OR(AUTOEVENTO&lt;&gt;"manual",$M57&lt;&gt;$A$15)),
        IF(Import.TipoArredondamento&lt;&gt;"TransfereGOV",
              ROUND(OFFSET($P57,0,BL$13),15-13*ORÇAMENTO!$AF$7)/$H57*OFFSET(ORÇAMENTO!$X$15,ROW(BL57)-ROW(BL$15),0),
              ROUND(ROUND(OFFSET($P57,0,BL$13),15-13*ORÇAMENTO!$AF$7)*OFFSET(ORÇAMENTO!$W$15,ROW(BL57)-ROW(BL$15),0),15-13*ORÇAMENTO!$AF$11)),
         0)</f>
        <v>0</v>
      </c>
      <c r="BM57" s="453">
        <f ca="1">IF(AND($D57="Serviço",BM$12&lt;&gt;0,$H57&gt;0,OR(AUTOEVENTO&lt;&gt;"manual",$M57&lt;&gt;$A$15)),
        IF(Import.TipoArredondamento&lt;&gt;"TransfereGOV",
              ROUND(OFFSET($P57,0,BM$13),15-13*ORÇAMENTO!$AF$7)/$H57*OFFSET(ORÇAMENTO!$X$15,ROW(BM57)-ROW(BM$15),0),
              ROUND(ROUND(OFFSET($P57,0,BM$13),15-13*ORÇAMENTO!$AF$7)*OFFSET(ORÇAMENTO!$W$15,ROW(BM57)-ROW(BM$15),0),15-13*ORÇAMENTO!$AF$11)),
         0)</f>
        <v>0</v>
      </c>
      <c r="BN57" s="453">
        <f ca="1">IF(AND($D57="Serviço",BN$12&lt;&gt;0,$H57&gt;0,OR(AUTOEVENTO&lt;&gt;"manual",$M57&lt;&gt;$A$15)),
        IF(Import.TipoArredondamento&lt;&gt;"TransfereGOV",
              ROUND(OFFSET($P57,0,BN$13),15-13*ORÇAMENTO!$AF$7)/$H57*OFFSET(ORÇAMENTO!$X$15,ROW(BN57)-ROW(BN$15),0),
              ROUND(ROUND(OFFSET($P57,0,BN$13),15-13*ORÇAMENTO!$AF$7)*OFFSET(ORÇAMENTO!$W$15,ROW(BN57)-ROW(BN$15),0),15-13*ORÇAMENTO!$AF$11)),
         0)</f>
        <v>0</v>
      </c>
      <c r="BO57" s="453">
        <f ca="1">IF(AND($D57="Serviço",BO$12&lt;&gt;0,$H57&gt;0,OR(AUTOEVENTO&lt;&gt;"manual",$M57&lt;&gt;$A$15)),
        IF(Import.TipoArredondamento&lt;&gt;"TransfereGOV",
              ROUND(OFFSET($P57,0,BO$13),15-13*ORÇAMENTO!$AF$7)/$H57*OFFSET(ORÇAMENTO!$X$15,ROW(BO57)-ROW(BO$15),0),
              ROUND(ROUND(OFFSET($P57,0,BO$13),15-13*ORÇAMENTO!$AF$7)*OFFSET(ORÇAMENTO!$W$15,ROW(BO57)-ROW(BO$15),0),15-13*ORÇAMENTO!$AF$11)),
         0)</f>
        <v>0</v>
      </c>
      <c r="BP57" s="453">
        <f ca="1">IF(AND($D57="Serviço",BP$12&lt;&gt;0,$H57&gt;0,OR(AUTOEVENTO&lt;&gt;"manual",$M57&lt;&gt;$A$15)),
        IF(Import.TipoArredondamento&lt;&gt;"TransfereGOV",
              ROUND(OFFSET($P57,0,BP$13),15-13*ORÇAMENTO!$AF$7)/$H57*OFFSET(ORÇAMENTO!$X$15,ROW(BP57)-ROW(BP$15),0),
              ROUND(ROUND(OFFSET($P57,0,BP$13),15-13*ORÇAMENTO!$AF$7)*OFFSET(ORÇAMENTO!$W$15,ROW(BP57)-ROW(BP$15),0),15-13*ORÇAMENTO!$AF$11)),
         0)</f>
        <v>0</v>
      </c>
      <c r="BQ57" s="453">
        <f ca="1">IF(AND($D57="Serviço",BQ$12&lt;&gt;0,$H57&gt;0,OR(AUTOEVENTO&lt;&gt;"manual",$M57&lt;&gt;$A$15)),
        IF(Import.TipoArredondamento&lt;&gt;"TransfereGOV",
              ROUND(OFFSET($P57,0,BQ$13),15-13*ORÇAMENTO!$AF$7)/$H57*OFFSET(ORÇAMENTO!$X$15,ROW(BQ57)-ROW(BQ$15),0),
              ROUND(ROUND(OFFSET($P57,0,BQ$13),15-13*ORÇAMENTO!$AF$7)*OFFSET(ORÇAMENTO!$W$15,ROW(BQ57)-ROW(BQ$15),0),15-13*ORÇAMENTO!$AF$11)),
         0)</f>
        <v>0</v>
      </c>
      <c r="BS57" s="171">
        <f ca="1">IF(OR($D57&lt;&gt;"Serviço",AND(AUTOEVENTO="Manual",$M57=$A$15)),0,
         IF(OFFSET(CRONOPLE!$F$15,$M57-$A$15,BS$13)=0,10^12,OFFSET(CRONOPLE!$F$15,$M57-$A$15,BS$13)))</f>
        <v>1</v>
      </c>
      <c r="BT57" s="171">
        <f ca="1">IF(OR($D57&lt;&gt;"Serviço",AND(AUTOEVENTO="Manual",$M57=$A$15)),0,
         IF(OFFSET(CRONOPLE!$F$15,$M57-$A$15,BT$13)=0,10^12,OFFSET(CRONOPLE!$F$15,$M57-$A$15,BT$13)))</f>
        <v>2</v>
      </c>
      <c r="BU57" s="171">
        <f ca="1">IF(OR($D57&lt;&gt;"Serviço",AND(AUTOEVENTO="Manual",$M57=$A$15)),0,
         IF(OFFSET(CRONOPLE!$F$15,$M57-$A$15,BU$13)=0,10^12,OFFSET(CRONOPLE!$F$15,$M57-$A$15,BU$13)))</f>
        <v>3</v>
      </c>
      <c r="BV57" s="171">
        <f ca="1">IF(OR($D57&lt;&gt;"Serviço",AND(AUTOEVENTO="Manual",$M57=$A$15)),0,
         IF(OFFSET(CRONOPLE!$F$15,$M57-$A$15,BV$13)=0,10^12,OFFSET(CRONOPLE!$F$15,$M57-$A$15,BV$13)))</f>
        <v>4</v>
      </c>
      <c r="BW57" s="171">
        <f ca="1">IF(OR($D57&lt;&gt;"Serviço",AND(AUTOEVENTO="Manual",$M57=$A$15)),0,
         IF(OFFSET(CRONOPLE!$F$15,$M57-$A$15,BW$13)=0,10^12,OFFSET(CRONOPLE!$F$15,$M57-$A$15,BW$13)))</f>
        <v>5</v>
      </c>
      <c r="BX57" s="171">
        <f ca="1">IF(OR($D57&lt;&gt;"Serviço",AND(AUTOEVENTO="Manual",$M57=$A$15)),0,
         IF(OFFSET(CRONOPLE!$F$15,$M57-$A$15,BX$13)=0,10^12,OFFSET(CRONOPLE!$F$15,$M57-$A$15,BX$13)))</f>
        <v>6</v>
      </c>
      <c r="BY57" s="171">
        <f ca="1">IF(OR($D57&lt;&gt;"Serviço",AND(AUTOEVENTO="Manual",$M57=$A$15)),0,
         IF(OFFSET(CRONOPLE!$F$15,$M57-$A$15,BY$13)=0,10^12,OFFSET(CRONOPLE!$F$15,$M57-$A$15,BY$13)))</f>
        <v>7</v>
      </c>
      <c r="BZ57" s="171">
        <f ca="1">IF(OR($D57&lt;&gt;"Serviço",AND(AUTOEVENTO="Manual",$M57=$A$15)),0,
         IF(OFFSET(CRONOPLE!$F$15,$M57-$A$15,BZ$13)=0,10^12,OFFSET(CRONOPLE!$F$15,$M57-$A$15,BZ$13)))</f>
        <v>8</v>
      </c>
      <c r="CA57" s="171">
        <f ca="1">IF(OR($D57&lt;&gt;"Serviço",AND(AUTOEVENTO="Manual",$M57=$A$15)),0,
         IF(OFFSET(CRONOPLE!$F$15,$M57-$A$15,CA$13)=0,10^12,OFFSET(CRONOPLE!$F$15,$M57-$A$15,CA$13)))</f>
        <v>9</v>
      </c>
      <c r="CB57" s="171">
        <f ca="1">IF(OR($D57&lt;&gt;"Serviço",AND(AUTOEVENTO="Manual",$M57=$A$15)),0,
         IF(OFFSET(CRONOPLE!$F$15,$M57-$A$15,CB$13)=0,10^12,OFFSET(CRONOPLE!$F$15,$M57-$A$15,CB$13)))</f>
        <v>10</v>
      </c>
      <c r="CC57" s="171">
        <f ca="1">IF(OR($D57&lt;&gt;"Serviço",AND(AUTOEVENTO="Manual",$M57=$A$15)),0,
         IF(OFFSET(CRONOPLE!$F$15,$M57-$A$15,CC$13)=0,10^12,OFFSET(CRONOPLE!$F$15,$M57-$A$15,CC$13)))</f>
        <v>11</v>
      </c>
      <c r="CD57" s="171">
        <f ca="1">IF(OR($D57&lt;&gt;"Serviço",AND(AUTOEVENTO="Manual",$M57=$A$15)),0,
         IF(OFFSET(CRONOPLE!$F$15,$M57-$A$15,CD$13)=0,10^12,OFFSET(CRONOPLE!$F$15,$M57-$A$15,CD$13)))</f>
        <v>12</v>
      </c>
      <c r="CE57" s="171">
        <f ca="1">IF(OR($D57&lt;&gt;"Serviço",AND(AUTOEVENTO="Manual",$M57=$A$15)),0,
         IF(OFFSET(CRONOPLE!$F$15,$M57-$A$15,CE$13)=0,10^12,OFFSET(CRONOPLE!$F$15,$M57-$A$15,CE$13)))</f>
        <v>13</v>
      </c>
      <c r="CF57" s="171">
        <f ca="1">IF(OR($D57&lt;&gt;"Serviço",AND(AUTOEVENTO="Manual",$M57=$A$15)),0,
         IF(OFFSET(CRONOPLE!$F$15,$M57-$A$15,CF$13)=0,10^12,OFFSET(CRONOPLE!$F$15,$M57-$A$15,CF$13)))</f>
        <v>14</v>
      </c>
      <c r="CG57" s="171">
        <f ca="1">IF(OR($D57&lt;&gt;"Serviço",AND(AUTOEVENTO="Manual",$M57=$A$15)),0,
         IF(OFFSET(CRONOPLE!$F$15,$M57-$A$15,CG$13)=0,10^12,OFFSET(CRONOPLE!$F$15,$M57-$A$15,CG$13)))</f>
        <v>15</v>
      </c>
      <c r="CH57" s="171">
        <f ca="1">IF(OR($D57&lt;&gt;"Serviço",AND(AUTOEVENTO="Manual",$M57=$A$15)),0,
         IF(OFFSET(CRONOPLE!$F$15,$M57-$A$15,CH$13)=0,10^12,OFFSET(CRONOPLE!$F$15,$M57-$A$15,CH$13)))</f>
        <v>16</v>
      </c>
      <c r="CI57" s="171">
        <f ca="1">IF(OR($D57&lt;&gt;"Serviço",AND(AUTOEVENTO="Manual",$M57=$A$15)),0,
         IF(OFFSET(CRONOPLE!$F$15,$M57-$A$15,CI$13)=0,10^12,OFFSET(CRONOPLE!$F$15,$M57-$A$15,CI$13)))</f>
        <v>17</v>
      </c>
      <c r="CJ57" s="171">
        <f ca="1">IF(OR($D57&lt;&gt;"Serviço",AND(AUTOEVENTO="Manual",$M57=$A$15)),0,
         IF(OFFSET(CRONOPLE!$F$15,$M57-$A$15,CJ$13)=0,10^12,OFFSET(CRONOPLE!$F$15,$M57-$A$15,CJ$13)))</f>
        <v>18</v>
      </c>
      <c r="CK57" s="171">
        <f ca="1">IF(OR($D57&lt;&gt;"Serviço",AND(AUTOEVENTO="Manual",$M57=$A$15)),0,
         IF(OFFSET(CRONOPLE!$F$15,$M57-$A$15,CK$13)=0,10^12,OFFSET(CRONOPLE!$F$15,$M57-$A$15,CK$13)))</f>
        <v>19</v>
      </c>
      <c r="CL57" s="171">
        <f ca="1">IF(OR($D57&lt;&gt;"Serviço",AND(AUTOEVENTO="Manual",$M57=$A$15)),0,
         IF(OFFSET(CRONOPLE!$F$15,$M57-$A$15,CL$13)=0,10^12,OFFSET(CRONOPLE!$F$15,$M57-$A$15,CL$13)))</f>
        <v>20</v>
      </c>
      <c r="CM57" s="171">
        <f ca="1">IF(OR($D57&lt;&gt;"Serviço",AND(AUTOEVENTO="Manual",$M57=$A$15)),0,
         IF(OFFSET(CRONOPLE!$F$15,$M57-$A$15,CM$13)=0,10^12,OFFSET(CRONOPLE!$F$15,$M57-$A$15,CM$13)))</f>
        <v>1000000000000</v>
      </c>
      <c r="CN57" s="171">
        <f ca="1">IF(OR($D57&lt;&gt;"Serviço",AND(AUTOEVENTO="Manual",$M57=$A$15)),0,
         IF(OFFSET(CRONOPLE!$F$15,$M57-$A$15,CN$13)=0,10^12,OFFSET(CRONOPLE!$F$15,$M57-$A$15,CN$13)))</f>
        <v>1000000000000</v>
      </c>
      <c r="CO57" s="171">
        <f ca="1">IF(OR($D57&lt;&gt;"Serviço",AND(AUTOEVENTO="Manual",$M57=$A$15)),0,
         IF(OFFSET(CRONOPLE!$F$15,$M57-$A$15,CO$13)=0,10^12,OFFSET(CRONOPLE!$F$15,$M57-$A$15,CO$13)))</f>
        <v>1000000000000</v>
      </c>
      <c r="CP57" s="171">
        <f ca="1">IF(OR($D57&lt;&gt;"Serviço",AND(AUTOEVENTO="Manual",$M57=$A$15)),0,
         IF(OFFSET(CRONOPLE!$F$15,$M57-$A$15,CP$13)=0,10^12,OFFSET(CRONOPLE!$F$15,$M57-$A$15,CP$13)))</f>
        <v>1000000000000</v>
      </c>
      <c r="CQ57" s="171">
        <f ca="1">IF(OR($D57&lt;&gt;"Serviço",AND(AUTOEVENTO="Manual",$M57=$A$15)),0,
         IF(OFFSET(CRONOPLE!$F$15,$M57-$A$15,CQ$13)=0,10^12,OFFSET(CRONOPLE!$F$15,$M57-$A$15,CQ$13)))</f>
        <v>1000000000000</v>
      </c>
      <c r="CR57" s="171">
        <f ca="1">IF(OR($D57&lt;&gt;"Serviço",AND(AUTOEVENTO="Manual",$M57=$A$15)),0,
         IF(OFFSET(CRONOPLE!$F$15,$M57-$A$15,CR$13)=0,10^12,OFFSET(CRONOPLE!$F$15,$M57-$A$15,CR$13)))</f>
        <v>1000000000000</v>
      </c>
      <c r="CT57" s="172" cm="1">
        <f t="array" aca="1" ref="CT57" ca="1">IF(OR($D57&lt;&gt;"Serviço",AND(AUTOEVENTO="Manual",$M57=$A$15),$M57&gt;(ROW(PLE.lastrow)-ROW(PLE.firstrow))),0,
           IF(OFFSET(PLE!$G$15,$M57-$A$15,CT$13)="",10^12,OFFSET(PLE!$G$15,$M57-$A$15,CT$13)))</f>
        <v>1000000000000</v>
      </c>
      <c r="CU57" s="172" cm="1">
        <f t="array" aca="1" ref="CU57" ca="1">IF(OR($D57&lt;&gt;"Serviço",AND(AUTOEVENTO="Manual",$M57=$A$15),$M57&gt;(ROW(PLE.lastrow)-ROW(PLE.firstrow))),0,
           IF(OFFSET(PLE!$G$15,$M57-$A$15,CU$13)="",10^12,OFFSET(PLE!$G$15,$M57-$A$15,CU$13)))</f>
        <v>1000000000000</v>
      </c>
      <c r="CV57" s="172" cm="1">
        <f t="array" aca="1" ref="CV57" ca="1">IF(OR($D57&lt;&gt;"Serviço",AND(AUTOEVENTO="Manual",$M57=$A$15),$M57&gt;(ROW(PLE.lastrow)-ROW(PLE.firstrow))),0,
           IF(OFFSET(PLE!$G$15,$M57-$A$15,CV$13)="",10^12,OFFSET(PLE!$G$15,$M57-$A$15,CV$13)))</f>
        <v>1000000000000</v>
      </c>
      <c r="CW57" s="172" cm="1">
        <f t="array" aca="1" ref="CW57" ca="1">IF(OR($D57&lt;&gt;"Serviço",AND(AUTOEVENTO="Manual",$M57=$A$15),$M57&gt;(ROW(PLE.lastrow)-ROW(PLE.firstrow))),0,
           IF(OFFSET(PLE!$G$15,$M57-$A$15,CW$13)="",10^12,OFFSET(PLE!$G$15,$M57-$A$15,CW$13)))</f>
        <v>1000000000000</v>
      </c>
      <c r="CX57" s="172" cm="1">
        <f t="array" aca="1" ref="CX57" ca="1">IF(OR($D57&lt;&gt;"Serviço",AND(AUTOEVENTO="Manual",$M57=$A$15),$M57&gt;(ROW(PLE.lastrow)-ROW(PLE.firstrow))),0,
           IF(OFFSET(PLE!$G$15,$M57-$A$15,CX$13)="",10^12,OFFSET(PLE!$G$15,$M57-$A$15,CX$13)))</f>
        <v>1000000000000</v>
      </c>
      <c r="CY57" s="172" cm="1">
        <f t="array" aca="1" ref="CY57" ca="1">IF(OR($D57&lt;&gt;"Serviço",AND(AUTOEVENTO="Manual",$M57=$A$15),$M57&gt;(ROW(PLE.lastrow)-ROW(PLE.firstrow))),0,
           IF(OFFSET(PLE!$G$15,$M57-$A$15,CY$13)="",10^12,OFFSET(PLE!$G$15,$M57-$A$15,CY$13)))</f>
        <v>1000000000000</v>
      </c>
      <c r="CZ57" s="172" cm="1">
        <f t="array" aca="1" ref="CZ57" ca="1">IF(OR($D57&lt;&gt;"Serviço",AND(AUTOEVENTO="Manual",$M57=$A$15),$M57&gt;(ROW(PLE.lastrow)-ROW(PLE.firstrow))),0,
           IF(OFFSET(PLE!$G$15,$M57-$A$15,CZ$13)="",10^12,OFFSET(PLE!$G$15,$M57-$A$15,CZ$13)))</f>
        <v>1000000000000</v>
      </c>
      <c r="DA57" s="172" cm="1">
        <f t="array" aca="1" ref="DA57" ca="1">IF(OR($D57&lt;&gt;"Serviço",AND(AUTOEVENTO="Manual",$M57=$A$15),$M57&gt;(ROW(PLE.lastrow)-ROW(PLE.firstrow))),0,
           IF(OFFSET(PLE!$G$15,$M57-$A$15,DA$13)="",10^12,OFFSET(PLE!$G$15,$M57-$A$15,DA$13)))</f>
        <v>1000000000000</v>
      </c>
      <c r="DB57" s="172" cm="1">
        <f t="array" aca="1" ref="DB57" ca="1">IF(OR($D57&lt;&gt;"Serviço",AND(AUTOEVENTO="Manual",$M57=$A$15),$M57&gt;(ROW(PLE.lastrow)-ROW(PLE.firstrow))),0,
           IF(OFFSET(PLE!$G$15,$M57-$A$15,DB$13)="",10^12,OFFSET(PLE!$G$15,$M57-$A$15,DB$13)))</f>
        <v>1000000000000</v>
      </c>
      <c r="DC57" s="172" cm="1">
        <f t="array" aca="1" ref="DC57" ca="1">IF(OR($D57&lt;&gt;"Serviço",AND(AUTOEVENTO="Manual",$M57=$A$15),$M57&gt;(ROW(PLE.lastrow)-ROW(PLE.firstrow))),0,
           IF(OFFSET(PLE!$G$15,$M57-$A$15,DC$13)="",10^12,OFFSET(PLE!$G$15,$M57-$A$15,DC$13)))</f>
        <v>1000000000000</v>
      </c>
      <c r="DD57" s="172" cm="1">
        <f t="array" aca="1" ref="DD57" ca="1">IF(OR($D57&lt;&gt;"Serviço",AND(AUTOEVENTO="Manual",$M57=$A$15),$M57&gt;(ROW(PLE.lastrow)-ROW(PLE.firstrow))),0,
           IF(OFFSET(PLE!$G$15,$M57-$A$15,DD$13)="",10^12,OFFSET(PLE!$G$15,$M57-$A$15,DD$13)))</f>
        <v>1000000000000</v>
      </c>
      <c r="DE57" s="172" cm="1">
        <f t="array" aca="1" ref="DE57" ca="1">IF(OR($D57&lt;&gt;"Serviço",AND(AUTOEVENTO="Manual",$M57=$A$15),$M57&gt;(ROW(PLE.lastrow)-ROW(PLE.firstrow))),0,
           IF(OFFSET(PLE!$G$15,$M57-$A$15,DE$13)="",10^12,OFFSET(PLE!$G$15,$M57-$A$15,DE$13)))</f>
        <v>1000000000000</v>
      </c>
      <c r="DF57" s="172" cm="1">
        <f t="array" aca="1" ref="DF57" ca="1">IF(OR($D57&lt;&gt;"Serviço",AND(AUTOEVENTO="Manual",$M57=$A$15),$M57&gt;(ROW(PLE.lastrow)-ROW(PLE.firstrow))),0,
           IF(OFFSET(PLE!$G$15,$M57-$A$15,DF$13)="",10^12,OFFSET(PLE!$G$15,$M57-$A$15,DF$13)))</f>
        <v>1000000000000</v>
      </c>
      <c r="DG57" s="172" cm="1">
        <f t="array" aca="1" ref="DG57" ca="1">IF(OR($D57&lt;&gt;"Serviço",AND(AUTOEVENTO="Manual",$M57=$A$15),$M57&gt;(ROW(PLE.lastrow)-ROW(PLE.firstrow))),0,
           IF(OFFSET(PLE!$G$15,$M57-$A$15,DG$13)="",10^12,OFFSET(PLE!$G$15,$M57-$A$15,DG$13)))</f>
        <v>1000000000000</v>
      </c>
      <c r="DH57" s="172" cm="1">
        <f t="array" aca="1" ref="DH57" ca="1">IF(OR($D57&lt;&gt;"Serviço",AND(AUTOEVENTO="Manual",$M57=$A$15),$M57&gt;(ROW(PLE.lastrow)-ROW(PLE.firstrow))),0,
           IF(OFFSET(PLE!$G$15,$M57-$A$15,DH$13)="",10^12,OFFSET(PLE!$G$15,$M57-$A$15,DH$13)))</f>
        <v>1000000000000</v>
      </c>
      <c r="DI57" s="172" cm="1">
        <f t="array" aca="1" ref="DI57" ca="1">IF(OR($D57&lt;&gt;"Serviço",AND(AUTOEVENTO="Manual",$M57=$A$15),$M57&gt;(ROW(PLE.lastrow)-ROW(PLE.firstrow))),0,
           IF(OFFSET(PLE!$G$15,$M57-$A$15,DI$13)="",10^12,OFFSET(PLE!$G$15,$M57-$A$15,DI$13)))</f>
        <v>1000000000000</v>
      </c>
      <c r="DJ57" s="172" cm="1">
        <f t="array" aca="1" ref="DJ57" ca="1">IF(OR($D57&lt;&gt;"Serviço",AND(AUTOEVENTO="Manual",$M57=$A$15),$M57&gt;(ROW(PLE.lastrow)-ROW(PLE.firstrow))),0,
           IF(OFFSET(PLE!$G$15,$M57-$A$15,DJ$13)="",10^12,OFFSET(PLE!$G$15,$M57-$A$15,DJ$13)))</f>
        <v>1000000000000</v>
      </c>
      <c r="DK57" s="172" cm="1">
        <f t="array" aca="1" ref="DK57" ca="1">IF(OR($D57&lt;&gt;"Serviço",AND(AUTOEVENTO="Manual",$M57=$A$15),$M57&gt;(ROW(PLE.lastrow)-ROW(PLE.firstrow))),0,
           IF(OFFSET(PLE!$G$15,$M57-$A$15,DK$13)="",10^12,OFFSET(PLE!$G$15,$M57-$A$15,DK$13)))</f>
        <v>1000000000000</v>
      </c>
      <c r="DL57" s="172" cm="1">
        <f t="array" aca="1" ref="DL57" ca="1">IF(OR($D57&lt;&gt;"Serviço",AND(AUTOEVENTO="Manual",$M57=$A$15),$M57&gt;(ROW(PLE.lastrow)-ROW(PLE.firstrow))),0,
           IF(OFFSET(PLE!$G$15,$M57-$A$15,DL$13)="",10^12,OFFSET(PLE!$G$15,$M57-$A$15,DL$13)))</f>
        <v>1000000000000</v>
      </c>
      <c r="DM57" s="172" cm="1">
        <f t="array" aca="1" ref="DM57" ca="1">IF(OR($D57&lt;&gt;"Serviço",AND(AUTOEVENTO="Manual",$M57=$A$15),$M57&gt;(ROW(PLE.lastrow)-ROW(PLE.firstrow))),0,
           IF(OFFSET(PLE!$G$15,$M57-$A$15,DM$13)="",10^12,OFFSET(PLE!$G$15,$M57-$A$15,DM$13)))</f>
        <v>1000000000000</v>
      </c>
      <c r="DN57" s="172" cm="1">
        <f t="array" aca="1" ref="DN57" ca="1">IF(OR($D57&lt;&gt;"Serviço",AND(AUTOEVENTO="Manual",$M57=$A$15),$M57&gt;(ROW(PLE.lastrow)-ROW(PLE.firstrow))),0,
           IF(OFFSET(PLE!$G$15,$M57-$A$15,DN$13)="",10^12,OFFSET(PLE!$G$15,$M57-$A$15,DN$13)))</f>
        <v>1000000000000</v>
      </c>
      <c r="DO57" s="172" cm="1">
        <f t="array" aca="1" ref="DO57" ca="1">IF(OR($D57&lt;&gt;"Serviço",AND(AUTOEVENTO="Manual",$M57=$A$15),$M57&gt;(ROW(PLE.lastrow)-ROW(PLE.firstrow))),0,
           IF(OFFSET(PLE!$G$15,$M57-$A$15,DO$13)="",10^12,OFFSET(PLE!$G$15,$M57-$A$15,DO$13)))</f>
        <v>1000000000000</v>
      </c>
      <c r="DP57" s="172" cm="1">
        <f t="array" aca="1" ref="DP57" ca="1">IF(OR($D57&lt;&gt;"Serviço",AND(AUTOEVENTO="Manual",$M57=$A$15),$M57&gt;(ROW(PLE.lastrow)-ROW(PLE.firstrow))),0,
           IF(OFFSET(PLE!$G$15,$M57-$A$15,DP$13)="",10^12,OFFSET(PLE!$G$15,$M57-$A$15,DP$13)))</f>
        <v>1000000000000</v>
      </c>
      <c r="DQ57" s="172" cm="1">
        <f t="array" aca="1" ref="DQ57" ca="1">IF(OR($D57&lt;&gt;"Serviço",AND(AUTOEVENTO="Manual",$M57=$A$15),$M57&gt;(ROW(PLE.lastrow)-ROW(PLE.firstrow))),0,
           IF(OFFSET(PLE!$G$15,$M57-$A$15,DQ$13)="",10^12,OFFSET(PLE!$G$15,$M57-$A$15,DQ$13)))</f>
        <v>1000000000000</v>
      </c>
      <c r="DR57" s="172" cm="1">
        <f t="array" aca="1" ref="DR57" ca="1">IF(OR($D57&lt;&gt;"Serviço",AND(AUTOEVENTO="Manual",$M57=$A$15),$M57&gt;(ROW(PLE.lastrow)-ROW(PLE.firstrow))),0,
           IF(OFFSET(PLE!$G$15,$M57-$A$15,DR$13)="",10^12,OFFSET(PLE!$G$15,$M57-$A$15,DR$13)))</f>
        <v>1000000000000</v>
      </c>
      <c r="DS57" s="172" cm="1">
        <f t="array" aca="1" ref="DS57" ca="1">IF(OR($D57&lt;&gt;"Serviço",AND(AUTOEVENTO="Manual",$M57=$A$15),$M57&gt;(ROW(PLE.lastrow)-ROW(PLE.firstrow))),0,
           IF(OFFSET(PLE!$G$15,$M57-$A$15,DS$13)="",10^12,OFFSET(PLE!$G$15,$M57-$A$15,DS$13)))</f>
        <v>1000000000000</v>
      </c>
    </row>
    <row r="58" spans="1:123" ht="38.25" x14ac:dyDescent="0.2">
      <c r="A58" s="7">
        <f t="shared" ca="1" si="11"/>
        <v>4</v>
      </c>
      <c r="B58" s="7" t="str">
        <f ca="1">OFFSET(ORÇAMENTO!C$15,$L58,0)</f>
        <v>S</v>
      </c>
      <c r="C58" s="7" t="str">
        <f ca="1">OFFSET(ORÇAMENTO!L$15,$L58,0)</f>
        <v/>
      </c>
      <c r="D58" s="116" t="str">
        <f ca="1">OFFSET(ORÇAMENTO!N$15,$L58,0)</f>
        <v>Serviço</v>
      </c>
      <c r="E58" s="117" t="str">
        <f ca="1">OFFSET(ORÇAMENTO!O$15,$L58,0)</f>
        <v>-</v>
      </c>
      <c r="F58" s="163" t="str">
        <f ca="1">OFFSET(ORÇAMENTO!R$15,$L58,0)</f>
        <v>(Código não identificado nas referências)</v>
      </c>
      <c r="G58" s="164" t="str">
        <f ca="1">IF($D58&lt;&gt;"Serviço","",OFFSET(ORÇAMENTO!S$15,$L58,0))</f>
        <v>-</v>
      </c>
      <c r="H58" s="122" cm="1">
        <f t="array" aca="1" ref="H58" ca="1">IF($D58&lt;&gt;"Serviço",0,IF(ACOMPANHAMENTO="BM",ROUND(OFFSET(ORÇAMENTO!AJ$15,$L58,0),15-13*ORÇAMENTO!$AF$7),IF(IFERROR(CÁLCULO.FrentesPreenchidas,0)=0,0,SUM(ROUND(OFFSET($P58,0,1,1,CÁLCULO.FrentesPreenchidas),15-13*ORÇAMENTO!$AF$7)))))</f>
        <v>115.39999999999995</v>
      </c>
      <c r="I58" s="468" t="s">
        <v>1235</v>
      </c>
      <c r="J58" s="651" t="str" cm="1">
        <f t="array" aca="1" ref="J58" ca="1">IF(OR(B58&lt;&gt;"S",CÁLCULO.FrentesPreenchidas=0),"",IF(AND(ACOMPANHAMENTO="PLE",AUTOEVENTO="Manual",OR(H58&gt;0,ORÇAMENTO!AC58="QUANT."),OR(K58="",M58=0,N58="")),"►E",IF(AND(ACOMPANHAMENTO="PLE",ORÇAMENTO!AC58="QUANT."),"►Q",IF(AND(ACOMPANHAMENTO="PLE",H58&lt;&gt;SUMPRODUCT(($Q$1:$AQ$1=1)*ROUND(Q58:AQ58,15))),"►S",IF(AND(COUNTIF($P$11:$AQ$11,"▼")=0,H58&gt;0,I58=""),"◄M","")))))</f>
        <v/>
      </c>
      <c r="K58" s="652" t="s">
        <v>1252</v>
      </c>
      <c r="L58" s="165">
        <f t="shared" ca="1" si="12"/>
        <v>43</v>
      </c>
      <c r="M58" s="166">
        <f ca="1">IF($D58&lt;&gt;"Serviço","",
          IF(AUTOEVENTO="manual",$A58,
                IF(ISERROR(MATCH($A58,$A$15:OFFSET($A58,-1,0),0)),MAX($M$15:OFFSET(M58,-1,0))+1,
                      INDEX($M$15:OFFSET(M58,-1,0),MATCH($A58,$A$15:OFFSET($A58,-1,0),0)))))</f>
        <v>4</v>
      </c>
      <c r="N58" s="167" t="str">
        <f ca="1">IF($D58&lt;&gt;"Serviço","",
         IF(AUTOEVENTO="Manual",
                IF($A58=0,"&lt;-- defina o número do agrupador",
                       OFFSET(EVENTOS!$D$15,$A58-$A$15,0)),
                OFFSET($F$15,$A58,0)))</f>
        <v>SUPRAESTRUTURA</v>
      </c>
      <c r="O58" s="168"/>
      <c r="Q58" s="168">
        <v>5.77</v>
      </c>
      <c r="R58" s="169">
        <v>5.77</v>
      </c>
      <c r="S58" s="169">
        <v>5.77</v>
      </c>
      <c r="T58" s="169">
        <v>5.77</v>
      </c>
      <c r="U58" s="169">
        <v>5.77</v>
      </c>
      <c r="V58" s="169">
        <v>5.77</v>
      </c>
      <c r="W58" s="169">
        <v>5.77</v>
      </c>
      <c r="X58" s="169">
        <v>5.77</v>
      </c>
      <c r="Y58" s="169">
        <v>5.77</v>
      </c>
      <c r="Z58" s="170">
        <v>5.77</v>
      </c>
      <c r="AA58" s="169">
        <v>5.77</v>
      </c>
      <c r="AB58" s="169">
        <v>5.77</v>
      </c>
      <c r="AC58" s="169">
        <v>5.77</v>
      </c>
      <c r="AD58" s="169">
        <v>5.77</v>
      </c>
      <c r="AE58" s="169">
        <v>5.77</v>
      </c>
      <c r="AF58" s="169">
        <v>5.77</v>
      </c>
      <c r="AG58" s="169">
        <v>5.77</v>
      </c>
      <c r="AH58" s="170">
        <v>5.77</v>
      </c>
      <c r="AI58" s="169">
        <v>5.77</v>
      </c>
      <c r="AJ58" s="169">
        <v>5.77</v>
      </c>
      <c r="AK58" s="169"/>
      <c r="AL58" s="169"/>
      <c r="AM58" s="169"/>
      <c r="AN58" s="169"/>
      <c r="AO58" s="169"/>
      <c r="AP58" s="170"/>
      <c r="AR58" s="453">
        <f ca="1">IF(AND($D58="Serviço",AR$12&lt;&gt;0,$H58&gt;0,OR(AUTOEVENTO&lt;&gt;"manual",$M58&lt;&gt;$A$15)),
        IF(Import.TipoArredondamento&lt;&gt;"TransfereGOV",
              ROUND(OFFSET($P58,0,AR$13),15-13*ORÇAMENTO!$AF$7)/$H58*OFFSET(ORÇAMENTO!$X$15,ROW(AR58)-ROW(AR$15),0),
              ROUND(ROUND(OFFSET($P58,0,AR$13),15-13*ORÇAMENTO!$AF$7)*OFFSET(ORÇAMENTO!$W$15,ROW(AR58)-ROW(AR$15),0),15-13*ORÇAMENTO!$AF$11)),
         0)</f>
        <v>0</v>
      </c>
      <c r="AS58" s="453">
        <f ca="1">IF(AND($D58="Serviço",AS$12&lt;&gt;0,$H58&gt;0,OR(AUTOEVENTO&lt;&gt;"manual",$M58&lt;&gt;$A$15)),
        IF(Import.TipoArredondamento&lt;&gt;"TransfereGOV",
              ROUND(OFFSET($P58,0,AS$13),15-13*ORÇAMENTO!$AF$7)/$H58*OFFSET(ORÇAMENTO!$X$15,ROW(AS58)-ROW(AS$15),0),
              ROUND(ROUND(OFFSET($P58,0,AS$13),15-13*ORÇAMENTO!$AF$7)*OFFSET(ORÇAMENTO!$W$15,ROW(AS58)-ROW(AS$15),0),15-13*ORÇAMENTO!$AF$11)),
         0)</f>
        <v>0</v>
      </c>
      <c r="AT58" s="453">
        <f ca="1">IF(AND($D58="Serviço",AT$12&lt;&gt;0,$H58&gt;0,OR(AUTOEVENTO&lt;&gt;"manual",$M58&lt;&gt;$A$15)),
        IF(Import.TipoArredondamento&lt;&gt;"TransfereGOV",
              ROUND(OFFSET($P58,0,AT$13),15-13*ORÇAMENTO!$AF$7)/$H58*OFFSET(ORÇAMENTO!$X$15,ROW(AT58)-ROW(AT$15),0),
              ROUND(ROUND(OFFSET($P58,0,AT$13),15-13*ORÇAMENTO!$AF$7)*OFFSET(ORÇAMENTO!$W$15,ROW(AT58)-ROW(AT$15),0),15-13*ORÇAMENTO!$AF$11)),
         0)</f>
        <v>0</v>
      </c>
      <c r="AU58" s="453">
        <f ca="1">IF(AND($D58="Serviço",AU$12&lt;&gt;0,$H58&gt;0,OR(AUTOEVENTO&lt;&gt;"manual",$M58&lt;&gt;$A$15)),
        IF(Import.TipoArredondamento&lt;&gt;"TransfereGOV",
              ROUND(OFFSET($P58,0,AU$13),15-13*ORÇAMENTO!$AF$7)/$H58*OFFSET(ORÇAMENTO!$X$15,ROW(AU58)-ROW(AU$15),0),
              ROUND(ROUND(OFFSET($P58,0,AU$13),15-13*ORÇAMENTO!$AF$7)*OFFSET(ORÇAMENTO!$W$15,ROW(AU58)-ROW(AU$15),0),15-13*ORÇAMENTO!$AF$11)),
         0)</f>
        <v>0</v>
      </c>
      <c r="AV58" s="453">
        <f ca="1">IF(AND($D58="Serviço",AV$12&lt;&gt;0,$H58&gt;0,OR(AUTOEVENTO&lt;&gt;"manual",$M58&lt;&gt;$A$15)),
        IF(Import.TipoArredondamento&lt;&gt;"TransfereGOV",
              ROUND(OFFSET($P58,0,AV$13),15-13*ORÇAMENTO!$AF$7)/$H58*OFFSET(ORÇAMENTO!$X$15,ROW(AV58)-ROW(AV$15),0),
              ROUND(ROUND(OFFSET($P58,0,AV$13),15-13*ORÇAMENTO!$AF$7)*OFFSET(ORÇAMENTO!$W$15,ROW(AV58)-ROW(AV$15),0),15-13*ORÇAMENTO!$AF$11)),
         0)</f>
        <v>0</v>
      </c>
      <c r="AW58" s="453">
        <f ca="1">IF(AND($D58="Serviço",AW$12&lt;&gt;0,$H58&gt;0,OR(AUTOEVENTO&lt;&gt;"manual",$M58&lt;&gt;$A$15)),
        IF(Import.TipoArredondamento&lt;&gt;"TransfereGOV",
              ROUND(OFFSET($P58,0,AW$13),15-13*ORÇAMENTO!$AF$7)/$H58*OFFSET(ORÇAMENTO!$X$15,ROW(AW58)-ROW(AW$15),0),
              ROUND(ROUND(OFFSET($P58,0,AW$13),15-13*ORÇAMENTO!$AF$7)*OFFSET(ORÇAMENTO!$W$15,ROW(AW58)-ROW(AW$15),0),15-13*ORÇAMENTO!$AF$11)),
         0)</f>
        <v>0</v>
      </c>
      <c r="AX58" s="453">
        <f ca="1">IF(AND($D58="Serviço",AX$12&lt;&gt;0,$H58&gt;0,OR(AUTOEVENTO&lt;&gt;"manual",$M58&lt;&gt;$A$15)),
        IF(Import.TipoArredondamento&lt;&gt;"TransfereGOV",
              ROUND(OFFSET($P58,0,AX$13),15-13*ORÇAMENTO!$AF$7)/$H58*OFFSET(ORÇAMENTO!$X$15,ROW(AX58)-ROW(AX$15),0),
              ROUND(ROUND(OFFSET($P58,0,AX$13),15-13*ORÇAMENTO!$AF$7)*OFFSET(ORÇAMENTO!$W$15,ROW(AX58)-ROW(AX$15),0),15-13*ORÇAMENTO!$AF$11)),
         0)</f>
        <v>0</v>
      </c>
      <c r="AY58" s="453">
        <f ca="1">IF(AND($D58="Serviço",AY$12&lt;&gt;0,$H58&gt;0,OR(AUTOEVENTO&lt;&gt;"manual",$M58&lt;&gt;$A$15)),
        IF(Import.TipoArredondamento&lt;&gt;"TransfereGOV",
              ROUND(OFFSET($P58,0,AY$13),15-13*ORÇAMENTO!$AF$7)/$H58*OFFSET(ORÇAMENTO!$X$15,ROW(AY58)-ROW(AY$15),0),
              ROUND(ROUND(OFFSET($P58,0,AY$13),15-13*ORÇAMENTO!$AF$7)*OFFSET(ORÇAMENTO!$W$15,ROW(AY58)-ROW(AY$15),0),15-13*ORÇAMENTO!$AF$11)),
         0)</f>
        <v>0</v>
      </c>
      <c r="AZ58" s="453">
        <f ca="1">IF(AND($D58="Serviço",AZ$12&lt;&gt;0,$H58&gt;0,OR(AUTOEVENTO&lt;&gt;"manual",$M58&lt;&gt;$A$15)),
        IF(Import.TipoArredondamento&lt;&gt;"TransfereGOV",
              ROUND(OFFSET($P58,0,AZ$13),15-13*ORÇAMENTO!$AF$7)/$H58*OFFSET(ORÇAMENTO!$X$15,ROW(AZ58)-ROW(AZ$15),0),
              ROUND(ROUND(OFFSET($P58,0,AZ$13),15-13*ORÇAMENTO!$AF$7)*OFFSET(ORÇAMENTO!$W$15,ROW(AZ58)-ROW(AZ$15),0),15-13*ORÇAMENTO!$AF$11)),
         0)</f>
        <v>0</v>
      </c>
      <c r="BA58" s="453">
        <f ca="1">IF(AND($D58="Serviço",BA$12&lt;&gt;0,$H58&gt;0,OR(AUTOEVENTO&lt;&gt;"manual",$M58&lt;&gt;$A$15)),
        IF(Import.TipoArredondamento&lt;&gt;"TransfereGOV",
              ROUND(OFFSET($P58,0,BA$13),15-13*ORÇAMENTO!$AF$7)/$H58*OFFSET(ORÇAMENTO!$X$15,ROW(BA58)-ROW(BA$15),0),
              ROUND(ROUND(OFFSET($P58,0,BA$13),15-13*ORÇAMENTO!$AF$7)*OFFSET(ORÇAMENTO!$W$15,ROW(BA58)-ROW(BA$15),0),15-13*ORÇAMENTO!$AF$11)),
         0)</f>
        <v>0</v>
      </c>
      <c r="BB58" s="453">
        <f ca="1">IF(AND($D58="Serviço",BB$12&lt;&gt;0,$H58&gt;0,OR(AUTOEVENTO&lt;&gt;"manual",$M58&lt;&gt;$A$15)),
        IF(Import.TipoArredondamento&lt;&gt;"TransfereGOV",
              ROUND(OFFSET($P58,0,BB$13),15-13*ORÇAMENTO!$AF$7)/$H58*OFFSET(ORÇAMENTO!$X$15,ROW(BB58)-ROW(BB$15),0),
              ROUND(ROUND(OFFSET($P58,0,BB$13),15-13*ORÇAMENTO!$AF$7)*OFFSET(ORÇAMENTO!$W$15,ROW(BB58)-ROW(BB$15),0),15-13*ORÇAMENTO!$AF$11)),
         0)</f>
        <v>0</v>
      </c>
      <c r="BC58" s="453">
        <f ca="1">IF(AND($D58="Serviço",BC$12&lt;&gt;0,$H58&gt;0,OR(AUTOEVENTO&lt;&gt;"manual",$M58&lt;&gt;$A$15)),
        IF(Import.TipoArredondamento&lt;&gt;"TransfereGOV",
              ROUND(OFFSET($P58,0,BC$13),15-13*ORÇAMENTO!$AF$7)/$H58*OFFSET(ORÇAMENTO!$X$15,ROW(BC58)-ROW(BC$15),0),
              ROUND(ROUND(OFFSET($P58,0,BC$13),15-13*ORÇAMENTO!$AF$7)*OFFSET(ORÇAMENTO!$W$15,ROW(BC58)-ROW(BC$15),0),15-13*ORÇAMENTO!$AF$11)),
         0)</f>
        <v>0</v>
      </c>
      <c r="BD58" s="453">
        <f ca="1">IF(AND($D58="Serviço",BD$12&lt;&gt;0,$H58&gt;0,OR(AUTOEVENTO&lt;&gt;"manual",$M58&lt;&gt;$A$15)),
        IF(Import.TipoArredondamento&lt;&gt;"TransfereGOV",
              ROUND(OFFSET($P58,0,BD$13),15-13*ORÇAMENTO!$AF$7)/$H58*OFFSET(ORÇAMENTO!$X$15,ROW(BD58)-ROW(BD$15),0),
              ROUND(ROUND(OFFSET($P58,0,BD$13),15-13*ORÇAMENTO!$AF$7)*OFFSET(ORÇAMENTO!$W$15,ROW(BD58)-ROW(BD$15),0),15-13*ORÇAMENTO!$AF$11)),
         0)</f>
        <v>0</v>
      </c>
      <c r="BE58" s="453">
        <f ca="1">IF(AND($D58="Serviço",BE$12&lt;&gt;0,$H58&gt;0,OR(AUTOEVENTO&lt;&gt;"manual",$M58&lt;&gt;$A$15)),
        IF(Import.TipoArredondamento&lt;&gt;"TransfereGOV",
              ROUND(OFFSET($P58,0,BE$13),15-13*ORÇAMENTO!$AF$7)/$H58*OFFSET(ORÇAMENTO!$X$15,ROW(BE58)-ROW(BE$15),0),
              ROUND(ROUND(OFFSET($P58,0,BE$13),15-13*ORÇAMENTO!$AF$7)*OFFSET(ORÇAMENTO!$W$15,ROW(BE58)-ROW(BE$15),0),15-13*ORÇAMENTO!$AF$11)),
         0)</f>
        <v>0</v>
      </c>
      <c r="BF58" s="453">
        <f ca="1">IF(AND($D58="Serviço",BF$12&lt;&gt;0,$H58&gt;0,OR(AUTOEVENTO&lt;&gt;"manual",$M58&lt;&gt;$A$15)),
        IF(Import.TipoArredondamento&lt;&gt;"TransfereGOV",
              ROUND(OFFSET($P58,0,BF$13),15-13*ORÇAMENTO!$AF$7)/$H58*OFFSET(ORÇAMENTO!$X$15,ROW(BF58)-ROW(BF$15),0),
              ROUND(ROUND(OFFSET($P58,0,BF$13),15-13*ORÇAMENTO!$AF$7)*OFFSET(ORÇAMENTO!$W$15,ROW(BF58)-ROW(BF$15),0),15-13*ORÇAMENTO!$AF$11)),
         0)</f>
        <v>0</v>
      </c>
      <c r="BG58" s="453">
        <f ca="1">IF(AND($D58="Serviço",BG$12&lt;&gt;0,$H58&gt;0,OR(AUTOEVENTO&lt;&gt;"manual",$M58&lt;&gt;$A$15)),
        IF(Import.TipoArredondamento&lt;&gt;"TransfereGOV",
              ROUND(OFFSET($P58,0,BG$13),15-13*ORÇAMENTO!$AF$7)/$H58*OFFSET(ORÇAMENTO!$X$15,ROW(BG58)-ROW(BG$15),0),
              ROUND(ROUND(OFFSET($P58,0,BG$13),15-13*ORÇAMENTO!$AF$7)*OFFSET(ORÇAMENTO!$W$15,ROW(BG58)-ROW(BG$15),0),15-13*ORÇAMENTO!$AF$11)),
         0)</f>
        <v>0</v>
      </c>
      <c r="BH58" s="453">
        <f ca="1">IF(AND($D58="Serviço",BH$12&lt;&gt;0,$H58&gt;0,OR(AUTOEVENTO&lt;&gt;"manual",$M58&lt;&gt;$A$15)),
        IF(Import.TipoArredondamento&lt;&gt;"TransfereGOV",
              ROUND(OFFSET($P58,0,BH$13),15-13*ORÇAMENTO!$AF$7)/$H58*OFFSET(ORÇAMENTO!$X$15,ROW(BH58)-ROW(BH$15),0),
              ROUND(ROUND(OFFSET($P58,0,BH$13),15-13*ORÇAMENTO!$AF$7)*OFFSET(ORÇAMENTO!$W$15,ROW(BH58)-ROW(BH$15),0),15-13*ORÇAMENTO!$AF$11)),
         0)</f>
        <v>0</v>
      </c>
      <c r="BI58" s="453">
        <f ca="1">IF(AND($D58="Serviço",BI$12&lt;&gt;0,$H58&gt;0,OR(AUTOEVENTO&lt;&gt;"manual",$M58&lt;&gt;$A$15)),
        IF(Import.TipoArredondamento&lt;&gt;"TransfereGOV",
              ROUND(OFFSET($P58,0,BI$13),15-13*ORÇAMENTO!$AF$7)/$H58*OFFSET(ORÇAMENTO!$X$15,ROW(BI58)-ROW(BI$15),0),
              ROUND(ROUND(OFFSET($P58,0,BI$13),15-13*ORÇAMENTO!$AF$7)*OFFSET(ORÇAMENTO!$W$15,ROW(BI58)-ROW(BI$15),0),15-13*ORÇAMENTO!$AF$11)),
         0)</f>
        <v>0</v>
      </c>
      <c r="BJ58" s="453">
        <f ca="1">IF(AND($D58="Serviço",BJ$12&lt;&gt;0,$H58&gt;0,OR(AUTOEVENTO&lt;&gt;"manual",$M58&lt;&gt;$A$15)),
        IF(Import.TipoArredondamento&lt;&gt;"TransfereGOV",
              ROUND(OFFSET($P58,0,BJ$13),15-13*ORÇAMENTO!$AF$7)/$H58*OFFSET(ORÇAMENTO!$X$15,ROW(BJ58)-ROW(BJ$15),0),
              ROUND(ROUND(OFFSET($P58,0,BJ$13),15-13*ORÇAMENTO!$AF$7)*OFFSET(ORÇAMENTO!$W$15,ROW(BJ58)-ROW(BJ$15),0),15-13*ORÇAMENTO!$AF$11)),
         0)</f>
        <v>0</v>
      </c>
      <c r="BK58" s="453">
        <f ca="1">IF(AND($D58="Serviço",BK$12&lt;&gt;0,$H58&gt;0,OR(AUTOEVENTO&lt;&gt;"manual",$M58&lt;&gt;$A$15)),
        IF(Import.TipoArredondamento&lt;&gt;"TransfereGOV",
              ROUND(OFFSET($P58,0,BK$13),15-13*ORÇAMENTO!$AF$7)/$H58*OFFSET(ORÇAMENTO!$X$15,ROW(BK58)-ROW(BK$15),0),
              ROUND(ROUND(OFFSET($P58,0,BK$13),15-13*ORÇAMENTO!$AF$7)*OFFSET(ORÇAMENTO!$W$15,ROW(BK58)-ROW(BK$15),0),15-13*ORÇAMENTO!$AF$11)),
         0)</f>
        <v>0</v>
      </c>
      <c r="BL58" s="453">
        <f ca="1">IF(AND($D58="Serviço",BL$12&lt;&gt;0,$H58&gt;0,OR(AUTOEVENTO&lt;&gt;"manual",$M58&lt;&gt;$A$15)),
        IF(Import.TipoArredondamento&lt;&gt;"TransfereGOV",
              ROUND(OFFSET($P58,0,BL$13),15-13*ORÇAMENTO!$AF$7)/$H58*OFFSET(ORÇAMENTO!$X$15,ROW(BL58)-ROW(BL$15),0),
              ROUND(ROUND(OFFSET($P58,0,BL$13),15-13*ORÇAMENTO!$AF$7)*OFFSET(ORÇAMENTO!$W$15,ROW(BL58)-ROW(BL$15),0),15-13*ORÇAMENTO!$AF$11)),
         0)</f>
        <v>0</v>
      </c>
      <c r="BM58" s="453">
        <f ca="1">IF(AND($D58="Serviço",BM$12&lt;&gt;0,$H58&gt;0,OR(AUTOEVENTO&lt;&gt;"manual",$M58&lt;&gt;$A$15)),
        IF(Import.TipoArredondamento&lt;&gt;"TransfereGOV",
              ROUND(OFFSET($P58,0,BM$13),15-13*ORÇAMENTO!$AF$7)/$H58*OFFSET(ORÇAMENTO!$X$15,ROW(BM58)-ROW(BM$15),0),
              ROUND(ROUND(OFFSET($P58,0,BM$13),15-13*ORÇAMENTO!$AF$7)*OFFSET(ORÇAMENTO!$W$15,ROW(BM58)-ROW(BM$15),0),15-13*ORÇAMENTO!$AF$11)),
         0)</f>
        <v>0</v>
      </c>
      <c r="BN58" s="453">
        <f ca="1">IF(AND($D58="Serviço",BN$12&lt;&gt;0,$H58&gt;0,OR(AUTOEVENTO&lt;&gt;"manual",$M58&lt;&gt;$A$15)),
        IF(Import.TipoArredondamento&lt;&gt;"TransfereGOV",
              ROUND(OFFSET($P58,0,BN$13),15-13*ORÇAMENTO!$AF$7)/$H58*OFFSET(ORÇAMENTO!$X$15,ROW(BN58)-ROW(BN$15),0),
              ROUND(ROUND(OFFSET($P58,0,BN$13),15-13*ORÇAMENTO!$AF$7)*OFFSET(ORÇAMENTO!$W$15,ROW(BN58)-ROW(BN$15),0),15-13*ORÇAMENTO!$AF$11)),
         0)</f>
        <v>0</v>
      </c>
      <c r="BO58" s="453">
        <f ca="1">IF(AND($D58="Serviço",BO$12&lt;&gt;0,$H58&gt;0,OR(AUTOEVENTO&lt;&gt;"manual",$M58&lt;&gt;$A$15)),
        IF(Import.TipoArredondamento&lt;&gt;"TransfereGOV",
              ROUND(OFFSET($P58,0,BO$13),15-13*ORÇAMENTO!$AF$7)/$H58*OFFSET(ORÇAMENTO!$X$15,ROW(BO58)-ROW(BO$15),0),
              ROUND(ROUND(OFFSET($P58,0,BO$13),15-13*ORÇAMENTO!$AF$7)*OFFSET(ORÇAMENTO!$W$15,ROW(BO58)-ROW(BO$15),0),15-13*ORÇAMENTO!$AF$11)),
         0)</f>
        <v>0</v>
      </c>
      <c r="BP58" s="453">
        <f ca="1">IF(AND($D58="Serviço",BP$12&lt;&gt;0,$H58&gt;0,OR(AUTOEVENTO&lt;&gt;"manual",$M58&lt;&gt;$A$15)),
        IF(Import.TipoArredondamento&lt;&gt;"TransfereGOV",
              ROUND(OFFSET($P58,0,BP$13),15-13*ORÇAMENTO!$AF$7)/$H58*OFFSET(ORÇAMENTO!$X$15,ROW(BP58)-ROW(BP$15),0),
              ROUND(ROUND(OFFSET($P58,0,BP$13),15-13*ORÇAMENTO!$AF$7)*OFFSET(ORÇAMENTO!$W$15,ROW(BP58)-ROW(BP$15),0),15-13*ORÇAMENTO!$AF$11)),
         0)</f>
        <v>0</v>
      </c>
      <c r="BQ58" s="453">
        <f ca="1">IF(AND($D58="Serviço",BQ$12&lt;&gt;0,$H58&gt;0,OR(AUTOEVENTO&lt;&gt;"manual",$M58&lt;&gt;$A$15)),
        IF(Import.TipoArredondamento&lt;&gt;"TransfereGOV",
              ROUND(OFFSET($P58,0,BQ$13),15-13*ORÇAMENTO!$AF$7)/$H58*OFFSET(ORÇAMENTO!$X$15,ROW(BQ58)-ROW(BQ$15),0),
              ROUND(ROUND(OFFSET($P58,0,BQ$13),15-13*ORÇAMENTO!$AF$7)*OFFSET(ORÇAMENTO!$W$15,ROW(BQ58)-ROW(BQ$15),0),15-13*ORÇAMENTO!$AF$11)),
         0)</f>
        <v>0</v>
      </c>
      <c r="BS58" s="171">
        <f ca="1">IF(OR($D58&lt;&gt;"Serviço",AND(AUTOEVENTO="Manual",$M58=$A$15)),0,
         IF(OFFSET(CRONOPLE!$F$15,$M58-$A$15,BS$13)=0,10^12,OFFSET(CRONOPLE!$F$15,$M58-$A$15,BS$13)))</f>
        <v>1</v>
      </c>
      <c r="BT58" s="171">
        <f ca="1">IF(OR($D58&lt;&gt;"Serviço",AND(AUTOEVENTO="Manual",$M58=$A$15)),0,
         IF(OFFSET(CRONOPLE!$F$15,$M58-$A$15,BT$13)=0,10^12,OFFSET(CRONOPLE!$F$15,$M58-$A$15,BT$13)))</f>
        <v>2</v>
      </c>
      <c r="BU58" s="171">
        <f ca="1">IF(OR($D58&lt;&gt;"Serviço",AND(AUTOEVENTO="Manual",$M58=$A$15)),0,
         IF(OFFSET(CRONOPLE!$F$15,$M58-$A$15,BU$13)=0,10^12,OFFSET(CRONOPLE!$F$15,$M58-$A$15,BU$13)))</f>
        <v>3</v>
      </c>
      <c r="BV58" s="171">
        <f ca="1">IF(OR($D58&lt;&gt;"Serviço",AND(AUTOEVENTO="Manual",$M58=$A$15)),0,
         IF(OFFSET(CRONOPLE!$F$15,$M58-$A$15,BV$13)=0,10^12,OFFSET(CRONOPLE!$F$15,$M58-$A$15,BV$13)))</f>
        <v>4</v>
      </c>
      <c r="BW58" s="171">
        <f ca="1">IF(OR($D58&lt;&gt;"Serviço",AND(AUTOEVENTO="Manual",$M58=$A$15)),0,
         IF(OFFSET(CRONOPLE!$F$15,$M58-$A$15,BW$13)=0,10^12,OFFSET(CRONOPLE!$F$15,$M58-$A$15,BW$13)))</f>
        <v>5</v>
      </c>
      <c r="BX58" s="171">
        <f ca="1">IF(OR($D58&lt;&gt;"Serviço",AND(AUTOEVENTO="Manual",$M58=$A$15)),0,
         IF(OFFSET(CRONOPLE!$F$15,$M58-$A$15,BX$13)=0,10^12,OFFSET(CRONOPLE!$F$15,$M58-$A$15,BX$13)))</f>
        <v>6</v>
      </c>
      <c r="BY58" s="171">
        <f ca="1">IF(OR($D58&lt;&gt;"Serviço",AND(AUTOEVENTO="Manual",$M58=$A$15)),0,
         IF(OFFSET(CRONOPLE!$F$15,$M58-$A$15,BY$13)=0,10^12,OFFSET(CRONOPLE!$F$15,$M58-$A$15,BY$13)))</f>
        <v>7</v>
      </c>
      <c r="BZ58" s="171">
        <f ca="1">IF(OR($D58&lt;&gt;"Serviço",AND(AUTOEVENTO="Manual",$M58=$A$15)),0,
         IF(OFFSET(CRONOPLE!$F$15,$M58-$A$15,BZ$13)=0,10^12,OFFSET(CRONOPLE!$F$15,$M58-$A$15,BZ$13)))</f>
        <v>8</v>
      </c>
      <c r="CA58" s="171">
        <f ca="1">IF(OR($D58&lt;&gt;"Serviço",AND(AUTOEVENTO="Manual",$M58=$A$15)),0,
         IF(OFFSET(CRONOPLE!$F$15,$M58-$A$15,CA$13)=0,10^12,OFFSET(CRONOPLE!$F$15,$M58-$A$15,CA$13)))</f>
        <v>9</v>
      </c>
      <c r="CB58" s="171">
        <f ca="1">IF(OR($D58&lt;&gt;"Serviço",AND(AUTOEVENTO="Manual",$M58=$A$15)),0,
         IF(OFFSET(CRONOPLE!$F$15,$M58-$A$15,CB$13)=0,10^12,OFFSET(CRONOPLE!$F$15,$M58-$A$15,CB$13)))</f>
        <v>10</v>
      </c>
      <c r="CC58" s="171">
        <f ca="1">IF(OR($D58&lt;&gt;"Serviço",AND(AUTOEVENTO="Manual",$M58=$A$15)),0,
         IF(OFFSET(CRONOPLE!$F$15,$M58-$A$15,CC$13)=0,10^12,OFFSET(CRONOPLE!$F$15,$M58-$A$15,CC$13)))</f>
        <v>11</v>
      </c>
      <c r="CD58" s="171">
        <f ca="1">IF(OR($D58&lt;&gt;"Serviço",AND(AUTOEVENTO="Manual",$M58=$A$15)),0,
         IF(OFFSET(CRONOPLE!$F$15,$M58-$A$15,CD$13)=0,10^12,OFFSET(CRONOPLE!$F$15,$M58-$A$15,CD$13)))</f>
        <v>12</v>
      </c>
      <c r="CE58" s="171">
        <f ca="1">IF(OR($D58&lt;&gt;"Serviço",AND(AUTOEVENTO="Manual",$M58=$A$15)),0,
         IF(OFFSET(CRONOPLE!$F$15,$M58-$A$15,CE$13)=0,10^12,OFFSET(CRONOPLE!$F$15,$M58-$A$15,CE$13)))</f>
        <v>13</v>
      </c>
      <c r="CF58" s="171">
        <f ca="1">IF(OR($D58&lt;&gt;"Serviço",AND(AUTOEVENTO="Manual",$M58=$A$15)),0,
         IF(OFFSET(CRONOPLE!$F$15,$M58-$A$15,CF$13)=0,10^12,OFFSET(CRONOPLE!$F$15,$M58-$A$15,CF$13)))</f>
        <v>14</v>
      </c>
      <c r="CG58" s="171">
        <f ca="1">IF(OR($D58&lt;&gt;"Serviço",AND(AUTOEVENTO="Manual",$M58=$A$15)),0,
         IF(OFFSET(CRONOPLE!$F$15,$M58-$A$15,CG$13)=0,10^12,OFFSET(CRONOPLE!$F$15,$M58-$A$15,CG$13)))</f>
        <v>15</v>
      </c>
      <c r="CH58" s="171">
        <f ca="1">IF(OR($D58&lt;&gt;"Serviço",AND(AUTOEVENTO="Manual",$M58=$A$15)),0,
         IF(OFFSET(CRONOPLE!$F$15,$M58-$A$15,CH$13)=0,10^12,OFFSET(CRONOPLE!$F$15,$M58-$A$15,CH$13)))</f>
        <v>16</v>
      </c>
      <c r="CI58" s="171">
        <f ca="1">IF(OR($D58&lt;&gt;"Serviço",AND(AUTOEVENTO="Manual",$M58=$A$15)),0,
         IF(OFFSET(CRONOPLE!$F$15,$M58-$A$15,CI$13)=0,10^12,OFFSET(CRONOPLE!$F$15,$M58-$A$15,CI$13)))</f>
        <v>17</v>
      </c>
      <c r="CJ58" s="171">
        <f ca="1">IF(OR($D58&lt;&gt;"Serviço",AND(AUTOEVENTO="Manual",$M58=$A$15)),0,
         IF(OFFSET(CRONOPLE!$F$15,$M58-$A$15,CJ$13)=0,10^12,OFFSET(CRONOPLE!$F$15,$M58-$A$15,CJ$13)))</f>
        <v>18</v>
      </c>
      <c r="CK58" s="171">
        <f ca="1">IF(OR($D58&lt;&gt;"Serviço",AND(AUTOEVENTO="Manual",$M58=$A$15)),0,
         IF(OFFSET(CRONOPLE!$F$15,$M58-$A$15,CK$13)=0,10^12,OFFSET(CRONOPLE!$F$15,$M58-$A$15,CK$13)))</f>
        <v>19</v>
      </c>
      <c r="CL58" s="171">
        <f ca="1">IF(OR($D58&lt;&gt;"Serviço",AND(AUTOEVENTO="Manual",$M58=$A$15)),0,
         IF(OFFSET(CRONOPLE!$F$15,$M58-$A$15,CL$13)=0,10^12,OFFSET(CRONOPLE!$F$15,$M58-$A$15,CL$13)))</f>
        <v>20</v>
      </c>
      <c r="CM58" s="171">
        <f ca="1">IF(OR($D58&lt;&gt;"Serviço",AND(AUTOEVENTO="Manual",$M58=$A$15)),0,
         IF(OFFSET(CRONOPLE!$F$15,$M58-$A$15,CM$13)=0,10^12,OFFSET(CRONOPLE!$F$15,$M58-$A$15,CM$13)))</f>
        <v>1000000000000</v>
      </c>
      <c r="CN58" s="171">
        <f ca="1">IF(OR($D58&lt;&gt;"Serviço",AND(AUTOEVENTO="Manual",$M58=$A$15)),0,
         IF(OFFSET(CRONOPLE!$F$15,$M58-$A$15,CN$13)=0,10^12,OFFSET(CRONOPLE!$F$15,$M58-$A$15,CN$13)))</f>
        <v>1000000000000</v>
      </c>
      <c r="CO58" s="171">
        <f ca="1">IF(OR($D58&lt;&gt;"Serviço",AND(AUTOEVENTO="Manual",$M58=$A$15)),0,
         IF(OFFSET(CRONOPLE!$F$15,$M58-$A$15,CO$13)=0,10^12,OFFSET(CRONOPLE!$F$15,$M58-$A$15,CO$13)))</f>
        <v>1000000000000</v>
      </c>
      <c r="CP58" s="171">
        <f ca="1">IF(OR($D58&lt;&gt;"Serviço",AND(AUTOEVENTO="Manual",$M58=$A$15)),0,
         IF(OFFSET(CRONOPLE!$F$15,$M58-$A$15,CP$13)=0,10^12,OFFSET(CRONOPLE!$F$15,$M58-$A$15,CP$13)))</f>
        <v>1000000000000</v>
      </c>
      <c r="CQ58" s="171">
        <f ca="1">IF(OR($D58&lt;&gt;"Serviço",AND(AUTOEVENTO="Manual",$M58=$A$15)),0,
         IF(OFFSET(CRONOPLE!$F$15,$M58-$A$15,CQ$13)=0,10^12,OFFSET(CRONOPLE!$F$15,$M58-$A$15,CQ$13)))</f>
        <v>1000000000000</v>
      </c>
      <c r="CR58" s="171">
        <f ca="1">IF(OR($D58&lt;&gt;"Serviço",AND(AUTOEVENTO="Manual",$M58=$A$15)),0,
         IF(OFFSET(CRONOPLE!$F$15,$M58-$A$15,CR$13)=0,10^12,OFFSET(CRONOPLE!$F$15,$M58-$A$15,CR$13)))</f>
        <v>1000000000000</v>
      </c>
      <c r="CT58" s="172" cm="1">
        <f t="array" aca="1" ref="CT58" ca="1">IF(OR($D58&lt;&gt;"Serviço",AND(AUTOEVENTO="Manual",$M58=$A$15),$M58&gt;(ROW(PLE.lastrow)-ROW(PLE.firstrow))),0,
           IF(OFFSET(PLE!$G$15,$M58-$A$15,CT$13)="",10^12,OFFSET(PLE!$G$15,$M58-$A$15,CT$13)))</f>
        <v>1000000000000</v>
      </c>
      <c r="CU58" s="172" cm="1">
        <f t="array" aca="1" ref="CU58" ca="1">IF(OR($D58&lt;&gt;"Serviço",AND(AUTOEVENTO="Manual",$M58=$A$15),$M58&gt;(ROW(PLE.lastrow)-ROW(PLE.firstrow))),0,
           IF(OFFSET(PLE!$G$15,$M58-$A$15,CU$13)="",10^12,OFFSET(PLE!$G$15,$M58-$A$15,CU$13)))</f>
        <v>1000000000000</v>
      </c>
      <c r="CV58" s="172" cm="1">
        <f t="array" aca="1" ref="CV58" ca="1">IF(OR($D58&lt;&gt;"Serviço",AND(AUTOEVENTO="Manual",$M58=$A$15),$M58&gt;(ROW(PLE.lastrow)-ROW(PLE.firstrow))),0,
           IF(OFFSET(PLE!$G$15,$M58-$A$15,CV$13)="",10^12,OFFSET(PLE!$G$15,$M58-$A$15,CV$13)))</f>
        <v>1000000000000</v>
      </c>
      <c r="CW58" s="172" cm="1">
        <f t="array" aca="1" ref="CW58" ca="1">IF(OR($D58&lt;&gt;"Serviço",AND(AUTOEVENTO="Manual",$M58=$A$15),$M58&gt;(ROW(PLE.lastrow)-ROW(PLE.firstrow))),0,
           IF(OFFSET(PLE!$G$15,$M58-$A$15,CW$13)="",10^12,OFFSET(PLE!$G$15,$M58-$A$15,CW$13)))</f>
        <v>1000000000000</v>
      </c>
      <c r="CX58" s="172" cm="1">
        <f t="array" aca="1" ref="CX58" ca="1">IF(OR($D58&lt;&gt;"Serviço",AND(AUTOEVENTO="Manual",$M58=$A$15),$M58&gt;(ROW(PLE.lastrow)-ROW(PLE.firstrow))),0,
           IF(OFFSET(PLE!$G$15,$M58-$A$15,CX$13)="",10^12,OFFSET(PLE!$G$15,$M58-$A$15,CX$13)))</f>
        <v>1000000000000</v>
      </c>
      <c r="CY58" s="172" cm="1">
        <f t="array" aca="1" ref="CY58" ca="1">IF(OR($D58&lt;&gt;"Serviço",AND(AUTOEVENTO="Manual",$M58=$A$15),$M58&gt;(ROW(PLE.lastrow)-ROW(PLE.firstrow))),0,
           IF(OFFSET(PLE!$G$15,$M58-$A$15,CY$13)="",10^12,OFFSET(PLE!$G$15,$M58-$A$15,CY$13)))</f>
        <v>1000000000000</v>
      </c>
      <c r="CZ58" s="172" cm="1">
        <f t="array" aca="1" ref="CZ58" ca="1">IF(OR($D58&lt;&gt;"Serviço",AND(AUTOEVENTO="Manual",$M58=$A$15),$M58&gt;(ROW(PLE.lastrow)-ROW(PLE.firstrow))),0,
           IF(OFFSET(PLE!$G$15,$M58-$A$15,CZ$13)="",10^12,OFFSET(PLE!$G$15,$M58-$A$15,CZ$13)))</f>
        <v>1000000000000</v>
      </c>
      <c r="DA58" s="172" cm="1">
        <f t="array" aca="1" ref="DA58" ca="1">IF(OR($D58&lt;&gt;"Serviço",AND(AUTOEVENTO="Manual",$M58=$A$15),$M58&gt;(ROW(PLE.lastrow)-ROW(PLE.firstrow))),0,
           IF(OFFSET(PLE!$G$15,$M58-$A$15,DA$13)="",10^12,OFFSET(PLE!$G$15,$M58-$A$15,DA$13)))</f>
        <v>1000000000000</v>
      </c>
      <c r="DB58" s="172" cm="1">
        <f t="array" aca="1" ref="DB58" ca="1">IF(OR($D58&lt;&gt;"Serviço",AND(AUTOEVENTO="Manual",$M58=$A$15),$M58&gt;(ROW(PLE.lastrow)-ROW(PLE.firstrow))),0,
           IF(OFFSET(PLE!$G$15,$M58-$A$15,DB$13)="",10^12,OFFSET(PLE!$G$15,$M58-$A$15,DB$13)))</f>
        <v>1000000000000</v>
      </c>
      <c r="DC58" s="172" cm="1">
        <f t="array" aca="1" ref="DC58" ca="1">IF(OR($D58&lt;&gt;"Serviço",AND(AUTOEVENTO="Manual",$M58=$A$15),$M58&gt;(ROW(PLE.lastrow)-ROW(PLE.firstrow))),0,
           IF(OFFSET(PLE!$G$15,$M58-$A$15,DC$13)="",10^12,OFFSET(PLE!$G$15,$M58-$A$15,DC$13)))</f>
        <v>1000000000000</v>
      </c>
      <c r="DD58" s="172" cm="1">
        <f t="array" aca="1" ref="DD58" ca="1">IF(OR($D58&lt;&gt;"Serviço",AND(AUTOEVENTO="Manual",$M58=$A$15),$M58&gt;(ROW(PLE.lastrow)-ROW(PLE.firstrow))),0,
           IF(OFFSET(PLE!$G$15,$M58-$A$15,DD$13)="",10^12,OFFSET(PLE!$G$15,$M58-$A$15,DD$13)))</f>
        <v>1000000000000</v>
      </c>
      <c r="DE58" s="172" cm="1">
        <f t="array" aca="1" ref="DE58" ca="1">IF(OR($D58&lt;&gt;"Serviço",AND(AUTOEVENTO="Manual",$M58=$A$15),$M58&gt;(ROW(PLE.lastrow)-ROW(PLE.firstrow))),0,
           IF(OFFSET(PLE!$G$15,$M58-$A$15,DE$13)="",10^12,OFFSET(PLE!$G$15,$M58-$A$15,DE$13)))</f>
        <v>1000000000000</v>
      </c>
      <c r="DF58" s="172" cm="1">
        <f t="array" aca="1" ref="DF58" ca="1">IF(OR($D58&lt;&gt;"Serviço",AND(AUTOEVENTO="Manual",$M58=$A$15),$M58&gt;(ROW(PLE.lastrow)-ROW(PLE.firstrow))),0,
           IF(OFFSET(PLE!$G$15,$M58-$A$15,DF$13)="",10^12,OFFSET(PLE!$G$15,$M58-$A$15,DF$13)))</f>
        <v>1000000000000</v>
      </c>
      <c r="DG58" s="172" cm="1">
        <f t="array" aca="1" ref="DG58" ca="1">IF(OR($D58&lt;&gt;"Serviço",AND(AUTOEVENTO="Manual",$M58=$A$15),$M58&gt;(ROW(PLE.lastrow)-ROW(PLE.firstrow))),0,
           IF(OFFSET(PLE!$G$15,$M58-$A$15,DG$13)="",10^12,OFFSET(PLE!$G$15,$M58-$A$15,DG$13)))</f>
        <v>1000000000000</v>
      </c>
      <c r="DH58" s="172" cm="1">
        <f t="array" aca="1" ref="DH58" ca="1">IF(OR($D58&lt;&gt;"Serviço",AND(AUTOEVENTO="Manual",$M58=$A$15),$M58&gt;(ROW(PLE.lastrow)-ROW(PLE.firstrow))),0,
           IF(OFFSET(PLE!$G$15,$M58-$A$15,DH$13)="",10^12,OFFSET(PLE!$G$15,$M58-$A$15,DH$13)))</f>
        <v>1000000000000</v>
      </c>
      <c r="DI58" s="172" cm="1">
        <f t="array" aca="1" ref="DI58" ca="1">IF(OR($D58&lt;&gt;"Serviço",AND(AUTOEVENTO="Manual",$M58=$A$15),$M58&gt;(ROW(PLE.lastrow)-ROW(PLE.firstrow))),0,
           IF(OFFSET(PLE!$G$15,$M58-$A$15,DI$13)="",10^12,OFFSET(PLE!$G$15,$M58-$A$15,DI$13)))</f>
        <v>1000000000000</v>
      </c>
      <c r="DJ58" s="172" cm="1">
        <f t="array" aca="1" ref="DJ58" ca="1">IF(OR($D58&lt;&gt;"Serviço",AND(AUTOEVENTO="Manual",$M58=$A$15),$M58&gt;(ROW(PLE.lastrow)-ROW(PLE.firstrow))),0,
           IF(OFFSET(PLE!$G$15,$M58-$A$15,DJ$13)="",10^12,OFFSET(PLE!$G$15,$M58-$A$15,DJ$13)))</f>
        <v>1000000000000</v>
      </c>
      <c r="DK58" s="172" cm="1">
        <f t="array" aca="1" ref="DK58" ca="1">IF(OR($D58&lt;&gt;"Serviço",AND(AUTOEVENTO="Manual",$M58=$A$15),$M58&gt;(ROW(PLE.lastrow)-ROW(PLE.firstrow))),0,
           IF(OFFSET(PLE!$G$15,$M58-$A$15,DK$13)="",10^12,OFFSET(PLE!$G$15,$M58-$A$15,DK$13)))</f>
        <v>1000000000000</v>
      </c>
      <c r="DL58" s="172" cm="1">
        <f t="array" aca="1" ref="DL58" ca="1">IF(OR($D58&lt;&gt;"Serviço",AND(AUTOEVENTO="Manual",$M58=$A$15),$M58&gt;(ROW(PLE.lastrow)-ROW(PLE.firstrow))),0,
           IF(OFFSET(PLE!$G$15,$M58-$A$15,DL$13)="",10^12,OFFSET(PLE!$G$15,$M58-$A$15,DL$13)))</f>
        <v>1000000000000</v>
      </c>
      <c r="DM58" s="172" cm="1">
        <f t="array" aca="1" ref="DM58" ca="1">IF(OR($D58&lt;&gt;"Serviço",AND(AUTOEVENTO="Manual",$M58=$A$15),$M58&gt;(ROW(PLE.lastrow)-ROW(PLE.firstrow))),0,
           IF(OFFSET(PLE!$G$15,$M58-$A$15,DM$13)="",10^12,OFFSET(PLE!$G$15,$M58-$A$15,DM$13)))</f>
        <v>1000000000000</v>
      </c>
      <c r="DN58" s="172" cm="1">
        <f t="array" aca="1" ref="DN58" ca="1">IF(OR($D58&lt;&gt;"Serviço",AND(AUTOEVENTO="Manual",$M58=$A$15),$M58&gt;(ROW(PLE.lastrow)-ROW(PLE.firstrow))),0,
           IF(OFFSET(PLE!$G$15,$M58-$A$15,DN$13)="",10^12,OFFSET(PLE!$G$15,$M58-$A$15,DN$13)))</f>
        <v>1000000000000</v>
      </c>
      <c r="DO58" s="172" cm="1">
        <f t="array" aca="1" ref="DO58" ca="1">IF(OR($D58&lt;&gt;"Serviço",AND(AUTOEVENTO="Manual",$M58=$A$15),$M58&gt;(ROW(PLE.lastrow)-ROW(PLE.firstrow))),0,
           IF(OFFSET(PLE!$G$15,$M58-$A$15,DO$13)="",10^12,OFFSET(PLE!$G$15,$M58-$A$15,DO$13)))</f>
        <v>1000000000000</v>
      </c>
      <c r="DP58" s="172" cm="1">
        <f t="array" aca="1" ref="DP58" ca="1">IF(OR($D58&lt;&gt;"Serviço",AND(AUTOEVENTO="Manual",$M58=$A$15),$M58&gt;(ROW(PLE.lastrow)-ROW(PLE.firstrow))),0,
           IF(OFFSET(PLE!$G$15,$M58-$A$15,DP$13)="",10^12,OFFSET(PLE!$G$15,$M58-$A$15,DP$13)))</f>
        <v>1000000000000</v>
      </c>
      <c r="DQ58" s="172" cm="1">
        <f t="array" aca="1" ref="DQ58" ca="1">IF(OR($D58&lt;&gt;"Serviço",AND(AUTOEVENTO="Manual",$M58=$A$15),$M58&gt;(ROW(PLE.lastrow)-ROW(PLE.firstrow))),0,
           IF(OFFSET(PLE!$G$15,$M58-$A$15,DQ$13)="",10^12,OFFSET(PLE!$G$15,$M58-$A$15,DQ$13)))</f>
        <v>1000000000000</v>
      </c>
      <c r="DR58" s="172" cm="1">
        <f t="array" aca="1" ref="DR58" ca="1">IF(OR($D58&lt;&gt;"Serviço",AND(AUTOEVENTO="Manual",$M58=$A$15),$M58&gt;(ROW(PLE.lastrow)-ROW(PLE.firstrow))),0,
           IF(OFFSET(PLE!$G$15,$M58-$A$15,DR$13)="",10^12,OFFSET(PLE!$G$15,$M58-$A$15,DR$13)))</f>
        <v>1000000000000</v>
      </c>
      <c r="DS58" s="172" cm="1">
        <f t="array" aca="1" ref="DS58" ca="1">IF(OR($D58&lt;&gt;"Serviço",AND(AUTOEVENTO="Manual",$M58=$A$15),$M58&gt;(ROW(PLE.lastrow)-ROW(PLE.firstrow))),0,
           IF(OFFSET(PLE!$G$15,$M58-$A$15,DS$13)="",10^12,OFFSET(PLE!$G$15,$M58-$A$15,DS$13)))</f>
        <v>1000000000000</v>
      </c>
    </row>
    <row r="59" spans="1:123" ht="25.5" x14ac:dyDescent="0.2">
      <c r="A59" s="7">
        <f t="shared" ca="1" si="11"/>
        <v>4</v>
      </c>
      <c r="B59" s="7" t="str">
        <f ca="1">OFFSET(ORÇAMENTO!C$15,$L59,0)</f>
        <v>S</v>
      </c>
      <c r="C59" s="7" t="str">
        <f ca="1">OFFSET(ORÇAMENTO!L$15,$L59,0)</f>
        <v/>
      </c>
      <c r="D59" s="116" t="str">
        <f ca="1">OFFSET(ORÇAMENTO!N$15,$L59,0)</f>
        <v>Serviço</v>
      </c>
      <c r="E59" s="117" t="str">
        <f ca="1">OFFSET(ORÇAMENTO!O$15,$L59,0)</f>
        <v>-</v>
      </c>
      <c r="F59" s="163" t="str">
        <f ca="1">OFFSET(ORÇAMENTO!R$15,$L59,0)</f>
        <v>(Código não identificado nas referências)</v>
      </c>
      <c r="G59" s="164" t="str">
        <f ca="1">IF($D59&lt;&gt;"Serviço","",OFFSET(ORÇAMENTO!S$15,$L59,0))</f>
        <v>-</v>
      </c>
      <c r="H59" s="122" cm="1">
        <f t="array" aca="1" ref="H59" ca="1">IF($D59&lt;&gt;"Serviço",0,IF(ACOMPANHAMENTO="BM",ROUND(OFFSET(ORÇAMENTO!AJ$15,$L59,0),15-13*ORÇAMENTO!$AF$7),IF(IFERROR(CÁLCULO.FrentesPreenchidas,0)=0,0,SUM(ROUND(OFFSET($P59,0,1,1,CÁLCULO.FrentesPreenchidas),15-13*ORÇAMENTO!$AF$7)))))</f>
        <v>25.600000000000005</v>
      </c>
      <c r="I59" s="468" t="s">
        <v>1235</v>
      </c>
      <c r="J59" s="651" t="str" cm="1">
        <f t="array" aca="1" ref="J59" ca="1">IF(OR(B59&lt;&gt;"S",CÁLCULO.FrentesPreenchidas=0),"",IF(AND(ACOMPANHAMENTO="PLE",AUTOEVENTO="Manual",OR(H59&gt;0,ORÇAMENTO!AC59="QUANT."),OR(K59="",M59=0,N59="")),"►E",IF(AND(ACOMPANHAMENTO="PLE",ORÇAMENTO!AC59="QUANT."),"►Q",IF(AND(ACOMPANHAMENTO="PLE",H59&lt;&gt;SUMPRODUCT(($Q$1:$AQ$1=1)*ROUND(Q59:AQ59,15))),"►S",IF(AND(COUNTIF($P$11:$AQ$11,"▼")=0,H59&gt;0,I59=""),"◄M","")))))</f>
        <v/>
      </c>
      <c r="K59" s="652" t="s">
        <v>1252</v>
      </c>
      <c r="L59" s="165">
        <f t="shared" ca="1" si="12"/>
        <v>44</v>
      </c>
      <c r="M59" s="166">
        <f ca="1">IF($D59&lt;&gt;"Serviço","",
          IF(AUTOEVENTO="manual",$A59,
                IF(ISERROR(MATCH($A59,$A$15:OFFSET($A59,-1,0),0)),MAX($M$15:OFFSET(M59,-1,0))+1,
                      INDEX($M$15:OFFSET(M59,-1,0),MATCH($A59,$A$15:OFFSET($A59,-1,0),0)))))</f>
        <v>4</v>
      </c>
      <c r="N59" s="167" t="str">
        <f ca="1">IF($D59&lt;&gt;"Serviço","",
         IF(AUTOEVENTO="Manual",
                IF($A59=0,"&lt;-- defina o número do agrupador",
                       OFFSET(EVENTOS!$D$15,$A59-$A$15,0)),
                OFFSET($F$15,$A59,0)))</f>
        <v>SUPRAESTRUTURA</v>
      </c>
      <c r="O59" s="168"/>
      <c r="Q59" s="168">
        <v>1.28</v>
      </c>
      <c r="R59" s="169">
        <v>1.28</v>
      </c>
      <c r="S59" s="169">
        <v>1.28</v>
      </c>
      <c r="T59" s="169">
        <v>1.28</v>
      </c>
      <c r="U59" s="169">
        <v>1.28</v>
      </c>
      <c r="V59" s="169">
        <v>1.28</v>
      </c>
      <c r="W59" s="169">
        <v>1.28</v>
      </c>
      <c r="X59" s="169">
        <v>1.28</v>
      </c>
      <c r="Y59" s="169">
        <v>1.28</v>
      </c>
      <c r="Z59" s="170">
        <v>1.28</v>
      </c>
      <c r="AA59" s="169">
        <v>1.28</v>
      </c>
      <c r="AB59" s="169">
        <v>1.28</v>
      </c>
      <c r="AC59" s="169">
        <v>1.28</v>
      </c>
      <c r="AD59" s="169">
        <v>1.28</v>
      </c>
      <c r="AE59" s="169">
        <v>1.28</v>
      </c>
      <c r="AF59" s="169">
        <v>1.28</v>
      </c>
      <c r="AG59" s="169">
        <v>1.28</v>
      </c>
      <c r="AH59" s="170">
        <v>1.28</v>
      </c>
      <c r="AI59" s="169">
        <v>1.28</v>
      </c>
      <c r="AJ59" s="169">
        <v>1.28</v>
      </c>
      <c r="AK59" s="169"/>
      <c r="AL59" s="169"/>
      <c r="AM59" s="169"/>
      <c r="AN59" s="169"/>
      <c r="AO59" s="169"/>
      <c r="AP59" s="170"/>
      <c r="AR59" s="453">
        <f ca="1">IF(AND($D59="Serviço",AR$12&lt;&gt;0,$H59&gt;0,OR(AUTOEVENTO&lt;&gt;"manual",$M59&lt;&gt;$A$15)),
        IF(Import.TipoArredondamento&lt;&gt;"TransfereGOV",
              ROUND(OFFSET($P59,0,AR$13),15-13*ORÇAMENTO!$AF$7)/$H59*OFFSET(ORÇAMENTO!$X$15,ROW(AR59)-ROW(AR$15),0),
              ROUND(ROUND(OFFSET($P59,0,AR$13),15-13*ORÇAMENTO!$AF$7)*OFFSET(ORÇAMENTO!$W$15,ROW(AR59)-ROW(AR$15),0),15-13*ORÇAMENTO!$AF$11)),
         0)</f>
        <v>0</v>
      </c>
      <c r="AS59" s="453">
        <f ca="1">IF(AND($D59="Serviço",AS$12&lt;&gt;0,$H59&gt;0,OR(AUTOEVENTO&lt;&gt;"manual",$M59&lt;&gt;$A$15)),
        IF(Import.TipoArredondamento&lt;&gt;"TransfereGOV",
              ROUND(OFFSET($P59,0,AS$13),15-13*ORÇAMENTO!$AF$7)/$H59*OFFSET(ORÇAMENTO!$X$15,ROW(AS59)-ROW(AS$15),0),
              ROUND(ROUND(OFFSET($P59,0,AS$13),15-13*ORÇAMENTO!$AF$7)*OFFSET(ORÇAMENTO!$W$15,ROW(AS59)-ROW(AS$15),0),15-13*ORÇAMENTO!$AF$11)),
         0)</f>
        <v>0</v>
      </c>
      <c r="AT59" s="453">
        <f ca="1">IF(AND($D59="Serviço",AT$12&lt;&gt;0,$H59&gt;0,OR(AUTOEVENTO&lt;&gt;"manual",$M59&lt;&gt;$A$15)),
        IF(Import.TipoArredondamento&lt;&gt;"TransfereGOV",
              ROUND(OFFSET($P59,0,AT$13),15-13*ORÇAMENTO!$AF$7)/$H59*OFFSET(ORÇAMENTO!$X$15,ROW(AT59)-ROW(AT$15),0),
              ROUND(ROUND(OFFSET($P59,0,AT$13),15-13*ORÇAMENTO!$AF$7)*OFFSET(ORÇAMENTO!$W$15,ROW(AT59)-ROW(AT$15),0),15-13*ORÇAMENTO!$AF$11)),
         0)</f>
        <v>0</v>
      </c>
      <c r="AU59" s="453">
        <f ca="1">IF(AND($D59="Serviço",AU$12&lt;&gt;0,$H59&gt;0,OR(AUTOEVENTO&lt;&gt;"manual",$M59&lt;&gt;$A$15)),
        IF(Import.TipoArredondamento&lt;&gt;"TransfereGOV",
              ROUND(OFFSET($P59,0,AU$13),15-13*ORÇAMENTO!$AF$7)/$H59*OFFSET(ORÇAMENTO!$X$15,ROW(AU59)-ROW(AU$15),0),
              ROUND(ROUND(OFFSET($P59,0,AU$13),15-13*ORÇAMENTO!$AF$7)*OFFSET(ORÇAMENTO!$W$15,ROW(AU59)-ROW(AU$15),0),15-13*ORÇAMENTO!$AF$11)),
         0)</f>
        <v>0</v>
      </c>
      <c r="AV59" s="453">
        <f ca="1">IF(AND($D59="Serviço",AV$12&lt;&gt;0,$H59&gt;0,OR(AUTOEVENTO&lt;&gt;"manual",$M59&lt;&gt;$A$15)),
        IF(Import.TipoArredondamento&lt;&gt;"TransfereGOV",
              ROUND(OFFSET($P59,0,AV$13),15-13*ORÇAMENTO!$AF$7)/$H59*OFFSET(ORÇAMENTO!$X$15,ROW(AV59)-ROW(AV$15),0),
              ROUND(ROUND(OFFSET($P59,0,AV$13),15-13*ORÇAMENTO!$AF$7)*OFFSET(ORÇAMENTO!$W$15,ROW(AV59)-ROW(AV$15),0),15-13*ORÇAMENTO!$AF$11)),
         0)</f>
        <v>0</v>
      </c>
      <c r="AW59" s="453">
        <f ca="1">IF(AND($D59="Serviço",AW$12&lt;&gt;0,$H59&gt;0,OR(AUTOEVENTO&lt;&gt;"manual",$M59&lt;&gt;$A$15)),
        IF(Import.TipoArredondamento&lt;&gt;"TransfereGOV",
              ROUND(OFFSET($P59,0,AW$13),15-13*ORÇAMENTO!$AF$7)/$H59*OFFSET(ORÇAMENTO!$X$15,ROW(AW59)-ROW(AW$15),0),
              ROUND(ROUND(OFFSET($P59,0,AW$13),15-13*ORÇAMENTO!$AF$7)*OFFSET(ORÇAMENTO!$W$15,ROW(AW59)-ROW(AW$15),0),15-13*ORÇAMENTO!$AF$11)),
         0)</f>
        <v>0</v>
      </c>
      <c r="AX59" s="453">
        <f ca="1">IF(AND($D59="Serviço",AX$12&lt;&gt;0,$H59&gt;0,OR(AUTOEVENTO&lt;&gt;"manual",$M59&lt;&gt;$A$15)),
        IF(Import.TipoArredondamento&lt;&gt;"TransfereGOV",
              ROUND(OFFSET($P59,0,AX$13),15-13*ORÇAMENTO!$AF$7)/$H59*OFFSET(ORÇAMENTO!$X$15,ROW(AX59)-ROW(AX$15),0),
              ROUND(ROUND(OFFSET($P59,0,AX$13),15-13*ORÇAMENTO!$AF$7)*OFFSET(ORÇAMENTO!$W$15,ROW(AX59)-ROW(AX$15),0),15-13*ORÇAMENTO!$AF$11)),
         0)</f>
        <v>0</v>
      </c>
      <c r="AY59" s="453">
        <f ca="1">IF(AND($D59="Serviço",AY$12&lt;&gt;0,$H59&gt;0,OR(AUTOEVENTO&lt;&gt;"manual",$M59&lt;&gt;$A$15)),
        IF(Import.TipoArredondamento&lt;&gt;"TransfereGOV",
              ROUND(OFFSET($P59,0,AY$13),15-13*ORÇAMENTO!$AF$7)/$H59*OFFSET(ORÇAMENTO!$X$15,ROW(AY59)-ROW(AY$15),0),
              ROUND(ROUND(OFFSET($P59,0,AY$13),15-13*ORÇAMENTO!$AF$7)*OFFSET(ORÇAMENTO!$W$15,ROW(AY59)-ROW(AY$15),0),15-13*ORÇAMENTO!$AF$11)),
         0)</f>
        <v>0</v>
      </c>
      <c r="AZ59" s="453">
        <f ca="1">IF(AND($D59="Serviço",AZ$12&lt;&gt;0,$H59&gt;0,OR(AUTOEVENTO&lt;&gt;"manual",$M59&lt;&gt;$A$15)),
        IF(Import.TipoArredondamento&lt;&gt;"TransfereGOV",
              ROUND(OFFSET($P59,0,AZ$13),15-13*ORÇAMENTO!$AF$7)/$H59*OFFSET(ORÇAMENTO!$X$15,ROW(AZ59)-ROW(AZ$15),0),
              ROUND(ROUND(OFFSET($P59,0,AZ$13),15-13*ORÇAMENTO!$AF$7)*OFFSET(ORÇAMENTO!$W$15,ROW(AZ59)-ROW(AZ$15),0),15-13*ORÇAMENTO!$AF$11)),
         0)</f>
        <v>0</v>
      </c>
      <c r="BA59" s="453">
        <f ca="1">IF(AND($D59="Serviço",BA$12&lt;&gt;0,$H59&gt;0,OR(AUTOEVENTO&lt;&gt;"manual",$M59&lt;&gt;$A$15)),
        IF(Import.TipoArredondamento&lt;&gt;"TransfereGOV",
              ROUND(OFFSET($P59,0,BA$13),15-13*ORÇAMENTO!$AF$7)/$H59*OFFSET(ORÇAMENTO!$X$15,ROW(BA59)-ROW(BA$15),0),
              ROUND(ROUND(OFFSET($P59,0,BA$13),15-13*ORÇAMENTO!$AF$7)*OFFSET(ORÇAMENTO!$W$15,ROW(BA59)-ROW(BA$15),0),15-13*ORÇAMENTO!$AF$11)),
         0)</f>
        <v>0</v>
      </c>
      <c r="BB59" s="453">
        <f ca="1">IF(AND($D59="Serviço",BB$12&lt;&gt;0,$H59&gt;0,OR(AUTOEVENTO&lt;&gt;"manual",$M59&lt;&gt;$A$15)),
        IF(Import.TipoArredondamento&lt;&gt;"TransfereGOV",
              ROUND(OFFSET($P59,0,BB$13),15-13*ORÇAMENTO!$AF$7)/$H59*OFFSET(ORÇAMENTO!$X$15,ROW(BB59)-ROW(BB$15),0),
              ROUND(ROUND(OFFSET($P59,0,BB$13),15-13*ORÇAMENTO!$AF$7)*OFFSET(ORÇAMENTO!$W$15,ROW(BB59)-ROW(BB$15),0),15-13*ORÇAMENTO!$AF$11)),
         0)</f>
        <v>0</v>
      </c>
      <c r="BC59" s="453">
        <f ca="1">IF(AND($D59="Serviço",BC$12&lt;&gt;0,$H59&gt;0,OR(AUTOEVENTO&lt;&gt;"manual",$M59&lt;&gt;$A$15)),
        IF(Import.TipoArredondamento&lt;&gt;"TransfereGOV",
              ROUND(OFFSET($P59,0,BC$13),15-13*ORÇAMENTO!$AF$7)/$H59*OFFSET(ORÇAMENTO!$X$15,ROW(BC59)-ROW(BC$15),0),
              ROUND(ROUND(OFFSET($P59,0,BC$13),15-13*ORÇAMENTO!$AF$7)*OFFSET(ORÇAMENTO!$W$15,ROW(BC59)-ROW(BC$15),0),15-13*ORÇAMENTO!$AF$11)),
         0)</f>
        <v>0</v>
      </c>
      <c r="BD59" s="453">
        <f ca="1">IF(AND($D59="Serviço",BD$12&lt;&gt;0,$H59&gt;0,OR(AUTOEVENTO&lt;&gt;"manual",$M59&lt;&gt;$A$15)),
        IF(Import.TipoArredondamento&lt;&gt;"TransfereGOV",
              ROUND(OFFSET($P59,0,BD$13),15-13*ORÇAMENTO!$AF$7)/$H59*OFFSET(ORÇAMENTO!$X$15,ROW(BD59)-ROW(BD$15),0),
              ROUND(ROUND(OFFSET($P59,0,BD$13),15-13*ORÇAMENTO!$AF$7)*OFFSET(ORÇAMENTO!$W$15,ROW(BD59)-ROW(BD$15),0),15-13*ORÇAMENTO!$AF$11)),
         0)</f>
        <v>0</v>
      </c>
      <c r="BE59" s="453">
        <f ca="1">IF(AND($D59="Serviço",BE$12&lt;&gt;0,$H59&gt;0,OR(AUTOEVENTO&lt;&gt;"manual",$M59&lt;&gt;$A$15)),
        IF(Import.TipoArredondamento&lt;&gt;"TransfereGOV",
              ROUND(OFFSET($P59,0,BE$13),15-13*ORÇAMENTO!$AF$7)/$H59*OFFSET(ORÇAMENTO!$X$15,ROW(BE59)-ROW(BE$15),0),
              ROUND(ROUND(OFFSET($P59,0,BE$13),15-13*ORÇAMENTO!$AF$7)*OFFSET(ORÇAMENTO!$W$15,ROW(BE59)-ROW(BE$15),0),15-13*ORÇAMENTO!$AF$11)),
         0)</f>
        <v>0</v>
      </c>
      <c r="BF59" s="453">
        <f ca="1">IF(AND($D59="Serviço",BF$12&lt;&gt;0,$H59&gt;0,OR(AUTOEVENTO&lt;&gt;"manual",$M59&lt;&gt;$A$15)),
        IF(Import.TipoArredondamento&lt;&gt;"TransfereGOV",
              ROUND(OFFSET($P59,0,BF$13),15-13*ORÇAMENTO!$AF$7)/$H59*OFFSET(ORÇAMENTO!$X$15,ROW(BF59)-ROW(BF$15),0),
              ROUND(ROUND(OFFSET($P59,0,BF$13),15-13*ORÇAMENTO!$AF$7)*OFFSET(ORÇAMENTO!$W$15,ROW(BF59)-ROW(BF$15),0),15-13*ORÇAMENTO!$AF$11)),
         0)</f>
        <v>0</v>
      </c>
      <c r="BG59" s="453">
        <f ca="1">IF(AND($D59="Serviço",BG$12&lt;&gt;0,$H59&gt;0,OR(AUTOEVENTO&lt;&gt;"manual",$M59&lt;&gt;$A$15)),
        IF(Import.TipoArredondamento&lt;&gt;"TransfereGOV",
              ROUND(OFFSET($P59,0,BG$13),15-13*ORÇAMENTO!$AF$7)/$H59*OFFSET(ORÇAMENTO!$X$15,ROW(BG59)-ROW(BG$15),0),
              ROUND(ROUND(OFFSET($P59,0,BG$13),15-13*ORÇAMENTO!$AF$7)*OFFSET(ORÇAMENTO!$W$15,ROW(BG59)-ROW(BG$15),0),15-13*ORÇAMENTO!$AF$11)),
         0)</f>
        <v>0</v>
      </c>
      <c r="BH59" s="453">
        <f ca="1">IF(AND($D59="Serviço",BH$12&lt;&gt;0,$H59&gt;0,OR(AUTOEVENTO&lt;&gt;"manual",$M59&lt;&gt;$A$15)),
        IF(Import.TipoArredondamento&lt;&gt;"TransfereGOV",
              ROUND(OFFSET($P59,0,BH$13),15-13*ORÇAMENTO!$AF$7)/$H59*OFFSET(ORÇAMENTO!$X$15,ROW(BH59)-ROW(BH$15),0),
              ROUND(ROUND(OFFSET($P59,0,BH$13),15-13*ORÇAMENTO!$AF$7)*OFFSET(ORÇAMENTO!$W$15,ROW(BH59)-ROW(BH$15),0),15-13*ORÇAMENTO!$AF$11)),
         0)</f>
        <v>0</v>
      </c>
      <c r="BI59" s="453">
        <f ca="1">IF(AND($D59="Serviço",BI$12&lt;&gt;0,$H59&gt;0,OR(AUTOEVENTO&lt;&gt;"manual",$M59&lt;&gt;$A$15)),
        IF(Import.TipoArredondamento&lt;&gt;"TransfereGOV",
              ROUND(OFFSET($P59,0,BI$13),15-13*ORÇAMENTO!$AF$7)/$H59*OFFSET(ORÇAMENTO!$X$15,ROW(BI59)-ROW(BI$15),0),
              ROUND(ROUND(OFFSET($P59,0,BI$13),15-13*ORÇAMENTO!$AF$7)*OFFSET(ORÇAMENTO!$W$15,ROW(BI59)-ROW(BI$15),0),15-13*ORÇAMENTO!$AF$11)),
         0)</f>
        <v>0</v>
      </c>
      <c r="BJ59" s="453">
        <f ca="1">IF(AND($D59="Serviço",BJ$12&lt;&gt;0,$H59&gt;0,OR(AUTOEVENTO&lt;&gt;"manual",$M59&lt;&gt;$A$15)),
        IF(Import.TipoArredondamento&lt;&gt;"TransfereGOV",
              ROUND(OFFSET($P59,0,BJ$13),15-13*ORÇAMENTO!$AF$7)/$H59*OFFSET(ORÇAMENTO!$X$15,ROW(BJ59)-ROW(BJ$15),0),
              ROUND(ROUND(OFFSET($P59,0,BJ$13),15-13*ORÇAMENTO!$AF$7)*OFFSET(ORÇAMENTO!$W$15,ROW(BJ59)-ROW(BJ$15),0),15-13*ORÇAMENTO!$AF$11)),
         0)</f>
        <v>0</v>
      </c>
      <c r="BK59" s="453">
        <f ca="1">IF(AND($D59="Serviço",BK$12&lt;&gt;0,$H59&gt;0,OR(AUTOEVENTO&lt;&gt;"manual",$M59&lt;&gt;$A$15)),
        IF(Import.TipoArredondamento&lt;&gt;"TransfereGOV",
              ROUND(OFFSET($P59,0,BK$13),15-13*ORÇAMENTO!$AF$7)/$H59*OFFSET(ORÇAMENTO!$X$15,ROW(BK59)-ROW(BK$15),0),
              ROUND(ROUND(OFFSET($P59,0,BK$13),15-13*ORÇAMENTO!$AF$7)*OFFSET(ORÇAMENTO!$W$15,ROW(BK59)-ROW(BK$15),0),15-13*ORÇAMENTO!$AF$11)),
         0)</f>
        <v>0</v>
      </c>
      <c r="BL59" s="453">
        <f ca="1">IF(AND($D59="Serviço",BL$12&lt;&gt;0,$H59&gt;0,OR(AUTOEVENTO&lt;&gt;"manual",$M59&lt;&gt;$A$15)),
        IF(Import.TipoArredondamento&lt;&gt;"TransfereGOV",
              ROUND(OFFSET($P59,0,BL$13),15-13*ORÇAMENTO!$AF$7)/$H59*OFFSET(ORÇAMENTO!$X$15,ROW(BL59)-ROW(BL$15),0),
              ROUND(ROUND(OFFSET($P59,0,BL$13),15-13*ORÇAMENTO!$AF$7)*OFFSET(ORÇAMENTO!$W$15,ROW(BL59)-ROW(BL$15),0),15-13*ORÇAMENTO!$AF$11)),
         0)</f>
        <v>0</v>
      </c>
      <c r="BM59" s="453">
        <f ca="1">IF(AND($D59="Serviço",BM$12&lt;&gt;0,$H59&gt;0,OR(AUTOEVENTO&lt;&gt;"manual",$M59&lt;&gt;$A$15)),
        IF(Import.TipoArredondamento&lt;&gt;"TransfereGOV",
              ROUND(OFFSET($P59,0,BM$13),15-13*ORÇAMENTO!$AF$7)/$H59*OFFSET(ORÇAMENTO!$X$15,ROW(BM59)-ROW(BM$15),0),
              ROUND(ROUND(OFFSET($P59,0,BM$13),15-13*ORÇAMENTO!$AF$7)*OFFSET(ORÇAMENTO!$W$15,ROW(BM59)-ROW(BM$15),0),15-13*ORÇAMENTO!$AF$11)),
         0)</f>
        <v>0</v>
      </c>
      <c r="BN59" s="453">
        <f ca="1">IF(AND($D59="Serviço",BN$12&lt;&gt;0,$H59&gt;0,OR(AUTOEVENTO&lt;&gt;"manual",$M59&lt;&gt;$A$15)),
        IF(Import.TipoArredondamento&lt;&gt;"TransfereGOV",
              ROUND(OFFSET($P59,0,BN$13),15-13*ORÇAMENTO!$AF$7)/$H59*OFFSET(ORÇAMENTO!$X$15,ROW(BN59)-ROW(BN$15),0),
              ROUND(ROUND(OFFSET($P59,0,BN$13),15-13*ORÇAMENTO!$AF$7)*OFFSET(ORÇAMENTO!$W$15,ROW(BN59)-ROW(BN$15),0),15-13*ORÇAMENTO!$AF$11)),
         0)</f>
        <v>0</v>
      </c>
      <c r="BO59" s="453">
        <f ca="1">IF(AND($D59="Serviço",BO$12&lt;&gt;0,$H59&gt;0,OR(AUTOEVENTO&lt;&gt;"manual",$M59&lt;&gt;$A$15)),
        IF(Import.TipoArredondamento&lt;&gt;"TransfereGOV",
              ROUND(OFFSET($P59,0,BO$13),15-13*ORÇAMENTO!$AF$7)/$H59*OFFSET(ORÇAMENTO!$X$15,ROW(BO59)-ROW(BO$15),0),
              ROUND(ROUND(OFFSET($P59,0,BO$13),15-13*ORÇAMENTO!$AF$7)*OFFSET(ORÇAMENTO!$W$15,ROW(BO59)-ROW(BO$15),0),15-13*ORÇAMENTO!$AF$11)),
         0)</f>
        <v>0</v>
      </c>
      <c r="BP59" s="453">
        <f ca="1">IF(AND($D59="Serviço",BP$12&lt;&gt;0,$H59&gt;0,OR(AUTOEVENTO&lt;&gt;"manual",$M59&lt;&gt;$A$15)),
        IF(Import.TipoArredondamento&lt;&gt;"TransfereGOV",
              ROUND(OFFSET($P59,0,BP$13),15-13*ORÇAMENTO!$AF$7)/$H59*OFFSET(ORÇAMENTO!$X$15,ROW(BP59)-ROW(BP$15),0),
              ROUND(ROUND(OFFSET($P59,0,BP$13),15-13*ORÇAMENTO!$AF$7)*OFFSET(ORÇAMENTO!$W$15,ROW(BP59)-ROW(BP$15),0),15-13*ORÇAMENTO!$AF$11)),
         0)</f>
        <v>0</v>
      </c>
      <c r="BQ59" s="453">
        <f ca="1">IF(AND($D59="Serviço",BQ$12&lt;&gt;0,$H59&gt;0,OR(AUTOEVENTO&lt;&gt;"manual",$M59&lt;&gt;$A$15)),
        IF(Import.TipoArredondamento&lt;&gt;"TransfereGOV",
              ROUND(OFFSET($P59,0,BQ$13),15-13*ORÇAMENTO!$AF$7)/$H59*OFFSET(ORÇAMENTO!$X$15,ROW(BQ59)-ROW(BQ$15),0),
              ROUND(ROUND(OFFSET($P59,0,BQ$13),15-13*ORÇAMENTO!$AF$7)*OFFSET(ORÇAMENTO!$W$15,ROW(BQ59)-ROW(BQ$15),0),15-13*ORÇAMENTO!$AF$11)),
         0)</f>
        <v>0</v>
      </c>
      <c r="BS59" s="171">
        <f ca="1">IF(OR($D59&lt;&gt;"Serviço",AND(AUTOEVENTO="Manual",$M59=$A$15)),0,
         IF(OFFSET(CRONOPLE!$F$15,$M59-$A$15,BS$13)=0,10^12,OFFSET(CRONOPLE!$F$15,$M59-$A$15,BS$13)))</f>
        <v>1</v>
      </c>
      <c r="BT59" s="171">
        <f ca="1">IF(OR($D59&lt;&gt;"Serviço",AND(AUTOEVENTO="Manual",$M59=$A$15)),0,
         IF(OFFSET(CRONOPLE!$F$15,$M59-$A$15,BT$13)=0,10^12,OFFSET(CRONOPLE!$F$15,$M59-$A$15,BT$13)))</f>
        <v>2</v>
      </c>
      <c r="BU59" s="171">
        <f ca="1">IF(OR($D59&lt;&gt;"Serviço",AND(AUTOEVENTO="Manual",$M59=$A$15)),0,
         IF(OFFSET(CRONOPLE!$F$15,$M59-$A$15,BU$13)=0,10^12,OFFSET(CRONOPLE!$F$15,$M59-$A$15,BU$13)))</f>
        <v>3</v>
      </c>
      <c r="BV59" s="171">
        <f ca="1">IF(OR($D59&lt;&gt;"Serviço",AND(AUTOEVENTO="Manual",$M59=$A$15)),0,
         IF(OFFSET(CRONOPLE!$F$15,$M59-$A$15,BV$13)=0,10^12,OFFSET(CRONOPLE!$F$15,$M59-$A$15,BV$13)))</f>
        <v>4</v>
      </c>
      <c r="BW59" s="171">
        <f ca="1">IF(OR($D59&lt;&gt;"Serviço",AND(AUTOEVENTO="Manual",$M59=$A$15)),0,
         IF(OFFSET(CRONOPLE!$F$15,$M59-$A$15,BW$13)=0,10^12,OFFSET(CRONOPLE!$F$15,$M59-$A$15,BW$13)))</f>
        <v>5</v>
      </c>
      <c r="BX59" s="171">
        <f ca="1">IF(OR($D59&lt;&gt;"Serviço",AND(AUTOEVENTO="Manual",$M59=$A$15)),0,
         IF(OFFSET(CRONOPLE!$F$15,$M59-$A$15,BX$13)=0,10^12,OFFSET(CRONOPLE!$F$15,$M59-$A$15,BX$13)))</f>
        <v>6</v>
      </c>
      <c r="BY59" s="171">
        <f ca="1">IF(OR($D59&lt;&gt;"Serviço",AND(AUTOEVENTO="Manual",$M59=$A$15)),0,
         IF(OFFSET(CRONOPLE!$F$15,$M59-$A$15,BY$13)=0,10^12,OFFSET(CRONOPLE!$F$15,$M59-$A$15,BY$13)))</f>
        <v>7</v>
      </c>
      <c r="BZ59" s="171">
        <f ca="1">IF(OR($D59&lt;&gt;"Serviço",AND(AUTOEVENTO="Manual",$M59=$A$15)),0,
         IF(OFFSET(CRONOPLE!$F$15,$M59-$A$15,BZ$13)=0,10^12,OFFSET(CRONOPLE!$F$15,$M59-$A$15,BZ$13)))</f>
        <v>8</v>
      </c>
      <c r="CA59" s="171">
        <f ca="1">IF(OR($D59&lt;&gt;"Serviço",AND(AUTOEVENTO="Manual",$M59=$A$15)),0,
         IF(OFFSET(CRONOPLE!$F$15,$M59-$A$15,CA$13)=0,10^12,OFFSET(CRONOPLE!$F$15,$M59-$A$15,CA$13)))</f>
        <v>9</v>
      </c>
      <c r="CB59" s="171">
        <f ca="1">IF(OR($D59&lt;&gt;"Serviço",AND(AUTOEVENTO="Manual",$M59=$A$15)),0,
         IF(OFFSET(CRONOPLE!$F$15,$M59-$A$15,CB$13)=0,10^12,OFFSET(CRONOPLE!$F$15,$M59-$A$15,CB$13)))</f>
        <v>10</v>
      </c>
      <c r="CC59" s="171">
        <f ca="1">IF(OR($D59&lt;&gt;"Serviço",AND(AUTOEVENTO="Manual",$M59=$A$15)),0,
         IF(OFFSET(CRONOPLE!$F$15,$M59-$A$15,CC$13)=0,10^12,OFFSET(CRONOPLE!$F$15,$M59-$A$15,CC$13)))</f>
        <v>11</v>
      </c>
      <c r="CD59" s="171">
        <f ca="1">IF(OR($D59&lt;&gt;"Serviço",AND(AUTOEVENTO="Manual",$M59=$A$15)),0,
         IF(OFFSET(CRONOPLE!$F$15,$M59-$A$15,CD$13)=0,10^12,OFFSET(CRONOPLE!$F$15,$M59-$A$15,CD$13)))</f>
        <v>12</v>
      </c>
      <c r="CE59" s="171">
        <f ca="1">IF(OR($D59&lt;&gt;"Serviço",AND(AUTOEVENTO="Manual",$M59=$A$15)),0,
         IF(OFFSET(CRONOPLE!$F$15,$M59-$A$15,CE$13)=0,10^12,OFFSET(CRONOPLE!$F$15,$M59-$A$15,CE$13)))</f>
        <v>13</v>
      </c>
      <c r="CF59" s="171">
        <f ca="1">IF(OR($D59&lt;&gt;"Serviço",AND(AUTOEVENTO="Manual",$M59=$A$15)),0,
         IF(OFFSET(CRONOPLE!$F$15,$M59-$A$15,CF$13)=0,10^12,OFFSET(CRONOPLE!$F$15,$M59-$A$15,CF$13)))</f>
        <v>14</v>
      </c>
      <c r="CG59" s="171">
        <f ca="1">IF(OR($D59&lt;&gt;"Serviço",AND(AUTOEVENTO="Manual",$M59=$A$15)),0,
         IF(OFFSET(CRONOPLE!$F$15,$M59-$A$15,CG$13)=0,10^12,OFFSET(CRONOPLE!$F$15,$M59-$A$15,CG$13)))</f>
        <v>15</v>
      </c>
      <c r="CH59" s="171">
        <f ca="1">IF(OR($D59&lt;&gt;"Serviço",AND(AUTOEVENTO="Manual",$M59=$A$15)),0,
         IF(OFFSET(CRONOPLE!$F$15,$M59-$A$15,CH$13)=0,10^12,OFFSET(CRONOPLE!$F$15,$M59-$A$15,CH$13)))</f>
        <v>16</v>
      </c>
      <c r="CI59" s="171">
        <f ca="1">IF(OR($D59&lt;&gt;"Serviço",AND(AUTOEVENTO="Manual",$M59=$A$15)),0,
         IF(OFFSET(CRONOPLE!$F$15,$M59-$A$15,CI$13)=0,10^12,OFFSET(CRONOPLE!$F$15,$M59-$A$15,CI$13)))</f>
        <v>17</v>
      </c>
      <c r="CJ59" s="171">
        <f ca="1">IF(OR($D59&lt;&gt;"Serviço",AND(AUTOEVENTO="Manual",$M59=$A$15)),0,
         IF(OFFSET(CRONOPLE!$F$15,$M59-$A$15,CJ$13)=0,10^12,OFFSET(CRONOPLE!$F$15,$M59-$A$15,CJ$13)))</f>
        <v>18</v>
      </c>
      <c r="CK59" s="171">
        <f ca="1">IF(OR($D59&lt;&gt;"Serviço",AND(AUTOEVENTO="Manual",$M59=$A$15)),0,
         IF(OFFSET(CRONOPLE!$F$15,$M59-$A$15,CK$13)=0,10^12,OFFSET(CRONOPLE!$F$15,$M59-$A$15,CK$13)))</f>
        <v>19</v>
      </c>
      <c r="CL59" s="171">
        <f ca="1">IF(OR($D59&lt;&gt;"Serviço",AND(AUTOEVENTO="Manual",$M59=$A$15)),0,
         IF(OFFSET(CRONOPLE!$F$15,$M59-$A$15,CL$13)=0,10^12,OFFSET(CRONOPLE!$F$15,$M59-$A$15,CL$13)))</f>
        <v>20</v>
      </c>
      <c r="CM59" s="171">
        <f ca="1">IF(OR($D59&lt;&gt;"Serviço",AND(AUTOEVENTO="Manual",$M59=$A$15)),0,
         IF(OFFSET(CRONOPLE!$F$15,$M59-$A$15,CM$13)=0,10^12,OFFSET(CRONOPLE!$F$15,$M59-$A$15,CM$13)))</f>
        <v>1000000000000</v>
      </c>
      <c r="CN59" s="171">
        <f ca="1">IF(OR($D59&lt;&gt;"Serviço",AND(AUTOEVENTO="Manual",$M59=$A$15)),0,
         IF(OFFSET(CRONOPLE!$F$15,$M59-$A$15,CN$13)=0,10^12,OFFSET(CRONOPLE!$F$15,$M59-$A$15,CN$13)))</f>
        <v>1000000000000</v>
      </c>
      <c r="CO59" s="171">
        <f ca="1">IF(OR($D59&lt;&gt;"Serviço",AND(AUTOEVENTO="Manual",$M59=$A$15)),0,
         IF(OFFSET(CRONOPLE!$F$15,$M59-$A$15,CO$13)=0,10^12,OFFSET(CRONOPLE!$F$15,$M59-$A$15,CO$13)))</f>
        <v>1000000000000</v>
      </c>
      <c r="CP59" s="171">
        <f ca="1">IF(OR($D59&lt;&gt;"Serviço",AND(AUTOEVENTO="Manual",$M59=$A$15)),0,
         IF(OFFSET(CRONOPLE!$F$15,$M59-$A$15,CP$13)=0,10^12,OFFSET(CRONOPLE!$F$15,$M59-$A$15,CP$13)))</f>
        <v>1000000000000</v>
      </c>
      <c r="CQ59" s="171">
        <f ca="1">IF(OR($D59&lt;&gt;"Serviço",AND(AUTOEVENTO="Manual",$M59=$A$15)),0,
         IF(OFFSET(CRONOPLE!$F$15,$M59-$A$15,CQ$13)=0,10^12,OFFSET(CRONOPLE!$F$15,$M59-$A$15,CQ$13)))</f>
        <v>1000000000000</v>
      </c>
      <c r="CR59" s="171">
        <f ca="1">IF(OR($D59&lt;&gt;"Serviço",AND(AUTOEVENTO="Manual",$M59=$A$15)),0,
         IF(OFFSET(CRONOPLE!$F$15,$M59-$A$15,CR$13)=0,10^12,OFFSET(CRONOPLE!$F$15,$M59-$A$15,CR$13)))</f>
        <v>1000000000000</v>
      </c>
      <c r="CT59" s="172" cm="1">
        <f t="array" aca="1" ref="CT59" ca="1">IF(OR($D59&lt;&gt;"Serviço",AND(AUTOEVENTO="Manual",$M59=$A$15),$M59&gt;(ROW(PLE.lastrow)-ROW(PLE.firstrow))),0,
           IF(OFFSET(PLE!$G$15,$M59-$A$15,CT$13)="",10^12,OFFSET(PLE!$G$15,$M59-$A$15,CT$13)))</f>
        <v>1000000000000</v>
      </c>
      <c r="CU59" s="172" cm="1">
        <f t="array" aca="1" ref="CU59" ca="1">IF(OR($D59&lt;&gt;"Serviço",AND(AUTOEVENTO="Manual",$M59=$A$15),$M59&gt;(ROW(PLE.lastrow)-ROW(PLE.firstrow))),0,
           IF(OFFSET(PLE!$G$15,$M59-$A$15,CU$13)="",10^12,OFFSET(PLE!$G$15,$M59-$A$15,CU$13)))</f>
        <v>1000000000000</v>
      </c>
      <c r="CV59" s="172" cm="1">
        <f t="array" aca="1" ref="CV59" ca="1">IF(OR($D59&lt;&gt;"Serviço",AND(AUTOEVENTO="Manual",$M59=$A$15),$M59&gt;(ROW(PLE.lastrow)-ROW(PLE.firstrow))),0,
           IF(OFFSET(PLE!$G$15,$M59-$A$15,CV$13)="",10^12,OFFSET(PLE!$G$15,$M59-$A$15,CV$13)))</f>
        <v>1000000000000</v>
      </c>
      <c r="CW59" s="172" cm="1">
        <f t="array" aca="1" ref="CW59" ca="1">IF(OR($D59&lt;&gt;"Serviço",AND(AUTOEVENTO="Manual",$M59=$A$15),$M59&gt;(ROW(PLE.lastrow)-ROW(PLE.firstrow))),0,
           IF(OFFSET(PLE!$G$15,$M59-$A$15,CW$13)="",10^12,OFFSET(PLE!$G$15,$M59-$A$15,CW$13)))</f>
        <v>1000000000000</v>
      </c>
      <c r="CX59" s="172" cm="1">
        <f t="array" aca="1" ref="CX59" ca="1">IF(OR($D59&lt;&gt;"Serviço",AND(AUTOEVENTO="Manual",$M59=$A$15),$M59&gt;(ROW(PLE.lastrow)-ROW(PLE.firstrow))),0,
           IF(OFFSET(PLE!$G$15,$M59-$A$15,CX$13)="",10^12,OFFSET(PLE!$G$15,$M59-$A$15,CX$13)))</f>
        <v>1000000000000</v>
      </c>
      <c r="CY59" s="172" cm="1">
        <f t="array" aca="1" ref="CY59" ca="1">IF(OR($D59&lt;&gt;"Serviço",AND(AUTOEVENTO="Manual",$M59=$A$15),$M59&gt;(ROW(PLE.lastrow)-ROW(PLE.firstrow))),0,
           IF(OFFSET(PLE!$G$15,$M59-$A$15,CY$13)="",10^12,OFFSET(PLE!$G$15,$M59-$A$15,CY$13)))</f>
        <v>1000000000000</v>
      </c>
      <c r="CZ59" s="172" cm="1">
        <f t="array" aca="1" ref="CZ59" ca="1">IF(OR($D59&lt;&gt;"Serviço",AND(AUTOEVENTO="Manual",$M59=$A$15),$M59&gt;(ROW(PLE.lastrow)-ROW(PLE.firstrow))),0,
           IF(OFFSET(PLE!$G$15,$M59-$A$15,CZ$13)="",10^12,OFFSET(PLE!$G$15,$M59-$A$15,CZ$13)))</f>
        <v>1000000000000</v>
      </c>
      <c r="DA59" s="172" cm="1">
        <f t="array" aca="1" ref="DA59" ca="1">IF(OR($D59&lt;&gt;"Serviço",AND(AUTOEVENTO="Manual",$M59=$A$15),$M59&gt;(ROW(PLE.lastrow)-ROW(PLE.firstrow))),0,
           IF(OFFSET(PLE!$G$15,$M59-$A$15,DA$13)="",10^12,OFFSET(PLE!$G$15,$M59-$A$15,DA$13)))</f>
        <v>1000000000000</v>
      </c>
      <c r="DB59" s="172" cm="1">
        <f t="array" aca="1" ref="DB59" ca="1">IF(OR($D59&lt;&gt;"Serviço",AND(AUTOEVENTO="Manual",$M59=$A$15),$M59&gt;(ROW(PLE.lastrow)-ROW(PLE.firstrow))),0,
           IF(OFFSET(PLE!$G$15,$M59-$A$15,DB$13)="",10^12,OFFSET(PLE!$G$15,$M59-$A$15,DB$13)))</f>
        <v>1000000000000</v>
      </c>
      <c r="DC59" s="172" cm="1">
        <f t="array" aca="1" ref="DC59" ca="1">IF(OR($D59&lt;&gt;"Serviço",AND(AUTOEVENTO="Manual",$M59=$A$15),$M59&gt;(ROW(PLE.lastrow)-ROW(PLE.firstrow))),0,
           IF(OFFSET(PLE!$G$15,$M59-$A$15,DC$13)="",10^12,OFFSET(PLE!$G$15,$M59-$A$15,DC$13)))</f>
        <v>1000000000000</v>
      </c>
      <c r="DD59" s="172" cm="1">
        <f t="array" aca="1" ref="DD59" ca="1">IF(OR($D59&lt;&gt;"Serviço",AND(AUTOEVENTO="Manual",$M59=$A$15),$M59&gt;(ROW(PLE.lastrow)-ROW(PLE.firstrow))),0,
           IF(OFFSET(PLE!$G$15,$M59-$A$15,DD$13)="",10^12,OFFSET(PLE!$G$15,$M59-$A$15,DD$13)))</f>
        <v>1000000000000</v>
      </c>
      <c r="DE59" s="172" cm="1">
        <f t="array" aca="1" ref="DE59" ca="1">IF(OR($D59&lt;&gt;"Serviço",AND(AUTOEVENTO="Manual",$M59=$A$15),$M59&gt;(ROW(PLE.lastrow)-ROW(PLE.firstrow))),0,
           IF(OFFSET(PLE!$G$15,$M59-$A$15,DE$13)="",10^12,OFFSET(PLE!$G$15,$M59-$A$15,DE$13)))</f>
        <v>1000000000000</v>
      </c>
      <c r="DF59" s="172" cm="1">
        <f t="array" aca="1" ref="DF59" ca="1">IF(OR($D59&lt;&gt;"Serviço",AND(AUTOEVENTO="Manual",$M59=$A$15),$M59&gt;(ROW(PLE.lastrow)-ROW(PLE.firstrow))),0,
           IF(OFFSET(PLE!$G$15,$M59-$A$15,DF$13)="",10^12,OFFSET(PLE!$G$15,$M59-$A$15,DF$13)))</f>
        <v>1000000000000</v>
      </c>
      <c r="DG59" s="172" cm="1">
        <f t="array" aca="1" ref="DG59" ca="1">IF(OR($D59&lt;&gt;"Serviço",AND(AUTOEVENTO="Manual",$M59=$A$15),$M59&gt;(ROW(PLE.lastrow)-ROW(PLE.firstrow))),0,
           IF(OFFSET(PLE!$G$15,$M59-$A$15,DG$13)="",10^12,OFFSET(PLE!$G$15,$M59-$A$15,DG$13)))</f>
        <v>1000000000000</v>
      </c>
      <c r="DH59" s="172" cm="1">
        <f t="array" aca="1" ref="DH59" ca="1">IF(OR($D59&lt;&gt;"Serviço",AND(AUTOEVENTO="Manual",$M59=$A$15),$M59&gt;(ROW(PLE.lastrow)-ROW(PLE.firstrow))),0,
           IF(OFFSET(PLE!$G$15,$M59-$A$15,DH$13)="",10^12,OFFSET(PLE!$G$15,$M59-$A$15,DH$13)))</f>
        <v>1000000000000</v>
      </c>
      <c r="DI59" s="172" cm="1">
        <f t="array" aca="1" ref="DI59" ca="1">IF(OR($D59&lt;&gt;"Serviço",AND(AUTOEVENTO="Manual",$M59=$A$15),$M59&gt;(ROW(PLE.lastrow)-ROW(PLE.firstrow))),0,
           IF(OFFSET(PLE!$G$15,$M59-$A$15,DI$13)="",10^12,OFFSET(PLE!$G$15,$M59-$A$15,DI$13)))</f>
        <v>1000000000000</v>
      </c>
      <c r="DJ59" s="172" cm="1">
        <f t="array" aca="1" ref="DJ59" ca="1">IF(OR($D59&lt;&gt;"Serviço",AND(AUTOEVENTO="Manual",$M59=$A$15),$M59&gt;(ROW(PLE.lastrow)-ROW(PLE.firstrow))),0,
           IF(OFFSET(PLE!$G$15,$M59-$A$15,DJ$13)="",10^12,OFFSET(PLE!$G$15,$M59-$A$15,DJ$13)))</f>
        <v>1000000000000</v>
      </c>
      <c r="DK59" s="172" cm="1">
        <f t="array" aca="1" ref="DK59" ca="1">IF(OR($D59&lt;&gt;"Serviço",AND(AUTOEVENTO="Manual",$M59=$A$15),$M59&gt;(ROW(PLE.lastrow)-ROW(PLE.firstrow))),0,
           IF(OFFSET(PLE!$G$15,$M59-$A$15,DK$13)="",10^12,OFFSET(PLE!$G$15,$M59-$A$15,DK$13)))</f>
        <v>1000000000000</v>
      </c>
      <c r="DL59" s="172" cm="1">
        <f t="array" aca="1" ref="DL59" ca="1">IF(OR($D59&lt;&gt;"Serviço",AND(AUTOEVENTO="Manual",$M59=$A$15),$M59&gt;(ROW(PLE.lastrow)-ROW(PLE.firstrow))),0,
           IF(OFFSET(PLE!$G$15,$M59-$A$15,DL$13)="",10^12,OFFSET(PLE!$G$15,$M59-$A$15,DL$13)))</f>
        <v>1000000000000</v>
      </c>
      <c r="DM59" s="172" cm="1">
        <f t="array" aca="1" ref="DM59" ca="1">IF(OR($D59&lt;&gt;"Serviço",AND(AUTOEVENTO="Manual",$M59=$A$15),$M59&gt;(ROW(PLE.lastrow)-ROW(PLE.firstrow))),0,
           IF(OFFSET(PLE!$G$15,$M59-$A$15,DM$13)="",10^12,OFFSET(PLE!$G$15,$M59-$A$15,DM$13)))</f>
        <v>1000000000000</v>
      </c>
      <c r="DN59" s="172" cm="1">
        <f t="array" aca="1" ref="DN59" ca="1">IF(OR($D59&lt;&gt;"Serviço",AND(AUTOEVENTO="Manual",$M59=$A$15),$M59&gt;(ROW(PLE.lastrow)-ROW(PLE.firstrow))),0,
           IF(OFFSET(PLE!$G$15,$M59-$A$15,DN$13)="",10^12,OFFSET(PLE!$G$15,$M59-$A$15,DN$13)))</f>
        <v>1000000000000</v>
      </c>
      <c r="DO59" s="172" cm="1">
        <f t="array" aca="1" ref="DO59" ca="1">IF(OR($D59&lt;&gt;"Serviço",AND(AUTOEVENTO="Manual",$M59=$A$15),$M59&gt;(ROW(PLE.lastrow)-ROW(PLE.firstrow))),0,
           IF(OFFSET(PLE!$G$15,$M59-$A$15,DO$13)="",10^12,OFFSET(PLE!$G$15,$M59-$A$15,DO$13)))</f>
        <v>1000000000000</v>
      </c>
      <c r="DP59" s="172" cm="1">
        <f t="array" aca="1" ref="DP59" ca="1">IF(OR($D59&lt;&gt;"Serviço",AND(AUTOEVENTO="Manual",$M59=$A$15),$M59&gt;(ROW(PLE.lastrow)-ROW(PLE.firstrow))),0,
           IF(OFFSET(PLE!$G$15,$M59-$A$15,DP$13)="",10^12,OFFSET(PLE!$G$15,$M59-$A$15,DP$13)))</f>
        <v>1000000000000</v>
      </c>
      <c r="DQ59" s="172" cm="1">
        <f t="array" aca="1" ref="DQ59" ca="1">IF(OR($D59&lt;&gt;"Serviço",AND(AUTOEVENTO="Manual",$M59=$A$15),$M59&gt;(ROW(PLE.lastrow)-ROW(PLE.firstrow))),0,
           IF(OFFSET(PLE!$G$15,$M59-$A$15,DQ$13)="",10^12,OFFSET(PLE!$G$15,$M59-$A$15,DQ$13)))</f>
        <v>1000000000000</v>
      </c>
      <c r="DR59" s="172" cm="1">
        <f t="array" aca="1" ref="DR59" ca="1">IF(OR($D59&lt;&gt;"Serviço",AND(AUTOEVENTO="Manual",$M59=$A$15),$M59&gt;(ROW(PLE.lastrow)-ROW(PLE.firstrow))),0,
           IF(OFFSET(PLE!$G$15,$M59-$A$15,DR$13)="",10^12,OFFSET(PLE!$G$15,$M59-$A$15,DR$13)))</f>
        <v>1000000000000</v>
      </c>
      <c r="DS59" s="172" cm="1">
        <f t="array" aca="1" ref="DS59" ca="1">IF(OR($D59&lt;&gt;"Serviço",AND(AUTOEVENTO="Manual",$M59=$A$15),$M59&gt;(ROW(PLE.lastrow)-ROW(PLE.firstrow))),0,
           IF(OFFSET(PLE!$G$15,$M59-$A$15,DS$13)="",10^12,OFFSET(PLE!$G$15,$M59-$A$15,DS$13)))</f>
        <v>1000000000000</v>
      </c>
    </row>
    <row r="60" spans="1:123" ht="38.25" x14ac:dyDescent="0.2">
      <c r="A60" s="7">
        <f t="shared" ca="1" si="11"/>
        <v>4</v>
      </c>
      <c r="B60" s="7" t="str">
        <f ca="1">OFFSET(ORÇAMENTO!C$15,$L60,0)</f>
        <v>S</v>
      </c>
      <c r="C60" s="7" t="str">
        <f ca="1">OFFSET(ORÇAMENTO!L$15,$L60,0)</f>
        <v/>
      </c>
      <c r="D60" s="116" t="str">
        <f ca="1">OFFSET(ORÇAMENTO!N$15,$L60,0)</f>
        <v>Serviço</v>
      </c>
      <c r="E60" s="117" t="str">
        <f ca="1">OFFSET(ORÇAMENTO!O$15,$L60,0)</f>
        <v>-</v>
      </c>
      <c r="F60" s="163" t="str">
        <f ca="1">OFFSET(ORÇAMENTO!R$15,$L60,0)</f>
        <v>(Código não identificado nas referências)</v>
      </c>
      <c r="G60" s="164" t="str">
        <f ca="1">IF($D60&lt;&gt;"Serviço","",OFFSET(ORÇAMENTO!S$15,$L60,0))</f>
        <v>-</v>
      </c>
      <c r="H60" s="122" cm="1">
        <f t="array" aca="1" ref="H60" ca="1">IF($D60&lt;&gt;"Serviço",0,IF(ACOMPANHAMENTO="BM",ROUND(OFFSET(ORÇAMENTO!AJ$15,$L60,0),15-13*ORÇAMENTO!$AF$7),IF(IFERROR(CÁLCULO.FrentesPreenchidas,0)=0,0,SUM(ROUND(OFFSET($P60,0,1,1,CÁLCULO.FrentesPreenchidas),15-13*ORÇAMENTO!$AF$7)))))</f>
        <v>35.600000000000009</v>
      </c>
      <c r="I60" s="468" t="s">
        <v>1235</v>
      </c>
      <c r="J60" s="651" t="str" cm="1">
        <f t="array" aca="1" ref="J60" ca="1">IF(OR(B60&lt;&gt;"S",CÁLCULO.FrentesPreenchidas=0),"",IF(AND(ACOMPANHAMENTO="PLE",AUTOEVENTO="Manual",OR(H60&gt;0,ORÇAMENTO!AC60="QUANT."),OR(K60="",M60=0,N60="")),"►E",IF(AND(ACOMPANHAMENTO="PLE",ORÇAMENTO!AC60="QUANT."),"►Q",IF(AND(ACOMPANHAMENTO="PLE",H60&lt;&gt;SUMPRODUCT(($Q$1:$AQ$1=1)*ROUND(Q60:AQ60,15))),"►S",IF(AND(COUNTIF($P$11:$AQ$11,"▼")=0,H60&gt;0,I60=""),"◄M","")))))</f>
        <v/>
      </c>
      <c r="K60" s="652" t="s">
        <v>1252</v>
      </c>
      <c r="L60" s="165">
        <f t="shared" ca="1" si="12"/>
        <v>45</v>
      </c>
      <c r="M60" s="166">
        <f ca="1">IF($D60&lt;&gt;"Serviço","",
          IF(AUTOEVENTO="manual",$A60,
                IF(ISERROR(MATCH($A60,$A$15:OFFSET($A60,-1,0),0)),MAX($M$15:OFFSET(M60,-1,0))+1,
                      INDEX($M$15:OFFSET(M60,-1,0),MATCH($A60,$A$15:OFFSET($A60,-1,0),0)))))</f>
        <v>4</v>
      </c>
      <c r="N60" s="167" t="str">
        <f ca="1">IF($D60&lt;&gt;"Serviço","",
         IF(AUTOEVENTO="Manual",
                IF($A60=0,"&lt;-- defina o número do agrupador",
                       OFFSET(EVENTOS!$D$15,$A60-$A$15,0)),
                OFFSET($F$15,$A60,0)))</f>
        <v>SUPRAESTRUTURA</v>
      </c>
      <c r="O60" s="168"/>
      <c r="Q60" s="168">
        <v>1.78</v>
      </c>
      <c r="R60" s="169">
        <v>1.78</v>
      </c>
      <c r="S60" s="169">
        <v>1.78</v>
      </c>
      <c r="T60" s="169">
        <v>1.78</v>
      </c>
      <c r="U60" s="169">
        <v>1.78</v>
      </c>
      <c r="V60" s="169">
        <v>1.78</v>
      </c>
      <c r="W60" s="169">
        <v>1.78</v>
      </c>
      <c r="X60" s="169">
        <v>1.78</v>
      </c>
      <c r="Y60" s="169">
        <v>1.78</v>
      </c>
      <c r="Z60" s="170">
        <v>1.78</v>
      </c>
      <c r="AA60" s="169">
        <v>1.78</v>
      </c>
      <c r="AB60" s="169">
        <v>1.78</v>
      </c>
      <c r="AC60" s="169">
        <v>1.78</v>
      </c>
      <c r="AD60" s="169">
        <v>1.78</v>
      </c>
      <c r="AE60" s="169">
        <v>1.78</v>
      </c>
      <c r="AF60" s="169">
        <v>1.78</v>
      </c>
      <c r="AG60" s="169">
        <v>1.78</v>
      </c>
      <c r="AH60" s="170">
        <v>1.78</v>
      </c>
      <c r="AI60" s="169">
        <v>1.78</v>
      </c>
      <c r="AJ60" s="169">
        <v>1.78</v>
      </c>
      <c r="AK60" s="169"/>
      <c r="AL60" s="169"/>
      <c r="AM60" s="169"/>
      <c r="AN60" s="169"/>
      <c r="AO60" s="169"/>
      <c r="AP60" s="170"/>
      <c r="AR60" s="453">
        <f ca="1">IF(AND($D60="Serviço",AR$12&lt;&gt;0,$H60&gt;0,OR(AUTOEVENTO&lt;&gt;"manual",$M60&lt;&gt;$A$15)),
        IF(Import.TipoArredondamento&lt;&gt;"TransfereGOV",
              ROUND(OFFSET($P60,0,AR$13),15-13*ORÇAMENTO!$AF$7)/$H60*OFFSET(ORÇAMENTO!$X$15,ROW(AR60)-ROW(AR$15),0),
              ROUND(ROUND(OFFSET($P60,0,AR$13),15-13*ORÇAMENTO!$AF$7)*OFFSET(ORÇAMENTO!$W$15,ROW(AR60)-ROW(AR$15),0),15-13*ORÇAMENTO!$AF$11)),
         0)</f>
        <v>0</v>
      </c>
      <c r="AS60" s="453">
        <f ca="1">IF(AND($D60="Serviço",AS$12&lt;&gt;0,$H60&gt;0,OR(AUTOEVENTO&lt;&gt;"manual",$M60&lt;&gt;$A$15)),
        IF(Import.TipoArredondamento&lt;&gt;"TransfereGOV",
              ROUND(OFFSET($P60,0,AS$13),15-13*ORÇAMENTO!$AF$7)/$H60*OFFSET(ORÇAMENTO!$X$15,ROW(AS60)-ROW(AS$15),0),
              ROUND(ROUND(OFFSET($P60,0,AS$13),15-13*ORÇAMENTO!$AF$7)*OFFSET(ORÇAMENTO!$W$15,ROW(AS60)-ROW(AS$15),0),15-13*ORÇAMENTO!$AF$11)),
         0)</f>
        <v>0</v>
      </c>
      <c r="AT60" s="453">
        <f ca="1">IF(AND($D60="Serviço",AT$12&lt;&gt;0,$H60&gt;0,OR(AUTOEVENTO&lt;&gt;"manual",$M60&lt;&gt;$A$15)),
        IF(Import.TipoArredondamento&lt;&gt;"TransfereGOV",
              ROUND(OFFSET($P60,0,AT$13),15-13*ORÇAMENTO!$AF$7)/$H60*OFFSET(ORÇAMENTO!$X$15,ROW(AT60)-ROW(AT$15),0),
              ROUND(ROUND(OFFSET($P60,0,AT$13),15-13*ORÇAMENTO!$AF$7)*OFFSET(ORÇAMENTO!$W$15,ROW(AT60)-ROW(AT$15),0),15-13*ORÇAMENTO!$AF$11)),
         0)</f>
        <v>0</v>
      </c>
      <c r="AU60" s="453">
        <f ca="1">IF(AND($D60="Serviço",AU$12&lt;&gt;0,$H60&gt;0,OR(AUTOEVENTO&lt;&gt;"manual",$M60&lt;&gt;$A$15)),
        IF(Import.TipoArredondamento&lt;&gt;"TransfereGOV",
              ROUND(OFFSET($P60,0,AU$13),15-13*ORÇAMENTO!$AF$7)/$H60*OFFSET(ORÇAMENTO!$X$15,ROW(AU60)-ROW(AU$15),0),
              ROUND(ROUND(OFFSET($P60,0,AU$13),15-13*ORÇAMENTO!$AF$7)*OFFSET(ORÇAMENTO!$W$15,ROW(AU60)-ROW(AU$15),0),15-13*ORÇAMENTO!$AF$11)),
         0)</f>
        <v>0</v>
      </c>
      <c r="AV60" s="453">
        <f ca="1">IF(AND($D60="Serviço",AV$12&lt;&gt;0,$H60&gt;0,OR(AUTOEVENTO&lt;&gt;"manual",$M60&lt;&gt;$A$15)),
        IF(Import.TipoArredondamento&lt;&gt;"TransfereGOV",
              ROUND(OFFSET($P60,0,AV$13),15-13*ORÇAMENTO!$AF$7)/$H60*OFFSET(ORÇAMENTO!$X$15,ROW(AV60)-ROW(AV$15),0),
              ROUND(ROUND(OFFSET($P60,0,AV$13),15-13*ORÇAMENTO!$AF$7)*OFFSET(ORÇAMENTO!$W$15,ROW(AV60)-ROW(AV$15),0),15-13*ORÇAMENTO!$AF$11)),
         0)</f>
        <v>0</v>
      </c>
      <c r="AW60" s="453">
        <f ca="1">IF(AND($D60="Serviço",AW$12&lt;&gt;0,$H60&gt;0,OR(AUTOEVENTO&lt;&gt;"manual",$M60&lt;&gt;$A$15)),
        IF(Import.TipoArredondamento&lt;&gt;"TransfereGOV",
              ROUND(OFFSET($P60,0,AW$13),15-13*ORÇAMENTO!$AF$7)/$H60*OFFSET(ORÇAMENTO!$X$15,ROW(AW60)-ROW(AW$15),0),
              ROUND(ROUND(OFFSET($P60,0,AW$13),15-13*ORÇAMENTO!$AF$7)*OFFSET(ORÇAMENTO!$W$15,ROW(AW60)-ROW(AW$15),0),15-13*ORÇAMENTO!$AF$11)),
         0)</f>
        <v>0</v>
      </c>
      <c r="AX60" s="453">
        <f ca="1">IF(AND($D60="Serviço",AX$12&lt;&gt;0,$H60&gt;0,OR(AUTOEVENTO&lt;&gt;"manual",$M60&lt;&gt;$A$15)),
        IF(Import.TipoArredondamento&lt;&gt;"TransfereGOV",
              ROUND(OFFSET($P60,0,AX$13),15-13*ORÇAMENTO!$AF$7)/$H60*OFFSET(ORÇAMENTO!$X$15,ROW(AX60)-ROW(AX$15),0),
              ROUND(ROUND(OFFSET($P60,0,AX$13),15-13*ORÇAMENTO!$AF$7)*OFFSET(ORÇAMENTO!$W$15,ROW(AX60)-ROW(AX$15),0),15-13*ORÇAMENTO!$AF$11)),
         0)</f>
        <v>0</v>
      </c>
      <c r="AY60" s="453">
        <f ca="1">IF(AND($D60="Serviço",AY$12&lt;&gt;0,$H60&gt;0,OR(AUTOEVENTO&lt;&gt;"manual",$M60&lt;&gt;$A$15)),
        IF(Import.TipoArredondamento&lt;&gt;"TransfereGOV",
              ROUND(OFFSET($P60,0,AY$13),15-13*ORÇAMENTO!$AF$7)/$H60*OFFSET(ORÇAMENTO!$X$15,ROW(AY60)-ROW(AY$15),0),
              ROUND(ROUND(OFFSET($P60,0,AY$13),15-13*ORÇAMENTO!$AF$7)*OFFSET(ORÇAMENTO!$W$15,ROW(AY60)-ROW(AY$15),0),15-13*ORÇAMENTO!$AF$11)),
         0)</f>
        <v>0</v>
      </c>
      <c r="AZ60" s="453">
        <f ca="1">IF(AND($D60="Serviço",AZ$12&lt;&gt;0,$H60&gt;0,OR(AUTOEVENTO&lt;&gt;"manual",$M60&lt;&gt;$A$15)),
        IF(Import.TipoArredondamento&lt;&gt;"TransfereGOV",
              ROUND(OFFSET($P60,0,AZ$13),15-13*ORÇAMENTO!$AF$7)/$H60*OFFSET(ORÇAMENTO!$X$15,ROW(AZ60)-ROW(AZ$15),0),
              ROUND(ROUND(OFFSET($P60,0,AZ$13),15-13*ORÇAMENTO!$AF$7)*OFFSET(ORÇAMENTO!$W$15,ROW(AZ60)-ROW(AZ$15),0),15-13*ORÇAMENTO!$AF$11)),
         0)</f>
        <v>0</v>
      </c>
      <c r="BA60" s="453">
        <f ca="1">IF(AND($D60="Serviço",BA$12&lt;&gt;0,$H60&gt;0,OR(AUTOEVENTO&lt;&gt;"manual",$M60&lt;&gt;$A$15)),
        IF(Import.TipoArredondamento&lt;&gt;"TransfereGOV",
              ROUND(OFFSET($P60,0,BA$13),15-13*ORÇAMENTO!$AF$7)/$H60*OFFSET(ORÇAMENTO!$X$15,ROW(BA60)-ROW(BA$15),0),
              ROUND(ROUND(OFFSET($P60,0,BA$13),15-13*ORÇAMENTO!$AF$7)*OFFSET(ORÇAMENTO!$W$15,ROW(BA60)-ROW(BA$15),0),15-13*ORÇAMENTO!$AF$11)),
         0)</f>
        <v>0</v>
      </c>
      <c r="BB60" s="453">
        <f ca="1">IF(AND($D60="Serviço",BB$12&lt;&gt;0,$H60&gt;0,OR(AUTOEVENTO&lt;&gt;"manual",$M60&lt;&gt;$A$15)),
        IF(Import.TipoArredondamento&lt;&gt;"TransfereGOV",
              ROUND(OFFSET($P60,0,BB$13),15-13*ORÇAMENTO!$AF$7)/$H60*OFFSET(ORÇAMENTO!$X$15,ROW(BB60)-ROW(BB$15),0),
              ROUND(ROUND(OFFSET($P60,0,BB$13),15-13*ORÇAMENTO!$AF$7)*OFFSET(ORÇAMENTO!$W$15,ROW(BB60)-ROW(BB$15),0),15-13*ORÇAMENTO!$AF$11)),
         0)</f>
        <v>0</v>
      </c>
      <c r="BC60" s="453">
        <f ca="1">IF(AND($D60="Serviço",BC$12&lt;&gt;0,$H60&gt;0,OR(AUTOEVENTO&lt;&gt;"manual",$M60&lt;&gt;$A$15)),
        IF(Import.TipoArredondamento&lt;&gt;"TransfereGOV",
              ROUND(OFFSET($P60,0,BC$13),15-13*ORÇAMENTO!$AF$7)/$H60*OFFSET(ORÇAMENTO!$X$15,ROW(BC60)-ROW(BC$15),0),
              ROUND(ROUND(OFFSET($P60,0,BC$13),15-13*ORÇAMENTO!$AF$7)*OFFSET(ORÇAMENTO!$W$15,ROW(BC60)-ROW(BC$15),0),15-13*ORÇAMENTO!$AF$11)),
         0)</f>
        <v>0</v>
      </c>
      <c r="BD60" s="453">
        <f ca="1">IF(AND($D60="Serviço",BD$12&lt;&gt;0,$H60&gt;0,OR(AUTOEVENTO&lt;&gt;"manual",$M60&lt;&gt;$A$15)),
        IF(Import.TipoArredondamento&lt;&gt;"TransfereGOV",
              ROUND(OFFSET($P60,0,BD$13),15-13*ORÇAMENTO!$AF$7)/$H60*OFFSET(ORÇAMENTO!$X$15,ROW(BD60)-ROW(BD$15),0),
              ROUND(ROUND(OFFSET($P60,0,BD$13),15-13*ORÇAMENTO!$AF$7)*OFFSET(ORÇAMENTO!$W$15,ROW(BD60)-ROW(BD$15),0),15-13*ORÇAMENTO!$AF$11)),
         0)</f>
        <v>0</v>
      </c>
      <c r="BE60" s="453">
        <f ca="1">IF(AND($D60="Serviço",BE$12&lt;&gt;0,$H60&gt;0,OR(AUTOEVENTO&lt;&gt;"manual",$M60&lt;&gt;$A$15)),
        IF(Import.TipoArredondamento&lt;&gt;"TransfereGOV",
              ROUND(OFFSET($P60,0,BE$13),15-13*ORÇAMENTO!$AF$7)/$H60*OFFSET(ORÇAMENTO!$X$15,ROW(BE60)-ROW(BE$15),0),
              ROUND(ROUND(OFFSET($P60,0,BE$13),15-13*ORÇAMENTO!$AF$7)*OFFSET(ORÇAMENTO!$W$15,ROW(BE60)-ROW(BE$15),0),15-13*ORÇAMENTO!$AF$11)),
         0)</f>
        <v>0</v>
      </c>
      <c r="BF60" s="453">
        <f ca="1">IF(AND($D60="Serviço",BF$12&lt;&gt;0,$H60&gt;0,OR(AUTOEVENTO&lt;&gt;"manual",$M60&lt;&gt;$A$15)),
        IF(Import.TipoArredondamento&lt;&gt;"TransfereGOV",
              ROUND(OFFSET($P60,0,BF$13),15-13*ORÇAMENTO!$AF$7)/$H60*OFFSET(ORÇAMENTO!$X$15,ROW(BF60)-ROW(BF$15),0),
              ROUND(ROUND(OFFSET($P60,0,BF$13),15-13*ORÇAMENTO!$AF$7)*OFFSET(ORÇAMENTO!$W$15,ROW(BF60)-ROW(BF$15),0),15-13*ORÇAMENTO!$AF$11)),
         0)</f>
        <v>0</v>
      </c>
      <c r="BG60" s="453">
        <f ca="1">IF(AND($D60="Serviço",BG$12&lt;&gt;0,$H60&gt;0,OR(AUTOEVENTO&lt;&gt;"manual",$M60&lt;&gt;$A$15)),
        IF(Import.TipoArredondamento&lt;&gt;"TransfereGOV",
              ROUND(OFFSET($P60,0,BG$13),15-13*ORÇAMENTO!$AF$7)/$H60*OFFSET(ORÇAMENTO!$X$15,ROW(BG60)-ROW(BG$15),0),
              ROUND(ROUND(OFFSET($P60,0,BG$13),15-13*ORÇAMENTO!$AF$7)*OFFSET(ORÇAMENTO!$W$15,ROW(BG60)-ROW(BG$15),0),15-13*ORÇAMENTO!$AF$11)),
         0)</f>
        <v>0</v>
      </c>
      <c r="BH60" s="453">
        <f ca="1">IF(AND($D60="Serviço",BH$12&lt;&gt;0,$H60&gt;0,OR(AUTOEVENTO&lt;&gt;"manual",$M60&lt;&gt;$A$15)),
        IF(Import.TipoArredondamento&lt;&gt;"TransfereGOV",
              ROUND(OFFSET($P60,0,BH$13),15-13*ORÇAMENTO!$AF$7)/$H60*OFFSET(ORÇAMENTO!$X$15,ROW(BH60)-ROW(BH$15),0),
              ROUND(ROUND(OFFSET($P60,0,BH$13),15-13*ORÇAMENTO!$AF$7)*OFFSET(ORÇAMENTO!$W$15,ROW(BH60)-ROW(BH$15),0),15-13*ORÇAMENTO!$AF$11)),
         0)</f>
        <v>0</v>
      </c>
      <c r="BI60" s="453">
        <f ca="1">IF(AND($D60="Serviço",BI$12&lt;&gt;0,$H60&gt;0,OR(AUTOEVENTO&lt;&gt;"manual",$M60&lt;&gt;$A$15)),
        IF(Import.TipoArredondamento&lt;&gt;"TransfereGOV",
              ROUND(OFFSET($P60,0,BI$13),15-13*ORÇAMENTO!$AF$7)/$H60*OFFSET(ORÇAMENTO!$X$15,ROW(BI60)-ROW(BI$15),0),
              ROUND(ROUND(OFFSET($P60,0,BI$13),15-13*ORÇAMENTO!$AF$7)*OFFSET(ORÇAMENTO!$W$15,ROW(BI60)-ROW(BI$15),0),15-13*ORÇAMENTO!$AF$11)),
         0)</f>
        <v>0</v>
      </c>
      <c r="BJ60" s="453">
        <f ca="1">IF(AND($D60="Serviço",BJ$12&lt;&gt;0,$H60&gt;0,OR(AUTOEVENTO&lt;&gt;"manual",$M60&lt;&gt;$A$15)),
        IF(Import.TipoArredondamento&lt;&gt;"TransfereGOV",
              ROUND(OFFSET($P60,0,BJ$13),15-13*ORÇAMENTO!$AF$7)/$H60*OFFSET(ORÇAMENTO!$X$15,ROW(BJ60)-ROW(BJ$15),0),
              ROUND(ROUND(OFFSET($P60,0,BJ$13),15-13*ORÇAMENTO!$AF$7)*OFFSET(ORÇAMENTO!$W$15,ROW(BJ60)-ROW(BJ$15),0),15-13*ORÇAMENTO!$AF$11)),
         0)</f>
        <v>0</v>
      </c>
      <c r="BK60" s="453">
        <f ca="1">IF(AND($D60="Serviço",BK$12&lt;&gt;0,$H60&gt;0,OR(AUTOEVENTO&lt;&gt;"manual",$M60&lt;&gt;$A$15)),
        IF(Import.TipoArredondamento&lt;&gt;"TransfereGOV",
              ROUND(OFFSET($P60,0,BK$13),15-13*ORÇAMENTO!$AF$7)/$H60*OFFSET(ORÇAMENTO!$X$15,ROW(BK60)-ROW(BK$15),0),
              ROUND(ROUND(OFFSET($P60,0,BK$13),15-13*ORÇAMENTO!$AF$7)*OFFSET(ORÇAMENTO!$W$15,ROW(BK60)-ROW(BK$15),0),15-13*ORÇAMENTO!$AF$11)),
         0)</f>
        <v>0</v>
      </c>
      <c r="BL60" s="453">
        <f ca="1">IF(AND($D60="Serviço",BL$12&lt;&gt;0,$H60&gt;0,OR(AUTOEVENTO&lt;&gt;"manual",$M60&lt;&gt;$A$15)),
        IF(Import.TipoArredondamento&lt;&gt;"TransfereGOV",
              ROUND(OFFSET($P60,0,BL$13),15-13*ORÇAMENTO!$AF$7)/$H60*OFFSET(ORÇAMENTO!$X$15,ROW(BL60)-ROW(BL$15),0),
              ROUND(ROUND(OFFSET($P60,0,BL$13),15-13*ORÇAMENTO!$AF$7)*OFFSET(ORÇAMENTO!$W$15,ROW(BL60)-ROW(BL$15),0),15-13*ORÇAMENTO!$AF$11)),
         0)</f>
        <v>0</v>
      </c>
      <c r="BM60" s="453">
        <f ca="1">IF(AND($D60="Serviço",BM$12&lt;&gt;0,$H60&gt;0,OR(AUTOEVENTO&lt;&gt;"manual",$M60&lt;&gt;$A$15)),
        IF(Import.TipoArredondamento&lt;&gt;"TransfereGOV",
              ROUND(OFFSET($P60,0,BM$13),15-13*ORÇAMENTO!$AF$7)/$H60*OFFSET(ORÇAMENTO!$X$15,ROW(BM60)-ROW(BM$15),0),
              ROUND(ROUND(OFFSET($P60,0,BM$13),15-13*ORÇAMENTO!$AF$7)*OFFSET(ORÇAMENTO!$W$15,ROW(BM60)-ROW(BM$15),0),15-13*ORÇAMENTO!$AF$11)),
         0)</f>
        <v>0</v>
      </c>
      <c r="BN60" s="453">
        <f ca="1">IF(AND($D60="Serviço",BN$12&lt;&gt;0,$H60&gt;0,OR(AUTOEVENTO&lt;&gt;"manual",$M60&lt;&gt;$A$15)),
        IF(Import.TipoArredondamento&lt;&gt;"TransfereGOV",
              ROUND(OFFSET($P60,0,BN$13),15-13*ORÇAMENTO!$AF$7)/$H60*OFFSET(ORÇAMENTO!$X$15,ROW(BN60)-ROW(BN$15),0),
              ROUND(ROUND(OFFSET($P60,0,BN$13),15-13*ORÇAMENTO!$AF$7)*OFFSET(ORÇAMENTO!$W$15,ROW(BN60)-ROW(BN$15),0),15-13*ORÇAMENTO!$AF$11)),
         0)</f>
        <v>0</v>
      </c>
      <c r="BO60" s="453">
        <f ca="1">IF(AND($D60="Serviço",BO$12&lt;&gt;0,$H60&gt;0,OR(AUTOEVENTO&lt;&gt;"manual",$M60&lt;&gt;$A$15)),
        IF(Import.TipoArredondamento&lt;&gt;"TransfereGOV",
              ROUND(OFFSET($P60,0,BO$13),15-13*ORÇAMENTO!$AF$7)/$H60*OFFSET(ORÇAMENTO!$X$15,ROW(BO60)-ROW(BO$15),0),
              ROUND(ROUND(OFFSET($P60,0,BO$13),15-13*ORÇAMENTO!$AF$7)*OFFSET(ORÇAMENTO!$W$15,ROW(BO60)-ROW(BO$15),0),15-13*ORÇAMENTO!$AF$11)),
         0)</f>
        <v>0</v>
      </c>
      <c r="BP60" s="453">
        <f ca="1">IF(AND($D60="Serviço",BP$12&lt;&gt;0,$H60&gt;0,OR(AUTOEVENTO&lt;&gt;"manual",$M60&lt;&gt;$A$15)),
        IF(Import.TipoArredondamento&lt;&gt;"TransfereGOV",
              ROUND(OFFSET($P60,0,BP$13),15-13*ORÇAMENTO!$AF$7)/$H60*OFFSET(ORÇAMENTO!$X$15,ROW(BP60)-ROW(BP$15),0),
              ROUND(ROUND(OFFSET($P60,0,BP$13),15-13*ORÇAMENTO!$AF$7)*OFFSET(ORÇAMENTO!$W$15,ROW(BP60)-ROW(BP$15),0),15-13*ORÇAMENTO!$AF$11)),
         0)</f>
        <v>0</v>
      </c>
      <c r="BQ60" s="453">
        <f ca="1">IF(AND($D60="Serviço",BQ$12&lt;&gt;0,$H60&gt;0,OR(AUTOEVENTO&lt;&gt;"manual",$M60&lt;&gt;$A$15)),
        IF(Import.TipoArredondamento&lt;&gt;"TransfereGOV",
              ROUND(OFFSET($P60,0,BQ$13),15-13*ORÇAMENTO!$AF$7)/$H60*OFFSET(ORÇAMENTO!$X$15,ROW(BQ60)-ROW(BQ$15),0),
              ROUND(ROUND(OFFSET($P60,0,BQ$13),15-13*ORÇAMENTO!$AF$7)*OFFSET(ORÇAMENTO!$W$15,ROW(BQ60)-ROW(BQ$15),0),15-13*ORÇAMENTO!$AF$11)),
         0)</f>
        <v>0</v>
      </c>
      <c r="BS60" s="171">
        <f ca="1">IF(OR($D60&lt;&gt;"Serviço",AND(AUTOEVENTO="Manual",$M60=$A$15)),0,
         IF(OFFSET(CRONOPLE!$F$15,$M60-$A$15,BS$13)=0,10^12,OFFSET(CRONOPLE!$F$15,$M60-$A$15,BS$13)))</f>
        <v>1</v>
      </c>
      <c r="BT60" s="171">
        <f ca="1">IF(OR($D60&lt;&gt;"Serviço",AND(AUTOEVENTO="Manual",$M60=$A$15)),0,
         IF(OFFSET(CRONOPLE!$F$15,$M60-$A$15,BT$13)=0,10^12,OFFSET(CRONOPLE!$F$15,$M60-$A$15,BT$13)))</f>
        <v>2</v>
      </c>
      <c r="BU60" s="171">
        <f ca="1">IF(OR($D60&lt;&gt;"Serviço",AND(AUTOEVENTO="Manual",$M60=$A$15)),0,
         IF(OFFSET(CRONOPLE!$F$15,$M60-$A$15,BU$13)=0,10^12,OFFSET(CRONOPLE!$F$15,$M60-$A$15,BU$13)))</f>
        <v>3</v>
      </c>
      <c r="BV60" s="171">
        <f ca="1">IF(OR($D60&lt;&gt;"Serviço",AND(AUTOEVENTO="Manual",$M60=$A$15)),0,
         IF(OFFSET(CRONOPLE!$F$15,$M60-$A$15,BV$13)=0,10^12,OFFSET(CRONOPLE!$F$15,$M60-$A$15,BV$13)))</f>
        <v>4</v>
      </c>
      <c r="BW60" s="171">
        <f ca="1">IF(OR($D60&lt;&gt;"Serviço",AND(AUTOEVENTO="Manual",$M60=$A$15)),0,
         IF(OFFSET(CRONOPLE!$F$15,$M60-$A$15,BW$13)=0,10^12,OFFSET(CRONOPLE!$F$15,$M60-$A$15,BW$13)))</f>
        <v>5</v>
      </c>
      <c r="BX60" s="171">
        <f ca="1">IF(OR($D60&lt;&gt;"Serviço",AND(AUTOEVENTO="Manual",$M60=$A$15)),0,
         IF(OFFSET(CRONOPLE!$F$15,$M60-$A$15,BX$13)=0,10^12,OFFSET(CRONOPLE!$F$15,$M60-$A$15,BX$13)))</f>
        <v>6</v>
      </c>
      <c r="BY60" s="171">
        <f ca="1">IF(OR($D60&lt;&gt;"Serviço",AND(AUTOEVENTO="Manual",$M60=$A$15)),0,
         IF(OFFSET(CRONOPLE!$F$15,$M60-$A$15,BY$13)=0,10^12,OFFSET(CRONOPLE!$F$15,$M60-$A$15,BY$13)))</f>
        <v>7</v>
      </c>
      <c r="BZ60" s="171">
        <f ca="1">IF(OR($D60&lt;&gt;"Serviço",AND(AUTOEVENTO="Manual",$M60=$A$15)),0,
         IF(OFFSET(CRONOPLE!$F$15,$M60-$A$15,BZ$13)=0,10^12,OFFSET(CRONOPLE!$F$15,$M60-$A$15,BZ$13)))</f>
        <v>8</v>
      </c>
      <c r="CA60" s="171">
        <f ca="1">IF(OR($D60&lt;&gt;"Serviço",AND(AUTOEVENTO="Manual",$M60=$A$15)),0,
         IF(OFFSET(CRONOPLE!$F$15,$M60-$A$15,CA$13)=0,10^12,OFFSET(CRONOPLE!$F$15,$M60-$A$15,CA$13)))</f>
        <v>9</v>
      </c>
      <c r="CB60" s="171">
        <f ca="1">IF(OR($D60&lt;&gt;"Serviço",AND(AUTOEVENTO="Manual",$M60=$A$15)),0,
         IF(OFFSET(CRONOPLE!$F$15,$M60-$A$15,CB$13)=0,10^12,OFFSET(CRONOPLE!$F$15,$M60-$A$15,CB$13)))</f>
        <v>10</v>
      </c>
      <c r="CC60" s="171">
        <f ca="1">IF(OR($D60&lt;&gt;"Serviço",AND(AUTOEVENTO="Manual",$M60=$A$15)),0,
         IF(OFFSET(CRONOPLE!$F$15,$M60-$A$15,CC$13)=0,10^12,OFFSET(CRONOPLE!$F$15,$M60-$A$15,CC$13)))</f>
        <v>11</v>
      </c>
      <c r="CD60" s="171">
        <f ca="1">IF(OR($D60&lt;&gt;"Serviço",AND(AUTOEVENTO="Manual",$M60=$A$15)),0,
         IF(OFFSET(CRONOPLE!$F$15,$M60-$A$15,CD$13)=0,10^12,OFFSET(CRONOPLE!$F$15,$M60-$A$15,CD$13)))</f>
        <v>12</v>
      </c>
      <c r="CE60" s="171">
        <f ca="1">IF(OR($D60&lt;&gt;"Serviço",AND(AUTOEVENTO="Manual",$M60=$A$15)),0,
         IF(OFFSET(CRONOPLE!$F$15,$M60-$A$15,CE$13)=0,10^12,OFFSET(CRONOPLE!$F$15,$M60-$A$15,CE$13)))</f>
        <v>13</v>
      </c>
      <c r="CF60" s="171">
        <f ca="1">IF(OR($D60&lt;&gt;"Serviço",AND(AUTOEVENTO="Manual",$M60=$A$15)),0,
         IF(OFFSET(CRONOPLE!$F$15,$M60-$A$15,CF$13)=0,10^12,OFFSET(CRONOPLE!$F$15,$M60-$A$15,CF$13)))</f>
        <v>14</v>
      </c>
      <c r="CG60" s="171">
        <f ca="1">IF(OR($D60&lt;&gt;"Serviço",AND(AUTOEVENTO="Manual",$M60=$A$15)),0,
         IF(OFFSET(CRONOPLE!$F$15,$M60-$A$15,CG$13)=0,10^12,OFFSET(CRONOPLE!$F$15,$M60-$A$15,CG$13)))</f>
        <v>15</v>
      </c>
      <c r="CH60" s="171">
        <f ca="1">IF(OR($D60&lt;&gt;"Serviço",AND(AUTOEVENTO="Manual",$M60=$A$15)),0,
         IF(OFFSET(CRONOPLE!$F$15,$M60-$A$15,CH$13)=0,10^12,OFFSET(CRONOPLE!$F$15,$M60-$A$15,CH$13)))</f>
        <v>16</v>
      </c>
      <c r="CI60" s="171">
        <f ca="1">IF(OR($D60&lt;&gt;"Serviço",AND(AUTOEVENTO="Manual",$M60=$A$15)),0,
         IF(OFFSET(CRONOPLE!$F$15,$M60-$A$15,CI$13)=0,10^12,OFFSET(CRONOPLE!$F$15,$M60-$A$15,CI$13)))</f>
        <v>17</v>
      </c>
      <c r="CJ60" s="171">
        <f ca="1">IF(OR($D60&lt;&gt;"Serviço",AND(AUTOEVENTO="Manual",$M60=$A$15)),0,
         IF(OFFSET(CRONOPLE!$F$15,$M60-$A$15,CJ$13)=0,10^12,OFFSET(CRONOPLE!$F$15,$M60-$A$15,CJ$13)))</f>
        <v>18</v>
      </c>
      <c r="CK60" s="171">
        <f ca="1">IF(OR($D60&lt;&gt;"Serviço",AND(AUTOEVENTO="Manual",$M60=$A$15)),0,
         IF(OFFSET(CRONOPLE!$F$15,$M60-$A$15,CK$13)=0,10^12,OFFSET(CRONOPLE!$F$15,$M60-$A$15,CK$13)))</f>
        <v>19</v>
      </c>
      <c r="CL60" s="171">
        <f ca="1">IF(OR($D60&lt;&gt;"Serviço",AND(AUTOEVENTO="Manual",$M60=$A$15)),0,
         IF(OFFSET(CRONOPLE!$F$15,$M60-$A$15,CL$13)=0,10^12,OFFSET(CRONOPLE!$F$15,$M60-$A$15,CL$13)))</f>
        <v>20</v>
      </c>
      <c r="CM60" s="171">
        <f ca="1">IF(OR($D60&lt;&gt;"Serviço",AND(AUTOEVENTO="Manual",$M60=$A$15)),0,
         IF(OFFSET(CRONOPLE!$F$15,$M60-$A$15,CM$13)=0,10^12,OFFSET(CRONOPLE!$F$15,$M60-$A$15,CM$13)))</f>
        <v>1000000000000</v>
      </c>
      <c r="CN60" s="171">
        <f ca="1">IF(OR($D60&lt;&gt;"Serviço",AND(AUTOEVENTO="Manual",$M60=$A$15)),0,
         IF(OFFSET(CRONOPLE!$F$15,$M60-$A$15,CN$13)=0,10^12,OFFSET(CRONOPLE!$F$15,$M60-$A$15,CN$13)))</f>
        <v>1000000000000</v>
      </c>
      <c r="CO60" s="171">
        <f ca="1">IF(OR($D60&lt;&gt;"Serviço",AND(AUTOEVENTO="Manual",$M60=$A$15)),0,
         IF(OFFSET(CRONOPLE!$F$15,$M60-$A$15,CO$13)=0,10^12,OFFSET(CRONOPLE!$F$15,$M60-$A$15,CO$13)))</f>
        <v>1000000000000</v>
      </c>
      <c r="CP60" s="171">
        <f ca="1">IF(OR($D60&lt;&gt;"Serviço",AND(AUTOEVENTO="Manual",$M60=$A$15)),0,
         IF(OFFSET(CRONOPLE!$F$15,$M60-$A$15,CP$13)=0,10^12,OFFSET(CRONOPLE!$F$15,$M60-$A$15,CP$13)))</f>
        <v>1000000000000</v>
      </c>
      <c r="CQ60" s="171">
        <f ca="1">IF(OR($D60&lt;&gt;"Serviço",AND(AUTOEVENTO="Manual",$M60=$A$15)),0,
         IF(OFFSET(CRONOPLE!$F$15,$M60-$A$15,CQ$13)=0,10^12,OFFSET(CRONOPLE!$F$15,$M60-$A$15,CQ$13)))</f>
        <v>1000000000000</v>
      </c>
      <c r="CR60" s="171">
        <f ca="1">IF(OR($D60&lt;&gt;"Serviço",AND(AUTOEVENTO="Manual",$M60=$A$15)),0,
         IF(OFFSET(CRONOPLE!$F$15,$M60-$A$15,CR$13)=0,10^12,OFFSET(CRONOPLE!$F$15,$M60-$A$15,CR$13)))</f>
        <v>1000000000000</v>
      </c>
      <c r="CT60" s="172" cm="1">
        <f t="array" aca="1" ref="CT60" ca="1">IF(OR($D60&lt;&gt;"Serviço",AND(AUTOEVENTO="Manual",$M60=$A$15),$M60&gt;(ROW(PLE.lastrow)-ROW(PLE.firstrow))),0,
           IF(OFFSET(PLE!$G$15,$M60-$A$15,CT$13)="",10^12,OFFSET(PLE!$G$15,$M60-$A$15,CT$13)))</f>
        <v>1000000000000</v>
      </c>
      <c r="CU60" s="172" cm="1">
        <f t="array" aca="1" ref="CU60" ca="1">IF(OR($D60&lt;&gt;"Serviço",AND(AUTOEVENTO="Manual",$M60=$A$15),$M60&gt;(ROW(PLE.lastrow)-ROW(PLE.firstrow))),0,
           IF(OFFSET(PLE!$G$15,$M60-$A$15,CU$13)="",10^12,OFFSET(PLE!$G$15,$M60-$A$15,CU$13)))</f>
        <v>1000000000000</v>
      </c>
      <c r="CV60" s="172" cm="1">
        <f t="array" aca="1" ref="CV60" ca="1">IF(OR($D60&lt;&gt;"Serviço",AND(AUTOEVENTO="Manual",$M60=$A$15),$M60&gt;(ROW(PLE.lastrow)-ROW(PLE.firstrow))),0,
           IF(OFFSET(PLE!$G$15,$M60-$A$15,CV$13)="",10^12,OFFSET(PLE!$G$15,$M60-$A$15,CV$13)))</f>
        <v>1000000000000</v>
      </c>
      <c r="CW60" s="172" cm="1">
        <f t="array" aca="1" ref="CW60" ca="1">IF(OR($D60&lt;&gt;"Serviço",AND(AUTOEVENTO="Manual",$M60=$A$15),$M60&gt;(ROW(PLE.lastrow)-ROW(PLE.firstrow))),0,
           IF(OFFSET(PLE!$G$15,$M60-$A$15,CW$13)="",10^12,OFFSET(PLE!$G$15,$M60-$A$15,CW$13)))</f>
        <v>1000000000000</v>
      </c>
      <c r="CX60" s="172" cm="1">
        <f t="array" aca="1" ref="CX60" ca="1">IF(OR($D60&lt;&gt;"Serviço",AND(AUTOEVENTO="Manual",$M60=$A$15),$M60&gt;(ROW(PLE.lastrow)-ROW(PLE.firstrow))),0,
           IF(OFFSET(PLE!$G$15,$M60-$A$15,CX$13)="",10^12,OFFSET(PLE!$G$15,$M60-$A$15,CX$13)))</f>
        <v>1000000000000</v>
      </c>
      <c r="CY60" s="172" cm="1">
        <f t="array" aca="1" ref="CY60" ca="1">IF(OR($D60&lt;&gt;"Serviço",AND(AUTOEVENTO="Manual",$M60=$A$15),$M60&gt;(ROW(PLE.lastrow)-ROW(PLE.firstrow))),0,
           IF(OFFSET(PLE!$G$15,$M60-$A$15,CY$13)="",10^12,OFFSET(PLE!$G$15,$M60-$A$15,CY$13)))</f>
        <v>1000000000000</v>
      </c>
      <c r="CZ60" s="172" cm="1">
        <f t="array" aca="1" ref="CZ60" ca="1">IF(OR($D60&lt;&gt;"Serviço",AND(AUTOEVENTO="Manual",$M60=$A$15),$M60&gt;(ROW(PLE.lastrow)-ROW(PLE.firstrow))),0,
           IF(OFFSET(PLE!$G$15,$M60-$A$15,CZ$13)="",10^12,OFFSET(PLE!$G$15,$M60-$A$15,CZ$13)))</f>
        <v>1000000000000</v>
      </c>
      <c r="DA60" s="172" cm="1">
        <f t="array" aca="1" ref="DA60" ca="1">IF(OR($D60&lt;&gt;"Serviço",AND(AUTOEVENTO="Manual",$M60=$A$15),$M60&gt;(ROW(PLE.lastrow)-ROW(PLE.firstrow))),0,
           IF(OFFSET(PLE!$G$15,$M60-$A$15,DA$13)="",10^12,OFFSET(PLE!$G$15,$M60-$A$15,DA$13)))</f>
        <v>1000000000000</v>
      </c>
      <c r="DB60" s="172" cm="1">
        <f t="array" aca="1" ref="DB60" ca="1">IF(OR($D60&lt;&gt;"Serviço",AND(AUTOEVENTO="Manual",$M60=$A$15),$M60&gt;(ROW(PLE.lastrow)-ROW(PLE.firstrow))),0,
           IF(OFFSET(PLE!$G$15,$M60-$A$15,DB$13)="",10^12,OFFSET(PLE!$G$15,$M60-$A$15,DB$13)))</f>
        <v>1000000000000</v>
      </c>
      <c r="DC60" s="172" cm="1">
        <f t="array" aca="1" ref="DC60" ca="1">IF(OR($D60&lt;&gt;"Serviço",AND(AUTOEVENTO="Manual",$M60=$A$15),$M60&gt;(ROW(PLE.lastrow)-ROW(PLE.firstrow))),0,
           IF(OFFSET(PLE!$G$15,$M60-$A$15,DC$13)="",10^12,OFFSET(PLE!$G$15,$M60-$A$15,DC$13)))</f>
        <v>1000000000000</v>
      </c>
      <c r="DD60" s="172" cm="1">
        <f t="array" aca="1" ref="DD60" ca="1">IF(OR($D60&lt;&gt;"Serviço",AND(AUTOEVENTO="Manual",$M60=$A$15),$M60&gt;(ROW(PLE.lastrow)-ROW(PLE.firstrow))),0,
           IF(OFFSET(PLE!$G$15,$M60-$A$15,DD$13)="",10^12,OFFSET(PLE!$G$15,$M60-$A$15,DD$13)))</f>
        <v>1000000000000</v>
      </c>
      <c r="DE60" s="172" cm="1">
        <f t="array" aca="1" ref="DE60" ca="1">IF(OR($D60&lt;&gt;"Serviço",AND(AUTOEVENTO="Manual",$M60=$A$15),$M60&gt;(ROW(PLE.lastrow)-ROW(PLE.firstrow))),0,
           IF(OFFSET(PLE!$G$15,$M60-$A$15,DE$13)="",10^12,OFFSET(PLE!$G$15,$M60-$A$15,DE$13)))</f>
        <v>1000000000000</v>
      </c>
      <c r="DF60" s="172" cm="1">
        <f t="array" aca="1" ref="DF60" ca="1">IF(OR($D60&lt;&gt;"Serviço",AND(AUTOEVENTO="Manual",$M60=$A$15),$M60&gt;(ROW(PLE.lastrow)-ROW(PLE.firstrow))),0,
           IF(OFFSET(PLE!$G$15,$M60-$A$15,DF$13)="",10^12,OFFSET(PLE!$G$15,$M60-$A$15,DF$13)))</f>
        <v>1000000000000</v>
      </c>
      <c r="DG60" s="172" cm="1">
        <f t="array" aca="1" ref="DG60" ca="1">IF(OR($D60&lt;&gt;"Serviço",AND(AUTOEVENTO="Manual",$M60=$A$15),$M60&gt;(ROW(PLE.lastrow)-ROW(PLE.firstrow))),0,
           IF(OFFSET(PLE!$G$15,$M60-$A$15,DG$13)="",10^12,OFFSET(PLE!$G$15,$M60-$A$15,DG$13)))</f>
        <v>1000000000000</v>
      </c>
      <c r="DH60" s="172" cm="1">
        <f t="array" aca="1" ref="DH60" ca="1">IF(OR($D60&lt;&gt;"Serviço",AND(AUTOEVENTO="Manual",$M60=$A$15),$M60&gt;(ROW(PLE.lastrow)-ROW(PLE.firstrow))),0,
           IF(OFFSET(PLE!$G$15,$M60-$A$15,DH$13)="",10^12,OFFSET(PLE!$G$15,$M60-$A$15,DH$13)))</f>
        <v>1000000000000</v>
      </c>
      <c r="DI60" s="172" cm="1">
        <f t="array" aca="1" ref="DI60" ca="1">IF(OR($D60&lt;&gt;"Serviço",AND(AUTOEVENTO="Manual",$M60=$A$15),$M60&gt;(ROW(PLE.lastrow)-ROW(PLE.firstrow))),0,
           IF(OFFSET(PLE!$G$15,$M60-$A$15,DI$13)="",10^12,OFFSET(PLE!$G$15,$M60-$A$15,DI$13)))</f>
        <v>1000000000000</v>
      </c>
      <c r="DJ60" s="172" cm="1">
        <f t="array" aca="1" ref="DJ60" ca="1">IF(OR($D60&lt;&gt;"Serviço",AND(AUTOEVENTO="Manual",$M60=$A$15),$M60&gt;(ROW(PLE.lastrow)-ROW(PLE.firstrow))),0,
           IF(OFFSET(PLE!$G$15,$M60-$A$15,DJ$13)="",10^12,OFFSET(PLE!$G$15,$M60-$A$15,DJ$13)))</f>
        <v>1000000000000</v>
      </c>
      <c r="DK60" s="172" cm="1">
        <f t="array" aca="1" ref="DK60" ca="1">IF(OR($D60&lt;&gt;"Serviço",AND(AUTOEVENTO="Manual",$M60=$A$15),$M60&gt;(ROW(PLE.lastrow)-ROW(PLE.firstrow))),0,
           IF(OFFSET(PLE!$G$15,$M60-$A$15,DK$13)="",10^12,OFFSET(PLE!$G$15,$M60-$A$15,DK$13)))</f>
        <v>1000000000000</v>
      </c>
      <c r="DL60" s="172" cm="1">
        <f t="array" aca="1" ref="DL60" ca="1">IF(OR($D60&lt;&gt;"Serviço",AND(AUTOEVENTO="Manual",$M60=$A$15),$M60&gt;(ROW(PLE.lastrow)-ROW(PLE.firstrow))),0,
           IF(OFFSET(PLE!$G$15,$M60-$A$15,DL$13)="",10^12,OFFSET(PLE!$G$15,$M60-$A$15,DL$13)))</f>
        <v>1000000000000</v>
      </c>
      <c r="DM60" s="172" cm="1">
        <f t="array" aca="1" ref="DM60" ca="1">IF(OR($D60&lt;&gt;"Serviço",AND(AUTOEVENTO="Manual",$M60=$A$15),$M60&gt;(ROW(PLE.lastrow)-ROW(PLE.firstrow))),0,
           IF(OFFSET(PLE!$G$15,$M60-$A$15,DM$13)="",10^12,OFFSET(PLE!$G$15,$M60-$A$15,DM$13)))</f>
        <v>1000000000000</v>
      </c>
      <c r="DN60" s="172" cm="1">
        <f t="array" aca="1" ref="DN60" ca="1">IF(OR($D60&lt;&gt;"Serviço",AND(AUTOEVENTO="Manual",$M60=$A$15),$M60&gt;(ROW(PLE.lastrow)-ROW(PLE.firstrow))),0,
           IF(OFFSET(PLE!$G$15,$M60-$A$15,DN$13)="",10^12,OFFSET(PLE!$G$15,$M60-$A$15,DN$13)))</f>
        <v>1000000000000</v>
      </c>
      <c r="DO60" s="172" cm="1">
        <f t="array" aca="1" ref="DO60" ca="1">IF(OR($D60&lt;&gt;"Serviço",AND(AUTOEVENTO="Manual",$M60=$A$15),$M60&gt;(ROW(PLE.lastrow)-ROW(PLE.firstrow))),0,
           IF(OFFSET(PLE!$G$15,$M60-$A$15,DO$13)="",10^12,OFFSET(PLE!$G$15,$M60-$A$15,DO$13)))</f>
        <v>1000000000000</v>
      </c>
      <c r="DP60" s="172" cm="1">
        <f t="array" aca="1" ref="DP60" ca="1">IF(OR($D60&lt;&gt;"Serviço",AND(AUTOEVENTO="Manual",$M60=$A$15),$M60&gt;(ROW(PLE.lastrow)-ROW(PLE.firstrow))),0,
           IF(OFFSET(PLE!$G$15,$M60-$A$15,DP$13)="",10^12,OFFSET(PLE!$G$15,$M60-$A$15,DP$13)))</f>
        <v>1000000000000</v>
      </c>
      <c r="DQ60" s="172" cm="1">
        <f t="array" aca="1" ref="DQ60" ca="1">IF(OR($D60&lt;&gt;"Serviço",AND(AUTOEVENTO="Manual",$M60=$A$15),$M60&gt;(ROW(PLE.lastrow)-ROW(PLE.firstrow))),0,
           IF(OFFSET(PLE!$G$15,$M60-$A$15,DQ$13)="",10^12,OFFSET(PLE!$G$15,$M60-$A$15,DQ$13)))</f>
        <v>1000000000000</v>
      </c>
      <c r="DR60" s="172" cm="1">
        <f t="array" aca="1" ref="DR60" ca="1">IF(OR($D60&lt;&gt;"Serviço",AND(AUTOEVENTO="Manual",$M60=$A$15),$M60&gt;(ROW(PLE.lastrow)-ROW(PLE.firstrow))),0,
           IF(OFFSET(PLE!$G$15,$M60-$A$15,DR$13)="",10^12,OFFSET(PLE!$G$15,$M60-$A$15,DR$13)))</f>
        <v>1000000000000</v>
      </c>
      <c r="DS60" s="172" cm="1">
        <f t="array" aca="1" ref="DS60" ca="1">IF(OR($D60&lt;&gt;"Serviço",AND(AUTOEVENTO="Manual",$M60=$A$15),$M60&gt;(ROW(PLE.lastrow)-ROW(PLE.firstrow))),0,
           IF(OFFSET(PLE!$G$15,$M60-$A$15,DS$13)="",10^12,OFFSET(PLE!$G$15,$M60-$A$15,DS$13)))</f>
        <v>1000000000000</v>
      </c>
    </row>
    <row r="61" spans="1:123" ht="12.75" x14ac:dyDescent="0.2">
      <c r="A61" s="7">
        <f t="shared" ca="1" si="11"/>
        <v>0</v>
      </c>
      <c r="B61" s="7">
        <f ca="1">OFFSET(ORÇAMENTO!C$15,$L61,0)</f>
        <v>1</v>
      </c>
      <c r="C61" s="7" t="str">
        <f ca="1">OFFSET(ORÇAMENTO!L$15,$L61,0)</f>
        <v>F</v>
      </c>
      <c r="D61" s="116" t="str">
        <f ca="1">OFFSET(ORÇAMENTO!N$15,$L61,0)</f>
        <v>Meta</v>
      </c>
      <c r="E61" s="117" t="str">
        <f ca="1">OFFSET(ORÇAMENTO!O$15,$L61,0)</f>
        <v>5.</v>
      </c>
      <c r="F61" s="163" t="str">
        <f ca="1">OFFSET(ORÇAMENTO!R$15,$L61,0)</f>
        <v>PAREDES E PAINÉIS</v>
      </c>
      <c r="G61" s="164" t="str">
        <f ca="1">IF($D61&lt;&gt;"Serviço","",OFFSET(ORÇAMENTO!S$15,$L61,0))</f>
        <v/>
      </c>
      <c r="H61" s="122" cm="1">
        <f t="array" aca="1" ref="H61" ca="1">IF($D61&lt;&gt;"Serviço",0,IF(ACOMPANHAMENTO="BM",ROUND(OFFSET(ORÇAMENTO!AJ$15,$L61,0),15-13*ORÇAMENTO!$AF$7),IF(IFERROR(CÁLCULO.FrentesPreenchidas,0)=0,0,SUM(ROUND(OFFSET($P61,0,1,1,CÁLCULO.FrentesPreenchidas),15-13*ORÇAMENTO!$AF$7)))))</f>
        <v>0</v>
      </c>
      <c r="I61" s="468"/>
      <c r="J61" s="651" t="str" cm="1">
        <f t="array" aca="1" ref="J61" ca="1">IF(OR(B61&lt;&gt;"S",CÁLCULO.FrentesPreenchidas=0),"",IF(AND(ACOMPANHAMENTO="PLE",AUTOEVENTO="Manual",OR(H61&gt;0,ORÇAMENTO!AC61="QUANT."),OR(K61="",M61=0,N61="")),"►E",IF(AND(ACOMPANHAMENTO="PLE",ORÇAMENTO!AC61="QUANT."),"►Q",IF(AND(ACOMPANHAMENTO="PLE",H61&lt;&gt;SUMPRODUCT(($Q$1:$AQ$1=1)*ROUND(Q61:AQ61,15))),"►S",IF(AND(COUNTIF($P$11:$AQ$11,"▼")=0,H61&gt;0,I61=""),"◄M","")))))</f>
        <v/>
      </c>
      <c r="K61" s="652"/>
      <c r="L61" s="165">
        <f t="shared" ca="1" si="12"/>
        <v>46</v>
      </c>
      <c r="M61" s="166" t="str">
        <f ca="1">IF($D61&lt;&gt;"Serviço","",
          IF(AUTOEVENTO="manual",$A61,
                IF(ISERROR(MATCH($A61,$A$15:OFFSET($A61,-1,0),0)),MAX($M$15:OFFSET(M61,-1,0))+1,
                      INDEX($M$15:OFFSET(M61,-1,0),MATCH($A61,$A$15:OFFSET($A61,-1,0),0)))))</f>
        <v/>
      </c>
      <c r="N61" s="167" t="str">
        <f ca="1">IF($D61&lt;&gt;"Serviço","",
         IF(AUTOEVENTO="Manual",
                IF($A61=0,"&lt;-- defina o número do agrupador",
                       OFFSET(EVENTOS!$D$15,$A61-$A$15,0)),
                OFFSET($F$15,$A61,0)))</f>
        <v/>
      </c>
      <c r="O61" s="168"/>
      <c r="Q61" s="168"/>
      <c r="R61" s="169"/>
      <c r="S61" s="169"/>
      <c r="T61" s="169"/>
      <c r="U61" s="169"/>
      <c r="V61" s="169"/>
      <c r="W61" s="169"/>
      <c r="X61" s="169"/>
      <c r="Y61" s="169"/>
      <c r="Z61" s="170"/>
      <c r="AA61" s="169"/>
      <c r="AB61" s="169"/>
      <c r="AC61" s="169"/>
      <c r="AD61" s="169"/>
      <c r="AE61" s="169"/>
      <c r="AF61" s="169"/>
      <c r="AG61" s="169"/>
      <c r="AH61" s="170"/>
      <c r="AI61" s="169"/>
      <c r="AJ61" s="169"/>
      <c r="AK61" s="169"/>
      <c r="AL61" s="169"/>
      <c r="AM61" s="169"/>
      <c r="AN61" s="169"/>
      <c r="AO61" s="169"/>
      <c r="AP61" s="170"/>
      <c r="AR61" s="453">
        <f ca="1">IF(AND($D61="Serviço",AR$12&lt;&gt;0,$H61&gt;0,OR(AUTOEVENTO&lt;&gt;"manual",$M61&lt;&gt;$A$15)),
        IF(Import.TipoArredondamento&lt;&gt;"TransfereGOV",
              ROUND(OFFSET($P61,0,AR$13),15-13*ORÇAMENTO!$AF$7)/$H61*OFFSET(ORÇAMENTO!$X$15,ROW(AR61)-ROW(AR$15),0),
              ROUND(ROUND(OFFSET($P61,0,AR$13),15-13*ORÇAMENTO!$AF$7)*OFFSET(ORÇAMENTO!$W$15,ROW(AR61)-ROW(AR$15),0),15-13*ORÇAMENTO!$AF$11)),
         0)</f>
        <v>0</v>
      </c>
      <c r="AS61" s="453">
        <f ca="1">IF(AND($D61="Serviço",AS$12&lt;&gt;0,$H61&gt;0,OR(AUTOEVENTO&lt;&gt;"manual",$M61&lt;&gt;$A$15)),
        IF(Import.TipoArredondamento&lt;&gt;"TransfereGOV",
              ROUND(OFFSET($P61,0,AS$13),15-13*ORÇAMENTO!$AF$7)/$H61*OFFSET(ORÇAMENTO!$X$15,ROW(AS61)-ROW(AS$15),0),
              ROUND(ROUND(OFFSET($P61,0,AS$13),15-13*ORÇAMENTO!$AF$7)*OFFSET(ORÇAMENTO!$W$15,ROW(AS61)-ROW(AS$15),0),15-13*ORÇAMENTO!$AF$11)),
         0)</f>
        <v>0</v>
      </c>
      <c r="AT61" s="453">
        <f ca="1">IF(AND($D61="Serviço",AT$12&lt;&gt;0,$H61&gt;0,OR(AUTOEVENTO&lt;&gt;"manual",$M61&lt;&gt;$A$15)),
        IF(Import.TipoArredondamento&lt;&gt;"TransfereGOV",
              ROUND(OFFSET($P61,0,AT$13),15-13*ORÇAMENTO!$AF$7)/$H61*OFFSET(ORÇAMENTO!$X$15,ROW(AT61)-ROW(AT$15),0),
              ROUND(ROUND(OFFSET($P61,0,AT$13),15-13*ORÇAMENTO!$AF$7)*OFFSET(ORÇAMENTO!$W$15,ROW(AT61)-ROW(AT$15),0),15-13*ORÇAMENTO!$AF$11)),
         0)</f>
        <v>0</v>
      </c>
      <c r="AU61" s="453">
        <f ca="1">IF(AND($D61="Serviço",AU$12&lt;&gt;0,$H61&gt;0,OR(AUTOEVENTO&lt;&gt;"manual",$M61&lt;&gt;$A$15)),
        IF(Import.TipoArredondamento&lt;&gt;"TransfereGOV",
              ROUND(OFFSET($P61,0,AU$13),15-13*ORÇAMENTO!$AF$7)/$H61*OFFSET(ORÇAMENTO!$X$15,ROW(AU61)-ROW(AU$15),0),
              ROUND(ROUND(OFFSET($P61,0,AU$13),15-13*ORÇAMENTO!$AF$7)*OFFSET(ORÇAMENTO!$W$15,ROW(AU61)-ROW(AU$15),0),15-13*ORÇAMENTO!$AF$11)),
         0)</f>
        <v>0</v>
      </c>
      <c r="AV61" s="453">
        <f ca="1">IF(AND($D61="Serviço",AV$12&lt;&gt;0,$H61&gt;0,OR(AUTOEVENTO&lt;&gt;"manual",$M61&lt;&gt;$A$15)),
        IF(Import.TipoArredondamento&lt;&gt;"TransfereGOV",
              ROUND(OFFSET($P61,0,AV$13),15-13*ORÇAMENTO!$AF$7)/$H61*OFFSET(ORÇAMENTO!$X$15,ROW(AV61)-ROW(AV$15),0),
              ROUND(ROUND(OFFSET($P61,0,AV$13),15-13*ORÇAMENTO!$AF$7)*OFFSET(ORÇAMENTO!$W$15,ROW(AV61)-ROW(AV$15),0),15-13*ORÇAMENTO!$AF$11)),
         0)</f>
        <v>0</v>
      </c>
      <c r="AW61" s="453">
        <f ca="1">IF(AND($D61="Serviço",AW$12&lt;&gt;0,$H61&gt;0,OR(AUTOEVENTO&lt;&gt;"manual",$M61&lt;&gt;$A$15)),
        IF(Import.TipoArredondamento&lt;&gt;"TransfereGOV",
              ROUND(OFFSET($P61,0,AW$13),15-13*ORÇAMENTO!$AF$7)/$H61*OFFSET(ORÇAMENTO!$X$15,ROW(AW61)-ROW(AW$15),0),
              ROUND(ROUND(OFFSET($P61,0,AW$13),15-13*ORÇAMENTO!$AF$7)*OFFSET(ORÇAMENTO!$W$15,ROW(AW61)-ROW(AW$15),0),15-13*ORÇAMENTO!$AF$11)),
         0)</f>
        <v>0</v>
      </c>
      <c r="AX61" s="453">
        <f ca="1">IF(AND($D61="Serviço",AX$12&lt;&gt;0,$H61&gt;0,OR(AUTOEVENTO&lt;&gt;"manual",$M61&lt;&gt;$A$15)),
        IF(Import.TipoArredondamento&lt;&gt;"TransfereGOV",
              ROUND(OFFSET($P61,0,AX$13),15-13*ORÇAMENTO!$AF$7)/$H61*OFFSET(ORÇAMENTO!$X$15,ROW(AX61)-ROW(AX$15),0),
              ROUND(ROUND(OFFSET($P61,0,AX$13),15-13*ORÇAMENTO!$AF$7)*OFFSET(ORÇAMENTO!$W$15,ROW(AX61)-ROW(AX$15),0),15-13*ORÇAMENTO!$AF$11)),
         0)</f>
        <v>0</v>
      </c>
      <c r="AY61" s="453">
        <f ca="1">IF(AND($D61="Serviço",AY$12&lt;&gt;0,$H61&gt;0,OR(AUTOEVENTO&lt;&gt;"manual",$M61&lt;&gt;$A$15)),
        IF(Import.TipoArredondamento&lt;&gt;"TransfereGOV",
              ROUND(OFFSET($P61,0,AY$13),15-13*ORÇAMENTO!$AF$7)/$H61*OFFSET(ORÇAMENTO!$X$15,ROW(AY61)-ROW(AY$15),0),
              ROUND(ROUND(OFFSET($P61,0,AY$13),15-13*ORÇAMENTO!$AF$7)*OFFSET(ORÇAMENTO!$W$15,ROW(AY61)-ROW(AY$15),0),15-13*ORÇAMENTO!$AF$11)),
         0)</f>
        <v>0</v>
      </c>
      <c r="AZ61" s="453">
        <f ca="1">IF(AND($D61="Serviço",AZ$12&lt;&gt;0,$H61&gt;0,OR(AUTOEVENTO&lt;&gt;"manual",$M61&lt;&gt;$A$15)),
        IF(Import.TipoArredondamento&lt;&gt;"TransfereGOV",
              ROUND(OFFSET($P61,0,AZ$13),15-13*ORÇAMENTO!$AF$7)/$H61*OFFSET(ORÇAMENTO!$X$15,ROW(AZ61)-ROW(AZ$15),0),
              ROUND(ROUND(OFFSET($P61,0,AZ$13),15-13*ORÇAMENTO!$AF$7)*OFFSET(ORÇAMENTO!$W$15,ROW(AZ61)-ROW(AZ$15),0),15-13*ORÇAMENTO!$AF$11)),
         0)</f>
        <v>0</v>
      </c>
      <c r="BA61" s="453">
        <f ca="1">IF(AND($D61="Serviço",BA$12&lt;&gt;0,$H61&gt;0,OR(AUTOEVENTO&lt;&gt;"manual",$M61&lt;&gt;$A$15)),
        IF(Import.TipoArredondamento&lt;&gt;"TransfereGOV",
              ROUND(OFFSET($P61,0,BA$13),15-13*ORÇAMENTO!$AF$7)/$H61*OFFSET(ORÇAMENTO!$X$15,ROW(BA61)-ROW(BA$15),0),
              ROUND(ROUND(OFFSET($P61,0,BA$13),15-13*ORÇAMENTO!$AF$7)*OFFSET(ORÇAMENTO!$W$15,ROW(BA61)-ROW(BA$15),0),15-13*ORÇAMENTO!$AF$11)),
         0)</f>
        <v>0</v>
      </c>
      <c r="BB61" s="453">
        <f ca="1">IF(AND($D61="Serviço",BB$12&lt;&gt;0,$H61&gt;0,OR(AUTOEVENTO&lt;&gt;"manual",$M61&lt;&gt;$A$15)),
        IF(Import.TipoArredondamento&lt;&gt;"TransfereGOV",
              ROUND(OFFSET($P61,0,BB$13),15-13*ORÇAMENTO!$AF$7)/$H61*OFFSET(ORÇAMENTO!$X$15,ROW(BB61)-ROW(BB$15),0),
              ROUND(ROUND(OFFSET($P61,0,BB$13),15-13*ORÇAMENTO!$AF$7)*OFFSET(ORÇAMENTO!$W$15,ROW(BB61)-ROW(BB$15),0),15-13*ORÇAMENTO!$AF$11)),
         0)</f>
        <v>0</v>
      </c>
      <c r="BC61" s="453">
        <f ca="1">IF(AND($D61="Serviço",BC$12&lt;&gt;0,$H61&gt;0,OR(AUTOEVENTO&lt;&gt;"manual",$M61&lt;&gt;$A$15)),
        IF(Import.TipoArredondamento&lt;&gt;"TransfereGOV",
              ROUND(OFFSET($P61,0,BC$13),15-13*ORÇAMENTO!$AF$7)/$H61*OFFSET(ORÇAMENTO!$X$15,ROW(BC61)-ROW(BC$15),0),
              ROUND(ROUND(OFFSET($P61,0,BC$13),15-13*ORÇAMENTO!$AF$7)*OFFSET(ORÇAMENTO!$W$15,ROW(BC61)-ROW(BC$15),0),15-13*ORÇAMENTO!$AF$11)),
         0)</f>
        <v>0</v>
      </c>
      <c r="BD61" s="453">
        <f ca="1">IF(AND($D61="Serviço",BD$12&lt;&gt;0,$H61&gt;0,OR(AUTOEVENTO&lt;&gt;"manual",$M61&lt;&gt;$A$15)),
        IF(Import.TipoArredondamento&lt;&gt;"TransfereGOV",
              ROUND(OFFSET($P61,0,BD$13),15-13*ORÇAMENTO!$AF$7)/$H61*OFFSET(ORÇAMENTO!$X$15,ROW(BD61)-ROW(BD$15),0),
              ROUND(ROUND(OFFSET($P61,0,BD$13),15-13*ORÇAMENTO!$AF$7)*OFFSET(ORÇAMENTO!$W$15,ROW(BD61)-ROW(BD$15),0),15-13*ORÇAMENTO!$AF$11)),
         0)</f>
        <v>0</v>
      </c>
      <c r="BE61" s="453">
        <f ca="1">IF(AND($D61="Serviço",BE$12&lt;&gt;0,$H61&gt;0,OR(AUTOEVENTO&lt;&gt;"manual",$M61&lt;&gt;$A$15)),
        IF(Import.TipoArredondamento&lt;&gt;"TransfereGOV",
              ROUND(OFFSET($P61,0,BE$13),15-13*ORÇAMENTO!$AF$7)/$H61*OFFSET(ORÇAMENTO!$X$15,ROW(BE61)-ROW(BE$15),0),
              ROUND(ROUND(OFFSET($P61,0,BE$13),15-13*ORÇAMENTO!$AF$7)*OFFSET(ORÇAMENTO!$W$15,ROW(BE61)-ROW(BE$15),0),15-13*ORÇAMENTO!$AF$11)),
         0)</f>
        <v>0</v>
      </c>
      <c r="BF61" s="453">
        <f ca="1">IF(AND($D61="Serviço",BF$12&lt;&gt;0,$H61&gt;0,OR(AUTOEVENTO&lt;&gt;"manual",$M61&lt;&gt;$A$15)),
        IF(Import.TipoArredondamento&lt;&gt;"TransfereGOV",
              ROUND(OFFSET($P61,0,BF$13),15-13*ORÇAMENTO!$AF$7)/$H61*OFFSET(ORÇAMENTO!$X$15,ROW(BF61)-ROW(BF$15),0),
              ROUND(ROUND(OFFSET($P61,0,BF$13),15-13*ORÇAMENTO!$AF$7)*OFFSET(ORÇAMENTO!$W$15,ROW(BF61)-ROW(BF$15),0),15-13*ORÇAMENTO!$AF$11)),
         0)</f>
        <v>0</v>
      </c>
      <c r="BG61" s="453">
        <f ca="1">IF(AND($D61="Serviço",BG$12&lt;&gt;0,$H61&gt;0,OR(AUTOEVENTO&lt;&gt;"manual",$M61&lt;&gt;$A$15)),
        IF(Import.TipoArredondamento&lt;&gt;"TransfereGOV",
              ROUND(OFFSET($P61,0,BG$13),15-13*ORÇAMENTO!$AF$7)/$H61*OFFSET(ORÇAMENTO!$X$15,ROW(BG61)-ROW(BG$15),0),
              ROUND(ROUND(OFFSET($P61,0,BG$13),15-13*ORÇAMENTO!$AF$7)*OFFSET(ORÇAMENTO!$W$15,ROW(BG61)-ROW(BG$15),0),15-13*ORÇAMENTO!$AF$11)),
         0)</f>
        <v>0</v>
      </c>
      <c r="BH61" s="453">
        <f ca="1">IF(AND($D61="Serviço",BH$12&lt;&gt;0,$H61&gt;0,OR(AUTOEVENTO&lt;&gt;"manual",$M61&lt;&gt;$A$15)),
        IF(Import.TipoArredondamento&lt;&gt;"TransfereGOV",
              ROUND(OFFSET($P61,0,BH$13),15-13*ORÇAMENTO!$AF$7)/$H61*OFFSET(ORÇAMENTO!$X$15,ROW(BH61)-ROW(BH$15),0),
              ROUND(ROUND(OFFSET($P61,0,BH$13),15-13*ORÇAMENTO!$AF$7)*OFFSET(ORÇAMENTO!$W$15,ROW(BH61)-ROW(BH$15),0),15-13*ORÇAMENTO!$AF$11)),
         0)</f>
        <v>0</v>
      </c>
      <c r="BI61" s="453">
        <f ca="1">IF(AND($D61="Serviço",BI$12&lt;&gt;0,$H61&gt;0,OR(AUTOEVENTO&lt;&gt;"manual",$M61&lt;&gt;$A$15)),
        IF(Import.TipoArredondamento&lt;&gt;"TransfereGOV",
              ROUND(OFFSET($P61,0,BI$13),15-13*ORÇAMENTO!$AF$7)/$H61*OFFSET(ORÇAMENTO!$X$15,ROW(BI61)-ROW(BI$15),0),
              ROUND(ROUND(OFFSET($P61,0,BI$13),15-13*ORÇAMENTO!$AF$7)*OFFSET(ORÇAMENTO!$W$15,ROW(BI61)-ROW(BI$15),0),15-13*ORÇAMENTO!$AF$11)),
         0)</f>
        <v>0</v>
      </c>
      <c r="BJ61" s="453">
        <f ca="1">IF(AND($D61="Serviço",BJ$12&lt;&gt;0,$H61&gt;0,OR(AUTOEVENTO&lt;&gt;"manual",$M61&lt;&gt;$A$15)),
        IF(Import.TipoArredondamento&lt;&gt;"TransfereGOV",
              ROUND(OFFSET($P61,0,BJ$13),15-13*ORÇAMENTO!$AF$7)/$H61*OFFSET(ORÇAMENTO!$X$15,ROW(BJ61)-ROW(BJ$15),0),
              ROUND(ROUND(OFFSET($P61,0,BJ$13),15-13*ORÇAMENTO!$AF$7)*OFFSET(ORÇAMENTO!$W$15,ROW(BJ61)-ROW(BJ$15),0),15-13*ORÇAMENTO!$AF$11)),
         0)</f>
        <v>0</v>
      </c>
      <c r="BK61" s="453">
        <f ca="1">IF(AND($D61="Serviço",BK$12&lt;&gt;0,$H61&gt;0,OR(AUTOEVENTO&lt;&gt;"manual",$M61&lt;&gt;$A$15)),
        IF(Import.TipoArredondamento&lt;&gt;"TransfereGOV",
              ROUND(OFFSET($P61,0,BK$13),15-13*ORÇAMENTO!$AF$7)/$H61*OFFSET(ORÇAMENTO!$X$15,ROW(BK61)-ROW(BK$15),0),
              ROUND(ROUND(OFFSET($P61,0,BK$13),15-13*ORÇAMENTO!$AF$7)*OFFSET(ORÇAMENTO!$W$15,ROW(BK61)-ROW(BK$15),0),15-13*ORÇAMENTO!$AF$11)),
         0)</f>
        <v>0</v>
      </c>
      <c r="BL61" s="453">
        <f ca="1">IF(AND($D61="Serviço",BL$12&lt;&gt;0,$H61&gt;0,OR(AUTOEVENTO&lt;&gt;"manual",$M61&lt;&gt;$A$15)),
        IF(Import.TipoArredondamento&lt;&gt;"TransfereGOV",
              ROUND(OFFSET($P61,0,BL$13),15-13*ORÇAMENTO!$AF$7)/$H61*OFFSET(ORÇAMENTO!$X$15,ROW(BL61)-ROW(BL$15),0),
              ROUND(ROUND(OFFSET($P61,0,BL$13),15-13*ORÇAMENTO!$AF$7)*OFFSET(ORÇAMENTO!$W$15,ROW(BL61)-ROW(BL$15),0),15-13*ORÇAMENTO!$AF$11)),
         0)</f>
        <v>0</v>
      </c>
      <c r="BM61" s="453">
        <f ca="1">IF(AND($D61="Serviço",BM$12&lt;&gt;0,$H61&gt;0,OR(AUTOEVENTO&lt;&gt;"manual",$M61&lt;&gt;$A$15)),
        IF(Import.TipoArredondamento&lt;&gt;"TransfereGOV",
              ROUND(OFFSET($P61,0,BM$13),15-13*ORÇAMENTO!$AF$7)/$H61*OFFSET(ORÇAMENTO!$X$15,ROW(BM61)-ROW(BM$15),0),
              ROUND(ROUND(OFFSET($P61,0,BM$13),15-13*ORÇAMENTO!$AF$7)*OFFSET(ORÇAMENTO!$W$15,ROW(BM61)-ROW(BM$15),0),15-13*ORÇAMENTO!$AF$11)),
         0)</f>
        <v>0</v>
      </c>
      <c r="BN61" s="453">
        <f ca="1">IF(AND($D61="Serviço",BN$12&lt;&gt;0,$H61&gt;0,OR(AUTOEVENTO&lt;&gt;"manual",$M61&lt;&gt;$A$15)),
        IF(Import.TipoArredondamento&lt;&gt;"TransfereGOV",
              ROUND(OFFSET($P61,0,BN$13),15-13*ORÇAMENTO!$AF$7)/$H61*OFFSET(ORÇAMENTO!$X$15,ROW(BN61)-ROW(BN$15),0),
              ROUND(ROUND(OFFSET($P61,0,BN$13),15-13*ORÇAMENTO!$AF$7)*OFFSET(ORÇAMENTO!$W$15,ROW(BN61)-ROW(BN$15),0),15-13*ORÇAMENTO!$AF$11)),
         0)</f>
        <v>0</v>
      </c>
      <c r="BO61" s="453">
        <f ca="1">IF(AND($D61="Serviço",BO$12&lt;&gt;0,$H61&gt;0,OR(AUTOEVENTO&lt;&gt;"manual",$M61&lt;&gt;$A$15)),
        IF(Import.TipoArredondamento&lt;&gt;"TransfereGOV",
              ROUND(OFFSET($P61,0,BO$13),15-13*ORÇAMENTO!$AF$7)/$H61*OFFSET(ORÇAMENTO!$X$15,ROW(BO61)-ROW(BO$15),0),
              ROUND(ROUND(OFFSET($P61,0,BO$13),15-13*ORÇAMENTO!$AF$7)*OFFSET(ORÇAMENTO!$W$15,ROW(BO61)-ROW(BO$15),0),15-13*ORÇAMENTO!$AF$11)),
         0)</f>
        <v>0</v>
      </c>
      <c r="BP61" s="453">
        <f ca="1">IF(AND($D61="Serviço",BP$12&lt;&gt;0,$H61&gt;0,OR(AUTOEVENTO&lt;&gt;"manual",$M61&lt;&gt;$A$15)),
        IF(Import.TipoArredondamento&lt;&gt;"TransfereGOV",
              ROUND(OFFSET($P61,0,BP$13),15-13*ORÇAMENTO!$AF$7)/$H61*OFFSET(ORÇAMENTO!$X$15,ROW(BP61)-ROW(BP$15),0),
              ROUND(ROUND(OFFSET($P61,0,BP$13),15-13*ORÇAMENTO!$AF$7)*OFFSET(ORÇAMENTO!$W$15,ROW(BP61)-ROW(BP$15),0),15-13*ORÇAMENTO!$AF$11)),
         0)</f>
        <v>0</v>
      </c>
      <c r="BQ61" s="453">
        <f ca="1">IF(AND($D61="Serviço",BQ$12&lt;&gt;0,$H61&gt;0,OR(AUTOEVENTO&lt;&gt;"manual",$M61&lt;&gt;$A$15)),
        IF(Import.TipoArredondamento&lt;&gt;"TransfereGOV",
              ROUND(OFFSET($P61,0,BQ$13),15-13*ORÇAMENTO!$AF$7)/$H61*OFFSET(ORÇAMENTO!$X$15,ROW(BQ61)-ROW(BQ$15),0),
              ROUND(ROUND(OFFSET($P61,0,BQ$13),15-13*ORÇAMENTO!$AF$7)*OFFSET(ORÇAMENTO!$W$15,ROW(BQ61)-ROW(BQ$15),0),15-13*ORÇAMENTO!$AF$11)),
         0)</f>
        <v>0</v>
      </c>
      <c r="BS61" s="171">
        <f ca="1">IF(OR($D61&lt;&gt;"Serviço",AND(AUTOEVENTO="Manual",$M61=$A$15)),0,
         IF(OFFSET(CRONOPLE!$F$15,$M61-$A$15,BS$13)=0,10^12,OFFSET(CRONOPLE!$F$15,$M61-$A$15,BS$13)))</f>
        <v>0</v>
      </c>
      <c r="BT61" s="171">
        <f ca="1">IF(OR($D61&lt;&gt;"Serviço",AND(AUTOEVENTO="Manual",$M61=$A$15)),0,
         IF(OFFSET(CRONOPLE!$F$15,$M61-$A$15,BT$13)=0,10^12,OFFSET(CRONOPLE!$F$15,$M61-$A$15,BT$13)))</f>
        <v>0</v>
      </c>
      <c r="BU61" s="171">
        <f ca="1">IF(OR($D61&lt;&gt;"Serviço",AND(AUTOEVENTO="Manual",$M61=$A$15)),0,
         IF(OFFSET(CRONOPLE!$F$15,$M61-$A$15,BU$13)=0,10^12,OFFSET(CRONOPLE!$F$15,$M61-$A$15,BU$13)))</f>
        <v>0</v>
      </c>
      <c r="BV61" s="171">
        <f ca="1">IF(OR($D61&lt;&gt;"Serviço",AND(AUTOEVENTO="Manual",$M61=$A$15)),0,
         IF(OFFSET(CRONOPLE!$F$15,$M61-$A$15,BV$13)=0,10^12,OFFSET(CRONOPLE!$F$15,$M61-$A$15,BV$13)))</f>
        <v>0</v>
      </c>
      <c r="BW61" s="171">
        <f ca="1">IF(OR($D61&lt;&gt;"Serviço",AND(AUTOEVENTO="Manual",$M61=$A$15)),0,
         IF(OFFSET(CRONOPLE!$F$15,$M61-$A$15,BW$13)=0,10^12,OFFSET(CRONOPLE!$F$15,$M61-$A$15,BW$13)))</f>
        <v>0</v>
      </c>
      <c r="BX61" s="171">
        <f ca="1">IF(OR($D61&lt;&gt;"Serviço",AND(AUTOEVENTO="Manual",$M61=$A$15)),0,
         IF(OFFSET(CRONOPLE!$F$15,$M61-$A$15,BX$13)=0,10^12,OFFSET(CRONOPLE!$F$15,$M61-$A$15,BX$13)))</f>
        <v>0</v>
      </c>
      <c r="BY61" s="171">
        <f ca="1">IF(OR($D61&lt;&gt;"Serviço",AND(AUTOEVENTO="Manual",$M61=$A$15)),0,
         IF(OFFSET(CRONOPLE!$F$15,$M61-$A$15,BY$13)=0,10^12,OFFSET(CRONOPLE!$F$15,$M61-$A$15,BY$13)))</f>
        <v>0</v>
      </c>
      <c r="BZ61" s="171">
        <f ca="1">IF(OR($D61&lt;&gt;"Serviço",AND(AUTOEVENTO="Manual",$M61=$A$15)),0,
         IF(OFFSET(CRONOPLE!$F$15,$M61-$A$15,BZ$13)=0,10^12,OFFSET(CRONOPLE!$F$15,$M61-$A$15,BZ$13)))</f>
        <v>0</v>
      </c>
      <c r="CA61" s="171">
        <f ca="1">IF(OR($D61&lt;&gt;"Serviço",AND(AUTOEVENTO="Manual",$M61=$A$15)),0,
         IF(OFFSET(CRONOPLE!$F$15,$M61-$A$15,CA$13)=0,10^12,OFFSET(CRONOPLE!$F$15,$M61-$A$15,CA$13)))</f>
        <v>0</v>
      </c>
      <c r="CB61" s="171">
        <f ca="1">IF(OR($D61&lt;&gt;"Serviço",AND(AUTOEVENTO="Manual",$M61=$A$15)),0,
         IF(OFFSET(CRONOPLE!$F$15,$M61-$A$15,CB$13)=0,10^12,OFFSET(CRONOPLE!$F$15,$M61-$A$15,CB$13)))</f>
        <v>0</v>
      </c>
      <c r="CC61" s="171">
        <f ca="1">IF(OR($D61&lt;&gt;"Serviço",AND(AUTOEVENTO="Manual",$M61=$A$15)),0,
         IF(OFFSET(CRONOPLE!$F$15,$M61-$A$15,CC$13)=0,10^12,OFFSET(CRONOPLE!$F$15,$M61-$A$15,CC$13)))</f>
        <v>0</v>
      </c>
      <c r="CD61" s="171">
        <f ca="1">IF(OR($D61&lt;&gt;"Serviço",AND(AUTOEVENTO="Manual",$M61=$A$15)),0,
         IF(OFFSET(CRONOPLE!$F$15,$M61-$A$15,CD$13)=0,10^12,OFFSET(CRONOPLE!$F$15,$M61-$A$15,CD$13)))</f>
        <v>0</v>
      </c>
      <c r="CE61" s="171">
        <f ca="1">IF(OR($D61&lt;&gt;"Serviço",AND(AUTOEVENTO="Manual",$M61=$A$15)),0,
         IF(OFFSET(CRONOPLE!$F$15,$M61-$A$15,CE$13)=0,10^12,OFFSET(CRONOPLE!$F$15,$M61-$A$15,CE$13)))</f>
        <v>0</v>
      </c>
      <c r="CF61" s="171">
        <f ca="1">IF(OR($D61&lt;&gt;"Serviço",AND(AUTOEVENTO="Manual",$M61=$A$15)),0,
         IF(OFFSET(CRONOPLE!$F$15,$M61-$A$15,CF$13)=0,10^12,OFFSET(CRONOPLE!$F$15,$M61-$A$15,CF$13)))</f>
        <v>0</v>
      </c>
      <c r="CG61" s="171">
        <f ca="1">IF(OR($D61&lt;&gt;"Serviço",AND(AUTOEVENTO="Manual",$M61=$A$15)),0,
         IF(OFFSET(CRONOPLE!$F$15,$M61-$A$15,CG$13)=0,10^12,OFFSET(CRONOPLE!$F$15,$M61-$A$15,CG$13)))</f>
        <v>0</v>
      </c>
      <c r="CH61" s="171">
        <f ca="1">IF(OR($D61&lt;&gt;"Serviço",AND(AUTOEVENTO="Manual",$M61=$A$15)),0,
         IF(OFFSET(CRONOPLE!$F$15,$M61-$A$15,CH$13)=0,10^12,OFFSET(CRONOPLE!$F$15,$M61-$A$15,CH$13)))</f>
        <v>0</v>
      </c>
      <c r="CI61" s="171">
        <f ca="1">IF(OR($D61&lt;&gt;"Serviço",AND(AUTOEVENTO="Manual",$M61=$A$15)),0,
         IF(OFFSET(CRONOPLE!$F$15,$M61-$A$15,CI$13)=0,10^12,OFFSET(CRONOPLE!$F$15,$M61-$A$15,CI$13)))</f>
        <v>0</v>
      </c>
      <c r="CJ61" s="171">
        <f ca="1">IF(OR($D61&lt;&gt;"Serviço",AND(AUTOEVENTO="Manual",$M61=$A$15)),0,
         IF(OFFSET(CRONOPLE!$F$15,$M61-$A$15,CJ$13)=0,10^12,OFFSET(CRONOPLE!$F$15,$M61-$A$15,CJ$13)))</f>
        <v>0</v>
      </c>
      <c r="CK61" s="171">
        <f ca="1">IF(OR($D61&lt;&gt;"Serviço",AND(AUTOEVENTO="Manual",$M61=$A$15)),0,
         IF(OFFSET(CRONOPLE!$F$15,$M61-$A$15,CK$13)=0,10^12,OFFSET(CRONOPLE!$F$15,$M61-$A$15,CK$13)))</f>
        <v>0</v>
      </c>
      <c r="CL61" s="171">
        <f ca="1">IF(OR($D61&lt;&gt;"Serviço",AND(AUTOEVENTO="Manual",$M61=$A$15)),0,
         IF(OFFSET(CRONOPLE!$F$15,$M61-$A$15,CL$13)=0,10^12,OFFSET(CRONOPLE!$F$15,$M61-$A$15,CL$13)))</f>
        <v>0</v>
      </c>
      <c r="CM61" s="171">
        <f ca="1">IF(OR($D61&lt;&gt;"Serviço",AND(AUTOEVENTO="Manual",$M61=$A$15)),0,
         IF(OFFSET(CRONOPLE!$F$15,$M61-$A$15,CM$13)=0,10^12,OFFSET(CRONOPLE!$F$15,$M61-$A$15,CM$13)))</f>
        <v>0</v>
      </c>
      <c r="CN61" s="171">
        <f ca="1">IF(OR($D61&lt;&gt;"Serviço",AND(AUTOEVENTO="Manual",$M61=$A$15)),0,
         IF(OFFSET(CRONOPLE!$F$15,$M61-$A$15,CN$13)=0,10^12,OFFSET(CRONOPLE!$F$15,$M61-$A$15,CN$13)))</f>
        <v>0</v>
      </c>
      <c r="CO61" s="171">
        <f ca="1">IF(OR($D61&lt;&gt;"Serviço",AND(AUTOEVENTO="Manual",$M61=$A$15)),0,
         IF(OFFSET(CRONOPLE!$F$15,$M61-$A$15,CO$13)=0,10^12,OFFSET(CRONOPLE!$F$15,$M61-$A$15,CO$13)))</f>
        <v>0</v>
      </c>
      <c r="CP61" s="171">
        <f ca="1">IF(OR($D61&lt;&gt;"Serviço",AND(AUTOEVENTO="Manual",$M61=$A$15)),0,
         IF(OFFSET(CRONOPLE!$F$15,$M61-$A$15,CP$13)=0,10^12,OFFSET(CRONOPLE!$F$15,$M61-$A$15,CP$13)))</f>
        <v>0</v>
      </c>
      <c r="CQ61" s="171">
        <f ca="1">IF(OR($D61&lt;&gt;"Serviço",AND(AUTOEVENTO="Manual",$M61=$A$15)),0,
         IF(OFFSET(CRONOPLE!$F$15,$M61-$A$15,CQ$13)=0,10^12,OFFSET(CRONOPLE!$F$15,$M61-$A$15,CQ$13)))</f>
        <v>0</v>
      </c>
      <c r="CR61" s="171">
        <f ca="1">IF(OR($D61&lt;&gt;"Serviço",AND(AUTOEVENTO="Manual",$M61=$A$15)),0,
         IF(OFFSET(CRONOPLE!$F$15,$M61-$A$15,CR$13)=0,10^12,OFFSET(CRONOPLE!$F$15,$M61-$A$15,CR$13)))</f>
        <v>0</v>
      </c>
      <c r="CT61" s="172" cm="1">
        <f t="array" aca="1" ref="CT61" ca="1">IF(OR($D61&lt;&gt;"Serviço",AND(AUTOEVENTO="Manual",$M61=$A$15),$M61&gt;(ROW(PLE.lastrow)-ROW(PLE.firstrow))),0,
           IF(OFFSET(PLE!$G$15,$M61-$A$15,CT$13)="",10^12,OFFSET(PLE!$G$15,$M61-$A$15,CT$13)))</f>
        <v>0</v>
      </c>
      <c r="CU61" s="172" cm="1">
        <f t="array" aca="1" ref="CU61" ca="1">IF(OR($D61&lt;&gt;"Serviço",AND(AUTOEVENTO="Manual",$M61=$A$15),$M61&gt;(ROW(PLE.lastrow)-ROW(PLE.firstrow))),0,
           IF(OFFSET(PLE!$G$15,$M61-$A$15,CU$13)="",10^12,OFFSET(PLE!$G$15,$M61-$A$15,CU$13)))</f>
        <v>0</v>
      </c>
      <c r="CV61" s="172" cm="1">
        <f t="array" aca="1" ref="CV61" ca="1">IF(OR($D61&lt;&gt;"Serviço",AND(AUTOEVENTO="Manual",$M61=$A$15),$M61&gt;(ROW(PLE.lastrow)-ROW(PLE.firstrow))),0,
           IF(OFFSET(PLE!$G$15,$M61-$A$15,CV$13)="",10^12,OFFSET(PLE!$G$15,$M61-$A$15,CV$13)))</f>
        <v>0</v>
      </c>
      <c r="CW61" s="172" cm="1">
        <f t="array" aca="1" ref="CW61" ca="1">IF(OR($D61&lt;&gt;"Serviço",AND(AUTOEVENTO="Manual",$M61=$A$15),$M61&gt;(ROW(PLE.lastrow)-ROW(PLE.firstrow))),0,
           IF(OFFSET(PLE!$G$15,$M61-$A$15,CW$13)="",10^12,OFFSET(PLE!$G$15,$M61-$A$15,CW$13)))</f>
        <v>0</v>
      </c>
      <c r="CX61" s="172" cm="1">
        <f t="array" aca="1" ref="CX61" ca="1">IF(OR($D61&lt;&gt;"Serviço",AND(AUTOEVENTO="Manual",$M61=$A$15),$M61&gt;(ROW(PLE.lastrow)-ROW(PLE.firstrow))),0,
           IF(OFFSET(PLE!$G$15,$M61-$A$15,CX$13)="",10^12,OFFSET(PLE!$G$15,$M61-$A$15,CX$13)))</f>
        <v>0</v>
      </c>
      <c r="CY61" s="172" cm="1">
        <f t="array" aca="1" ref="CY61" ca="1">IF(OR($D61&lt;&gt;"Serviço",AND(AUTOEVENTO="Manual",$M61=$A$15),$M61&gt;(ROW(PLE.lastrow)-ROW(PLE.firstrow))),0,
           IF(OFFSET(PLE!$G$15,$M61-$A$15,CY$13)="",10^12,OFFSET(PLE!$G$15,$M61-$A$15,CY$13)))</f>
        <v>0</v>
      </c>
      <c r="CZ61" s="172" cm="1">
        <f t="array" aca="1" ref="CZ61" ca="1">IF(OR($D61&lt;&gt;"Serviço",AND(AUTOEVENTO="Manual",$M61=$A$15),$M61&gt;(ROW(PLE.lastrow)-ROW(PLE.firstrow))),0,
           IF(OFFSET(PLE!$G$15,$M61-$A$15,CZ$13)="",10^12,OFFSET(PLE!$G$15,$M61-$A$15,CZ$13)))</f>
        <v>0</v>
      </c>
      <c r="DA61" s="172" cm="1">
        <f t="array" aca="1" ref="DA61" ca="1">IF(OR($D61&lt;&gt;"Serviço",AND(AUTOEVENTO="Manual",$M61=$A$15),$M61&gt;(ROW(PLE.lastrow)-ROW(PLE.firstrow))),0,
           IF(OFFSET(PLE!$G$15,$M61-$A$15,DA$13)="",10^12,OFFSET(PLE!$G$15,$M61-$A$15,DA$13)))</f>
        <v>0</v>
      </c>
      <c r="DB61" s="172" cm="1">
        <f t="array" aca="1" ref="DB61" ca="1">IF(OR($D61&lt;&gt;"Serviço",AND(AUTOEVENTO="Manual",$M61=$A$15),$M61&gt;(ROW(PLE.lastrow)-ROW(PLE.firstrow))),0,
           IF(OFFSET(PLE!$G$15,$M61-$A$15,DB$13)="",10^12,OFFSET(PLE!$G$15,$M61-$A$15,DB$13)))</f>
        <v>0</v>
      </c>
      <c r="DC61" s="172" cm="1">
        <f t="array" aca="1" ref="DC61" ca="1">IF(OR($D61&lt;&gt;"Serviço",AND(AUTOEVENTO="Manual",$M61=$A$15),$M61&gt;(ROW(PLE.lastrow)-ROW(PLE.firstrow))),0,
           IF(OFFSET(PLE!$G$15,$M61-$A$15,DC$13)="",10^12,OFFSET(PLE!$G$15,$M61-$A$15,DC$13)))</f>
        <v>0</v>
      </c>
      <c r="DD61" s="172" cm="1">
        <f t="array" aca="1" ref="DD61" ca="1">IF(OR($D61&lt;&gt;"Serviço",AND(AUTOEVENTO="Manual",$M61=$A$15),$M61&gt;(ROW(PLE.lastrow)-ROW(PLE.firstrow))),0,
           IF(OFFSET(PLE!$G$15,$M61-$A$15,DD$13)="",10^12,OFFSET(PLE!$G$15,$M61-$A$15,DD$13)))</f>
        <v>0</v>
      </c>
      <c r="DE61" s="172" cm="1">
        <f t="array" aca="1" ref="DE61" ca="1">IF(OR($D61&lt;&gt;"Serviço",AND(AUTOEVENTO="Manual",$M61=$A$15),$M61&gt;(ROW(PLE.lastrow)-ROW(PLE.firstrow))),0,
           IF(OFFSET(PLE!$G$15,$M61-$A$15,DE$13)="",10^12,OFFSET(PLE!$G$15,$M61-$A$15,DE$13)))</f>
        <v>0</v>
      </c>
      <c r="DF61" s="172" cm="1">
        <f t="array" aca="1" ref="DF61" ca="1">IF(OR($D61&lt;&gt;"Serviço",AND(AUTOEVENTO="Manual",$M61=$A$15),$M61&gt;(ROW(PLE.lastrow)-ROW(PLE.firstrow))),0,
           IF(OFFSET(PLE!$G$15,$M61-$A$15,DF$13)="",10^12,OFFSET(PLE!$G$15,$M61-$A$15,DF$13)))</f>
        <v>0</v>
      </c>
      <c r="DG61" s="172" cm="1">
        <f t="array" aca="1" ref="DG61" ca="1">IF(OR($D61&lt;&gt;"Serviço",AND(AUTOEVENTO="Manual",$M61=$A$15),$M61&gt;(ROW(PLE.lastrow)-ROW(PLE.firstrow))),0,
           IF(OFFSET(PLE!$G$15,$M61-$A$15,DG$13)="",10^12,OFFSET(PLE!$G$15,$M61-$A$15,DG$13)))</f>
        <v>0</v>
      </c>
      <c r="DH61" s="172" cm="1">
        <f t="array" aca="1" ref="DH61" ca="1">IF(OR($D61&lt;&gt;"Serviço",AND(AUTOEVENTO="Manual",$M61=$A$15),$M61&gt;(ROW(PLE.lastrow)-ROW(PLE.firstrow))),0,
           IF(OFFSET(PLE!$G$15,$M61-$A$15,DH$13)="",10^12,OFFSET(PLE!$G$15,$M61-$A$15,DH$13)))</f>
        <v>0</v>
      </c>
      <c r="DI61" s="172" cm="1">
        <f t="array" aca="1" ref="DI61" ca="1">IF(OR($D61&lt;&gt;"Serviço",AND(AUTOEVENTO="Manual",$M61=$A$15),$M61&gt;(ROW(PLE.lastrow)-ROW(PLE.firstrow))),0,
           IF(OFFSET(PLE!$G$15,$M61-$A$15,DI$13)="",10^12,OFFSET(PLE!$G$15,$M61-$A$15,DI$13)))</f>
        <v>0</v>
      </c>
      <c r="DJ61" s="172" cm="1">
        <f t="array" aca="1" ref="DJ61" ca="1">IF(OR($D61&lt;&gt;"Serviço",AND(AUTOEVENTO="Manual",$M61=$A$15),$M61&gt;(ROW(PLE.lastrow)-ROW(PLE.firstrow))),0,
           IF(OFFSET(PLE!$G$15,$M61-$A$15,DJ$13)="",10^12,OFFSET(PLE!$G$15,$M61-$A$15,DJ$13)))</f>
        <v>0</v>
      </c>
      <c r="DK61" s="172" cm="1">
        <f t="array" aca="1" ref="DK61" ca="1">IF(OR($D61&lt;&gt;"Serviço",AND(AUTOEVENTO="Manual",$M61=$A$15),$M61&gt;(ROW(PLE.lastrow)-ROW(PLE.firstrow))),0,
           IF(OFFSET(PLE!$G$15,$M61-$A$15,DK$13)="",10^12,OFFSET(PLE!$G$15,$M61-$A$15,DK$13)))</f>
        <v>0</v>
      </c>
      <c r="DL61" s="172" cm="1">
        <f t="array" aca="1" ref="DL61" ca="1">IF(OR($D61&lt;&gt;"Serviço",AND(AUTOEVENTO="Manual",$M61=$A$15),$M61&gt;(ROW(PLE.lastrow)-ROW(PLE.firstrow))),0,
           IF(OFFSET(PLE!$G$15,$M61-$A$15,DL$13)="",10^12,OFFSET(PLE!$G$15,$M61-$A$15,DL$13)))</f>
        <v>0</v>
      </c>
      <c r="DM61" s="172" cm="1">
        <f t="array" aca="1" ref="DM61" ca="1">IF(OR($D61&lt;&gt;"Serviço",AND(AUTOEVENTO="Manual",$M61=$A$15),$M61&gt;(ROW(PLE.lastrow)-ROW(PLE.firstrow))),0,
           IF(OFFSET(PLE!$G$15,$M61-$A$15,DM$13)="",10^12,OFFSET(PLE!$G$15,$M61-$A$15,DM$13)))</f>
        <v>0</v>
      </c>
      <c r="DN61" s="172" cm="1">
        <f t="array" aca="1" ref="DN61" ca="1">IF(OR($D61&lt;&gt;"Serviço",AND(AUTOEVENTO="Manual",$M61=$A$15),$M61&gt;(ROW(PLE.lastrow)-ROW(PLE.firstrow))),0,
           IF(OFFSET(PLE!$G$15,$M61-$A$15,DN$13)="",10^12,OFFSET(PLE!$G$15,$M61-$A$15,DN$13)))</f>
        <v>0</v>
      </c>
      <c r="DO61" s="172" cm="1">
        <f t="array" aca="1" ref="DO61" ca="1">IF(OR($D61&lt;&gt;"Serviço",AND(AUTOEVENTO="Manual",$M61=$A$15),$M61&gt;(ROW(PLE.lastrow)-ROW(PLE.firstrow))),0,
           IF(OFFSET(PLE!$G$15,$M61-$A$15,DO$13)="",10^12,OFFSET(PLE!$G$15,$M61-$A$15,DO$13)))</f>
        <v>0</v>
      </c>
      <c r="DP61" s="172" cm="1">
        <f t="array" aca="1" ref="DP61" ca="1">IF(OR($D61&lt;&gt;"Serviço",AND(AUTOEVENTO="Manual",$M61=$A$15),$M61&gt;(ROW(PLE.lastrow)-ROW(PLE.firstrow))),0,
           IF(OFFSET(PLE!$G$15,$M61-$A$15,DP$13)="",10^12,OFFSET(PLE!$G$15,$M61-$A$15,DP$13)))</f>
        <v>0</v>
      </c>
      <c r="DQ61" s="172" cm="1">
        <f t="array" aca="1" ref="DQ61" ca="1">IF(OR($D61&lt;&gt;"Serviço",AND(AUTOEVENTO="Manual",$M61=$A$15),$M61&gt;(ROW(PLE.lastrow)-ROW(PLE.firstrow))),0,
           IF(OFFSET(PLE!$G$15,$M61-$A$15,DQ$13)="",10^12,OFFSET(PLE!$G$15,$M61-$A$15,DQ$13)))</f>
        <v>0</v>
      </c>
      <c r="DR61" s="172" cm="1">
        <f t="array" aca="1" ref="DR61" ca="1">IF(OR($D61&lt;&gt;"Serviço",AND(AUTOEVENTO="Manual",$M61=$A$15),$M61&gt;(ROW(PLE.lastrow)-ROW(PLE.firstrow))),0,
           IF(OFFSET(PLE!$G$15,$M61-$A$15,DR$13)="",10^12,OFFSET(PLE!$G$15,$M61-$A$15,DR$13)))</f>
        <v>0</v>
      </c>
      <c r="DS61" s="172" cm="1">
        <f t="array" aca="1" ref="DS61" ca="1">IF(OR($D61&lt;&gt;"Serviço",AND(AUTOEVENTO="Manual",$M61=$A$15),$M61&gt;(ROW(PLE.lastrow)-ROW(PLE.firstrow))),0,
           IF(OFFSET(PLE!$G$15,$M61-$A$15,DS$13)="",10^12,OFFSET(PLE!$G$15,$M61-$A$15,DS$13)))</f>
        <v>0</v>
      </c>
    </row>
    <row r="62" spans="1:123" ht="12.75" x14ac:dyDescent="0.2">
      <c r="A62" s="7">
        <f t="shared" ca="1" si="11"/>
        <v>0</v>
      </c>
      <c r="B62" s="7">
        <f ca="1">OFFSET(ORÇAMENTO!C$15,$L62,0)</f>
        <v>2</v>
      </c>
      <c r="C62" s="7" t="str">
        <f ca="1">OFFSET(ORÇAMENTO!L$15,$L62,0)</f>
        <v>F</v>
      </c>
      <c r="D62" s="116" t="str">
        <f ca="1">OFFSET(ORÇAMENTO!N$15,$L62,0)</f>
        <v>Nível 2</v>
      </c>
      <c r="E62" s="117" t="str">
        <f ca="1">OFFSET(ORÇAMENTO!O$15,$L62,0)</f>
        <v>5.1.</v>
      </c>
      <c r="F62" s="163" t="str">
        <f ca="1">OFFSET(ORÇAMENTO!R$15,$L62,0)</f>
        <v>ALVENARIA/FECHAMENTOS</v>
      </c>
      <c r="G62" s="164" t="str">
        <f ca="1">IF($D62&lt;&gt;"Serviço","",OFFSET(ORÇAMENTO!S$15,$L62,0))</f>
        <v/>
      </c>
      <c r="H62" s="122" cm="1">
        <f t="array" aca="1" ref="H62" ca="1">IF($D62&lt;&gt;"Serviço",0,IF(ACOMPANHAMENTO="BM",ROUND(OFFSET(ORÇAMENTO!AJ$15,$L62,0),15-13*ORÇAMENTO!$AF$7),IF(IFERROR(CÁLCULO.FrentesPreenchidas,0)=0,0,SUM(ROUND(OFFSET($P62,0,1,1,CÁLCULO.FrentesPreenchidas),15-13*ORÇAMENTO!$AF$7)))))</f>
        <v>0</v>
      </c>
      <c r="I62" s="468"/>
      <c r="J62" s="651" t="str" cm="1">
        <f t="array" aca="1" ref="J62" ca="1">IF(OR(B62&lt;&gt;"S",CÁLCULO.FrentesPreenchidas=0),"",IF(AND(ACOMPANHAMENTO="PLE",AUTOEVENTO="Manual",OR(H62&gt;0,ORÇAMENTO!AC62="QUANT."),OR(K62="",M62=0,N62="")),"►E",IF(AND(ACOMPANHAMENTO="PLE",ORÇAMENTO!AC62="QUANT."),"►Q",IF(AND(ACOMPANHAMENTO="PLE",H62&lt;&gt;SUMPRODUCT(($Q$1:$AQ$1=1)*ROUND(Q62:AQ62,15))),"►S",IF(AND(COUNTIF($P$11:$AQ$11,"▼")=0,H62&gt;0,I62=""),"◄M","")))))</f>
        <v/>
      </c>
      <c r="K62" s="652"/>
      <c r="L62" s="165">
        <f t="shared" ca="1" si="12"/>
        <v>47</v>
      </c>
      <c r="M62" s="166" t="str">
        <f ca="1">IF($D62&lt;&gt;"Serviço","",
          IF(AUTOEVENTO="manual",$A62,
                IF(ISERROR(MATCH($A62,$A$15:OFFSET($A62,-1,0),0)),MAX($M$15:OFFSET(M62,-1,0))+1,
                      INDEX($M$15:OFFSET(M62,-1,0),MATCH($A62,$A$15:OFFSET($A62,-1,0),0)))))</f>
        <v/>
      </c>
      <c r="N62" s="167" t="str">
        <f ca="1">IF($D62&lt;&gt;"Serviço","",
         IF(AUTOEVENTO="Manual",
                IF($A62=0,"&lt;-- defina o número do agrupador",
                       OFFSET(EVENTOS!$D$15,$A62-$A$15,0)),
                OFFSET($F$15,$A62,0)))</f>
        <v/>
      </c>
      <c r="O62" s="168"/>
      <c r="Q62" s="168"/>
      <c r="R62" s="169"/>
      <c r="S62" s="169"/>
      <c r="T62" s="169"/>
      <c r="U62" s="169"/>
      <c r="V62" s="169"/>
      <c r="W62" s="169"/>
      <c r="X62" s="169"/>
      <c r="Y62" s="169"/>
      <c r="Z62" s="170"/>
      <c r="AA62" s="169"/>
      <c r="AB62" s="169"/>
      <c r="AC62" s="169"/>
      <c r="AD62" s="169"/>
      <c r="AE62" s="169"/>
      <c r="AF62" s="169"/>
      <c r="AG62" s="169"/>
      <c r="AH62" s="170"/>
      <c r="AI62" s="169"/>
      <c r="AJ62" s="169"/>
      <c r="AK62" s="169"/>
      <c r="AL62" s="169"/>
      <c r="AM62" s="169"/>
      <c r="AN62" s="169"/>
      <c r="AO62" s="169"/>
      <c r="AP62" s="170"/>
      <c r="AR62" s="453">
        <f ca="1">IF(AND($D62="Serviço",AR$12&lt;&gt;0,$H62&gt;0,OR(AUTOEVENTO&lt;&gt;"manual",$M62&lt;&gt;$A$15)),
        IF(Import.TipoArredondamento&lt;&gt;"TransfereGOV",
              ROUND(OFFSET($P62,0,AR$13),15-13*ORÇAMENTO!$AF$7)/$H62*OFFSET(ORÇAMENTO!$X$15,ROW(AR62)-ROW(AR$15),0),
              ROUND(ROUND(OFFSET($P62,0,AR$13),15-13*ORÇAMENTO!$AF$7)*OFFSET(ORÇAMENTO!$W$15,ROW(AR62)-ROW(AR$15),0),15-13*ORÇAMENTO!$AF$11)),
         0)</f>
        <v>0</v>
      </c>
      <c r="AS62" s="453">
        <f ca="1">IF(AND($D62="Serviço",AS$12&lt;&gt;0,$H62&gt;0,OR(AUTOEVENTO&lt;&gt;"manual",$M62&lt;&gt;$A$15)),
        IF(Import.TipoArredondamento&lt;&gt;"TransfereGOV",
              ROUND(OFFSET($P62,0,AS$13),15-13*ORÇAMENTO!$AF$7)/$H62*OFFSET(ORÇAMENTO!$X$15,ROW(AS62)-ROW(AS$15),0),
              ROUND(ROUND(OFFSET($P62,0,AS$13),15-13*ORÇAMENTO!$AF$7)*OFFSET(ORÇAMENTO!$W$15,ROW(AS62)-ROW(AS$15),0),15-13*ORÇAMENTO!$AF$11)),
         0)</f>
        <v>0</v>
      </c>
      <c r="AT62" s="453">
        <f ca="1">IF(AND($D62="Serviço",AT$12&lt;&gt;0,$H62&gt;0,OR(AUTOEVENTO&lt;&gt;"manual",$M62&lt;&gt;$A$15)),
        IF(Import.TipoArredondamento&lt;&gt;"TransfereGOV",
              ROUND(OFFSET($P62,0,AT$13),15-13*ORÇAMENTO!$AF$7)/$H62*OFFSET(ORÇAMENTO!$X$15,ROW(AT62)-ROW(AT$15),0),
              ROUND(ROUND(OFFSET($P62,0,AT$13),15-13*ORÇAMENTO!$AF$7)*OFFSET(ORÇAMENTO!$W$15,ROW(AT62)-ROW(AT$15),0),15-13*ORÇAMENTO!$AF$11)),
         0)</f>
        <v>0</v>
      </c>
      <c r="AU62" s="453">
        <f ca="1">IF(AND($D62="Serviço",AU$12&lt;&gt;0,$H62&gt;0,OR(AUTOEVENTO&lt;&gt;"manual",$M62&lt;&gt;$A$15)),
        IF(Import.TipoArredondamento&lt;&gt;"TransfereGOV",
              ROUND(OFFSET($P62,0,AU$13),15-13*ORÇAMENTO!$AF$7)/$H62*OFFSET(ORÇAMENTO!$X$15,ROW(AU62)-ROW(AU$15),0),
              ROUND(ROUND(OFFSET($P62,0,AU$13),15-13*ORÇAMENTO!$AF$7)*OFFSET(ORÇAMENTO!$W$15,ROW(AU62)-ROW(AU$15),0),15-13*ORÇAMENTO!$AF$11)),
         0)</f>
        <v>0</v>
      </c>
      <c r="AV62" s="453">
        <f ca="1">IF(AND($D62="Serviço",AV$12&lt;&gt;0,$H62&gt;0,OR(AUTOEVENTO&lt;&gt;"manual",$M62&lt;&gt;$A$15)),
        IF(Import.TipoArredondamento&lt;&gt;"TransfereGOV",
              ROUND(OFFSET($P62,0,AV$13),15-13*ORÇAMENTO!$AF$7)/$H62*OFFSET(ORÇAMENTO!$X$15,ROW(AV62)-ROW(AV$15),0),
              ROUND(ROUND(OFFSET($P62,0,AV$13),15-13*ORÇAMENTO!$AF$7)*OFFSET(ORÇAMENTO!$W$15,ROW(AV62)-ROW(AV$15),0),15-13*ORÇAMENTO!$AF$11)),
         0)</f>
        <v>0</v>
      </c>
      <c r="AW62" s="453">
        <f ca="1">IF(AND($D62="Serviço",AW$12&lt;&gt;0,$H62&gt;0,OR(AUTOEVENTO&lt;&gt;"manual",$M62&lt;&gt;$A$15)),
        IF(Import.TipoArredondamento&lt;&gt;"TransfereGOV",
              ROUND(OFFSET($P62,0,AW$13),15-13*ORÇAMENTO!$AF$7)/$H62*OFFSET(ORÇAMENTO!$X$15,ROW(AW62)-ROW(AW$15),0),
              ROUND(ROUND(OFFSET($P62,0,AW$13),15-13*ORÇAMENTO!$AF$7)*OFFSET(ORÇAMENTO!$W$15,ROW(AW62)-ROW(AW$15),0),15-13*ORÇAMENTO!$AF$11)),
         0)</f>
        <v>0</v>
      </c>
      <c r="AX62" s="453">
        <f ca="1">IF(AND($D62="Serviço",AX$12&lt;&gt;0,$H62&gt;0,OR(AUTOEVENTO&lt;&gt;"manual",$M62&lt;&gt;$A$15)),
        IF(Import.TipoArredondamento&lt;&gt;"TransfereGOV",
              ROUND(OFFSET($P62,0,AX$13),15-13*ORÇAMENTO!$AF$7)/$H62*OFFSET(ORÇAMENTO!$X$15,ROW(AX62)-ROW(AX$15),0),
              ROUND(ROUND(OFFSET($P62,0,AX$13),15-13*ORÇAMENTO!$AF$7)*OFFSET(ORÇAMENTO!$W$15,ROW(AX62)-ROW(AX$15),0),15-13*ORÇAMENTO!$AF$11)),
         0)</f>
        <v>0</v>
      </c>
      <c r="AY62" s="453">
        <f ca="1">IF(AND($D62="Serviço",AY$12&lt;&gt;0,$H62&gt;0,OR(AUTOEVENTO&lt;&gt;"manual",$M62&lt;&gt;$A$15)),
        IF(Import.TipoArredondamento&lt;&gt;"TransfereGOV",
              ROUND(OFFSET($P62,0,AY$13),15-13*ORÇAMENTO!$AF$7)/$H62*OFFSET(ORÇAMENTO!$X$15,ROW(AY62)-ROW(AY$15),0),
              ROUND(ROUND(OFFSET($P62,0,AY$13),15-13*ORÇAMENTO!$AF$7)*OFFSET(ORÇAMENTO!$W$15,ROW(AY62)-ROW(AY$15),0),15-13*ORÇAMENTO!$AF$11)),
         0)</f>
        <v>0</v>
      </c>
      <c r="AZ62" s="453">
        <f ca="1">IF(AND($D62="Serviço",AZ$12&lt;&gt;0,$H62&gt;0,OR(AUTOEVENTO&lt;&gt;"manual",$M62&lt;&gt;$A$15)),
        IF(Import.TipoArredondamento&lt;&gt;"TransfereGOV",
              ROUND(OFFSET($P62,0,AZ$13),15-13*ORÇAMENTO!$AF$7)/$H62*OFFSET(ORÇAMENTO!$X$15,ROW(AZ62)-ROW(AZ$15),0),
              ROUND(ROUND(OFFSET($P62,0,AZ$13),15-13*ORÇAMENTO!$AF$7)*OFFSET(ORÇAMENTO!$W$15,ROW(AZ62)-ROW(AZ$15),0),15-13*ORÇAMENTO!$AF$11)),
         0)</f>
        <v>0</v>
      </c>
      <c r="BA62" s="453">
        <f ca="1">IF(AND($D62="Serviço",BA$12&lt;&gt;0,$H62&gt;0,OR(AUTOEVENTO&lt;&gt;"manual",$M62&lt;&gt;$A$15)),
        IF(Import.TipoArredondamento&lt;&gt;"TransfereGOV",
              ROUND(OFFSET($P62,0,BA$13),15-13*ORÇAMENTO!$AF$7)/$H62*OFFSET(ORÇAMENTO!$X$15,ROW(BA62)-ROW(BA$15),0),
              ROUND(ROUND(OFFSET($P62,0,BA$13),15-13*ORÇAMENTO!$AF$7)*OFFSET(ORÇAMENTO!$W$15,ROW(BA62)-ROW(BA$15),0),15-13*ORÇAMENTO!$AF$11)),
         0)</f>
        <v>0</v>
      </c>
      <c r="BB62" s="453">
        <f ca="1">IF(AND($D62="Serviço",BB$12&lt;&gt;0,$H62&gt;0,OR(AUTOEVENTO&lt;&gt;"manual",$M62&lt;&gt;$A$15)),
        IF(Import.TipoArredondamento&lt;&gt;"TransfereGOV",
              ROUND(OFFSET($P62,0,BB$13),15-13*ORÇAMENTO!$AF$7)/$H62*OFFSET(ORÇAMENTO!$X$15,ROW(BB62)-ROW(BB$15),0),
              ROUND(ROUND(OFFSET($P62,0,BB$13),15-13*ORÇAMENTO!$AF$7)*OFFSET(ORÇAMENTO!$W$15,ROW(BB62)-ROW(BB$15),0),15-13*ORÇAMENTO!$AF$11)),
         0)</f>
        <v>0</v>
      </c>
      <c r="BC62" s="453">
        <f ca="1">IF(AND($D62="Serviço",BC$12&lt;&gt;0,$H62&gt;0,OR(AUTOEVENTO&lt;&gt;"manual",$M62&lt;&gt;$A$15)),
        IF(Import.TipoArredondamento&lt;&gt;"TransfereGOV",
              ROUND(OFFSET($P62,0,BC$13),15-13*ORÇAMENTO!$AF$7)/$H62*OFFSET(ORÇAMENTO!$X$15,ROW(BC62)-ROW(BC$15),0),
              ROUND(ROUND(OFFSET($P62,0,BC$13),15-13*ORÇAMENTO!$AF$7)*OFFSET(ORÇAMENTO!$W$15,ROW(BC62)-ROW(BC$15),0),15-13*ORÇAMENTO!$AF$11)),
         0)</f>
        <v>0</v>
      </c>
      <c r="BD62" s="453">
        <f ca="1">IF(AND($D62="Serviço",BD$12&lt;&gt;0,$H62&gt;0,OR(AUTOEVENTO&lt;&gt;"manual",$M62&lt;&gt;$A$15)),
        IF(Import.TipoArredondamento&lt;&gt;"TransfereGOV",
              ROUND(OFFSET($P62,0,BD$13),15-13*ORÇAMENTO!$AF$7)/$H62*OFFSET(ORÇAMENTO!$X$15,ROW(BD62)-ROW(BD$15),0),
              ROUND(ROUND(OFFSET($P62,0,BD$13),15-13*ORÇAMENTO!$AF$7)*OFFSET(ORÇAMENTO!$W$15,ROW(BD62)-ROW(BD$15),0),15-13*ORÇAMENTO!$AF$11)),
         0)</f>
        <v>0</v>
      </c>
      <c r="BE62" s="453">
        <f ca="1">IF(AND($D62="Serviço",BE$12&lt;&gt;0,$H62&gt;0,OR(AUTOEVENTO&lt;&gt;"manual",$M62&lt;&gt;$A$15)),
        IF(Import.TipoArredondamento&lt;&gt;"TransfereGOV",
              ROUND(OFFSET($P62,0,BE$13),15-13*ORÇAMENTO!$AF$7)/$H62*OFFSET(ORÇAMENTO!$X$15,ROW(BE62)-ROW(BE$15),0),
              ROUND(ROUND(OFFSET($P62,0,BE$13),15-13*ORÇAMENTO!$AF$7)*OFFSET(ORÇAMENTO!$W$15,ROW(BE62)-ROW(BE$15),0),15-13*ORÇAMENTO!$AF$11)),
         0)</f>
        <v>0</v>
      </c>
      <c r="BF62" s="453">
        <f ca="1">IF(AND($D62="Serviço",BF$12&lt;&gt;0,$H62&gt;0,OR(AUTOEVENTO&lt;&gt;"manual",$M62&lt;&gt;$A$15)),
        IF(Import.TipoArredondamento&lt;&gt;"TransfereGOV",
              ROUND(OFFSET($P62,0,BF$13),15-13*ORÇAMENTO!$AF$7)/$H62*OFFSET(ORÇAMENTO!$X$15,ROW(BF62)-ROW(BF$15),0),
              ROUND(ROUND(OFFSET($P62,0,BF$13),15-13*ORÇAMENTO!$AF$7)*OFFSET(ORÇAMENTO!$W$15,ROW(BF62)-ROW(BF$15),0),15-13*ORÇAMENTO!$AF$11)),
         0)</f>
        <v>0</v>
      </c>
      <c r="BG62" s="453">
        <f ca="1">IF(AND($D62="Serviço",BG$12&lt;&gt;0,$H62&gt;0,OR(AUTOEVENTO&lt;&gt;"manual",$M62&lt;&gt;$A$15)),
        IF(Import.TipoArredondamento&lt;&gt;"TransfereGOV",
              ROUND(OFFSET($P62,0,BG$13),15-13*ORÇAMENTO!$AF$7)/$H62*OFFSET(ORÇAMENTO!$X$15,ROW(BG62)-ROW(BG$15),0),
              ROUND(ROUND(OFFSET($P62,0,BG$13),15-13*ORÇAMENTO!$AF$7)*OFFSET(ORÇAMENTO!$W$15,ROW(BG62)-ROW(BG$15),0),15-13*ORÇAMENTO!$AF$11)),
         0)</f>
        <v>0</v>
      </c>
      <c r="BH62" s="453">
        <f ca="1">IF(AND($D62="Serviço",BH$12&lt;&gt;0,$H62&gt;0,OR(AUTOEVENTO&lt;&gt;"manual",$M62&lt;&gt;$A$15)),
        IF(Import.TipoArredondamento&lt;&gt;"TransfereGOV",
              ROUND(OFFSET($P62,0,BH$13),15-13*ORÇAMENTO!$AF$7)/$H62*OFFSET(ORÇAMENTO!$X$15,ROW(BH62)-ROW(BH$15),0),
              ROUND(ROUND(OFFSET($P62,0,BH$13),15-13*ORÇAMENTO!$AF$7)*OFFSET(ORÇAMENTO!$W$15,ROW(BH62)-ROW(BH$15),0),15-13*ORÇAMENTO!$AF$11)),
         0)</f>
        <v>0</v>
      </c>
      <c r="BI62" s="453">
        <f ca="1">IF(AND($D62="Serviço",BI$12&lt;&gt;0,$H62&gt;0,OR(AUTOEVENTO&lt;&gt;"manual",$M62&lt;&gt;$A$15)),
        IF(Import.TipoArredondamento&lt;&gt;"TransfereGOV",
              ROUND(OFFSET($P62,0,BI$13),15-13*ORÇAMENTO!$AF$7)/$H62*OFFSET(ORÇAMENTO!$X$15,ROW(BI62)-ROW(BI$15),0),
              ROUND(ROUND(OFFSET($P62,0,BI$13),15-13*ORÇAMENTO!$AF$7)*OFFSET(ORÇAMENTO!$W$15,ROW(BI62)-ROW(BI$15),0),15-13*ORÇAMENTO!$AF$11)),
         0)</f>
        <v>0</v>
      </c>
      <c r="BJ62" s="453">
        <f ca="1">IF(AND($D62="Serviço",BJ$12&lt;&gt;0,$H62&gt;0,OR(AUTOEVENTO&lt;&gt;"manual",$M62&lt;&gt;$A$15)),
        IF(Import.TipoArredondamento&lt;&gt;"TransfereGOV",
              ROUND(OFFSET($P62,0,BJ$13),15-13*ORÇAMENTO!$AF$7)/$H62*OFFSET(ORÇAMENTO!$X$15,ROW(BJ62)-ROW(BJ$15),0),
              ROUND(ROUND(OFFSET($P62,0,BJ$13),15-13*ORÇAMENTO!$AF$7)*OFFSET(ORÇAMENTO!$W$15,ROW(BJ62)-ROW(BJ$15),0),15-13*ORÇAMENTO!$AF$11)),
         0)</f>
        <v>0</v>
      </c>
      <c r="BK62" s="453">
        <f ca="1">IF(AND($D62="Serviço",BK$12&lt;&gt;0,$H62&gt;0,OR(AUTOEVENTO&lt;&gt;"manual",$M62&lt;&gt;$A$15)),
        IF(Import.TipoArredondamento&lt;&gt;"TransfereGOV",
              ROUND(OFFSET($P62,0,BK$13),15-13*ORÇAMENTO!$AF$7)/$H62*OFFSET(ORÇAMENTO!$X$15,ROW(BK62)-ROW(BK$15),0),
              ROUND(ROUND(OFFSET($P62,0,BK$13),15-13*ORÇAMENTO!$AF$7)*OFFSET(ORÇAMENTO!$W$15,ROW(BK62)-ROW(BK$15),0),15-13*ORÇAMENTO!$AF$11)),
         0)</f>
        <v>0</v>
      </c>
      <c r="BL62" s="453">
        <f ca="1">IF(AND($D62="Serviço",BL$12&lt;&gt;0,$H62&gt;0,OR(AUTOEVENTO&lt;&gt;"manual",$M62&lt;&gt;$A$15)),
        IF(Import.TipoArredondamento&lt;&gt;"TransfereGOV",
              ROUND(OFFSET($P62,0,BL$13),15-13*ORÇAMENTO!$AF$7)/$H62*OFFSET(ORÇAMENTO!$X$15,ROW(BL62)-ROW(BL$15),0),
              ROUND(ROUND(OFFSET($P62,0,BL$13),15-13*ORÇAMENTO!$AF$7)*OFFSET(ORÇAMENTO!$W$15,ROW(BL62)-ROW(BL$15),0),15-13*ORÇAMENTO!$AF$11)),
         0)</f>
        <v>0</v>
      </c>
      <c r="BM62" s="453">
        <f ca="1">IF(AND($D62="Serviço",BM$12&lt;&gt;0,$H62&gt;0,OR(AUTOEVENTO&lt;&gt;"manual",$M62&lt;&gt;$A$15)),
        IF(Import.TipoArredondamento&lt;&gt;"TransfereGOV",
              ROUND(OFFSET($P62,0,BM$13),15-13*ORÇAMENTO!$AF$7)/$H62*OFFSET(ORÇAMENTO!$X$15,ROW(BM62)-ROW(BM$15),0),
              ROUND(ROUND(OFFSET($P62,0,BM$13),15-13*ORÇAMENTO!$AF$7)*OFFSET(ORÇAMENTO!$W$15,ROW(BM62)-ROW(BM$15),0),15-13*ORÇAMENTO!$AF$11)),
         0)</f>
        <v>0</v>
      </c>
      <c r="BN62" s="453">
        <f ca="1">IF(AND($D62="Serviço",BN$12&lt;&gt;0,$H62&gt;0,OR(AUTOEVENTO&lt;&gt;"manual",$M62&lt;&gt;$A$15)),
        IF(Import.TipoArredondamento&lt;&gt;"TransfereGOV",
              ROUND(OFFSET($P62,0,BN$13),15-13*ORÇAMENTO!$AF$7)/$H62*OFFSET(ORÇAMENTO!$X$15,ROW(BN62)-ROW(BN$15),0),
              ROUND(ROUND(OFFSET($P62,0,BN$13),15-13*ORÇAMENTO!$AF$7)*OFFSET(ORÇAMENTO!$W$15,ROW(BN62)-ROW(BN$15),0),15-13*ORÇAMENTO!$AF$11)),
         0)</f>
        <v>0</v>
      </c>
      <c r="BO62" s="453">
        <f ca="1">IF(AND($D62="Serviço",BO$12&lt;&gt;0,$H62&gt;0,OR(AUTOEVENTO&lt;&gt;"manual",$M62&lt;&gt;$A$15)),
        IF(Import.TipoArredondamento&lt;&gt;"TransfereGOV",
              ROUND(OFFSET($P62,0,BO$13),15-13*ORÇAMENTO!$AF$7)/$H62*OFFSET(ORÇAMENTO!$X$15,ROW(BO62)-ROW(BO$15),0),
              ROUND(ROUND(OFFSET($P62,0,BO$13),15-13*ORÇAMENTO!$AF$7)*OFFSET(ORÇAMENTO!$W$15,ROW(BO62)-ROW(BO$15),0),15-13*ORÇAMENTO!$AF$11)),
         0)</f>
        <v>0</v>
      </c>
      <c r="BP62" s="453">
        <f ca="1">IF(AND($D62="Serviço",BP$12&lt;&gt;0,$H62&gt;0,OR(AUTOEVENTO&lt;&gt;"manual",$M62&lt;&gt;$A$15)),
        IF(Import.TipoArredondamento&lt;&gt;"TransfereGOV",
              ROUND(OFFSET($P62,0,BP$13),15-13*ORÇAMENTO!$AF$7)/$H62*OFFSET(ORÇAMENTO!$X$15,ROW(BP62)-ROW(BP$15),0),
              ROUND(ROUND(OFFSET($P62,0,BP$13),15-13*ORÇAMENTO!$AF$7)*OFFSET(ORÇAMENTO!$W$15,ROW(BP62)-ROW(BP$15),0),15-13*ORÇAMENTO!$AF$11)),
         0)</f>
        <v>0</v>
      </c>
      <c r="BQ62" s="453">
        <f ca="1">IF(AND($D62="Serviço",BQ$12&lt;&gt;0,$H62&gt;0,OR(AUTOEVENTO&lt;&gt;"manual",$M62&lt;&gt;$A$15)),
        IF(Import.TipoArredondamento&lt;&gt;"TransfereGOV",
              ROUND(OFFSET($P62,0,BQ$13),15-13*ORÇAMENTO!$AF$7)/$H62*OFFSET(ORÇAMENTO!$X$15,ROW(BQ62)-ROW(BQ$15),0),
              ROUND(ROUND(OFFSET($P62,0,BQ$13),15-13*ORÇAMENTO!$AF$7)*OFFSET(ORÇAMENTO!$W$15,ROW(BQ62)-ROW(BQ$15),0),15-13*ORÇAMENTO!$AF$11)),
         0)</f>
        <v>0</v>
      </c>
      <c r="BS62" s="171">
        <f ca="1">IF(OR($D62&lt;&gt;"Serviço",AND(AUTOEVENTO="Manual",$M62=$A$15)),0,
         IF(OFFSET(CRONOPLE!$F$15,$M62-$A$15,BS$13)=0,10^12,OFFSET(CRONOPLE!$F$15,$M62-$A$15,BS$13)))</f>
        <v>0</v>
      </c>
      <c r="BT62" s="171">
        <f ca="1">IF(OR($D62&lt;&gt;"Serviço",AND(AUTOEVENTO="Manual",$M62=$A$15)),0,
         IF(OFFSET(CRONOPLE!$F$15,$M62-$A$15,BT$13)=0,10^12,OFFSET(CRONOPLE!$F$15,$M62-$A$15,BT$13)))</f>
        <v>0</v>
      </c>
      <c r="BU62" s="171">
        <f ca="1">IF(OR($D62&lt;&gt;"Serviço",AND(AUTOEVENTO="Manual",$M62=$A$15)),0,
         IF(OFFSET(CRONOPLE!$F$15,$M62-$A$15,BU$13)=0,10^12,OFFSET(CRONOPLE!$F$15,$M62-$A$15,BU$13)))</f>
        <v>0</v>
      </c>
      <c r="BV62" s="171">
        <f ca="1">IF(OR($D62&lt;&gt;"Serviço",AND(AUTOEVENTO="Manual",$M62=$A$15)),0,
         IF(OFFSET(CRONOPLE!$F$15,$M62-$A$15,BV$13)=0,10^12,OFFSET(CRONOPLE!$F$15,$M62-$A$15,BV$13)))</f>
        <v>0</v>
      </c>
      <c r="BW62" s="171">
        <f ca="1">IF(OR($D62&lt;&gt;"Serviço",AND(AUTOEVENTO="Manual",$M62=$A$15)),0,
         IF(OFFSET(CRONOPLE!$F$15,$M62-$A$15,BW$13)=0,10^12,OFFSET(CRONOPLE!$F$15,$M62-$A$15,BW$13)))</f>
        <v>0</v>
      </c>
      <c r="BX62" s="171">
        <f ca="1">IF(OR($D62&lt;&gt;"Serviço",AND(AUTOEVENTO="Manual",$M62=$A$15)),0,
         IF(OFFSET(CRONOPLE!$F$15,$M62-$A$15,BX$13)=0,10^12,OFFSET(CRONOPLE!$F$15,$M62-$A$15,BX$13)))</f>
        <v>0</v>
      </c>
      <c r="BY62" s="171">
        <f ca="1">IF(OR($D62&lt;&gt;"Serviço",AND(AUTOEVENTO="Manual",$M62=$A$15)),0,
         IF(OFFSET(CRONOPLE!$F$15,$M62-$A$15,BY$13)=0,10^12,OFFSET(CRONOPLE!$F$15,$M62-$A$15,BY$13)))</f>
        <v>0</v>
      </c>
      <c r="BZ62" s="171">
        <f ca="1">IF(OR($D62&lt;&gt;"Serviço",AND(AUTOEVENTO="Manual",$M62=$A$15)),0,
         IF(OFFSET(CRONOPLE!$F$15,$M62-$A$15,BZ$13)=0,10^12,OFFSET(CRONOPLE!$F$15,$M62-$A$15,BZ$13)))</f>
        <v>0</v>
      </c>
      <c r="CA62" s="171">
        <f ca="1">IF(OR($D62&lt;&gt;"Serviço",AND(AUTOEVENTO="Manual",$M62=$A$15)),0,
         IF(OFFSET(CRONOPLE!$F$15,$M62-$A$15,CA$13)=0,10^12,OFFSET(CRONOPLE!$F$15,$M62-$A$15,CA$13)))</f>
        <v>0</v>
      </c>
      <c r="CB62" s="171">
        <f ca="1">IF(OR($D62&lt;&gt;"Serviço",AND(AUTOEVENTO="Manual",$M62=$A$15)),0,
         IF(OFFSET(CRONOPLE!$F$15,$M62-$A$15,CB$13)=0,10^12,OFFSET(CRONOPLE!$F$15,$M62-$A$15,CB$13)))</f>
        <v>0</v>
      </c>
      <c r="CC62" s="171">
        <f ca="1">IF(OR($D62&lt;&gt;"Serviço",AND(AUTOEVENTO="Manual",$M62=$A$15)),0,
         IF(OFFSET(CRONOPLE!$F$15,$M62-$A$15,CC$13)=0,10^12,OFFSET(CRONOPLE!$F$15,$M62-$A$15,CC$13)))</f>
        <v>0</v>
      </c>
      <c r="CD62" s="171">
        <f ca="1">IF(OR($D62&lt;&gt;"Serviço",AND(AUTOEVENTO="Manual",$M62=$A$15)),0,
         IF(OFFSET(CRONOPLE!$F$15,$M62-$A$15,CD$13)=0,10^12,OFFSET(CRONOPLE!$F$15,$M62-$A$15,CD$13)))</f>
        <v>0</v>
      </c>
      <c r="CE62" s="171">
        <f ca="1">IF(OR($D62&lt;&gt;"Serviço",AND(AUTOEVENTO="Manual",$M62=$A$15)),0,
         IF(OFFSET(CRONOPLE!$F$15,$M62-$A$15,CE$13)=0,10^12,OFFSET(CRONOPLE!$F$15,$M62-$A$15,CE$13)))</f>
        <v>0</v>
      </c>
      <c r="CF62" s="171">
        <f ca="1">IF(OR($D62&lt;&gt;"Serviço",AND(AUTOEVENTO="Manual",$M62=$A$15)),0,
         IF(OFFSET(CRONOPLE!$F$15,$M62-$A$15,CF$13)=0,10^12,OFFSET(CRONOPLE!$F$15,$M62-$A$15,CF$13)))</f>
        <v>0</v>
      </c>
      <c r="CG62" s="171">
        <f ca="1">IF(OR($D62&lt;&gt;"Serviço",AND(AUTOEVENTO="Manual",$M62=$A$15)),0,
         IF(OFFSET(CRONOPLE!$F$15,$M62-$A$15,CG$13)=0,10^12,OFFSET(CRONOPLE!$F$15,$M62-$A$15,CG$13)))</f>
        <v>0</v>
      </c>
      <c r="CH62" s="171">
        <f ca="1">IF(OR($D62&lt;&gt;"Serviço",AND(AUTOEVENTO="Manual",$M62=$A$15)),0,
         IF(OFFSET(CRONOPLE!$F$15,$M62-$A$15,CH$13)=0,10^12,OFFSET(CRONOPLE!$F$15,$M62-$A$15,CH$13)))</f>
        <v>0</v>
      </c>
      <c r="CI62" s="171">
        <f ca="1">IF(OR($D62&lt;&gt;"Serviço",AND(AUTOEVENTO="Manual",$M62=$A$15)),0,
         IF(OFFSET(CRONOPLE!$F$15,$M62-$A$15,CI$13)=0,10^12,OFFSET(CRONOPLE!$F$15,$M62-$A$15,CI$13)))</f>
        <v>0</v>
      </c>
      <c r="CJ62" s="171">
        <f ca="1">IF(OR($D62&lt;&gt;"Serviço",AND(AUTOEVENTO="Manual",$M62=$A$15)),0,
         IF(OFFSET(CRONOPLE!$F$15,$M62-$A$15,CJ$13)=0,10^12,OFFSET(CRONOPLE!$F$15,$M62-$A$15,CJ$13)))</f>
        <v>0</v>
      </c>
      <c r="CK62" s="171">
        <f ca="1">IF(OR($D62&lt;&gt;"Serviço",AND(AUTOEVENTO="Manual",$M62=$A$15)),0,
         IF(OFFSET(CRONOPLE!$F$15,$M62-$A$15,CK$13)=0,10^12,OFFSET(CRONOPLE!$F$15,$M62-$A$15,CK$13)))</f>
        <v>0</v>
      </c>
      <c r="CL62" s="171">
        <f ca="1">IF(OR($D62&lt;&gt;"Serviço",AND(AUTOEVENTO="Manual",$M62=$A$15)),0,
         IF(OFFSET(CRONOPLE!$F$15,$M62-$A$15,CL$13)=0,10^12,OFFSET(CRONOPLE!$F$15,$M62-$A$15,CL$13)))</f>
        <v>0</v>
      </c>
      <c r="CM62" s="171">
        <f ca="1">IF(OR($D62&lt;&gt;"Serviço",AND(AUTOEVENTO="Manual",$M62=$A$15)),0,
         IF(OFFSET(CRONOPLE!$F$15,$M62-$A$15,CM$13)=0,10^12,OFFSET(CRONOPLE!$F$15,$M62-$A$15,CM$13)))</f>
        <v>0</v>
      </c>
      <c r="CN62" s="171">
        <f ca="1">IF(OR($D62&lt;&gt;"Serviço",AND(AUTOEVENTO="Manual",$M62=$A$15)),0,
         IF(OFFSET(CRONOPLE!$F$15,$M62-$A$15,CN$13)=0,10^12,OFFSET(CRONOPLE!$F$15,$M62-$A$15,CN$13)))</f>
        <v>0</v>
      </c>
      <c r="CO62" s="171">
        <f ca="1">IF(OR($D62&lt;&gt;"Serviço",AND(AUTOEVENTO="Manual",$M62=$A$15)),0,
         IF(OFFSET(CRONOPLE!$F$15,$M62-$A$15,CO$13)=0,10^12,OFFSET(CRONOPLE!$F$15,$M62-$A$15,CO$13)))</f>
        <v>0</v>
      </c>
      <c r="CP62" s="171">
        <f ca="1">IF(OR($D62&lt;&gt;"Serviço",AND(AUTOEVENTO="Manual",$M62=$A$15)),0,
         IF(OFFSET(CRONOPLE!$F$15,$M62-$A$15,CP$13)=0,10^12,OFFSET(CRONOPLE!$F$15,$M62-$A$15,CP$13)))</f>
        <v>0</v>
      </c>
      <c r="CQ62" s="171">
        <f ca="1">IF(OR($D62&lt;&gt;"Serviço",AND(AUTOEVENTO="Manual",$M62=$A$15)),0,
         IF(OFFSET(CRONOPLE!$F$15,$M62-$A$15,CQ$13)=0,10^12,OFFSET(CRONOPLE!$F$15,$M62-$A$15,CQ$13)))</f>
        <v>0</v>
      </c>
      <c r="CR62" s="171">
        <f ca="1">IF(OR($D62&lt;&gt;"Serviço",AND(AUTOEVENTO="Manual",$M62=$A$15)),0,
         IF(OFFSET(CRONOPLE!$F$15,$M62-$A$15,CR$13)=0,10^12,OFFSET(CRONOPLE!$F$15,$M62-$A$15,CR$13)))</f>
        <v>0</v>
      </c>
      <c r="CT62" s="172" cm="1">
        <f t="array" aca="1" ref="CT62" ca="1">IF(OR($D62&lt;&gt;"Serviço",AND(AUTOEVENTO="Manual",$M62=$A$15),$M62&gt;(ROW(PLE.lastrow)-ROW(PLE.firstrow))),0,
           IF(OFFSET(PLE!$G$15,$M62-$A$15,CT$13)="",10^12,OFFSET(PLE!$G$15,$M62-$A$15,CT$13)))</f>
        <v>0</v>
      </c>
      <c r="CU62" s="172" cm="1">
        <f t="array" aca="1" ref="CU62" ca="1">IF(OR($D62&lt;&gt;"Serviço",AND(AUTOEVENTO="Manual",$M62=$A$15),$M62&gt;(ROW(PLE.lastrow)-ROW(PLE.firstrow))),0,
           IF(OFFSET(PLE!$G$15,$M62-$A$15,CU$13)="",10^12,OFFSET(PLE!$G$15,$M62-$A$15,CU$13)))</f>
        <v>0</v>
      </c>
      <c r="CV62" s="172" cm="1">
        <f t="array" aca="1" ref="CV62" ca="1">IF(OR($D62&lt;&gt;"Serviço",AND(AUTOEVENTO="Manual",$M62=$A$15),$M62&gt;(ROW(PLE.lastrow)-ROW(PLE.firstrow))),0,
           IF(OFFSET(PLE!$G$15,$M62-$A$15,CV$13)="",10^12,OFFSET(PLE!$G$15,$M62-$A$15,CV$13)))</f>
        <v>0</v>
      </c>
      <c r="CW62" s="172" cm="1">
        <f t="array" aca="1" ref="CW62" ca="1">IF(OR($D62&lt;&gt;"Serviço",AND(AUTOEVENTO="Manual",$M62=$A$15),$M62&gt;(ROW(PLE.lastrow)-ROW(PLE.firstrow))),0,
           IF(OFFSET(PLE!$G$15,$M62-$A$15,CW$13)="",10^12,OFFSET(PLE!$G$15,$M62-$A$15,CW$13)))</f>
        <v>0</v>
      </c>
      <c r="CX62" s="172" cm="1">
        <f t="array" aca="1" ref="CX62" ca="1">IF(OR($D62&lt;&gt;"Serviço",AND(AUTOEVENTO="Manual",$M62=$A$15),$M62&gt;(ROW(PLE.lastrow)-ROW(PLE.firstrow))),0,
           IF(OFFSET(PLE!$G$15,$M62-$A$15,CX$13)="",10^12,OFFSET(PLE!$G$15,$M62-$A$15,CX$13)))</f>
        <v>0</v>
      </c>
      <c r="CY62" s="172" cm="1">
        <f t="array" aca="1" ref="CY62" ca="1">IF(OR($D62&lt;&gt;"Serviço",AND(AUTOEVENTO="Manual",$M62=$A$15),$M62&gt;(ROW(PLE.lastrow)-ROW(PLE.firstrow))),0,
           IF(OFFSET(PLE!$G$15,$M62-$A$15,CY$13)="",10^12,OFFSET(PLE!$G$15,$M62-$A$15,CY$13)))</f>
        <v>0</v>
      </c>
      <c r="CZ62" s="172" cm="1">
        <f t="array" aca="1" ref="CZ62" ca="1">IF(OR($D62&lt;&gt;"Serviço",AND(AUTOEVENTO="Manual",$M62=$A$15),$M62&gt;(ROW(PLE.lastrow)-ROW(PLE.firstrow))),0,
           IF(OFFSET(PLE!$G$15,$M62-$A$15,CZ$13)="",10^12,OFFSET(PLE!$G$15,$M62-$A$15,CZ$13)))</f>
        <v>0</v>
      </c>
      <c r="DA62" s="172" cm="1">
        <f t="array" aca="1" ref="DA62" ca="1">IF(OR($D62&lt;&gt;"Serviço",AND(AUTOEVENTO="Manual",$M62=$A$15),$M62&gt;(ROW(PLE.lastrow)-ROW(PLE.firstrow))),0,
           IF(OFFSET(PLE!$G$15,$M62-$A$15,DA$13)="",10^12,OFFSET(PLE!$G$15,$M62-$A$15,DA$13)))</f>
        <v>0</v>
      </c>
      <c r="DB62" s="172" cm="1">
        <f t="array" aca="1" ref="DB62" ca="1">IF(OR($D62&lt;&gt;"Serviço",AND(AUTOEVENTO="Manual",$M62=$A$15),$M62&gt;(ROW(PLE.lastrow)-ROW(PLE.firstrow))),0,
           IF(OFFSET(PLE!$G$15,$M62-$A$15,DB$13)="",10^12,OFFSET(PLE!$G$15,$M62-$A$15,DB$13)))</f>
        <v>0</v>
      </c>
      <c r="DC62" s="172" cm="1">
        <f t="array" aca="1" ref="DC62" ca="1">IF(OR($D62&lt;&gt;"Serviço",AND(AUTOEVENTO="Manual",$M62=$A$15),$M62&gt;(ROW(PLE.lastrow)-ROW(PLE.firstrow))),0,
           IF(OFFSET(PLE!$G$15,$M62-$A$15,DC$13)="",10^12,OFFSET(PLE!$G$15,$M62-$A$15,DC$13)))</f>
        <v>0</v>
      </c>
      <c r="DD62" s="172" cm="1">
        <f t="array" aca="1" ref="DD62" ca="1">IF(OR($D62&lt;&gt;"Serviço",AND(AUTOEVENTO="Manual",$M62=$A$15),$M62&gt;(ROW(PLE.lastrow)-ROW(PLE.firstrow))),0,
           IF(OFFSET(PLE!$G$15,$M62-$A$15,DD$13)="",10^12,OFFSET(PLE!$G$15,$M62-$A$15,DD$13)))</f>
        <v>0</v>
      </c>
      <c r="DE62" s="172" cm="1">
        <f t="array" aca="1" ref="DE62" ca="1">IF(OR($D62&lt;&gt;"Serviço",AND(AUTOEVENTO="Manual",$M62=$A$15),$M62&gt;(ROW(PLE.lastrow)-ROW(PLE.firstrow))),0,
           IF(OFFSET(PLE!$G$15,$M62-$A$15,DE$13)="",10^12,OFFSET(PLE!$G$15,$M62-$A$15,DE$13)))</f>
        <v>0</v>
      </c>
      <c r="DF62" s="172" cm="1">
        <f t="array" aca="1" ref="DF62" ca="1">IF(OR($D62&lt;&gt;"Serviço",AND(AUTOEVENTO="Manual",$M62=$A$15),$M62&gt;(ROW(PLE.lastrow)-ROW(PLE.firstrow))),0,
           IF(OFFSET(PLE!$G$15,$M62-$A$15,DF$13)="",10^12,OFFSET(PLE!$G$15,$M62-$A$15,DF$13)))</f>
        <v>0</v>
      </c>
      <c r="DG62" s="172" cm="1">
        <f t="array" aca="1" ref="DG62" ca="1">IF(OR($D62&lt;&gt;"Serviço",AND(AUTOEVENTO="Manual",$M62=$A$15),$M62&gt;(ROW(PLE.lastrow)-ROW(PLE.firstrow))),0,
           IF(OFFSET(PLE!$G$15,$M62-$A$15,DG$13)="",10^12,OFFSET(PLE!$G$15,$M62-$A$15,DG$13)))</f>
        <v>0</v>
      </c>
      <c r="DH62" s="172" cm="1">
        <f t="array" aca="1" ref="DH62" ca="1">IF(OR($D62&lt;&gt;"Serviço",AND(AUTOEVENTO="Manual",$M62=$A$15),$M62&gt;(ROW(PLE.lastrow)-ROW(PLE.firstrow))),0,
           IF(OFFSET(PLE!$G$15,$M62-$A$15,DH$13)="",10^12,OFFSET(PLE!$G$15,$M62-$A$15,DH$13)))</f>
        <v>0</v>
      </c>
      <c r="DI62" s="172" cm="1">
        <f t="array" aca="1" ref="DI62" ca="1">IF(OR($D62&lt;&gt;"Serviço",AND(AUTOEVENTO="Manual",$M62=$A$15),$M62&gt;(ROW(PLE.lastrow)-ROW(PLE.firstrow))),0,
           IF(OFFSET(PLE!$G$15,$M62-$A$15,DI$13)="",10^12,OFFSET(PLE!$G$15,$M62-$A$15,DI$13)))</f>
        <v>0</v>
      </c>
      <c r="DJ62" s="172" cm="1">
        <f t="array" aca="1" ref="DJ62" ca="1">IF(OR($D62&lt;&gt;"Serviço",AND(AUTOEVENTO="Manual",$M62=$A$15),$M62&gt;(ROW(PLE.lastrow)-ROW(PLE.firstrow))),0,
           IF(OFFSET(PLE!$G$15,$M62-$A$15,DJ$13)="",10^12,OFFSET(PLE!$G$15,$M62-$A$15,DJ$13)))</f>
        <v>0</v>
      </c>
      <c r="DK62" s="172" cm="1">
        <f t="array" aca="1" ref="DK62" ca="1">IF(OR($D62&lt;&gt;"Serviço",AND(AUTOEVENTO="Manual",$M62=$A$15),$M62&gt;(ROW(PLE.lastrow)-ROW(PLE.firstrow))),0,
           IF(OFFSET(PLE!$G$15,$M62-$A$15,DK$13)="",10^12,OFFSET(PLE!$G$15,$M62-$A$15,DK$13)))</f>
        <v>0</v>
      </c>
      <c r="DL62" s="172" cm="1">
        <f t="array" aca="1" ref="DL62" ca="1">IF(OR($D62&lt;&gt;"Serviço",AND(AUTOEVENTO="Manual",$M62=$A$15),$M62&gt;(ROW(PLE.lastrow)-ROW(PLE.firstrow))),0,
           IF(OFFSET(PLE!$G$15,$M62-$A$15,DL$13)="",10^12,OFFSET(PLE!$G$15,$M62-$A$15,DL$13)))</f>
        <v>0</v>
      </c>
      <c r="DM62" s="172" cm="1">
        <f t="array" aca="1" ref="DM62" ca="1">IF(OR($D62&lt;&gt;"Serviço",AND(AUTOEVENTO="Manual",$M62=$A$15),$M62&gt;(ROW(PLE.lastrow)-ROW(PLE.firstrow))),0,
           IF(OFFSET(PLE!$G$15,$M62-$A$15,DM$13)="",10^12,OFFSET(PLE!$G$15,$M62-$A$15,DM$13)))</f>
        <v>0</v>
      </c>
      <c r="DN62" s="172" cm="1">
        <f t="array" aca="1" ref="DN62" ca="1">IF(OR($D62&lt;&gt;"Serviço",AND(AUTOEVENTO="Manual",$M62=$A$15),$M62&gt;(ROW(PLE.lastrow)-ROW(PLE.firstrow))),0,
           IF(OFFSET(PLE!$G$15,$M62-$A$15,DN$13)="",10^12,OFFSET(PLE!$G$15,$M62-$A$15,DN$13)))</f>
        <v>0</v>
      </c>
      <c r="DO62" s="172" cm="1">
        <f t="array" aca="1" ref="DO62" ca="1">IF(OR($D62&lt;&gt;"Serviço",AND(AUTOEVENTO="Manual",$M62=$A$15),$M62&gt;(ROW(PLE.lastrow)-ROW(PLE.firstrow))),0,
           IF(OFFSET(PLE!$G$15,$M62-$A$15,DO$13)="",10^12,OFFSET(PLE!$G$15,$M62-$A$15,DO$13)))</f>
        <v>0</v>
      </c>
      <c r="DP62" s="172" cm="1">
        <f t="array" aca="1" ref="DP62" ca="1">IF(OR($D62&lt;&gt;"Serviço",AND(AUTOEVENTO="Manual",$M62=$A$15),$M62&gt;(ROW(PLE.lastrow)-ROW(PLE.firstrow))),0,
           IF(OFFSET(PLE!$G$15,$M62-$A$15,DP$13)="",10^12,OFFSET(PLE!$G$15,$M62-$A$15,DP$13)))</f>
        <v>0</v>
      </c>
      <c r="DQ62" s="172" cm="1">
        <f t="array" aca="1" ref="DQ62" ca="1">IF(OR($D62&lt;&gt;"Serviço",AND(AUTOEVENTO="Manual",$M62=$A$15),$M62&gt;(ROW(PLE.lastrow)-ROW(PLE.firstrow))),0,
           IF(OFFSET(PLE!$G$15,$M62-$A$15,DQ$13)="",10^12,OFFSET(PLE!$G$15,$M62-$A$15,DQ$13)))</f>
        <v>0</v>
      </c>
      <c r="DR62" s="172" cm="1">
        <f t="array" aca="1" ref="DR62" ca="1">IF(OR($D62&lt;&gt;"Serviço",AND(AUTOEVENTO="Manual",$M62=$A$15),$M62&gt;(ROW(PLE.lastrow)-ROW(PLE.firstrow))),0,
           IF(OFFSET(PLE!$G$15,$M62-$A$15,DR$13)="",10^12,OFFSET(PLE!$G$15,$M62-$A$15,DR$13)))</f>
        <v>0</v>
      </c>
      <c r="DS62" s="172" cm="1">
        <f t="array" aca="1" ref="DS62" ca="1">IF(OR($D62&lt;&gt;"Serviço",AND(AUTOEVENTO="Manual",$M62=$A$15),$M62&gt;(ROW(PLE.lastrow)-ROW(PLE.firstrow))),0,
           IF(OFFSET(PLE!$G$15,$M62-$A$15,DS$13)="",10^12,OFFSET(PLE!$G$15,$M62-$A$15,DS$13)))</f>
        <v>0</v>
      </c>
    </row>
    <row r="63" spans="1:123" ht="38.25" x14ac:dyDescent="0.2">
      <c r="A63" s="7">
        <f t="shared" ca="1" si="11"/>
        <v>5</v>
      </c>
      <c r="B63" s="7" t="str">
        <f ca="1">OFFSET(ORÇAMENTO!C$15,$L63,0)</f>
        <v>S</v>
      </c>
      <c r="C63" s="7" t="str">
        <f ca="1">OFFSET(ORÇAMENTO!L$15,$L63,0)</f>
        <v/>
      </c>
      <c r="D63" s="116" t="str">
        <f ca="1">OFFSET(ORÇAMENTO!N$15,$L63,0)</f>
        <v>Serviço</v>
      </c>
      <c r="E63" s="117" t="str">
        <f ca="1">OFFSET(ORÇAMENTO!O$15,$L63,0)</f>
        <v>-</v>
      </c>
      <c r="F63" s="163" t="str">
        <f ca="1">OFFSET(ORÇAMENTO!R$15,$L63,0)</f>
        <v>(Código não identificado nas referências)</v>
      </c>
      <c r="G63" s="164" t="str">
        <f ca="1">IF($D63&lt;&gt;"Serviço","",OFFSET(ORÇAMENTO!S$15,$L63,0))</f>
        <v>-</v>
      </c>
      <c r="H63" s="122" cm="1">
        <f t="array" aca="1" ref="H63" ca="1">IF($D63&lt;&gt;"Serviço",0,IF(ACOMPANHAMENTO="BM",ROUND(OFFSET(ORÇAMENTO!AJ$15,$L63,0),15-13*ORÇAMENTO!$AF$7),IF(IFERROR(CÁLCULO.FrentesPreenchidas,0)=0,0,SUM(ROUND(OFFSET($P63,0,1,1,CÁLCULO.FrentesPreenchidas),15-13*ORÇAMENTO!$AF$7)))))</f>
        <v>1730</v>
      </c>
      <c r="I63" s="468" t="s">
        <v>1235</v>
      </c>
      <c r="J63" s="651" t="str" cm="1">
        <f t="array" aca="1" ref="J63" ca="1">IF(OR(B63&lt;&gt;"S",CÁLCULO.FrentesPreenchidas=0),"",IF(AND(ACOMPANHAMENTO="PLE",AUTOEVENTO="Manual",OR(H63&gt;0,ORÇAMENTO!AC63="QUANT."),OR(K63="",M63=0,N63="")),"►E",IF(AND(ACOMPANHAMENTO="PLE",ORÇAMENTO!AC63="QUANT."),"►Q",IF(AND(ACOMPANHAMENTO="PLE",H63&lt;&gt;SUMPRODUCT(($Q$1:$AQ$1=1)*ROUND(Q63:AQ63,15))),"►S",IF(AND(COUNTIF($P$11:$AQ$11,"▼")=0,H63&gt;0,I63=""),"◄M","")))))</f>
        <v/>
      </c>
      <c r="K63" s="652" t="s">
        <v>1253</v>
      </c>
      <c r="L63" s="165">
        <f t="shared" ca="1" si="12"/>
        <v>48</v>
      </c>
      <c r="M63" s="166">
        <f ca="1">IF($D63&lt;&gt;"Serviço","",
          IF(AUTOEVENTO="manual",$A63,
                IF(ISERROR(MATCH($A63,$A$15:OFFSET($A63,-1,0),0)),MAX($M$15:OFFSET(M63,-1,0))+1,
                      INDEX($M$15:OFFSET(M63,-1,0),MATCH($A63,$A$15:OFFSET($A63,-1,0),0)))))</f>
        <v>5</v>
      </c>
      <c r="N63" s="167" t="str">
        <f ca="1">IF($D63&lt;&gt;"Serviço","",
         IF(AUTOEVENTO="Manual",
                IF($A63=0,"&lt;-- defina o número do agrupador",
                       OFFSET(EVENTOS!$D$15,$A63-$A$15,0)),
                OFFSET($F$15,$A63,0)))</f>
        <v>PAREDES E PAINÉIS</v>
      </c>
      <c r="O63" s="168"/>
      <c r="Q63" s="168">
        <v>86.5</v>
      </c>
      <c r="R63" s="169">
        <v>86.5</v>
      </c>
      <c r="S63" s="169">
        <v>86.5</v>
      </c>
      <c r="T63" s="169">
        <v>86.5</v>
      </c>
      <c r="U63" s="169">
        <v>86.5</v>
      </c>
      <c r="V63" s="169">
        <v>86.5</v>
      </c>
      <c r="W63" s="169">
        <v>86.5</v>
      </c>
      <c r="X63" s="169">
        <v>86.5</v>
      </c>
      <c r="Y63" s="169">
        <v>86.5</v>
      </c>
      <c r="Z63" s="170">
        <v>86.5</v>
      </c>
      <c r="AA63" s="169">
        <v>86.5</v>
      </c>
      <c r="AB63" s="169">
        <v>86.5</v>
      </c>
      <c r="AC63" s="169">
        <v>86.5</v>
      </c>
      <c r="AD63" s="169">
        <v>86.5</v>
      </c>
      <c r="AE63" s="169">
        <v>86.5</v>
      </c>
      <c r="AF63" s="169">
        <v>86.5</v>
      </c>
      <c r="AG63" s="169">
        <v>86.5</v>
      </c>
      <c r="AH63" s="170">
        <v>86.5</v>
      </c>
      <c r="AI63" s="169">
        <v>86.5</v>
      </c>
      <c r="AJ63" s="169">
        <v>86.5</v>
      </c>
      <c r="AK63" s="169"/>
      <c r="AL63" s="169"/>
      <c r="AM63" s="169"/>
      <c r="AN63" s="169"/>
      <c r="AO63" s="169"/>
      <c r="AP63" s="170"/>
      <c r="AR63" s="453">
        <f ca="1">IF(AND($D63="Serviço",AR$12&lt;&gt;0,$H63&gt;0,OR(AUTOEVENTO&lt;&gt;"manual",$M63&lt;&gt;$A$15)),
        IF(Import.TipoArredondamento&lt;&gt;"TransfereGOV",
              ROUND(OFFSET($P63,0,AR$13),15-13*ORÇAMENTO!$AF$7)/$H63*OFFSET(ORÇAMENTO!$X$15,ROW(AR63)-ROW(AR$15),0),
              ROUND(ROUND(OFFSET($P63,0,AR$13),15-13*ORÇAMENTO!$AF$7)*OFFSET(ORÇAMENTO!$W$15,ROW(AR63)-ROW(AR$15),0),15-13*ORÇAMENTO!$AF$11)),
         0)</f>
        <v>0</v>
      </c>
      <c r="AS63" s="453">
        <f ca="1">IF(AND($D63="Serviço",AS$12&lt;&gt;0,$H63&gt;0,OR(AUTOEVENTO&lt;&gt;"manual",$M63&lt;&gt;$A$15)),
        IF(Import.TipoArredondamento&lt;&gt;"TransfereGOV",
              ROUND(OFFSET($P63,0,AS$13),15-13*ORÇAMENTO!$AF$7)/$H63*OFFSET(ORÇAMENTO!$X$15,ROW(AS63)-ROW(AS$15),0),
              ROUND(ROUND(OFFSET($P63,0,AS$13),15-13*ORÇAMENTO!$AF$7)*OFFSET(ORÇAMENTO!$W$15,ROW(AS63)-ROW(AS$15),0),15-13*ORÇAMENTO!$AF$11)),
         0)</f>
        <v>0</v>
      </c>
      <c r="AT63" s="453">
        <f ca="1">IF(AND($D63="Serviço",AT$12&lt;&gt;0,$H63&gt;0,OR(AUTOEVENTO&lt;&gt;"manual",$M63&lt;&gt;$A$15)),
        IF(Import.TipoArredondamento&lt;&gt;"TransfereGOV",
              ROUND(OFFSET($P63,0,AT$13),15-13*ORÇAMENTO!$AF$7)/$H63*OFFSET(ORÇAMENTO!$X$15,ROW(AT63)-ROW(AT$15),0),
              ROUND(ROUND(OFFSET($P63,0,AT$13),15-13*ORÇAMENTO!$AF$7)*OFFSET(ORÇAMENTO!$W$15,ROW(AT63)-ROW(AT$15),0),15-13*ORÇAMENTO!$AF$11)),
         0)</f>
        <v>0</v>
      </c>
      <c r="AU63" s="453">
        <f ca="1">IF(AND($D63="Serviço",AU$12&lt;&gt;0,$H63&gt;0,OR(AUTOEVENTO&lt;&gt;"manual",$M63&lt;&gt;$A$15)),
        IF(Import.TipoArredondamento&lt;&gt;"TransfereGOV",
              ROUND(OFFSET($P63,0,AU$13),15-13*ORÇAMENTO!$AF$7)/$H63*OFFSET(ORÇAMENTO!$X$15,ROW(AU63)-ROW(AU$15),0),
              ROUND(ROUND(OFFSET($P63,0,AU$13),15-13*ORÇAMENTO!$AF$7)*OFFSET(ORÇAMENTO!$W$15,ROW(AU63)-ROW(AU$15),0),15-13*ORÇAMENTO!$AF$11)),
         0)</f>
        <v>0</v>
      </c>
      <c r="AV63" s="453">
        <f ca="1">IF(AND($D63="Serviço",AV$12&lt;&gt;0,$H63&gt;0,OR(AUTOEVENTO&lt;&gt;"manual",$M63&lt;&gt;$A$15)),
        IF(Import.TipoArredondamento&lt;&gt;"TransfereGOV",
              ROUND(OFFSET($P63,0,AV$13),15-13*ORÇAMENTO!$AF$7)/$H63*OFFSET(ORÇAMENTO!$X$15,ROW(AV63)-ROW(AV$15),0),
              ROUND(ROUND(OFFSET($P63,0,AV$13),15-13*ORÇAMENTO!$AF$7)*OFFSET(ORÇAMENTO!$W$15,ROW(AV63)-ROW(AV$15),0),15-13*ORÇAMENTO!$AF$11)),
         0)</f>
        <v>0</v>
      </c>
      <c r="AW63" s="453">
        <f ca="1">IF(AND($D63="Serviço",AW$12&lt;&gt;0,$H63&gt;0,OR(AUTOEVENTO&lt;&gt;"manual",$M63&lt;&gt;$A$15)),
        IF(Import.TipoArredondamento&lt;&gt;"TransfereGOV",
              ROUND(OFFSET($P63,0,AW$13),15-13*ORÇAMENTO!$AF$7)/$H63*OFFSET(ORÇAMENTO!$X$15,ROW(AW63)-ROW(AW$15),0),
              ROUND(ROUND(OFFSET($P63,0,AW$13),15-13*ORÇAMENTO!$AF$7)*OFFSET(ORÇAMENTO!$W$15,ROW(AW63)-ROW(AW$15),0),15-13*ORÇAMENTO!$AF$11)),
         0)</f>
        <v>0</v>
      </c>
      <c r="AX63" s="453">
        <f ca="1">IF(AND($D63="Serviço",AX$12&lt;&gt;0,$H63&gt;0,OR(AUTOEVENTO&lt;&gt;"manual",$M63&lt;&gt;$A$15)),
        IF(Import.TipoArredondamento&lt;&gt;"TransfereGOV",
              ROUND(OFFSET($P63,0,AX$13),15-13*ORÇAMENTO!$AF$7)/$H63*OFFSET(ORÇAMENTO!$X$15,ROW(AX63)-ROW(AX$15),0),
              ROUND(ROUND(OFFSET($P63,0,AX$13),15-13*ORÇAMENTO!$AF$7)*OFFSET(ORÇAMENTO!$W$15,ROW(AX63)-ROW(AX$15),0),15-13*ORÇAMENTO!$AF$11)),
         0)</f>
        <v>0</v>
      </c>
      <c r="AY63" s="453">
        <f ca="1">IF(AND($D63="Serviço",AY$12&lt;&gt;0,$H63&gt;0,OR(AUTOEVENTO&lt;&gt;"manual",$M63&lt;&gt;$A$15)),
        IF(Import.TipoArredondamento&lt;&gt;"TransfereGOV",
              ROUND(OFFSET($P63,0,AY$13),15-13*ORÇAMENTO!$AF$7)/$H63*OFFSET(ORÇAMENTO!$X$15,ROW(AY63)-ROW(AY$15),0),
              ROUND(ROUND(OFFSET($P63,0,AY$13),15-13*ORÇAMENTO!$AF$7)*OFFSET(ORÇAMENTO!$W$15,ROW(AY63)-ROW(AY$15),0),15-13*ORÇAMENTO!$AF$11)),
         0)</f>
        <v>0</v>
      </c>
      <c r="AZ63" s="453">
        <f ca="1">IF(AND($D63="Serviço",AZ$12&lt;&gt;0,$H63&gt;0,OR(AUTOEVENTO&lt;&gt;"manual",$M63&lt;&gt;$A$15)),
        IF(Import.TipoArredondamento&lt;&gt;"TransfereGOV",
              ROUND(OFFSET($P63,0,AZ$13),15-13*ORÇAMENTO!$AF$7)/$H63*OFFSET(ORÇAMENTO!$X$15,ROW(AZ63)-ROW(AZ$15),0),
              ROUND(ROUND(OFFSET($P63,0,AZ$13),15-13*ORÇAMENTO!$AF$7)*OFFSET(ORÇAMENTO!$W$15,ROW(AZ63)-ROW(AZ$15),0),15-13*ORÇAMENTO!$AF$11)),
         0)</f>
        <v>0</v>
      </c>
      <c r="BA63" s="453">
        <f ca="1">IF(AND($D63="Serviço",BA$12&lt;&gt;0,$H63&gt;0,OR(AUTOEVENTO&lt;&gt;"manual",$M63&lt;&gt;$A$15)),
        IF(Import.TipoArredondamento&lt;&gt;"TransfereGOV",
              ROUND(OFFSET($P63,0,BA$13),15-13*ORÇAMENTO!$AF$7)/$H63*OFFSET(ORÇAMENTO!$X$15,ROW(BA63)-ROW(BA$15),0),
              ROUND(ROUND(OFFSET($P63,0,BA$13),15-13*ORÇAMENTO!$AF$7)*OFFSET(ORÇAMENTO!$W$15,ROW(BA63)-ROW(BA$15),0),15-13*ORÇAMENTO!$AF$11)),
         0)</f>
        <v>0</v>
      </c>
      <c r="BB63" s="453">
        <f ca="1">IF(AND($D63="Serviço",BB$12&lt;&gt;0,$H63&gt;0,OR(AUTOEVENTO&lt;&gt;"manual",$M63&lt;&gt;$A$15)),
        IF(Import.TipoArredondamento&lt;&gt;"TransfereGOV",
              ROUND(OFFSET($P63,0,BB$13),15-13*ORÇAMENTO!$AF$7)/$H63*OFFSET(ORÇAMENTO!$X$15,ROW(BB63)-ROW(BB$15),0),
              ROUND(ROUND(OFFSET($P63,0,BB$13),15-13*ORÇAMENTO!$AF$7)*OFFSET(ORÇAMENTO!$W$15,ROW(BB63)-ROW(BB$15),0),15-13*ORÇAMENTO!$AF$11)),
         0)</f>
        <v>0</v>
      </c>
      <c r="BC63" s="453">
        <f ca="1">IF(AND($D63="Serviço",BC$12&lt;&gt;0,$H63&gt;0,OR(AUTOEVENTO&lt;&gt;"manual",$M63&lt;&gt;$A$15)),
        IF(Import.TipoArredondamento&lt;&gt;"TransfereGOV",
              ROUND(OFFSET($P63,0,BC$13),15-13*ORÇAMENTO!$AF$7)/$H63*OFFSET(ORÇAMENTO!$X$15,ROW(BC63)-ROW(BC$15),0),
              ROUND(ROUND(OFFSET($P63,0,BC$13),15-13*ORÇAMENTO!$AF$7)*OFFSET(ORÇAMENTO!$W$15,ROW(BC63)-ROW(BC$15),0),15-13*ORÇAMENTO!$AF$11)),
         0)</f>
        <v>0</v>
      </c>
      <c r="BD63" s="453">
        <f ca="1">IF(AND($D63="Serviço",BD$12&lt;&gt;0,$H63&gt;0,OR(AUTOEVENTO&lt;&gt;"manual",$M63&lt;&gt;$A$15)),
        IF(Import.TipoArredondamento&lt;&gt;"TransfereGOV",
              ROUND(OFFSET($P63,0,BD$13),15-13*ORÇAMENTO!$AF$7)/$H63*OFFSET(ORÇAMENTO!$X$15,ROW(BD63)-ROW(BD$15),0),
              ROUND(ROUND(OFFSET($P63,0,BD$13),15-13*ORÇAMENTO!$AF$7)*OFFSET(ORÇAMENTO!$W$15,ROW(BD63)-ROW(BD$15),0),15-13*ORÇAMENTO!$AF$11)),
         0)</f>
        <v>0</v>
      </c>
      <c r="BE63" s="453">
        <f ca="1">IF(AND($D63="Serviço",BE$12&lt;&gt;0,$H63&gt;0,OR(AUTOEVENTO&lt;&gt;"manual",$M63&lt;&gt;$A$15)),
        IF(Import.TipoArredondamento&lt;&gt;"TransfereGOV",
              ROUND(OFFSET($P63,0,BE$13),15-13*ORÇAMENTO!$AF$7)/$H63*OFFSET(ORÇAMENTO!$X$15,ROW(BE63)-ROW(BE$15),0),
              ROUND(ROUND(OFFSET($P63,0,BE$13),15-13*ORÇAMENTO!$AF$7)*OFFSET(ORÇAMENTO!$W$15,ROW(BE63)-ROW(BE$15),0),15-13*ORÇAMENTO!$AF$11)),
         0)</f>
        <v>0</v>
      </c>
      <c r="BF63" s="453">
        <f ca="1">IF(AND($D63="Serviço",BF$12&lt;&gt;0,$H63&gt;0,OR(AUTOEVENTO&lt;&gt;"manual",$M63&lt;&gt;$A$15)),
        IF(Import.TipoArredondamento&lt;&gt;"TransfereGOV",
              ROUND(OFFSET($P63,0,BF$13),15-13*ORÇAMENTO!$AF$7)/$H63*OFFSET(ORÇAMENTO!$X$15,ROW(BF63)-ROW(BF$15),0),
              ROUND(ROUND(OFFSET($P63,0,BF$13),15-13*ORÇAMENTO!$AF$7)*OFFSET(ORÇAMENTO!$W$15,ROW(BF63)-ROW(BF$15),0),15-13*ORÇAMENTO!$AF$11)),
         0)</f>
        <v>0</v>
      </c>
      <c r="BG63" s="453">
        <f ca="1">IF(AND($D63="Serviço",BG$12&lt;&gt;0,$H63&gt;0,OR(AUTOEVENTO&lt;&gt;"manual",$M63&lt;&gt;$A$15)),
        IF(Import.TipoArredondamento&lt;&gt;"TransfereGOV",
              ROUND(OFFSET($P63,0,BG$13),15-13*ORÇAMENTO!$AF$7)/$H63*OFFSET(ORÇAMENTO!$X$15,ROW(BG63)-ROW(BG$15),0),
              ROUND(ROUND(OFFSET($P63,0,BG$13),15-13*ORÇAMENTO!$AF$7)*OFFSET(ORÇAMENTO!$W$15,ROW(BG63)-ROW(BG$15),0),15-13*ORÇAMENTO!$AF$11)),
         0)</f>
        <v>0</v>
      </c>
      <c r="BH63" s="453">
        <f ca="1">IF(AND($D63="Serviço",BH$12&lt;&gt;0,$H63&gt;0,OR(AUTOEVENTO&lt;&gt;"manual",$M63&lt;&gt;$A$15)),
        IF(Import.TipoArredondamento&lt;&gt;"TransfereGOV",
              ROUND(OFFSET($P63,0,BH$13),15-13*ORÇAMENTO!$AF$7)/$H63*OFFSET(ORÇAMENTO!$X$15,ROW(BH63)-ROW(BH$15),0),
              ROUND(ROUND(OFFSET($P63,0,BH$13),15-13*ORÇAMENTO!$AF$7)*OFFSET(ORÇAMENTO!$W$15,ROW(BH63)-ROW(BH$15),0),15-13*ORÇAMENTO!$AF$11)),
         0)</f>
        <v>0</v>
      </c>
      <c r="BI63" s="453">
        <f ca="1">IF(AND($D63="Serviço",BI$12&lt;&gt;0,$H63&gt;0,OR(AUTOEVENTO&lt;&gt;"manual",$M63&lt;&gt;$A$15)),
        IF(Import.TipoArredondamento&lt;&gt;"TransfereGOV",
              ROUND(OFFSET($P63,0,BI$13),15-13*ORÇAMENTO!$AF$7)/$H63*OFFSET(ORÇAMENTO!$X$15,ROW(BI63)-ROW(BI$15),0),
              ROUND(ROUND(OFFSET($P63,0,BI$13),15-13*ORÇAMENTO!$AF$7)*OFFSET(ORÇAMENTO!$W$15,ROW(BI63)-ROW(BI$15),0),15-13*ORÇAMENTO!$AF$11)),
         0)</f>
        <v>0</v>
      </c>
      <c r="BJ63" s="453">
        <f ca="1">IF(AND($D63="Serviço",BJ$12&lt;&gt;0,$H63&gt;0,OR(AUTOEVENTO&lt;&gt;"manual",$M63&lt;&gt;$A$15)),
        IF(Import.TipoArredondamento&lt;&gt;"TransfereGOV",
              ROUND(OFFSET($P63,0,BJ$13),15-13*ORÇAMENTO!$AF$7)/$H63*OFFSET(ORÇAMENTO!$X$15,ROW(BJ63)-ROW(BJ$15),0),
              ROUND(ROUND(OFFSET($P63,0,BJ$13),15-13*ORÇAMENTO!$AF$7)*OFFSET(ORÇAMENTO!$W$15,ROW(BJ63)-ROW(BJ$15),0),15-13*ORÇAMENTO!$AF$11)),
         0)</f>
        <v>0</v>
      </c>
      <c r="BK63" s="453">
        <f ca="1">IF(AND($D63="Serviço",BK$12&lt;&gt;0,$H63&gt;0,OR(AUTOEVENTO&lt;&gt;"manual",$M63&lt;&gt;$A$15)),
        IF(Import.TipoArredondamento&lt;&gt;"TransfereGOV",
              ROUND(OFFSET($P63,0,BK$13),15-13*ORÇAMENTO!$AF$7)/$H63*OFFSET(ORÇAMENTO!$X$15,ROW(BK63)-ROW(BK$15),0),
              ROUND(ROUND(OFFSET($P63,0,BK$13),15-13*ORÇAMENTO!$AF$7)*OFFSET(ORÇAMENTO!$W$15,ROW(BK63)-ROW(BK$15),0),15-13*ORÇAMENTO!$AF$11)),
         0)</f>
        <v>0</v>
      </c>
      <c r="BL63" s="453">
        <f ca="1">IF(AND($D63="Serviço",BL$12&lt;&gt;0,$H63&gt;0,OR(AUTOEVENTO&lt;&gt;"manual",$M63&lt;&gt;$A$15)),
        IF(Import.TipoArredondamento&lt;&gt;"TransfereGOV",
              ROUND(OFFSET($P63,0,BL$13),15-13*ORÇAMENTO!$AF$7)/$H63*OFFSET(ORÇAMENTO!$X$15,ROW(BL63)-ROW(BL$15),0),
              ROUND(ROUND(OFFSET($P63,0,BL$13),15-13*ORÇAMENTO!$AF$7)*OFFSET(ORÇAMENTO!$W$15,ROW(BL63)-ROW(BL$15),0),15-13*ORÇAMENTO!$AF$11)),
         0)</f>
        <v>0</v>
      </c>
      <c r="BM63" s="453">
        <f ca="1">IF(AND($D63="Serviço",BM$12&lt;&gt;0,$H63&gt;0,OR(AUTOEVENTO&lt;&gt;"manual",$M63&lt;&gt;$A$15)),
        IF(Import.TipoArredondamento&lt;&gt;"TransfereGOV",
              ROUND(OFFSET($P63,0,BM$13),15-13*ORÇAMENTO!$AF$7)/$H63*OFFSET(ORÇAMENTO!$X$15,ROW(BM63)-ROW(BM$15),0),
              ROUND(ROUND(OFFSET($P63,0,BM$13),15-13*ORÇAMENTO!$AF$7)*OFFSET(ORÇAMENTO!$W$15,ROW(BM63)-ROW(BM$15),0),15-13*ORÇAMENTO!$AF$11)),
         0)</f>
        <v>0</v>
      </c>
      <c r="BN63" s="453">
        <f ca="1">IF(AND($D63="Serviço",BN$12&lt;&gt;0,$H63&gt;0,OR(AUTOEVENTO&lt;&gt;"manual",$M63&lt;&gt;$A$15)),
        IF(Import.TipoArredondamento&lt;&gt;"TransfereGOV",
              ROUND(OFFSET($P63,0,BN$13),15-13*ORÇAMENTO!$AF$7)/$H63*OFFSET(ORÇAMENTO!$X$15,ROW(BN63)-ROW(BN$15),0),
              ROUND(ROUND(OFFSET($P63,0,BN$13),15-13*ORÇAMENTO!$AF$7)*OFFSET(ORÇAMENTO!$W$15,ROW(BN63)-ROW(BN$15),0),15-13*ORÇAMENTO!$AF$11)),
         0)</f>
        <v>0</v>
      </c>
      <c r="BO63" s="453">
        <f ca="1">IF(AND($D63="Serviço",BO$12&lt;&gt;0,$H63&gt;0,OR(AUTOEVENTO&lt;&gt;"manual",$M63&lt;&gt;$A$15)),
        IF(Import.TipoArredondamento&lt;&gt;"TransfereGOV",
              ROUND(OFFSET($P63,0,BO$13),15-13*ORÇAMENTO!$AF$7)/$H63*OFFSET(ORÇAMENTO!$X$15,ROW(BO63)-ROW(BO$15),0),
              ROUND(ROUND(OFFSET($P63,0,BO$13),15-13*ORÇAMENTO!$AF$7)*OFFSET(ORÇAMENTO!$W$15,ROW(BO63)-ROW(BO$15),0),15-13*ORÇAMENTO!$AF$11)),
         0)</f>
        <v>0</v>
      </c>
      <c r="BP63" s="453">
        <f ca="1">IF(AND($D63="Serviço",BP$12&lt;&gt;0,$H63&gt;0,OR(AUTOEVENTO&lt;&gt;"manual",$M63&lt;&gt;$A$15)),
        IF(Import.TipoArredondamento&lt;&gt;"TransfereGOV",
              ROUND(OFFSET($P63,0,BP$13),15-13*ORÇAMENTO!$AF$7)/$H63*OFFSET(ORÇAMENTO!$X$15,ROW(BP63)-ROW(BP$15),0),
              ROUND(ROUND(OFFSET($P63,0,BP$13),15-13*ORÇAMENTO!$AF$7)*OFFSET(ORÇAMENTO!$W$15,ROW(BP63)-ROW(BP$15),0),15-13*ORÇAMENTO!$AF$11)),
         0)</f>
        <v>0</v>
      </c>
      <c r="BQ63" s="453">
        <f ca="1">IF(AND($D63="Serviço",BQ$12&lt;&gt;0,$H63&gt;0,OR(AUTOEVENTO&lt;&gt;"manual",$M63&lt;&gt;$A$15)),
        IF(Import.TipoArredondamento&lt;&gt;"TransfereGOV",
              ROUND(OFFSET($P63,0,BQ$13),15-13*ORÇAMENTO!$AF$7)/$H63*OFFSET(ORÇAMENTO!$X$15,ROW(BQ63)-ROW(BQ$15),0),
              ROUND(ROUND(OFFSET($P63,0,BQ$13),15-13*ORÇAMENTO!$AF$7)*OFFSET(ORÇAMENTO!$W$15,ROW(BQ63)-ROW(BQ$15),0),15-13*ORÇAMENTO!$AF$11)),
         0)</f>
        <v>0</v>
      </c>
      <c r="BS63" s="171">
        <f ca="1">IF(OR($D63&lt;&gt;"Serviço",AND(AUTOEVENTO="Manual",$M63=$A$15)),0,
         IF(OFFSET(CRONOPLE!$F$15,$M63-$A$15,BS$13)=0,10^12,OFFSET(CRONOPLE!$F$15,$M63-$A$15,BS$13)))</f>
        <v>1</v>
      </c>
      <c r="BT63" s="171">
        <f ca="1">IF(OR($D63&lt;&gt;"Serviço",AND(AUTOEVENTO="Manual",$M63=$A$15)),0,
         IF(OFFSET(CRONOPLE!$F$15,$M63-$A$15,BT$13)=0,10^12,OFFSET(CRONOPLE!$F$15,$M63-$A$15,BT$13)))</f>
        <v>2</v>
      </c>
      <c r="BU63" s="171">
        <f ca="1">IF(OR($D63&lt;&gt;"Serviço",AND(AUTOEVENTO="Manual",$M63=$A$15)),0,
         IF(OFFSET(CRONOPLE!$F$15,$M63-$A$15,BU$13)=0,10^12,OFFSET(CRONOPLE!$F$15,$M63-$A$15,BU$13)))</f>
        <v>3</v>
      </c>
      <c r="BV63" s="171">
        <f ca="1">IF(OR($D63&lt;&gt;"Serviço",AND(AUTOEVENTO="Manual",$M63=$A$15)),0,
         IF(OFFSET(CRONOPLE!$F$15,$M63-$A$15,BV$13)=0,10^12,OFFSET(CRONOPLE!$F$15,$M63-$A$15,BV$13)))</f>
        <v>4</v>
      </c>
      <c r="BW63" s="171">
        <f ca="1">IF(OR($D63&lt;&gt;"Serviço",AND(AUTOEVENTO="Manual",$M63=$A$15)),0,
         IF(OFFSET(CRONOPLE!$F$15,$M63-$A$15,BW$13)=0,10^12,OFFSET(CRONOPLE!$F$15,$M63-$A$15,BW$13)))</f>
        <v>5</v>
      </c>
      <c r="BX63" s="171">
        <f ca="1">IF(OR($D63&lt;&gt;"Serviço",AND(AUTOEVENTO="Manual",$M63=$A$15)),0,
         IF(OFFSET(CRONOPLE!$F$15,$M63-$A$15,BX$13)=0,10^12,OFFSET(CRONOPLE!$F$15,$M63-$A$15,BX$13)))</f>
        <v>6</v>
      </c>
      <c r="BY63" s="171">
        <f ca="1">IF(OR($D63&lt;&gt;"Serviço",AND(AUTOEVENTO="Manual",$M63=$A$15)),0,
         IF(OFFSET(CRONOPLE!$F$15,$M63-$A$15,BY$13)=0,10^12,OFFSET(CRONOPLE!$F$15,$M63-$A$15,BY$13)))</f>
        <v>7</v>
      </c>
      <c r="BZ63" s="171">
        <f ca="1">IF(OR($D63&lt;&gt;"Serviço",AND(AUTOEVENTO="Manual",$M63=$A$15)),0,
         IF(OFFSET(CRONOPLE!$F$15,$M63-$A$15,BZ$13)=0,10^12,OFFSET(CRONOPLE!$F$15,$M63-$A$15,BZ$13)))</f>
        <v>8</v>
      </c>
      <c r="CA63" s="171">
        <f ca="1">IF(OR($D63&lt;&gt;"Serviço",AND(AUTOEVENTO="Manual",$M63=$A$15)),0,
         IF(OFFSET(CRONOPLE!$F$15,$M63-$A$15,CA$13)=0,10^12,OFFSET(CRONOPLE!$F$15,$M63-$A$15,CA$13)))</f>
        <v>9</v>
      </c>
      <c r="CB63" s="171">
        <f ca="1">IF(OR($D63&lt;&gt;"Serviço",AND(AUTOEVENTO="Manual",$M63=$A$15)),0,
         IF(OFFSET(CRONOPLE!$F$15,$M63-$A$15,CB$13)=0,10^12,OFFSET(CRONOPLE!$F$15,$M63-$A$15,CB$13)))</f>
        <v>10</v>
      </c>
      <c r="CC63" s="171">
        <f ca="1">IF(OR($D63&lt;&gt;"Serviço",AND(AUTOEVENTO="Manual",$M63=$A$15)),0,
         IF(OFFSET(CRONOPLE!$F$15,$M63-$A$15,CC$13)=0,10^12,OFFSET(CRONOPLE!$F$15,$M63-$A$15,CC$13)))</f>
        <v>11</v>
      </c>
      <c r="CD63" s="171">
        <f ca="1">IF(OR($D63&lt;&gt;"Serviço",AND(AUTOEVENTO="Manual",$M63=$A$15)),0,
         IF(OFFSET(CRONOPLE!$F$15,$M63-$A$15,CD$13)=0,10^12,OFFSET(CRONOPLE!$F$15,$M63-$A$15,CD$13)))</f>
        <v>12</v>
      </c>
      <c r="CE63" s="171">
        <f ca="1">IF(OR($D63&lt;&gt;"Serviço",AND(AUTOEVENTO="Manual",$M63=$A$15)),0,
         IF(OFFSET(CRONOPLE!$F$15,$M63-$A$15,CE$13)=0,10^12,OFFSET(CRONOPLE!$F$15,$M63-$A$15,CE$13)))</f>
        <v>13</v>
      </c>
      <c r="CF63" s="171">
        <f ca="1">IF(OR($D63&lt;&gt;"Serviço",AND(AUTOEVENTO="Manual",$M63=$A$15)),0,
         IF(OFFSET(CRONOPLE!$F$15,$M63-$A$15,CF$13)=0,10^12,OFFSET(CRONOPLE!$F$15,$M63-$A$15,CF$13)))</f>
        <v>14</v>
      </c>
      <c r="CG63" s="171">
        <f ca="1">IF(OR($D63&lt;&gt;"Serviço",AND(AUTOEVENTO="Manual",$M63=$A$15)),0,
         IF(OFFSET(CRONOPLE!$F$15,$M63-$A$15,CG$13)=0,10^12,OFFSET(CRONOPLE!$F$15,$M63-$A$15,CG$13)))</f>
        <v>15</v>
      </c>
      <c r="CH63" s="171">
        <f ca="1">IF(OR($D63&lt;&gt;"Serviço",AND(AUTOEVENTO="Manual",$M63=$A$15)),0,
         IF(OFFSET(CRONOPLE!$F$15,$M63-$A$15,CH$13)=0,10^12,OFFSET(CRONOPLE!$F$15,$M63-$A$15,CH$13)))</f>
        <v>16</v>
      </c>
      <c r="CI63" s="171">
        <f ca="1">IF(OR($D63&lt;&gt;"Serviço",AND(AUTOEVENTO="Manual",$M63=$A$15)),0,
         IF(OFFSET(CRONOPLE!$F$15,$M63-$A$15,CI$13)=0,10^12,OFFSET(CRONOPLE!$F$15,$M63-$A$15,CI$13)))</f>
        <v>17</v>
      </c>
      <c r="CJ63" s="171">
        <f ca="1">IF(OR($D63&lt;&gt;"Serviço",AND(AUTOEVENTO="Manual",$M63=$A$15)),0,
         IF(OFFSET(CRONOPLE!$F$15,$M63-$A$15,CJ$13)=0,10^12,OFFSET(CRONOPLE!$F$15,$M63-$A$15,CJ$13)))</f>
        <v>18</v>
      </c>
      <c r="CK63" s="171">
        <f ca="1">IF(OR($D63&lt;&gt;"Serviço",AND(AUTOEVENTO="Manual",$M63=$A$15)),0,
         IF(OFFSET(CRONOPLE!$F$15,$M63-$A$15,CK$13)=0,10^12,OFFSET(CRONOPLE!$F$15,$M63-$A$15,CK$13)))</f>
        <v>19</v>
      </c>
      <c r="CL63" s="171">
        <f ca="1">IF(OR($D63&lt;&gt;"Serviço",AND(AUTOEVENTO="Manual",$M63=$A$15)),0,
         IF(OFFSET(CRONOPLE!$F$15,$M63-$A$15,CL$13)=0,10^12,OFFSET(CRONOPLE!$F$15,$M63-$A$15,CL$13)))</f>
        <v>20</v>
      </c>
      <c r="CM63" s="171">
        <f ca="1">IF(OR($D63&lt;&gt;"Serviço",AND(AUTOEVENTO="Manual",$M63=$A$15)),0,
         IF(OFFSET(CRONOPLE!$F$15,$M63-$A$15,CM$13)=0,10^12,OFFSET(CRONOPLE!$F$15,$M63-$A$15,CM$13)))</f>
        <v>1000000000000</v>
      </c>
      <c r="CN63" s="171">
        <f ca="1">IF(OR($D63&lt;&gt;"Serviço",AND(AUTOEVENTO="Manual",$M63=$A$15)),0,
         IF(OFFSET(CRONOPLE!$F$15,$M63-$A$15,CN$13)=0,10^12,OFFSET(CRONOPLE!$F$15,$M63-$A$15,CN$13)))</f>
        <v>1000000000000</v>
      </c>
      <c r="CO63" s="171">
        <f ca="1">IF(OR($D63&lt;&gt;"Serviço",AND(AUTOEVENTO="Manual",$M63=$A$15)),0,
         IF(OFFSET(CRONOPLE!$F$15,$M63-$A$15,CO$13)=0,10^12,OFFSET(CRONOPLE!$F$15,$M63-$A$15,CO$13)))</f>
        <v>1000000000000</v>
      </c>
      <c r="CP63" s="171">
        <f ca="1">IF(OR($D63&lt;&gt;"Serviço",AND(AUTOEVENTO="Manual",$M63=$A$15)),0,
         IF(OFFSET(CRONOPLE!$F$15,$M63-$A$15,CP$13)=0,10^12,OFFSET(CRONOPLE!$F$15,$M63-$A$15,CP$13)))</f>
        <v>1000000000000</v>
      </c>
      <c r="CQ63" s="171">
        <f ca="1">IF(OR($D63&lt;&gt;"Serviço",AND(AUTOEVENTO="Manual",$M63=$A$15)),0,
         IF(OFFSET(CRONOPLE!$F$15,$M63-$A$15,CQ$13)=0,10^12,OFFSET(CRONOPLE!$F$15,$M63-$A$15,CQ$13)))</f>
        <v>1000000000000</v>
      </c>
      <c r="CR63" s="171">
        <f ca="1">IF(OR($D63&lt;&gt;"Serviço",AND(AUTOEVENTO="Manual",$M63=$A$15)),0,
         IF(OFFSET(CRONOPLE!$F$15,$M63-$A$15,CR$13)=0,10^12,OFFSET(CRONOPLE!$F$15,$M63-$A$15,CR$13)))</f>
        <v>1000000000000</v>
      </c>
      <c r="CT63" s="172" cm="1">
        <f t="array" aca="1" ref="CT63" ca="1">IF(OR($D63&lt;&gt;"Serviço",AND(AUTOEVENTO="Manual",$M63=$A$15),$M63&gt;(ROW(PLE.lastrow)-ROW(PLE.firstrow))),0,
           IF(OFFSET(PLE!$G$15,$M63-$A$15,CT$13)="",10^12,OFFSET(PLE!$G$15,$M63-$A$15,CT$13)))</f>
        <v>1000000000000</v>
      </c>
      <c r="CU63" s="172" cm="1">
        <f t="array" aca="1" ref="CU63" ca="1">IF(OR($D63&lt;&gt;"Serviço",AND(AUTOEVENTO="Manual",$M63=$A$15),$M63&gt;(ROW(PLE.lastrow)-ROW(PLE.firstrow))),0,
           IF(OFFSET(PLE!$G$15,$M63-$A$15,CU$13)="",10^12,OFFSET(PLE!$G$15,$M63-$A$15,CU$13)))</f>
        <v>1000000000000</v>
      </c>
      <c r="CV63" s="172" cm="1">
        <f t="array" aca="1" ref="CV63" ca="1">IF(OR($D63&lt;&gt;"Serviço",AND(AUTOEVENTO="Manual",$M63=$A$15),$M63&gt;(ROW(PLE.lastrow)-ROW(PLE.firstrow))),0,
           IF(OFFSET(PLE!$G$15,$M63-$A$15,CV$13)="",10^12,OFFSET(PLE!$G$15,$M63-$A$15,CV$13)))</f>
        <v>1000000000000</v>
      </c>
      <c r="CW63" s="172" cm="1">
        <f t="array" aca="1" ref="CW63" ca="1">IF(OR($D63&lt;&gt;"Serviço",AND(AUTOEVENTO="Manual",$M63=$A$15),$M63&gt;(ROW(PLE.lastrow)-ROW(PLE.firstrow))),0,
           IF(OFFSET(PLE!$G$15,$M63-$A$15,CW$13)="",10^12,OFFSET(PLE!$G$15,$M63-$A$15,CW$13)))</f>
        <v>1000000000000</v>
      </c>
      <c r="CX63" s="172" cm="1">
        <f t="array" aca="1" ref="CX63" ca="1">IF(OR($D63&lt;&gt;"Serviço",AND(AUTOEVENTO="Manual",$M63=$A$15),$M63&gt;(ROW(PLE.lastrow)-ROW(PLE.firstrow))),0,
           IF(OFFSET(PLE!$G$15,$M63-$A$15,CX$13)="",10^12,OFFSET(PLE!$G$15,$M63-$A$15,CX$13)))</f>
        <v>1000000000000</v>
      </c>
      <c r="CY63" s="172" cm="1">
        <f t="array" aca="1" ref="CY63" ca="1">IF(OR($D63&lt;&gt;"Serviço",AND(AUTOEVENTO="Manual",$M63=$A$15),$M63&gt;(ROW(PLE.lastrow)-ROW(PLE.firstrow))),0,
           IF(OFFSET(PLE!$G$15,$M63-$A$15,CY$13)="",10^12,OFFSET(PLE!$G$15,$M63-$A$15,CY$13)))</f>
        <v>1000000000000</v>
      </c>
      <c r="CZ63" s="172" cm="1">
        <f t="array" aca="1" ref="CZ63" ca="1">IF(OR($D63&lt;&gt;"Serviço",AND(AUTOEVENTO="Manual",$M63=$A$15),$M63&gt;(ROW(PLE.lastrow)-ROW(PLE.firstrow))),0,
           IF(OFFSET(PLE!$G$15,$M63-$A$15,CZ$13)="",10^12,OFFSET(PLE!$G$15,$M63-$A$15,CZ$13)))</f>
        <v>1000000000000</v>
      </c>
      <c r="DA63" s="172" cm="1">
        <f t="array" aca="1" ref="DA63" ca="1">IF(OR($D63&lt;&gt;"Serviço",AND(AUTOEVENTO="Manual",$M63=$A$15),$M63&gt;(ROW(PLE.lastrow)-ROW(PLE.firstrow))),0,
           IF(OFFSET(PLE!$G$15,$M63-$A$15,DA$13)="",10^12,OFFSET(PLE!$G$15,$M63-$A$15,DA$13)))</f>
        <v>1000000000000</v>
      </c>
      <c r="DB63" s="172" cm="1">
        <f t="array" aca="1" ref="DB63" ca="1">IF(OR($D63&lt;&gt;"Serviço",AND(AUTOEVENTO="Manual",$M63=$A$15),$M63&gt;(ROW(PLE.lastrow)-ROW(PLE.firstrow))),0,
           IF(OFFSET(PLE!$G$15,$M63-$A$15,DB$13)="",10^12,OFFSET(PLE!$G$15,$M63-$A$15,DB$13)))</f>
        <v>1000000000000</v>
      </c>
      <c r="DC63" s="172" cm="1">
        <f t="array" aca="1" ref="DC63" ca="1">IF(OR($D63&lt;&gt;"Serviço",AND(AUTOEVENTO="Manual",$M63=$A$15),$M63&gt;(ROW(PLE.lastrow)-ROW(PLE.firstrow))),0,
           IF(OFFSET(PLE!$G$15,$M63-$A$15,DC$13)="",10^12,OFFSET(PLE!$G$15,$M63-$A$15,DC$13)))</f>
        <v>1000000000000</v>
      </c>
      <c r="DD63" s="172" cm="1">
        <f t="array" aca="1" ref="DD63" ca="1">IF(OR($D63&lt;&gt;"Serviço",AND(AUTOEVENTO="Manual",$M63=$A$15),$M63&gt;(ROW(PLE.lastrow)-ROW(PLE.firstrow))),0,
           IF(OFFSET(PLE!$G$15,$M63-$A$15,DD$13)="",10^12,OFFSET(PLE!$G$15,$M63-$A$15,DD$13)))</f>
        <v>1000000000000</v>
      </c>
      <c r="DE63" s="172" cm="1">
        <f t="array" aca="1" ref="DE63" ca="1">IF(OR($D63&lt;&gt;"Serviço",AND(AUTOEVENTO="Manual",$M63=$A$15),$M63&gt;(ROW(PLE.lastrow)-ROW(PLE.firstrow))),0,
           IF(OFFSET(PLE!$G$15,$M63-$A$15,DE$13)="",10^12,OFFSET(PLE!$G$15,$M63-$A$15,DE$13)))</f>
        <v>1000000000000</v>
      </c>
      <c r="DF63" s="172" cm="1">
        <f t="array" aca="1" ref="DF63" ca="1">IF(OR($D63&lt;&gt;"Serviço",AND(AUTOEVENTO="Manual",$M63=$A$15),$M63&gt;(ROW(PLE.lastrow)-ROW(PLE.firstrow))),0,
           IF(OFFSET(PLE!$G$15,$M63-$A$15,DF$13)="",10^12,OFFSET(PLE!$G$15,$M63-$A$15,DF$13)))</f>
        <v>1000000000000</v>
      </c>
      <c r="DG63" s="172" cm="1">
        <f t="array" aca="1" ref="DG63" ca="1">IF(OR($D63&lt;&gt;"Serviço",AND(AUTOEVENTO="Manual",$M63=$A$15),$M63&gt;(ROW(PLE.lastrow)-ROW(PLE.firstrow))),0,
           IF(OFFSET(PLE!$G$15,$M63-$A$15,DG$13)="",10^12,OFFSET(PLE!$G$15,$M63-$A$15,DG$13)))</f>
        <v>1000000000000</v>
      </c>
      <c r="DH63" s="172" cm="1">
        <f t="array" aca="1" ref="DH63" ca="1">IF(OR($D63&lt;&gt;"Serviço",AND(AUTOEVENTO="Manual",$M63=$A$15),$M63&gt;(ROW(PLE.lastrow)-ROW(PLE.firstrow))),0,
           IF(OFFSET(PLE!$G$15,$M63-$A$15,DH$13)="",10^12,OFFSET(PLE!$G$15,$M63-$A$15,DH$13)))</f>
        <v>1000000000000</v>
      </c>
      <c r="DI63" s="172" cm="1">
        <f t="array" aca="1" ref="DI63" ca="1">IF(OR($D63&lt;&gt;"Serviço",AND(AUTOEVENTO="Manual",$M63=$A$15),$M63&gt;(ROW(PLE.lastrow)-ROW(PLE.firstrow))),0,
           IF(OFFSET(PLE!$G$15,$M63-$A$15,DI$13)="",10^12,OFFSET(PLE!$G$15,$M63-$A$15,DI$13)))</f>
        <v>1000000000000</v>
      </c>
      <c r="DJ63" s="172" cm="1">
        <f t="array" aca="1" ref="DJ63" ca="1">IF(OR($D63&lt;&gt;"Serviço",AND(AUTOEVENTO="Manual",$M63=$A$15),$M63&gt;(ROW(PLE.lastrow)-ROW(PLE.firstrow))),0,
           IF(OFFSET(PLE!$G$15,$M63-$A$15,DJ$13)="",10^12,OFFSET(PLE!$G$15,$M63-$A$15,DJ$13)))</f>
        <v>1000000000000</v>
      </c>
      <c r="DK63" s="172" cm="1">
        <f t="array" aca="1" ref="DK63" ca="1">IF(OR($D63&lt;&gt;"Serviço",AND(AUTOEVENTO="Manual",$M63=$A$15),$M63&gt;(ROW(PLE.lastrow)-ROW(PLE.firstrow))),0,
           IF(OFFSET(PLE!$G$15,$M63-$A$15,DK$13)="",10^12,OFFSET(PLE!$G$15,$M63-$A$15,DK$13)))</f>
        <v>1000000000000</v>
      </c>
      <c r="DL63" s="172" cm="1">
        <f t="array" aca="1" ref="DL63" ca="1">IF(OR($D63&lt;&gt;"Serviço",AND(AUTOEVENTO="Manual",$M63=$A$15),$M63&gt;(ROW(PLE.lastrow)-ROW(PLE.firstrow))),0,
           IF(OFFSET(PLE!$G$15,$M63-$A$15,DL$13)="",10^12,OFFSET(PLE!$G$15,$M63-$A$15,DL$13)))</f>
        <v>1000000000000</v>
      </c>
      <c r="DM63" s="172" cm="1">
        <f t="array" aca="1" ref="DM63" ca="1">IF(OR($D63&lt;&gt;"Serviço",AND(AUTOEVENTO="Manual",$M63=$A$15),$M63&gt;(ROW(PLE.lastrow)-ROW(PLE.firstrow))),0,
           IF(OFFSET(PLE!$G$15,$M63-$A$15,DM$13)="",10^12,OFFSET(PLE!$G$15,$M63-$A$15,DM$13)))</f>
        <v>1000000000000</v>
      </c>
      <c r="DN63" s="172" cm="1">
        <f t="array" aca="1" ref="DN63" ca="1">IF(OR($D63&lt;&gt;"Serviço",AND(AUTOEVENTO="Manual",$M63=$A$15),$M63&gt;(ROW(PLE.lastrow)-ROW(PLE.firstrow))),0,
           IF(OFFSET(PLE!$G$15,$M63-$A$15,DN$13)="",10^12,OFFSET(PLE!$G$15,$M63-$A$15,DN$13)))</f>
        <v>1000000000000</v>
      </c>
      <c r="DO63" s="172" cm="1">
        <f t="array" aca="1" ref="DO63" ca="1">IF(OR($D63&lt;&gt;"Serviço",AND(AUTOEVENTO="Manual",$M63=$A$15),$M63&gt;(ROW(PLE.lastrow)-ROW(PLE.firstrow))),0,
           IF(OFFSET(PLE!$G$15,$M63-$A$15,DO$13)="",10^12,OFFSET(PLE!$G$15,$M63-$A$15,DO$13)))</f>
        <v>1000000000000</v>
      </c>
      <c r="DP63" s="172" cm="1">
        <f t="array" aca="1" ref="DP63" ca="1">IF(OR($D63&lt;&gt;"Serviço",AND(AUTOEVENTO="Manual",$M63=$A$15),$M63&gt;(ROW(PLE.lastrow)-ROW(PLE.firstrow))),0,
           IF(OFFSET(PLE!$G$15,$M63-$A$15,DP$13)="",10^12,OFFSET(PLE!$G$15,$M63-$A$15,DP$13)))</f>
        <v>1000000000000</v>
      </c>
      <c r="DQ63" s="172" cm="1">
        <f t="array" aca="1" ref="DQ63" ca="1">IF(OR($D63&lt;&gt;"Serviço",AND(AUTOEVENTO="Manual",$M63=$A$15),$M63&gt;(ROW(PLE.lastrow)-ROW(PLE.firstrow))),0,
           IF(OFFSET(PLE!$G$15,$M63-$A$15,DQ$13)="",10^12,OFFSET(PLE!$G$15,$M63-$A$15,DQ$13)))</f>
        <v>1000000000000</v>
      </c>
      <c r="DR63" s="172" cm="1">
        <f t="array" aca="1" ref="DR63" ca="1">IF(OR($D63&lt;&gt;"Serviço",AND(AUTOEVENTO="Manual",$M63=$A$15),$M63&gt;(ROW(PLE.lastrow)-ROW(PLE.firstrow))),0,
           IF(OFFSET(PLE!$G$15,$M63-$A$15,DR$13)="",10^12,OFFSET(PLE!$G$15,$M63-$A$15,DR$13)))</f>
        <v>1000000000000</v>
      </c>
      <c r="DS63" s="172" cm="1">
        <f t="array" aca="1" ref="DS63" ca="1">IF(OR($D63&lt;&gt;"Serviço",AND(AUTOEVENTO="Manual",$M63=$A$15),$M63&gt;(ROW(PLE.lastrow)-ROW(PLE.firstrow))),0,
           IF(OFFSET(PLE!$G$15,$M63-$A$15,DS$13)="",10^12,OFFSET(PLE!$G$15,$M63-$A$15,DS$13)))</f>
        <v>1000000000000</v>
      </c>
    </row>
    <row r="64" spans="1:123" ht="25.5" x14ac:dyDescent="0.2">
      <c r="A64" s="7">
        <f t="shared" ca="1" si="11"/>
        <v>5</v>
      </c>
      <c r="B64" s="7" t="str">
        <f ca="1">OFFSET(ORÇAMENTO!C$15,$L64,0)</f>
        <v>S</v>
      </c>
      <c r="C64" s="7" t="str">
        <f ca="1">OFFSET(ORÇAMENTO!L$15,$L64,0)</f>
        <v/>
      </c>
      <c r="D64" s="116" t="str">
        <f ca="1">OFFSET(ORÇAMENTO!N$15,$L64,0)</f>
        <v>Serviço</v>
      </c>
      <c r="E64" s="117" t="str">
        <f ca="1">OFFSET(ORÇAMENTO!O$15,$L64,0)</f>
        <v>-</v>
      </c>
      <c r="F64" s="163" t="str">
        <f ca="1">OFFSET(ORÇAMENTO!R$15,$L64,0)</f>
        <v>(Código não identificado nas referências)</v>
      </c>
      <c r="G64" s="164" t="str">
        <f ca="1">IF($D64&lt;&gt;"Serviço","",OFFSET(ORÇAMENTO!S$15,$L64,0))</f>
        <v>-</v>
      </c>
      <c r="H64" s="122" cm="1">
        <f t="array" aca="1" ref="H64" ca="1">IF($D64&lt;&gt;"Serviço",0,IF(ACOMPANHAMENTO="BM",ROUND(OFFSET(ORÇAMENTO!AJ$15,$L64,0),15-13*ORÇAMENTO!$AF$7),IF(IFERROR(CÁLCULO.FrentesPreenchidas,0)=0,0,SUM(ROUND(OFFSET($P64,0,1,1,CÁLCULO.FrentesPreenchidas),15-13*ORÇAMENTO!$AF$7)))))</f>
        <v>323.99999999999989</v>
      </c>
      <c r="I64" s="468" t="s">
        <v>1235</v>
      </c>
      <c r="J64" s="651" t="str" cm="1">
        <f t="array" aca="1" ref="J64" ca="1">IF(OR(B64&lt;&gt;"S",CÁLCULO.FrentesPreenchidas=0),"",IF(AND(ACOMPANHAMENTO="PLE",AUTOEVENTO="Manual",OR(H64&gt;0,ORÇAMENTO!AC64="QUANT."),OR(K64="",M64=0,N64="")),"►E",IF(AND(ACOMPANHAMENTO="PLE",ORÇAMENTO!AC64="QUANT."),"►Q",IF(AND(ACOMPANHAMENTO="PLE",H64&lt;&gt;SUMPRODUCT(($Q$1:$AQ$1=1)*ROUND(Q64:AQ64,15))),"►S",IF(AND(COUNTIF($P$11:$AQ$11,"▼")=0,H64&gt;0,I64=""),"◄M","")))))</f>
        <v/>
      </c>
      <c r="K64" s="652" t="s">
        <v>1253</v>
      </c>
      <c r="L64" s="165">
        <f t="shared" ca="1" si="12"/>
        <v>49</v>
      </c>
      <c r="M64" s="166">
        <f ca="1">IF($D64&lt;&gt;"Serviço","",
          IF(AUTOEVENTO="manual",$A64,
                IF(ISERROR(MATCH($A64,$A$15:OFFSET($A64,-1,0),0)),MAX($M$15:OFFSET(M64,-1,0))+1,
                      INDEX($M$15:OFFSET(M64,-1,0),MATCH($A64,$A$15:OFFSET($A64,-1,0),0)))))</f>
        <v>5</v>
      </c>
      <c r="N64" s="167" t="str">
        <f ca="1">IF($D64&lt;&gt;"Serviço","",
         IF(AUTOEVENTO="Manual",
                IF($A64=0,"&lt;-- defina o número do agrupador",
                       OFFSET(EVENTOS!$D$15,$A64-$A$15,0)),
                OFFSET($F$15,$A64,0)))</f>
        <v>PAREDES E PAINÉIS</v>
      </c>
      <c r="O64" s="168"/>
      <c r="Q64" s="168">
        <v>16.2</v>
      </c>
      <c r="R64" s="169">
        <v>16.2</v>
      </c>
      <c r="S64" s="169">
        <v>16.2</v>
      </c>
      <c r="T64" s="169">
        <v>16.2</v>
      </c>
      <c r="U64" s="169">
        <v>16.2</v>
      </c>
      <c r="V64" s="169">
        <v>16.2</v>
      </c>
      <c r="W64" s="169">
        <v>16.2</v>
      </c>
      <c r="X64" s="169">
        <v>16.2</v>
      </c>
      <c r="Y64" s="169">
        <v>16.2</v>
      </c>
      <c r="Z64" s="170">
        <v>16.2</v>
      </c>
      <c r="AA64" s="169">
        <v>16.2</v>
      </c>
      <c r="AB64" s="169">
        <v>16.2</v>
      </c>
      <c r="AC64" s="169">
        <v>16.2</v>
      </c>
      <c r="AD64" s="169">
        <v>16.2</v>
      </c>
      <c r="AE64" s="169">
        <v>16.2</v>
      </c>
      <c r="AF64" s="169">
        <v>16.2</v>
      </c>
      <c r="AG64" s="169">
        <v>16.2</v>
      </c>
      <c r="AH64" s="170">
        <v>16.2</v>
      </c>
      <c r="AI64" s="169">
        <v>16.2</v>
      </c>
      <c r="AJ64" s="169">
        <v>16.2</v>
      </c>
      <c r="AK64" s="169"/>
      <c r="AL64" s="169"/>
      <c r="AM64" s="169"/>
      <c r="AN64" s="169"/>
      <c r="AO64" s="169"/>
      <c r="AP64" s="170"/>
      <c r="AR64" s="453">
        <f ca="1">IF(AND($D64="Serviço",AR$12&lt;&gt;0,$H64&gt;0,OR(AUTOEVENTO&lt;&gt;"manual",$M64&lt;&gt;$A$15)),
        IF(Import.TipoArredondamento&lt;&gt;"TransfereGOV",
              ROUND(OFFSET($P64,0,AR$13),15-13*ORÇAMENTO!$AF$7)/$H64*OFFSET(ORÇAMENTO!$X$15,ROW(AR64)-ROW(AR$15),0),
              ROUND(ROUND(OFFSET($P64,0,AR$13),15-13*ORÇAMENTO!$AF$7)*OFFSET(ORÇAMENTO!$W$15,ROW(AR64)-ROW(AR$15),0),15-13*ORÇAMENTO!$AF$11)),
         0)</f>
        <v>0</v>
      </c>
      <c r="AS64" s="453">
        <f ca="1">IF(AND($D64="Serviço",AS$12&lt;&gt;0,$H64&gt;0,OR(AUTOEVENTO&lt;&gt;"manual",$M64&lt;&gt;$A$15)),
        IF(Import.TipoArredondamento&lt;&gt;"TransfereGOV",
              ROUND(OFFSET($P64,0,AS$13),15-13*ORÇAMENTO!$AF$7)/$H64*OFFSET(ORÇAMENTO!$X$15,ROW(AS64)-ROW(AS$15),0),
              ROUND(ROUND(OFFSET($P64,0,AS$13),15-13*ORÇAMENTO!$AF$7)*OFFSET(ORÇAMENTO!$W$15,ROW(AS64)-ROW(AS$15),0),15-13*ORÇAMENTO!$AF$11)),
         0)</f>
        <v>0</v>
      </c>
      <c r="AT64" s="453">
        <f ca="1">IF(AND($D64="Serviço",AT$12&lt;&gt;0,$H64&gt;0,OR(AUTOEVENTO&lt;&gt;"manual",$M64&lt;&gt;$A$15)),
        IF(Import.TipoArredondamento&lt;&gt;"TransfereGOV",
              ROUND(OFFSET($P64,0,AT$13),15-13*ORÇAMENTO!$AF$7)/$H64*OFFSET(ORÇAMENTO!$X$15,ROW(AT64)-ROW(AT$15),0),
              ROUND(ROUND(OFFSET($P64,0,AT$13),15-13*ORÇAMENTO!$AF$7)*OFFSET(ORÇAMENTO!$W$15,ROW(AT64)-ROW(AT$15),0),15-13*ORÇAMENTO!$AF$11)),
         0)</f>
        <v>0</v>
      </c>
      <c r="AU64" s="453">
        <f ca="1">IF(AND($D64="Serviço",AU$12&lt;&gt;0,$H64&gt;0,OR(AUTOEVENTO&lt;&gt;"manual",$M64&lt;&gt;$A$15)),
        IF(Import.TipoArredondamento&lt;&gt;"TransfereGOV",
              ROUND(OFFSET($P64,0,AU$13),15-13*ORÇAMENTO!$AF$7)/$H64*OFFSET(ORÇAMENTO!$X$15,ROW(AU64)-ROW(AU$15),0),
              ROUND(ROUND(OFFSET($P64,0,AU$13),15-13*ORÇAMENTO!$AF$7)*OFFSET(ORÇAMENTO!$W$15,ROW(AU64)-ROW(AU$15),0),15-13*ORÇAMENTO!$AF$11)),
         0)</f>
        <v>0</v>
      </c>
      <c r="AV64" s="453">
        <f ca="1">IF(AND($D64="Serviço",AV$12&lt;&gt;0,$H64&gt;0,OR(AUTOEVENTO&lt;&gt;"manual",$M64&lt;&gt;$A$15)),
        IF(Import.TipoArredondamento&lt;&gt;"TransfereGOV",
              ROUND(OFFSET($P64,0,AV$13),15-13*ORÇAMENTO!$AF$7)/$H64*OFFSET(ORÇAMENTO!$X$15,ROW(AV64)-ROW(AV$15),0),
              ROUND(ROUND(OFFSET($P64,0,AV$13),15-13*ORÇAMENTO!$AF$7)*OFFSET(ORÇAMENTO!$W$15,ROW(AV64)-ROW(AV$15),0),15-13*ORÇAMENTO!$AF$11)),
         0)</f>
        <v>0</v>
      </c>
      <c r="AW64" s="453">
        <f ca="1">IF(AND($D64="Serviço",AW$12&lt;&gt;0,$H64&gt;0,OR(AUTOEVENTO&lt;&gt;"manual",$M64&lt;&gt;$A$15)),
        IF(Import.TipoArredondamento&lt;&gt;"TransfereGOV",
              ROUND(OFFSET($P64,0,AW$13),15-13*ORÇAMENTO!$AF$7)/$H64*OFFSET(ORÇAMENTO!$X$15,ROW(AW64)-ROW(AW$15),0),
              ROUND(ROUND(OFFSET($P64,0,AW$13),15-13*ORÇAMENTO!$AF$7)*OFFSET(ORÇAMENTO!$W$15,ROW(AW64)-ROW(AW$15),0),15-13*ORÇAMENTO!$AF$11)),
         0)</f>
        <v>0</v>
      </c>
      <c r="AX64" s="453">
        <f ca="1">IF(AND($D64="Serviço",AX$12&lt;&gt;0,$H64&gt;0,OR(AUTOEVENTO&lt;&gt;"manual",$M64&lt;&gt;$A$15)),
        IF(Import.TipoArredondamento&lt;&gt;"TransfereGOV",
              ROUND(OFFSET($P64,0,AX$13),15-13*ORÇAMENTO!$AF$7)/$H64*OFFSET(ORÇAMENTO!$X$15,ROW(AX64)-ROW(AX$15),0),
              ROUND(ROUND(OFFSET($P64,0,AX$13),15-13*ORÇAMENTO!$AF$7)*OFFSET(ORÇAMENTO!$W$15,ROW(AX64)-ROW(AX$15),0),15-13*ORÇAMENTO!$AF$11)),
         0)</f>
        <v>0</v>
      </c>
      <c r="AY64" s="453">
        <f ca="1">IF(AND($D64="Serviço",AY$12&lt;&gt;0,$H64&gt;0,OR(AUTOEVENTO&lt;&gt;"manual",$M64&lt;&gt;$A$15)),
        IF(Import.TipoArredondamento&lt;&gt;"TransfereGOV",
              ROUND(OFFSET($P64,0,AY$13),15-13*ORÇAMENTO!$AF$7)/$H64*OFFSET(ORÇAMENTO!$X$15,ROW(AY64)-ROW(AY$15),0),
              ROUND(ROUND(OFFSET($P64,0,AY$13),15-13*ORÇAMENTO!$AF$7)*OFFSET(ORÇAMENTO!$W$15,ROW(AY64)-ROW(AY$15),0),15-13*ORÇAMENTO!$AF$11)),
         0)</f>
        <v>0</v>
      </c>
      <c r="AZ64" s="453">
        <f ca="1">IF(AND($D64="Serviço",AZ$12&lt;&gt;0,$H64&gt;0,OR(AUTOEVENTO&lt;&gt;"manual",$M64&lt;&gt;$A$15)),
        IF(Import.TipoArredondamento&lt;&gt;"TransfereGOV",
              ROUND(OFFSET($P64,0,AZ$13),15-13*ORÇAMENTO!$AF$7)/$H64*OFFSET(ORÇAMENTO!$X$15,ROW(AZ64)-ROW(AZ$15),0),
              ROUND(ROUND(OFFSET($P64,0,AZ$13),15-13*ORÇAMENTO!$AF$7)*OFFSET(ORÇAMENTO!$W$15,ROW(AZ64)-ROW(AZ$15),0),15-13*ORÇAMENTO!$AF$11)),
         0)</f>
        <v>0</v>
      </c>
      <c r="BA64" s="453">
        <f ca="1">IF(AND($D64="Serviço",BA$12&lt;&gt;0,$H64&gt;0,OR(AUTOEVENTO&lt;&gt;"manual",$M64&lt;&gt;$A$15)),
        IF(Import.TipoArredondamento&lt;&gt;"TransfereGOV",
              ROUND(OFFSET($P64,0,BA$13),15-13*ORÇAMENTO!$AF$7)/$H64*OFFSET(ORÇAMENTO!$X$15,ROW(BA64)-ROW(BA$15),0),
              ROUND(ROUND(OFFSET($P64,0,BA$13),15-13*ORÇAMENTO!$AF$7)*OFFSET(ORÇAMENTO!$W$15,ROW(BA64)-ROW(BA$15),0),15-13*ORÇAMENTO!$AF$11)),
         0)</f>
        <v>0</v>
      </c>
      <c r="BB64" s="453">
        <f ca="1">IF(AND($D64="Serviço",BB$12&lt;&gt;0,$H64&gt;0,OR(AUTOEVENTO&lt;&gt;"manual",$M64&lt;&gt;$A$15)),
        IF(Import.TipoArredondamento&lt;&gt;"TransfereGOV",
              ROUND(OFFSET($P64,0,BB$13),15-13*ORÇAMENTO!$AF$7)/$H64*OFFSET(ORÇAMENTO!$X$15,ROW(BB64)-ROW(BB$15),0),
              ROUND(ROUND(OFFSET($P64,0,BB$13),15-13*ORÇAMENTO!$AF$7)*OFFSET(ORÇAMENTO!$W$15,ROW(BB64)-ROW(BB$15),0),15-13*ORÇAMENTO!$AF$11)),
         0)</f>
        <v>0</v>
      </c>
      <c r="BC64" s="453">
        <f ca="1">IF(AND($D64="Serviço",BC$12&lt;&gt;0,$H64&gt;0,OR(AUTOEVENTO&lt;&gt;"manual",$M64&lt;&gt;$A$15)),
        IF(Import.TipoArredondamento&lt;&gt;"TransfereGOV",
              ROUND(OFFSET($P64,0,BC$13),15-13*ORÇAMENTO!$AF$7)/$H64*OFFSET(ORÇAMENTO!$X$15,ROW(BC64)-ROW(BC$15),0),
              ROUND(ROUND(OFFSET($P64,0,BC$13),15-13*ORÇAMENTO!$AF$7)*OFFSET(ORÇAMENTO!$W$15,ROW(BC64)-ROW(BC$15),0),15-13*ORÇAMENTO!$AF$11)),
         0)</f>
        <v>0</v>
      </c>
      <c r="BD64" s="453">
        <f ca="1">IF(AND($D64="Serviço",BD$12&lt;&gt;0,$H64&gt;0,OR(AUTOEVENTO&lt;&gt;"manual",$M64&lt;&gt;$A$15)),
        IF(Import.TipoArredondamento&lt;&gt;"TransfereGOV",
              ROUND(OFFSET($P64,0,BD$13),15-13*ORÇAMENTO!$AF$7)/$H64*OFFSET(ORÇAMENTO!$X$15,ROW(BD64)-ROW(BD$15),0),
              ROUND(ROUND(OFFSET($P64,0,BD$13),15-13*ORÇAMENTO!$AF$7)*OFFSET(ORÇAMENTO!$W$15,ROW(BD64)-ROW(BD$15),0),15-13*ORÇAMENTO!$AF$11)),
         0)</f>
        <v>0</v>
      </c>
      <c r="BE64" s="453">
        <f ca="1">IF(AND($D64="Serviço",BE$12&lt;&gt;0,$H64&gt;0,OR(AUTOEVENTO&lt;&gt;"manual",$M64&lt;&gt;$A$15)),
        IF(Import.TipoArredondamento&lt;&gt;"TransfereGOV",
              ROUND(OFFSET($P64,0,BE$13),15-13*ORÇAMENTO!$AF$7)/$H64*OFFSET(ORÇAMENTO!$X$15,ROW(BE64)-ROW(BE$15),0),
              ROUND(ROUND(OFFSET($P64,0,BE$13),15-13*ORÇAMENTO!$AF$7)*OFFSET(ORÇAMENTO!$W$15,ROW(BE64)-ROW(BE$15),0),15-13*ORÇAMENTO!$AF$11)),
         0)</f>
        <v>0</v>
      </c>
      <c r="BF64" s="453">
        <f ca="1">IF(AND($D64="Serviço",BF$12&lt;&gt;0,$H64&gt;0,OR(AUTOEVENTO&lt;&gt;"manual",$M64&lt;&gt;$A$15)),
        IF(Import.TipoArredondamento&lt;&gt;"TransfereGOV",
              ROUND(OFFSET($P64,0,BF$13),15-13*ORÇAMENTO!$AF$7)/$H64*OFFSET(ORÇAMENTO!$X$15,ROW(BF64)-ROW(BF$15),0),
              ROUND(ROUND(OFFSET($P64,0,BF$13),15-13*ORÇAMENTO!$AF$7)*OFFSET(ORÇAMENTO!$W$15,ROW(BF64)-ROW(BF$15),0),15-13*ORÇAMENTO!$AF$11)),
         0)</f>
        <v>0</v>
      </c>
      <c r="BG64" s="453">
        <f ca="1">IF(AND($D64="Serviço",BG$12&lt;&gt;0,$H64&gt;0,OR(AUTOEVENTO&lt;&gt;"manual",$M64&lt;&gt;$A$15)),
        IF(Import.TipoArredondamento&lt;&gt;"TransfereGOV",
              ROUND(OFFSET($P64,0,BG$13),15-13*ORÇAMENTO!$AF$7)/$H64*OFFSET(ORÇAMENTO!$X$15,ROW(BG64)-ROW(BG$15),0),
              ROUND(ROUND(OFFSET($P64,0,BG$13),15-13*ORÇAMENTO!$AF$7)*OFFSET(ORÇAMENTO!$W$15,ROW(BG64)-ROW(BG$15),0),15-13*ORÇAMENTO!$AF$11)),
         0)</f>
        <v>0</v>
      </c>
      <c r="BH64" s="453">
        <f ca="1">IF(AND($D64="Serviço",BH$12&lt;&gt;0,$H64&gt;0,OR(AUTOEVENTO&lt;&gt;"manual",$M64&lt;&gt;$A$15)),
        IF(Import.TipoArredondamento&lt;&gt;"TransfereGOV",
              ROUND(OFFSET($P64,0,BH$13),15-13*ORÇAMENTO!$AF$7)/$H64*OFFSET(ORÇAMENTO!$X$15,ROW(BH64)-ROW(BH$15),0),
              ROUND(ROUND(OFFSET($P64,0,BH$13),15-13*ORÇAMENTO!$AF$7)*OFFSET(ORÇAMENTO!$W$15,ROW(BH64)-ROW(BH$15),0),15-13*ORÇAMENTO!$AF$11)),
         0)</f>
        <v>0</v>
      </c>
      <c r="BI64" s="453">
        <f ca="1">IF(AND($D64="Serviço",BI$12&lt;&gt;0,$H64&gt;0,OR(AUTOEVENTO&lt;&gt;"manual",$M64&lt;&gt;$A$15)),
        IF(Import.TipoArredondamento&lt;&gt;"TransfereGOV",
              ROUND(OFFSET($P64,0,BI$13),15-13*ORÇAMENTO!$AF$7)/$H64*OFFSET(ORÇAMENTO!$X$15,ROW(BI64)-ROW(BI$15),0),
              ROUND(ROUND(OFFSET($P64,0,BI$13),15-13*ORÇAMENTO!$AF$7)*OFFSET(ORÇAMENTO!$W$15,ROW(BI64)-ROW(BI$15),0),15-13*ORÇAMENTO!$AF$11)),
         0)</f>
        <v>0</v>
      </c>
      <c r="BJ64" s="453">
        <f ca="1">IF(AND($D64="Serviço",BJ$12&lt;&gt;0,$H64&gt;0,OR(AUTOEVENTO&lt;&gt;"manual",$M64&lt;&gt;$A$15)),
        IF(Import.TipoArredondamento&lt;&gt;"TransfereGOV",
              ROUND(OFFSET($P64,0,BJ$13),15-13*ORÇAMENTO!$AF$7)/$H64*OFFSET(ORÇAMENTO!$X$15,ROW(BJ64)-ROW(BJ$15),0),
              ROUND(ROUND(OFFSET($P64,0,BJ$13),15-13*ORÇAMENTO!$AF$7)*OFFSET(ORÇAMENTO!$W$15,ROW(BJ64)-ROW(BJ$15),0),15-13*ORÇAMENTO!$AF$11)),
         0)</f>
        <v>0</v>
      </c>
      <c r="BK64" s="453">
        <f ca="1">IF(AND($D64="Serviço",BK$12&lt;&gt;0,$H64&gt;0,OR(AUTOEVENTO&lt;&gt;"manual",$M64&lt;&gt;$A$15)),
        IF(Import.TipoArredondamento&lt;&gt;"TransfereGOV",
              ROUND(OFFSET($P64,0,BK$13),15-13*ORÇAMENTO!$AF$7)/$H64*OFFSET(ORÇAMENTO!$X$15,ROW(BK64)-ROW(BK$15),0),
              ROUND(ROUND(OFFSET($P64,0,BK$13),15-13*ORÇAMENTO!$AF$7)*OFFSET(ORÇAMENTO!$W$15,ROW(BK64)-ROW(BK$15),0),15-13*ORÇAMENTO!$AF$11)),
         0)</f>
        <v>0</v>
      </c>
      <c r="BL64" s="453">
        <f ca="1">IF(AND($D64="Serviço",BL$12&lt;&gt;0,$H64&gt;0,OR(AUTOEVENTO&lt;&gt;"manual",$M64&lt;&gt;$A$15)),
        IF(Import.TipoArredondamento&lt;&gt;"TransfereGOV",
              ROUND(OFFSET($P64,0,BL$13),15-13*ORÇAMENTO!$AF$7)/$H64*OFFSET(ORÇAMENTO!$X$15,ROW(BL64)-ROW(BL$15),0),
              ROUND(ROUND(OFFSET($P64,0,BL$13),15-13*ORÇAMENTO!$AF$7)*OFFSET(ORÇAMENTO!$W$15,ROW(BL64)-ROW(BL$15),0),15-13*ORÇAMENTO!$AF$11)),
         0)</f>
        <v>0</v>
      </c>
      <c r="BM64" s="453">
        <f ca="1">IF(AND($D64="Serviço",BM$12&lt;&gt;0,$H64&gt;0,OR(AUTOEVENTO&lt;&gt;"manual",$M64&lt;&gt;$A$15)),
        IF(Import.TipoArredondamento&lt;&gt;"TransfereGOV",
              ROUND(OFFSET($P64,0,BM$13),15-13*ORÇAMENTO!$AF$7)/$H64*OFFSET(ORÇAMENTO!$X$15,ROW(BM64)-ROW(BM$15),0),
              ROUND(ROUND(OFFSET($P64,0,BM$13),15-13*ORÇAMENTO!$AF$7)*OFFSET(ORÇAMENTO!$W$15,ROW(BM64)-ROW(BM$15),0),15-13*ORÇAMENTO!$AF$11)),
         0)</f>
        <v>0</v>
      </c>
      <c r="BN64" s="453">
        <f ca="1">IF(AND($D64="Serviço",BN$12&lt;&gt;0,$H64&gt;0,OR(AUTOEVENTO&lt;&gt;"manual",$M64&lt;&gt;$A$15)),
        IF(Import.TipoArredondamento&lt;&gt;"TransfereGOV",
              ROUND(OFFSET($P64,0,BN$13),15-13*ORÇAMENTO!$AF$7)/$H64*OFFSET(ORÇAMENTO!$X$15,ROW(BN64)-ROW(BN$15),0),
              ROUND(ROUND(OFFSET($P64,0,BN$13),15-13*ORÇAMENTO!$AF$7)*OFFSET(ORÇAMENTO!$W$15,ROW(BN64)-ROW(BN$15),0),15-13*ORÇAMENTO!$AF$11)),
         0)</f>
        <v>0</v>
      </c>
      <c r="BO64" s="453">
        <f ca="1">IF(AND($D64="Serviço",BO$12&lt;&gt;0,$H64&gt;0,OR(AUTOEVENTO&lt;&gt;"manual",$M64&lt;&gt;$A$15)),
        IF(Import.TipoArredondamento&lt;&gt;"TransfereGOV",
              ROUND(OFFSET($P64,0,BO$13),15-13*ORÇAMENTO!$AF$7)/$H64*OFFSET(ORÇAMENTO!$X$15,ROW(BO64)-ROW(BO$15),0),
              ROUND(ROUND(OFFSET($P64,0,BO$13),15-13*ORÇAMENTO!$AF$7)*OFFSET(ORÇAMENTO!$W$15,ROW(BO64)-ROW(BO$15),0),15-13*ORÇAMENTO!$AF$11)),
         0)</f>
        <v>0</v>
      </c>
      <c r="BP64" s="453">
        <f ca="1">IF(AND($D64="Serviço",BP$12&lt;&gt;0,$H64&gt;0,OR(AUTOEVENTO&lt;&gt;"manual",$M64&lt;&gt;$A$15)),
        IF(Import.TipoArredondamento&lt;&gt;"TransfereGOV",
              ROUND(OFFSET($P64,0,BP$13),15-13*ORÇAMENTO!$AF$7)/$H64*OFFSET(ORÇAMENTO!$X$15,ROW(BP64)-ROW(BP$15),0),
              ROUND(ROUND(OFFSET($P64,0,BP$13),15-13*ORÇAMENTO!$AF$7)*OFFSET(ORÇAMENTO!$W$15,ROW(BP64)-ROW(BP$15),0),15-13*ORÇAMENTO!$AF$11)),
         0)</f>
        <v>0</v>
      </c>
      <c r="BQ64" s="453">
        <f ca="1">IF(AND($D64="Serviço",BQ$12&lt;&gt;0,$H64&gt;0,OR(AUTOEVENTO&lt;&gt;"manual",$M64&lt;&gt;$A$15)),
        IF(Import.TipoArredondamento&lt;&gt;"TransfereGOV",
              ROUND(OFFSET($P64,0,BQ$13),15-13*ORÇAMENTO!$AF$7)/$H64*OFFSET(ORÇAMENTO!$X$15,ROW(BQ64)-ROW(BQ$15),0),
              ROUND(ROUND(OFFSET($P64,0,BQ$13),15-13*ORÇAMENTO!$AF$7)*OFFSET(ORÇAMENTO!$W$15,ROW(BQ64)-ROW(BQ$15),0),15-13*ORÇAMENTO!$AF$11)),
         0)</f>
        <v>0</v>
      </c>
      <c r="BS64" s="171">
        <f ca="1">IF(OR($D64&lt;&gt;"Serviço",AND(AUTOEVENTO="Manual",$M64=$A$15)),0,
         IF(OFFSET(CRONOPLE!$F$15,$M64-$A$15,BS$13)=0,10^12,OFFSET(CRONOPLE!$F$15,$M64-$A$15,BS$13)))</f>
        <v>1</v>
      </c>
      <c r="BT64" s="171">
        <f ca="1">IF(OR($D64&lt;&gt;"Serviço",AND(AUTOEVENTO="Manual",$M64=$A$15)),0,
         IF(OFFSET(CRONOPLE!$F$15,$M64-$A$15,BT$13)=0,10^12,OFFSET(CRONOPLE!$F$15,$M64-$A$15,BT$13)))</f>
        <v>2</v>
      </c>
      <c r="BU64" s="171">
        <f ca="1">IF(OR($D64&lt;&gt;"Serviço",AND(AUTOEVENTO="Manual",$M64=$A$15)),0,
         IF(OFFSET(CRONOPLE!$F$15,$M64-$A$15,BU$13)=0,10^12,OFFSET(CRONOPLE!$F$15,$M64-$A$15,BU$13)))</f>
        <v>3</v>
      </c>
      <c r="BV64" s="171">
        <f ca="1">IF(OR($D64&lt;&gt;"Serviço",AND(AUTOEVENTO="Manual",$M64=$A$15)),0,
         IF(OFFSET(CRONOPLE!$F$15,$M64-$A$15,BV$13)=0,10^12,OFFSET(CRONOPLE!$F$15,$M64-$A$15,BV$13)))</f>
        <v>4</v>
      </c>
      <c r="BW64" s="171">
        <f ca="1">IF(OR($D64&lt;&gt;"Serviço",AND(AUTOEVENTO="Manual",$M64=$A$15)),0,
         IF(OFFSET(CRONOPLE!$F$15,$M64-$A$15,BW$13)=0,10^12,OFFSET(CRONOPLE!$F$15,$M64-$A$15,BW$13)))</f>
        <v>5</v>
      </c>
      <c r="BX64" s="171">
        <f ca="1">IF(OR($D64&lt;&gt;"Serviço",AND(AUTOEVENTO="Manual",$M64=$A$15)),0,
         IF(OFFSET(CRONOPLE!$F$15,$M64-$A$15,BX$13)=0,10^12,OFFSET(CRONOPLE!$F$15,$M64-$A$15,BX$13)))</f>
        <v>6</v>
      </c>
      <c r="BY64" s="171">
        <f ca="1">IF(OR($D64&lt;&gt;"Serviço",AND(AUTOEVENTO="Manual",$M64=$A$15)),0,
         IF(OFFSET(CRONOPLE!$F$15,$M64-$A$15,BY$13)=0,10^12,OFFSET(CRONOPLE!$F$15,$M64-$A$15,BY$13)))</f>
        <v>7</v>
      </c>
      <c r="BZ64" s="171">
        <f ca="1">IF(OR($D64&lt;&gt;"Serviço",AND(AUTOEVENTO="Manual",$M64=$A$15)),0,
         IF(OFFSET(CRONOPLE!$F$15,$M64-$A$15,BZ$13)=0,10^12,OFFSET(CRONOPLE!$F$15,$M64-$A$15,BZ$13)))</f>
        <v>8</v>
      </c>
      <c r="CA64" s="171">
        <f ca="1">IF(OR($D64&lt;&gt;"Serviço",AND(AUTOEVENTO="Manual",$M64=$A$15)),0,
         IF(OFFSET(CRONOPLE!$F$15,$M64-$A$15,CA$13)=0,10^12,OFFSET(CRONOPLE!$F$15,$M64-$A$15,CA$13)))</f>
        <v>9</v>
      </c>
      <c r="CB64" s="171">
        <f ca="1">IF(OR($D64&lt;&gt;"Serviço",AND(AUTOEVENTO="Manual",$M64=$A$15)),0,
         IF(OFFSET(CRONOPLE!$F$15,$M64-$A$15,CB$13)=0,10^12,OFFSET(CRONOPLE!$F$15,$M64-$A$15,CB$13)))</f>
        <v>10</v>
      </c>
      <c r="CC64" s="171">
        <f ca="1">IF(OR($D64&lt;&gt;"Serviço",AND(AUTOEVENTO="Manual",$M64=$A$15)),0,
         IF(OFFSET(CRONOPLE!$F$15,$M64-$A$15,CC$13)=0,10^12,OFFSET(CRONOPLE!$F$15,$M64-$A$15,CC$13)))</f>
        <v>11</v>
      </c>
      <c r="CD64" s="171">
        <f ca="1">IF(OR($D64&lt;&gt;"Serviço",AND(AUTOEVENTO="Manual",$M64=$A$15)),0,
         IF(OFFSET(CRONOPLE!$F$15,$M64-$A$15,CD$13)=0,10^12,OFFSET(CRONOPLE!$F$15,$M64-$A$15,CD$13)))</f>
        <v>12</v>
      </c>
      <c r="CE64" s="171">
        <f ca="1">IF(OR($D64&lt;&gt;"Serviço",AND(AUTOEVENTO="Manual",$M64=$A$15)),0,
         IF(OFFSET(CRONOPLE!$F$15,$M64-$A$15,CE$13)=0,10^12,OFFSET(CRONOPLE!$F$15,$M64-$A$15,CE$13)))</f>
        <v>13</v>
      </c>
      <c r="CF64" s="171">
        <f ca="1">IF(OR($D64&lt;&gt;"Serviço",AND(AUTOEVENTO="Manual",$M64=$A$15)),0,
         IF(OFFSET(CRONOPLE!$F$15,$M64-$A$15,CF$13)=0,10^12,OFFSET(CRONOPLE!$F$15,$M64-$A$15,CF$13)))</f>
        <v>14</v>
      </c>
      <c r="CG64" s="171">
        <f ca="1">IF(OR($D64&lt;&gt;"Serviço",AND(AUTOEVENTO="Manual",$M64=$A$15)),0,
         IF(OFFSET(CRONOPLE!$F$15,$M64-$A$15,CG$13)=0,10^12,OFFSET(CRONOPLE!$F$15,$M64-$A$15,CG$13)))</f>
        <v>15</v>
      </c>
      <c r="CH64" s="171">
        <f ca="1">IF(OR($D64&lt;&gt;"Serviço",AND(AUTOEVENTO="Manual",$M64=$A$15)),0,
         IF(OFFSET(CRONOPLE!$F$15,$M64-$A$15,CH$13)=0,10^12,OFFSET(CRONOPLE!$F$15,$M64-$A$15,CH$13)))</f>
        <v>16</v>
      </c>
      <c r="CI64" s="171">
        <f ca="1">IF(OR($D64&lt;&gt;"Serviço",AND(AUTOEVENTO="Manual",$M64=$A$15)),0,
         IF(OFFSET(CRONOPLE!$F$15,$M64-$A$15,CI$13)=0,10^12,OFFSET(CRONOPLE!$F$15,$M64-$A$15,CI$13)))</f>
        <v>17</v>
      </c>
      <c r="CJ64" s="171">
        <f ca="1">IF(OR($D64&lt;&gt;"Serviço",AND(AUTOEVENTO="Manual",$M64=$A$15)),0,
         IF(OFFSET(CRONOPLE!$F$15,$M64-$A$15,CJ$13)=0,10^12,OFFSET(CRONOPLE!$F$15,$M64-$A$15,CJ$13)))</f>
        <v>18</v>
      </c>
      <c r="CK64" s="171">
        <f ca="1">IF(OR($D64&lt;&gt;"Serviço",AND(AUTOEVENTO="Manual",$M64=$A$15)),0,
         IF(OFFSET(CRONOPLE!$F$15,$M64-$A$15,CK$13)=0,10^12,OFFSET(CRONOPLE!$F$15,$M64-$A$15,CK$13)))</f>
        <v>19</v>
      </c>
      <c r="CL64" s="171">
        <f ca="1">IF(OR($D64&lt;&gt;"Serviço",AND(AUTOEVENTO="Manual",$M64=$A$15)),0,
         IF(OFFSET(CRONOPLE!$F$15,$M64-$A$15,CL$13)=0,10^12,OFFSET(CRONOPLE!$F$15,$M64-$A$15,CL$13)))</f>
        <v>20</v>
      </c>
      <c r="CM64" s="171">
        <f ca="1">IF(OR($D64&lt;&gt;"Serviço",AND(AUTOEVENTO="Manual",$M64=$A$15)),0,
         IF(OFFSET(CRONOPLE!$F$15,$M64-$A$15,CM$13)=0,10^12,OFFSET(CRONOPLE!$F$15,$M64-$A$15,CM$13)))</f>
        <v>1000000000000</v>
      </c>
      <c r="CN64" s="171">
        <f ca="1">IF(OR($D64&lt;&gt;"Serviço",AND(AUTOEVENTO="Manual",$M64=$A$15)),0,
         IF(OFFSET(CRONOPLE!$F$15,$M64-$A$15,CN$13)=0,10^12,OFFSET(CRONOPLE!$F$15,$M64-$A$15,CN$13)))</f>
        <v>1000000000000</v>
      </c>
      <c r="CO64" s="171">
        <f ca="1">IF(OR($D64&lt;&gt;"Serviço",AND(AUTOEVENTO="Manual",$M64=$A$15)),0,
         IF(OFFSET(CRONOPLE!$F$15,$M64-$A$15,CO$13)=0,10^12,OFFSET(CRONOPLE!$F$15,$M64-$A$15,CO$13)))</f>
        <v>1000000000000</v>
      </c>
      <c r="CP64" s="171">
        <f ca="1">IF(OR($D64&lt;&gt;"Serviço",AND(AUTOEVENTO="Manual",$M64=$A$15)),0,
         IF(OFFSET(CRONOPLE!$F$15,$M64-$A$15,CP$13)=0,10^12,OFFSET(CRONOPLE!$F$15,$M64-$A$15,CP$13)))</f>
        <v>1000000000000</v>
      </c>
      <c r="CQ64" s="171">
        <f ca="1">IF(OR($D64&lt;&gt;"Serviço",AND(AUTOEVENTO="Manual",$M64=$A$15)),0,
         IF(OFFSET(CRONOPLE!$F$15,$M64-$A$15,CQ$13)=0,10^12,OFFSET(CRONOPLE!$F$15,$M64-$A$15,CQ$13)))</f>
        <v>1000000000000</v>
      </c>
      <c r="CR64" s="171">
        <f ca="1">IF(OR($D64&lt;&gt;"Serviço",AND(AUTOEVENTO="Manual",$M64=$A$15)),0,
         IF(OFFSET(CRONOPLE!$F$15,$M64-$A$15,CR$13)=0,10^12,OFFSET(CRONOPLE!$F$15,$M64-$A$15,CR$13)))</f>
        <v>1000000000000</v>
      </c>
      <c r="CT64" s="172" cm="1">
        <f t="array" aca="1" ref="CT64" ca="1">IF(OR($D64&lt;&gt;"Serviço",AND(AUTOEVENTO="Manual",$M64=$A$15),$M64&gt;(ROW(PLE.lastrow)-ROW(PLE.firstrow))),0,
           IF(OFFSET(PLE!$G$15,$M64-$A$15,CT$13)="",10^12,OFFSET(PLE!$G$15,$M64-$A$15,CT$13)))</f>
        <v>1000000000000</v>
      </c>
      <c r="CU64" s="172" cm="1">
        <f t="array" aca="1" ref="CU64" ca="1">IF(OR($D64&lt;&gt;"Serviço",AND(AUTOEVENTO="Manual",$M64=$A$15),$M64&gt;(ROW(PLE.lastrow)-ROW(PLE.firstrow))),0,
           IF(OFFSET(PLE!$G$15,$M64-$A$15,CU$13)="",10^12,OFFSET(PLE!$G$15,$M64-$A$15,CU$13)))</f>
        <v>1000000000000</v>
      </c>
      <c r="CV64" s="172" cm="1">
        <f t="array" aca="1" ref="CV64" ca="1">IF(OR($D64&lt;&gt;"Serviço",AND(AUTOEVENTO="Manual",$M64=$A$15),$M64&gt;(ROW(PLE.lastrow)-ROW(PLE.firstrow))),0,
           IF(OFFSET(PLE!$G$15,$M64-$A$15,CV$13)="",10^12,OFFSET(PLE!$G$15,$M64-$A$15,CV$13)))</f>
        <v>1000000000000</v>
      </c>
      <c r="CW64" s="172" cm="1">
        <f t="array" aca="1" ref="CW64" ca="1">IF(OR($D64&lt;&gt;"Serviço",AND(AUTOEVENTO="Manual",$M64=$A$15),$M64&gt;(ROW(PLE.lastrow)-ROW(PLE.firstrow))),0,
           IF(OFFSET(PLE!$G$15,$M64-$A$15,CW$13)="",10^12,OFFSET(PLE!$G$15,$M64-$A$15,CW$13)))</f>
        <v>1000000000000</v>
      </c>
      <c r="CX64" s="172" cm="1">
        <f t="array" aca="1" ref="CX64" ca="1">IF(OR($D64&lt;&gt;"Serviço",AND(AUTOEVENTO="Manual",$M64=$A$15),$M64&gt;(ROW(PLE.lastrow)-ROW(PLE.firstrow))),0,
           IF(OFFSET(PLE!$G$15,$M64-$A$15,CX$13)="",10^12,OFFSET(PLE!$G$15,$M64-$A$15,CX$13)))</f>
        <v>1000000000000</v>
      </c>
      <c r="CY64" s="172" cm="1">
        <f t="array" aca="1" ref="CY64" ca="1">IF(OR($D64&lt;&gt;"Serviço",AND(AUTOEVENTO="Manual",$M64=$A$15),$M64&gt;(ROW(PLE.lastrow)-ROW(PLE.firstrow))),0,
           IF(OFFSET(PLE!$G$15,$M64-$A$15,CY$13)="",10^12,OFFSET(PLE!$G$15,$M64-$A$15,CY$13)))</f>
        <v>1000000000000</v>
      </c>
      <c r="CZ64" s="172" cm="1">
        <f t="array" aca="1" ref="CZ64" ca="1">IF(OR($D64&lt;&gt;"Serviço",AND(AUTOEVENTO="Manual",$M64=$A$15),$M64&gt;(ROW(PLE.lastrow)-ROW(PLE.firstrow))),0,
           IF(OFFSET(PLE!$G$15,$M64-$A$15,CZ$13)="",10^12,OFFSET(PLE!$G$15,$M64-$A$15,CZ$13)))</f>
        <v>1000000000000</v>
      </c>
      <c r="DA64" s="172" cm="1">
        <f t="array" aca="1" ref="DA64" ca="1">IF(OR($D64&lt;&gt;"Serviço",AND(AUTOEVENTO="Manual",$M64=$A$15),$M64&gt;(ROW(PLE.lastrow)-ROW(PLE.firstrow))),0,
           IF(OFFSET(PLE!$G$15,$M64-$A$15,DA$13)="",10^12,OFFSET(PLE!$G$15,$M64-$A$15,DA$13)))</f>
        <v>1000000000000</v>
      </c>
      <c r="DB64" s="172" cm="1">
        <f t="array" aca="1" ref="DB64" ca="1">IF(OR($D64&lt;&gt;"Serviço",AND(AUTOEVENTO="Manual",$M64=$A$15),$M64&gt;(ROW(PLE.lastrow)-ROW(PLE.firstrow))),0,
           IF(OFFSET(PLE!$G$15,$M64-$A$15,DB$13)="",10^12,OFFSET(PLE!$G$15,$M64-$A$15,DB$13)))</f>
        <v>1000000000000</v>
      </c>
      <c r="DC64" s="172" cm="1">
        <f t="array" aca="1" ref="DC64" ca="1">IF(OR($D64&lt;&gt;"Serviço",AND(AUTOEVENTO="Manual",$M64=$A$15),$M64&gt;(ROW(PLE.lastrow)-ROW(PLE.firstrow))),0,
           IF(OFFSET(PLE!$G$15,$M64-$A$15,DC$13)="",10^12,OFFSET(PLE!$G$15,$M64-$A$15,DC$13)))</f>
        <v>1000000000000</v>
      </c>
      <c r="DD64" s="172" cm="1">
        <f t="array" aca="1" ref="DD64" ca="1">IF(OR($D64&lt;&gt;"Serviço",AND(AUTOEVENTO="Manual",$M64=$A$15),$M64&gt;(ROW(PLE.lastrow)-ROW(PLE.firstrow))),0,
           IF(OFFSET(PLE!$G$15,$M64-$A$15,DD$13)="",10^12,OFFSET(PLE!$G$15,$M64-$A$15,DD$13)))</f>
        <v>1000000000000</v>
      </c>
      <c r="DE64" s="172" cm="1">
        <f t="array" aca="1" ref="DE64" ca="1">IF(OR($D64&lt;&gt;"Serviço",AND(AUTOEVENTO="Manual",$M64=$A$15),$M64&gt;(ROW(PLE.lastrow)-ROW(PLE.firstrow))),0,
           IF(OFFSET(PLE!$G$15,$M64-$A$15,DE$13)="",10^12,OFFSET(PLE!$G$15,$M64-$A$15,DE$13)))</f>
        <v>1000000000000</v>
      </c>
      <c r="DF64" s="172" cm="1">
        <f t="array" aca="1" ref="DF64" ca="1">IF(OR($D64&lt;&gt;"Serviço",AND(AUTOEVENTO="Manual",$M64=$A$15),$M64&gt;(ROW(PLE.lastrow)-ROW(PLE.firstrow))),0,
           IF(OFFSET(PLE!$G$15,$M64-$A$15,DF$13)="",10^12,OFFSET(PLE!$G$15,$M64-$A$15,DF$13)))</f>
        <v>1000000000000</v>
      </c>
      <c r="DG64" s="172" cm="1">
        <f t="array" aca="1" ref="DG64" ca="1">IF(OR($D64&lt;&gt;"Serviço",AND(AUTOEVENTO="Manual",$M64=$A$15),$M64&gt;(ROW(PLE.lastrow)-ROW(PLE.firstrow))),0,
           IF(OFFSET(PLE!$G$15,$M64-$A$15,DG$13)="",10^12,OFFSET(PLE!$G$15,$M64-$A$15,DG$13)))</f>
        <v>1000000000000</v>
      </c>
      <c r="DH64" s="172" cm="1">
        <f t="array" aca="1" ref="DH64" ca="1">IF(OR($D64&lt;&gt;"Serviço",AND(AUTOEVENTO="Manual",$M64=$A$15),$M64&gt;(ROW(PLE.lastrow)-ROW(PLE.firstrow))),0,
           IF(OFFSET(PLE!$G$15,$M64-$A$15,DH$13)="",10^12,OFFSET(PLE!$G$15,$M64-$A$15,DH$13)))</f>
        <v>1000000000000</v>
      </c>
      <c r="DI64" s="172" cm="1">
        <f t="array" aca="1" ref="DI64" ca="1">IF(OR($D64&lt;&gt;"Serviço",AND(AUTOEVENTO="Manual",$M64=$A$15),$M64&gt;(ROW(PLE.lastrow)-ROW(PLE.firstrow))),0,
           IF(OFFSET(PLE!$G$15,$M64-$A$15,DI$13)="",10^12,OFFSET(PLE!$G$15,$M64-$A$15,DI$13)))</f>
        <v>1000000000000</v>
      </c>
      <c r="DJ64" s="172" cm="1">
        <f t="array" aca="1" ref="DJ64" ca="1">IF(OR($D64&lt;&gt;"Serviço",AND(AUTOEVENTO="Manual",$M64=$A$15),$M64&gt;(ROW(PLE.lastrow)-ROW(PLE.firstrow))),0,
           IF(OFFSET(PLE!$G$15,$M64-$A$15,DJ$13)="",10^12,OFFSET(PLE!$G$15,$M64-$A$15,DJ$13)))</f>
        <v>1000000000000</v>
      </c>
      <c r="DK64" s="172" cm="1">
        <f t="array" aca="1" ref="DK64" ca="1">IF(OR($D64&lt;&gt;"Serviço",AND(AUTOEVENTO="Manual",$M64=$A$15),$M64&gt;(ROW(PLE.lastrow)-ROW(PLE.firstrow))),0,
           IF(OFFSET(PLE!$G$15,$M64-$A$15,DK$13)="",10^12,OFFSET(PLE!$G$15,$M64-$A$15,DK$13)))</f>
        <v>1000000000000</v>
      </c>
      <c r="DL64" s="172" cm="1">
        <f t="array" aca="1" ref="DL64" ca="1">IF(OR($D64&lt;&gt;"Serviço",AND(AUTOEVENTO="Manual",$M64=$A$15),$M64&gt;(ROW(PLE.lastrow)-ROW(PLE.firstrow))),0,
           IF(OFFSET(PLE!$G$15,$M64-$A$15,DL$13)="",10^12,OFFSET(PLE!$G$15,$M64-$A$15,DL$13)))</f>
        <v>1000000000000</v>
      </c>
      <c r="DM64" s="172" cm="1">
        <f t="array" aca="1" ref="DM64" ca="1">IF(OR($D64&lt;&gt;"Serviço",AND(AUTOEVENTO="Manual",$M64=$A$15),$M64&gt;(ROW(PLE.lastrow)-ROW(PLE.firstrow))),0,
           IF(OFFSET(PLE!$G$15,$M64-$A$15,DM$13)="",10^12,OFFSET(PLE!$G$15,$M64-$A$15,DM$13)))</f>
        <v>1000000000000</v>
      </c>
      <c r="DN64" s="172" cm="1">
        <f t="array" aca="1" ref="DN64" ca="1">IF(OR($D64&lt;&gt;"Serviço",AND(AUTOEVENTO="Manual",$M64=$A$15),$M64&gt;(ROW(PLE.lastrow)-ROW(PLE.firstrow))),0,
           IF(OFFSET(PLE!$G$15,$M64-$A$15,DN$13)="",10^12,OFFSET(PLE!$G$15,$M64-$A$15,DN$13)))</f>
        <v>1000000000000</v>
      </c>
      <c r="DO64" s="172" cm="1">
        <f t="array" aca="1" ref="DO64" ca="1">IF(OR($D64&lt;&gt;"Serviço",AND(AUTOEVENTO="Manual",$M64=$A$15),$M64&gt;(ROW(PLE.lastrow)-ROW(PLE.firstrow))),0,
           IF(OFFSET(PLE!$G$15,$M64-$A$15,DO$13)="",10^12,OFFSET(PLE!$G$15,$M64-$A$15,DO$13)))</f>
        <v>1000000000000</v>
      </c>
      <c r="DP64" s="172" cm="1">
        <f t="array" aca="1" ref="DP64" ca="1">IF(OR($D64&lt;&gt;"Serviço",AND(AUTOEVENTO="Manual",$M64=$A$15),$M64&gt;(ROW(PLE.lastrow)-ROW(PLE.firstrow))),0,
           IF(OFFSET(PLE!$G$15,$M64-$A$15,DP$13)="",10^12,OFFSET(PLE!$G$15,$M64-$A$15,DP$13)))</f>
        <v>1000000000000</v>
      </c>
      <c r="DQ64" s="172" cm="1">
        <f t="array" aca="1" ref="DQ64" ca="1">IF(OR($D64&lt;&gt;"Serviço",AND(AUTOEVENTO="Manual",$M64=$A$15),$M64&gt;(ROW(PLE.lastrow)-ROW(PLE.firstrow))),0,
           IF(OFFSET(PLE!$G$15,$M64-$A$15,DQ$13)="",10^12,OFFSET(PLE!$G$15,$M64-$A$15,DQ$13)))</f>
        <v>1000000000000</v>
      </c>
      <c r="DR64" s="172" cm="1">
        <f t="array" aca="1" ref="DR64" ca="1">IF(OR($D64&lt;&gt;"Serviço",AND(AUTOEVENTO="Manual",$M64=$A$15),$M64&gt;(ROW(PLE.lastrow)-ROW(PLE.firstrow))),0,
           IF(OFFSET(PLE!$G$15,$M64-$A$15,DR$13)="",10^12,OFFSET(PLE!$G$15,$M64-$A$15,DR$13)))</f>
        <v>1000000000000</v>
      </c>
      <c r="DS64" s="172" cm="1">
        <f t="array" aca="1" ref="DS64" ca="1">IF(OR($D64&lt;&gt;"Serviço",AND(AUTOEVENTO="Manual",$M64=$A$15),$M64&gt;(ROW(PLE.lastrow)-ROW(PLE.firstrow))),0,
           IF(OFFSET(PLE!$G$15,$M64-$A$15,DS$13)="",10^12,OFFSET(PLE!$G$15,$M64-$A$15,DS$13)))</f>
        <v>1000000000000</v>
      </c>
    </row>
    <row r="65" spans="1:123" ht="25.5" x14ac:dyDescent="0.2">
      <c r="A65" s="7">
        <f t="shared" ca="1" si="11"/>
        <v>5</v>
      </c>
      <c r="B65" s="7" t="str">
        <f ca="1">OFFSET(ORÇAMENTO!C$15,$L65,0)</f>
        <v>S</v>
      </c>
      <c r="C65" s="7" t="str">
        <f ca="1">OFFSET(ORÇAMENTO!L$15,$L65,0)</f>
        <v/>
      </c>
      <c r="D65" s="116" t="str">
        <f ca="1">OFFSET(ORÇAMENTO!N$15,$L65,0)</f>
        <v>Serviço</v>
      </c>
      <c r="E65" s="117" t="str">
        <f ca="1">OFFSET(ORÇAMENTO!O$15,$L65,0)</f>
        <v>-</v>
      </c>
      <c r="F65" s="163" t="str">
        <f ca="1">OFFSET(ORÇAMENTO!R$15,$L65,0)</f>
        <v>(Código não identificado nas referências)</v>
      </c>
      <c r="G65" s="164" t="str">
        <f ca="1">IF($D65&lt;&gt;"Serviço","",OFFSET(ORÇAMENTO!S$15,$L65,0))</f>
        <v>-</v>
      </c>
      <c r="H65" s="122" cm="1">
        <f t="array" aca="1" ref="H65" ca="1">IF($D65&lt;&gt;"Serviço",0,IF(ACOMPANHAMENTO="BM",ROUND(OFFSET(ORÇAMENTO!AJ$15,$L65,0),15-13*ORÇAMENTO!$AF$7),IF(IFERROR(CÁLCULO.FrentesPreenchidas,0)=0,0,SUM(ROUND(OFFSET($P65,0,1,1,CÁLCULO.FrentesPreenchidas),15-13*ORÇAMENTO!$AF$7)))))</f>
        <v>183.99999999999994</v>
      </c>
      <c r="I65" s="468" t="s">
        <v>1235</v>
      </c>
      <c r="J65" s="651" t="str" cm="1">
        <f t="array" aca="1" ref="J65" ca="1">IF(OR(B65&lt;&gt;"S",CÁLCULO.FrentesPreenchidas=0),"",IF(AND(ACOMPANHAMENTO="PLE",AUTOEVENTO="Manual",OR(H65&gt;0,ORÇAMENTO!AC65="QUANT."),OR(K65="",M65=0,N65="")),"►E",IF(AND(ACOMPANHAMENTO="PLE",ORÇAMENTO!AC65="QUANT."),"►Q",IF(AND(ACOMPANHAMENTO="PLE",H65&lt;&gt;SUMPRODUCT(($Q$1:$AQ$1=1)*ROUND(Q65:AQ65,15))),"►S",IF(AND(COUNTIF($P$11:$AQ$11,"▼")=0,H65&gt;0,I65=""),"◄M","")))))</f>
        <v/>
      </c>
      <c r="K65" s="652" t="s">
        <v>1253</v>
      </c>
      <c r="L65" s="165">
        <f t="shared" ca="1" si="12"/>
        <v>50</v>
      </c>
      <c r="M65" s="166">
        <f ca="1">IF($D65&lt;&gt;"Serviço","",
          IF(AUTOEVENTO="manual",$A65,
                IF(ISERROR(MATCH($A65,$A$15:OFFSET($A65,-1,0),0)),MAX($M$15:OFFSET(M65,-1,0))+1,
                      INDEX($M$15:OFFSET(M65,-1,0),MATCH($A65,$A$15:OFFSET($A65,-1,0),0)))))</f>
        <v>5</v>
      </c>
      <c r="N65" s="167" t="str">
        <f ca="1">IF($D65&lt;&gt;"Serviço","",
         IF(AUTOEVENTO="Manual",
                IF($A65=0,"&lt;-- defina o número do agrupador",
                       OFFSET(EVENTOS!$D$15,$A65-$A$15,0)),
                OFFSET($F$15,$A65,0)))</f>
        <v>PAREDES E PAINÉIS</v>
      </c>
      <c r="O65" s="168"/>
      <c r="Q65" s="168">
        <v>9.1999999999999993</v>
      </c>
      <c r="R65" s="169">
        <v>9.1999999999999993</v>
      </c>
      <c r="S65" s="169">
        <v>9.1999999999999993</v>
      </c>
      <c r="T65" s="169">
        <v>9.1999999999999993</v>
      </c>
      <c r="U65" s="169">
        <v>9.1999999999999993</v>
      </c>
      <c r="V65" s="169">
        <v>9.1999999999999993</v>
      </c>
      <c r="W65" s="169">
        <v>9.1999999999999993</v>
      </c>
      <c r="X65" s="169">
        <v>9.1999999999999993</v>
      </c>
      <c r="Y65" s="169">
        <v>9.1999999999999993</v>
      </c>
      <c r="Z65" s="170">
        <v>9.1999999999999993</v>
      </c>
      <c r="AA65" s="169">
        <v>9.1999999999999993</v>
      </c>
      <c r="AB65" s="169">
        <v>9.1999999999999993</v>
      </c>
      <c r="AC65" s="169">
        <v>9.1999999999999993</v>
      </c>
      <c r="AD65" s="169">
        <v>9.1999999999999993</v>
      </c>
      <c r="AE65" s="169">
        <v>9.1999999999999993</v>
      </c>
      <c r="AF65" s="169">
        <v>9.1999999999999993</v>
      </c>
      <c r="AG65" s="169">
        <v>9.1999999999999993</v>
      </c>
      <c r="AH65" s="170">
        <v>9.1999999999999993</v>
      </c>
      <c r="AI65" s="169">
        <v>9.1999999999999993</v>
      </c>
      <c r="AJ65" s="169">
        <v>9.1999999999999993</v>
      </c>
      <c r="AK65" s="169"/>
      <c r="AL65" s="169"/>
      <c r="AM65" s="169"/>
      <c r="AN65" s="169"/>
      <c r="AO65" s="169"/>
      <c r="AP65" s="170"/>
      <c r="AR65" s="453">
        <f ca="1">IF(AND($D65="Serviço",AR$12&lt;&gt;0,$H65&gt;0,OR(AUTOEVENTO&lt;&gt;"manual",$M65&lt;&gt;$A$15)),
        IF(Import.TipoArredondamento&lt;&gt;"TransfereGOV",
              ROUND(OFFSET($P65,0,AR$13),15-13*ORÇAMENTO!$AF$7)/$H65*OFFSET(ORÇAMENTO!$X$15,ROW(AR65)-ROW(AR$15),0),
              ROUND(ROUND(OFFSET($P65,0,AR$13),15-13*ORÇAMENTO!$AF$7)*OFFSET(ORÇAMENTO!$W$15,ROW(AR65)-ROW(AR$15),0),15-13*ORÇAMENTO!$AF$11)),
         0)</f>
        <v>0</v>
      </c>
      <c r="AS65" s="453">
        <f ca="1">IF(AND($D65="Serviço",AS$12&lt;&gt;0,$H65&gt;0,OR(AUTOEVENTO&lt;&gt;"manual",$M65&lt;&gt;$A$15)),
        IF(Import.TipoArredondamento&lt;&gt;"TransfereGOV",
              ROUND(OFFSET($P65,0,AS$13),15-13*ORÇAMENTO!$AF$7)/$H65*OFFSET(ORÇAMENTO!$X$15,ROW(AS65)-ROW(AS$15),0),
              ROUND(ROUND(OFFSET($P65,0,AS$13),15-13*ORÇAMENTO!$AF$7)*OFFSET(ORÇAMENTO!$W$15,ROW(AS65)-ROW(AS$15),0),15-13*ORÇAMENTO!$AF$11)),
         0)</f>
        <v>0</v>
      </c>
      <c r="AT65" s="453">
        <f ca="1">IF(AND($D65="Serviço",AT$12&lt;&gt;0,$H65&gt;0,OR(AUTOEVENTO&lt;&gt;"manual",$M65&lt;&gt;$A$15)),
        IF(Import.TipoArredondamento&lt;&gt;"TransfereGOV",
              ROUND(OFFSET($P65,0,AT$13),15-13*ORÇAMENTO!$AF$7)/$H65*OFFSET(ORÇAMENTO!$X$15,ROW(AT65)-ROW(AT$15),0),
              ROUND(ROUND(OFFSET($P65,0,AT$13),15-13*ORÇAMENTO!$AF$7)*OFFSET(ORÇAMENTO!$W$15,ROW(AT65)-ROW(AT$15),0),15-13*ORÇAMENTO!$AF$11)),
         0)</f>
        <v>0</v>
      </c>
      <c r="AU65" s="453">
        <f ca="1">IF(AND($D65="Serviço",AU$12&lt;&gt;0,$H65&gt;0,OR(AUTOEVENTO&lt;&gt;"manual",$M65&lt;&gt;$A$15)),
        IF(Import.TipoArredondamento&lt;&gt;"TransfereGOV",
              ROUND(OFFSET($P65,0,AU$13),15-13*ORÇAMENTO!$AF$7)/$H65*OFFSET(ORÇAMENTO!$X$15,ROW(AU65)-ROW(AU$15),0),
              ROUND(ROUND(OFFSET($P65,0,AU$13),15-13*ORÇAMENTO!$AF$7)*OFFSET(ORÇAMENTO!$W$15,ROW(AU65)-ROW(AU$15),0),15-13*ORÇAMENTO!$AF$11)),
         0)</f>
        <v>0</v>
      </c>
      <c r="AV65" s="453">
        <f ca="1">IF(AND($D65="Serviço",AV$12&lt;&gt;0,$H65&gt;0,OR(AUTOEVENTO&lt;&gt;"manual",$M65&lt;&gt;$A$15)),
        IF(Import.TipoArredondamento&lt;&gt;"TransfereGOV",
              ROUND(OFFSET($P65,0,AV$13),15-13*ORÇAMENTO!$AF$7)/$H65*OFFSET(ORÇAMENTO!$X$15,ROW(AV65)-ROW(AV$15),0),
              ROUND(ROUND(OFFSET($P65,0,AV$13),15-13*ORÇAMENTO!$AF$7)*OFFSET(ORÇAMENTO!$W$15,ROW(AV65)-ROW(AV$15),0),15-13*ORÇAMENTO!$AF$11)),
         0)</f>
        <v>0</v>
      </c>
      <c r="AW65" s="453">
        <f ca="1">IF(AND($D65="Serviço",AW$12&lt;&gt;0,$H65&gt;0,OR(AUTOEVENTO&lt;&gt;"manual",$M65&lt;&gt;$A$15)),
        IF(Import.TipoArredondamento&lt;&gt;"TransfereGOV",
              ROUND(OFFSET($P65,0,AW$13),15-13*ORÇAMENTO!$AF$7)/$H65*OFFSET(ORÇAMENTO!$X$15,ROW(AW65)-ROW(AW$15),0),
              ROUND(ROUND(OFFSET($P65,0,AW$13),15-13*ORÇAMENTO!$AF$7)*OFFSET(ORÇAMENTO!$W$15,ROW(AW65)-ROW(AW$15),0),15-13*ORÇAMENTO!$AF$11)),
         0)</f>
        <v>0</v>
      </c>
      <c r="AX65" s="453">
        <f ca="1">IF(AND($D65="Serviço",AX$12&lt;&gt;0,$H65&gt;0,OR(AUTOEVENTO&lt;&gt;"manual",$M65&lt;&gt;$A$15)),
        IF(Import.TipoArredondamento&lt;&gt;"TransfereGOV",
              ROUND(OFFSET($P65,0,AX$13),15-13*ORÇAMENTO!$AF$7)/$H65*OFFSET(ORÇAMENTO!$X$15,ROW(AX65)-ROW(AX$15),0),
              ROUND(ROUND(OFFSET($P65,0,AX$13),15-13*ORÇAMENTO!$AF$7)*OFFSET(ORÇAMENTO!$W$15,ROW(AX65)-ROW(AX$15),0),15-13*ORÇAMENTO!$AF$11)),
         0)</f>
        <v>0</v>
      </c>
      <c r="AY65" s="453">
        <f ca="1">IF(AND($D65="Serviço",AY$12&lt;&gt;0,$H65&gt;0,OR(AUTOEVENTO&lt;&gt;"manual",$M65&lt;&gt;$A$15)),
        IF(Import.TipoArredondamento&lt;&gt;"TransfereGOV",
              ROUND(OFFSET($P65,0,AY$13),15-13*ORÇAMENTO!$AF$7)/$H65*OFFSET(ORÇAMENTO!$X$15,ROW(AY65)-ROW(AY$15),0),
              ROUND(ROUND(OFFSET($P65,0,AY$13),15-13*ORÇAMENTO!$AF$7)*OFFSET(ORÇAMENTO!$W$15,ROW(AY65)-ROW(AY$15),0),15-13*ORÇAMENTO!$AF$11)),
         0)</f>
        <v>0</v>
      </c>
      <c r="AZ65" s="453">
        <f ca="1">IF(AND($D65="Serviço",AZ$12&lt;&gt;0,$H65&gt;0,OR(AUTOEVENTO&lt;&gt;"manual",$M65&lt;&gt;$A$15)),
        IF(Import.TipoArredondamento&lt;&gt;"TransfereGOV",
              ROUND(OFFSET($P65,0,AZ$13),15-13*ORÇAMENTO!$AF$7)/$H65*OFFSET(ORÇAMENTO!$X$15,ROW(AZ65)-ROW(AZ$15),0),
              ROUND(ROUND(OFFSET($P65,0,AZ$13),15-13*ORÇAMENTO!$AF$7)*OFFSET(ORÇAMENTO!$W$15,ROW(AZ65)-ROW(AZ$15),0),15-13*ORÇAMENTO!$AF$11)),
         0)</f>
        <v>0</v>
      </c>
      <c r="BA65" s="453">
        <f ca="1">IF(AND($D65="Serviço",BA$12&lt;&gt;0,$H65&gt;0,OR(AUTOEVENTO&lt;&gt;"manual",$M65&lt;&gt;$A$15)),
        IF(Import.TipoArredondamento&lt;&gt;"TransfereGOV",
              ROUND(OFFSET($P65,0,BA$13),15-13*ORÇAMENTO!$AF$7)/$H65*OFFSET(ORÇAMENTO!$X$15,ROW(BA65)-ROW(BA$15),0),
              ROUND(ROUND(OFFSET($P65,0,BA$13),15-13*ORÇAMENTO!$AF$7)*OFFSET(ORÇAMENTO!$W$15,ROW(BA65)-ROW(BA$15),0),15-13*ORÇAMENTO!$AF$11)),
         0)</f>
        <v>0</v>
      </c>
      <c r="BB65" s="453">
        <f ca="1">IF(AND($D65="Serviço",BB$12&lt;&gt;0,$H65&gt;0,OR(AUTOEVENTO&lt;&gt;"manual",$M65&lt;&gt;$A$15)),
        IF(Import.TipoArredondamento&lt;&gt;"TransfereGOV",
              ROUND(OFFSET($P65,0,BB$13),15-13*ORÇAMENTO!$AF$7)/$H65*OFFSET(ORÇAMENTO!$X$15,ROW(BB65)-ROW(BB$15),0),
              ROUND(ROUND(OFFSET($P65,0,BB$13),15-13*ORÇAMENTO!$AF$7)*OFFSET(ORÇAMENTO!$W$15,ROW(BB65)-ROW(BB$15),0),15-13*ORÇAMENTO!$AF$11)),
         0)</f>
        <v>0</v>
      </c>
      <c r="BC65" s="453">
        <f ca="1">IF(AND($D65="Serviço",BC$12&lt;&gt;0,$H65&gt;0,OR(AUTOEVENTO&lt;&gt;"manual",$M65&lt;&gt;$A$15)),
        IF(Import.TipoArredondamento&lt;&gt;"TransfereGOV",
              ROUND(OFFSET($P65,0,BC$13),15-13*ORÇAMENTO!$AF$7)/$H65*OFFSET(ORÇAMENTO!$X$15,ROW(BC65)-ROW(BC$15),0),
              ROUND(ROUND(OFFSET($P65,0,BC$13),15-13*ORÇAMENTO!$AF$7)*OFFSET(ORÇAMENTO!$W$15,ROW(BC65)-ROW(BC$15),0),15-13*ORÇAMENTO!$AF$11)),
         0)</f>
        <v>0</v>
      </c>
      <c r="BD65" s="453">
        <f ca="1">IF(AND($D65="Serviço",BD$12&lt;&gt;0,$H65&gt;0,OR(AUTOEVENTO&lt;&gt;"manual",$M65&lt;&gt;$A$15)),
        IF(Import.TipoArredondamento&lt;&gt;"TransfereGOV",
              ROUND(OFFSET($P65,0,BD$13),15-13*ORÇAMENTO!$AF$7)/$H65*OFFSET(ORÇAMENTO!$X$15,ROW(BD65)-ROW(BD$15),0),
              ROUND(ROUND(OFFSET($P65,0,BD$13),15-13*ORÇAMENTO!$AF$7)*OFFSET(ORÇAMENTO!$W$15,ROW(BD65)-ROW(BD$15),0),15-13*ORÇAMENTO!$AF$11)),
         0)</f>
        <v>0</v>
      </c>
      <c r="BE65" s="453">
        <f ca="1">IF(AND($D65="Serviço",BE$12&lt;&gt;0,$H65&gt;0,OR(AUTOEVENTO&lt;&gt;"manual",$M65&lt;&gt;$A$15)),
        IF(Import.TipoArredondamento&lt;&gt;"TransfereGOV",
              ROUND(OFFSET($P65,0,BE$13),15-13*ORÇAMENTO!$AF$7)/$H65*OFFSET(ORÇAMENTO!$X$15,ROW(BE65)-ROW(BE$15),0),
              ROUND(ROUND(OFFSET($P65,0,BE$13),15-13*ORÇAMENTO!$AF$7)*OFFSET(ORÇAMENTO!$W$15,ROW(BE65)-ROW(BE$15),0),15-13*ORÇAMENTO!$AF$11)),
         0)</f>
        <v>0</v>
      </c>
      <c r="BF65" s="453">
        <f ca="1">IF(AND($D65="Serviço",BF$12&lt;&gt;0,$H65&gt;0,OR(AUTOEVENTO&lt;&gt;"manual",$M65&lt;&gt;$A$15)),
        IF(Import.TipoArredondamento&lt;&gt;"TransfereGOV",
              ROUND(OFFSET($P65,0,BF$13),15-13*ORÇAMENTO!$AF$7)/$H65*OFFSET(ORÇAMENTO!$X$15,ROW(BF65)-ROW(BF$15),0),
              ROUND(ROUND(OFFSET($P65,0,BF$13),15-13*ORÇAMENTO!$AF$7)*OFFSET(ORÇAMENTO!$W$15,ROW(BF65)-ROW(BF$15),0),15-13*ORÇAMENTO!$AF$11)),
         0)</f>
        <v>0</v>
      </c>
      <c r="BG65" s="453">
        <f ca="1">IF(AND($D65="Serviço",BG$12&lt;&gt;0,$H65&gt;0,OR(AUTOEVENTO&lt;&gt;"manual",$M65&lt;&gt;$A$15)),
        IF(Import.TipoArredondamento&lt;&gt;"TransfereGOV",
              ROUND(OFFSET($P65,0,BG$13),15-13*ORÇAMENTO!$AF$7)/$H65*OFFSET(ORÇAMENTO!$X$15,ROW(BG65)-ROW(BG$15),0),
              ROUND(ROUND(OFFSET($P65,0,BG$13),15-13*ORÇAMENTO!$AF$7)*OFFSET(ORÇAMENTO!$W$15,ROW(BG65)-ROW(BG$15),0),15-13*ORÇAMENTO!$AF$11)),
         0)</f>
        <v>0</v>
      </c>
      <c r="BH65" s="453">
        <f ca="1">IF(AND($D65="Serviço",BH$12&lt;&gt;0,$H65&gt;0,OR(AUTOEVENTO&lt;&gt;"manual",$M65&lt;&gt;$A$15)),
        IF(Import.TipoArredondamento&lt;&gt;"TransfereGOV",
              ROUND(OFFSET($P65,0,BH$13),15-13*ORÇAMENTO!$AF$7)/$H65*OFFSET(ORÇAMENTO!$X$15,ROW(BH65)-ROW(BH$15),0),
              ROUND(ROUND(OFFSET($P65,0,BH$13),15-13*ORÇAMENTO!$AF$7)*OFFSET(ORÇAMENTO!$W$15,ROW(BH65)-ROW(BH$15),0),15-13*ORÇAMENTO!$AF$11)),
         0)</f>
        <v>0</v>
      </c>
      <c r="BI65" s="453">
        <f ca="1">IF(AND($D65="Serviço",BI$12&lt;&gt;0,$H65&gt;0,OR(AUTOEVENTO&lt;&gt;"manual",$M65&lt;&gt;$A$15)),
        IF(Import.TipoArredondamento&lt;&gt;"TransfereGOV",
              ROUND(OFFSET($P65,0,BI$13),15-13*ORÇAMENTO!$AF$7)/$H65*OFFSET(ORÇAMENTO!$X$15,ROW(BI65)-ROW(BI$15),0),
              ROUND(ROUND(OFFSET($P65,0,BI$13),15-13*ORÇAMENTO!$AF$7)*OFFSET(ORÇAMENTO!$W$15,ROW(BI65)-ROW(BI$15),0),15-13*ORÇAMENTO!$AF$11)),
         0)</f>
        <v>0</v>
      </c>
      <c r="BJ65" s="453">
        <f ca="1">IF(AND($D65="Serviço",BJ$12&lt;&gt;0,$H65&gt;0,OR(AUTOEVENTO&lt;&gt;"manual",$M65&lt;&gt;$A$15)),
        IF(Import.TipoArredondamento&lt;&gt;"TransfereGOV",
              ROUND(OFFSET($P65,0,BJ$13),15-13*ORÇAMENTO!$AF$7)/$H65*OFFSET(ORÇAMENTO!$X$15,ROW(BJ65)-ROW(BJ$15),0),
              ROUND(ROUND(OFFSET($P65,0,BJ$13),15-13*ORÇAMENTO!$AF$7)*OFFSET(ORÇAMENTO!$W$15,ROW(BJ65)-ROW(BJ$15),0),15-13*ORÇAMENTO!$AF$11)),
         0)</f>
        <v>0</v>
      </c>
      <c r="BK65" s="453">
        <f ca="1">IF(AND($D65="Serviço",BK$12&lt;&gt;0,$H65&gt;0,OR(AUTOEVENTO&lt;&gt;"manual",$M65&lt;&gt;$A$15)),
        IF(Import.TipoArredondamento&lt;&gt;"TransfereGOV",
              ROUND(OFFSET($P65,0,BK$13),15-13*ORÇAMENTO!$AF$7)/$H65*OFFSET(ORÇAMENTO!$X$15,ROW(BK65)-ROW(BK$15),0),
              ROUND(ROUND(OFFSET($P65,0,BK$13),15-13*ORÇAMENTO!$AF$7)*OFFSET(ORÇAMENTO!$W$15,ROW(BK65)-ROW(BK$15),0),15-13*ORÇAMENTO!$AF$11)),
         0)</f>
        <v>0</v>
      </c>
      <c r="BL65" s="453">
        <f ca="1">IF(AND($D65="Serviço",BL$12&lt;&gt;0,$H65&gt;0,OR(AUTOEVENTO&lt;&gt;"manual",$M65&lt;&gt;$A$15)),
        IF(Import.TipoArredondamento&lt;&gt;"TransfereGOV",
              ROUND(OFFSET($P65,0,BL$13),15-13*ORÇAMENTO!$AF$7)/$H65*OFFSET(ORÇAMENTO!$X$15,ROW(BL65)-ROW(BL$15),0),
              ROUND(ROUND(OFFSET($P65,0,BL$13),15-13*ORÇAMENTO!$AF$7)*OFFSET(ORÇAMENTO!$W$15,ROW(BL65)-ROW(BL$15),0),15-13*ORÇAMENTO!$AF$11)),
         0)</f>
        <v>0</v>
      </c>
      <c r="BM65" s="453">
        <f ca="1">IF(AND($D65="Serviço",BM$12&lt;&gt;0,$H65&gt;0,OR(AUTOEVENTO&lt;&gt;"manual",$M65&lt;&gt;$A$15)),
        IF(Import.TipoArredondamento&lt;&gt;"TransfereGOV",
              ROUND(OFFSET($P65,0,BM$13),15-13*ORÇAMENTO!$AF$7)/$H65*OFFSET(ORÇAMENTO!$X$15,ROW(BM65)-ROW(BM$15),0),
              ROUND(ROUND(OFFSET($P65,0,BM$13),15-13*ORÇAMENTO!$AF$7)*OFFSET(ORÇAMENTO!$W$15,ROW(BM65)-ROW(BM$15),0),15-13*ORÇAMENTO!$AF$11)),
         0)</f>
        <v>0</v>
      </c>
      <c r="BN65" s="453">
        <f ca="1">IF(AND($D65="Serviço",BN$12&lt;&gt;0,$H65&gt;0,OR(AUTOEVENTO&lt;&gt;"manual",$M65&lt;&gt;$A$15)),
        IF(Import.TipoArredondamento&lt;&gt;"TransfereGOV",
              ROUND(OFFSET($P65,0,BN$13),15-13*ORÇAMENTO!$AF$7)/$H65*OFFSET(ORÇAMENTO!$X$15,ROW(BN65)-ROW(BN$15),0),
              ROUND(ROUND(OFFSET($P65,0,BN$13),15-13*ORÇAMENTO!$AF$7)*OFFSET(ORÇAMENTO!$W$15,ROW(BN65)-ROW(BN$15),0),15-13*ORÇAMENTO!$AF$11)),
         0)</f>
        <v>0</v>
      </c>
      <c r="BO65" s="453">
        <f ca="1">IF(AND($D65="Serviço",BO$12&lt;&gt;0,$H65&gt;0,OR(AUTOEVENTO&lt;&gt;"manual",$M65&lt;&gt;$A$15)),
        IF(Import.TipoArredondamento&lt;&gt;"TransfereGOV",
              ROUND(OFFSET($P65,0,BO$13),15-13*ORÇAMENTO!$AF$7)/$H65*OFFSET(ORÇAMENTO!$X$15,ROW(BO65)-ROW(BO$15),0),
              ROUND(ROUND(OFFSET($P65,0,BO$13),15-13*ORÇAMENTO!$AF$7)*OFFSET(ORÇAMENTO!$W$15,ROW(BO65)-ROW(BO$15),0),15-13*ORÇAMENTO!$AF$11)),
         0)</f>
        <v>0</v>
      </c>
      <c r="BP65" s="453">
        <f ca="1">IF(AND($D65="Serviço",BP$12&lt;&gt;0,$H65&gt;0,OR(AUTOEVENTO&lt;&gt;"manual",$M65&lt;&gt;$A$15)),
        IF(Import.TipoArredondamento&lt;&gt;"TransfereGOV",
              ROUND(OFFSET($P65,0,BP$13),15-13*ORÇAMENTO!$AF$7)/$H65*OFFSET(ORÇAMENTO!$X$15,ROW(BP65)-ROW(BP$15),0),
              ROUND(ROUND(OFFSET($P65,0,BP$13),15-13*ORÇAMENTO!$AF$7)*OFFSET(ORÇAMENTO!$W$15,ROW(BP65)-ROW(BP$15),0),15-13*ORÇAMENTO!$AF$11)),
         0)</f>
        <v>0</v>
      </c>
      <c r="BQ65" s="453">
        <f ca="1">IF(AND($D65="Serviço",BQ$12&lt;&gt;0,$H65&gt;0,OR(AUTOEVENTO&lt;&gt;"manual",$M65&lt;&gt;$A$15)),
        IF(Import.TipoArredondamento&lt;&gt;"TransfereGOV",
              ROUND(OFFSET($P65,0,BQ$13),15-13*ORÇAMENTO!$AF$7)/$H65*OFFSET(ORÇAMENTO!$X$15,ROW(BQ65)-ROW(BQ$15),0),
              ROUND(ROUND(OFFSET($P65,0,BQ$13),15-13*ORÇAMENTO!$AF$7)*OFFSET(ORÇAMENTO!$W$15,ROW(BQ65)-ROW(BQ$15),0),15-13*ORÇAMENTO!$AF$11)),
         0)</f>
        <v>0</v>
      </c>
      <c r="BS65" s="171">
        <f ca="1">IF(OR($D65&lt;&gt;"Serviço",AND(AUTOEVENTO="Manual",$M65=$A$15)),0,
         IF(OFFSET(CRONOPLE!$F$15,$M65-$A$15,BS$13)=0,10^12,OFFSET(CRONOPLE!$F$15,$M65-$A$15,BS$13)))</f>
        <v>1</v>
      </c>
      <c r="BT65" s="171">
        <f ca="1">IF(OR($D65&lt;&gt;"Serviço",AND(AUTOEVENTO="Manual",$M65=$A$15)),0,
         IF(OFFSET(CRONOPLE!$F$15,$M65-$A$15,BT$13)=0,10^12,OFFSET(CRONOPLE!$F$15,$M65-$A$15,BT$13)))</f>
        <v>2</v>
      </c>
      <c r="BU65" s="171">
        <f ca="1">IF(OR($D65&lt;&gt;"Serviço",AND(AUTOEVENTO="Manual",$M65=$A$15)),0,
         IF(OFFSET(CRONOPLE!$F$15,$M65-$A$15,BU$13)=0,10^12,OFFSET(CRONOPLE!$F$15,$M65-$A$15,BU$13)))</f>
        <v>3</v>
      </c>
      <c r="BV65" s="171">
        <f ca="1">IF(OR($D65&lt;&gt;"Serviço",AND(AUTOEVENTO="Manual",$M65=$A$15)),0,
         IF(OFFSET(CRONOPLE!$F$15,$M65-$A$15,BV$13)=0,10^12,OFFSET(CRONOPLE!$F$15,$M65-$A$15,BV$13)))</f>
        <v>4</v>
      </c>
      <c r="BW65" s="171">
        <f ca="1">IF(OR($D65&lt;&gt;"Serviço",AND(AUTOEVENTO="Manual",$M65=$A$15)),0,
         IF(OFFSET(CRONOPLE!$F$15,$M65-$A$15,BW$13)=0,10^12,OFFSET(CRONOPLE!$F$15,$M65-$A$15,BW$13)))</f>
        <v>5</v>
      </c>
      <c r="BX65" s="171">
        <f ca="1">IF(OR($D65&lt;&gt;"Serviço",AND(AUTOEVENTO="Manual",$M65=$A$15)),0,
         IF(OFFSET(CRONOPLE!$F$15,$M65-$A$15,BX$13)=0,10^12,OFFSET(CRONOPLE!$F$15,$M65-$A$15,BX$13)))</f>
        <v>6</v>
      </c>
      <c r="BY65" s="171">
        <f ca="1">IF(OR($D65&lt;&gt;"Serviço",AND(AUTOEVENTO="Manual",$M65=$A$15)),0,
         IF(OFFSET(CRONOPLE!$F$15,$M65-$A$15,BY$13)=0,10^12,OFFSET(CRONOPLE!$F$15,$M65-$A$15,BY$13)))</f>
        <v>7</v>
      </c>
      <c r="BZ65" s="171">
        <f ca="1">IF(OR($D65&lt;&gt;"Serviço",AND(AUTOEVENTO="Manual",$M65=$A$15)),0,
         IF(OFFSET(CRONOPLE!$F$15,$M65-$A$15,BZ$13)=0,10^12,OFFSET(CRONOPLE!$F$15,$M65-$A$15,BZ$13)))</f>
        <v>8</v>
      </c>
      <c r="CA65" s="171">
        <f ca="1">IF(OR($D65&lt;&gt;"Serviço",AND(AUTOEVENTO="Manual",$M65=$A$15)),0,
         IF(OFFSET(CRONOPLE!$F$15,$M65-$A$15,CA$13)=0,10^12,OFFSET(CRONOPLE!$F$15,$M65-$A$15,CA$13)))</f>
        <v>9</v>
      </c>
      <c r="CB65" s="171">
        <f ca="1">IF(OR($D65&lt;&gt;"Serviço",AND(AUTOEVENTO="Manual",$M65=$A$15)),0,
         IF(OFFSET(CRONOPLE!$F$15,$M65-$A$15,CB$13)=0,10^12,OFFSET(CRONOPLE!$F$15,$M65-$A$15,CB$13)))</f>
        <v>10</v>
      </c>
      <c r="CC65" s="171">
        <f ca="1">IF(OR($D65&lt;&gt;"Serviço",AND(AUTOEVENTO="Manual",$M65=$A$15)),0,
         IF(OFFSET(CRONOPLE!$F$15,$M65-$A$15,CC$13)=0,10^12,OFFSET(CRONOPLE!$F$15,$M65-$A$15,CC$13)))</f>
        <v>11</v>
      </c>
      <c r="CD65" s="171">
        <f ca="1">IF(OR($D65&lt;&gt;"Serviço",AND(AUTOEVENTO="Manual",$M65=$A$15)),0,
         IF(OFFSET(CRONOPLE!$F$15,$M65-$A$15,CD$13)=0,10^12,OFFSET(CRONOPLE!$F$15,$M65-$A$15,CD$13)))</f>
        <v>12</v>
      </c>
      <c r="CE65" s="171">
        <f ca="1">IF(OR($D65&lt;&gt;"Serviço",AND(AUTOEVENTO="Manual",$M65=$A$15)),0,
         IF(OFFSET(CRONOPLE!$F$15,$M65-$A$15,CE$13)=0,10^12,OFFSET(CRONOPLE!$F$15,$M65-$A$15,CE$13)))</f>
        <v>13</v>
      </c>
      <c r="CF65" s="171">
        <f ca="1">IF(OR($D65&lt;&gt;"Serviço",AND(AUTOEVENTO="Manual",$M65=$A$15)),0,
         IF(OFFSET(CRONOPLE!$F$15,$M65-$A$15,CF$13)=0,10^12,OFFSET(CRONOPLE!$F$15,$M65-$A$15,CF$13)))</f>
        <v>14</v>
      </c>
      <c r="CG65" s="171">
        <f ca="1">IF(OR($D65&lt;&gt;"Serviço",AND(AUTOEVENTO="Manual",$M65=$A$15)),0,
         IF(OFFSET(CRONOPLE!$F$15,$M65-$A$15,CG$13)=0,10^12,OFFSET(CRONOPLE!$F$15,$M65-$A$15,CG$13)))</f>
        <v>15</v>
      </c>
      <c r="CH65" s="171">
        <f ca="1">IF(OR($D65&lt;&gt;"Serviço",AND(AUTOEVENTO="Manual",$M65=$A$15)),0,
         IF(OFFSET(CRONOPLE!$F$15,$M65-$A$15,CH$13)=0,10^12,OFFSET(CRONOPLE!$F$15,$M65-$A$15,CH$13)))</f>
        <v>16</v>
      </c>
      <c r="CI65" s="171">
        <f ca="1">IF(OR($D65&lt;&gt;"Serviço",AND(AUTOEVENTO="Manual",$M65=$A$15)),0,
         IF(OFFSET(CRONOPLE!$F$15,$M65-$A$15,CI$13)=0,10^12,OFFSET(CRONOPLE!$F$15,$M65-$A$15,CI$13)))</f>
        <v>17</v>
      </c>
      <c r="CJ65" s="171">
        <f ca="1">IF(OR($D65&lt;&gt;"Serviço",AND(AUTOEVENTO="Manual",$M65=$A$15)),0,
         IF(OFFSET(CRONOPLE!$F$15,$M65-$A$15,CJ$13)=0,10^12,OFFSET(CRONOPLE!$F$15,$M65-$A$15,CJ$13)))</f>
        <v>18</v>
      </c>
      <c r="CK65" s="171">
        <f ca="1">IF(OR($D65&lt;&gt;"Serviço",AND(AUTOEVENTO="Manual",$M65=$A$15)),0,
         IF(OFFSET(CRONOPLE!$F$15,$M65-$A$15,CK$13)=0,10^12,OFFSET(CRONOPLE!$F$15,$M65-$A$15,CK$13)))</f>
        <v>19</v>
      </c>
      <c r="CL65" s="171">
        <f ca="1">IF(OR($D65&lt;&gt;"Serviço",AND(AUTOEVENTO="Manual",$M65=$A$15)),0,
         IF(OFFSET(CRONOPLE!$F$15,$M65-$A$15,CL$13)=0,10^12,OFFSET(CRONOPLE!$F$15,$M65-$A$15,CL$13)))</f>
        <v>20</v>
      </c>
      <c r="CM65" s="171">
        <f ca="1">IF(OR($D65&lt;&gt;"Serviço",AND(AUTOEVENTO="Manual",$M65=$A$15)),0,
         IF(OFFSET(CRONOPLE!$F$15,$M65-$A$15,CM$13)=0,10^12,OFFSET(CRONOPLE!$F$15,$M65-$A$15,CM$13)))</f>
        <v>1000000000000</v>
      </c>
      <c r="CN65" s="171">
        <f ca="1">IF(OR($D65&lt;&gt;"Serviço",AND(AUTOEVENTO="Manual",$M65=$A$15)),0,
         IF(OFFSET(CRONOPLE!$F$15,$M65-$A$15,CN$13)=0,10^12,OFFSET(CRONOPLE!$F$15,$M65-$A$15,CN$13)))</f>
        <v>1000000000000</v>
      </c>
      <c r="CO65" s="171">
        <f ca="1">IF(OR($D65&lt;&gt;"Serviço",AND(AUTOEVENTO="Manual",$M65=$A$15)),0,
         IF(OFFSET(CRONOPLE!$F$15,$M65-$A$15,CO$13)=0,10^12,OFFSET(CRONOPLE!$F$15,$M65-$A$15,CO$13)))</f>
        <v>1000000000000</v>
      </c>
      <c r="CP65" s="171">
        <f ca="1">IF(OR($D65&lt;&gt;"Serviço",AND(AUTOEVENTO="Manual",$M65=$A$15)),0,
         IF(OFFSET(CRONOPLE!$F$15,$M65-$A$15,CP$13)=0,10^12,OFFSET(CRONOPLE!$F$15,$M65-$A$15,CP$13)))</f>
        <v>1000000000000</v>
      </c>
      <c r="CQ65" s="171">
        <f ca="1">IF(OR($D65&lt;&gt;"Serviço",AND(AUTOEVENTO="Manual",$M65=$A$15)),0,
         IF(OFFSET(CRONOPLE!$F$15,$M65-$A$15,CQ$13)=0,10^12,OFFSET(CRONOPLE!$F$15,$M65-$A$15,CQ$13)))</f>
        <v>1000000000000</v>
      </c>
      <c r="CR65" s="171">
        <f ca="1">IF(OR($D65&lt;&gt;"Serviço",AND(AUTOEVENTO="Manual",$M65=$A$15)),0,
         IF(OFFSET(CRONOPLE!$F$15,$M65-$A$15,CR$13)=0,10^12,OFFSET(CRONOPLE!$F$15,$M65-$A$15,CR$13)))</f>
        <v>1000000000000</v>
      </c>
      <c r="CT65" s="172" cm="1">
        <f t="array" aca="1" ref="CT65" ca="1">IF(OR($D65&lt;&gt;"Serviço",AND(AUTOEVENTO="Manual",$M65=$A$15),$M65&gt;(ROW(PLE.lastrow)-ROW(PLE.firstrow))),0,
           IF(OFFSET(PLE!$G$15,$M65-$A$15,CT$13)="",10^12,OFFSET(PLE!$G$15,$M65-$A$15,CT$13)))</f>
        <v>1000000000000</v>
      </c>
      <c r="CU65" s="172" cm="1">
        <f t="array" aca="1" ref="CU65" ca="1">IF(OR($D65&lt;&gt;"Serviço",AND(AUTOEVENTO="Manual",$M65=$A$15),$M65&gt;(ROW(PLE.lastrow)-ROW(PLE.firstrow))),0,
           IF(OFFSET(PLE!$G$15,$M65-$A$15,CU$13)="",10^12,OFFSET(PLE!$G$15,$M65-$A$15,CU$13)))</f>
        <v>1000000000000</v>
      </c>
      <c r="CV65" s="172" cm="1">
        <f t="array" aca="1" ref="CV65" ca="1">IF(OR($D65&lt;&gt;"Serviço",AND(AUTOEVENTO="Manual",$M65=$A$15),$M65&gt;(ROW(PLE.lastrow)-ROW(PLE.firstrow))),0,
           IF(OFFSET(PLE!$G$15,$M65-$A$15,CV$13)="",10^12,OFFSET(PLE!$G$15,$M65-$A$15,CV$13)))</f>
        <v>1000000000000</v>
      </c>
      <c r="CW65" s="172" cm="1">
        <f t="array" aca="1" ref="CW65" ca="1">IF(OR($D65&lt;&gt;"Serviço",AND(AUTOEVENTO="Manual",$M65=$A$15),$M65&gt;(ROW(PLE.lastrow)-ROW(PLE.firstrow))),0,
           IF(OFFSET(PLE!$G$15,$M65-$A$15,CW$13)="",10^12,OFFSET(PLE!$G$15,$M65-$A$15,CW$13)))</f>
        <v>1000000000000</v>
      </c>
      <c r="CX65" s="172" cm="1">
        <f t="array" aca="1" ref="CX65" ca="1">IF(OR($D65&lt;&gt;"Serviço",AND(AUTOEVENTO="Manual",$M65=$A$15),$M65&gt;(ROW(PLE.lastrow)-ROW(PLE.firstrow))),0,
           IF(OFFSET(PLE!$G$15,$M65-$A$15,CX$13)="",10^12,OFFSET(PLE!$G$15,$M65-$A$15,CX$13)))</f>
        <v>1000000000000</v>
      </c>
      <c r="CY65" s="172" cm="1">
        <f t="array" aca="1" ref="CY65" ca="1">IF(OR($D65&lt;&gt;"Serviço",AND(AUTOEVENTO="Manual",$M65=$A$15),$M65&gt;(ROW(PLE.lastrow)-ROW(PLE.firstrow))),0,
           IF(OFFSET(PLE!$G$15,$M65-$A$15,CY$13)="",10^12,OFFSET(PLE!$G$15,$M65-$A$15,CY$13)))</f>
        <v>1000000000000</v>
      </c>
      <c r="CZ65" s="172" cm="1">
        <f t="array" aca="1" ref="CZ65" ca="1">IF(OR($D65&lt;&gt;"Serviço",AND(AUTOEVENTO="Manual",$M65=$A$15),$M65&gt;(ROW(PLE.lastrow)-ROW(PLE.firstrow))),0,
           IF(OFFSET(PLE!$G$15,$M65-$A$15,CZ$13)="",10^12,OFFSET(PLE!$G$15,$M65-$A$15,CZ$13)))</f>
        <v>1000000000000</v>
      </c>
      <c r="DA65" s="172" cm="1">
        <f t="array" aca="1" ref="DA65" ca="1">IF(OR($D65&lt;&gt;"Serviço",AND(AUTOEVENTO="Manual",$M65=$A$15),$M65&gt;(ROW(PLE.lastrow)-ROW(PLE.firstrow))),0,
           IF(OFFSET(PLE!$G$15,$M65-$A$15,DA$13)="",10^12,OFFSET(PLE!$G$15,$M65-$A$15,DA$13)))</f>
        <v>1000000000000</v>
      </c>
      <c r="DB65" s="172" cm="1">
        <f t="array" aca="1" ref="DB65" ca="1">IF(OR($D65&lt;&gt;"Serviço",AND(AUTOEVENTO="Manual",$M65=$A$15),$M65&gt;(ROW(PLE.lastrow)-ROW(PLE.firstrow))),0,
           IF(OFFSET(PLE!$G$15,$M65-$A$15,DB$13)="",10^12,OFFSET(PLE!$G$15,$M65-$A$15,DB$13)))</f>
        <v>1000000000000</v>
      </c>
      <c r="DC65" s="172" cm="1">
        <f t="array" aca="1" ref="DC65" ca="1">IF(OR($D65&lt;&gt;"Serviço",AND(AUTOEVENTO="Manual",$M65=$A$15),$M65&gt;(ROW(PLE.lastrow)-ROW(PLE.firstrow))),0,
           IF(OFFSET(PLE!$G$15,$M65-$A$15,DC$13)="",10^12,OFFSET(PLE!$G$15,$M65-$A$15,DC$13)))</f>
        <v>1000000000000</v>
      </c>
      <c r="DD65" s="172" cm="1">
        <f t="array" aca="1" ref="DD65" ca="1">IF(OR($D65&lt;&gt;"Serviço",AND(AUTOEVENTO="Manual",$M65=$A$15),$M65&gt;(ROW(PLE.lastrow)-ROW(PLE.firstrow))),0,
           IF(OFFSET(PLE!$G$15,$M65-$A$15,DD$13)="",10^12,OFFSET(PLE!$G$15,$M65-$A$15,DD$13)))</f>
        <v>1000000000000</v>
      </c>
      <c r="DE65" s="172" cm="1">
        <f t="array" aca="1" ref="DE65" ca="1">IF(OR($D65&lt;&gt;"Serviço",AND(AUTOEVENTO="Manual",$M65=$A$15),$M65&gt;(ROW(PLE.lastrow)-ROW(PLE.firstrow))),0,
           IF(OFFSET(PLE!$G$15,$M65-$A$15,DE$13)="",10^12,OFFSET(PLE!$G$15,$M65-$A$15,DE$13)))</f>
        <v>1000000000000</v>
      </c>
      <c r="DF65" s="172" cm="1">
        <f t="array" aca="1" ref="DF65" ca="1">IF(OR($D65&lt;&gt;"Serviço",AND(AUTOEVENTO="Manual",$M65=$A$15),$M65&gt;(ROW(PLE.lastrow)-ROW(PLE.firstrow))),0,
           IF(OFFSET(PLE!$G$15,$M65-$A$15,DF$13)="",10^12,OFFSET(PLE!$G$15,$M65-$A$15,DF$13)))</f>
        <v>1000000000000</v>
      </c>
      <c r="DG65" s="172" cm="1">
        <f t="array" aca="1" ref="DG65" ca="1">IF(OR($D65&lt;&gt;"Serviço",AND(AUTOEVENTO="Manual",$M65=$A$15),$M65&gt;(ROW(PLE.lastrow)-ROW(PLE.firstrow))),0,
           IF(OFFSET(PLE!$G$15,$M65-$A$15,DG$13)="",10^12,OFFSET(PLE!$G$15,$M65-$A$15,DG$13)))</f>
        <v>1000000000000</v>
      </c>
      <c r="DH65" s="172" cm="1">
        <f t="array" aca="1" ref="DH65" ca="1">IF(OR($D65&lt;&gt;"Serviço",AND(AUTOEVENTO="Manual",$M65=$A$15),$M65&gt;(ROW(PLE.lastrow)-ROW(PLE.firstrow))),0,
           IF(OFFSET(PLE!$G$15,$M65-$A$15,DH$13)="",10^12,OFFSET(PLE!$G$15,$M65-$A$15,DH$13)))</f>
        <v>1000000000000</v>
      </c>
      <c r="DI65" s="172" cm="1">
        <f t="array" aca="1" ref="DI65" ca="1">IF(OR($D65&lt;&gt;"Serviço",AND(AUTOEVENTO="Manual",$M65=$A$15),$M65&gt;(ROW(PLE.lastrow)-ROW(PLE.firstrow))),0,
           IF(OFFSET(PLE!$G$15,$M65-$A$15,DI$13)="",10^12,OFFSET(PLE!$G$15,$M65-$A$15,DI$13)))</f>
        <v>1000000000000</v>
      </c>
      <c r="DJ65" s="172" cm="1">
        <f t="array" aca="1" ref="DJ65" ca="1">IF(OR($D65&lt;&gt;"Serviço",AND(AUTOEVENTO="Manual",$M65=$A$15),$M65&gt;(ROW(PLE.lastrow)-ROW(PLE.firstrow))),0,
           IF(OFFSET(PLE!$G$15,$M65-$A$15,DJ$13)="",10^12,OFFSET(PLE!$G$15,$M65-$A$15,DJ$13)))</f>
        <v>1000000000000</v>
      </c>
      <c r="DK65" s="172" cm="1">
        <f t="array" aca="1" ref="DK65" ca="1">IF(OR($D65&lt;&gt;"Serviço",AND(AUTOEVENTO="Manual",$M65=$A$15),$M65&gt;(ROW(PLE.lastrow)-ROW(PLE.firstrow))),0,
           IF(OFFSET(PLE!$G$15,$M65-$A$15,DK$13)="",10^12,OFFSET(PLE!$G$15,$M65-$A$15,DK$13)))</f>
        <v>1000000000000</v>
      </c>
      <c r="DL65" s="172" cm="1">
        <f t="array" aca="1" ref="DL65" ca="1">IF(OR($D65&lt;&gt;"Serviço",AND(AUTOEVENTO="Manual",$M65=$A$15),$M65&gt;(ROW(PLE.lastrow)-ROW(PLE.firstrow))),0,
           IF(OFFSET(PLE!$G$15,$M65-$A$15,DL$13)="",10^12,OFFSET(PLE!$G$15,$M65-$A$15,DL$13)))</f>
        <v>1000000000000</v>
      </c>
      <c r="DM65" s="172" cm="1">
        <f t="array" aca="1" ref="DM65" ca="1">IF(OR($D65&lt;&gt;"Serviço",AND(AUTOEVENTO="Manual",$M65=$A$15),$M65&gt;(ROW(PLE.lastrow)-ROW(PLE.firstrow))),0,
           IF(OFFSET(PLE!$G$15,$M65-$A$15,DM$13)="",10^12,OFFSET(PLE!$G$15,$M65-$A$15,DM$13)))</f>
        <v>1000000000000</v>
      </c>
      <c r="DN65" s="172" cm="1">
        <f t="array" aca="1" ref="DN65" ca="1">IF(OR($D65&lt;&gt;"Serviço",AND(AUTOEVENTO="Manual",$M65=$A$15),$M65&gt;(ROW(PLE.lastrow)-ROW(PLE.firstrow))),0,
           IF(OFFSET(PLE!$G$15,$M65-$A$15,DN$13)="",10^12,OFFSET(PLE!$G$15,$M65-$A$15,DN$13)))</f>
        <v>1000000000000</v>
      </c>
      <c r="DO65" s="172" cm="1">
        <f t="array" aca="1" ref="DO65" ca="1">IF(OR($D65&lt;&gt;"Serviço",AND(AUTOEVENTO="Manual",$M65=$A$15),$M65&gt;(ROW(PLE.lastrow)-ROW(PLE.firstrow))),0,
           IF(OFFSET(PLE!$G$15,$M65-$A$15,DO$13)="",10^12,OFFSET(PLE!$G$15,$M65-$A$15,DO$13)))</f>
        <v>1000000000000</v>
      </c>
      <c r="DP65" s="172" cm="1">
        <f t="array" aca="1" ref="DP65" ca="1">IF(OR($D65&lt;&gt;"Serviço",AND(AUTOEVENTO="Manual",$M65=$A$15),$M65&gt;(ROW(PLE.lastrow)-ROW(PLE.firstrow))),0,
           IF(OFFSET(PLE!$G$15,$M65-$A$15,DP$13)="",10^12,OFFSET(PLE!$G$15,$M65-$A$15,DP$13)))</f>
        <v>1000000000000</v>
      </c>
      <c r="DQ65" s="172" cm="1">
        <f t="array" aca="1" ref="DQ65" ca="1">IF(OR($D65&lt;&gt;"Serviço",AND(AUTOEVENTO="Manual",$M65=$A$15),$M65&gt;(ROW(PLE.lastrow)-ROW(PLE.firstrow))),0,
           IF(OFFSET(PLE!$G$15,$M65-$A$15,DQ$13)="",10^12,OFFSET(PLE!$G$15,$M65-$A$15,DQ$13)))</f>
        <v>1000000000000</v>
      </c>
      <c r="DR65" s="172" cm="1">
        <f t="array" aca="1" ref="DR65" ca="1">IF(OR($D65&lt;&gt;"Serviço",AND(AUTOEVENTO="Manual",$M65=$A$15),$M65&gt;(ROW(PLE.lastrow)-ROW(PLE.firstrow))),0,
           IF(OFFSET(PLE!$G$15,$M65-$A$15,DR$13)="",10^12,OFFSET(PLE!$G$15,$M65-$A$15,DR$13)))</f>
        <v>1000000000000</v>
      </c>
      <c r="DS65" s="172" cm="1">
        <f t="array" aca="1" ref="DS65" ca="1">IF(OR($D65&lt;&gt;"Serviço",AND(AUTOEVENTO="Manual",$M65=$A$15),$M65&gt;(ROW(PLE.lastrow)-ROW(PLE.firstrow))),0,
           IF(OFFSET(PLE!$G$15,$M65-$A$15,DS$13)="",10^12,OFFSET(PLE!$G$15,$M65-$A$15,DS$13)))</f>
        <v>1000000000000</v>
      </c>
    </row>
    <row r="66" spans="1:123" ht="12.75" x14ac:dyDescent="0.2">
      <c r="A66" s="7">
        <f t="shared" ca="1" si="11"/>
        <v>0</v>
      </c>
      <c r="B66" s="7">
        <f ca="1">OFFSET(ORÇAMENTO!C$15,$L66,0)</f>
        <v>2</v>
      </c>
      <c r="C66" s="7" t="str">
        <f ca="1">OFFSET(ORÇAMENTO!L$15,$L66,0)</f>
        <v>F</v>
      </c>
      <c r="D66" s="116" t="str">
        <f ca="1">OFFSET(ORÇAMENTO!N$15,$L66,0)</f>
        <v>Nível 2</v>
      </c>
      <c r="E66" s="117" t="str">
        <f ca="1">OFFSET(ORÇAMENTO!O$15,$L66,0)</f>
        <v>5.2.</v>
      </c>
      <c r="F66" s="163" t="str">
        <f ca="1">OFFSET(ORÇAMENTO!R$15,$L66,0)</f>
        <v>ESQUADRIAS METÁLICAS</v>
      </c>
      <c r="G66" s="164" t="str">
        <f ca="1">IF($D66&lt;&gt;"Serviço","",OFFSET(ORÇAMENTO!S$15,$L66,0))</f>
        <v/>
      </c>
      <c r="H66" s="122" cm="1">
        <f t="array" aca="1" ref="H66" ca="1">IF($D66&lt;&gt;"Serviço",0,IF(ACOMPANHAMENTO="BM",ROUND(OFFSET(ORÇAMENTO!AJ$15,$L66,0),15-13*ORÇAMENTO!$AF$7),IF(IFERROR(CÁLCULO.FrentesPreenchidas,0)=0,0,SUM(ROUND(OFFSET($P66,0,1,1,CÁLCULO.FrentesPreenchidas),15-13*ORÇAMENTO!$AF$7)))))</f>
        <v>0</v>
      </c>
      <c r="I66" s="468"/>
      <c r="J66" s="651" t="str" cm="1">
        <f t="array" aca="1" ref="J66" ca="1">IF(OR(B66&lt;&gt;"S",CÁLCULO.FrentesPreenchidas=0),"",IF(AND(ACOMPANHAMENTO="PLE",AUTOEVENTO="Manual",OR(H66&gt;0,ORÇAMENTO!AC66="QUANT."),OR(K66="",M66=0,N66="")),"►E",IF(AND(ACOMPANHAMENTO="PLE",ORÇAMENTO!AC66="QUANT."),"►Q",IF(AND(ACOMPANHAMENTO="PLE",H66&lt;&gt;SUMPRODUCT(($Q$1:$AQ$1=1)*ROUND(Q66:AQ66,15))),"►S",IF(AND(COUNTIF($P$11:$AQ$11,"▼")=0,H66&gt;0,I66=""),"◄M","")))))</f>
        <v/>
      </c>
      <c r="K66" s="652"/>
      <c r="L66" s="165">
        <f t="shared" ca="1" si="12"/>
        <v>51</v>
      </c>
      <c r="M66" s="166" t="str">
        <f ca="1">IF($D66&lt;&gt;"Serviço","",
          IF(AUTOEVENTO="manual",$A66,
                IF(ISERROR(MATCH($A66,$A$15:OFFSET($A66,-1,0),0)),MAX($M$15:OFFSET(M66,-1,0))+1,
                      INDEX($M$15:OFFSET(M66,-1,0),MATCH($A66,$A$15:OFFSET($A66,-1,0),0)))))</f>
        <v/>
      </c>
      <c r="N66" s="167" t="str">
        <f ca="1">IF($D66&lt;&gt;"Serviço","",
         IF(AUTOEVENTO="Manual",
                IF($A66=0,"&lt;-- defina o número do agrupador",
                       OFFSET(EVENTOS!$D$15,$A66-$A$15,0)),
                OFFSET($F$15,$A66,0)))</f>
        <v/>
      </c>
      <c r="O66" s="168"/>
      <c r="Q66" s="168"/>
      <c r="R66" s="169"/>
      <c r="S66" s="169"/>
      <c r="T66" s="169"/>
      <c r="U66" s="169"/>
      <c r="V66" s="169"/>
      <c r="W66" s="169"/>
      <c r="X66" s="169"/>
      <c r="Y66" s="169"/>
      <c r="Z66" s="170"/>
      <c r="AA66" s="169"/>
      <c r="AB66" s="169"/>
      <c r="AC66" s="169"/>
      <c r="AD66" s="169"/>
      <c r="AE66" s="169"/>
      <c r="AF66" s="169"/>
      <c r="AG66" s="169"/>
      <c r="AH66" s="170"/>
      <c r="AI66" s="169"/>
      <c r="AJ66" s="169"/>
      <c r="AK66" s="169"/>
      <c r="AL66" s="169"/>
      <c r="AM66" s="169"/>
      <c r="AN66" s="169"/>
      <c r="AO66" s="169"/>
      <c r="AP66" s="170"/>
      <c r="AR66" s="453">
        <f ca="1">IF(AND($D66="Serviço",AR$12&lt;&gt;0,$H66&gt;0,OR(AUTOEVENTO&lt;&gt;"manual",$M66&lt;&gt;$A$15)),
        IF(Import.TipoArredondamento&lt;&gt;"TransfereGOV",
              ROUND(OFFSET($P66,0,AR$13),15-13*ORÇAMENTO!$AF$7)/$H66*OFFSET(ORÇAMENTO!$X$15,ROW(AR66)-ROW(AR$15),0),
              ROUND(ROUND(OFFSET($P66,0,AR$13),15-13*ORÇAMENTO!$AF$7)*OFFSET(ORÇAMENTO!$W$15,ROW(AR66)-ROW(AR$15),0),15-13*ORÇAMENTO!$AF$11)),
         0)</f>
        <v>0</v>
      </c>
      <c r="AS66" s="453">
        <f ca="1">IF(AND($D66="Serviço",AS$12&lt;&gt;0,$H66&gt;0,OR(AUTOEVENTO&lt;&gt;"manual",$M66&lt;&gt;$A$15)),
        IF(Import.TipoArredondamento&lt;&gt;"TransfereGOV",
              ROUND(OFFSET($P66,0,AS$13),15-13*ORÇAMENTO!$AF$7)/$H66*OFFSET(ORÇAMENTO!$X$15,ROW(AS66)-ROW(AS$15),0),
              ROUND(ROUND(OFFSET($P66,0,AS$13),15-13*ORÇAMENTO!$AF$7)*OFFSET(ORÇAMENTO!$W$15,ROW(AS66)-ROW(AS$15),0),15-13*ORÇAMENTO!$AF$11)),
         0)</f>
        <v>0</v>
      </c>
      <c r="AT66" s="453">
        <f ca="1">IF(AND($D66="Serviço",AT$12&lt;&gt;0,$H66&gt;0,OR(AUTOEVENTO&lt;&gt;"manual",$M66&lt;&gt;$A$15)),
        IF(Import.TipoArredondamento&lt;&gt;"TransfereGOV",
              ROUND(OFFSET($P66,0,AT$13),15-13*ORÇAMENTO!$AF$7)/$H66*OFFSET(ORÇAMENTO!$X$15,ROW(AT66)-ROW(AT$15),0),
              ROUND(ROUND(OFFSET($P66,0,AT$13),15-13*ORÇAMENTO!$AF$7)*OFFSET(ORÇAMENTO!$W$15,ROW(AT66)-ROW(AT$15),0),15-13*ORÇAMENTO!$AF$11)),
         0)</f>
        <v>0</v>
      </c>
      <c r="AU66" s="453">
        <f ca="1">IF(AND($D66="Serviço",AU$12&lt;&gt;0,$H66&gt;0,OR(AUTOEVENTO&lt;&gt;"manual",$M66&lt;&gt;$A$15)),
        IF(Import.TipoArredondamento&lt;&gt;"TransfereGOV",
              ROUND(OFFSET($P66,0,AU$13),15-13*ORÇAMENTO!$AF$7)/$H66*OFFSET(ORÇAMENTO!$X$15,ROW(AU66)-ROW(AU$15),0),
              ROUND(ROUND(OFFSET($P66,0,AU$13),15-13*ORÇAMENTO!$AF$7)*OFFSET(ORÇAMENTO!$W$15,ROW(AU66)-ROW(AU$15),0),15-13*ORÇAMENTO!$AF$11)),
         0)</f>
        <v>0</v>
      </c>
      <c r="AV66" s="453">
        <f ca="1">IF(AND($D66="Serviço",AV$12&lt;&gt;0,$H66&gt;0,OR(AUTOEVENTO&lt;&gt;"manual",$M66&lt;&gt;$A$15)),
        IF(Import.TipoArredondamento&lt;&gt;"TransfereGOV",
              ROUND(OFFSET($P66,0,AV$13),15-13*ORÇAMENTO!$AF$7)/$H66*OFFSET(ORÇAMENTO!$X$15,ROW(AV66)-ROW(AV$15),0),
              ROUND(ROUND(OFFSET($P66,0,AV$13),15-13*ORÇAMENTO!$AF$7)*OFFSET(ORÇAMENTO!$W$15,ROW(AV66)-ROW(AV$15),0),15-13*ORÇAMENTO!$AF$11)),
         0)</f>
        <v>0</v>
      </c>
      <c r="AW66" s="453">
        <f ca="1">IF(AND($D66="Serviço",AW$12&lt;&gt;0,$H66&gt;0,OR(AUTOEVENTO&lt;&gt;"manual",$M66&lt;&gt;$A$15)),
        IF(Import.TipoArredondamento&lt;&gt;"TransfereGOV",
              ROUND(OFFSET($P66,0,AW$13),15-13*ORÇAMENTO!$AF$7)/$H66*OFFSET(ORÇAMENTO!$X$15,ROW(AW66)-ROW(AW$15),0),
              ROUND(ROUND(OFFSET($P66,0,AW$13),15-13*ORÇAMENTO!$AF$7)*OFFSET(ORÇAMENTO!$W$15,ROW(AW66)-ROW(AW$15),0),15-13*ORÇAMENTO!$AF$11)),
         0)</f>
        <v>0</v>
      </c>
      <c r="AX66" s="453">
        <f ca="1">IF(AND($D66="Serviço",AX$12&lt;&gt;0,$H66&gt;0,OR(AUTOEVENTO&lt;&gt;"manual",$M66&lt;&gt;$A$15)),
        IF(Import.TipoArredondamento&lt;&gt;"TransfereGOV",
              ROUND(OFFSET($P66,0,AX$13),15-13*ORÇAMENTO!$AF$7)/$H66*OFFSET(ORÇAMENTO!$X$15,ROW(AX66)-ROW(AX$15),0),
              ROUND(ROUND(OFFSET($P66,0,AX$13),15-13*ORÇAMENTO!$AF$7)*OFFSET(ORÇAMENTO!$W$15,ROW(AX66)-ROW(AX$15),0),15-13*ORÇAMENTO!$AF$11)),
         0)</f>
        <v>0</v>
      </c>
      <c r="AY66" s="453">
        <f ca="1">IF(AND($D66="Serviço",AY$12&lt;&gt;0,$H66&gt;0,OR(AUTOEVENTO&lt;&gt;"manual",$M66&lt;&gt;$A$15)),
        IF(Import.TipoArredondamento&lt;&gt;"TransfereGOV",
              ROUND(OFFSET($P66,0,AY$13),15-13*ORÇAMENTO!$AF$7)/$H66*OFFSET(ORÇAMENTO!$X$15,ROW(AY66)-ROW(AY$15),0),
              ROUND(ROUND(OFFSET($P66,0,AY$13),15-13*ORÇAMENTO!$AF$7)*OFFSET(ORÇAMENTO!$W$15,ROW(AY66)-ROW(AY$15),0),15-13*ORÇAMENTO!$AF$11)),
         0)</f>
        <v>0</v>
      </c>
      <c r="AZ66" s="453">
        <f ca="1">IF(AND($D66="Serviço",AZ$12&lt;&gt;0,$H66&gt;0,OR(AUTOEVENTO&lt;&gt;"manual",$M66&lt;&gt;$A$15)),
        IF(Import.TipoArredondamento&lt;&gt;"TransfereGOV",
              ROUND(OFFSET($P66,0,AZ$13),15-13*ORÇAMENTO!$AF$7)/$H66*OFFSET(ORÇAMENTO!$X$15,ROW(AZ66)-ROW(AZ$15),0),
              ROUND(ROUND(OFFSET($P66,0,AZ$13),15-13*ORÇAMENTO!$AF$7)*OFFSET(ORÇAMENTO!$W$15,ROW(AZ66)-ROW(AZ$15),0),15-13*ORÇAMENTO!$AF$11)),
         0)</f>
        <v>0</v>
      </c>
      <c r="BA66" s="453">
        <f ca="1">IF(AND($D66="Serviço",BA$12&lt;&gt;0,$H66&gt;0,OR(AUTOEVENTO&lt;&gt;"manual",$M66&lt;&gt;$A$15)),
        IF(Import.TipoArredondamento&lt;&gt;"TransfereGOV",
              ROUND(OFFSET($P66,0,BA$13),15-13*ORÇAMENTO!$AF$7)/$H66*OFFSET(ORÇAMENTO!$X$15,ROW(BA66)-ROW(BA$15),0),
              ROUND(ROUND(OFFSET($P66,0,BA$13),15-13*ORÇAMENTO!$AF$7)*OFFSET(ORÇAMENTO!$W$15,ROW(BA66)-ROW(BA$15),0),15-13*ORÇAMENTO!$AF$11)),
         0)</f>
        <v>0</v>
      </c>
      <c r="BB66" s="453">
        <f ca="1">IF(AND($D66="Serviço",BB$12&lt;&gt;0,$H66&gt;0,OR(AUTOEVENTO&lt;&gt;"manual",$M66&lt;&gt;$A$15)),
        IF(Import.TipoArredondamento&lt;&gt;"TransfereGOV",
              ROUND(OFFSET($P66,0,BB$13),15-13*ORÇAMENTO!$AF$7)/$H66*OFFSET(ORÇAMENTO!$X$15,ROW(BB66)-ROW(BB$15),0),
              ROUND(ROUND(OFFSET($P66,0,BB$13),15-13*ORÇAMENTO!$AF$7)*OFFSET(ORÇAMENTO!$W$15,ROW(BB66)-ROW(BB$15),0),15-13*ORÇAMENTO!$AF$11)),
         0)</f>
        <v>0</v>
      </c>
      <c r="BC66" s="453">
        <f ca="1">IF(AND($D66="Serviço",BC$12&lt;&gt;0,$H66&gt;0,OR(AUTOEVENTO&lt;&gt;"manual",$M66&lt;&gt;$A$15)),
        IF(Import.TipoArredondamento&lt;&gt;"TransfereGOV",
              ROUND(OFFSET($P66,0,BC$13),15-13*ORÇAMENTO!$AF$7)/$H66*OFFSET(ORÇAMENTO!$X$15,ROW(BC66)-ROW(BC$15),0),
              ROUND(ROUND(OFFSET($P66,0,BC$13),15-13*ORÇAMENTO!$AF$7)*OFFSET(ORÇAMENTO!$W$15,ROW(BC66)-ROW(BC$15),0),15-13*ORÇAMENTO!$AF$11)),
         0)</f>
        <v>0</v>
      </c>
      <c r="BD66" s="453">
        <f ca="1">IF(AND($D66="Serviço",BD$12&lt;&gt;0,$H66&gt;0,OR(AUTOEVENTO&lt;&gt;"manual",$M66&lt;&gt;$A$15)),
        IF(Import.TipoArredondamento&lt;&gt;"TransfereGOV",
              ROUND(OFFSET($P66,0,BD$13),15-13*ORÇAMENTO!$AF$7)/$H66*OFFSET(ORÇAMENTO!$X$15,ROW(BD66)-ROW(BD$15),0),
              ROUND(ROUND(OFFSET($P66,0,BD$13),15-13*ORÇAMENTO!$AF$7)*OFFSET(ORÇAMENTO!$W$15,ROW(BD66)-ROW(BD$15),0),15-13*ORÇAMENTO!$AF$11)),
         0)</f>
        <v>0</v>
      </c>
      <c r="BE66" s="453">
        <f ca="1">IF(AND($D66="Serviço",BE$12&lt;&gt;0,$H66&gt;0,OR(AUTOEVENTO&lt;&gt;"manual",$M66&lt;&gt;$A$15)),
        IF(Import.TipoArredondamento&lt;&gt;"TransfereGOV",
              ROUND(OFFSET($P66,0,BE$13),15-13*ORÇAMENTO!$AF$7)/$H66*OFFSET(ORÇAMENTO!$X$15,ROW(BE66)-ROW(BE$15),0),
              ROUND(ROUND(OFFSET($P66,0,BE$13),15-13*ORÇAMENTO!$AF$7)*OFFSET(ORÇAMENTO!$W$15,ROW(BE66)-ROW(BE$15),0),15-13*ORÇAMENTO!$AF$11)),
         0)</f>
        <v>0</v>
      </c>
      <c r="BF66" s="453">
        <f ca="1">IF(AND($D66="Serviço",BF$12&lt;&gt;0,$H66&gt;0,OR(AUTOEVENTO&lt;&gt;"manual",$M66&lt;&gt;$A$15)),
        IF(Import.TipoArredondamento&lt;&gt;"TransfereGOV",
              ROUND(OFFSET($P66,0,BF$13),15-13*ORÇAMENTO!$AF$7)/$H66*OFFSET(ORÇAMENTO!$X$15,ROW(BF66)-ROW(BF$15),0),
              ROUND(ROUND(OFFSET($P66,0,BF$13),15-13*ORÇAMENTO!$AF$7)*OFFSET(ORÇAMENTO!$W$15,ROW(BF66)-ROW(BF$15),0),15-13*ORÇAMENTO!$AF$11)),
         0)</f>
        <v>0</v>
      </c>
      <c r="BG66" s="453">
        <f ca="1">IF(AND($D66="Serviço",BG$12&lt;&gt;0,$H66&gt;0,OR(AUTOEVENTO&lt;&gt;"manual",$M66&lt;&gt;$A$15)),
        IF(Import.TipoArredondamento&lt;&gt;"TransfereGOV",
              ROUND(OFFSET($P66,0,BG$13),15-13*ORÇAMENTO!$AF$7)/$H66*OFFSET(ORÇAMENTO!$X$15,ROW(BG66)-ROW(BG$15),0),
              ROUND(ROUND(OFFSET($P66,0,BG$13),15-13*ORÇAMENTO!$AF$7)*OFFSET(ORÇAMENTO!$W$15,ROW(BG66)-ROW(BG$15),0),15-13*ORÇAMENTO!$AF$11)),
         0)</f>
        <v>0</v>
      </c>
      <c r="BH66" s="453">
        <f ca="1">IF(AND($D66="Serviço",BH$12&lt;&gt;0,$H66&gt;0,OR(AUTOEVENTO&lt;&gt;"manual",$M66&lt;&gt;$A$15)),
        IF(Import.TipoArredondamento&lt;&gt;"TransfereGOV",
              ROUND(OFFSET($P66,0,BH$13),15-13*ORÇAMENTO!$AF$7)/$H66*OFFSET(ORÇAMENTO!$X$15,ROW(BH66)-ROW(BH$15),0),
              ROUND(ROUND(OFFSET($P66,0,BH$13),15-13*ORÇAMENTO!$AF$7)*OFFSET(ORÇAMENTO!$W$15,ROW(BH66)-ROW(BH$15),0),15-13*ORÇAMENTO!$AF$11)),
         0)</f>
        <v>0</v>
      </c>
      <c r="BI66" s="453">
        <f ca="1">IF(AND($D66="Serviço",BI$12&lt;&gt;0,$H66&gt;0,OR(AUTOEVENTO&lt;&gt;"manual",$M66&lt;&gt;$A$15)),
        IF(Import.TipoArredondamento&lt;&gt;"TransfereGOV",
              ROUND(OFFSET($P66,0,BI$13),15-13*ORÇAMENTO!$AF$7)/$H66*OFFSET(ORÇAMENTO!$X$15,ROW(BI66)-ROW(BI$15),0),
              ROUND(ROUND(OFFSET($P66,0,BI$13),15-13*ORÇAMENTO!$AF$7)*OFFSET(ORÇAMENTO!$W$15,ROW(BI66)-ROW(BI$15),0),15-13*ORÇAMENTO!$AF$11)),
         0)</f>
        <v>0</v>
      </c>
      <c r="BJ66" s="453">
        <f ca="1">IF(AND($D66="Serviço",BJ$12&lt;&gt;0,$H66&gt;0,OR(AUTOEVENTO&lt;&gt;"manual",$M66&lt;&gt;$A$15)),
        IF(Import.TipoArredondamento&lt;&gt;"TransfereGOV",
              ROUND(OFFSET($P66,0,BJ$13),15-13*ORÇAMENTO!$AF$7)/$H66*OFFSET(ORÇAMENTO!$X$15,ROW(BJ66)-ROW(BJ$15),0),
              ROUND(ROUND(OFFSET($P66,0,BJ$13),15-13*ORÇAMENTO!$AF$7)*OFFSET(ORÇAMENTO!$W$15,ROW(BJ66)-ROW(BJ$15),0),15-13*ORÇAMENTO!$AF$11)),
         0)</f>
        <v>0</v>
      </c>
      <c r="BK66" s="453">
        <f ca="1">IF(AND($D66="Serviço",BK$12&lt;&gt;0,$H66&gt;0,OR(AUTOEVENTO&lt;&gt;"manual",$M66&lt;&gt;$A$15)),
        IF(Import.TipoArredondamento&lt;&gt;"TransfereGOV",
              ROUND(OFFSET($P66,0,BK$13),15-13*ORÇAMENTO!$AF$7)/$H66*OFFSET(ORÇAMENTO!$X$15,ROW(BK66)-ROW(BK$15),0),
              ROUND(ROUND(OFFSET($P66,0,BK$13),15-13*ORÇAMENTO!$AF$7)*OFFSET(ORÇAMENTO!$W$15,ROW(BK66)-ROW(BK$15),0),15-13*ORÇAMENTO!$AF$11)),
         0)</f>
        <v>0</v>
      </c>
      <c r="BL66" s="453">
        <f ca="1">IF(AND($D66="Serviço",BL$12&lt;&gt;0,$H66&gt;0,OR(AUTOEVENTO&lt;&gt;"manual",$M66&lt;&gt;$A$15)),
        IF(Import.TipoArredondamento&lt;&gt;"TransfereGOV",
              ROUND(OFFSET($P66,0,BL$13),15-13*ORÇAMENTO!$AF$7)/$H66*OFFSET(ORÇAMENTO!$X$15,ROW(BL66)-ROW(BL$15),0),
              ROUND(ROUND(OFFSET($P66,0,BL$13),15-13*ORÇAMENTO!$AF$7)*OFFSET(ORÇAMENTO!$W$15,ROW(BL66)-ROW(BL$15),0),15-13*ORÇAMENTO!$AF$11)),
         0)</f>
        <v>0</v>
      </c>
      <c r="BM66" s="453">
        <f ca="1">IF(AND($D66="Serviço",BM$12&lt;&gt;0,$H66&gt;0,OR(AUTOEVENTO&lt;&gt;"manual",$M66&lt;&gt;$A$15)),
        IF(Import.TipoArredondamento&lt;&gt;"TransfereGOV",
              ROUND(OFFSET($P66,0,BM$13),15-13*ORÇAMENTO!$AF$7)/$H66*OFFSET(ORÇAMENTO!$X$15,ROW(BM66)-ROW(BM$15),0),
              ROUND(ROUND(OFFSET($P66,0,BM$13),15-13*ORÇAMENTO!$AF$7)*OFFSET(ORÇAMENTO!$W$15,ROW(BM66)-ROW(BM$15),0),15-13*ORÇAMENTO!$AF$11)),
         0)</f>
        <v>0</v>
      </c>
      <c r="BN66" s="453">
        <f ca="1">IF(AND($D66="Serviço",BN$12&lt;&gt;0,$H66&gt;0,OR(AUTOEVENTO&lt;&gt;"manual",$M66&lt;&gt;$A$15)),
        IF(Import.TipoArredondamento&lt;&gt;"TransfereGOV",
              ROUND(OFFSET($P66,0,BN$13),15-13*ORÇAMENTO!$AF$7)/$H66*OFFSET(ORÇAMENTO!$X$15,ROW(BN66)-ROW(BN$15),0),
              ROUND(ROUND(OFFSET($P66,0,BN$13),15-13*ORÇAMENTO!$AF$7)*OFFSET(ORÇAMENTO!$W$15,ROW(BN66)-ROW(BN$15),0),15-13*ORÇAMENTO!$AF$11)),
         0)</f>
        <v>0</v>
      </c>
      <c r="BO66" s="453">
        <f ca="1">IF(AND($D66="Serviço",BO$12&lt;&gt;0,$H66&gt;0,OR(AUTOEVENTO&lt;&gt;"manual",$M66&lt;&gt;$A$15)),
        IF(Import.TipoArredondamento&lt;&gt;"TransfereGOV",
              ROUND(OFFSET($P66,0,BO$13),15-13*ORÇAMENTO!$AF$7)/$H66*OFFSET(ORÇAMENTO!$X$15,ROW(BO66)-ROW(BO$15),0),
              ROUND(ROUND(OFFSET($P66,0,BO$13),15-13*ORÇAMENTO!$AF$7)*OFFSET(ORÇAMENTO!$W$15,ROW(BO66)-ROW(BO$15),0),15-13*ORÇAMENTO!$AF$11)),
         0)</f>
        <v>0</v>
      </c>
      <c r="BP66" s="453">
        <f ca="1">IF(AND($D66="Serviço",BP$12&lt;&gt;0,$H66&gt;0,OR(AUTOEVENTO&lt;&gt;"manual",$M66&lt;&gt;$A$15)),
        IF(Import.TipoArredondamento&lt;&gt;"TransfereGOV",
              ROUND(OFFSET($P66,0,BP$13),15-13*ORÇAMENTO!$AF$7)/$H66*OFFSET(ORÇAMENTO!$X$15,ROW(BP66)-ROW(BP$15),0),
              ROUND(ROUND(OFFSET($P66,0,BP$13),15-13*ORÇAMENTO!$AF$7)*OFFSET(ORÇAMENTO!$W$15,ROW(BP66)-ROW(BP$15),0),15-13*ORÇAMENTO!$AF$11)),
         0)</f>
        <v>0</v>
      </c>
      <c r="BQ66" s="453">
        <f ca="1">IF(AND($D66="Serviço",BQ$12&lt;&gt;0,$H66&gt;0,OR(AUTOEVENTO&lt;&gt;"manual",$M66&lt;&gt;$A$15)),
        IF(Import.TipoArredondamento&lt;&gt;"TransfereGOV",
              ROUND(OFFSET($P66,0,BQ$13),15-13*ORÇAMENTO!$AF$7)/$H66*OFFSET(ORÇAMENTO!$X$15,ROW(BQ66)-ROW(BQ$15),0),
              ROUND(ROUND(OFFSET($P66,0,BQ$13),15-13*ORÇAMENTO!$AF$7)*OFFSET(ORÇAMENTO!$W$15,ROW(BQ66)-ROW(BQ$15),0),15-13*ORÇAMENTO!$AF$11)),
         0)</f>
        <v>0</v>
      </c>
      <c r="BS66" s="171">
        <f ca="1">IF(OR($D66&lt;&gt;"Serviço",AND(AUTOEVENTO="Manual",$M66=$A$15)),0,
         IF(OFFSET(CRONOPLE!$F$15,$M66-$A$15,BS$13)=0,10^12,OFFSET(CRONOPLE!$F$15,$M66-$A$15,BS$13)))</f>
        <v>0</v>
      </c>
      <c r="BT66" s="171">
        <f ca="1">IF(OR($D66&lt;&gt;"Serviço",AND(AUTOEVENTO="Manual",$M66=$A$15)),0,
         IF(OFFSET(CRONOPLE!$F$15,$M66-$A$15,BT$13)=0,10^12,OFFSET(CRONOPLE!$F$15,$M66-$A$15,BT$13)))</f>
        <v>0</v>
      </c>
      <c r="BU66" s="171">
        <f ca="1">IF(OR($D66&lt;&gt;"Serviço",AND(AUTOEVENTO="Manual",$M66=$A$15)),0,
         IF(OFFSET(CRONOPLE!$F$15,$M66-$A$15,BU$13)=0,10^12,OFFSET(CRONOPLE!$F$15,$M66-$A$15,BU$13)))</f>
        <v>0</v>
      </c>
      <c r="BV66" s="171">
        <f ca="1">IF(OR($D66&lt;&gt;"Serviço",AND(AUTOEVENTO="Manual",$M66=$A$15)),0,
         IF(OFFSET(CRONOPLE!$F$15,$M66-$A$15,BV$13)=0,10^12,OFFSET(CRONOPLE!$F$15,$M66-$A$15,BV$13)))</f>
        <v>0</v>
      </c>
      <c r="BW66" s="171">
        <f ca="1">IF(OR($D66&lt;&gt;"Serviço",AND(AUTOEVENTO="Manual",$M66=$A$15)),0,
         IF(OFFSET(CRONOPLE!$F$15,$M66-$A$15,BW$13)=0,10^12,OFFSET(CRONOPLE!$F$15,$M66-$A$15,BW$13)))</f>
        <v>0</v>
      </c>
      <c r="BX66" s="171">
        <f ca="1">IF(OR($D66&lt;&gt;"Serviço",AND(AUTOEVENTO="Manual",$M66=$A$15)),0,
         IF(OFFSET(CRONOPLE!$F$15,$M66-$A$15,BX$13)=0,10^12,OFFSET(CRONOPLE!$F$15,$M66-$A$15,BX$13)))</f>
        <v>0</v>
      </c>
      <c r="BY66" s="171">
        <f ca="1">IF(OR($D66&lt;&gt;"Serviço",AND(AUTOEVENTO="Manual",$M66=$A$15)),0,
         IF(OFFSET(CRONOPLE!$F$15,$M66-$A$15,BY$13)=0,10^12,OFFSET(CRONOPLE!$F$15,$M66-$A$15,BY$13)))</f>
        <v>0</v>
      </c>
      <c r="BZ66" s="171">
        <f ca="1">IF(OR($D66&lt;&gt;"Serviço",AND(AUTOEVENTO="Manual",$M66=$A$15)),0,
         IF(OFFSET(CRONOPLE!$F$15,$M66-$A$15,BZ$13)=0,10^12,OFFSET(CRONOPLE!$F$15,$M66-$A$15,BZ$13)))</f>
        <v>0</v>
      </c>
      <c r="CA66" s="171">
        <f ca="1">IF(OR($D66&lt;&gt;"Serviço",AND(AUTOEVENTO="Manual",$M66=$A$15)),0,
         IF(OFFSET(CRONOPLE!$F$15,$M66-$A$15,CA$13)=0,10^12,OFFSET(CRONOPLE!$F$15,$M66-$A$15,CA$13)))</f>
        <v>0</v>
      </c>
      <c r="CB66" s="171">
        <f ca="1">IF(OR($D66&lt;&gt;"Serviço",AND(AUTOEVENTO="Manual",$M66=$A$15)),0,
         IF(OFFSET(CRONOPLE!$F$15,$M66-$A$15,CB$13)=0,10^12,OFFSET(CRONOPLE!$F$15,$M66-$A$15,CB$13)))</f>
        <v>0</v>
      </c>
      <c r="CC66" s="171">
        <f ca="1">IF(OR($D66&lt;&gt;"Serviço",AND(AUTOEVENTO="Manual",$M66=$A$15)),0,
         IF(OFFSET(CRONOPLE!$F$15,$M66-$A$15,CC$13)=0,10^12,OFFSET(CRONOPLE!$F$15,$M66-$A$15,CC$13)))</f>
        <v>0</v>
      </c>
      <c r="CD66" s="171">
        <f ca="1">IF(OR($D66&lt;&gt;"Serviço",AND(AUTOEVENTO="Manual",$M66=$A$15)),0,
         IF(OFFSET(CRONOPLE!$F$15,$M66-$A$15,CD$13)=0,10^12,OFFSET(CRONOPLE!$F$15,$M66-$A$15,CD$13)))</f>
        <v>0</v>
      </c>
      <c r="CE66" s="171">
        <f ca="1">IF(OR($D66&lt;&gt;"Serviço",AND(AUTOEVENTO="Manual",$M66=$A$15)),0,
         IF(OFFSET(CRONOPLE!$F$15,$M66-$A$15,CE$13)=0,10^12,OFFSET(CRONOPLE!$F$15,$M66-$A$15,CE$13)))</f>
        <v>0</v>
      </c>
      <c r="CF66" s="171">
        <f ca="1">IF(OR($D66&lt;&gt;"Serviço",AND(AUTOEVENTO="Manual",$M66=$A$15)),0,
         IF(OFFSET(CRONOPLE!$F$15,$M66-$A$15,CF$13)=0,10^12,OFFSET(CRONOPLE!$F$15,$M66-$A$15,CF$13)))</f>
        <v>0</v>
      </c>
      <c r="CG66" s="171">
        <f ca="1">IF(OR($D66&lt;&gt;"Serviço",AND(AUTOEVENTO="Manual",$M66=$A$15)),0,
         IF(OFFSET(CRONOPLE!$F$15,$M66-$A$15,CG$13)=0,10^12,OFFSET(CRONOPLE!$F$15,$M66-$A$15,CG$13)))</f>
        <v>0</v>
      </c>
      <c r="CH66" s="171">
        <f ca="1">IF(OR($D66&lt;&gt;"Serviço",AND(AUTOEVENTO="Manual",$M66=$A$15)),0,
         IF(OFFSET(CRONOPLE!$F$15,$M66-$A$15,CH$13)=0,10^12,OFFSET(CRONOPLE!$F$15,$M66-$A$15,CH$13)))</f>
        <v>0</v>
      </c>
      <c r="CI66" s="171">
        <f ca="1">IF(OR($D66&lt;&gt;"Serviço",AND(AUTOEVENTO="Manual",$M66=$A$15)),0,
         IF(OFFSET(CRONOPLE!$F$15,$M66-$A$15,CI$13)=0,10^12,OFFSET(CRONOPLE!$F$15,$M66-$A$15,CI$13)))</f>
        <v>0</v>
      </c>
      <c r="CJ66" s="171">
        <f ca="1">IF(OR($D66&lt;&gt;"Serviço",AND(AUTOEVENTO="Manual",$M66=$A$15)),0,
         IF(OFFSET(CRONOPLE!$F$15,$M66-$A$15,CJ$13)=0,10^12,OFFSET(CRONOPLE!$F$15,$M66-$A$15,CJ$13)))</f>
        <v>0</v>
      </c>
      <c r="CK66" s="171">
        <f ca="1">IF(OR($D66&lt;&gt;"Serviço",AND(AUTOEVENTO="Manual",$M66=$A$15)),0,
         IF(OFFSET(CRONOPLE!$F$15,$M66-$A$15,CK$13)=0,10^12,OFFSET(CRONOPLE!$F$15,$M66-$A$15,CK$13)))</f>
        <v>0</v>
      </c>
      <c r="CL66" s="171">
        <f ca="1">IF(OR($D66&lt;&gt;"Serviço",AND(AUTOEVENTO="Manual",$M66=$A$15)),0,
         IF(OFFSET(CRONOPLE!$F$15,$M66-$A$15,CL$13)=0,10^12,OFFSET(CRONOPLE!$F$15,$M66-$A$15,CL$13)))</f>
        <v>0</v>
      </c>
      <c r="CM66" s="171">
        <f ca="1">IF(OR($D66&lt;&gt;"Serviço",AND(AUTOEVENTO="Manual",$M66=$A$15)),0,
         IF(OFFSET(CRONOPLE!$F$15,$M66-$A$15,CM$13)=0,10^12,OFFSET(CRONOPLE!$F$15,$M66-$A$15,CM$13)))</f>
        <v>0</v>
      </c>
      <c r="CN66" s="171">
        <f ca="1">IF(OR($D66&lt;&gt;"Serviço",AND(AUTOEVENTO="Manual",$M66=$A$15)),0,
         IF(OFFSET(CRONOPLE!$F$15,$M66-$A$15,CN$13)=0,10^12,OFFSET(CRONOPLE!$F$15,$M66-$A$15,CN$13)))</f>
        <v>0</v>
      </c>
      <c r="CO66" s="171">
        <f ca="1">IF(OR($D66&lt;&gt;"Serviço",AND(AUTOEVENTO="Manual",$M66=$A$15)),0,
         IF(OFFSET(CRONOPLE!$F$15,$M66-$A$15,CO$13)=0,10^12,OFFSET(CRONOPLE!$F$15,$M66-$A$15,CO$13)))</f>
        <v>0</v>
      </c>
      <c r="CP66" s="171">
        <f ca="1">IF(OR($D66&lt;&gt;"Serviço",AND(AUTOEVENTO="Manual",$M66=$A$15)),0,
         IF(OFFSET(CRONOPLE!$F$15,$M66-$A$15,CP$13)=0,10^12,OFFSET(CRONOPLE!$F$15,$M66-$A$15,CP$13)))</f>
        <v>0</v>
      </c>
      <c r="CQ66" s="171">
        <f ca="1">IF(OR($D66&lt;&gt;"Serviço",AND(AUTOEVENTO="Manual",$M66=$A$15)),0,
         IF(OFFSET(CRONOPLE!$F$15,$M66-$A$15,CQ$13)=0,10^12,OFFSET(CRONOPLE!$F$15,$M66-$A$15,CQ$13)))</f>
        <v>0</v>
      </c>
      <c r="CR66" s="171">
        <f ca="1">IF(OR($D66&lt;&gt;"Serviço",AND(AUTOEVENTO="Manual",$M66=$A$15)),0,
         IF(OFFSET(CRONOPLE!$F$15,$M66-$A$15,CR$13)=0,10^12,OFFSET(CRONOPLE!$F$15,$M66-$A$15,CR$13)))</f>
        <v>0</v>
      </c>
      <c r="CT66" s="172" cm="1">
        <f t="array" aca="1" ref="CT66" ca="1">IF(OR($D66&lt;&gt;"Serviço",AND(AUTOEVENTO="Manual",$M66=$A$15),$M66&gt;(ROW(PLE.lastrow)-ROW(PLE.firstrow))),0,
           IF(OFFSET(PLE!$G$15,$M66-$A$15,CT$13)="",10^12,OFFSET(PLE!$G$15,$M66-$A$15,CT$13)))</f>
        <v>0</v>
      </c>
      <c r="CU66" s="172" cm="1">
        <f t="array" aca="1" ref="CU66" ca="1">IF(OR($D66&lt;&gt;"Serviço",AND(AUTOEVENTO="Manual",$M66=$A$15),$M66&gt;(ROW(PLE.lastrow)-ROW(PLE.firstrow))),0,
           IF(OFFSET(PLE!$G$15,$M66-$A$15,CU$13)="",10^12,OFFSET(PLE!$G$15,$M66-$A$15,CU$13)))</f>
        <v>0</v>
      </c>
      <c r="CV66" s="172" cm="1">
        <f t="array" aca="1" ref="CV66" ca="1">IF(OR($D66&lt;&gt;"Serviço",AND(AUTOEVENTO="Manual",$M66=$A$15),$M66&gt;(ROW(PLE.lastrow)-ROW(PLE.firstrow))),0,
           IF(OFFSET(PLE!$G$15,$M66-$A$15,CV$13)="",10^12,OFFSET(PLE!$G$15,$M66-$A$15,CV$13)))</f>
        <v>0</v>
      </c>
      <c r="CW66" s="172" cm="1">
        <f t="array" aca="1" ref="CW66" ca="1">IF(OR($D66&lt;&gt;"Serviço",AND(AUTOEVENTO="Manual",$M66=$A$15),$M66&gt;(ROW(PLE.lastrow)-ROW(PLE.firstrow))),0,
           IF(OFFSET(PLE!$G$15,$M66-$A$15,CW$13)="",10^12,OFFSET(PLE!$G$15,$M66-$A$15,CW$13)))</f>
        <v>0</v>
      </c>
      <c r="CX66" s="172" cm="1">
        <f t="array" aca="1" ref="CX66" ca="1">IF(OR($D66&lt;&gt;"Serviço",AND(AUTOEVENTO="Manual",$M66=$A$15),$M66&gt;(ROW(PLE.lastrow)-ROW(PLE.firstrow))),0,
           IF(OFFSET(PLE!$G$15,$M66-$A$15,CX$13)="",10^12,OFFSET(PLE!$G$15,$M66-$A$15,CX$13)))</f>
        <v>0</v>
      </c>
      <c r="CY66" s="172" cm="1">
        <f t="array" aca="1" ref="CY66" ca="1">IF(OR($D66&lt;&gt;"Serviço",AND(AUTOEVENTO="Manual",$M66=$A$15),$M66&gt;(ROW(PLE.lastrow)-ROW(PLE.firstrow))),0,
           IF(OFFSET(PLE!$G$15,$M66-$A$15,CY$13)="",10^12,OFFSET(PLE!$G$15,$M66-$A$15,CY$13)))</f>
        <v>0</v>
      </c>
      <c r="CZ66" s="172" cm="1">
        <f t="array" aca="1" ref="CZ66" ca="1">IF(OR($D66&lt;&gt;"Serviço",AND(AUTOEVENTO="Manual",$M66=$A$15),$M66&gt;(ROW(PLE.lastrow)-ROW(PLE.firstrow))),0,
           IF(OFFSET(PLE!$G$15,$M66-$A$15,CZ$13)="",10^12,OFFSET(PLE!$G$15,$M66-$A$15,CZ$13)))</f>
        <v>0</v>
      </c>
      <c r="DA66" s="172" cm="1">
        <f t="array" aca="1" ref="DA66" ca="1">IF(OR($D66&lt;&gt;"Serviço",AND(AUTOEVENTO="Manual",$M66=$A$15),$M66&gt;(ROW(PLE.lastrow)-ROW(PLE.firstrow))),0,
           IF(OFFSET(PLE!$G$15,$M66-$A$15,DA$13)="",10^12,OFFSET(PLE!$G$15,$M66-$A$15,DA$13)))</f>
        <v>0</v>
      </c>
      <c r="DB66" s="172" cm="1">
        <f t="array" aca="1" ref="DB66" ca="1">IF(OR($D66&lt;&gt;"Serviço",AND(AUTOEVENTO="Manual",$M66=$A$15),$M66&gt;(ROW(PLE.lastrow)-ROW(PLE.firstrow))),0,
           IF(OFFSET(PLE!$G$15,$M66-$A$15,DB$13)="",10^12,OFFSET(PLE!$G$15,$M66-$A$15,DB$13)))</f>
        <v>0</v>
      </c>
      <c r="DC66" s="172" cm="1">
        <f t="array" aca="1" ref="DC66" ca="1">IF(OR($D66&lt;&gt;"Serviço",AND(AUTOEVENTO="Manual",$M66=$A$15),$M66&gt;(ROW(PLE.lastrow)-ROW(PLE.firstrow))),0,
           IF(OFFSET(PLE!$G$15,$M66-$A$15,DC$13)="",10^12,OFFSET(PLE!$G$15,$M66-$A$15,DC$13)))</f>
        <v>0</v>
      </c>
      <c r="DD66" s="172" cm="1">
        <f t="array" aca="1" ref="DD66" ca="1">IF(OR($D66&lt;&gt;"Serviço",AND(AUTOEVENTO="Manual",$M66=$A$15),$M66&gt;(ROW(PLE.lastrow)-ROW(PLE.firstrow))),0,
           IF(OFFSET(PLE!$G$15,$M66-$A$15,DD$13)="",10^12,OFFSET(PLE!$G$15,$M66-$A$15,DD$13)))</f>
        <v>0</v>
      </c>
      <c r="DE66" s="172" cm="1">
        <f t="array" aca="1" ref="DE66" ca="1">IF(OR($D66&lt;&gt;"Serviço",AND(AUTOEVENTO="Manual",$M66=$A$15),$M66&gt;(ROW(PLE.lastrow)-ROW(PLE.firstrow))),0,
           IF(OFFSET(PLE!$G$15,$M66-$A$15,DE$13)="",10^12,OFFSET(PLE!$G$15,$M66-$A$15,DE$13)))</f>
        <v>0</v>
      </c>
      <c r="DF66" s="172" cm="1">
        <f t="array" aca="1" ref="DF66" ca="1">IF(OR($D66&lt;&gt;"Serviço",AND(AUTOEVENTO="Manual",$M66=$A$15),$M66&gt;(ROW(PLE.lastrow)-ROW(PLE.firstrow))),0,
           IF(OFFSET(PLE!$G$15,$M66-$A$15,DF$13)="",10^12,OFFSET(PLE!$G$15,$M66-$A$15,DF$13)))</f>
        <v>0</v>
      </c>
      <c r="DG66" s="172" cm="1">
        <f t="array" aca="1" ref="DG66" ca="1">IF(OR($D66&lt;&gt;"Serviço",AND(AUTOEVENTO="Manual",$M66=$A$15),$M66&gt;(ROW(PLE.lastrow)-ROW(PLE.firstrow))),0,
           IF(OFFSET(PLE!$G$15,$M66-$A$15,DG$13)="",10^12,OFFSET(PLE!$G$15,$M66-$A$15,DG$13)))</f>
        <v>0</v>
      </c>
      <c r="DH66" s="172" cm="1">
        <f t="array" aca="1" ref="DH66" ca="1">IF(OR($D66&lt;&gt;"Serviço",AND(AUTOEVENTO="Manual",$M66=$A$15),$M66&gt;(ROW(PLE.lastrow)-ROW(PLE.firstrow))),0,
           IF(OFFSET(PLE!$G$15,$M66-$A$15,DH$13)="",10^12,OFFSET(PLE!$G$15,$M66-$A$15,DH$13)))</f>
        <v>0</v>
      </c>
      <c r="DI66" s="172" cm="1">
        <f t="array" aca="1" ref="DI66" ca="1">IF(OR($D66&lt;&gt;"Serviço",AND(AUTOEVENTO="Manual",$M66=$A$15),$M66&gt;(ROW(PLE.lastrow)-ROW(PLE.firstrow))),0,
           IF(OFFSET(PLE!$G$15,$M66-$A$15,DI$13)="",10^12,OFFSET(PLE!$G$15,$M66-$A$15,DI$13)))</f>
        <v>0</v>
      </c>
      <c r="DJ66" s="172" cm="1">
        <f t="array" aca="1" ref="DJ66" ca="1">IF(OR($D66&lt;&gt;"Serviço",AND(AUTOEVENTO="Manual",$M66=$A$15),$M66&gt;(ROW(PLE.lastrow)-ROW(PLE.firstrow))),0,
           IF(OFFSET(PLE!$G$15,$M66-$A$15,DJ$13)="",10^12,OFFSET(PLE!$G$15,$M66-$A$15,DJ$13)))</f>
        <v>0</v>
      </c>
      <c r="DK66" s="172" cm="1">
        <f t="array" aca="1" ref="DK66" ca="1">IF(OR($D66&lt;&gt;"Serviço",AND(AUTOEVENTO="Manual",$M66=$A$15),$M66&gt;(ROW(PLE.lastrow)-ROW(PLE.firstrow))),0,
           IF(OFFSET(PLE!$G$15,$M66-$A$15,DK$13)="",10^12,OFFSET(PLE!$G$15,$M66-$A$15,DK$13)))</f>
        <v>0</v>
      </c>
      <c r="DL66" s="172" cm="1">
        <f t="array" aca="1" ref="DL66" ca="1">IF(OR($D66&lt;&gt;"Serviço",AND(AUTOEVENTO="Manual",$M66=$A$15),$M66&gt;(ROW(PLE.lastrow)-ROW(PLE.firstrow))),0,
           IF(OFFSET(PLE!$G$15,$M66-$A$15,DL$13)="",10^12,OFFSET(PLE!$G$15,$M66-$A$15,DL$13)))</f>
        <v>0</v>
      </c>
      <c r="DM66" s="172" cm="1">
        <f t="array" aca="1" ref="DM66" ca="1">IF(OR($D66&lt;&gt;"Serviço",AND(AUTOEVENTO="Manual",$M66=$A$15),$M66&gt;(ROW(PLE.lastrow)-ROW(PLE.firstrow))),0,
           IF(OFFSET(PLE!$G$15,$M66-$A$15,DM$13)="",10^12,OFFSET(PLE!$G$15,$M66-$A$15,DM$13)))</f>
        <v>0</v>
      </c>
      <c r="DN66" s="172" cm="1">
        <f t="array" aca="1" ref="DN66" ca="1">IF(OR($D66&lt;&gt;"Serviço",AND(AUTOEVENTO="Manual",$M66=$A$15),$M66&gt;(ROW(PLE.lastrow)-ROW(PLE.firstrow))),0,
           IF(OFFSET(PLE!$G$15,$M66-$A$15,DN$13)="",10^12,OFFSET(PLE!$G$15,$M66-$A$15,DN$13)))</f>
        <v>0</v>
      </c>
      <c r="DO66" s="172" cm="1">
        <f t="array" aca="1" ref="DO66" ca="1">IF(OR($D66&lt;&gt;"Serviço",AND(AUTOEVENTO="Manual",$M66=$A$15),$M66&gt;(ROW(PLE.lastrow)-ROW(PLE.firstrow))),0,
           IF(OFFSET(PLE!$G$15,$M66-$A$15,DO$13)="",10^12,OFFSET(PLE!$G$15,$M66-$A$15,DO$13)))</f>
        <v>0</v>
      </c>
      <c r="DP66" s="172" cm="1">
        <f t="array" aca="1" ref="DP66" ca="1">IF(OR($D66&lt;&gt;"Serviço",AND(AUTOEVENTO="Manual",$M66=$A$15),$M66&gt;(ROW(PLE.lastrow)-ROW(PLE.firstrow))),0,
           IF(OFFSET(PLE!$G$15,$M66-$A$15,DP$13)="",10^12,OFFSET(PLE!$G$15,$M66-$A$15,DP$13)))</f>
        <v>0</v>
      </c>
      <c r="DQ66" s="172" cm="1">
        <f t="array" aca="1" ref="DQ66" ca="1">IF(OR($D66&lt;&gt;"Serviço",AND(AUTOEVENTO="Manual",$M66=$A$15),$M66&gt;(ROW(PLE.lastrow)-ROW(PLE.firstrow))),0,
           IF(OFFSET(PLE!$G$15,$M66-$A$15,DQ$13)="",10^12,OFFSET(PLE!$G$15,$M66-$A$15,DQ$13)))</f>
        <v>0</v>
      </c>
      <c r="DR66" s="172" cm="1">
        <f t="array" aca="1" ref="DR66" ca="1">IF(OR($D66&lt;&gt;"Serviço",AND(AUTOEVENTO="Manual",$M66=$A$15),$M66&gt;(ROW(PLE.lastrow)-ROW(PLE.firstrow))),0,
           IF(OFFSET(PLE!$G$15,$M66-$A$15,DR$13)="",10^12,OFFSET(PLE!$G$15,$M66-$A$15,DR$13)))</f>
        <v>0</v>
      </c>
      <c r="DS66" s="172" cm="1">
        <f t="array" aca="1" ref="DS66" ca="1">IF(OR($D66&lt;&gt;"Serviço",AND(AUTOEVENTO="Manual",$M66=$A$15),$M66&gt;(ROW(PLE.lastrow)-ROW(PLE.firstrow))),0,
           IF(OFFSET(PLE!$G$15,$M66-$A$15,DS$13)="",10^12,OFFSET(PLE!$G$15,$M66-$A$15,DS$13)))</f>
        <v>0</v>
      </c>
    </row>
    <row r="67" spans="1:123" ht="38.25" x14ac:dyDescent="0.2">
      <c r="A67" s="7">
        <f t="shared" ca="1" si="11"/>
        <v>5</v>
      </c>
      <c r="B67" s="7" t="str">
        <f ca="1">OFFSET(ORÇAMENTO!C$15,$L67,0)</f>
        <v>S</v>
      </c>
      <c r="C67" s="7" t="str">
        <f ca="1">OFFSET(ORÇAMENTO!L$15,$L67,0)</f>
        <v/>
      </c>
      <c r="D67" s="116" t="str">
        <f ca="1">OFFSET(ORÇAMENTO!N$15,$L67,0)</f>
        <v>Serviço</v>
      </c>
      <c r="E67" s="117" t="str">
        <f ca="1">OFFSET(ORÇAMENTO!O$15,$L67,0)</f>
        <v>-</v>
      </c>
      <c r="F67" s="163" t="str">
        <f ca="1">OFFSET(ORÇAMENTO!R$15,$L67,0)</f>
        <v>(Código não identificado nas referências)</v>
      </c>
      <c r="G67" s="164" t="str">
        <f ca="1">IF($D67&lt;&gt;"Serviço","",OFFSET(ORÇAMENTO!S$15,$L67,0))</f>
        <v>-</v>
      </c>
      <c r="H67" s="122" cm="1">
        <f t="array" aca="1" ref="H67" ca="1">IF($D67&lt;&gt;"Serviço",0,IF(ACOMPANHAMENTO="BM",ROUND(OFFSET(ORÇAMENTO!AJ$15,$L67,0),15-13*ORÇAMENTO!$AF$7),IF(IFERROR(CÁLCULO.FrentesPreenchidas,0)=0,0,SUM(ROUND(OFFSET($P67,0,1,1,CÁLCULO.FrentesPreenchidas),15-13*ORÇAMENTO!$AF$7)))))</f>
        <v>67.2</v>
      </c>
      <c r="I67" s="468" t="s">
        <v>1235</v>
      </c>
      <c r="J67" s="651" t="str" cm="1">
        <f t="array" aca="1" ref="J67" ca="1">IF(OR(B67&lt;&gt;"S",CÁLCULO.FrentesPreenchidas=0),"",IF(AND(ACOMPANHAMENTO="PLE",AUTOEVENTO="Manual",OR(H67&gt;0,ORÇAMENTO!AC67="QUANT."),OR(K67="",M67=0,N67="")),"►E",IF(AND(ACOMPANHAMENTO="PLE",ORÇAMENTO!AC67="QUANT."),"►Q",IF(AND(ACOMPANHAMENTO="PLE",H67&lt;&gt;SUMPRODUCT(($Q$1:$AQ$1=1)*ROUND(Q67:AQ67,15))),"►S",IF(AND(COUNTIF($P$11:$AQ$11,"▼")=0,H67&gt;0,I67=""),"◄M","")))))</f>
        <v/>
      </c>
      <c r="K67" s="652" t="s">
        <v>1253</v>
      </c>
      <c r="L67" s="165">
        <f t="shared" ca="1" si="12"/>
        <v>52</v>
      </c>
      <c r="M67" s="166">
        <f ca="1">IF($D67&lt;&gt;"Serviço","",
          IF(AUTOEVENTO="manual",$A67,
                IF(ISERROR(MATCH($A67,$A$15:OFFSET($A67,-1,0),0)),MAX($M$15:OFFSET(M67,-1,0))+1,
                      INDEX($M$15:OFFSET(M67,-1,0),MATCH($A67,$A$15:OFFSET($A67,-1,0),0)))))</f>
        <v>5</v>
      </c>
      <c r="N67" s="167" t="str">
        <f ca="1">IF($D67&lt;&gt;"Serviço","",
         IF(AUTOEVENTO="Manual",
                IF($A67=0,"&lt;-- defina o número do agrupador",
                       OFFSET(EVENTOS!$D$15,$A67-$A$15,0)),
                OFFSET($F$15,$A67,0)))</f>
        <v>PAREDES E PAINÉIS</v>
      </c>
      <c r="O67" s="168"/>
      <c r="Q67" s="168">
        <v>3.3600000000000003</v>
      </c>
      <c r="R67" s="169">
        <v>3.3600000000000003</v>
      </c>
      <c r="S67" s="169">
        <v>3.3600000000000003</v>
      </c>
      <c r="T67" s="169">
        <v>3.3600000000000003</v>
      </c>
      <c r="U67" s="169">
        <v>3.3600000000000003</v>
      </c>
      <c r="V67" s="169">
        <v>3.3600000000000003</v>
      </c>
      <c r="W67" s="169">
        <v>3.3600000000000003</v>
      </c>
      <c r="X67" s="169">
        <v>3.3600000000000003</v>
      </c>
      <c r="Y67" s="169">
        <v>3.3600000000000003</v>
      </c>
      <c r="Z67" s="170">
        <v>3.3600000000000003</v>
      </c>
      <c r="AA67" s="169">
        <v>3.3600000000000003</v>
      </c>
      <c r="AB67" s="169">
        <v>3.3600000000000003</v>
      </c>
      <c r="AC67" s="169">
        <v>3.3600000000000003</v>
      </c>
      <c r="AD67" s="169">
        <v>3.3600000000000003</v>
      </c>
      <c r="AE67" s="169">
        <v>3.3600000000000003</v>
      </c>
      <c r="AF67" s="169">
        <v>3.3600000000000003</v>
      </c>
      <c r="AG67" s="169">
        <v>3.3600000000000003</v>
      </c>
      <c r="AH67" s="170">
        <v>3.3600000000000003</v>
      </c>
      <c r="AI67" s="169">
        <v>3.3600000000000003</v>
      </c>
      <c r="AJ67" s="169">
        <v>3.3600000000000003</v>
      </c>
      <c r="AK67" s="169"/>
      <c r="AL67" s="169"/>
      <c r="AM67" s="169"/>
      <c r="AN67" s="169"/>
      <c r="AO67" s="169"/>
      <c r="AP67" s="170"/>
      <c r="AR67" s="453">
        <f ca="1">IF(AND($D67="Serviço",AR$12&lt;&gt;0,$H67&gt;0,OR(AUTOEVENTO&lt;&gt;"manual",$M67&lt;&gt;$A$15)),
        IF(Import.TipoArredondamento&lt;&gt;"TransfereGOV",
              ROUND(OFFSET($P67,0,AR$13),15-13*ORÇAMENTO!$AF$7)/$H67*OFFSET(ORÇAMENTO!$X$15,ROW(AR67)-ROW(AR$15),0),
              ROUND(ROUND(OFFSET($P67,0,AR$13),15-13*ORÇAMENTO!$AF$7)*OFFSET(ORÇAMENTO!$W$15,ROW(AR67)-ROW(AR$15),0),15-13*ORÇAMENTO!$AF$11)),
         0)</f>
        <v>0</v>
      </c>
      <c r="AS67" s="453">
        <f ca="1">IF(AND($D67="Serviço",AS$12&lt;&gt;0,$H67&gt;0,OR(AUTOEVENTO&lt;&gt;"manual",$M67&lt;&gt;$A$15)),
        IF(Import.TipoArredondamento&lt;&gt;"TransfereGOV",
              ROUND(OFFSET($P67,0,AS$13),15-13*ORÇAMENTO!$AF$7)/$H67*OFFSET(ORÇAMENTO!$X$15,ROW(AS67)-ROW(AS$15),0),
              ROUND(ROUND(OFFSET($P67,0,AS$13),15-13*ORÇAMENTO!$AF$7)*OFFSET(ORÇAMENTO!$W$15,ROW(AS67)-ROW(AS$15),0),15-13*ORÇAMENTO!$AF$11)),
         0)</f>
        <v>0</v>
      </c>
      <c r="AT67" s="453">
        <f ca="1">IF(AND($D67="Serviço",AT$12&lt;&gt;0,$H67&gt;0,OR(AUTOEVENTO&lt;&gt;"manual",$M67&lt;&gt;$A$15)),
        IF(Import.TipoArredondamento&lt;&gt;"TransfereGOV",
              ROUND(OFFSET($P67,0,AT$13),15-13*ORÇAMENTO!$AF$7)/$H67*OFFSET(ORÇAMENTO!$X$15,ROW(AT67)-ROW(AT$15),0),
              ROUND(ROUND(OFFSET($P67,0,AT$13),15-13*ORÇAMENTO!$AF$7)*OFFSET(ORÇAMENTO!$W$15,ROW(AT67)-ROW(AT$15),0),15-13*ORÇAMENTO!$AF$11)),
         0)</f>
        <v>0</v>
      </c>
      <c r="AU67" s="453">
        <f ca="1">IF(AND($D67="Serviço",AU$12&lt;&gt;0,$H67&gt;0,OR(AUTOEVENTO&lt;&gt;"manual",$M67&lt;&gt;$A$15)),
        IF(Import.TipoArredondamento&lt;&gt;"TransfereGOV",
              ROUND(OFFSET($P67,0,AU$13),15-13*ORÇAMENTO!$AF$7)/$H67*OFFSET(ORÇAMENTO!$X$15,ROW(AU67)-ROW(AU$15),0),
              ROUND(ROUND(OFFSET($P67,0,AU$13),15-13*ORÇAMENTO!$AF$7)*OFFSET(ORÇAMENTO!$W$15,ROW(AU67)-ROW(AU$15),0),15-13*ORÇAMENTO!$AF$11)),
         0)</f>
        <v>0</v>
      </c>
      <c r="AV67" s="453">
        <f ca="1">IF(AND($D67="Serviço",AV$12&lt;&gt;0,$H67&gt;0,OR(AUTOEVENTO&lt;&gt;"manual",$M67&lt;&gt;$A$15)),
        IF(Import.TipoArredondamento&lt;&gt;"TransfereGOV",
              ROUND(OFFSET($P67,0,AV$13),15-13*ORÇAMENTO!$AF$7)/$H67*OFFSET(ORÇAMENTO!$X$15,ROW(AV67)-ROW(AV$15),0),
              ROUND(ROUND(OFFSET($P67,0,AV$13),15-13*ORÇAMENTO!$AF$7)*OFFSET(ORÇAMENTO!$W$15,ROW(AV67)-ROW(AV$15),0),15-13*ORÇAMENTO!$AF$11)),
         0)</f>
        <v>0</v>
      </c>
      <c r="AW67" s="453">
        <f ca="1">IF(AND($D67="Serviço",AW$12&lt;&gt;0,$H67&gt;0,OR(AUTOEVENTO&lt;&gt;"manual",$M67&lt;&gt;$A$15)),
        IF(Import.TipoArredondamento&lt;&gt;"TransfereGOV",
              ROUND(OFFSET($P67,0,AW$13),15-13*ORÇAMENTO!$AF$7)/$H67*OFFSET(ORÇAMENTO!$X$15,ROW(AW67)-ROW(AW$15),0),
              ROUND(ROUND(OFFSET($P67,0,AW$13),15-13*ORÇAMENTO!$AF$7)*OFFSET(ORÇAMENTO!$W$15,ROW(AW67)-ROW(AW$15),0),15-13*ORÇAMENTO!$AF$11)),
         0)</f>
        <v>0</v>
      </c>
      <c r="AX67" s="453">
        <f ca="1">IF(AND($D67="Serviço",AX$12&lt;&gt;0,$H67&gt;0,OR(AUTOEVENTO&lt;&gt;"manual",$M67&lt;&gt;$A$15)),
        IF(Import.TipoArredondamento&lt;&gt;"TransfereGOV",
              ROUND(OFFSET($P67,0,AX$13),15-13*ORÇAMENTO!$AF$7)/$H67*OFFSET(ORÇAMENTO!$X$15,ROW(AX67)-ROW(AX$15),0),
              ROUND(ROUND(OFFSET($P67,0,AX$13),15-13*ORÇAMENTO!$AF$7)*OFFSET(ORÇAMENTO!$W$15,ROW(AX67)-ROW(AX$15),0),15-13*ORÇAMENTO!$AF$11)),
         0)</f>
        <v>0</v>
      </c>
      <c r="AY67" s="453">
        <f ca="1">IF(AND($D67="Serviço",AY$12&lt;&gt;0,$H67&gt;0,OR(AUTOEVENTO&lt;&gt;"manual",$M67&lt;&gt;$A$15)),
        IF(Import.TipoArredondamento&lt;&gt;"TransfereGOV",
              ROUND(OFFSET($P67,0,AY$13),15-13*ORÇAMENTO!$AF$7)/$H67*OFFSET(ORÇAMENTO!$X$15,ROW(AY67)-ROW(AY$15),0),
              ROUND(ROUND(OFFSET($P67,0,AY$13),15-13*ORÇAMENTO!$AF$7)*OFFSET(ORÇAMENTO!$W$15,ROW(AY67)-ROW(AY$15),0),15-13*ORÇAMENTO!$AF$11)),
         0)</f>
        <v>0</v>
      </c>
      <c r="AZ67" s="453">
        <f ca="1">IF(AND($D67="Serviço",AZ$12&lt;&gt;0,$H67&gt;0,OR(AUTOEVENTO&lt;&gt;"manual",$M67&lt;&gt;$A$15)),
        IF(Import.TipoArredondamento&lt;&gt;"TransfereGOV",
              ROUND(OFFSET($P67,0,AZ$13),15-13*ORÇAMENTO!$AF$7)/$H67*OFFSET(ORÇAMENTO!$X$15,ROW(AZ67)-ROW(AZ$15),0),
              ROUND(ROUND(OFFSET($P67,0,AZ$13),15-13*ORÇAMENTO!$AF$7)*OFFSET(ORÇAMENTO!$W$15,ROW(AZ67)-ROW(AZ$15),0),15-13*ORÇAMENTO!$AF$11)),
         0)</f>
        <v>0</v>
      </c>
      <c r="BA67" s="453">
        <f ca="1">IF(AND($D67="Serviço",BA$12&lt;&gt;0,$H67&gt;0,OR(AUTOEVENTO&lt;&gt;"manual",$M67&lt;&gt;$A$15)),
        IF(Import.TipoArredondamento&lt;&gt;"TransfereGOV",
              ROUND(OFFSET($P67,0,BA$13),15-13*ORÇAMENTO!$AF$7)/$H67*OFFSET(ORÇAMENTO!$X$15,ROW(BA67)-ROW(BA$15),0),
              ROUND(ROUND(OFFSET($P67,0,BA$13),15-13*ORÇAMENTO!$AF$7)*OFFSET(ORÇAMENTO!$W$15,ROW(BA67)-ROW(BA$15),0),15-13*ORÇAMENTO!$AF$11)),
         0)</f>
        <v>0</v>
      </c>
      <c r="BB67" s="453">
        <f ca="1">IF(AND($D67="Serviço",BB$12&lt;&gt;0,$H67&gt;0,OR(AUTOEVENTO&lt;&gt;"manual",$M67&lt;&gt;$A$15)),
        IF(Import.TipoArredondamento&lt;&gt;"TransfereGOV",
              ROUND(OFFSET($P67,0,BB$13),15-13*ORÇAMENTO!$AF$7)/$H67*OFFSET(ORÇAMENTO!$X$15,ROW(BB67)-ROW(BB$15),0),
              ROUND(ROUND(OFFSET($P67,0,BB$13),15-13*ORÇAMENTO!$AF$7)*OFFSET(ORÇAMENTO!$W$15,ROW(BB67)-ROW(BB$15),0),15-13*ORÇAMENTO!$AF$11)),
         0)</f>
        <v>0</v>
      </c>
      <c r="BC67" s="453">
        <f ca="1">IF(AND($D67="Serviço",BC$12&lt;&gt;0,$H67&gt;0,OR(AUTOEVENTO&lt;&gt;"manual",$M67&lt;&gt;$A$15)),
        IF(Import.TipoArredondamento&lt;&gt;"TransfereGOV",
              ROUND(OFFSET($P67,0,BC$13),15-13*ORÇAMENTO!$AF$7)/$H67*OFFSET(ORÇAMENTO!$X$15,ROW(BC67)-ROW(BC$15),0),
              ROUND(ROUND(OFFSET($P67,0,BC$13),15-13*ORÇAMENTO!$AF$7)*OFFSET(ORÇAMENTO!$W$15,ROW(BC67)-ROW(BC$15),0),15-13*ORÇAMENTO!$AF$11)),
         0)</f>
        <v>0</v>
      </c>
      <c r="BD67" s="453">
        <f ca="1">IF(AND($D67="Serviço",BD$12&lt;&gt;0,$H67&gt;0,OR(AUTOEVENTO&lt;&gt;"manual",$M67&lt;&gt;$A$15)),
        IF(Import.TipoArredondamento&lt;&gt;"TransfereGOV",
              ROUND(OFFSET($P67,0,BD$13),15-13*ORÇAMENTO!$AF$7)/$H67*OFFSET(ORÇAMENTO!$X$15,ROW(BD67)-ROW(BD$15),0),
              ROUND(ROUND(OFFSET($P67,0,BD$13),15-13*ORÇAMENTO!$AF$7)*OFFSET(ORÇAMENTO!$W$15,ROW(BD67)-ROW(BD$15),0),15-13*ORÇAMENTO!$AF$11)),
         0)</f>
        <v>0</v>
      </c>
      <c r="BE67" s="453">
        <f ca="1">IF(AND($D67="Serviço",BE$12&lt;&gt;0,$H67&gt;0,OR(AUTOEVENTO&lt;&gt;"manual",$M67&lt;&gt;$A$15)),
        IF(Import.TipoArredondamento&lt;&gt;"TransfereGOV",
              ROUND(OFFSET($P67,0,BE$13),15-13*ORÇAMENTO!$AF$7)/$H67*OFFSET(ORÇAMENTO!$X$15,ROW(BE67)-ROW(BE$15),0),
              ROUND(ROUND(OFFSET($P67,0,BE$13),15-13*ORÇAMENTO!$AF$7)*OFFSET(ORÇAMENTO!$W$15,ROW(BE67)-ROW(BE$15),0),15-13*ORÇAMENTO!$AF$11)),
         0)</f>
        <v>0</v>
      </c>
      <c r="BF67" s="453">
        <f ca="1">IF(AND($D67="Serviço",BF$12&lt;&gt;0,$H67&gt;0,OR(AUTOEVENTO&lt;&gt;"manual",$M67&lt;&gt;$A$15)),
        IF(Import.TipoArredondamento&lt;&gt;"TransfereGOV",
              ROUND(OFFSET($P67,0,BF$13),15-13*ORÇAMENTO!$AF$7)/$H67*OFFSET(ORÇAMENTO!$X$15,ROW(BF67)-ROW(BF$15),0),
              ROUND(ROUND(OFFSET($P67,0,BF$13),15-13*ORÇAMENTO!$AF$7)*OFFSET(ORÇAMENTO!$W$15,ROW(BF67)-ROW(BF$15),0),15-13*ORÇAMENTO!$AF$11)),
         0)</f>
        <v>0</v>
      </c>
      <c r="BG67" s="453">
        <f ca="1">IF(AND($D67="Serviço",BG$12&lt;&gt;0,$H67&gt;0,OR(AUTOEVENTO&lt;&gt;"manual",$M67&lt;&gt;$A$15)),
        IF(Import.TipoArredondamento&lt;&gt;"TransfereGOV",
              ROUND(OFFSET($P67,0,BG$13),15-13*ORÇAMENTO!$AF$7)/$H67*OFFSET(ORÇAMENTO!$X$15,ROW(BG67)-ROW(BG$15),0),
              ROUND(ROUND(OFFSET($P67,0,BG$13),15-13*ORÇAMENTO!$AF$7)*OFFSET(ORÇAMENTO!$W$15,ROW(BG67)-ROW(BG$15),0),15-13*ORÇAMENTO!$AF$11)),
         0)</f>
        <v>0</v>
      </c>
      <c r="BH67" s="453">
        <f ca="1">IF(AND($D67="Serviço",BH$12&lt;&gt;0,$H67&gt;0,OR(AUTOEVENTO&lt;&gt;"manual",$M67&lt;&gt;$A$15)),
        IF(Import.TipoArredondamento&lt;&gt;"TransfereGOV",
              ROUND(OFFSET($P67,0,BH$13),15-13*ORÇAMENTO!$AF$7)/$H67*OFFSET(ORÇAMENTO!$X$15,ROW(BH67)-ROW(BH$15),0),
              ROUND(ROUND(OFFSET($P67,0,BH$13),15-13*ORÇAMENTO!$AF$7)*OFFSET(ORÇAMENTO!$W$15,ROW(BH67)-ROW(BH$15),0),15-13*ORÇAMENTO!$AF$11)),
         0)</f>
        <v>0</v>
      </c>
      <c r="BI67" s="453">
        <f ca="1">IF(AND($D67="Serviço",BI$12&lt;&gt;0,$H67&gt;0,OR(AUTOEVENTO&lt;&gt;"manual",$M67&lt;&gt;$A$15)),
        IF(Import.TipoArredondamento&lt;&gt;"TransfereGOV",
              ROUND(OFFSET($P67,0,BI$13),15-13*ORÇAMENTO!$AF$7)/$H67*OFFSET(ORÇAMENTO!$X$15,ROW(BI67)-ROW(BI$15),0),
              ROUND(ROUND(OFFSET($P67,0,BI$13),15-13*ORÇAMENTO!$AF$7)*OFFSET(ORÇAMENTO!$W$15,ROW(BI67)-ROW(BI$15),0),15-13*ORÇAMENTO!$AF$11)),
         0)</f>
        <v>0</v>
      </c>
      <c r="BJ67" s="453">
        <f ca="1">IF(AND($D67="Serviço",BJ$12&lt;&gt;0,$H67&gt;0,OR(AUTOEVENTO&lt;&gt;"manual",$M67&lt;&gt;$A$15)),
        IF(Import.TipoArredondamento&lt;&gt;"TransfereGOV",
              ROUND(OFFSET($P67,0,BJ$13),15-13*ORÇAMENTO!$AF$7)/$H67*OFFSET(ORÇAMENTO!$X$15,ROW(BJ67)-ROW(BJ$15),0),
              ROUND(ROUND(OFFSET($P67,0,BJ$13),15-13*ORÇAMENTO!$AF$7)*OFFSET(ORÇAMENTO!$W$15,ROW(BJ67)-ROW(BJ$15),0),15-13*ORÇAMENTO!$AF$11)),
         0)</f>
        <v>0</v>
      </c>
      <c r="BK67" s="453">
        <f ca="1">IF(AND($D67="Serviço",BK$12&lt;&gt;0,$H67&gt;0,OR(AUTOEVENTO&lt;&gt;"manual",$M67&lt;&gt;$A$15)),
        IF(Import.TipoArredondamento&lt;&gt;"TransfereGOV",
              ROUND(OFFSET($P67,0,BK$13),15-13*ORÇAMENTO!$AF$7)/$H67*OFFSET(ORÇAMENTO!$X$15,ROW(BK67)-ROW(BK$15),0),
              ROUND(ROUND(OFFSET($P67,0,BK$13),15-13*ORÇAMENTO!$AF$7)*OFFSET(ORÇAMENTO!$W$15,ROW(BK67)-ROW(BK$15),0),15-13*ORÇAMENTO!$AF$11)),
         0)</f>
        <v>0</v>
      </c>
      <c r="BL67" s="453">
        <f ca="1">IF(AND($D67="Serviço",BL$12&lt;&gt;0,$H67&gt;0,OR(AUTOEVENTO&lt;&gt;"manual",$M67&lt;&gt;$A$15)),
        IF(Import.TipoArredondamento&lt;&gt;"TransfereGOV",
              ROUND(OFFSET($P67,0,BL$13),15-13*ORÇAMENTO!$AF$7)/$H67*OFFSET(ORÇAMENTO!$X$15,ROW(BL67)-ROW(BL$15),0),
              ROUND(ROUND(OFFSET($P67,0,BL$13),15-13*ORÇAMENTO!$AF$7)*OFFSET(ORÇAMENTO!$W$15,ROW(BL67)-ROW(BL$15),0),15-13*ORÇAMENTO!$AF$11)),
         0)</f>
        <v>0</v>
      </c>
      <c r="BM67" s="453">
        <f ca="1">IF(AND($D67="Serviço",BM$12&lt;&gt;0,$H67&gt;0,OR(AUTOEVENTO&lt;&gt;"manual",$M67&lt;&gt;$A$15)),
        IF(Import.TipoArredondamento&lt;&gt;"TransfereGOV",
              ROUND(OFFSET($P67,0,BM$13),15-13*ORÇAMENTO!$AF$7)/$H67*OFFSET(ORÇAMENTO!$X$15,ROW(BM67)-ROW(BM$15),0),
              ROUND(ROUND(OFFSET($P67,0,BM$13),15-13*ORÇAMENTO!$AF$7)*OFFSET(ORÇAMENTO!$W$15,ROW(BM67)-ROW(BM$15),0),15-13*ORÇAMENTO!$AF$11)),
         0)</f>
        <v>0</v>
      </c>
      <c r="BN67" s="453">
        <f ca="1">IF(AND($D67="Serviço",BN$12&lt;&gt;0,$H67&gt;0,OR(AUTOEVENTO&lt;&gt;"manual",$M67&lt;&gt;$A$15)),
        IF(Import.TipoArredondamento&lt;&gt;"TransfereGOV",
              ROUND(OFFSET($P67,0,BN$13),15-13*ORÇAMENTO!$AF$7)/$H67*OFFSET(ORÇAMENTO!$X$15,ROW(BN67)-ROW(BN$15),0),
              ROUND(ROUND(OFFSET($P67,0,BN$13),15-13*ORÇAMENTO!$AF$7)*OFFSET(ORÇAMENTO!$W$15,ROW(BN67)-ROW(BN$15),0),15-13*ORÇAMENTO!$AF$11)),
         0)</f>
        <v>0</v>
      </c>
      <c r="BO67" s="453">
        <f ca="1">IF(AND($D67="Serviço",BO$12&lt;&gt;0,$H67&gt;0,OR(AUTOEVENTO&lt;&gt;"manual",$M67&lt;&gt;$A$15)),
        IF(Import.TipoArredondamento&lt;&gt;"TransfereGOV",
              ROUND(OFFSET($P67,0,BO$13),15-13*ORÇAMENTO!$AF$7)/$H67*OFFSET(ORÇAMENTO!$X$15,ROW(BO67)-ROW(BO$15),0),
              ROUND(ROUND(OFFSET($P67,0,BO$13),15-13*ORÇAMENTO!$AF$7)*OFFSET(ORÇAMENTO!$W$15,ROW(BO67)-ROW(BO$15),0),15-13*ORÇAMENTO!$AF$11)),
         0)</f>
        <v>0</v>
      </c>
      <c r="BP67" s="453">
        <f ca="1">IF(AND($D67="Serviço",BP$12&lt;&gt;0,$H67&gt;0,OR(AUTOEVENTO&lt;&gt;"manual",$M67&lt;&gt;$A$15)),
        IF(Import.TipoArredondamento&lt;&gt;"TransfereGOV",
              ROUND(OFFSET($P67,0,BP$13),15-13*ORÇAMENTO!$AF$7)/$H67*OFFSET(ORÇAMENTO!$X$15,ROW(BP67)-ROW(BP$15),0),
              ROUND(ROUND(OFFSET($P67,0,BP$13),15-13*ORÇAMENTO!$AF$7)*OFFSET(ORÇAMENTO!$W$15,ROW(BP67)-ROW(BP$15),0),15-13*ORÇAMENTO!$AF$11)),
         0)</f>
        <v>0</v>
      </c>
      <c r="BQ67" s="453">
        <f ca="1">IF(AND($D67="Serviço",BQ$12&lt;&gt;0,$H67&gt;0,OR(AUTOEVENTO&lt;&gt;"manual",$M67&lt;&gt;$A$15)),
        IF(Import.TipoArredondamento&lt;&gt;"TransfereGOV",
              ROUND(OFFSET($P67,0,BQ$13),15-13*ORÇAMENTO!$AF$7)/$H67*OFFSET(ORÇAMENTO!$X$15,ROW(BQ67)-ROW(BQ$15),0),
              ROUND(ROUND(OFFSET($P67,0,BQ$13),15-13*ORÇAMENTO!$AF$7)*OFFSET(ORÇAMENTO!$W$15,ROW(BQ67)-ROW(BQ$15),0),15-13*ORÇAMENTO!$AF$11)),
         0)</f>
        <v>0</v>
      </c>
      <c r="BS67" s="171">
        <f ca="1">IF(OR($D67&lt;&gt;"Serviço",AND(AUTOEVENTO="Manual",$M67=$A$15)),0,
         IF(OFFSET(CRONOPLE!$F$15,$M67-$A$15,BS$13)=0,10^12,OFFSET(CRONOPLE!$F$15,$M67-$A$15,BS$13)))</f>
        <v>1</v>
      </c>
      <c r="BT67" s="171">
        <f ca="1">IF(OR($D67&lt;&gt;"Serviço",AND(AUTOEVENTO="Manual",$M67=$A$15)),0,
         IF(OFFSET(CRONOPLE!$F$15,$M67-$A$15,BT$13)=0,10^12,OFFSET(CRONOPLE!$F$15,$M67-$A$15,BT$13)))</f>
        <v>2</v>
      </c>
      <c r="BU67" s="171">
        <f ca="1">IF(OR($D67&lt;&gt;"Serviço",AND(AUTOEVENTO="Manual",$M67=$A$15)),0,
         IF(OFFSET(CRONOPLE!$F$15,$M67-$A$15,BU$13)=0,10^12,OFFSET(CRONOPLE!$F$15,$M67-$A$15,BU$13)))</f>
        <v>3</v>
      </c>
      <c r="BV67" s="171">
        <f ca="1">IF(OR($D67&lt;&gt;"Serviço",AND(AUTOEVENTO="Manual",$M67=$A$15)),0,
         IF(OFFSET(CRONOPLE!$F$15,$M67-$A$15,BV$13)=0,10^12,OFFSET(CRONOPLE!$F$15,$M67-$A$15,BV$13)))</f>
        <v>4</v>
      </c>
      <c r="BW67" s="171">
        <f ca="1">IF(OR($D67&lt;&gt;"Serviço",AND(AUTOEVENTO="Manual",$M67=$A$15)),0,
         IF(OFFSET(CRONOPLE!$F$15,$M67-$A$15,BW$13)=0,10^12,OFFSET(CRONOPLE!$F$15,$M67-$A$15,BW$13)))</f>
        <v>5</v>
      </c>
      <c r="BX67" s="171">
        <f ca="1">IF(OR($D67&lt;&gt;"Serviço",AND(AUTOEVENTO="Manual",$M67=$A$15)),0,
         IF(OFFSET(CRONOPLE!$F$15,$M67-$A$15,BX$13)=0,10^12,OFFSET(CRONOPLE!$F$15,$M67-$A$15,BX$13)))</f>
        <v>6</v>
      </c>
      <c r="BY67" s="171">
        <f ca="1">IF(OR($D67&lt;&gt;"Serviço",AND(AUTOEVENTO="Manual",$M67=$A$15)),0,
         IF(OFFSET(CRONOPLE!$F$15,$M67-$A$15,BY$13)=0,10^12,OFFSET(CRONOPLE!$F$15,$M67-$A$15,BY$13)))</f>
        <v>7</v>
      </c>
      <c r="BZ67" s="171">
        <f ca="1">IF(OR($D67&lt;&gt;"Serviço",AND(AUTOEVENTO="Manual",$M67=$A$15)),0,
         IF(OFFSET(CRONOPLE!$F$15,$M67-$A$15,BZ$13)=0,10^12,OFFSET(CRONOPLE!$F$15,$M67-$A$15,BZ$13)))</f>
        <v>8</v>
      </c>
      <c r="CA67" s="171">
        <f ca="1">IF(OR($D67&lt;&gt;"Serviço",AND(AUTOEVENTO="Manual",$M67=$A$15)),0,
         IF(OFFSET(CRONOPLE!$F$15,$M67-$A$15,CA$13)=0,10^12,OFFSET(CRONOPLE!$F$15,$M67-$A$15,CA$13)))</f>
        <v>9</v>
      </c>
      <c r="CB67" s="171">
        <f ca="1">IF(OR($D67&lt;&gt;"Serviço",AND(AUTOEVENTO="Manual",$M67=$A$15)),0,
         IF(OFFSET(CRONOPLE!$F$15,$M67-$A$15,CB$13)=0,10^12,OFFSET(CRONOPLE!$F$15,$M67-$A$15,CB$13)))</f>
        <v>10</v>
      </c>
      <c r="CC67" s="171">
        <f ca="1">IF(OR($D67&lt;&gt;"Serviço",AND(AUTOEVENTO="Manual",$M67=$A$15)),0,
         IF(OFFSET(CRONOPLE!$F$15,$M67-$A$15,CC$13)=0,10^12,OFFSET(CRONOPLE!$F$15,$M67-$A$15,CC$13)))</f>
        <v>11</v>
      </c>
      <c r="CD67" s="171">
        <f ca="1">IF(OR($D67&lt;&gt;"Serviço",AND(AUTOEVENTO="Manual",$M67=$A$15)),0,
         IF(OFFSET(CRONOPLE!$F$15,$M67-$A$15,CD$13)=0,10^12,OFFSET(CRONOPLE!$F$15,$M67-$A$15,CD$13)))</f>
        <v>12</v>
      </c>
      <c r="CE67" s="171">
        <f ca="1">IF(OR($D67&lt;&gt;"Serviço",AND(AUTOEVENTO="Manual",$M67=$A$15)),0,
         IF(OFFSET(CRONOPLE!$F$15,$M67-$A$15,CE$13)=0,10^12,OFFSET(CRONOPLE!$F$15,$M67-$A$15,CE$13)))</f>
        <v>13</v>
      </c>
      <c r="CF67" s="171">
        <f ca="1">IF(OR($D67&lt;&gt;"Serviço",AND(AUTOEVENTO="Manual",$M67=$A$15)),0,
         IF(OFFSET(CRONOPLE!$F$15,$M67-$A$15,CF$13)=0,10^12,OFFSET(CRONOPLE!$F$15,$M67-$A$15,CF$13)))</f>
        <v>14</v>
      </c>
      <c r="CG67" s="171">
        <f ca="1">IF(OR($D67&lt;&gt;"Serviço",AND(AUTOEVENTO="Manual",$M67=$A$15)),0,
         IF(OFFSET(CRONOPLE!$F$15,$M67-$A$15,CG$13)=0,10^12,OFFSET(CRONOPLE!$F$15,$M67-$A$15,CG$13)))</f>
        <v>15</v>
      </c>
      <c r="CH67" s="171">
        <f ca="1">IF(OR($D67&lt;&gt;"Serviço",AND(AUTOEVENTO="Manual",$M67=$A$15)),0,
         IF(OFFSET(CRONOPLE!$F$15,$M67-$A$15,CH$13)=0,10^12,OFFSET(CRONOPLE!$F$15,$M67-$A$15,CH$13)))</f>
        <v>16</v>
      </c>
      <c r="CI67" s="171">
        <f ca="1">IF(OR($D67&lt;&gt;"Serviço",AND(AUTOEVENTO="Manual",$M67=$A$15)),0,
         IF(OFFSET(CRONOPLE!$F$15,$M67-$A$15,CI$13)=0,10^12,OFFSET(CRONOPLE!$F$15,$M67-$A$15,CI$13)))</f>
        <v>17</v>
      </c>
      <c r="CJ67" s="171">
        <f ca="1">IF(OR($D67&lt;&gt;"Serviço",AND(AUTOEVENTO="Manual",$M67=$A$15)),0,
         IF(OFFSET(CRONOPLE!$F$15,$M67-$A$15,CJ$13)=0,10^12,OFFSET(CRONOPLE!$F$15,$M67-$A$15,CJ$13)))</f>
        <v>18</v>
      </c>
      <c r="CK67" s="171">
        <f ca="1">IF(OR($D67&lt;&gt;"Serviço",AND(AUTOEVENTO="Manual",$M67=$A$15)),0,
         IF(OFFSET(CRONOPLE!$F$15,$M67-$A$15,CK$13)=0,10^12,OFFSET(CRONOPLE!$F$15,$M67-$A$15,CK$13)))</f>
        <v>19</v>
      </c>
      <c r="CL67" s="171">
        <f ca="1">IF(OR($D67&lt;&gt;"Serviço",AND(AUTOEVENTO="Manual",$M67=$A$15)),0,
         IF(OFFSET(CRONOPLE!$F$15,$M67-$A$15,CL$13)=0,10^12,OFFSET(CRONOPLE!$F$15,$M67-$A$15,CL$13)))</f>
        <v>20</v>
      </c>
      <c r="CM67" s="171">
        <f ca="1">IF(OR($D67&lt;&gt;"Serviço",AND(AUTOEVENTO="Manual",$M67=$A$15)),0,
         IF(OFFSET(CRONOPLE!$F$15,$M67-$A$15,CM$13)=0,10^12,OFFSET(CRONOPLE!$F$15,$M67-$A$15,CM$13)))</f>
        <v>1000000000000</v>
      </c>
      <c r="CN67" s="171">
        <f ca="1">IF(OR($D67&lt;&gt;"Serviço",AND(AUTOEVENTO="Manual",$M67=$A$15)),0,
         IF(OFFSET(CRONOPLE!$F$15,$M67-$A$15,CN$13)=0,10^12,OFFSET(CRONOPLE!$F$15,$M67-$A$15,CN$13)))</f>
        <v>1000000000000</v>
      </c>
      <c r="CO67" s="171">
        <f ca="1">IF(OR($D67&lt;&gt;"Serviço",AND(AUTOEVENTO="Manual",$M67=$A$15)),0,
         IF(OFFSET(CRONOPLE!$F$15,$M67-$A$15,CO$13)=0,10^12,OFFSET(CRONOPLE!$F$15,$M67-$A$15,CO$13)))</f>
        <v>1000000000000</v>
      </c>
      <c r="CP67" s="171">
        <f ca="1">IF(OR($D67&lt;&gt;"Serviço",AND(AUTOEVENTO="Manual",$M67=$A$15)),0,
         IF(OFFSET(CRONOPLE!$F$15,$M67-$A$15,CP$13)=0,10^12,OFFSET(CRONOPLE!$F$15,$M67-$A$15,CP$13)))</f>
        <v>1000000000000</v>
      </c>
      <c r="CQ67" s="171">
        <f ca="1">IF(OR($D67&lt;&gt;"Serviço",AND(AUTOEVENTO="Manual",$M67=$A$15)),0,
         IF(OFFSET(CRONOPLE!$F$15,$M67-$A$15,CQ$13)=0,10^12,OFFSET(CRONOPLE!$F$15,$M67-$A$15,CQ$13)))</f>
        <v>1000000000000</v>
      </c>
      <c r="CR67" s="171">
        <f ca="1">IF(OR($D67&lt;&gt;"Serviço",AND(AUTOEVENTO="Manual",$M67=$A$15)),0,
         IF(OFFSET(CRONOPLE!$F$15,$M67-$A$15,CR$13)=0,10^12,OFFSET(CRONOPLE!$F$15,$M67-$A$15,CR$13)))</f>
        <v>1000000000000</v>
      </c>
      <c r="CT67" s="172" cm="1">
        <f t="array" aca="1" ref="CT67" ca="1">IF(OR($D67&lt;&gt;"Serviço",AND(AUTOEVENTO="Manual",$M67=$A$15),$M67&gt;(ROW(PLE.lastrow)-ROW(PLE.firstrow))),0,
           IF(OFFSET(PLE!$G$15,$M67-$A$15,CT$13)="",10^12,OFFSET(PLE!$G$15,$M67-$A$15,CT$13)))</f>
        <v>1000000000000</v>
      </c>
      <c r="CU67" s="172" cm="1">
        <f t="array" aca="1" ref="CU67" ca="1">IF(OR($D67&lt;&gt;"Serviço",AND(AUTOEVENTO="Manual",$M67=$A$15),$M67&gt;(ROW(PLE.lastrow)-ROW(PLE.firstrow))),0,
           IF(OFFSET(PLE!$G$15,$M67-$A$15,CU$13)="",10^12,OFFSET(PLE!$G$15,$M67-$A$15,CU$13)))</f>
        <v>1000000000000</v>
      </c>
      <c r="CV67" s="172" cm="1">
        <f t="array" aca="1" ref="CV67" ca="1">IF(OR($D67&lt;&gt;"Serviço",AND(AUTOEVENTO="Manual",$M67=$A$15),$M67&gt;(ROW(PLE.lastrow)-ROW(PLE.firstrow))),0,
           IF(OFFSET(PLE!$G$15,$M67-$A$15,CV$13)="",10^12,OFFSET(PLE!$G$15,$M67-$A$15,CV$13)))</f>
        <v>1000000000000</v>
      </c>
      <c r="CW67" s="172" cm="1">
        <f t="array" aca="1" ref="CW67" ca="1">IF(OR($D67&lt;&gt;"Serviço",AND(AUTOEVENTO="Manual",$M67=$A$15),$M67&gt;(ROW(PLE.lastrow)-ROW(PLE.firstrow))),0,
           IF(OFFSET(PLE!$G$15,$M67-$A$15,CW$13)="",10^12,OFFSET(PLE!$G$15,$M67-$A$15,CW$13)))</f>
        <v>1000000000000</v>
      </c>
      <c r="CX67" s="172" cm="1">
        <f t="array" aca="1" ref="CX67" ca="1">IF(OR($D67&lt;&gt;"Serviço",AND(AUTOEVENTO="Manual",$M67=$A$15),$M67&gt;(ROW(PLE.lastrow)-ROW(PLE.firstrow))),0,
           IF(OFFSET(PLE!$G$15,$M67-$A$15,CX$13)="",10^12,OFFSET(PLE!$G$15,$M67-$A$15,CX$13)))</f>
        <v>1000000000000</v>
      </c>
      <c r="CY67" s="172" cm="1">
        <f t="array" aca="1" ref="CY67" ca="1">IF(OR($D67&lt;&gt;"Serviço",AND(AUTOEVENTO="Manual",$M67=$A$15),$M67&gt;(ROW(PLE.lastrow)-ROW(PLE.firstrow))),0,
           IF(OFFSET(PLE!$G$15,$M67-$A$15,CY$13)="",10^12,OFFSET(PLE!$G$15,$M67-$A$15,CY$13)))</f>
        <v>1000000000000</v>
      </c>
      <c r="CZ67" s="172" cm="1">
        <f t="array" aca="1" ref="CZ67" ca="1">IF(OR($D67&lt;&gt;"Serviço",AND(AUTOEVENTO="Manual",$M67=$A$15),$M67&gt;(ROW(PLE.lastrow)-ROW(PLE.firstrow))),0,
           IF(OFFSET(PLE!$G$15,$M67-$A$15,CZ$13)="",10^12,OFFSET(PLE!$G$15,$M67-$A$15,CZ$13)))</f>
        <v>1000000000000</v>
      </c>
      <c r="DA67" s="172" cm="1">
        <f t="array" aca="1" ref="DA67" ca="1">IF(OR($D67&lt;&gt;"Serviço",AND(AUTOEVENTO="Manual",$M67=$A$15),$M67&gt;(ROW(PLE.lastrow)-ROW(PLE.firstrow))),0,
           IF(OFFSET(PLE!$G$15,$M67-$A$15,DA$13)="",10^12,OFFSET(PLE!$G$15,$M67-$A$15,DA$13)))</f>
        <v>1000000000000</v>
      </c>
      <c r="DB67" s="172" cm="1">
        <f t="array" aca="1" ref="DB67" ca="1">IF(OR($D67&lt;&gt;"Serviço",AND(AUTOEVENTO="Manual",$M67=$A$15),$M67&gt;(ROW(PLE.lastrow)-ROW(PLE.firstrow))),0,
           IF(OFFSET(PLE!$G$15,$M67-$A$15,DB$13)="",10^12,OFFSET(PLE!$G$15,$M67-$A$15,DB$13)))</f>
        <v>1000000000000</v>
      </c>
      <c r="DC67" s="172" cm="1">
        <f t="array" aca="1" ref="DC67" ca="1">IF(OR($D67&lt;&gt;"Serviço",AND(AUTOEVENTO="Manual",$M67=$A$15),$M67&gt;(ROW(PLE.lastrow)-ROW(PLE.firstrow))),0,
           IF(OFFSET(PLE!$G$15,$M67-$A$15,DC$13)="",10^12,OFFSET(PLE!$G$15,$M67-$A$15,DC$13)))</f>
        <v>1000000000000</v>
      </c>
      <c r="DD67" s="172" cm="1">
        <f t="array" aca="1" ref="DD67" ca="1">IF(OR($D67&lt;&gt;"Serviço",AND(AUTOEVENTO="Manual",$M67=$A$15),$M67&gt;(ROW(PLE.lastrow)-ROW(PLE.firstrow))),0,
           IF(OFFSET(PLE!$G$15,$M67-$A$15,DD$13)="",10^12,OFFSET(PLE!$G$15,$M67-$A$15,DD$13)))</f>
        <v>1000000000000</v>
      </c>
      <c r="DE67" s="172" cm="1">
        <f t="array" aca="1" ref="DE67" ca="1">IF(OR($D67&lt;&gt;"Serviço",AND(AUTOEVENTO="Manual",$M67=$A$15),$M67&gt;(ROW(PLE.lastrow)-ROW(PLE.firstrow))),0,
           IF(OFFSET(PLE!$G$15,$M67-$A$15,DE$13)="",10^12,OFFSET(PLE!$G$15,$M67-$A$15,DE$13)))</f>
        <v>1000000000000</v>
      </c>
      <c r="DF67" s="172" cm="1">
        <f t="array" aca="1" ref="DF67" ca="1">IF(OR($D67&lt;&gt;"Serviço",AND(AUTOEVENTO="Manual",$M67=$A$15),$M67&gt;(ROW(PLE.lastrow)-ROW(PLE.firstrow))),0,
           IF(OFFSET(PLE!$G$15,$M67-$A$15,DF$13)="",10^12,OFFSET(PLE!$G$15,$M67-$A$15,DF$13)))</f>
        <v>1000000000000</v>
      </c>
      <c r="DG67" s="172" cm="1">
        <f t="array" aca="1" ref="DG67" ca="1">IF(OR($D67&lt;&gt;"Serviço",AND(AUTOEVENTO="Manual",$M67=$A$15),$M67&gt;(ROW(PLE.lastrow)-ROW(PLE.firstrow))),0,
           IF(OFFSET(PLE!$G$15,$M67-$A$15,DG$13)="",10^12,OFFSET(PLE!$G$15,$M67-$A$15,DG$13)))</f>
        <v>1000000000000</v>
      </c>
      <c r="DH67" s="172" cm="1">
        <f t="array" aca="1" ref="DH67" ca="1">IF(OR($D67&lt;&gt;"Serviço",AND(AUTOEVENTO="Manual",$M67=$A$15),$M67&gt;(ROW(PLE.lastrow)-ROW(PLE.firstrow))),0,
           IF(OFFSET(PLE!$G$15,$M67-$A$15,DH$13)="",10^12,OFFSET(PLE!$G$15,$M67-$A$15,DH$13)))</f>
        <v>1000000000000</v>
      </c>
      <c r="DI67" s="172" cm="1">
        <f t="array" aca="1" ref="DI67" ca="1">IF(OR($D67&lt;&gt;"Serviço",AND(AUTOEVENTO="Manual",$M67=$A$15),$M67&gt;(ROW(PLE.lastrow)-ROW(PLE.firstrow))),0,
           IF(OFFSET(PLE!$G$15,$M67-$A$15,DI$13)="",10^12,OFFSET(PLE!$G$15,$M67-$A$15,DI$13)))</f>
        <v>1000000000000</v>
      </c>
      <c r="DJ67" s="172" cm="1">
        <f t="array" aca="1" ref="DJ67" ca="1">IF(OR($D67&lt;&gt;"Serviço",AND(AUTOEVENTO="Manual",$M67=$A$15),$M67&gt;(ROW(PLE.lastrow)-ROW(PLE.firstrow))),0,
           IF(OFFSET(PLE!$G$15,$M67-$A$15,DJ$13)="",10^12,OFFSET(PLE!$G$15,$M67-$A$15,DJ$13)))</f>
        <v>1000000000000</v>
      </c>
      <c r="DK67" s="172" cm="1">
        <f t="array" aca="1" ref="DK67" ca="1">IF(OR($D67&lt;&gt;"Serviço",AND(AUTOEVENTO="Manual",$M67=$A$15),$M67&gt;(ROW(PLE.lastrow)-ROW(PLE.firstrow))),0,
           IF(OFFSET(PLE!$G$15,$M67-$A$15,DK$13)="",10^12,OFFSET(PLE!$G$15,$M67-$A$15,DK$13)))</f>
        <v>1000000000000</v>
      </c>
      <c r="DL67" s="172" cm="1">
        <f t="array" aca="1" ref="DL67" ca="1">IF(OR($D67&lt;&gt;"Serviço",AND(AUTOEVENTO="Manual",$M67=$A$15),$M67&gt;(ROW(PLE.lastrow)-ROW(PLE.firstrow))),0,
           IF(OFFSET(PLE!$G$15,$M67-$A$15,DL$13)="",10^12,OFFSET(PLE!$G$15,$M67-$A$15,DL$13)))</f>
        <v>1000000000000</v>
      </c>
      <c r="DM67" s="172" cm="1">
        <f t="array" aca="1" ref="DM67" ca="1">IF(OR($D67&lt;&gt;"Serviço",AND(AUTOEVENTO="Manual",$M67=$A$15),$M67&gt;(ROW(PLE.lastrow)-ROW(PLE.firstrow))),0,
           IF(OFFSET(PLE!$G$15,$M67-$A$15,DM$13)="",10^12,OFFSET(PLE!$G$15,$M67-$A$15,DM$13)))</f>
        <v>1000000000000</v>
      </c>
      <c r="DN67" s="172" cm="1">
        <f t="array" aca="1" ref="DN67" ca="1">IF(OR($D67&lt;&gt;"Serviço",AND(AUTOEVENTO="Manual",$M67=$A$15),$M67&gt;(ROW(PLE.lastrow)-ROW(PLE.firstrow))),0,
           IF(OFFSET(PLE!$G$15,$M67-$A$15,DN$13)="",10^12,OFFSET(PLE!$G$15,$M67-$A$15,DN$13)))</f>
        <v>1000000000000</v>
      </c>
      <c r="DO67" s="172" cm="1">
        <f t="array" aca="1" ref="DO67" ca="1">IF(OR($D67&lt;&gt;"Serviço",AND(AUTOEVENTO="Manual",$M67=$A$15),$M67&gt;(ROW(PLE.lastrow)-ROW(PLE.firstrow))),0,
           IF(OFFSET(PLE!$G$15,$M67-$A$15,DO$13)="",10^12,OFFSET(PLE!$G$15,$M67-$A$15,DO$13)))</f>
        <v>1000000000000</v>
      </c>
      <c r="DP67" s="172" cm="1">
        <f t="array" aca="1" ref="DP67" ca="1">IF(OR($D67&lt;&gt;"Serviço",AND(AUTOEVENTO="Manual",$M67=$A$15),$M67&gt;(ROW(PLE.lastrow)-ROW(PLE.firstrow))),0,
           IF(OFFSET(PLE!$G$15,$M67-$A$15,DP$13)="",10^12,OFFSET(PLE!$G$15,$M67-$A$15,DP$13)))</f>
        <v>1000000000000</v>
      </c>
      <c r="DQ67" s="172" cm="1">
        <f t="array" aca="1" ref="DQ67" ca="1">IF(OR($D67&lt;&gt;"Serviço",AND(AUTOEVENTO="Manual",$M67=$A$15),$M67&gt;(ROW(PLE.lastrow)-ROW(PLE.firstrow))),0,
           IF(OFFSET(PLE!$G$15,$M67-$A$15,DQ$13)="",10^12,OFFSET(PLE!$G$15,$M67-$A$15,DQ$13)))</f>
        <v>1000000000000</v>
      </c>
      <c r="DR67" s="172" cm="1">
        <f t="array" aca="1" ref="DR67" ca="1">IF(OR($D67&lt;&gt;"Serviço",AND(AUTOEVENTO="Manual",$M67=$A$15),$M67&gt;(ROW(PLE.lastrow)-ROW(PLE.firstrow))),0,
           IF(OFFSET(PLE!$G$15,$M67-$A$15,DR$13)="",10^12,OFFSET(PLE!$G$15,$M67-$A$15,DR$13)))</f>
        <v>1000000000000</v>
      </c>
      <c r="DS67" s="172" cm="1">
        <f t="array" aca="1" ref="DS67" ca="1">IF(OR($D67&lt;&gt;"Serviço",AND(AUTOEVENTO="Manual",$M67=$A$15),$M67&gt;(ROW(PLE.lastrow)-ROW(PLE.firstrow))),0,
           IF(OFFSET(PLE!$G$15,$M67-$A$15,DS$13)="",10^12,OFFSET(PLE!$G$15,$M67-$A$15,DS$13)))</f>
        <v>1000000000000</v>
      </c>
    </row>
    <row r="68" spans="1:123" ht="76.5" x14ac:dyDescent="0.2">
      <c r="A68" s="7">
        <f t="shared" ca="1" si="11"/>
        <v>5</v>
      </c>
      <c r="B68" s="7" t="str">
        <f ca="1">OFFSET(ORÇAMENTO!C$15,$L68,0)</f>
        <v>S</v>
      </c>
      <c r="C68" s="7" t="str">
        <f ca="1">OFFSET(ORÇAMENTO!L$15,$L68,0)</f>
        <v/>
      </c>
      <c r="D68" s="116" t="str">
        <f ca="1">OFFSET(ORÇAMENTO!N$15,$L68,0)</f>
        <v>Serviço</v>
      </c>
      <c r="E68" s="117" t="str">
        <f ca="1">OFFSET(ORÇAMENTO!O$15,$L68,0)</f>
        <v>-</v>
      </c>
      <c r="F68" s="163" t="str">
        <f ca="1">OFFSET(ORÇAMENTO!R$15,$L68,0)</f>
        <v>(Código não identificado nas referências)</v>
      </c>
      <c r="G68" s="164" t="str">
        <f ca="1">IF($D68&lt;&gt;"Serviço","",OFFSET(ORÇAMENTO!S$15,$L68,0))</f>
        <v>-</v>
      </c>
      <c r="H68" s="122" cm="1">
        <f t="array" aca="1" ref="H68" ca="1">IF($D68&lt;&gt;"Serviço",0,IF(ACOMPANHAMENTO="BM",ROUND(OFFSET(ORÇAMENTO!AJ$15,$L68,0),15-13*ORÇAMENTO!$AF$7),IF(IFERROR(CÁLCULO.FrentesPreenchidas,0)=0,0,SUM(ROUND(OFFSET($P68,0,1,1,CÁLCULO.FrentesPreenchidas),15-13*ORÇAMENTO!$AF$7)))))</f>
        <v>52.000000000000014</v>
      </c>
      <c r="I68" s="468" t="s">
        <v>1235</v>
      </c>
      <c r="J68" s="651" t="str" cm="1">
        <f t="array" aca="1" ref="J68" ca="1">IF(OR(B68&lt;&gt;"S",CÁLCULO.FrentesPreenchidas=0),"",IF(AND(ACOMPANHAMENTO="PLE",AUTOEVENTO="Manual",OR(H68&gt;0,ORÇAMENTO!AC68="QUANT."),OR(K68="",M68=0,N68="")),"►E",IF(AND(ACOMPANHAMENTO="PLE",ORÇAMENTO!AC68="QUANT."),"►Q",IF(AND(ACOMPANHAMENTO="PLE",H68&lt;&gt;SUMPRODUCT(($Q$1:$AQ$1=1)*ROUND(Q68:AQ68,15))),"►S",IF(AND(COUNTIF($P$11:$AQ$11,"▼")=0,H68&gt;0,I68=""),"◄M","")))))</f>
        <v/>
      </c>
      <c r="K68" s="652" t="s">
        <v>1253</v>
      </c>
      <c r="L68" s="165">
        <f t="shared" ca="1" si="12"/>
        <v>53</v>
      </c>
      <c r="M68" s="166">
        <f ca="1">IF($D68&lt;&gt;"Serviço","",
          IF(AUTOEVENTO="manual",$A68,
                IF(ISERROR(MATCH($A68,$A$15:OFFSET($A68,-1,0),0)),MAX($M$15:OFFSET(M68,-1,0))+1,
                      INDEX($M$15:OFFSET(M68,-1,0),MATCH($A68,$A$15:OFFSET($A68,-1,0),0)))))</f>
        <v>5</v>
      </c>
      <c r="N68" s="167" t="str">
        <f ca="1">IF($D68&lt;&gt;"Serviço","",
         IF(AUTOEVENTO="Manual",
                IF($A68=0,"&lt;-- defina o número do agrupador",
                       OFFSET(EVENTOS!$D$15,$A68-$A$15,0)),
                OFFSET($F$15,$A68,0)))</f>
        <v>PAREDES E PAINÉIS</v>
      </c>
      <c r="O68" s="168"/>
      <c r="Q68" s="168">
        <v>2.6</v>
      </c>
      <c r="R68" s="169">
        <v>2.6</v>
      </c>
      <c r="S68" s="169">
        <v>2.6</v>
      </c>
      <c r="T68" s="169">
        <v>2.6</v>
      </c>
      <c r="U68" s="169">
        <v>2.6</v>
      </c>
      <c r="V68" s="169">
        <v>2.6</v>
      </c>
      <c r="W68" s="169">
        <v>2.6</v>
      </c>
      <c r="X68" s="169">
        <v>2.6</v>
      </c>
      <c r="Y68" s="169">
        <v>2.6</v>
      </c>
      <c r="Z68" s="170">
        <v>2.6</v>
      </c>
      <c r="AA68" s="169">
        <v>2.6</v>
      </c>
      <c r="AB68" s="169">
        <v>2.6</v>
      </c>
      <c r="AC68" s="169">
        <v>2.6</v>
      </c>
      <c r="AD68" s="169">
        <v>2.6</v>
      </c>
      <c r="AE68" s="169">
        <v>2.6</v>
      </c>
      <c r="AF68" s="169">
        <v>2.6</v>
      </c>
      <c r="AG68" s="169">
        <v>2.6</v>
      </c>
      <c r="AH68" s="170">
        <v>2.6</v>
      </c>
      <c r="AI68" s="169">
        <v>2.6</v>
      </c>
      <c r="AJ68" s="169">
        <v>2.6</v>
      </c>
      <c r="AK68" s="169"/>
      <c r="AL68" s="169"/>
      <c r="AM68" s="169"/>
      <c r="AN68" s="169"/>
      <c r="AO68" s="169"/>
      <c r="AP68" s="170"/>
      <c r="AR68" s="453">
        <f ca="1">IF(AND($D68="Serviço",AR$12&lt;&gt;0,$H68&gt;0,OR(AUTOEVENTO&lt;&gt;"manual",$M68&lt;&gt;$A$15)),
        IF(Import.TipoArredondamento&lt;&gt;"TransfereGOV",
              ROUND(OFFSET($P68,0,AR$13),15-13*ORÇAMENTO!$AF$7)/$H68*OFFSET(ORÇAMENTO!$X$15,ROW(AR68)-ROW(AR$15),0),
              ROUND(ROUND(OFFSET($P68,0,AR$13),15-13*ORÇAMENTO!$AF$7)*OFFSET(ORÇAMENTO!$W$15,ROW(AR68)-ROW(AR$15),0),15-13*ORÇAMENTO!$AF$11)),
         0)</f>
        <v>0</v>
      </c>
      <c r="AS68" s="453">
        <f ca="1">IF(AND($D68="Serviço",AS$12&lt;&gt;0,$H68&gt;0,OR(AUTOEVENTO&lt;&gt;"manual",$M68&lt;&gt;$A$15)),
        IF(Import.TipoArredondamento&lt;&gt;"TransfereGOV",
              ROUND(OFFSET($P68,0,AS$13),15-13*ORÇAMENTO!$AF$7)/$H68*OFFSET(ORÇAMENTO!$X$15,ROW(AS68)-ROW(AS$15),0),
              ROUND(ROUND(OFFSET($P68,0,AS$13),15-13*ORÇAMENTO!$AF$7)*OFFSET(ORÇAMENTO!$W$15,ROW(AS68)-ROW(AS$15),0),15-13*ORÇAMENTO!$AF$11)),
         0)</f>
        <v>0</v>
      </c>
      <c r="AT68" s="453">
        <f ca="1">IF(AND($D68="Serviço",AT$12&lt;&gt;0,$H68&gt;0,OR(AUTOEVENTO&lt;&gt;"manual",$M68&lt;&gt;$A$15)),
        IF(Import.TipoArredondamento&lt;&gt;"TransfereGOV",
              ROUND(OFFSET($P68,0,AT$13),15-13*ORÇAMENTO!$AF$7)/$H68*OFFSET(ORÇAMENTO!$X$15,ROW(AT68)-ROW(AT$15),0),
              ROUND(ROUND(OFFSET($P68,0,AT$13),15-13*ORÇAMENTO!$AF$7)*OFFSET(ORÇAMENTO!$W$15,ROW(AT68)-ROW(AT$15),0),15-13*ORÇAMENTO!$AF$11)),
         0)</f>
        <v>0</v>
      </c>
      <c r="AU68" s="453">
        <f ca="1">IF(AND($D68="Serviço",AU$12&lt;&gt;0,$H68&gt;0,OR(AUTOEVENTO&lt;&gt;"manual",$M68&lt;&gt;$A$15)),
        IF(Import.TipoArredondamento&lt;&gt;"TransfereGOV",
              ROUND(OFFSET($P68,0,AU$13),15-13*ORÇAMENTO!$AF$7)/$H68*OFFSET(ORÇAMENTO!$X$15,ROW(AU68)-ROW(AU$15),0),
              ROUND(ROUND(OFFSET($P68,0,AU$13),15-13*ORÇAMENTO!$AF$7)*OFFSET(ORÇAMENTO!$W$15,ROW(AU68)-ROW(AU$15),0),15-13*ORÇAMENTO!$AF$11)),
         0)</f>
        <v>0</v>
      </c>
      <c r="AV68" s="453">
        <f ca="1">IF(AND($D68="Serviço",AV$12&lt;&gt;0,$H68&gt;0,OR(AUTOEVENTO&lt;&gt;"manual",$M68&lt;&gt;$A$15)),
        IF(Import.TipoArredondamento&lt;&gt;"TransfereGOV",
              ROUND(OFFSET($P68,0,AV$13),15-13*ORÇAMENTO!$AF$7)/$H68*OFFSET(ORÇAMENTO!$X$15,ROW(AV68)-ROW(AV$15),0),
              ROUND(ROUND(OFFSET($P68,0,AV$13),15-13*ORÇAMENTO!$AF$7)*OFFSET(ORÇAMENTO!$W$15,ROW(AV68)-ROW(AV$15),0),15-13*ORÇAMENTO!$AF$11)),
         0)</f>
        <v>0</v>
      </c>
      <c r="AW68" s="453">
        <f ca="1">IF(AND($D68="Serviço",AW$12&lt;&gt;0,$H68&gt;0,OR(AUTOEVENTO&lt;&gt;"manual",$M68&lt;&gt;$A$15)),
        IF(Import.TipoArredondamento&lt;&gt;"TransfereGOV",
              ROUND(OFFSET($P68,0,AW$13),15-13*ORÇAMENTO!$AF$7)/$H68*OFFSET(ORÇAMENTO!$X$15,ROW(AW68)-ROW(AW$15),0),
              ROUND(ROUND(OFFSET($P68,0,AW$13),15-13*ORÇAMENTO!$AF$7)*OFFSET(ORÇAMENTO!$W$15,ROW(AW68)-ROW(AW$15),0),15-13*ORÇAMENTO!$AF$11)),
         0)</f>
        <v>0</v>
      </c>
      <c r="AX68" s="453">
        <f ca="1">IF(AND($D68="Serviço",AX$12&lt;&gt;0,$H68&gt;0,OR(AUTOEVENTO&lt;&gt;"manual",$M68&lt;&gt;$A$15)),
        IF(Import.TipoArredondamento&lt;&gt;"TransfereGOV",
              ROUND(OFFSET($P68,0,AX$13),15-13*ORÇAMENTO!$AF$7)/$H68*OFFSET(ORÇAMENTO!$X$15,ROW(AX68)-ROW(AX$15),0),
              ROUND(ROUND(OFFSET($P68,0,AX$13),15-13*ORÇAMENTO!$AF$7)*OFFSET(ORÇAMENTO!$W$15,ROW(AX68)-ROW(AX$15),0),15-13*ORÇAMENTO!$AF$11)),
         0)</f>
        <v>0</v>
      </c>
      <c r="AY68" s="453">
        <f ca="1">IF(AND($D68="Serviço",AY$12&lt;&gt;0,$H68&gt;0,OR(AUTOEVENTO&lt;&gt;"manual",$M68&lt;&gt;$A$15)),
        IF(Import.TipoArredondamento&lt;&gt;"TransfereGOV",
              ROUND(OFFSET($P68,0,AY$13),15-13*ORÇAMENTO!$AF$7)/$H68*OFFSET(ORÇAMENTO!$X$15,ROW(AY68)-ROW(AY$15),0),
              ROUND(ROUND(OFFSET($P68,0,AY$13),15-13*ORÇAMENTO!$AF$7)*OFFSET(ORÇAMENTO!$W$15,ROW(AY68)-ROW(AY$15),0),15-13*ORÇAMENTO!$AF$11)),
         0)</f>
        <v>0</v>
      </c>
      <c r="AZ68" s="453">
        <f ca="1">IF(AND($D68="Serviço",AZ$12&lt;&gt;0,$H68&gt;0,OR(AUTOEVENTO&lt;&gt;"manual",$M68&lt;&gt;$A$15)),
        IF(Import.TipoArredondamento&lt;&gt;"TransfereGOV",
              ROUND(OFFSET($P68,0,AZ$13),15-13*ORÇAMENTO!$AF$7)/$H68*OFFSET(ORÇAMENTO!$X$15,ROW(AZ68)-ROW(AZ$15),0),
              ROUND(ROUND(OFFSET($P68,0,AZ$13),15-13*ORÇAMENTO!$AF$7)*OFFSET(ORÇAMENTO!$W$15,ROW(AZ68)-ROW(AZ$15),0),15-13*ORÇAMENTO!$AF$11)),
         0)</f>
        <v>0</v>
      </c>
      <c r="BA68" s="453">
        <f ca="1">IF(AND($D68="Serviço",BA$12&lt;&gt;0,$H68&gt;0,OR(AUTOEVENTO&lt;&gt;"manual",$M68&lt;&gt;$A$15)),
        IF(Import.TipoArredondamento&lt;&gt;"TransfereGOV",
              ROUND(OFFSET($P68,0,BA$13),15-13*ORÇAMENTO!$AF$7)/$H68*OFFSET(ORÇAMENTO!$X$15,ROW(BA68)-ROW(BA$15),0),
              ROUND(ROUND(OFFSET($P68,0,BA$13),15-13*ORÇAMENTO!$AF$7)*OFFSET(ORÇAMENTO!$W$15,ROW(BA68)-ROW(BA$15),0),15-13*ORÇAMENTO!$AF$11)),
         0)</f>
        <v>0</v>
      </c>
      <c r="BB68" s="453">
        <f ca="1">IF(AND($D68="Serviço",BB$12&lt;&gt;0,$H68&gt;0,OR(AUTOEVENTO&lt;&gt;"manual",$M68&lt;&gt;$A$15)),
        IF(Import.TipoArredondamento&lt;&gt;"TransfereGOV",
              ROUND(OFFSET($P68,0,BB$13),15-13*ORÇAMENTO!$AF$7)/$H68*OFFSET(ORÇAMENTO!$X$15,ROW(BB68)-ROW(BB$15),0),
              ROUND(ROUND(OFFSET($P68,0,BB$13),15-13*ORÇAMENTO!$AF$7)*OFFSET(ORÇAMENTO!$W$15,ROW(BB68)-ROW(BB$15),0),15-13*ORÇAMENTO!$AF$11)),
         0)</f>
        <v>0</v>
      </c>
      <c r="BC68" s="453">
        <f ca="1">IF(AND($D68="Serviço",BC$12&lt;&gt;0,$H68&gt;0,OR(AUTOEVENTO&lt;&gt;"manual",$M68&lt;&gt;$A$15)),
        IF(Import.TipoArredondamento&lt;&gt;"TransfereGOV",
              ROUND(OFFSET($P68,0,BC$13),15-13*ORÇAMENTO!$AF$7)/$H68*OFFSET(ORÇAMENTO!$X$15,ROW(BC68)-ROW(BC$15),0),
              ROUND(ROUND(OFFSET($P68,0,BC$13),15-13*ORÇAMENTO!$AF$7)*OFFSET(ORÇAMENTO!$W$15,ROW(BC68)-ROW(BC$15),0),15-13*ORÇAMENTO!$AF$11)),
         0)</f>
        <v>0</v>
      </c>
      <c r="BD68" s="453">
        <f ca="1">IF(AND($D68="Serviço",BD$12&lt;&gt;0,$H68&gt;0,OR(AUTOEVENTO&lt;&gt;"manual",$M68&lt;&gt;$A$15)),
        IF(Import.TipoArredondamento&lt;&gt;"TransfereGOV",
              ROUND(OFFSET($P68,0,BD$13),15-13*ORÇAMENTO!$AF$7)/$H68*OFFSET(ORÇAMENTO!$X$15,ROW(BD68)-ROW(BD$15),0),
              ROUND(ROUND(OFFSET($P68,0,BD$13),15-13*ORÇAMENTO!$AF$7)*OFFSET(ORÇAMENTO!$W$15,ROW(BD68)-ROW(BD$15),0),15-13*ORÇAMENTO!$AF$11)),
         0)</f>
        <v>0</v>
      </c>
      <c r="BE68" s="453">
        <f ca="1">IF(AND($D68="Serviço",BE$12&lt;&gt;0,$H68&gt;0,OR(AUTOEVENTO&lt;&gt;"manual",$M68&lt;&gt;$A$15)),
        IF(Import.TipoArredondamento&lt;&gt;"TransfereGOV",
              ROUND(OFFSET($P68,0,BE$13),15-13*ORÇAMENTO!$AF$7)/$H68*OFFSET(ORÇAMENTO!$X$15,ROW(BE68)-ROW(BE$15),0),
              ROUND(ROUND(OFFSET($P68,0,BE$13),15-13*ORÇAMENTO!$AF$7)*OFFSET(ORÇAMENTO!$W$15,ROW(BE68)-ROW(BE$15),0),15-13*ORÇAMENTO!$AF$11)),
         0)</f>
        <v>0</v>
      </c>
      <c r="BF68" s="453">
        <f ca="1">IF(AND($D68="Serviço",BF$12&lt;&gt;0,$H68&gt;0,OR(AUTOEVENTO&lt;&gt;"manual",$M68&lt;&gt;$A$15)),
        IF(Import.TipoArredondamento&lt;&gt;"TransfereGOV",
              ROUND(OFFSET($P68,0,BF$13),15-13*ORÇAMENTO!$AF$7)/$H68*OFFSET(ORÇAMENTO!$X$15,ROW(BF68)-ROW(BF$15),0),
              ROUND(ROUND(OFFSET($P68,0,BF$13),15-13*ORÇAMENTO!$AF$7)*OFFSET(ORÇAMENTO!$W$15,ROW(BF68)-ROW(BF$15),0),15-13*ORÇAMENTO!$AF$11)),
         0)</f>
        <v>0</v>
      </c>
      <c r="BG68" s="453">
        <f ca="1">IF(AND($D68="Serviço",BG$12&lt;&gt;0,$H68&gt;0,OR(AUTOEVENTO&lt;&gt;"manual",$M68&lt;&gt;$A$15)),
        IF(Import.TipoArredondamento&lt;&gt;"TransfereGOV",
              ROUND(OFFSET($P68,0,BG$13),15-13*ORÇAMENTO!$AF$7)/$H68*OFFSET(ORÇAMENTO!$X$15,ROW(BG68)-ROW(BG$15),0),
              ROUND(ROUND(OFFSET($P68,0,BG$13),15-13*ORÇAMENTO!$AF$7)*OFFSET(ORÇAMENTO!$W$15,ROW(BG68)-ROW(BG$15),0),15-13*ORÇAMENTO!$AF$11)),
         0)</f>
        <v>0</v>
      </c>
      <c r="BH68" s="453">
        <f ca="1">IF(AND($D68="Serviço",BH$12&lt;&gt;0,$H68&gt;0,OR(AUTOEVENTO&lt;&gt;"manual",$M68&lt;&gt;$A$15)),
        IF(Import.TipoArredondamento&lt;&gt;"TransfereGOV",
              ROUND(OFFSET($P68,0,BH$13),15-13*ORÇAMENTO!$AF$7)/$H68*OFFSET(ORÇAMENTO!$X$15,ROW(BH68)-ROW(BH$15),0),
              ROUND(ROUND(OFFSET($P68,0,BH$13),15-13*ORÇAMENTO!$AF$7)*OFFSET(ORÇAMENTO!$W$15,ROW(BH68)-ROW(BH$15),0),15-13*ORÇAMENTO!$AF$11)),
         0)</f>
        <v>0</v>
      </c>
      <c r="BI68" s="453">
        <f ca="1">IF(AND($D68="Serviço",BI$12&lt;&gt;0,$H68&gt;0,OR(AUTOEVENTO&lt;&gt;"manual",$M68&lt;&gt;$A$15)),
        IF(Import.TipoArredondamento&lt;&gt;"TransfereGOV",
              ROUND(OFFSET($P68,0,BI$13),15-13*ORÇAMENTO!$AF$7)/$H68*OFFSET(ORÇAMENTO!$X$15,ROW(BI68)-ROW(BI$15),0),
              ROUND(ROUND(OFFSET($P68,0,BI$13),15-13*ORÇAMENTO!$AF$7)*OFFSET(ORÇAMENTO!$W$15,ROW(BI68)-ROW(BI$15),0),15-13*ORÇAMENTO!$AF$11)),
         0)</f>
        <v>0</v>
      </c>
      <c r="BJ68" s="453">
        <f ca="1">IF(AND($D68="Serviço",BJ$12&lt;&gt;0,$H68&gt;0,OR(AUTOEVENTO&lt;&gt;"manual",$M68&lt;&gt;$A$15)),
        IF(Import.TipoArredondamento&lt;&gt;"TransfereGOV",
              ROUND(OFFSET($P68,0,BJ$13),15-13*ORÇAMENTO!$AF$7)/$H68*OFFSET(ORÇAMENTO!$X$15,ROW(BJ68)-ROW(BJ$15),0),
              ROUND(ROUND(OFFSET($P68,0,BJ$13),15-13*ORÇAMENTO!$AF$7)*OFFSET(ORÇAMENTO!$W$15,ROW(BJ68)-ROW(BJ$15),0),15-13*ORÇAMENTO!$AF$11)),
         0)</f>
        <v>0</v>
      </c>
      <c r="BK68" s="453">
        <f ca="1">IF(AND($D68="Serviço",BK$12&lt;&gt;0,$H68&gt;0,OR(AUTOEVENTO&lt;&gt;"manual",$M68&lt;&gt;$A$15)),
        IF(Import.TipoArredondamento&lt;&gt;"TransfereGOV",
              ROUND(OFFSET($P68,0,BK$13),15-13*ORÇAMENTO!$AF$7)/$H68*OFFSET(ORÇAMENTO!$X$15,ROW(BK68)-ROW(BK$15),0),
              ROUND(ROUND(OFFSET($P68,0,BK$13),15-13*ORÇAMENTO!$AF$7)*OFFSET(ORÇAMENTO!$W$15,ROW(BK68)-ROW(BK$15),0),15-13*ORÇAMENTO!$AF$11)),
         0)</f>
        <v>0</v>
      </c>
      <c r="BL68" s="453">
        <f ca="1">IF(AND($D68="Serviço",BL$12&lt;&gt;0,$H68&gt;0,OR(AUTOEVENTO&lt;&gt;"manual",$M68&lt;&gt;$A$15)),
        IF(Import.TipoArredondamento&lt;&gt;"TransfereGOV",
              ROUND(OFFSET($P68,0,BL$13),15-13*ORÇAMENTO!$AF$7)/$H68*OFFSET(ORÇAMENTO!$X$15,ROW(BL68)-ROW(BL$15),0),
              ROUND(ROUND(OFFSET($P68,0,BL$13),15-13*ORÇAMENTO!$AF$7)*OFFSET(ORÇAMENTO!$W$15,ROW(BL68)-ROW(BL$15),0),15-13*ORÇAMENTO!$AF$11)),
         0)</f>
        <v>0</v>
      </c>
      <c r="BM68" s="453">
        <f ca="1">IF(AND($D68="Serviço",BM$12&lt;&gt;0,$H68&gt;0,OR(AUTOEVENTO&lt;&gt;"manual",$M68&lt;&gt;$A$15)),
        IF(Import.TipoArredondamento&lt;&gt;"TransfereGOV",
              ROUND(OFFSET($P68,0,BM$13),15-13*ORÇAMENTO!$AF$7)/$H68*OFFSET(ORÇAMENTO!$X$15,ROW(BM68)-ROW(BM$15),0),
              ROUND(ROUND(OFFSET($P68,0,BM$13),15-13*ORÇAMENTO!$AF$7)*OFFSET(ORÇAMENTO!$W$15,ROW(BM68)-ROW(BM$15),0),15-13*ORÇAMENTO!$AF$11)),
         0)</f>
        <v>0</v>
      </c>
      <c r="BN68" s="453">
        <f ca="1">IF(AND($D68="Serviço",BN$12&lt;&gt;0,$H68&gt;0,OR(AUTOEVENTO&lt;&gt;"manual",$M68&lt;&gt;$A$15)),
        IF(Import.TipoArredondamento&lt;&gt;"TransfereGOV",
              ROUND(OFFSET($P68,0,BN$13),15-13*ORÇAMENTO!$AF$7)/$H68*OFFSET(ORÇAMENTO!$X$15,ROW(BN68)-ROW(BN$15),0),
              ROUND(ROUND(OFFSET($P68,0,BN$13),15-13*ORÇAMENTO!$AF$7)*OFFSET(ORÇAMENTO!$W$15,ROW(BN68)-ROW(BN$15),0),15-13*ORÇAMENTO!$AF$11)),
         0)</f>
        <v>0</v>
      </c>
      <c r="BO68" s="453">
        <f ca="1">IF(AND($D68="Serviço",BO$12&lt;&gt;0,$H68&gt;0,OR(AUTOEVENTO&lt;&gt;"manual",$M68&lt;&gt;$A$15)),
        IF(Import.TipoArredondamento&lt;&gt;"TransfereGOV",
              ROUND(OFFSET($P68,0,BO$13),15-13*ORÇAMENTO!$AF$7)/$H68*OFFSET(ORÇAMENTO!$X$15,ROW(BO68)-ROW(BO$15),0),
              ROUND(ROUND(OFFSET($P68,0,BO$13),15-13*ORÇAMENTO!$AF$7)*OFFSET(ORÇAMENTO!$W$15,ROW(BO68)-ROW(BO$15),0),15-13*ORÇAMENTO!$AF$11)),
         0)</f>
        <v>0</v>
      </c>
      <c r="BP68" s="453">
        <f ca="1">IF(AND($D68="Serviço",BP$12&lt;&gt;0,$H68&gt;0,OR(AUTOEVENTO&lt;&gt;"manual",$M68&lt;&gt;$A$15)),
        IF(Import.TipoArredondamento&lt;&gt;"TransfereGOV",
              ROUND(OFFSET($P68,0,BP$13),15-13*ORÇAMENTO!$AF$7)/$H68*OFFSET(ORÇAMENTO!$X$15,ROW(BP68)-ROW(BP$15),0),
              ROUND(ROUND(OFFSET($P68,0,BP$13),15-13*ORÇAMENTO!$AF$7)*OFFSET(ORÇAMENTO!$W$15,ROW(BP68)-ROW(BP$15),0),15-13*ORÇAMENTO!$AF$11)),
         0)</f>
        <v>0</v>
      </c>
      <c r="BQ68" s="453">
        <f ca="1">IF(AND($D68="Serviço",BQ$12&lt;&gt;0,$H68&gt;0,OR(AUTOEVENTO&lt;&gt;"manual",$M68&lt;&gt;$A$15)),
        IF(Import.TipoArredondamento&lt;&gt;"TransfereGOV",
              ROUND(OFFSET($P68,0,BQ$13),15-13*ORÇAMENTO!$AF$7)/$H68*OFFSET(ORÇAMENTO!$X$15,ROW(BQ68)-ROW(BQ$15),0),
              ROUND(ROUND(OFFSET($P68,0,BQ$13),15-13*ORÇAMENTO!$AF$7)*OFFSET(ORÇAMENTO!$W$15,ROW(BQ68)-ROW(BQ$15),0),15-13*ORÇAMENTO!$AF$11)),
         0)</f>
        <v>0</v>
      </c>
      <c r="BS68" s="171">
        <f ca="1">IF(OR($D68&lt;&gt;"Serviço",AND(AUTOEVENTO="Manual",$M68=$A$15)),0,
         IF(OFFSET(CRONOPLE!$F$15,$M68-$A$15,BS$13)=0,10^12,OFFSET(CRONOPLE!$F$15,$M68-$A$15,BS$13)))</f>
        <v>1</v>
      </c>
      <c r="BT68" s="171">
        <f ca="1">IF(OR($D68&lt;&gt;"Serviço",AND(AUTOEVENTO="Manual",$M68=$A$15)),0,
         IF(OFFSET(CRONOPLE!$F$15,$M68-$A$15,BT$13)=0,10^12,OFFSET(CRONOPLE!$F$15,$M68-$A$15,BT$13)))</f>
        <v>2</v>
      </c>
      <c r="BU68" s="171">
        <f ca="1">IF(OR($D68&lt;&gt;"Serviço",AND(AUTOEVENTO="Manual",$M68=$A$15)),0,
         IF(OFFSET(CRONOPLE!$F$15,$M68-$A$15,BU$13)=0,10^12,OFFSET(CRONOPLE!$F$15,$M68-$A$15,BU$13)))</f>
        <v>3</v>
      </c>
      <c r="BV68" s="171">
        <f ca="1">IF(OR($D68&lt;&gt;"Serviço",AND(AUTOEVENTO="Manual",$M68=$A$15)),0,
         IF(OFFSET(CRONOPLE!$F$15,$M68-$A$15,BV$13)=0,10^12,OFFSET(CRONOPLE!$F$15,$M68-$A$15,BV$13)))</f>
        <v>4</v>
      </c>
      <c r="BW68" s="171">
        <f ca="1">IF(OR($D68&lt;&gt;"Serviço",AND(AUTOEVENTO="Manual",$M68=$A$15)),0,
         IF(OFFSET(CRONOPLE!$F$15,$M68-$A$15,BW$13)=0,10^12,OFFSET(CRONOPLE!$F$15,$M68-$A$15,BW$13)))</f>
        <v>5</v>
      </c>
      <c r="BX68" s="171">
        <f ca="1">IF(OR($D68&lt;&gt;"Serviço",AND(AUTOEVENTO="Manual",$M68=$A$15)),0,
         IF(OFFSET(CRONOPLE!$F$15,$M68-$A$15,BX$13)=0,10^12,OFFSET(CRONOPLE!$F$15,$M68-$A$15,BX$13)))</f>
        <v>6</v>
      </c>
      <c r="BY68" s="171">
        <f ca="1">IF(OR($D68&lt;&gt;"Serviço",AND(AUTOEVENTO="Manual",$M68=$A$15)),0,
         IF(OFFSET(CRONOPLE!$F$15,$M68-$A$15,BY$13)=0,10^12,OFFSET(CRONOPLE!$F$15,$M68-$A$15,BY$13)))</f>
        <v>7</v>
      </c>
      <c r="BZ68" s="171">
        <f ca="1">IF(OR($D68&lt;&gt;"Serviço",AND(AUTOEVENTO="Manual",$M68=$A$15)),0,
         IF(OFFSET(CRONOPLE!$F$15,$M68-$A$15,BZ$13)=0,10^12,OFFSET(CRONOPLE!$F$15,$M68-$A$15,BZ$13)))</f>
        <v>8</v>
      </c>
      <c r="CA68" s="171">
        <f ca="1">IF(OR($D68&lt;&gt;"Serviço",AND(AUTOEVENTO="Manual",$M68=$A$15)),0,
         IF(OFFSET(CRONOPLE!$F$15,$M68-$A$15,CA$13)=0,10^12,OFFSET(CRONOPLE!$F$15,$M68-$A$15,CA$13)))</f>
        <v>9</v>
      </c>
      <c r="CB68" s="171">
        <f ca="1">IF(OR($D68&lt;&gt;"Serviço",AND(AUTOEVENTO="Manual",$M68=$A$15)),0,
         IF(OFFSET(CRONOPLE!$F$15,$M68-$A$15,CB$13)=0,10^12,OFFSET(CRONOPLE!$F$15,$M68-$A$15,CB$13)))</f>
        <v>10</v>
      </c>
      <c r="CC68" s="171">
        <f ca="1">IF(OR($D68&lt;&gt;"Serviço",AND(AUTOEVENTO="Manual",$M68=$A$15)),0,
         IF(OFFSET(CRONOPLE!$F$15,$M68-$A$15,CC$13)=0,10^12,OFFSET(CRONOPLE!$F$15,$M68-$A$15,CC$13)))</f>
        <v>11</v>
      </c>
      <c r="CD68" s="171">
        <f ca="1">IF(OR($D68&lt;&gt;"Serviço",AND(AUTOEVENTO="Manual",$M68=$A$15)),0,
         IF(OFFSET(CRONOPLE!$F$15,$M68-$A$15,CD$13)=0,10^12,OFFSET(CRONOPLE!$F$15,$M68-$A$15,CD$13)))</f>
        <v>12</v>
      </c>
      <c r="CE68" s="171">
        <f ca="1">IF(OR($D68&lt;&gt;"Serviço",AND(AUTOEVENTO="Manual",$M68=$A$15)),0,
         IF(OFFSET(CRONOPLE!$F$15,$M68-$A$15,CE$13)=0,10^12,OFFSET(CRONOPLE!$F$15,$M68-$A$15,CE$13)))</f>
        <v>13</v>
      </c>
      <c r="CF68" s="171">
        <f ca="1">IF(OR($D68&lt;&gt;"Serviço",AND(AUTOEVENTO="Manual",$M68=$A$15)),0,
         IF(OFFSET(CRONOPLE!$F$15,$M68-$A$15,CF$13)=0,10^12,OFFSET(CRONOPLE!$F$15,$M68-$A$15,CF$13)))</f>
        <v>14</v>
      </c>
      <c r="CG68" s="171">
        <f ca="1">IF(OR($D68&lt;&gt;"Serviço",AND(AUTOEVENTO="Manual",$M68=$A$15)),0,
         IF(OFFSET(CRONOPLE!$F$15,$M68-$A$15,CG$13)=0,10^12,OFFSET(CRONOPLE!$F$15,$M68-$A$15,CG$13)))</f>
        <v>15</v>
      </c>
      <c r="CH68" s="171">
        <f ca="1">IF(OR($D68&lt;&gt;"Serviço",AND(AUTOEVENTO="Manual",$M68=$A$15)),0,
         IF(OFFSET(CRONOPLE!$F$15,$M68-$A$15,CH$13)=0,10^12,OFFSET(CRONOPLE!$F$15,$M68-$A$15,CH$13)))</f>
        <v>16</v>
      </c>
      <c r="CI68" s="171">
        <f ca="1">IF(OR($D68&lt;&gt;"Serviço",AND(AUTOEVENTO="Manual",$M68=$A$15)),0,
         IF(OFFSET(CRONOPLE!$F$15,$M68-$A$15,CI$13)=0,10^12,OFFSET(CRONOPLE!$F$15,$M68-$A$15,CI$13)))</f>
        <v>17</v>
      </c>
      <c r="CJ68" s="171">
        <f ca="1">IF(OR($D68&lt;&gt;"Serviço",AND(AUTOEVENTO="Manual",$M68=$A$15)),0,
         IF(OFFSET(CRONOPLE!$F$15,$M68-$A$15,CJ$13)=0,10^12,OFFSET(CRONOPLE!$F$15,$M68-$A$15,CJ$13)))</f>
        <v>18</v>
      </c>
      <c r="CK68" s="171">
        <f ca="1">IF(OR($D68&lt;&gt;"Serviço",AND(AUTOEVENTO="Manual",$M68=$A$15)),0,
         IF(OFFSET(CRONOPLE!$F$15,$M68-$A$15,CK$13)=0,10^12,OFFSET(CRONOPLE!$F$15,$M68-$A$15,CK$13)))</f>
        <v>19</v>
      </c>
      <c r="CL68" s="171">
        <f ca="1">IF(OR($D68&lt;&gt;"Serviço",AND(AUTOEVENTO="Manual",$M68=$A$15)),0,
         IF(OFFSET(CRONOPLE!$F$15,$M68-$A$15,CL$13)=0,10^12,OFFSET(CRONOPLE!$F$15,$M68-$A$15,CL$13)))</f>
        <v>20</v>
      </c>
      <c r="CM68" s="171">
        <f ca="1">IF(OR($D68&lt;&gt;"Serviço",AND(AUTOEVENTO="Manual",$M68=$A$15)),0,
         IF(OFFSET(CRONOPLE!$F$15,$M68-$A$15,CM$13)=0,10^12,OFFSET(CRONOPLE!$F$15,$M68-$A$15,CM$13)))</f>
        <v>1000000000000</v>
      </c>
      <c r="CN68" s="171">
        <f ca="1">IF(OR($D68&lt;&gt;"Serviço",AND(AUTOEVENTO="Manual",$M68=$A$15)),0,
         IF(OFFSET(CRONOPLE!$F$15,$M68-$A$15,CN$13)=0,10^12,OFFSET(CRONOPLE!$F$15,$M68-$A$15,CN$13)))</f>
        <v>1000000000000</v>
      </c>
      <c r="CO68" s="171">
        <f ca="1">IF(OR($D68&lt;&gt;"Serviço",AND(AUTOEVENTO="Manual",$M68=$A$15)),0,
         IF(OFFSET(CRONOPLE!$F$15,$M68-$A$15,CO$13)=0,10^12,OFFSET(CRONOPLE!$F$15,$M68-$A$15,CO$13)))</f>
        <v>1000000000000</v>
      </c>
      <c r="CP68" s="171">
        <f ca="1">IF(OR($D68&lt;&gt;"Serviço",AND(AUTOEVENTO="Manual",$M68=$A$15)),0,
         IF(OFFSET(CRONOPLE!$F$15,$M68-$A$15,CP$13)=0,10^12,OFFSET(CRONOPLE!$F$15,$M68-$A$15,CP$13)))</f>
        <v>1000000000000</v>
      </c>
      <c r="CQ68" s="171">
        <f ca="1">IF(OR($D68&lt;&gt;"Serviço",AND(AUTOEVENTO="Manual",$M68=$A$15)),0,
         IF(OFFSET(CRONOPLE!$F$15,$M68-$A$15,CQ$13)=0,10^12,OFFSET(CRONOPLE!$F$15,$M68-$A$15,CQ$13)))</f>
        <v>1000000000000</v>
      </c>
      <c r="CR68" s="171">
        <f ca="1">IF(OR($D68&lt;&gt;"Serviço",AND(AUTOEVENTO="Manual",$M68=$A$15)),0,
         IF(OFFSET(CRONOPLE!$F$15,$M68-$A$15,CR$13)=0,10^12,OFFSET(CRONOPLE!$F$15,$M68-$A$15,CR$13)))</f>
        <v>1000000000000</v>
      </c>
      <c r="CT68" s="172" cm="1">
        <f t="array" aca="1" ref="CT68" ca="1">IF(OR($D68&lt;&gt;"Serviço",AND(AUTOEVENTO="Manual",$M68=$A$15),$M68&gt;(ROW(PLE.lastrow)-ROW(PLE.firstrow))),0,
           IF(OFFSET(PLE!$G$15,$M68-$A$15,CT$13)="",10^12,OFFSET(PLE!$G$15,$M68-$A$15,CT$13)))</f>
        <v>1000000000000</v>
      </c>
      <c r="CU68" s="172" cm="1">
        <f t="array" aca="1" ref="CU68" ca="1">IF(OR($D68&lt;&gt;"Serviço",AND(AUTOEVENTO="Manual",$M68=$A$15),$M68&gt;(ROW(PLE.lastrow)-ROW(PLE.firstrow))),0,
           IF(OFFSET(PLE!$G$15,$M68-$A$15,CU$13)="",10^12,OFFSET(PLE!$G$15,$M68-$A$15,CU$13)))</f>
        <v>1000000000000</v>
      </c>
      <c r="CV68" s="172" cm="1">
        <f t="array" aca="1" ref="CV68" ca="1">IF(OR($D68&lt;&gt;"Serviço",AND(AUTOEVENTO="Manual",$M68=$A$15),$M68&gt;(ROW(PLE.lastrow)-ROW(PLE.firstrow))),0,
           IF(OFFSET(PLE!$G$15,$M68-$A$15,CV$13)="",10^12,OFFSET(PLE!$G$15,$M68-$A$15,CV$13)))</f>
        <v>1000000000000</v>
      </c>
      <c r="CW68" s="172" cm="1">
        <f t="array" aca="1" ref="CW68" ca="1">IF(OR($D68&lt;&gt;"Serviço",AND(AUTOEVENTO="Manual",$M68=$A$15),$M68&gt;(ROW(PLE.lastrow)-ROW(PLE.firstrow))),0,
           IF(OFFSET(PLE!$G$15,$M68-$A$15,CW$13)="",10^12,OFFSET(PLE!$G$15,$M68-$A$15,CW$13)))</f>
        <v>1000000000000</v>
      </c>
      <c r="CX68" s="172" cm="1">
        <f t="array" aca="1" ref="CX68" ca="1">IF(OR($D68&lt;&gt;"Serviço",AND(AUTOEVENTO="Manual",$M68=$A$15),$M68&gt;(ROW(PLE.lastrow)-ROW(PLE.firstrow))),0,
           IF(OFFSET(PLE!$G$15,$M68-$A$15,CX$13)="",10^12,OFFSET(PLE!$G$15,$M68-$A$15,CX$13)))</f>
        <v>1000000000000</v>
      </c>
      <c r="CY68" s="172" cm="1">
        <f t="array" aca="1" ref="CY68" ca="1">IF(OR($D68&lt;&gt;"Serviço",AND(AUTOEVENTO="Manual",$M68=$A$15),$M68&gt;(ROW(PLE.lastrow)-ROW(PLE.firstrow))),0,
           IF(OFFSET(PLE!$G$15,$M68-$A$15,CY$13)="",10^12,OFFSET(PLE!$G$15,$M68-$A$15,CY$13)))</f>
        <v>1000000000000</v>
      </c>
      <c r="CZ68" s="172" cm="1">
        <f t="array" aca="1" ref="CZ68" ca="1">IF(OR($D68&lt;&gt;"Serviço",AND(AUTOEVENTO="Manual",$M68=$A$15),$M68&gt;(ROW(PLE.lastrow)-ROW(PLE.firstrow))),0,
           IF(OFFSET(PLE!$G$15,$M68-$A$15,CZ$13)="",10^12,OFFSET(PLE!$G$15,$M68-$A$15,CZ$13)))</f>
        <v>1000000000000</v>
      </c>
      <c r="DA68" s="172" cm="1">
        <f t="array" aca="1" ref="DA68" ca="1">IF(OR($D68&lt;&gt;"Serviço",AND(AUTOEVENTO="Manual",$M68=$A$15),$M68&gt;(ROW(PLE.lastrow)-ROW(PLE.firstrow))),0,
           IF(OFFSET(PLE!$G$15,$M68-$A$15,DA$13)="",10^12,OFFSET(PLE!$G$15,$M68-$A$15,DA$13)))</f>
        <v>1000000000000</v>
      </c>
      <c r="DB68" s="172" cm="1">
        <f t="array" aca="1" ref="DB68" ca="1">IF(OR($D68&lt;&gt;"Serviço",AND(AUTOEVENTO="Manual",$M68=$A$15),$M68&gt;(ROW(PLE.lastrow)-ROW(PLE.firstrow))),0,
           IF(OFFSET(PLE!$G$15,$M68-$A$15,DB$13)="",10^12,OFFSET(PLE!$G$15,$M68-$A$15,DB$13)))</f>
        <v>1000000000000</v>
      </c>
      <c r="DC68" s="172" cm="1">
        <f t="array" aca="1" ref="DC68" ca="1">IF(OR($D68&lt;&gt;"Serviço",AND(AUTOEVENTO="Manual",$M68=$A$15),$M68&gt;(ROW(PLE.lastrow)-ROW(PLE.firstrow))),0,
           IF(OFFSET(PLE!$G$15,$M68-$A$15,DC$13)="",10^12,OFFSET(PLE!$G$15,$M68-$A$15,DC$13)))</f>
        <v>1000000000000</v>
      </c>
      <c r="DD68" s="172" cm="1">
        <f t="array" aca="1" ref="DD68" ca="1">IF(OR($D68&lt;&gt;"Serviço",AND(AUTOEVENTO="Manual",$M68=$A$15),$M68&gt;(ROW(PLE.lastrow)-ROW(PLE.firstrow))),0,
           IF(OFFSET(PLE!$G$15,$M68-$A$15,DD$13)="",10^12,OFFSET(PLE!$G$15,$M68-$A$15,DD$13)))</f>
        <v>1000000000000</v>
      </c>
      <c r="DE68" s="172" cm="1">
        <f t="array" aca="1" ref="DE68" ca="1">IF(OR($D68&lt;&gt;"Serviço",AND(AUTOEVENTO="Manual",$M68=$A$15),$M68&gt;(ROW(PLE.lastrow)-ROW(PLE.firstrow))),0,
           IF(OFFSET(PLE!$G$15,$M68-$A$15,DE$13)="",10^12,OFFSET(PLE!$G$15,$M68-$A$15,DE$13)))</f>
        <v>1000000000000</v>
      </c>
      <c r="DF68" s="172" cm="1">
        <f t="array" aca="1" ref="DF68" ca="1">IF(OR($D68&lt;&gt;"Serviço",AND(AUTOEVENTO="Manual",$M68=$A$15),$M68&gt;(ROW(PLE.lastrow)-ROW(PLE.firstrow))),0,
           IF(OFFSET(PLE!$G$15,$M68-$A$15,DF$13)="",10^12,OFFSET(PLE!$G$15,$M68-$A$15,DF$13)))</f>
        <v>1000000000000</v>
      </c>
      <c r="DG68" s="172" cm="1">
        <f t="array" aca="1" ref="DG68" ca="1">IF(OR($D68&lt;&gt;"Serviço",AND(AUTOEVENTO="Manual",$M68=$A$15),$M68&gt;(ROW(PLE.lastrow)-ROW(PLE.firstrow))),0,
           IF(OFFSET(PLE!$G$15,$M68-$A$15,DG$13)="",10^12,OFFSET(PLE!$G$15,$M68-$A$15,DG$13)))</f>
        <v>1000000000000</v>
      </c>
      <c r="DH68" s="172" cm="1">
        <f t="array" aca="1" ref="DH68" ca="1">IF(OR($D68&lt;&gt;"Serviço",AND(AUTOEVENTO="Manual",$M68=$A$15),$M68&gt;(ROW(PLE.lastrow)-ROW(PLE.firstrow))),0,
           IF(OFFSET(PLE!$G$15,$M68-$A$15,DH$13)="",10^12,OFFSET(PLE!$G$15,$M68-$A$15,DH$13)))</f>
        <v>1000000000000</v>
      </c>
      <c r="DI68" s="172" cm="1">
        <f t="array" aca="1" ref="DI68" ca="1">IF(OR($D68&lt;&gt;"Serviço",AND(AUTOEVENTO="Manual",$M68=$A$15),$M68&gt;(ROW(PLE.lastrow)-ROW(PLE.firstrow))),0,
           IF(OFFSET(PLE!$G$15,$M68-$A$15,DI$13)="",10^12,OFFSET(PLE!$G$15,$M68-$A$15,DI$13)))</f>
        <v>1000000000000</v>
      </c>
      <c r="DJ68" s="172" cm="1">
        <f t="array" aca="1" ref="DJ68" ca="1">IF(OR($D68&lt;&gt;"Serviço",AND(AUTOEVENTO="Manual",$M68=$A$15),$M68&gt;(ROW(PLE.lastrow)-ROW(PLE.firstrow))),0,
           IF(OFFSET(PLE!$G$15,$M68-$A$15,DJ$13)="",10^12,OFFSET(PLE!$G$15,$M68-$A$15,DJ$13)))</f>
        <v>1000000000000</v>
      </c>
      <c r="DK68" s="172" cm="1">
        <f t="array" aca="1" ref="DK68" ca="1">IF(OR($D68&lt;&gt;"Serviço",AND(AUTOEVENTO="Manual",$M68=$A$15),$M68&gt;(ROW(PLE.lastrow)-ROW(PLE.firstrow))),0,
           IF(OFFSET(PLE!$G$15,$M68-$A$15,DK$13)="",10^12,OFFSET(PLE!$G$15,$M68-$A$15,DK$13)))</f>
        <v>1000000000000</v>
      </c>
      <c r="DL68" s="172" cm="1">
        <f t="array" aca="1" ref="DL68" ca="1">IF(OR($D68&lt;&gt;"Serviço",AND(AUTOEVENTO="Manual",$M68=$A$15),$M68&gt;(ROW(PLE.lastrow)-ROW(PLE.firstrow))),0,
           IF(OFFSET(PLE!$G$15,$M68-$A$15,DL$13)="",10^12,OFFSET(PLE!$G$15,$M68-$A$15,DL$13)))</f>
        <v>1000000000000</v>
      </c>
      <c r="DM68" s="172" cm="1">
        <f t="array" aca="1" ref="DM68" ca="1">IF(OR($D68&lt;&gt;"Serviço",AND(AUTOEVENTO="Manual",$M68=$A$15),$M68&gt;(ROW(PLE.lastrow)-ROW(PLE.firstrow))),0,
           IF(OFFSET(PLE!$G$15,$M68-$A$15,DM$13)="",10^12,OFFSET(PLE!$G$15,$M68-$A$15,DM$13)))</f>
        <v>1000000000000</v>
      </c>
      <c r="DN68" s="172" cm="1">
        <f t="array" aca="1" ref="DN68" ca="1">IF(OR($D68&lt;&gt;"Serviço",AND(AUTOEVENTO="Manual",$M68=$A$15),$M68&gt;(ROW(PLE.lastrow)-ROW(PLE.firstrow))),0,
           IF(OFFSET(PLE!$G$15,$M68-$A$15,DN$13)="",10^12,OFFSET(PLE!$G$15,$M68-$A$15,DN$13)))</f>
        <v>1000000000000</v>
      </c>
      <c r="DO68" s="172" cm="1">
        <f t="array" aca="1" ref="DO68" ca="1">IF(OR($D68&lt;&gt;"Serviço",AND(AUTOEVENTO="Manual",$M68=$A$15),$M68&gt;(ROW(PLE.lastrow)-ROW(PLE.firstrow))),0,
           IF(OFFSET(PLE!$G$15,$M68-$A$15,DO$13)="",10^12,OFFSET(PLE!$G$15,$M68-$A$15,DO$13)))</f>
        <v>1000000000000</v>
      </c>
      <c r="DP68" s="172" cm="1">
        <f t="array" aca="1" ref="DP68" ca="1">IF(OR($D68&lt;&gt;"Serviço",AND(AUTOEVENTO="Manual",$M68=$A$15),$M68&gt;(ROW(PLE.lastrow)-ROW(PLE.firstrow))),0,
           IF(OFFSET(PLE!$G$15,$M68-$A$15,DP$13)="",10^12,OFFSET(PLE!$G$15,$M68-$A$15,DP$13)))</f>
        <v>1000000000000</v>
      </c>
      <c r="DQ68" s="172" cm="1">
        <f t="array" aca="1" ref="DQ68" ca="1">IF(OR($D68&lt;&gt;"Serviço",AND(AUTOEVENTO="Manual",$M68=$A$15),$M68&gt;(ROW(PLE.lastrow)-ROW(PLE.firstrow))),0,
           IF(OFFSET(PLE!$G$15,$M68-$A$15,DQ$13)="",10^12,OFFSET(PLE!$G$15,$M68-$A$15,DQ$13)))</f>
        <v>1000000000000</v>
      </c>
      <c r="DR68" s="172" cm="1">
        <f t="array" aca="1" ref="DR68" ca="1">IF(OR($D68&lt;&gt;"Serviço",AND(AUTOEVENTO="Manual",$M68=$A$15),$M68&gt;(ROW(PLE.lastrow)-ROW(PLE.firstrow))),0,
           IF(OFFSET(PLE!$G$15,$M68-$A$15,DR$13)="",10^12,OFFSET(PLE!$G$15,$M68-$A$15,DR$13)))</f>
        <v>1000000000000</v>
      </c>
      <c r="DS68" s="172" cm="1">
        <f t="array" aca="1" ref="DS68" ca="1">IF(OR($D68&lt;&gt;"Serviço",AND(AUTOEVENTO="Manual",$M68=$A$15),$M68&gt;(ROW(PLE.lastrow)-ROW(PLE.firstrow))),0,
           IF(OFFSET(PLE!$G$15,$M68-$A$15,DS$13)="",10^12,OFFSET(PLE!$G$15,$M68-$A$15,DS$13)))</f>
        <v>1000000000000</v>
      </c>
    </row>
    <row r="69" spans="1:123" ht="76.5" x14ac:dyDescent="0.2">
      <c r="A69" s="7">
        <f t="shared" ca="1" si="11"/>
        <v>5</v>
      </c>
      <c r="B69" s="7" t="str">
        <f ca="1">OFFSET(ORÇAMENTO!C$15,$L69,0)</f>
        <v>S</v>
      </c>
      <c r="C69" s="7" t="str">
        <f ca="1">OFFSET(ORÇAMENTO!L$15,$L69,0)</f>
        <v/>
      </c>
      <c r="D69" s="116" t="str">
        <f ca="1">OFFSET(ORÇAMENTO!N$15,$L69,0)</f>
        <v>Serviço</v>
      </c>
      <c r="E69" s="117" t="str">
        <f ca="1">OFFSET(ORÇAMENTO!O$15,$L69,0)</f>
        <v>-</v>
      </c>
      <c r="F69" s="163" t="str">
        <f ca="1">OFFSET(ORÇAMENTO!R$15,$L69,0)</f>
        <v>(Código não identificado nas referências)</v>
      </c>
      <c r="G69" s="164" t="str">
        <f ca="1">IF($D69&lt;&gt;"Serviço","",OFFSET(ORÇAMENTO!S$15,$L69,0))</f>
        <v>-</v>
      </c>
      <c r="H69" s="122" cm="1">
        <f t="array" aca="1" ref="H69" ca="1">IF($D69&lt;&gt;"Serviço",0,IF(ACOMPANHAMENTO="BM",ROUND(OFFSET(ORÇAMENTO!AJ$15,$L69,0),15-13*ORÇAMENTO!$AF$7),IF(IFERROR(CÁLCULO.FrentesPreenchidas,0)=0,0,SUM(ROUND(OFFSET($P69,0,1,1,CÁLCULO.FrentesPreenchidas),15-13*ORÇAMENTO!$AF$7)))))</f>
        <v>55.999999999999979</v>
      </c>
      <c r="I69" s="468" t="s">
        <v>1235</v>
      </c>
      <c r="J69" s="651" t="str" cm="1">
        <f t="array" aca="1" ref="J69" ca="1">IF(OR(B69&lt;&gt;"S",CÁLCULO.FrentesPreenchidas=0),"",IF(AND(ACOMPANHAMENTO="PLE",AUTOEVENTO="Manual",OR(H69&gt;0,ORÇAMENTO!AC69="QUANT."),OR(K69="",M69=0,N69="")),"►E",IF(AND(ACOMPANHAMENTO="PLE",ORÇAMENTO!AC69="QUANT."),"►Q",IF(AND(ACOMPANHAMENTO="PLE",H69&lt;&gt;SUMPRODUCT(($Q$1:$AQ$1=1)*ROUND(Q69:AQ69,15))),"►S",IF(AND(COUNTIF($P$11:$AQ$11,"▼")=0,H69&gt;0,I69=""),"◄M","")))))</f>
        <v/>
      </c>
      <c r="K69" s="652" t="s">
        <v>1253</v>
      </c>
      <c r="L69" s="165">
        <f t="shared" ca="1" si="12"/>
        <v>54</v>
      </c>
      <c r="M69" s="166">
        <f ca="1">IF($D69&lt;&gt;"Serviço","",
          IF(AUTOEVENTO="manual",$A69,
                IF(ISERROR(MATCH($A69,$A$15:OFFSET($A69,-1,0),0)),MAX($M$15:OFFSET(M69,-1,0))+1,
                      INDEX($M$15:OFFSET(M69,-1,0),MATCH($A69,$A$15:OFFSET($A69,-1,0),0)))))</f>
        <v>5</v>
      </c>
      <c r="N69" s="167" t="str">
        <f ca="1">IF($D69&lt;&gt;"Serviço","",
         IF(AUTOEVENTO="Manual",
                IF($A69=0,"&lt;-- defina o número do agrupador",
                       OFFSET(EVENTOS!$D$15,$A69-$A$15,0)),
                OFFSET($F$15,$A69,0)))</f>
        <v>PAREDES E PAINÉIS</v>
      </c>
      <c r="O69" s="168"/>
      <c r="Q69" s="168">
        <v>2.8</v>
      </c>
      <c r="R69" s="169">
        <v>2.8</v>
      </c>
      <c r="S69" s="169">
        <v>2.8</v>
      </c>
      <c r="T69" s="169">
        <v>2.8</v>
      </c>
      <c r="U69" s="169">
        <v>2.8</v>
      </c>
      <c r="V69" s="169">
        <v>2.8</v>
      </c>
      <c r="W69" s="169">
        <v>2.8</v>
      </c>
      <c r="X69" s="169">
        <v>2.8</v>
      </c>
      <c r="Y69" s="169">
        <v>2.8</v>
      </c>
      <c r="Z69" s="170">
        <v>2.8</v>
      </c>
      <c r="AA69" s="169">
        <v>2.8</v>
      </c>
      <c r="AB69" s="169">
        <v>2.8</v>
      </c>
      <c r="AC69" s="169">
        <v>2.8</v>
      </c>
      <c r="AD69" s="169">
        <v>2.8</v>
      </c>
      <c r="AE69" s="169">
        <v>2.8</v>
      </c>
      <c r="AF69" s="169">
        <v>2.8</v>
      </c>
      <c r="AG69" s="169">
        <v>2.8</v>
      </c>
      <c r="AH69" s="170">
        <v>2.8</v>
      </c>
      <c r="AI69" s="169">
        <v>2.8</v>
      </c>
      <c r="AJ69" s="169">
        <v>2.8</v>
      </c>
      <c r="AK69" s="169"/>
      <c r="AL69" s="169"/>
      <c r="AM69" s="169"/>
      <c r="AN69" s="169"/>
      <c r="AO69" s="169"/>
      <c r="AP69" s="170"/>
      <c r="AR69" s="453">
        <f ca="1">IF(AND($D69="Serviço",AR$12&lt;&gt;0,$H69&gt;0,OR(AUTOEVENTO&lt;&gt;"manual",$M69&lt;&gt;$A$15)),
        IF(Import.TipoArredondamento&lt;&gt;"TransfereGOV",
              ROUND(OFFSET($P69,0,AR$13),15-13*ORÇAMENTO!$AF$7)/$H69*OFFSET(ORÇAMENTO!$X$15,ROW(AR69)-ROW(AR$15),0),
              ROUND(ROUND(OFFSET($P69,0,AR$13),15-13*ORÇAMENTO!$AF$7)*OFFSET(ORÇAMENTO!$W$15,ROW(AR69)-ROW(AR$15),0),15-13*ORÇAMENTO!$AF$11)),
         0)</f>
        <v>0</v>
      </c>
      <c r="AS69" s="453">
        <f ca="1">IF(AND($D69="Serviço",AS$12&lt;&gt;0,$H69&gt;0,OR(AUTOEVENTO&lt;&gt;"manual",$M69&lt;&gt;$A$15)),
        IF(Import.TipoArredondamento&lt;&gt;"TransfereGOV",
              ROUND(OFFSET($P69,0,AS$13),15-13*ORÇAMENTO!$AF$7)/$H69*OFFSET(ORÇAMENTO!$X$15,ROW(AS69)-ROW(AS$15),0),
              ROUND(ROUND(OFFSET($P69,0,AS$13),15-13*ORÇAMENTO!$AF$7)*OFFSET(ORÇAMENTO!$W$15,ROW(AS69)-ROW(AS$15),0),15-13*ORÇAMENTO!$AF$11)),
         0)</f>
        <v>0</v>
      </c>
      <c r="AT69" s="453">
        <f ca="1">IF(AND($D69="Serviço",AT$12&lt;&gt;0,$H69&gt;0,OR(AUTOEVENTO&lt;&gt;"manual",$M69&lt;&gt;$A$15)),
        IF(Import.TipoArredondamento&lt;&gt;"TransfereGOV",
              ROUND(OFFSET($P69,0,AT$13),15-13*ORÇAMENTO!$AF$7)/$H69*OFFSET(ORÇAMENTO!$X$15,ROW(AT69)-ROW(AT$15),0),
              ROUND(ROUND(OFFSET($P69,0,AT$13),15-13*ORÇAMENTO!$AF$7)*OFFSET(ORÇAMENTO!$W$15,ROW(AT69)-ROW(AT$15),0),15-13*ORÇAMENTO!$AF$11)),
         0)</f>
        <v>0</v>
      </c>
      <c r="AU69" s="453">
        <f ca="1">IF(AND($D69="Serviço",AU$12&lt;&gt;0,$H69&gt;0,OR(AUTOEVENTO&lt;&gt;"manual",$M69&lt;&gt;$A$15)),
        IF(Import.TipoArredondamento&lt;&gt;"TransfereGOV",
              ROUND(OFFSET($P69,0,AU$13),15-13*ORÇAMENTO!$AF$7)/$H69*OFFSET(ORÇAMENTO!$X$15,ROW(AU69)-ROW(AU$15),0),
              ROUND(ROUND(OFFSET($P69,0,AU$13),15-13*ORÇAMENTO!$AF$7)*OFFSET(ORÇAMENTO!$W$15,ROW(AU69)-ROW(AU$15),0),15-13*ORÇAMENTO!$AF$11)),
         0)</f>
        <v>0</v>
      </c>
      <c r="AV69" s="453">
        <f ca="1">IF(AND($D69="Serviço",AV$12&lt;&gt;0,$H69&gt;0,OR(AUTOEVENTO&lt;&gt;"manual",$M69&lt;&gt;$A$15)),
        IF(Import.TipoArredondamento&lt;&gt;"TransfereGOV",
              ROUND(OFFSET($P69,0,AV$13),15-13*ORÇAMENTO!$AF$7)/$H69*OFFSET(ORÇAMENTO!$X$15,ROW(AV69)-ROW(AV$15),0),
              ROUND(ROUND(OFFSET($P69,0,AV$13),15-13*ORÇAMENTO!$AF$7)*OFFSET(ORÇAMENTO!$W$15,ROW(AV69)-ROW(AV$15),0),15-13*ORÇAMENTO!$AF$11)),
         0)</f>
        <v>0</v>
      </c>
      <c r="AW69" s="453">
        <f ca="1">IF(AND($D69="Serviço",AW$12&lt;&gt;0,$H69&gt;0,OR(AUTOEVENTO&lt;&gt;"manual",$M69&lt;&gt;$A$15)),
        IF(Import.TipoArredondamento&lt;&gt;"TransfereGOV",
              ROUND(OFFSET($P69,0,AW$13),15-13*ORÇAMENTO!$AF$7)/$H69*OFFSET(ORÇAMENTO!$X$15,ROW(AW69)-ROW(AW$15),0),
              ROUND(ROUND(OFFSET($P69,0,AW$13),15-13*ORÇAMENTO!$AF$7)*OFFSET(ORÇAMENTO!$W$15,ROW(AW69)-ROW(AW$15),0),15-13*ORÇAMENTO!$AF$11)),
         0)</f>
        <v>0</v>
      </c>
      <c r="AX69" s="453">
        <f ca="1">IF(AND($D69="Serviço",AX$12&lt;&gt;0,$H69&gt;0,OR(AUTOEVENTO&lt;&gt;"manual",$M69&lt;&gt;$A$15)),
        IF(Import.TipoArredondamento&lt;&gt;"TransfereGOV",
              ROUND(OFFSET($P69,0,AX$13),15-13*ORÇAMENTO!$AF$7)/$H69*OFFSET(ORÇAMENTO!$X$15,ROW(AX69)-ROW(AX$15),0),
              ROUND(ROUND(OFFSET($P69,0,AX$13),15-13*ORÇAMENTO!$AF$7)*OFFSET(ORÇAMENTO!$W$15,ROW(AX69)-ROW(AX$15),0),15-13*ORÇAMENTO!$AF$11)),
         0)</f>
        <v>0</v>
      </c>
      <c r="AY69" s="453">
        <f ca="1">IF(AND($D69="Serviço",AY$12&lt;&gt;0,$H69&gt;0,OR(AUTOEVENTO&lt;&gt;"manual",$M69&lt;&gt;$A$15)),
        IF(Import.TipoArredondamento&lt;&gt;"TransfereGOV",
              ROUND(OFFSET($P69,0,AY$13),15-13*ORÇAMENTO!$AF$7)/$H69*OFFSET(ORÇAMENTO!$X$15,ROW(AY69)-ROW(AY$15),0),
              ROUND(ROUND(OFFSET($P69,0,AY$13),15-13*ORÇAMENTO!$AF$7)*OFFSET(ORÇAMENTO!$W$15,ROW(AY69)-ROW(AY$15),0),15-13*ORÇAMENTO!$AF$11)),
         0)</f>
        <v>0</v>
      </c>
      <c r="AZ69" s="453">
        <f ca="1">IF(AND($D69="Serviço",AZ$12&lt;&gt;0,$H69&gt;0,OR(AUTOEVENTO&lt;&gt;"manual",$M69&lt;&gt;$A$15)),
        IF(Import.TipoArredondamento&lt;&gt;"TransfereGOV",
              ROUND(OFFSET($P69,0,AZ$13),15-13*ORÇAMENTO!$AF$7)/$H69*OFFSET(ORÇAMENTO!$X$15,ROW(AZ69)-ROW(AZ$15),0),
              ROUND(ROUND(OFFSET($P69,0,AZ$13),15-13*ORÇAMENTO!$AF$7)*OFFSET(ORÇAMENTO!$W$15,ROW(AZ69)-ROW(AZ$15),0),15-13*ORÇAMENTO!$AF$11)),
         0)</f>
        <v>0</v>
      </c>
      <c r="BA69" s="453">
        <f ca="1">IF(AND($D69="Serviço",BA$12&lt;&gt;0,$H69&gt;0,OR(AUTOEVENTO&lt;&gt;"manual",$M69&lt;&gt;$A$15)),
        IF(Import.TipoArredondamento&lt;&gt;"TransfereGOV",
              ROUND(OFFSET($P69,0,BA$13),15-13*ORÇAMENTO!$AF$7)/$H69*OFFSET(ORÇAMENTO!$X$15,ROW(BA69)-ROW(BA$15),0),
              ROUND(ROUND(OFFSET($P69,0,BA$13),15-13*ORÇAMENTO!$AF$7)*OFFSET(ORÇAMENTO!$W$15,ROW(BA69)-ROW(BA$15),0),15-13*ORÇAMENTO!$AF$11)),
         0)</f>
        <v>0</v>
      </c>
      <c r="BB69" s="453">
        <f ca="1">IF(AND($D69="Serviço",BB$12&lt;&gt;0,$H69&gt;0,OR(AUTOEVENTO&lt;&gt;"manual",$M69&lt;&gt;$A$15)),
        IF(Import.TipoArredondamento&lt;&gt;"TransfereGOV",
              ROUND(OFFSET($P69,0,BB$13),15-13*ORÇAMENTO!$AF$7)/$H69*OFFSET(ORÇAMENTO!$X$15,ROW(BB69)-ROW(BB$15),0),
              ROUND(ROUND(OFFSET($P69,0,BB$13),15-13*ORÇAMENTO!$AF$7)*OFFSET(ORÇAMENTO!$W$15,ROW(BB69)-ROW(BB$15),0),15-13*ORÇAMENTO!$AF$11)),
         0)</f>
        <v>0</v>
      </c>
      <c r="BC69" s="453">
        <f ca="1">IF(AND($D69="Serviço",BC$12&lt;&gt;0,$H69&gt;0,OR(AUTOEVENTO&lt;&gt;"manual",$M69&lt;&gt;$A$15)),
        IF(Import.TipoArredondamento&lt;&gt;"TransfereGOV",
              ROUND(OFFSET($P69,0,BC$13),15-13*ORÇAMENTO!$AF$7)/$H69*OFFSET(ORÇAMENTO!$X$15,ROW(BC69)-ROW(BC$15),0),
              ROUND(ROUND(OFFSET($P69,0,BC$13),15-13*ORÇAMENTO!$AF$7)*OFFSET(ORÇAMENTO!$W$15,ROW(BC69)-ROW(BC$15),0),15-13*ORÇAMENTO!$AF$11)),
         0)</f>
        <v>0</v>
      </c>
      <c r="BD69" s="453">
        <f ca="1">IF(AND($D69="Serviço",BD$12&lt;&gt;0,$H69&gt;0,OR(AUTOEVENTO&lt;&gt;"manual",$M69&lt;&gt;$A$15)),
        IF(Import.TipoArredondamento&lt;&gt;"TransfereGOV",
              ROUND(OFFSET($P69,0,BD$13),15-13*ORÇAMENTO!$AF$7)/$H69*OFFSET(ORÇAMENTO!$X$15,ROW(BD69)-ROW(BD$15),0),
              ROUND(ROUND(OFFSET($P69,0,BD$13),15-13*ORÇAMENTO!$AF$7)*OFFSET(ORÇAMENTO!$W$15,ROW(BD69)-ROW(BD$15),0),15-13*ORÇAMENTO!$AF$11)),
         0)</f>
        <v>0</v>
      </c>
      <c r="BE69" s="453">
        <f ca="1">IF(AND($D69="Serviço",BE$12&lt;&gt;0,$H69&gt;0,OR(AUTOEVENTO&lt;&gt;"manual",$M69&lt;&gt;$A$15)),
        IF(Import.TipoArredondamento&lt;&gt;"TransfereGOV",
              ROUND(OFFSET($P69,0,BE$13),15-13*ORÇAMENTO!$AF$7)/$H69*OFFSET(ORÇAMENTO!$X$15,ROW(BE69)-ROW(BE$15),0),
              ROUND(ROUND(OFFSET($P69,0,BE$13),15-13*ORÇAMENTO!$AF$7)*OFFSET(ORÇAMENTO!$W$15,ROW(BE69)-ROW(BE$15),0),15-13*ORÇAMENTO!$AF$11)),
         0)</f>
        <v>0</v>
      </c>
      <c r="BF69" s="453">
        <f ca="1">IF(AND($D69="Serviço",BF$12&lt;&gt;0,$H69&gt;0,OR(AUTOEVENTO&lt;&gt;"manual",$M69&lt;&gt;$A$15)),
        IF(Import.TipoArredondamento&lt;&gt;"TransfereGOV",
              ROUND(OFFSET($P69,0,BF$13),15-13*ORÇAMENTO!$AF$7)/$H69*OFFSET(ORÇAMENTO!$X$15,ROW(BF69)-ROW(BF$15),0),
              ROUND(ROUND(OFFSET($P69,0,BF$13),15-13*ORÇAMENTO!$AF$7)*OFFSET(ORÇAMENTO!$W$15,ROW(BF69)-ROW(BF$15),0),15-13*ORÇAMENTO!$AF$11)),
         0)</f>
        <v>0</v>
      </c>
      <c r="BG69" s="453">
        <f ca="1">IF(AND($D69="Serviço",BG$12&lt;&gt;0,$H69&gt;0,OR(AUTOEVENTO&lt;&gt;"manual",$M69&lt;&gt;$A$15)),
        IF(Import.TipoArredondamento&lt;&gt;"TransfereGOV",
              ROUND(OFFSET($P69,0,BG$13),15-13*ORÇAMENTO!$AF$7)/$H69*OFFSET(ORÇAMENTO!$X$15,ROW(BG69)-ROW(BG$15),0),
              ROUND(ROUND(OFFSET($P69,0,BG$13),15-13*ORÇAMENTO!$AF$7)*OFFSET(ORÇAMENTO!$W$15,ROW(BG69)-ROW(BG$15),0),15-13*ORÇAMENTO!$AF$11)),
         0)</f>
        <v>0</v>
      </c>
      <c r="BH69" s="453">
        <f ca="1">IF(AND($D69="Serviço",BH$12&lt;&gt;0,$H69&gt;0,OR(AUTOEVENTO&lt;&gt;"manual",$M69&lt;&gt;$A$15)),
        IF(Import.TipoArredondamento&lt;&gt;"TransfereGOV",
              ROUND(OFFSET($P69,0,BH$13),15-13*ORÇAMENTO!$AF$7)/$H69*OFFSET(ORÇAMENTO!$X$15,ROW(BH69)-ROW(BH$15),0),
              ROUND(ROUND(OFFSET($P69,0,BH$13),15-13*ORÇAMENTO!$AF$7)*OFFSET(ORÇAMENTO!$W$15,ROW(BH69)-ROW(BH$15),0),15-13*ORÇAMENTO!$AF$11)),
         0)</f>
        <v>0</v>
      </c>
      <c r="BI69" s="453">
        <f ca="1">IF(AND($D69="Serviço",BI$12&lt;&gt;0,$H69&gt;0,OR(AUTOEVENTO&lt;&gt;"manual",$M69&lt;&gt;$A$15)),
        IF(Import.TipoArredondamento&lt;&gt;"TransfereGOV",
              ROUND(OFFSET($P69,0,BI$13),15-13*ORÇAMENTO!$AF$7)/$H69*OFFSET(ORÇAMENTO!$X$15,ROW(BI69)-ROW(BI$15),0),
              ROUND(ROUND(OFFSET($P69,0,BI$13),15-13*ORÇAMENTO!$AF$7)*OFFSET(ORÇAMENTO!$W$15,ROW(BI69)-ROW(BI$15),0),15-13*ORÇAMENTO!$AF$11)),
         0)</f>
        <v>0</v>
      </c>
      <c r="BJ69" s="453">
        <f ca="1">IF(AND($D69="Serviço",BJ$12&lt;&gt;0,$H69&gt;0,OR(AUTOEVENTO&lt;&gt;"manual",$M69&lt;&gt;$A$15)),
        IF(Import.TipoArredondamento&lt;&gt;"TransfereGOV",
              ROUND(OFFSET($P69,0,BJ$13),15-13*ORÇAMENTO!$AF$7)/$H69*OFFSET(ORÇAMENTO!$X$15,ROW(BJ69)-ROW(BJ$15),0),
              ROUND(ROUND(OFFSET($P69,0,BJ$13),15-13*ORÇAMENTO!$AF$7)*OFFSET(ORÇAMENTO!$W$15,ROW(BJ69)-ROW(BJ$15),0),15-13*ORÇAMENTO!$AF$11)),
         0)</f>
        <v>0</v>
      </c>
      <c r="BK69" s="453">
        <f ca="1">IF(AND($D69="Serviço",BK$12&lt;&gt;0,$H69&gt;0,OR(AUTOEVENTO&lt;&gt;"manual",$M69&lt;&gt;$A$15)),
        IF(Import.TipoArredondamento&lt;&gt;"TransfereGOV",
              ROUND(OFFSET($P69,0,BK$13),15-13*ORÇAMENTO!$AF$7)/$H69*OFFSET(ORÇAMENTO!$X$15,ROW(BK69)-ROW(BK$15),0),
              ROUND(ROUND(OFFSET($P69,0,BK$13),15-13*ORÇAMENTO!$AF$7)*OFFSET(ORÇAMENTO!$W$15,ROW(BK69)-ROW(BK$15),0),15-13*ORÇAMENTO!$AF$11)),
         0)</f>
        <v>0</v>
      </c>
      <c r="BL69" s="453">
        <f ca="1">IF(AND($D69="Serviço",BL$12&lt;&gt;0,$H69&gt;0,OR(AUTOEVENTO&lt;&gt;"manual",$M69&lt;&gt;$A$15)),
        IF(Import.TipoArredondamento&lt;&gt;"TransfereGOV",
              ROUND(OFFSET($P69,0,BL$13),15-13*ORÇAMENTO!$AF$7)/$H69*OFFSET(ORÇAMENTO!$X$15,ROW(BL69)-ROW(BL$15),0),
              ROUND(ROUND(OFFSET($P69,0,BL$13),15-13*ORÇAMENTO!$AF$7)*OFFSET(ORÇAMENTO!$W$15,ROW(BL69)-ROW(BL$15),0),15-13*ORÇAMENTO!$AF$11)),
         0)</f>
        <v>0</v>
      </c>
      <c r="BM69" s="453">
        <f ca="1">IF(AND($D69="Serviço",BM$12&lt;&gt;0,$H69&gt;0,OR(AUTOEVENTO&lt;&gt;"manual",$M69&lt;&gt;$A$15)),
        IF(Import.TipoArredondamento&lt;&gt;"TransfereGOV",
              ROUND(OFFSET($P69,0,BM$13),15-13*ORÇAMENTO!$AF$7)/$H69*OFFSET(ORÇAMENTO!$X$15,ROW(BM69)-ROW(BM$15),0),
              ROUND(ROUND(OFFSET($P69,0,BM$13),15-13*ORÇAMENTO!$AF$7)*OFFSET(ORÇAMENTO!$W$15,ROW(BM69)-ROW(BM$15),0),15-13*ORÇAMENTO!$AF$11)),
         0)</f>
        <v>0</v>
      </c>
      <c r="BN69" s="453">
        <f ca="1">IF(AND($D69="Serviço",BN$12&lt;&gt;0,$H69&gt;0,OR(AUTOEVENTO&lt;&gt;"manual",$M69&lt;&gt;$A$15)),
        IF(Import.TipoArredondamento&lt;&gt;"TransfereGOV",
              ROUND(OFFSET($P69,0,BN$13),15-13*ORÇAMENTO!$AF$7)/$H69*OFFSET(ORÇAMENTO!$X$15,ROW(BN69)-ROW(BN$15),0),
              ROUND(ROUND(OFFSET($P69,0,BN$13),15-13*ORÇAMENTO!$AF$7)*OFFSET(ORÇAMENTO!$W$15,ROW(BN69)-ROW(BN$15),0),15-13*ORÇAMENTO!$AF$11)),
         0)</f>
        <v>0</v>
      </c>
      <c r="BO69" s="453">
        <f ca="1">IF(AND($D69="Serviço",BO$12&lt;&gt;0,$H69&gt;0,OR(AUTOEVENTO&lt;&gt;"manual",$M69&lt;&gt;$A$15)),
        IF(Import.TipoArredondamento&lt;&gt;"TransfereGOV",
              ROUND(OFFSET($P69,0,BO$13),15-13*ORÇAMENTO!$AF$7)/$H69*OFFSET(ORÇAMENTO!$X$15,ROW(BO69)-ROW(BO$15),0),
              ROUND(ROUND(OFFSET($P69,0,BO$13),15-13*ORÇAMENTO!$AF$7)*OFFSET(ORÇAMENTO!$W$15,ROW(BO69)-ROW(BO$15),0),15-13*ORÇAMENTO!$AF$11)),
         0)</f>
        <v>0</v>
      </c>
      <c r="BP69" s="453">
        <f ca="1">IF(AND($D69="Serviço",BP$12&lt;&gt;0,$H69&gt;0,OR(AUTOEVENTO&lt;&gt;"manual",$M69&lt;&gt;$A$15)),
        IF(Import.TipoArredondamento&lt;&gt;"TransfereGOV",
              ROUND(OFFSET($P69,0,BP$13),15-13*ORÇAMENTO!$AF$7)/$H69*OFFSET(ORÇAMENTO!$X$15,ROW(BP69)-ROW(BP$15),0),
              ROUND(ROUND(OFFSET($P69,0,BP$13),15-13*ORÇAMENTO!$AF$7)*OFFSET(ORÇAMENTO!$W$15,ROW(BP69)-ROW(BP$15),0),15-13*ORÇAMENTO!$AF$11)),
         0)</f>
        <v>0</v>
      </c>
      <c r="BQ69" s="453">
        <f ca="1">IF(AND($D69="Serviço",BQ$12&lt;&gt;0,$H69&gt;0,OR(AUTOEVENTO&lt;&gt;"manual",$M69&lt;&gt;$A$15)),
        IF(Import.TipoArredondamento&lt;&gt;"TransfereGOV",
              ROUND(OFFSET($P69,0,BQ$13),15-13*ORÇAMENTO!$AF$7)/$H69*OFFSET(ORÇAMENTO!$X$15,ROW(BQ69)-ROW(BQ$15),0),
              ROUND(ROUND(OFFSET($P69,0,BQ$13),15-13*ORÇAMENTO!$AF$7)*OFFSET(ORÇAMENTO!$W$15,ROW(BQ69)-ROW(BQ$15),0),15-13*ORÇAMENTO!$AF$11)),
         0)</f>
        <v>0</v>
      </c>
      <c r="BS69" s="171">
        <f ca="1">IF(OR($D69&lt;&gt;"Serviço",AND(AUTOEVENTO="Manual",$M69=$A$15)),0,
         IF(OFFSET(CRONOPLE!$F$15,$M69-$A$15,BS$13)=0,10^12,OFFSET(CRONOPLE!$F$15,$M69-$A$15,BS$13)))</f>
        <v>1</v>
      </c>
      <c r="BT69" s="171">
        <f ca="1">IF(OR($D69&lt;&gt;"Serviço",AND(AUTOEVENTO="Manual",$M69=$A$15)),0,
         IF(OFFSET(CRONOPLE!$F$15,$M69-$A$15,BT$13)=0,10^12,OFFSET(CRONOPLE!$F$15,$M69-$A$15,BT$13)))</f>
        <v>2</v>
      </c>
      <c r="BU69" s="171">
        <f ca="1">IF(OR($D69&lt;&gt;"Serviço",AND(AUTOEVENTO="Manual",$M69=$A$15)),0,
         IF(OFFSET(CRONOPLE!$F$15,$M69-$A$15,BU$13)=0,10^12,OFFSET(CRONOPLE!$F$15,$M69-$A$15,BU$13)))</f>
        <v>3</v>
      </c>
      <c r="BV69" s="171">
        <f ca="1">IF(OR($D69&lt;&gt;"Serviço",AND(AUTOEVENTO="Manual",$M69=$A$15)),0,
         IF(OFFSET(CRONOPLE!$F$15,$M69-$A$15,BV$13)=0,10^12,OFFSET(CRONOPLE!$F$15,$M69-$A$15,BV$13)))</f>
        <v>4</v>
      </c>
      <c r="BW69" s="171">
        <f ca="1">IF(OR($D69&lt;&gt;"Serviço",AND(AUTOEVENTO="Manual",$M69=$A$15)),0,
         IF(OFFSET(CRONOPLE!$F$15,$M69-$A$15,BW$13)=0,10^12,OFFSET(CRONOPLE!$F$15,$M69-$A$15,BW$13)))</f>
        <v>5</v>
      </c>
      <c r="BX69" s="171">
        <f ca="1">IF(OR($D69&lt;&gt;"Serviço",AND(AUTOEVENTO="Manual",$M69=$A$15)),0,
         IF(OFFSET(CRONOPLE!$F$15,$M69-$A$15,BX$13)=0,10^12,OFFSET(CRONOPLE!$F$15,$M69-$A$15,BX$13)))</f>
        <v>6</v>
      </c>
      <c r="BY69" s="171">
        <f ca="1">IF(OR($D69&lt;&gt;"Serviço",AND(AUTOEVENTO="Manual",$M69=$A$15)),0,
         IF(OFFSET(CRONOPLE!$F$15,$M69-$A$15,BY$13)=0,10^12,OFFSET(CRONOPLE!$F$15,$M69-$A$15,BY$13)))</f>
        <v>7</v>
      </c>
      <c r="BZ69" s="171">
        <f ca="1">IF(OR($D69&lt;&gt;"Serviço",AND(AUTOEVENTO="Manual",$M69=$A$15)),0,
         IF(OFFSET(CRONOPLE!$F$15,$M69-$A$15,BZ$13)=0,10^12,OFFSET(CRONOPLE!$F$15,$M69-$A$15,BZ$13)))</f>
        <v>8</v>
      </c>
      <c r="CA69" s="171">
        <f ca="1">IF(OR($D69&lt;&gt;"Serviço",AND(AUTOEVENTO="Manual",$M69=$A$15)),0,
         IF(OFFSET(CRONOPLE!$F$15,$M69-$A$15,CA$13)=0,10^12,OFFSET(CRONOPLE!$F$15,$M69-$A$15,CA$13)))</f>
        <v>9</v>
      </c>
      <c r="CB69" s="171">
        <f ca="1">IF(OR($D69&lt;&gt;"Serviço",AND(AUTOEVENTO="Manual",$M69=$A$15)),0,
         IF(OFFSET(CRONOPLE!$F$15,$M69-$A$15,CB$13)=0,10^12,OFFSET(CRONOPLE!$F$15,$M69-$A$15,CB$13)))</f>
        <v>10</v>
      </c>
      <c r="CC69" s="171">
        <f ca="1">IF(OR($D69&lt;&gt;"Serviço",AND(AUTOEVENTO="Manual",$M69=$A$15)),0,
         IF(OFFSET(CRONOPLE!$F$15,$M69-$A$15,CC$13)=0,10^12,OFFSET(CRONOPLE!$F$15,$M69-$A$15,CC$13)))</f>
        <v>11</v>
      </c>
      <c r="CD69" s="171">
        <f ca="1">IF(OR($D69&lt;&gt;"Serviço",AND(AUTOEVENTO="Manual",$M69=$A$15)),0,
         IF(OFFSET(CRONOPLE!$F$15,$M69-$A$15,CD$13)=0,10^12,OFFSET(CRONOPLE!$F$15,$M69-$A$15,CD$13)))</f>
        <v>12</v>
      </c>
      <c r="CE69" s="171">
        <f ca="1">IF(OR($D69&lt;&gt;"Serviço",AND(AUTOEVENTO="Manual",$M69=$A$15)),0,
         IF(OFFSET(CRONOPLE!$F$15,$M69-$A$15,CE$13)=0,10^12,OFFSET(CRONOPLE!$F$15,$M69-$A$15,CE$13)))</f>
        <v>13</v>
      </c>
      <c r="CF69" s="171">
        <f ca="1">IF(OR($D69&lt;&gt;"Serviço",AND(AUTOEVENTO="Manual",$M69=$A$15)),0,
         IF(OFFSET(CRONOPLE!$F$15,$M69-$A$15,CF$13)=0,10^12,OFFSET(CRONOPLE!$F$15,$M69-$A$15,CF$13)))</f>
        <v>14</v>
      </c>
      <c r="CG69" s="171">
        <f ca="1">IF(OR($D69&lt;&gt;"Serviço",AND(AUTOEVENTO="Manual",$M69=$A$15)),0,
         IF(OFFSET(CRONOPLE!$F$15,$M69-$A$15,CG$13)=0,10^12,OFFSET(CRONOPLE!$F$15,$M69-$A$15,CG$13)))</f>
        <v>15</v>
      </c>
      <c r="CH69" s="171">
        <f ca="1">IF(OR($D69&lt;&gt;"Serviço",AND(AUTOEVENTO="Manual",$M69=$A$15)),0,
         IF(OFFSET(CRONOPLE!$F$15,$M69-$A$15,CH$13)=0,10^12,OFFSET(CRONOPLE!$F$15,$M69-$A$15,CH$13)))</f>
        <v>16</v>
      </c>
      <c r="CI69" s="171">
        <f ca="1">IF(OR($D69&lt;&gt;"Serviço",AND(AUTOEVENTO="Manual",$M69=$A$15)),0,
         IF(OFFSET(CRONOPLE!$F$15,$M69-$A$15,CI$13)=0,10^12,OFFSET(CRONOPLE!$F$15,$M69-$A$15,CI$13)))</f>
        <v>17</v>
      </c>
      <c r="CJ69" s="171">
        <f ca="1">IF(OR($D69&lt;&gt;"Serviço",AND(AUTOEVENTO="Manual",$M69=$A$15)),0,
         IF(OFFSET(CRONOPLE!$F$15,$M69-$A$15,CJ$13)=0,10^12,OFFSET(CRONOPLE!$F$15,$M69-$A$15,CJ$13)))</f>
        <v>18</v>
      </c>
      <c r="CK69" s="171">
        <f ca="1">IF(OR($D69&lt;&gt;"Serviço",AND(AUTOEVENTO="Manual",$M69=$A$15)),0,
         IF(OFFSET(CRONOPLE!$F$15,$M69-$A$15,CK$13)=0,10^12,OFFSET(CRONOPLE!$F$15,$M69-$A$15,CK$13)))</f>
        <v>19</v>
      </c>
      <c r="CL69" s="171">
        <f ca="1">IF(OR($D69&lt;&gt;"Serviço",AND(AUTOEVENTO="Manual",$M69=$A$15)),0,
         IF(OFFSET(CRONOPLE!$F$15,$M69-$A$15,CL$13)=0,10^12,OFFSET(CRONOPLE!$F$15,$M69-$A$15,CL$13)))</f>
        <v>20</v>
      </c>
      <c r="CM69" s="171">
        <f ca="1">IF(OR($D69&lt;&gt;"Serviço",AND(AUTOEVENTO="Manual",$M69=$A$15)),0,
         IF(OFFSET(CRONOPLE!$F$15,$M69-$A$15,CM$13)=0,10^12,OFFSET(CRONOPLE!$F$15,$M69-$A$15,CM$13)))</f>
        <v>1000000000000</v>
      </c>
      <c r="CN69" s="171">
        <f ca="1">IF(OR($D69&lt;&gt;"Serviço",AND(AUTOEVENTO="Manual",$M69=$A$15)),0,
         IF(OFFSET(CRONOPLE!$F$15,$M69-$A$15,CN$13)=0,10^12,OFFSET(CRONOPLE!$F$15,$M69-$A$15,CN$13)))</f>
        <v>1000000000000</v>
      </c>
      <c r="CO69" s="171">
        <f ca="1">IF(OR($D69&lt;&gt;"Serviço",AND(AUTOEVENTO="Manual",$M69=$A$15)),0,
         IF(OFFSET(CRONOPLE!$F$15,$M69-$A$15,CO$13)=0,10^12,OFFSET(CRONOPLE!$F$15,$M69-$A$15,CO$13)))</f>
        <v>1000000000000</v>
      </c>
      <c r="CP69" s="171">
        <f ca="1">IF(OR($D69&lt;&gt;"Serviço",AND(AUTOEVENTO="Manual",$M69=$A$15)),0,
         IF(OFFSET(CRONOPLE!$F$15,$M69-$A$15,CP$13)=0,10^12,OFFSET(CRONOPLE!$F$15,$M69-$A$15,CP$13)))</f>
        <v>1000000000000</v>
      </c>
      <c r="CQ69" s="171">
        <f ca="1">IF(OR($D69&lt;&gt;"Serviço",AND(AUTOEVENTO="Manual",$M69=$A$15)),0,
         IF(OFFSET(CRONOPLE!$F$15,$M69-$A$15,CQ$13)=0,10^12,OFFSET(CRONOPLE!$F$15,$M69-$A$15,CQ$13)))</f>
        <v>1000000000000</v>
      </c>
      <c r="CR69" s="171">
        <f ca="1">IF(OR($D69&lt;&gt;"Serviço",AND(AUTOEVENTO="Manual",$M69=$A$15)),0,
         IF(OFFSET(CRONOPLE!$F$15,$M69-$A$15,CR$13)=0,10^12,OFFSET(CRONOPLE!$F$15,$M69-$A$15,CR$13)))</f>
        <v>1000000000000</v>
      </c>
      <c r="CT69" s="172" cm="1">
        <f t="array" aca="1" ref="CT69" ca="1">IF(OR($D69&lt;&gt;"Serviço",AND(AUTOEVENTO="Manual",$M69=$A$15),$M69&gt;(ROW(PLE.lastrow)-ROW(PLE.firstrow))),0,
           IF(OFFSET(PLE!$G$15,$M69-$A$15,CT$13)="",10^12,OFFSET(PLE!$G$15,$M69-$A$15,CT$13)))</f>
        <v>1000000000000</v>
      </c>
      <c r="CU69" s="172" cm="1">
        <f t="array" aca="1" ref="CU69" ca="1">IF(OR($D69&lt;&gt;"Serviço",AND(AUTOEVENTO="Manual",$M69=$A$15),$M69&gt;(ROW(PLE.lastrow)-ROW(PLE.firstrow))),0,
           IF(OFFSET(PLE!$G$15,$M69-$A$15,CU$13)="",10^12,OFFSET(PLE!$G$15,$M69-$A$15,CU$13)))</f>
        <v>1000000000000</v>
      </c>
      <c r="CV69" s="172" cm="1">
        <f t="array" aca="1" ref="CV69" ca="1">IF(OR($D69&lt;&gt;"Serviço",AND(AUTOEVENTO="Manual",$M69=$A$15),$M69&gt;(ROW(PLE.lastrow)-ROW(PLE.firstrow))),0,
           IF(OFFSET(PLE!$G$15,$M69-$A$15,CV$13)="",10^12,OFFSET(PLE!$G$15,$M69-$A$15,CV$13)))</f>
        <v>1000000000000</v>
      </c>
      <c r="CW69" s="172" cm="1">
        <f t="array" aca="1" ref="CW69" ca="1">IF(OR($D69&lt;&gt;"Serviço",AND(AUTOEVENTO="Manual",$M69=$A$15),$M69&gt;(ROW(PLE.lastrow)-ROW(PLE.firstrow))),0,
           IF(OFFSET(PLE!$G$15,$M69-$A$15,CW$13)="",10^12,OFFSET(PLE!$G$15,$M69-$A$15,CW$13)))</f>
        <v>1000000000000</v>
      </c>
      <c r="CX69" s="172" cm="1">
        <f t="array" aca="1" ref="CX69" ca="1">IF(OR($D69&lt;&gt;"Serviço",AND(AUTOEVENTO="Manual",$M69=$A$15),$M69&gt;(ROW(PLE.lastrow)-ROW(PLE.firstrow))),0,
           IF(OFFSET(PLE!$G$15,$M69-$A$15,CX$13)="",10^12,OFFSET(PLE!$G$15,$M69-$A$15,CX$13)))</f>
        <v>1000000000000</v>
      </c>
      <c r="CY69" s="172" cm="1">
        <f t="array" aca="1" ref="CY69" ca="1">IF(OR($D69&lt;&gt;"Serviço",AND(AUTOEVENTO="Manual",$M69=$A$15),$M69&gt;(ROW(PLE.lastrow)-ROW(PLE.firstrow))),0,
           IF(OFFSET(PLE!$G$15,$M69-$A$15,CY$13)="",10^12,OFFSET(PLE!$G$15,$M69-$A$15,CY$13)))</f>
        <v>1000000000000</v>
      </c>
      <c r="CZ69" s="172" cm="1">
        <f t="array" aca="1" ref="CZ69" ca="1">IF(OR($D69&lt;&gt;"Serviço",AND(AUTOEVENTO="Manual",$M69=$A$15),$M69&gt;(ROW(PLE.lastrow)-ROW(PLE.firstrow))),0,
           IF(OFFSET(PLE!$G$15,$M69-$A$15,CZ$13)="",10^12,OFFSET(PLE!$G$15,$M69-$A$15,CZ$13)))</f>
        <v>1000000000000</v>
      </c>
      <c r="DA69" s="172" cm="1">
        <f t="array" aca="1" ref="DA69" ca="1">IF(OR($D69&lt;&gt;"Serviço",AND(AUTOEVENTO="Manual",$M69=$A$15),$M69&gt;(ROW(PLE.lastrow)-ROW(PLE.firstrow))),0,
           IF(OFFSET(PLE!$G$15,$M69-$A$15,DA$13)="",10^12,OFFSET(PLE!$G$15,$M69-$A$15,DA$13)))</f>
        <v>1000000000000</v>
      </c>
      <c r="DB69" s="172" cm="1">
        <f t="array" aca="1" ref="DB69" ca="1">IF(OR($D69&lt;&gt;"Serviço",AND(AUTOEVENTO="Manual",$M69=$A$15),$M69&gt;(ROW(PLE.lastrow)-ROW(PLE.firstrow))),0,
           IF(OFFSET(PLE!$G$15,$M69-$A$15,DB$13)="",10^12,OFFSET(PLE!$G$15,$M69-$A$15,DB$13)))</f>
        <v>1000000000000</v>
      </c>
      <c r="DC69" s="172" cm="1">
        <f t="array" aca="1" ref="DC69" ca="1">IF(OR($D69&lt;&gt;"Serviço",AND(AUTOEVENTO="Manual",$M69=$A$15),$M69&gt;(ROW(PLE.lastrow)-ROW(PLE.firstrow))),0,
           IF(OFFSET(PLE!$G$15,$M69-$A$15,DC$13)="",10^12,OFFSET(PLE!$G$15,$M69-$A$15,DC$13)))</f>
        <v>1000000000000</v>
      </c>
      <c r="DD69" s="172" cm="1">
        <f t="array" aca="1" ref="DD69" ca="1">IF(OR($D69&lt;&gt;"Serviço",AND(AUTOEVENTO="Manual",$M69=$A$15),$M69&gt;(ROW(PLE.lastrow)-ROW(PLE.firstrow))),0,
           IF(OFFSET(PLE!$G$15,$M69-$A$15,DD$13)="",10^12,OFFSET(PLE!$G$15,$M69-$A$15,DD$13)))</f>
        <v>1000000000000</v>
      </c>
      <c r="DE69" s="172" cm="1">
        <f t="array" aca="1" ref="DE69" ca="1">IF(OR($D69&lt;&gt;"Serviço",AND(AUTOEVENTO="Manual",$M69=$A$15),$M69&gt;(ROW(PLE.lastrow)-ROW(PLE.firstrow))),0,
           IF(OFFSET(PLE!$G$15,$M69-$A$15,DE$13)="",10^12,OFFSET(PLE!$G$15,$M69-$A$15,DE$13)))</f>
        <v>1000000000000</v>
      </c>
      <c r="DF69" s="172" cm="1">
        <f t="array" aca="1" ref="DF69" ca="1">IF(OR($D69&lt;&gt;"Serviço",AND(AUTOEVENTO="Manual",$M69=$A$15),$M69&gt;(ROW(PLE.lastrow)-ROW(PLE.firstrow))),0,
           IF(OFFSET(PLE!$G$15,$M69-$A$15,DF$13)="",10^12,OFFSET(PLE!$G$15,$M69-$A$15,DF$13)))</f>
        <v>1000000000000</v>
      </c>
      <c r="DG69" s="172" cm="1">
        <f t="array" aca="1" ref="DG69" ca="1">IF(OR($D69&lt;&gt;"Serviço",AND(AUTOEVENTO="Manual",$M69=$A$15),$M69&gt;(ROW(PLE.lastrow)-ROW(PLE.firstrow))),0,
           IF(OFFSET(PLE!$G$15,$M69-$A$15,DG$13)="",10^12,OFFSET(PLE!$G$15,$M69-$A$15,DG$13)))</f>
        <v>1000000000000</v>
      </c>
      <c r="DH69" s="172" cm="1">
        <f t="array" aca="1" ref="DH69" ca="1">IF(OR($D69&lt;&gt;"Serviço",AND(AUTOEVENTO="Manual",$M69=$A$15),$M69&gt;(ROW(PLE.lastrow)-ROW(PLE.firstrow))),0,
           IF(OFFSET(PLE!$G$15,$M69-$A$15,DH$13)="",10^12,OFFSET(PLE!$G$15,$M69-$A$15,DH$13)))</f>
        <v>1000000000000</v>
      </c>
      <c r="DI69" s="172" cm="1">
        <f t="array" aca="1" ref="DI69" ca="1">IF(OR($D69&lt;&gt;"Serviço",AND(AUTOEVENTO="Manual",$M69=$A$15),$M69&gt;(ROW(PLE.lastrow)-ROW(PLE.firstrow))),0,
           IF(OFFSET(PLE!$G$15,$M69-$A$15,DI$13)="",10^12,OFFSET(PLE!$G$15,$M69-$A$15,DI$13)))</f>
        <v>1000000000000</v>
      </c>
      <c r="DJ69" s="172" cm="1">
        <f t="array" aca="1" ref="DJ69" ca="1">IF(OR($D69&lt;&gt;"Serviço",AND(AUTOEVENTO="Manual",$M69=$A$15),$M69&gt;(ROW(PLE.lastrow)-ROW(PLE.firstrow))),0,
           IF(OFFSET(PLE!$G$15,$M69-$A$15,DJ$13)="",10^12,OFFSET(PLE!$G$15,$M69-$A$15,DJ$13)))</f>
        <v>1000000000000</v>
      </c>
      <c r="DK69" s="172" cm="1">
        <f t="array" aca="1" ref="DK69" ca="1">IF(OR($D69&lt;&gt;"Serviço",AND(AUTOEVENTO="Manual",$M69=$A$15),$M69&gt;(ROW(PLE.lastrow)-ROW(PLE.firstrow))),0,
           IF(OFFSET(PLE!$G$15,$M69-$A$15,DK$13)="",10^12,OFFSET(PLE!$G$15,$M69-$A$15,DK$13)))</f>
        <v>1000000000000</v>
      </c>
      <c r="DL69" s="172" cm="1">
        <f t="array" aca="1" ref="DL69" ca="1">IF(OR($D69&lt;&gt;"Serviço",AND(AUTOEVENTO="Manual",$M69=$A$15),$M69&gt;(ROW(PLE.lastrow)-ROW(PLE.firstrow))),0,
           IF(OFFSET(PLE!$G$15,$M69-$A$15,DL$13)="",10^12,OFFSET(PLE!$G$15,$M69-$A$15,DL$13)))</f>
        <v>1000000000000</v>
      </c>
      <c r="DM69" s="172" cm="1">
        <f t="array" aca="1" ref="DM69" ca="1">IF(OR($D69&lt;&gt;"Serviço",AND(AUTOEVENTO="Manual",$M69=$A$15),$M69&gt;(ROW(PLE.lastrow)-ROW(PLE.firstrow))),0,
           IF(OFFSET(PLE!$G$15,$M69-$A$15,DM$13)="",10^12,OFFSET(PLE!$G$15,$M69-$A$15,DM$13)))</f>
        <v>1000000000000</v>
      </c>
      <c r="DN69" s="172" cm="1">
        <f t="array" aca="1" ref="DN69" ca="1">IF(OR($D69&lt;&gt;"Serviço",AND(AUTOEVENTO="Manual",$M69=$A$15),$M69&gt;(ROW(PLE.lastrow)-ROW(PLE.firstrow))),0,
           IF(OFFSET(PLE!$G$15,$M69-$A$15,DN$13)="",10^12,OFFSET(PLE!$G$15,$M69-$A$15,DN$13)))</f>
        <v>1000000000000</v>
      </c>
      <c r="DO69" s="172" cm="1">
        <f t="array" aca="1" ref="DO69" ca="1">IF(OR($D69&lt;&gt;"Serviço",AND(AUTOEVENTO="Manual",$M69=$A$15),$M69&gt;(ROW(PLE.lastrow)-ROW(PLE.firstrow))),0,
           IF(OFFSET(PLE!$G$15,$M69-$A$15,DO$13)="",10^12,OFFSET(PLE!$G$15,$M69-$A$15,DO$13)))</f>
        <v>1000000000000</v>
      </c>
      <c r="DP69" s="172" cm="1">
        <f t="array" aca="1" ref="DP69" ca="1">IF(OR($D69&lt;&gt;"Serviço",AND(AUTOEVENTO="Manual",$M69=$A$15),$M69&gt;(ROW(PLE.lastrow)-ROW(PLE.firstrow))),0,
           IF(OFFSET(PLE!$G$15,$M69-$A$15,DP$13)="",10^12,OFFSET(PLE!$G$15,$M69-$A$15,DP$13)))</f>
        <v>1000000000000</v>
      </c>
      <c r="DQ69" s="172" cm="1">
        <f t="array" aca="1" ref="DQ69" ca="1">IF(OR($D69&lt;&gt;"Serviço",AND(AUTOEVENTO="Manual",$M69=$A$15),$M69&gt;(ROW(PLE.lastrow)-ROW(PLE.firstrow))),0,
           IF(OFFSET(PLE!$G$15,$M69-$A$15,DQ$13)="",10^12,OFFSET(PLE!$G$15,$M69-$A$15,DQ$13)))</f>
        <v>1000000000000</v>
      </c>
      <c r="DR69" s="172" cm="1">
        <f t="array" aca="1" ref="DR69" ca="1">IF(OR($D69&lt;&gt;"Serviço",AND(AUTOEVENTO="Manual",$M69=$A$15),$M69&gt;(ROW(PLE.lastrow)-ROW(PLE.firstrow))),0,
           IF(OFFSET(PLE!$G$15,$M69-$A$15,DR$13)="",10^12,OFFSET(PLE!$G$15,$M69-$A$15,DR$13)))</f>
        <v>1000000000000</v>
      </c>
      <c r="DS69" s="172" cm="1">
        <f t="array" aca="1" ref="DS69" ca="1">IF(OR($D69&lt;&gt;"Serviço",AND(AUTOEVENTO="Manual",$M69=$A$15),$M69&gt;(ROW(PLE.lastrow)-ROW(PLE.firstrow))),0,
           IF(OFFSET(PLE!$G$15,$M69-$A$15,DS$13)="",10^12,OFFSET(PLE!$G$15,$M69-$A$15,DS$13)))</f>
        <v>1000000000000</v>
      </c>
    </row>
    <row r="70" spans="1:123" ht="63.75" x14ac:dyDescent="0.2">
      <c r="A70" s="7">
        <f t="shared" ca="1" si="11"/>
        <v>5</v>
      </c>
      <c r="B70" s="7" t="str">
        <f ca="1">OFFSET(ORÇAMENTO!C$15,$L70,0)</f>
        <v>S</v>
      </c>
      <c r="C70" s="7" t="str">
        <f ca="1">OFFSET(ORÇAMENTO!L$15,$L70,0)</f>
        <v/>
      </c>
      <c r="D70" s="116" t="str">
        <f ca="1">OFFSET(ORÇAMENTO!N$15,$L70,0)</f>
        <v>Serviço</v>
      </c>
      <c r="E70" s="117" t="str">
        <f ca="1">OFFSET(ORÇAMENTO!O$15,$L70,0)</f>
        <v>-</v>
      </c>
      <c r="F70" s="163" t="str">
        <f ca="1">OFFSET(ORÇAMENTO!R$15,$L70,0)</f>
        <v>(Código não identificado nas referências)</v>
      </c>
      <c r="G70" s="164" t="str">
        <f ca="1">IF($D70&lt;&gt;"Serviço","",OFFSET(ORÇAMENTO!S$15,$L70,0))</f>
        <v>-</v>
      </c>
      <c r="H70" s="122" cm="1">
        <f t="array" aca="1" ref="H70" ca="1">IF($D70&lt;&gt;"Serviço",0,IF(ACOMPANHAMENTO="BM",ROUND(OFFSET(ORÇAMENTO!AJ$15,$L70,0),15-13*ORÇAMENTO!$AF$7),IF(IFERROR(CÁLCULO.FrentesPreenchidas,0)=0,0,SUM(ROUND(OFFSET($P70,0,1,1,CÁLCULO.FrentesPreenchidas),15-13*ORÇAMENTO!$AF$7)))))</f>
        <v>9.600000000000005</v>
      </c>
      <c r="I70" s="468" t="s">
        <v>1235</v>
      </c>
      <c r="J70" s="651" t="str" cm="1">
        <f t="array" aca="1" ref="J70" ca="1">IF(OR(B70&lt;&gt;"S",CÁLCULO.FrentesPreenchidas=0),"",IF(AND(ACOMPANHAMENTO="PLE",AUTOEVENTO="Manual",OR(H70&gt;0,ORÇAMENTO!AC70="QUANT."),OR(K70="",M70=0,N70="")),"►E",IF(AND(ACOMPANHAMENTO="PLE",ORÇAMENTO!AC70="QUANT."),"►Q",IF(AND(ACOMPANHAMENTO="PLE",H70&lt;&gt;SUMPRODUCT(($Q$1:$AQ$1=1)*ROUND(Q70:AQ70,15))),"►S",IF(AND(COUNTIF($P$11:$AQ$11,"▼")=0,H70&gt;0,I70=""),"◄M","")))))</f>
        <v/>
      </c>
      <c r="K70" s="652" t="s">
        <v>1253</v>
      </c>
      <c r="L70" s="165">
        <f t="shared" ca="1" si="12"/>
        <v>55</v>
      </c>
      <c r="M70" s="166">
        <f ca="1">IF($D70&lt;&gt;"Serviço","",
          IF(AUTOEVENTO="manual",$A70,
                IF(ISERROR(MATCH($A70,$A$15:OFFSET($A70,-1,0),0)),MAX($M$15:OFFSET(M70,-1,0))+1,
                      INDEX($M$15:OFFSET(M70,-1,0),MATCH($A70,$A$15:OFFSET($A70,-1,0),0)))))</f>
        <v>5</v>
      </c>
      <c r="N70" s="167" t="str">
        <f ca="1">IF($D70&lt;&gt;"Serviço","",
         IF(AUTOEVENTO="Manual",
                IF($A70=0,"&lt;-- defina o número do agrupador",
                       OFFSET(EVENTOS!$D$15,$A70-$A$15,0)),
                OFFSET($F$15,$A70,0)))</f>
        <v>PAREDES E PAINÉIS</v>
      </c>
      <c r="O70" s="168"/>
      <c r="Q70" s="168">
        <v>0.48</v>
      </c>
      <c r="R70" s="169">
        <v>0.48</v>
      </c>
      <c r="S70" s="169">
        <v>0.48</v>
      </c>
      <c r="T70" s="169">
        <v>0.48</v>
      </c>
      <c r="U70" s="169">
        <v>0.48</v>
      </c>
      <c r="V70" s="169">
        <v>0.48</v>
      </c>
      <c r="W70" s="169">
        <v>0.48</v>
      </c>
      <c r="X70" s="169">
        <v>0.48</v>
      </c>
      <c r="Y70" s="169">
        <v>0.48</v>
      </c>
      <c r="Z70" s="170">
        <v>0.48</v>
      </c>
      <c r="AA70" s="169">
        <v>0.48</v>
      </c>
      <c r="AB70" s="169">
        <v>0.48</v>
      </c>
      <c r="AC70" s="169">
        <v>0.48</v>
      </c>
      <c r="AD70" s="169">
        <v>0.48</v>
      </c>
      <c r="AE70" s="169">
        <v>0.48</v>
      </c>
      <c r="AF70" s="169">
        <v>0.48</v>
      </c>
      <c r="AG70" s="169">
        <v>0.48</v>
      </c>
      <c r="AH70" s="170">
        <v>0.48</v>
      </c>
      <c r="AI70" s="169">
        <v>0.48</v>
      </c>
      <c r="AJ70" s="169">
        <v>0.48</v>
      </c>
      <c r="AK70" s="169"/>
      <c r="AL70" s="169"/>
      <c r="AM70" s="169"/>
      <c r="AN70" s="169"/>
      <c r="AO70" s="169"/>
      <c r="AP70" s="170"/>
      <c r="AR70" s="453">
        <f ca="1">IF(AND($D70="Serviço",AR$12&lt;&gt;0,$H70&gt;0,OR(AUTOEVENTO&lt;&gt;"manual",$M70&lt;&gt;$A$15)),
        IF(Import.TipoArredondamento&lt;&gt;"TransfereGOV",
              ROUND(OFFSET($P70,0,AR$13),15-13*ORÇAMENTO!$AF$7)/$H70*OFFSET(ORÇAMENTO!$X$15,ROW(AR70)-ROW(AR$15),0),
              ROUND(ROUND(OFFSET($P70,0,AR$13),15-13*ORÇAMENTO!$AF$7)*OFFSET(ORÇAMENTO!$W$15,ROW(AR70)-ROW(AR$15),0),15-13*ORÇAMENTO!$AF$11)),
         0)</f>
        <v>0</v>
      </c>
      <c r="AS70" s="453">
        <f ca="1">IF(AND($D70="Serviço",AS$12&lt;&gt;0,$H70&gt;0,OR(AUTOEVENTO&lt;&gt;"manual",$M70&lt;&gt;$A$15)),
        IF(Import.TipoArredondamento&lt;&gt;"TransfereGOV",
              ROUND(OFFSET($P70,0,AS$13),15-13*ORÇAMENTO!$AF$7)/$H70*OFFSET(ORÇAMENTO!$X$15,ROW(AS70)-ROW(AS$15),0),
              ROUND(ROUND(OFFSET($P70,0,AS$13),15-13*ORÇAMENTO!$AF$7)*OFFSET(ORÇAMENTO!$W$15,ROW(AS70)-ROW(AS$15),0),15-13*ORÇAMENTO!$AF$11)),
         0)</f>
        <v>0</v>
      </c>
      <c r="AT70" s="453">
        <f ca="1">IF(AND($D70="Serviço",AT$12&lt;&gt;0,$H70&gt;0,OR(AUTOEVENTO&lt;&gt;"manual",$M70&lt;&gt;$A$15)),
        IF(Import.TipoArredondamento&lt;&gt;"TransfereGOV",
              ROUND(OFFSET($P70,0,AT$13),15-13*ORÇAMENTO!$AF$7)/$H70*OFFSET(ORÇAMENTO!$X$15,ROW(AT70)-ROW(AT$15),0),
              ROUND(ROUND(OFFSET($P70,0,AT$13),15-13*ORÇAMENTO!$AF$7)*OFFSET(ORÇAMENTO!$W$15,ROW(AT70)-ROW(AT$15),0),15-13*ORÇAMENTO!$AF$11)),
         0)</f>
        <v>0</v>
      </c>
      <c r="AU70" s="453">
        <f ca="1">IF(AND($D70="Serviço",AU$12&lt;&gt;0,$H70&gt;0,OR(AUTOEVENTO&lt;&gt;"manual",$M70&lt;&gt;$A$15)),
        IF(Import.TipoArredondamento&lt;&gt;"TransfereGOV",
              ROUND(OFFSET($P70,0,AU$13),15-13*ORÇAMENTO!$AF$7)/$H70*OFFSET(ORÇAMENTO!$X$15,ROW(AU70)-ROW(AU$15),0),
              ROUND(ROUND(OFFSET($P70,0,AU$13),15-13*ORÇAMENTO!$AF$7)*OFFSET(ORÇAMENTO!$W$15,ROW(AU70)-ROW(AU$15),0),15-13*ORÇAMENTO!$AF$11)),
         0)</f>
        <v>0</v>
      </c>
      <c r="AV70" s="453">
        <f ca="1">IF(AND($D70="Serviço",AV$12&lt;&gt;0,$H70&gt;0,OR(AUTOEVENTO&lt;&gt;"manual",$M70&lt;&gt;$A$15)),
        IF(Import.TipoArredondamento&lt;&gt;"TransfereGOV",
              ROUND(OFFSET($P70,0,AV$13),15-13*ORÇAMENTO!$AF$7)/$H70*OFFSET(ORÇAMENTO!$X$15,ROW(AV70)-ROW(AV$15),0),
              ROUND(ROUND(OFFSET($P70,0,AV$13),15-13*ORÇAMENTO!$AF$7)*OFFSET(ORÇAMENTO!$W$15,ROW(AV70)-ROW(AV$15),0),15-13*ORÇAMENTO!$AF$11)),
         0)</f>
        <v>0</v>
      </c>
      <c r="AW70" s="453">
        <f ca="1">IF(AND($D70="Serviço",AW$12&lt;&gt;0,$H70&gt;0,OR(AUTOEVENTO&lt;&gt;"manual",$M70&lt;&gt;$A$15)),
        IF(Import.TipoArredondamento&lt;&gt;"TransfereGOV",
              ROUND(OFFSET($P70,0,AW$13),15-13*ORÇAMENTO!$AF$7)/$H70*OFFSET(ORÇAMENTO!$X$15,ROW(AW70)-ROW(AW$15),0),
              ROUND(ROUND(OFFSET($P70,0,AW$13),15-13*ORÇAMENTO!$AF$7)*OFFSET(ORÇAMENTO!$W$15,ROW(AW70)-ROW(AW$15),0),15-13*ORÇAMENTO!$AF$11)),
         0)</f>
        <v>0</v>
      </c>
      <c r="AX70" s="453">
        <f ca="1">IF(AND($D70="Serviço",AX$12&lt;&gt;0,$H70&gt;0,OR(AUTOEVENTO&lt;&gt;"manual",$M70&lt;&gt;$A$15)),
        IF(Import.TipoArredondamento&lt;&gt;"TransfereGOV",
              ROUND(OFFSET($P70,0,AX$13),15-13*ORÇAMENTO!$AF$7)/$H70*OFFSET(ORÇAMENTO!$X$15,ROW(AX70)-ROW(AX$15),0),
              ROUND(ROUND(OFFSET($P70,0,AX$13),15-13*ORÇAMENTO!$AF$7)*OFFSET(ORÇAMENTO!$W$15,ROW(AX70)-ROW(AX$15),0),15-13*ORÇAMENTO!$AF$11)),
         0)</f>
        <v>0</v>
      </c>
      <c r="AY70" s="453">
        <f ca="1">IF(AND($D70="Serviço",AY$12&lt;&gt;0,$H70&gt;0,OR(AUTOEVENTO&lt;&gt;"manual",$M70&lt;&gt;$A$15)),
        IF(Import.TipoArredondamento&lt;&gt;"TransfereGOV",
              ROUND(OFFSET($P70,0,AY$13),15-13*ORÇAMENTO!$AF$7)/$H70*OFFSET(ORÇAMENTO!$X$15,ROW(AY70)-ROW(AY$15),0),
              ROUND(ROUND(OFFSET($P70,0,AY$13),15-13*ORÇAMENTO!$AF$7)*OFFSET(ORÇAMENTO!$W$15,ROW(AY70)-ROW(AY$15),0),15-13*ORÇAMENTO!$AF$11)),
         0)</f>
        <v>0</v>
      </c>
      <c r="AZ70" s="453">
        <f ca="1">IF(AND($D70="Serviço",AZ$12&lt;&gt;0,$H70&gt;0,OR(AUTOEVENTO&lt;&gt;"manual",$M70&lt;&gt;$A$15)),
        IF(Import.TipoArredondamento&lt;&gt;"TransfereGOV",
              ROUND(OFFSET($P70,0,AZ$13),15-13*ORÇAMENTO!$AF$7)/$H70*OFFSET(ORÇAMENTO!$X$15,ROW(AZ70)-ROW(AZ$15),0),
              ROUND(ROUND(OFFSET($P70,0,AZ$13),15-13*ORÇAMENTO!$AF$7)*OFFSET(ORÇAMENTO!$W$15,ROW(AZ70)-ROW(AZ$15),0),15-13*ORÇAMENTO!$AF$11)),
         0)</f>
        <v>0</v>
      </c>
      <c r="BA70" s="453">
        <f ca="1">IF(AND($D70="Serviço",BA$12&lt;&gt;0,$H70&gt;0,OR(AUTOEVENTO&lt;&gt;"manual",$M70&lt;&gt;$A$15)),
        IF(Import.TipoArredondamento&lt;&gt;"TransfereGOV",
              ROUND(OFFSET($P70,0,BA$13),15-13*ORÇAMENTO!$AF$7)/$H70*OFFSET(ORÇAMENTO!$X$15,ROW(BA70)-ROW(BA$15),0),
              ROUND(ROUND(OFFSET($P70,0,BA$13),15-13*ORÇAMENTO!$AF$7)*OFFSET(ORÇAMENTO!$W$15,ROW(BA70)-ROW(BA$15),0),15-13*ORÇAMENTO!$AF$11)),
         0)</f>
        <v>0</v>
      </c>
      <c r="BB70" s="453">
        <f ca="1">IF(AND($D70="Serviço",BB$12&lt;&gt;0,$H70&gt;0,OR(AUTOEVENTO&lt;&gt;"manual",$M70&lt;&gt;$A$15)),
        IF(Import.TipoArredondamento&lt;&gt;"TransfereGOV",
              ROUND(OFFSET($P70,0,BB$13),15-13*ORÇAMENTO!$AF$7)/$H70*OFFSET(ORÇAMENTO!$X$15,ROW(BB70)-ROW(BB$15),0),
              ROUND(ROUND(OFFSET($P70,0,BB$13),15-13*ORÇAMENTO!$AF$7)*OFFSET(ORÇAMENTO!$W$15,ROW(BB70)-ROW(BB$15),0),15-13*ORÇAMENTO!$AF$11)),
         0)</f>
        <v>0</v>
      </c>
      <c r="BC70" s="453">
        <f ca="1">IF(AND($D70="Serviço",BC$12&lt;&gt;0,$H70&gt;0,OR(AUTOEVENTO&lt;&gt;"manual",$M70&lt;&gt;$A$15)),
        IF(Import.TipoArredondamento&lt;&gt;"TransfereGOV",
              ROUND(OFFSET($P70,0,BC$13),15-13*ORÇAMENTO!$AF$7)/$H70*OFFSET(ORÇAMENTO!$X$15,ROW(BC70)-ROW(BC$15),0),
              ROUND(ROUND(OFFSET($P70,0,BC$13),15-13*ORÇAMENTO!$AF$7)*OFFSET(ORÇAMENTO!$W$15,ROW(BC70)-ROW(BC$15),0),15-13*ORÇAMENTO!$AF$11)),
         0)</f>
        <v>0</v>
      </c>
      <c r="BD70" s="453">
        <f ca="1">IF(AND($D70="Serviço",BD$12&lt;&gt;0,$H70&gt;0,OR(AUTOEVENTO&lt;&gt;"manual",$M70&lt;&gt;$A$15)),
        IF(Import.TipoArredondamento&lt;&gt;"TransfereGOV",
              ROUND(OFFSET($P70,0,BD$13),15-13*ORÇAMENTO!$AF$7)/$H70*OFFSET(ORÇAMENTO!$X$15,ROW(BD70)-ROW(BD$15),0),
              ROUND(ROUND(OFFSET($P70,0,BD$13),15-13*ORÇAMENTO!$AF$7)*OFFSET(ORÇAMENTO!$W$15,ROW(BD70)-ROW(BD$15),0),15-13*ORÇAMENTO!$AF$11)),
         0)</f>
        <v>0</v>
      </c>
      <c r="BE70" s="453">
        <f ca="1">IF(AND($D70="Serviço",BE$12&lt;&gt;0,$H70&gt;0,OR(AUTOEVENTO&lt;&gt;"manual",$M70&lt;&gt;$A$15)),
        IF(Import.TipoArredondamento&lt;&gt;"TransfereGOV",
              ROUND(OFFSET($P70,0,BE$13),15-13*ORÇAMENTO!$AF$7)/$H70*OFFSET(ORÇAMENTO!$X$15,ROW(BE70)-ROW(BE$15),0),
              ROUND(ROUND(OFFSET($P70,0,BE$13),15-13*ORÇAMENTO!$AF$7)*OFFSET(ORÇAMENTO!$W$15,ROW(BE70)-ROW(BE$15),0),15-13*ORÇAMENTO!$AF$11)),
         0)</f>
        <v>0</v>
      </c>
      <c r="BF70" s="453">
        <f ca="1">IF(AND($D70="Serviço",BF$12&lt;&gt;0,$H70&gt;0,OR(AUTOEVENTO&lt;&gt;"manual",$M70&lt;&gt;$A$15)),
        IF(Import.TipoArredondamento&lt;&gt;"TransfereGOV",
              ROUND(OFFSET($P70,0,BF$13),15-13*ORÇAMENTO!$AF$7)/$H70*OFFSET(ORÇAMENTO!$X$15,ROW(BF70)-ROW(BF$15),0),
              ROUND(ROUND(OFFSET($P70,0,BF$13),15-13*ORÇAMENTO!$AF$7)*OFFSET(ORÇAMENTO!$W$15,ROW(BF70)-ROW(BF$15),0),15-13*ORÇAMENTO!$AF$11)),
         0)</f>
        <v>0</v>
      </c>
      <c r="BG70" s="453">
        <f ca="1">IF(AND($D70="Serviço",BG$12&lt;&gt;0,$H70&gt;0,OR(AUTOEVENTO&lt;&gt;"manual",$M70&lt;&gt;$A$15)),
        IF(Import.TipoArredondamento&lt;&gt;"TransfereGOV",
              ROUND(OFFSET($P70,0,BG$13),15-13*ORÇAMENTO!$AF$7)/$H70*OFFSET(ORÇAMENTO!$X$15,ROW(BG70)-ROW(BG$15),0),
              ROUND(ROUND(OFFSET($P70,0,BG$13),15-13*ORÇAMENTO!$AF$7)*OFFSET(ORÇAMENTO!$W$15,ROW(BG70)-ROW(BG$15),0),15-13*ORÇAMENTO!$AF$11)),
         0)</f>
        <v>0</v>
      </c>
      <c r="BH70" s="453">
        <f ca="1">IF(AND($D70="Serviço",BH$12&lt;&gt;0,$H70&gt;0,OR(AUTOEVENTO&lt;&gt;"manual",$M70&lt;&gt;$A$15)),
        IF(Import.TipoArredondamento&lt;&gt;"TransfereGOV",
              ROUND(OFFSET($P70,0,BH$13),15-13*ORÇAMENTO!$AF$7)/$H70*OFFSET(ORÇAMENTO!$X$15,ROW(BH70)-ROW(BH$15),0),
              ROUND(ROUND(OFFSET($P70,0,BH$13),15-13*ORÇAMENTO!$AF$7)*OFFSET(ORÇAMENTO!$W$15,ROW(BH70)-ROW(BH$15),0),15-13*ORÇAMENTO!$AF$11)),
         0)</f>
        <v>0</v>
      </c>
      <c r="BI70" s="453">
        <f ca="1">IF(AND($D70="Serviço",BI$12&lt;&gt;0,$H70&gt;0,OR(AUTOEVENTO&lt;&gt;"manual",$M70&lt;&gt;$A$15)),
        IF(Import.TipoArredondamento&lt;&gt;"TransfereGOV",
              ROUND(OFFSET($P70,0,BI$13),15-13*ORÇAMENTO!$AF$7)/$H70*OFFSET(ORÇAMENTO!$X$15,ROW(BI70)-ROW(BI$15),0),
              ROUND(ROUND(OFFSET($P70,0,BI$13),15-13*ORÇAMENTO!$AF$7)*OFFSET(ORÇAMENTO!$W$15,ROW(BI70)-ROW(BI$15),0),15-13*ORÇAMENTO!$AF$11)),
         0)</f>
        <v>0</v>
      </c>
      <c r="BJ70" s="453">
        <f ca="1">IF(AND($D70="Serviço",BJ$12&lt;&gt;0,$H70&gt;0,OR(AUTOEVENTO&lt;&gt;"manual",$M70&lt;&gt;$A$15)),
        IF(Import.TipoArredondamento&lt;&gt;"TransfereGOV",
              ROUND(OFFSET($P70,0,BJ$13),15-13*ORÇAMENTO!$AF$7)/$H70*OFFSET(ORÇAMENTO!$X$15,ROW(BJ70)-ROW(BJ$15),0),
              ROUND(ROUND(OFFSET($P70,0,BJ$13),15-13*ORÇAMENTO!$AF$7)*OFFSET(ORÇAMENTO!$W$15,ROW(BJ70)-ROW(BJ$15),0),15-13*ORÇAMENTO!$AF$11)),
         0)</f>
        <v>0</v>
      </c>
      <c r="BK70" s="453">
        <f ca="1">IF(AND($D70="Serviço",BK$12&lt;&gt;0,$H70&gt;0,OR(AUTOEVENTO&lt;&gt;"manual",$M70&lt;&gt;$A$15)),
        IF(Import.TipoArredondamento&lt;&gt;"TransfereGOV",
              ROUND(OFFSET($P70,0,BK$13),15-13*ORÇAMENTO!$AF$7)/$H70*OFFSET(ORÇAMENTO!$X$15,ROW(BK70)-ROW(BK$15),0),
              ROUND(ROUND(OFFSET($P70,0,BK$13),15-13*ORÇAMENTO!$AF$7)*OFFSET(ORÇAMENTO!$W$15,ROW(BK70)-ROW(BK$15),0),15-13*ORÇAMENTO!$AF$11)),
         0)</f>
        <v>0</v>
      </c>
      <c r="BL70" s="453">
        <f ca="1">IF(AND($D70="Serviço",BL$12&lt;&gt;0,$H70&gt;0,OR(AUTOEVENTO&lt;&gt;"manual",$M70&lt;&gt;$A$15)),
        IF(Import.TipoArredondamento&lt;&gt;"TransfereGOV",
              ROUND(OFFSET($P70,0,BL$13),15-13*ORÇAMENTO!$AF$7)/$H70*OFFSET(ORÇAMENTO!$X$15,ROW(BL70)-ROW(BL$15),0),
              ROUND(ROUND(OFFSET($P70,0,BL$13),15-13*ORÇAMENTO!$AF$7)*OFFSET(ORÇAMENTO!$W$15,ROW(BL70)-ROW(BL$15),0),15-13*ORÇAMENTO!$AF$11)),
         0)</f>
        <v>0</v>
      </c>
      <c r="BM70" s="453">
        <f ca="1">IF(AND($D70="Serviço",BM$12&lt;&gt;0,$H70&gt;0,OR(AUTOEVENTO&lt;&gt;"manual",$M70&lt;&gt;$A$15)),
        IF(Import.TipoArredondamento&lt;&gt;"TransfereGOV",
              ROUND(OFFSET($P70,0,BM$13),15-13*ORÇAMENTO!$AF$7)/$H70*OFFSET(ORÇAMENTO!$X$15,ROW(BM70)-ROW(BM$15),0),
              ROUND(ROUND(OFFSET($P70,0,BM$13),15-13*ORÇAMENTO!$AF$7)*OFFSET(ORÇAMENTO!$W$15,ROW(BM70)-ROW(BM$15),0),15-13*ORÇAMENTO!$AF$11)),
         0)</f>
        <v>0</v>
      </c>
      <c r="BN70" s="453">
        <f ca="1">IF(AND($D70="Serviço",BN$12&lt;&gt;0,$H70&gt;0,OR(AUTOEVENTO&lt;&gt;"manual",$M70&lt;&gt;$A$15)),
        IF(Import.TipoArredondamento&lt;&gt;"TransfereGOV",
              ROUND(OFFSET($P70,0,BN$13),15-13*ORÇAMENTO!$AF$7)/$H70*OFFSET(ORÇAMENTO!$X$15,ROW(BN70)-ROW(BN$15),0),
              ROUND(ROUND(OFFSET($P70,0,BN$13),15-13*ORÇAMENTO!$AF$7)*OFFSET(ORÇAMENTO!$W$15,ROW(BN70)-ROW(BN$15),0),15-13*ORÇAMENTO!$AF$11)),
         0)</f>
        <v>0</v>
      </c>
      <c r="BO70" s="453">
        <f ca="1">IF(AND($D70="Serviço",BO$12&lt;&gt;0,$H70&gt;0,OR(AUTOEVENTO&lt;&gt;"manual",$M70&lt;&gt;$A$15)),
        IF(Import.TipoArredondamento&lt;&gt;"TransfereGOV",
              ROUND(OFFSET($P70,0,BO$13),15-13*ORÇAMENTO!$AF$7)/$H70*OFFSET(ORÇAMENTO!$X$15,ROW(BO70)-ROW(BO$15),0),
              ROUND(ROUND(OFFSET($P70,0,BO$13),15-13*ORÇAMENTO!$AF$7)*OFFSET(ORÇAMENTO!$W$15,ROW(BO70)-ROW(BO$15),0),15-13*ORÇAMENTO!$AF$11)),
         0)</f>
        <v>0</v>
      </c>
      <c r="BP70" s="453">
        <f ca="1">IF(AND($D70="Serviço",BP$12&lt;&gt;0,$H70&gt;0,OR(AUTOEVENTO&lt;&gt;"manual",$M70&lt;&gt;$A$15)),
        IF(Import.TipoArredondamento&lt;&gt;"TransfereGOV",
              ROUND(OFFSET($P70,0,BP$13),15-13*ORÇAMENTO!$AF$7)/$H70*OFFSET(ORÇAMENTO!$X$15,ROW(BP70)-ROW(BP$15),0),
              ROUND(ROUND(OFFSET($P70,0,BP$13),15-13*ORÇAMENTO!$AF$7)*OFFSET(ORÇAMENTO!$W$15,ROW(BP70)-ROW(BP$15),0),15-13*ORÇAMENTO!$AF$11)),
         0)</f>
        <v>0</v>
      </c>
      <c r="BQ70" s="453">
        <f ca="1">IF(AND($D70="Serviço",BQ$12&lt;&gt;0,$H70&gt;0,OR(AUTOEVENTO&lt;&gt;"manual",$M70&lt;&gt;$A$15)),
        IF(Import.TipoArredondamento&lt;&gt;"TransfereGOV",
              ROUND(OFFSET($P70,0,BQ$13),15-13*ORÇAMENTO!$AF$7)/$H70*OFFSET(ORÇAMENTO!$X$15,ROW(BQ70)-ROW(BQ$15),0),
              ROUND(ROUND(OFFSET($P70,0,BQ$13),15-13*ORÇAMENTO!$AF$7)*OFFSET(ORÇAMENTO!$W$15,ROW(BQ70)-ROW(BQ$15),0),15-13*ORÇAMENTO!$AF$11)),
         0)</f>
        <v>0</v>
      </c>
      <c r="BS70" s="171">
        <f ca="1">IF(OR($D70&lt;&gt;"Serviço",AND(AUTOEVENTO="Manual",$M70=$A$15)),0,
         IF(OFFSET(CRONOPLE!$F$15,$M70-$A$15,BS$13)=0,10^12,OFFSET(CRONOPLE!$F$15,$M70-$A$15,BS$13)))</f>
        <v>1</v>
      </c>
      <c r="BT70" s="171">
        <f ca="1">IF(OR($D70&lt;&gt;"Serviço",AND(AUTOEVENTO="Manual",$M70=$A$15)),0,
         IF(OFFSET(CRONOPLE!$F$15,$M70-$A$15,BT$13)=0,10^12,OFFSET(CRONOPLE!$F$15,$M70-$A$15,BT$13)))</f>
        <v>2</v>
      </c>
      <c r="BU70" s="171">
        <f ca="1">IF(OR($D70&lt;&gt;"Serviço",AND(AUTOEVENTO="Manual",$M70=$A$15)),0,
         IF(OFFSET(CRONOPLE!$F$15,$M70-$A$15,BU$13)=0,10^12,OFFSET(CRONOPLE!$F$15,$M70-$A$15,BU$13)))</f>
        <v>3</v>
      </c>
      <c r="BV70" s="171">
        <f ca="1">IF(OR($D70&lt;&gt;"Serviço",AND(AUTOEVENTO="Manual",$M70=$A$15)),0,
         IF(OFFSET(CRONOPLE!$F$15,$M70-$A$15,BV$13)=0,10^12,OFFSET(CRONOPLE!$F$15,$M70-$A$15,BV$13)))</f>
        <v>4</v>
      </c>
      <c r="BW70" s="171">
        <f ca="1">IF(OR($D70&lt;&gt;"Serviço",AND(AUTOEVENTO="Manual",$M70=$A$15)),0,
         IF(OFFSET(CRONOPLE!$F$15,$M70-$A$15,BW$13)=0,10^12,OFFSET(CRONOPLE!$F$15,$M70-$A$15,BW$13)))</f>
        <v>5</v>
      </c>
      <c r="BX70" s="171">
        <f ca="1">IF(OR($D70&lt;&gt;"Serviço",AND(AUTOEVENTO="Manual",$M70=$A$15)),0,
         IF(OFFSET(CRONOPLE!$F$15,$M70-$A$15,BX$13)=0,10^12,OFFSET(CRONOPLE!$F$15,$M70-$A$15,BX$13)))</f>
        <v>6</v>
      </c>
      <c r="BY70" s="171">
        <f ca="1">IF(OR($D70&lt;&gt;"Serviço",AND(AUTOEVENTO="Manual",$M70=$A$15)),0,
         IF(OFFSET(CRONOPLE!$F$15,$M70-$A$15,BY$13)=0,10^12,OFFSET(CRONOPLE!$F$15,$M70-$A$15,BY$13)))</f>
        <v>7</v>
      </c>
      <c r="BZ70" s="171">
        <f ca="1">IF(OR($D70&lt;&gt;"Serviço",AND(AUTOEVENTO="Manual",$M70=$A$15)),0,
         IF(OFFSET(CRONOPLE!$F$15,$M70-$A$15,BZ$13)=0,10^12,OFFSET(CRONOPLE!$F$15,$M70-$A$15,BZ$13)))</f>
        <v>8</v>
      </c>
      <c r="CA70" s="171">
        <f ca="1">IF(OR($D70&lt;&gt;"Serviço",AND(AUTOEVENTO="Manual",$M70=$A$15)),0,
         IF(OFFSET(CRONOPLE!$F$15,$M70-$A$15,CA$13)=0,10^12,OFFSET(CRONOPLE!$F$15,$M70-$A$15,CA$13)))</f>
        <v>9</v>
      </c>
      <c r="CB70" s="171">
        <f ca="1">IF(OR($D70&lt;&gt;"Serviço",AND(AUTOEVENTO="Manual",$M70=$A$15)),0,
         IF(OFFSET(CRONOPLE!$F$15,$M70-$A$15,CB$13)=0,10^12,OFFSET(CRONOPLE!$F$15,$M70-$A$15,CB$13)))</f>
        <v>10</v>
      </c>
      <c r="CC70" s="171">
        <f ca="1">IF(OR($D70&lt;&gt;"Serviço",AND(AUTOEVENTO="Manual",$M70=$A$15)),0,
         IF(OFFSET(CRONOPLE!$F$15,$M70-$A$15,CC$13)=0,10^12,OFFSET(CRONOPLE!$F$15,$M70-$A$15,CC$13)))</f>
        <v>11</v>
      </c>
      <c r="CD70" s="171">
        <f ca="1">IF(OR($D70&lt;&gt;"Serviço",AND(AUTOEVENTO="Manual",$M70=$A$15)),0,
         IF(OFFSET(CRONOPLE!$F$15,$M70-$A$15,CD$13)=0,10^12,OFFSET(CRONOPLE!$F$15,$M70-$A$15,CD$13)))</f>
        <v>12</v>
      </c>
      <c r="CE70" s="171">
        <f ca="1">IF(OR($D70&lt;&gt;"Serviço",AND(AUTOEVENTO="Manual",$M70=$A$15)),0,
         IF(OFFSET(CRONOPLE!$F$15,$M70-$A$15,CE$13)=0,10^12,OFFSET(CRONOPLE!$F$15,$M70-$A$15,CE$13)))</f>
        <v>13</v>
      </c>
      <c r="CF70" s="171">
        <f ca="1">IF(OR($D70&lt;&gt;"Serviço",AND(AUTOEVENTO="Manual",$M70=$A$15)),0,
         IF(OFFSET(CRONOPLE!$F$15,$M70-$A$15,CF$13)=0,10^12,OFFSET(CRONOPLE!$F$15,$M70-$A$15,CF$13)))</f>
        <v>14</v>
      </c>
      <c r="CG70" s="171">
        <f ca="1">IF(OR($D70&lt;&gt;"Serviço",AND(AUTOEVENTO="Manual",$M70=$A$15)),0,
         IF(OFFSET(CRONOPLE!$F$15,$M70-$A$15,CG$13)=0,10^12,OFFSET(CRONOPLE!$F$15,$M70-$A$15,CG$13)))</f>
        <v>15</v>
      </c>
      <c r="CH70" s="171">
        <f ca="1">IF(OR($D70&lt;&gt;"Serviço",AND(AUTOEVENTO="Manual",$M70=$A$15)),0,
         IF(OFFSET(CRONOPLE!$F$15,$M70-$A$15,CH$13)=0,10^12,OFFSET(CRONOPLE!$F$15,$M70-$A$15,CH$13)))</f>
        <v>16</v>
      </c>
      <c r="CI70" s="171">
        <f ca="1">IF(OR($D70&lt;&gt;"Serviço",AND(AUTOEVENTO="Manual",$M70=$A$15)),0,
         IF(OFFSET(CRONOPLE!$F$15,$M70-$A$15,CI$13)=0,10^12,OFFSET(CRONOPLE!$F$15,$M70-$A$15,CI$13)))</f>
        <v>17</v>
      </c>
      <c r="CJ70" s="171">
        <f ca="1">IF(OR($D70&lt;&gt;"Serviço",AND(AUTOEVENTO="Manual",$M70=$A$15)),0,
         IF(OFFSET(CRONOPLE!$F$15,$M70-$A$15,CJ$13)=0,10^12,OFFSET(CRONOPLE!$F$15,$M70-$A$15,CJ$13)))</f>
        <v>18</v>
      </c>
      <c r="CK70" s="171">
        <f ca="1">IF(OR($D70&lt;&gt;"Serviço",AND(AUTOEVENTO="Manual",$M70=$A$15)),0,
         IF(OFFSET(CRONOPLE!$F$15,$M70-$A$15,CK$13)=0,10^12,OFFSET(CRONOPLE!$F$15,$M70-$A$15,CK$13)))</f>
        <v>19</v>
      </c>
      <c r="CL70" s="171">
        <f ca="1">IF(OR($D70&lt;&gt;"Serviço",AND(AUTOEVENTO="Manual",$M70=$A$15)),0,
         IF(OFFSET(CRONOPLE!$F$15,$M70-$A$15,CL$13)=0,10^12,OFFSET(CRONOPLE!$F$15,$M70-$A$15,CL$13)))</f>
        <v>20</v>
      </c>
      <c r="CM70" s="171">
        <f ca="1">IF(OR($D70&lt;&gt;"Serviço",AND(AUTOEVENTO="Manual",$M70=$A$15)),0,
         IF(OFFSET(CRONOPLE!$F$15,$M70-$A$15,CM$13)=0,10^12,OFFSET(CRONOPLE!$F$15,$M70-$A$15,CM$13)))</f>
        <v>1000000000000</v>
      </c>
      <c r="CN70" s="171">
        <f ca="1">IF(OR($D70&lt;&gt;"Serviço",AND(AUTOEVENTO="Manual",$M70=$A$15)),0,
         IF(OFFSET(CRONOPLE!$F$15,$M70-$A$15,CN$13)=0,10^12,OFFSET(CRONOPLE!$F$15,$M70-$A$15,CN$13)))</f>
        <v>1000000000000</v>
      </c>
      <c r="CO70" s="171">
        <f ca="1">IF(OR($D70&lt;&gt;"Serviço",AND(AUTOEVENTO="Manual",$M70=$A$15)),0,
         IF(OFFSET(CRONOPLE!$F$15,$M70-$A$15,CO$13)=0,10^12,OFFSET(CRONOPLE!$F$15,$M70-$A$15,CO$13)))</f>
        <v>1000000000000</v>
      </c>
      <c r="CP70" s="171">
        <f ca="1">IF(OR($D70&lt;&gt;"Serviço",AND(AUTOEVENTO="Manual",$M70=$A$15)),0,
         IF(OFFSET(CRONOPLE!$F$15,$M70-$A$15,CP$13)=0,10^12,OFFSET(CRONOPLE!$F$15,$M70-$A$15,CP$13)))</f>
        <v>1000000000000</v>
      </c>
      <c r="CQ70" s="171">
        <f ca="1">IF(OR($D70&lt;&gt;"Serviço",AND(AUTOEVENTO="Manual",$M70=$A$15)),0,
         IF(OFFSET(CRONOPLE!$F$15,$M70-$A$15,CQ$13)=0,10^12,OFFSET(CRONOPLE!$F$15,$M70-$A$15,CQ$13)))</f>
        <v>1000000000000</v>
      </c>
      <c r="CR70" s="171">
        <f ca="1">IF(OR($D70&lt;&gt;"Serviço",AND(AUTOEVENTO="Manual",$M70=$A$15)),0,
         IF(OFFSET(CRONOPLE!$F$15,$M70-$A$15,CR$13)=0,10^12,OFFSET(CRONOPLE!$F$15,$M70-$A$15,CR$13)))</f>
        <v>1000000000000</v>
      </c>
      <c r="CT70" s="172" cm="1">
        <f t="array" aca="1" ref="CT70" ca="1">IF(OR($D70&lt;&gt;"Serviço",AND(AUTOEVENTO="Manual",$M70=$A$15),$M70&gt;(ROW(PLE.lastrow)-ROW(PLE.firstrow))),0,
           IF(OFFSET(PLE!$G$15,$M70-$A$15,CT$13)="",10^12,OFFSET(PLE!$G$15,$M70-$A$15,CT$13)))</f>
        <v>1000000000000</v>
      </c>
      <c r="CU70" s="172" cm="1">
        <f t="array" aca="1" ref="CU70" ca="1">IF(OR($D70&lt;&gt;"Serviço",AND(AUTOEVENTO="Manual",$M70=$A$15),$M70&gt;(ROW(PLE.lastrow)-ROW(PLE.firstrow))),0,
           IF(OFFSET(PLE!$G$15,$M70-$A$15,CU$13)="",10^12,OFFSET(PLE!$G$15,$M70-$A$15,CU$13)))</f>
        <v>1000000000000</v>
      </c>
      <c r="CV70" s="172" cm="1">
        <f t="array" aca="1" ref="CV70" ca="1">IF(OR($D70&lt;&gt;"Serviço",AND(AUTOEVENTO="Manual",$M70=$A$15),$M70&gt;(ROW(PLE.lastrow)-ROW(PLE.firstrow))),0,
           IF(OFFSET(PLE!$G$15,$M70-$A$15,CV$13)="",10^12,OFFSET(PLE!$G$15,$M70-$A$15,CV$13)))</f>
        <v>1000000000000</v>
      </c>
      <c r="CW70" s="172" cm="1">
        <f t="array" aca="1" ref="CW70" ca="1">IF(OR($D70&lt;&gt;"Serviço",AND(AUTOEVENTO="Manual",$M70=$A$15),$M70&gt;(ROW(PLE.lastrow)-ROW(PLE.firstrow))),0,
           IF(OFFSET(PLE!$G$15,$M70-$A$15,CW$13)="",10^12,OFFSET(PLE!$G$15,$M70-$A$15,CW$13)))</f>
        <v>1000000000000</v>
      </c>
      <c r="CX70" s="172" cm="1">
        <f t="array" aca="1" ref="CX70" ca="1">IF(OR($D70&lt;&gt;"Serviço",AND(AUTOEVENTO="Manual",$M70=$A$15),$M70&gt;(ROW(PLE.lastrow)-ROW(PLE.firstrow))),0,
           IF(OFFSET(PLE!$G$15,$M70-$A$15,CX$13)="",10^12,OFFSET(PLE!$G$15,$M70-$A$15,CX$13)))</f>
        <v>1000000000000</v>
      </c>
      <c r="CY70" s="172" cm="1">
        <f t="array" aca="1" ref="CY70" ca="1">IF(OR($D70&lt;&gt;"Serviço",AND(AUTOEVENTO="Manual",$M70=$A$15),$M70&gt;(ROW(PLE.lastrow)-ROW(PLE.firstrow))),0,
           IF(OFFSET(PLE!$G$15,$M70-$A$15,CY$13)="",10^12,OFFSET(PLE!$G$15,$M70-$A$15,CY$13)))</f>
        <v>1000000000000</v>
      </c>
      <c r="CZ70" s="172" cm="1">
        <f t="array" aca="1" ref="CZ70" ca="1">IF(OR($D70&lt;&gt;"Serviço",AND(AUTOEVENTO="Manual",$M70=$A$15),$M70&gt;(ROW(PLE.lastrow)-ROW(PLE.firstrow))),0,
           IF(OFFSET(PLE!$G$15,$M70-$A$15,CZ$13)="",10^12,OFFSET(PLE!$G$15,$M70-$A$15,CZ$13)))</f>
        <v>1000000000000</v>
      </c>
      <c r="DA70" s="172" cm="1">
        <f t="array" aca="1" ref="DA70" ca="1">IF(OR($D70&lt;&gt;"Serviço",AND(AUTOEVENTO="Manual",$M70=$A$15),$M70&gt;(ROW(PLE.lastrow)-ROW(PLE.firstrow))),0,
           IF(OFFSET(PLE!$G$15,$M70-$A$15,DA$13)="",10^12,OFFSET(PLE!$G$15,$M70-$A$15,DA$13)))</f>
        <v>1000000000000</v>
      </c>
      <c r="DB70" s="172" cm="1">
        <f t="array" aca="1" ref="DB70" ca="1">IF(OR($D70&lt;&gt;"Serviço",AND(AUTOEVENTO="Manual",$M70=$A$15),$M70&gt;(ROW(PLE.lastrow)-ROW(PLE.firstrow))),0,
           IF(OFFSET(PLE!$G$15,$M70-$A$15,DB$13)="",10^12,OFFSET(PLE!$G$15,$M70-$A$15,DB$13)))</f>
        <v>1000000000000</v>
      </c>
      <c r="DC70" s="172" cm="1">
        <f t="array" aca="1" ref="DC70" ca="1">IF(OR($D70&lt;&gt;"Serviço",AND(AUTOEVENTO="Manual",$M70=$A$15),$M70&gt;(ROW(PLE.lastrow)-ROW(PLE.firstrow))),0,
           IF(OFFSET(PLE!$G$15,$M70-$A$15,DC$13)="",10^12,OFFSET(PLE!$G$15,$M70-$A$15,DC$13)))</f>
        <v>1000000000000</v>
      </c>
      <c r="DD70" s="172" cm="1">
        <f t="array" aca="1" ref="DD70" ca="1">IF(OR($D70&lt;&gt;"Serviço",AND(AUTOEVENTO="Manual",$M70=$A$15),$M70&gt;(ROW(PLE.lastrow)-ROW(PLE.firstrow))),0,
           IF(OFFSET(PLE!$G$15,$M70-$A$15,DD$13)="",10^12,OFFSET(PLE!$G$15,$M70-$A$15,DD$13)))</f>
        <v>1000000000000</v>
      </c>
      <c r="DE70" s="172" cm="1">
        <f t="array" aca="1" ref="DE70" ca="1">IF(OR($D70&lt;&gt;"Serviço",AND(AUTOEVENTO="Manual",$M70=$A$15),$M70&gt;(ROW(PLE.lastrow)-ROW(PLE.firstrow))),0,
           IF(OFFSET(PLE!$G$15,$M70-$A$15,DE$13)="",10^12,OFFSET(PLE!$G$15,$M70-$A$15,DE$13)))</f>
        <v>1000000000000</v>
      </c>
      <c r="DF70" s="172" cm="1">
        <f t="array" aca="1" ref="DF70" ca="1">IF(OR($D70&lt;&gt;"Serviço",AND(AUTOEVENTO="Manual",$M70=$A$15),$M70&gt;(ROW(PLE.lastrow)-ROW(PLE.firstrow))),0,
           IF(OFFSET(PLE!$G$15,$M70-$A$15,DF$13)="",10^12,OFFSET(PLE!$G$15,$M70-$A$15,DF$13)))</f>
        <v>1000000000000</v>
      </c>
      <c r="DG70" s="172" cm="1">
        <f t="array" aca="1" ref="DG70" ca="1">IF(OR($D70&lt;&gt;"Serviço",AND(AUTOEVENTO="Manual",$M70=$A$15),$M70&gt;(ROW(PLE.lastrow)-ROW(PLE.firstrow))),0,
           IF(OFFSET(PLE!$G$15,$M70-$A$15,DG$13)="",10^12,OFFSET(PLE!$G$15,$M70-$A$15,DG$13)))</f>
        <v>1000000000000</v>
      </c>
      <c r="DH70" s="172" cm="1">
        <f t="array" aca="1" ref="DH70" ca="1">IF(OR($D70&lt;&gt;"Serviço",AND(AUTOEVENTO="Manual",$M70=$A$15),$M70&gt;(ROW(PLE.lastrow)-ROW(PLE.firstrow))),0,
           IF(OFFSET(PLE!$G$15,$M70-$A$15,DH$13)="",10^12,OFFSET(PLE!$G$15,$M70-$A$15,DH$13)))</f>
        <v>1000000000000</v>
      </c>
      <c r="DI70" s="172" cm="1">
        <f t="array" aca="1" ref="DI70" ca="1">IF(OR($D70&lt;&gt;"Serviço",AND(AUTOEVENTO="Manual",$M70=$A$15),$M70&gt;(ROW(PLE.lastrow)-ROW(PLE.firstrow))),0,
           IF(OFFSET(PLE!$G$15,$M70-$A$15,DI$13)="",10^12,OFFSET(PLE!$G$15,$M70-$A$15,DI$13)))</f>
        <v>1000000000000</v>
      </c>
      <c r="DJ70" s="172" cm="1">
        <f t="array" aca="1" ref="DJ70" ca="1">IF(OR($D70&lt;&gt;"Serviço",AND(AUTOEVENTO="Manual",$M70=$A$15),$M70&gt;(ROW(PLE.lastrow)-ROW(PLE.firstrow))),0,
           IF(OFFSET(PLE!$G$15,$M70-$A$15,DJ$13)="",10^12,OFFSET(PLE!$G$15,$M70-$A$15,DJ$13)))</f>
        <v>1000000000000</v>
      </c>
      <c r="DK70" s="172" cm="1">
        <f t="array" aca="1" ref="DK70" ca="1">IF(OR($D70&lt;&gt;"Serviço",AND(AUTOEVENTO="Manual",$M70=$A$15),$M70&gt;(ROW(PLE.lastrow)-ROW(PLE.firstrow))),0,
           IF(OFFSET(PLE!$G$15,$M70-$A$15,DK$13)="",10^12,OFFSET(PLE!$G$15,$M70-$A$15,DK$13)))</f>
        <v>1000000000000</v>
      </c>
      <c r="DL70" s="172" cm="1">
        <f t="array" aca="1" ref="DL70" ca="1">IF(OR($D70&lt;&gt;"Serviço",AND(AUTOEVENTO="Manual",$M70=$A$15),$M70&gt;(ROW(PLE.lastrow)-ROW(PLE.firstrow))),0,
           IF(OFFSET(PLE!$G$15,$M70-$A$15,DL$13)="",10^12,OFFSET(PLE!$G$15,$M70-$A$15,DL$13)))</f>
        <v>1000000000000</v>
      </c>
      <c r="DM70" s="172" cm="1">
        <f t="array" aca="1" ref="DM70" ca="1">IF(OR($D70&lt;&gt;"Serviço",AND(AUTOEVENTO="Manual",$M70=$A$15),$M70&gt;(ROW(PLE.lastrow)-ROW(PLE.firstrow))),0,
           IF(OFFSET(PLE!$G$15,$M70-$A$15,DM$13)="",10^12,OFFSET(PLE!$G$15,$M70-$A$15,DM$13)))</f>
        <v>1000000000000</v>
      </c>
      <c r="DN70" s="172" cm="1">
        <f t="array" aca="1" ref="DN70" ca="1">IF(OR($D70&lt;&gt;"Serviço",AND(AUTOEVENTO="Manual",$M70=$A$15),$M70&gt;(ROW(PLE.lastrow)-ROW(PLE.firstrow))),0,
           IF(OFFSET(PLE!$G$15,$M70-$A$15,DN$13)="",10^12,OFFSET(PLE!$G$15,$M70-$A$15,DN$13)))</f>
        <v>1000000000000</v>
      </c>
      <c r="DO70" s="172" cm="1">
        <f t="array" aca="1" ref="DO70" ca="1">IF(OR($D70&lt;&gt;"Serviço",AND(AUTOEVENTO="Manual",$M70=$A$15),$M70&gt;(ROW(PLE.lastrow)-ROW(PLE.firstrow))),0,
           IF(OFFSET(PLE!$G$15,$M70-$A$15,DO$13)="",10^12,OFFSET(PLE!$G$15,$M70-$A$15,DO$13)))</f>
        <v>1000000000000</v>
      </c>
      <c r="DP70" s="172" cm="1">
        <f t="array" aca="1" ref="DP70" ca="1">IF(OR($D70&lt;&gt;"Serviço",AND(AUTOEVENTO="Manual",$M70=$A$15),$M70&gt;(ROW(PLE.lastrow)-ROW(PLE.firstrow))),0,
           IF(OFFSET(PLE!$G$15,$M70-$A$15,DP$13)="",10^12,OFFSET(PLE!$G$15,$M70-$A$15,DP$13)))</f>
        <v>1000000000000</v>
      </c>
      <c r="DQ70" s="172" cm="1">
        <f t="array" aca="1" ref="DQ70" ca="1">IF(OR($D70&lt;&gt;"Serviço",AND(AUTOEVENTO="Manual",$M70=$A$15),$M70&gt;(ROW(PLE.lastrow)-ROW(PLE.firstrow))),0,
           IF(OFFSET(PLE!$G$15,$M70-$A$15,DQ$13)="",10^12,OFFSET(PLE!$G$15,$M70-$A$15,DQ$13)))</f>
        <v>1000000000000</v>
      </c>
      <c r="DR70" s="172" cm="1">
        <f t="array" aca="1" ref="DR70" ca="1">IF(OR($D70&lt;&gt;"Serviço",AND(AUTOEVENTO="Manual",$M70=$A$15),$M70&gt;(ROW(PLE.lastrow)-ROW(PLE.firstrow))),0,
           IF(OFFSET(PLE!$G$15,$M70-$A$15,DR$13)="",10^12,OFFSET(PLE!$G$15,$M70-$A$15,DR$13)))</f>
        <v>1000000000000</v>
      </c>
      <c r="DS70" s="172" cm="1">
        <f t="array" aca="1" ref="DS70" ca="1">IF(OR($D70&lt;&gt;"Serviço",AND(AUTOEVENTO="Manual",$M70=$A$15),$M70&gt;(ROW(PLE.lastrow)-ROW(PLE.firstrow))),0,
           IF(OFFSET(PLE!$G$15,$M70-$A$15,DS$13)="",10^12,OFFSET(PLE!$G$15,$M70-$A$15,DS$13)))</f>
        <v>1000000000000</v>
      </c>
    </row>
    <row r="71" spans="1:123" ht="25.5" x14ac:dyDescent="0.2">
      <c r="A71" s="7">
        <f t="shared" ca="1" si="11"/>
        <v>5</v>
      </c>
      <c r="B71" s="7" t="str">
        <f ca="1">OFFSET(ORÇAMENTO!C$15,$L71,0)</f>
        <v>S</v>
      </c>
      <c r="C71" s="7" t="str">
        <f ca="1">OFFSET(ORÇAMENTO!L$15,$L71,0)</f>
        <v/>
      </c>
      <c r="D71" s="116" t="str">
        <f ca="1">OFFSET(ORÇAMENTO!N$15,$L71,0)</f>
        <v>Serviço</v>
      </c>
      <c r="E71" s="117" t="str">
        <f ca="1">OFFSET(ORÇAMENTO!O$15,$L71,0)</f>
        <v>-</v>
      </c>
      <c r="F71" s="163" t="str">
        <f ca="1">OFFSET(ORÇAMENTO!R$15,$L71,0)</f>
        <v>(Código não identificado nas referências)</v>
      </c>
      <c r="G71" s="164" t="str">
        <f ca="1">IF($D71&lt;&gt;"Serviço","",OFFSET(ORÇAMENTO!S$15,$L71,0))</f>
        <v>-</v>
      </c>
      <c r="H71" s="122" cm="1">
        <f t="array" aca="1" ref="H71" ca="1">IF($D71&lt;&gt;"Serviço",0,IF(ACOMPANHAMENTO="BM",ROUND(OFFSET(ORÇAMENTO!AJ$15,$L71,0),15-13*ORÇAMENTO!$AF$7),IF(IFERROR(CÁLCULO.FrentesPreenchidas,0)=0,0,SUM(ROUND(OFFSET($P71,0,1,1,CÁLCULO.FrentesPreenchidas),15-13*ORÇAMENTO!$AF$7)))))</f>
        <v>432.00000000000017</v>
      </c>
      <c r="I71" s="468" t="s">
        <v>1235</v>
      </c>
      <c r="J71" s="651" t="str" cm="1">
        <f t="array" aca="1" ref="J71" ca="1">IF(OR(B71&lt;&gt;"S",CÁLCULO.FrentesPreenchidas=0),"",IF(AND(ACOMPANHAMENTO="PLE",AUTOEVENTO="Manual",OR(H71&gt;0,ORÇAMENTO!AC71="QUANT."),OR(K71="",M71=0,N71="")),"►E",IF(AND(ACOMPANHAMENTO="PLE",ORÇAMENTO!AC71="QUANT."),"►Q",IF(AND(ACOMPANHAMENTO="PLE",H71&lt;&gt;SUMPRODUCT(($Q$1:$AQ$1=1)*ROUND(Q71:AQ71,15))),"►S",IF(AND(COUNTIF($P$11:$AQ$11,"▼")=0,H71&gt;0,I71=""),"◄M","")))))</f>
        <v/>
      </c>
      <c r="K71" s="652" t="s">
        <v>1253</v>
      </c>
      <c r="L71" s="165">
        <f t="shared" ca="1" si="12"/>
        <v>56</v>
      </c>
      <c r="M71" s="166">
        <f ca="1">IF($D71&lt;&gt;"Serviço","",
          IF(AUTOEVENTO="manual",$A71,
                IF(ISERROR(MATCH($A71,$A$15:OFFSET($A71,-1,0),0)),MAX($M$15:OFFSET(M71,-1,0))+1,
                      INDEX($M$15:OFFSET(M71,-1,0),MATCH($A71,$A$15:OFFSET($A71,-1,0),0)))))</f>
        <v>5</v>
      </c>
      <c r="N71" s="167" t="str">
        <f ca="1">IF($D71&lt;&gt;"Serviço","",
         IF(AUTOEVENTO="Manual",
                IF($A71=0,"&lt;-- defina o número do agrupador",
                       OFFSET(EVENTOS!$D$15,$A71-$A$15,0)),
                OFFSET($F$15,$A71,0)))</f>
        <v>PAREDES E PAINÉIS</v>
      </c>
      <c r="O71" s="168"/>
      <c r="Q71" s="168">
        <v>21.6</v>
      </c>
      <c r="R71" s="169">
        <v>21.6</v>
      </c>
      <c r="S71" s="169">
        <v>21.6</v>
      </c>
      <c r="T71" s="169">
        <v>21.6</v>
      </c>
      <c r="U71" s="169">
        <v>21.6</v>
      </c>
      <c r="V71" s="169">
        <v>21.6</v>
      </c>
      <c r="W71" s="169">
        <v>21.6</v>
      </c>
      <c r="X71" s="169">
        <v>21.6</v>
      </c>
      <c r="Y71" s="169">
        <v>21.6</v>
      </c>
      <c r="Z71" s="170">
        <v>21.6</v>
      </c>
      <c r="AA71" s="169">
        <v>21.6</v>
      </c>
      <c r="AB71" s="169">
        <v>21.6</v>
      </c>
      <c r="AC71" s="169">
        <v>21.6</v>
      </c>
      <c r="AD71" s="169">
        <v>21.6</v>
      </c>
      <c r="AE71" s="169">
        <v>21.6</v>
      </c>
      <c r="AF71" s="169">
        <v>21.6</v>
      </c>
      <c r="AG71" s="169">
        <v>21.6</v>
      </c>
      <c r="AH71" s="170">
        <v>21.6</v>
      </c>
      <c r="AI71" s="169">
        <v>21.6</v>
      </c>
      <c r="AJ71" s="169">
        <v>21.6</v>
      </c>
      <c r="AK71" s="169"/>
      <c r="AL71" s="169"/>
      <c r="AM71" s="169"/>
      <c r="AN71" s="169"/>
      <c r="AO71" s="169"/>
      <c r="AP71" s="170"/>
      <c r="AR71" s="453">
        <f ca="1">IF(AND($D71="Serviço",AR$12&lt;&gt;0,$H71&gt;0,OR(AUTOEVENTO&lt;&gt;"manual",$M71&lt;&gt;$A$15)),
        IF(Import.TipoArredondamento&lt;&gt;"TransfereGOV",
              ROUND(OFFSET($P71,0,AR$13),15-13*ORÇAMENTO!$AF$7)/$H71*OFFSET(ORÇAMENTO!$X$15,ROW(AR71)-ROW(AR$15),0),
              ROUND(ROUND(OFFSET($P71,0,AR$13),15-13*ORÇAMENTO!$AF$7)*OFFSET(ORÇAMENTO!$W$15,ROW(AR71)-ROW(AR$15),0),15-13*ORÇAMENTO!$AF$11)),
         0)</f>
        <v>0</v>
      </c>
      <c r="AS71" s="453">
        <f ca="1">IF(AND($D71="Serviço",AS$12&lt;&gt;0,$H71&gt;0,OR(AUTOEVENTO&lt;&gt;"manual",$M71&lt;&gt;$A$15)),
        IF(Import.TipoArredondamento&lt;&gt;"TransfereGOV",
              ROUND(OFFSET($P71,0,AS$13),15-13*ORÇAMENTO!$AF$7)/$H71*OFFSET(ORÇAMENTO!$X$15,ROW(AS71)-ROW(AS$15),0),
              ROUND(ROUND(OFFSET($P71,0,AS$13),15-13*ORÇAMENTO!$AF$7)*OFFSET(ORÇAMENTO!$W$15,ROW(AS71)-ROW(AS$15),0),15-13*ORÇAMENTO!$AF$11)),
         0)</f>
        <v>0</v>
      </c>
      <c r="AT71" s="453">
        <f ca="1">IF(AND($D71="Serviço",AT$12&lt;&gt;0,$H71&gt;0,OR(AUTOEVENTO&lt;&gt;"manual",$M71&lt;&gt;$A$15)),
        IF(Import.TipoArredondamento&lt;&gt;"TransfereGOV",
              ROUND(OFFSET($P71,0,AT$13),15-13*ORÇAMENTO!$AF$7)/$H71*OFFSET(ORÇAMENTO!$X$15,ROW(AT71)-ROW(AT$15),0),
              ROUND(ROUND(OFFSET($P71,0,AT$13),15-13*ORÇAMENTO!$AF$7)*OFFSET(ORÇAMENTO!$W$15,ROW(AT71)-ROW(AT$15),0),15-13*ORÇAMENTO!$AF$11)),
         0)</f>
        <v>0</v>
      </c>
      <c r="AU71" s="453">
        <f ca="1">IF(AND($D71="Serviço",AU$12&lt;&gt;0,$H71&gt;0,OR(AUTOEVENTO&lt;&gt;"manual",$M71&lt;&gt;$A$15)),
        IF(Import.TipoArredondamento&lt;&gt;"TransfereGOV",
              ROUND(OFFSET($P71,0,AU$13),15-13*ORÇAMENTO!$AF$7)/$H71*OFFSET(ORÇAMENTO!$X$15,ROW(AU71)-ROW(AU$15),0),
              ROUND(ROUND(OFFSET($P71,0,AU$13),15-13*ORÇAMENTO!$AF$7)*OFFSET(ORÇAMENTO!$W$15,ROW(AU71)-ROW(AU$15),0),15-13*ORÇAMENTO!$AF$11)),
         0)</f>
        <v>0</v>
      </c>
      <c r="AV71" s="453">
        <f ca="1">IF(AND($D71="Serviço",AV$12&lt;&gt;0,$H71&gt;0,OR(AUTOEVENTO&lt;&gt;"manual",$M71&lt;&gt;$A$15)),
        IF(Import.TipoArredondamento&lt;&gt;"TransfereGOV",
              ROUND(OFFSET($P71,0,AV$13),15-13*ORÇAMENTO!$AF$7)/$H71*OFFSET(ORÇAMENTO!$X$15,ROW(AV71)-ROW(AV$15),0),
              ROUND(ROUND(OFFSET($P71,0,AV$13),15-13*ORÇAMENTO!$AF$7)*OFFSET(ORÇAMENTO!$W$15,ROW(AV71)-ROW(AV$15),0),15-13*ORÇAMENTO!$AF$11)),
         0)</f>
        <v>0</v>
      </c>
      <c r="AW71" s="453">
        <f ca="1">IF(AND($D71="Serviço",AW$12&lt;&gt;0,$H71&gt;0,OR(AUTOEVENTO&lt;&gt;"manual",$M71&lt;&gt;$A$15)),
        IF(Import.TipoArredondamento&lt;&gt;"TransfereGOV",
              ROUND(OFFSET($P71,0,AW$13),15-13*ORÇAMENTO!$AF$7)/$H71*OFFSET(ORÇAMENTO!$X$15,ROW(AW71)-ROW(AW$15),0),
              ROUND(ROUND(OFFSET($P71,0,AW$13),15-13*ORÇAMENTO!$AF$7)*OFFSET(ORÇAMENTO!$W$15,ROW(AW71)-ROW(AW$15),0),15-13*ORÇAMENTO!$AF$11)),
         0)</f>
        <v>0</v>
      </c>
      <c r="AX71" s="453">
        <f ca="1">IF(AND($D71="Serviço",AX$12&lt;&gt;0,$H71&gt;0,OR(AUTOEVENTO&lt;&gt;"manual",$M71&lt;&gt;$A$15)),
        IF(Import.TipoArredondamento&lt;&gt;"TransfereGOV",
              ROUND(OFFSET($P71,0,AX$13),15-13*ORÇAMENTO!$AF$7)/$H71*OFFSET(ORÇAMENTO!$X$15,ROW(AX71)-ROW(AX$15),0),
              ROUND(ROUND(OFFSET($P71,0,AX$13),15-13*ORÇAMENTO!$AF$7)*OFFSET(ORÇAMENTO!$W$15,ROW(AX71)-ROW(AX$15),0),15-13*ORÇAMENTO!$AF$11)),
         0)</f>
        <v>0</v>
      </c>
      <c r="AY71" s="453">
        <f ca="1">IF(AND($D71="Serviço",AY$12&lt;&gt;0,$H71&gt;0,OR(AUTOEVENTO&lt;&gt;"manual",$M71&lt;&gt;$A$15)),
        IF(Import.TipoArredondamento&lt;&gt;"TransfereGOV",
              ROUND(OFFSET($P71,0,AY$13),15-13*ORÇAMENTO!$AF$7)/$H71*OFFSET(ORÇAMENTO!$X$15,ROW(AY71)-ROW(AY$15),0),
              ROUND(ROUND(OFFSET($P71,0,AY$13),15-13*ORÇAMENTO!$AF$7)*OFFSET(ORÇAMENTO!$W$15,ROW(AY71)-ROW(AY$15),0),15-13*ORÇAMENTO!$AF$11)),
         0)</f>
        <v>0</v>
      </c>
      <c r="AZ71" s="453">
        <f ca="1">IF(AND($D71="Serviço",AZ$12&lt;&gt;0,$H71&gt;0,OR(AUTOEVENTO&lt;&gt;"manual",$M71&lt;&gt;$A$15)),
        IF(Import.TipoArredondamento&lt;&gt;"TransfereGOV",
              ROUND(OFFSET($P71,0,AZ$13),15-13*ORÇAMENTO!$AF$7)/$H71*OFFSET(ORÇAMENTO!$X$15,ROW(AZ71)-ROW(AZ$15),0),
              ROUND(ROUND(OFFSET($P71,0,AZ$13),15-13*ORÇAMENTO!$AF$7)*OFFSET(ORÇAMENTO!$W$15,ROW(AZ71)-ROW(AZ$15),0),15-13*ORÇAMENTO!$AF$11)),
         0)</f>
        <v>0</v>
      </c>
      <c r="BA71" s="453">
        <f ca="1">IF(AND($D71="Serviço",BA$12&lt;&gt;0,$H71&gt;0,OR(AUTOEVENTO&lt;&gt;"manual",$M71&lt;&gt;$A$15)),
        IF(Import.TipoArredondamento&lt;&gt;"TransfereGOV",
              ROUND(OFFSET($P71,0,BA$13),15-13*ORÇAMENTO!$AF$7)/$H71*OFFSET(ORÇAMENTO!$X$15,ROW(BA71)-ROW(BA$15),0),
              ROUND(ROUND(OFFSET($P71,0,BA$13),15-13*ORÇAMENTO!$AF$7)*OFFSET(ORÇAMENTO!$W$15,ROW(BA71)-ROW(BA$15),0),15-13*ORÇAMENTO!$AF$11)),
         0)</f>
        <v>0</v>
      </c>
      <c r="BB71" s="453">
        <f ca="1">IF(AND($D71="Serviço",BB$12&lt;&gt;0,$H71&gt;0,OR(AUTOEVENTO&lt;&gt;"manual",$M71&lt;&gt;$A$15)),
        IF(Import.TipoArredondamento&lt;&gt;"TransfereGOV",
              ROUND(OFFSET($P71,0,BB$13),15-13*ORÇAMENTO!$AF$7)/$H71*OFFSET(ORÇAMENTO!$X$15,ROW(BB71)-ROW(BB$15),0),
              ROUND(ROUND(OFFSET($P71,0,BB$13),15-13*ORÇAMENTO!$AF$7)*OFFSET(ORÇAMENTO!$W$15,ROW(BB71)-ROW(BB$15),0),15-13*ORÇAMENTO!$AF$11)),
         0)</f>
        <v>0</v>
      </c>
      <c r="BC71" s="453">
        <f ca="1">IF(AND($D71="Serviço",BC$12&lt;&gt;0,$H71&gt;0,OR(AUTOEVENTO&lt;&gt;"manual",$M71&lt;&gt;$A$15)),
        IF(Import.TipoArredondamento&lt;&gt;"TransfereGOV",
              ROUND(OFFSET($P71,0,BC$13),15-13*ORÇAMENTO!$AF$7)/$H71*OFFSET(ORÇAMENTO!$X$15,ROW(BC71)-ROW(BC$15),0),
              ROUND(ROUND(OFFSET($P71,0,BC$13),15-13*ORÇAMENTO!$AF$7)*OFFSET(ORÇAMENTO!$W$15,ROW(BC71)-ROW(BC$15),0),15-13*ORÇAMENTO!$AF$11)),
         0)</f>
        <v>0</v>
      </c>
      <c r="BD71" s="453">
        <f ca="1">IF(AND($D71="Serviço",BD$12&lt;&gt;0,$H71&gt;0,OR(AUTOEVENTO&lt;&gt;"manual",$M71&lt;&gt;$A$15)),
        IF(Import.TipoArredondamento&lt;&gt;"TransfereGOV",
              ROUND(OFFSET($P71,0,BD$13),15-13*ORÇAMENTO!$AF$7)/$H71*OFFSET(ORÇAMENTO!$X$15,ROW(BD71)-ROW(BD$15),0),
              ROUND(ROUND(OFFSET($P71,0,BD$13),15-13*ORÇAMENTO!$AF$7)*OFFSET(ORÇAMENTO!$W$15,ROW(BD71)-ROW(BD$15),0),15-13*ORÇAMENTO!$AF$11)),
         0)</f>
        <v>0</v>
      </c>
      <c r="BE71" s="453">
        <f ca="1">IF(AND($D71="Serviço",BE$12&lt;&gt;0,$H71&gt;0,OR(AUTOEVENTO&lt;&gt;"manual",$M71&lt;&gt;$A$15)),
        IF(Import.TipoArredondamento&lt;&gt;"TransfereGOV",
              ROUND(OFFSET($P71,0,BE$13),15-13*ORÇAMENTO!$AF$7)/$H71*OFFSET(ORÇAMENTO!$X$15,ROW(BE71)-ROW(BE$15),0),
              ROUND(ROUND(OFFSET($P71,0,BE$13),15-13*ORÇAMENTO!$AF$7)*OFFSET(ORÇAMENTO!$W$15,ROW(BE71)-ROW(BE$15),0),15-13*ORÇAMENTO!$AF$11)),
         0)</f>
        <v>0</v>
      </c>
      <c r="BF71" s="453">
        <f ca="1">IF(AND($D71="Serviço",BF$12&lt;&gt;0,$H71&gt;0,OR(AUTOEVENTO&lt;&gt;"manual",$M71&lt;&gt;$A$15)),
        IF(Import.TipoArredondamento&lt;&gt;"TransfereGOV",
              ROUND(OFFSET($P71,0,BF$13),15-13*ORÇAMENTO!$AF$7)/$H71*OFFSET(ORÇAMENTO!$X$15,ROW(BF71)-ROW(BF$15),0),
              ROUND(ROUND(OFFSET($P71,0,BF$13),15-13*ORÇAMENTO!$AF$7)*OFFSET(ORÇAMENTO!$W$15,ROW(BF71)-ROW(BF$15),0),15-13*ORÇAMENTO!$AF$11)),
         0)</f>
        <v>0</v>
      </c>
      <c r="BG71" s="453">
        <f ca="1">IF(AND($D71="Serviço",BG$12&lt;&gt;0,$H71&gt;0,OR(AUTOEVENTO&lt;&gt;"manual",$M71&lt;&gt;$A$15)),
        IF(Import.TipoArredondamento&lt;&gt;"TransfereGOV",
              ROUND(OFFSET($P71,0,BG$13),15-13*ORÇAMENTO!$AF$7)/$H71*OFFSET(ORÇAMENTO!$X$15,ROW(BG71)-ROW(BG$15),0),
              ROUND(ROUND(OFFSET($P71,0,BG$13),15-13*ORÇAMENTO!$AF$7)*OFFSET(ORÇAMENTO!$W$15,ROW(BG71)-ROW(BG$15),0),15-13*ORÇAMENTO!$AF$11)),
         0)</f>
        <v>0</v>
      </c>
      <c r="BH71" s="453">
        <f ca="1">IF(AND($D71="Serviço",BH$12&lt;&gt;0,$H71&gt;0,OR(AUTOEVENTO&lt;&gt;"manual",$M71&lt;&gt;$A$15)),
        IF(Import.TipoArredondamento&lt;&gt;"TransfereGOV",
              ROUND(OFFSET($P71,0,BH$13),15-13*ORÇAMENTO!$AF$7)/$H71*OFFSET(ORÇAMENTO!$X$15,ROW(BH71)-ROW(BH$15),0),
              ROUND(ROUND(OFFSET($P71,0,BH$13),15-13*ORÇAMENTO!$AF$7)*OFFSET(ORÇAMENTO!$W$15,ROW(BH71)-ROW(BH$15),0),15-13*ORÇAMENTO!$AF$11)),
         0)</f>
        <v>0</v>
      </c>
      <c r="BI71" s="453">
        <f ca="1">IF(AND($D71="Serviço",BI$12&lt;&gt;0,$H71&gt;0,OR(AUTOEVENTO&lt;&gt;"manual",$M71&lt;&gt;$A$15)),
        IF(Import.TipoArredondamento&lt;&gt;"TransfereGOV",
              ROUND(OFFSET($P71,0,BI$13),15-13*ORÇAMENTO!$AF$7)/$H71*OFFSET(ORÇAMENTO!$X$15,ROW(BI71)-ROW(BI$15),0),
              ROUND(ROUND(OFFSET($P71,0,BI$13),15-13*ORÇAMENTO!$AF$7)*OFFSET(ORÇAMENTO!$W$15,ROW(BI71)-ROW(BI$15),0),15-13*ORÇAMENTO!$AF$11)),
         0)</f>
        <v>0</v>
      </c>
      <c r="BJ71" s="453">
        <f ca="1">IF(AND($D71="Serviço",BJ$12&lt;&gt;0,$H71&gt;0,OR(AUTOEVENTO&lt;&gt;"manual",$M71&lt;&gt;$A$15)),
        IF(Import.TipoArredondamento&lt;&gt;"TransfereGOV",
              ROUND(OFFSET($P71,0,BJ$13),15-13*ORÇAMENTO!$AF$7)/$H71*OFFSET(ORÇAMENTO!$X$15,ROW(BJ71)-ROW(BJ$15),0),
              ROUND(ROUND(OFFSET($P71,0,BJ$13),15-13*ORÇAMENTO!$AF$7)*OFFSET(ORÇAMENTO!$W$15,ROW(BJ71)-ROW(BJ$15),0),15-13*ORÇAMENTO!$AF$11)),
         0)</f>
        <v>0</v>
      </c>
      <c r="BK71" s="453">
        <f ca="1">IF(AND($D71="Serviço",BK$12&lt;&gt;0,$H71&gt;0,OR(AUTOEVENTO&lt;&gt;"manual",$M71&lt;&gt;$A$15)),
        IF(Import.TipoArredondamento&lt;&gt;"TransfereGOV",
              ROUND(OFFSET($P71,0,BK$13),15-13*ORÇAMENTO!$AF$7)/$H71*OFFSET(ORÇAMENTO!$X$15,ROW(BK71)-ROW(BK$15),0),
              ROUND(ROUND(OFFSET($P71,0,BK$13),15-13*ORÇAMENTO!$AF$7)*OFFSET(ORÇAMENTO!$W$15,ROW(BK71)-ROW(BK$15),0),15-13*ORÇAMENTO!$AF$11)),
         0)</f>
        <v>0</v>
      </c>
      <c r="BL71" s="453">
        <f ca="1">IF(AND($D71="Serviço",BL$12&lt;&gt;0,$H71&gt;0,OR(AUTOEVENTO&lt;&gt;"manual",$M71&lt;&gt;$A$15)),
        IF(Import.TipoArredondamento&lt;&gt;"TransfereGOV",
              ROUND(OFFSET($P71,0,BL$13),15-13*ORÇAMENTO!$AF$7)/$H71*OFFSET(ORÇAMENTO!$X$15,ROW(BL71)-ROW(BL$15),0),
              ROUND(ROUND(OFFSET($P71,0,BL$13),15-13*ORÇAMENTO!$AF$7)*OFFSET(ORÇAMENTO!$W$15,ROW(BL71)-ROW(BL$15),0),15-13*ORÇAMENTO!$AF$11)),
         0)</f>
        <v>0</v>
      </c>
      <c r="BM71" s="453">
        <f ca="1">IF(AND($D71="Serviço",BM$12&lt;&gt;0,$H71&gt;0,OR(AUTOEVENTO&lt;&gt;"manual",$M71&lt;&gt;$A$15)),
        IF(Import.TipoArredondamento&lt;&gt;"TransfereGOV",
              ROUND(OFFSET($P71,0,BM$13),15-13*ORÇAMENTO!$AF$7)/$H71*OFFSET(ORÇAMENTO!$X$15,ROW(BM71)-ROW(BM$15),0),
              ROUND(ROUND(OFFSET($P71,0,BM$13),15-13*ORÇAMENTO!$AF$7)*OFFSET(ORÇAMENTO!$W$15,ROW(BM71)-ROW(BM$15),0),15-13*ORÇAMENTO!$AF$11)),
         0)</f>
        <v>0</v>
      </c>
      <c r="BN71" s="453">
        <f ca="1">IF(AND($D71="Serviço",BN$12&lt;&gt;0,$H71&gt;0,OR(AUTOEVENTO&lt;&gt;"manual",$M71&lt;&gt;$A$15)),
        IF(Import.TipoArredondamento&lt;&gt;"TransfereGOV",
              ROUND(OFFSET($P71,0,BN$13),15-13*ORÇAMENTO!$AF$7)/$H71*OFFSET(ORÇAMENTO!$X$15,ROW(BN71)-ROW(BN$15),0),
              ROUND(ROUND(OFFSET($P71,0,BN$13),15-13*ORÇAMENTO!$AF$7)*OFFSET(ORÇAMENTO!$W$15,ROW(BN71)-ROW(BN$15),0),15-13*ORÇAMENTO!$AF$11)),
         0)</f>
        <v>0</v>
      </c>
      <c r="BO71" s="453">
        <f ca="1">IF(AND($D71="Serviço",BO$12&lt;&gt;0,$H71&gt;0,OR(AUTOEVENTO&lt;&gt;"manual",$M71&lt;&gt;$A$15)),
        IF(Import.TipoArredondamento&lt;&gt;"TransfereGOV",
              ROUND(OFFSET($P71,0,BO$13),15-13*ORÇAMENTO!$AF$7)/$H71*OFFSET(ORÇAMENTO!$X$15,ROW(BO71)-ROW(BO$15),0),
              ROUND(ROUND(OFFSET($P71,0,BO$13),15-13*ORÇAMENTO!$AF$7)*OFFSET(ORÇAMENTO!$W$15,ROW(BO71)-ROW(BO$15),0),15-13*ORÇAMENTO!$AF$11)),
         0)</f>
        <v>0</v>
      </c>
      <c r="BP71" s="453">
        <f ca="1">IF(AND($D71="Serviço",BP$12&lt;&gt;0,$H71&gt;0,OR(AUTOEVENTO&lt;&gt;"manual",$M71&lt;&gt;$A$15)),
        IF(Import.TipoArredondamento&lt;&gt;"TransfereGOV",
              ROUND(OFFSET($P71,0,BP$13),15-13*ORÇAMENTO!$AF$7)/$H71*OFFSET(ORÇAMENTO!$X$15,ROW(BP71)-ROW(BP$15),0),
              ROUND(ROUND(OFFSET($P71,0,BP$13),15-13*ORÇAMENTO!$AF$7)*OFFSET(ORÇAMENTO!$W$15,ROW(BP71)-ROW(BP$15),0),15-13*ORÇAMENTO!$AF$11)),
         0)</f>
        <v>0</v>
      </c>
      <c r="BQ71" s="453">
        <f ca="1">IF(AND($D71="Serviço",BQ$12&lt;&gt;0,$H71&gt;0,OR(AUTOEVENTO&lt;&gt;"manual",$M71&lt;&gt;$A$15)),
        IF(Import.TipoArredondamento&lt;&gt;"TransfereGOV",
              ROUND(OFFSET($P71,0,BQ$13),15-13*ORÇAMENTO!$AF$7)/$H71*OFFSET(ORÇAMENTO!$X$15,ROW(BQ71)-ROW(BQ$15),0),
              ROUND(ROUND(OFFSET($P71,0,BQ$13),15-13*ORÇAMENTO!$AF$7)*OFFSET(ORÇAMENTO!$W$15,ROW(BQ71)-ROW(BQ$15),0),15-13*ORÇAMENTO!$AF$11)),
         0)</f>
        <v>0</v>
      </c>
      <c r="BS71" s="171">
        <f ca="1">IF(OR($D71&lt;&gt;"Serviço",AND(AUTOEVENTO="Manual",$M71=$A$15)),0,
         IF(OFFSET(CRONOPLE!$F$15,$M71-$A$15,BS$13)=0,10^12,OFFSET(CRONOPLE!$F$15,$M71-$A$15,BS$13)))</f>
        <v>1</v>
      </c>
      <c r="BT71" s="171">
        <f ca="1">IF(OR($D71&lt;&gt;"Serviço",AND(AUTOEVENTO="Manual",$M71=$A$15)),0,
         IF(OFFSET(CRONOPLE!$F$15,$M71-$A$15,BT$13)=0,10^12,OFFSET(CRONOPLE!$F$15,$M71-$A$15,BT$13)))</f>
        <v>2</v>
      </c>
      <c r="BU71" s="171">
        <f ca="1">IF(OR($D71&lt;&gt;"Serviço",AND(AUTOEVENTO="Manual",$M71=$A$15)),0,
         IF(OFFSET(CRONOPLE!$F$15,$M71-$A$15,BU$13)=0,10^12,OFFSET(CRONOPLE!$F$15,$M71-$A$15,BU$13)))</f>
        <v>3</v>
      </c>
      <c r="BV71" s="171">
        <f ca="1">IF(OR($D71&lt;&gt;"Serviço",AND(AUTOEVENTO="Manual",$M71=$A$15)),0,
         IF(OFFSET(CRONOPLE!$F$15,$M71-$A$15,BV$13)=0,10^12,OFFSET(CRONOPLE!$F$15,$M71-$A$15,BV$13)))</f>
        <v>4</v>
      </c>
      <c r="BW71" s="171">
        <f ca="1">IF(OR($D71&lt;&gt;"Serviço",AND(AUTOEVENTO="Manual",$M71=$A$15)),0,
         IF(OFFSET(CRONOPLE!$F$15,$M71-$A$15,BW$13)=0,10^12,OFFSET(CRONOPLE!$F$15,$M71-$A$15,BW$13)))</f>
        <v>5</v>
      </c>
      <c r="BX71" s="171">
        <f ca="1">IF(OR($D71&lt;&gt;"Serviço",AND(AUTOEVENTO="Manual",$M71=$A$15)),0,
         IF(OFFSET(CRONOPLE!$F$15,$M71-$A$15,BX$13)=0,10^12,OFFSET(CRONOPLE!$F$15,$M71-$A$15,BX$13)))</f>
        <v>6</v>
      </c>
      <c r="BY71" s="171">
        <f ca="1">IF(OR($D71&lt;&gt;"Serviço",AND(AUTOEVENTO="Manual",$M71=$A$15)),0,
         IF(OFFSET(CRONOPLE!$F$15,$M71-$A$15,BY$13)=0,10^12,OFFSET(CRONOPLE!$F$15,$M71-$A$15,BY$13)))</f>
        <v>7</v>
      </c>
      <c r="BZ71" s="171">
        <f ca="1">IF(OR($D71&lt;&gt;"Serviço",AND(AUTOEVENTO="Manual",$M71=$A$15)),0,
         IF(OFFSET(CRONOPLE!$F$15,$M71-$A$15,BZ$13)=0,10^12,OFFSET(CRONOPLE!$F$15,$M71-$A$15,BZ$13)))</f>
        <v>8</v>
      </c>
      <c r="CA71" s="171">
        <f ca="1">IF(OR($D71&lt;&gt;"Serviço",AND(AUTOEVENTO="Manual",$M71=$A$15)),0,
         IF(OFFSET(CRONOPLE!$F$15,$M71-$A$15,CA$13)=0,10^12,OFFSET(CRONOPLE!$F$15,$M71-$A$15,CA$13)))</f>
        <v>9</v>
      </c>
      <c r="CB71" s="171">
        <f ca="1">IF(OR($D71&lt;&gt;"Serviço",AND(AUTOEVENTO="Manual",$M71=$A$15)),0,
         IF(OFFSET(CRONOPLE!$F$15,$M71-$A$15,CB$13)=0,10^12,OFFSET(CRONOPLE!$F$15,$M71-$A$15,CB$13)))</f>
        <v>10</v>
      </c>
      <c r="CC71" s="171">
        <f ca="1">IF(OR($D71&lt;&gt;"Serviço",AND(AUTOEVENTO="Manual",$M71=$A$15)),0,
         IF(OFFSET(CRONOPLE!$F$15,$M71-$A$15,CC$13)=0,10^12,OFFSET(CRONOPLE!$F$15,$M71-$A$15,CC$13)))</f>
        <v>11</v>
      </c>
      <c r="CD71" s="171">
        <f ca="1">IF(OR($D71&lt;&gt;"Serviço",AND(AUTOEVENTO="Manual",$M71=$A$15)),0,
         IF(OFFSET(CRONOPLE!$F$15,$M71-$A$15,CD$13)=0,10^12,OFFSET(CRONOPLE!$F$15,$M71-$A$15,CD$13)))</f>
        <v>12</v>
      </c>
      <c r="CE71" s="171">
        <f ca="1">IF(OR($D71&lt;&gt;"Serviço",AND(AUTOEVENTO="Manual",$M71=$A$15)),0,
         IF(OFFSET(CRONOPLE!$F$15,$M71-$A$15,CE$13)=0,10^12,OFFSET(CRONOPLE!$F$15,$M71-$A$15,CE$13)))</f>
        <v>13</v>
      </c>
      <c r="CF71" s="171">
        <f ca="1">IF(OR($D71&lt;&gt;"Serviço",AND(AUTOEVENTO="Manual",$M71=$A$15)),0,
         IF(OFFSET(CRONOPLE!$F$15,$M71-$A$15,CF$13)=0,10^12,OFFSET(CRONOPLE!$F$15,$M71-$A$15,CF$13)))</f>
        <v>14</v>
      </c>
      <c r="CG71" s="171">
        <f ca="1">IF(OR($D71&lt;&gt;"Serviço",AND(AUTOEVENTO="Manual",$M71=$A$15)),0,
         IF(OFFSET(CRONOPLE!$F$15,$M71-$A$15,CG$13)=0,10^12,OFFSET(CRONOPLE!$F$15,$M71-$A$15,CG$13)))</f>
        <v>15</v>
      </c>
      <c r="CH71" s="171">
        <f ca="1">IF(OR($D71&lt;&gt;"Serviço",AND(AUTOEVENTO="Manual",$M71=$A$15)),0,
         IF(OFFSET(CRONOPLE!$F$15,$M71-$A$15,CH$13)=0,10^12,OFFSET(CRONOPLE!$F$15,$M71-$A$15,CH$13)))</f>
        <v>16</v>
      </c>
      <c r="CI71" s="171">
        <f ca="1">IF(OR($D71&lt;&gt;"Serviço",AND(AUTOEVENTO="Manual",$M71=$A$15)),0,
         IF(OFFSET(CRONOPLE!$F$15,$M71-$A$15,CI$13)=0,10^12,OFFSET(CRONOPLE!$F$15,$M71-$A$15,CI$13)))</f>
        <v>17</v>
      </c>
      <c r="CJ71" s="171">
        <f ca="1">IF(OR($D71&lt;&gt;"Serviço",AND(AUTOEVENTO="Manual",$M71=$A$15)),0,
         IF(OFFSET(CRONOPLE!$F$15,$M71-$A$15,CJ$13)=0,10^12,OFFSET(CRONOPLE!$F$15,$M71-$A$15,CJ$13)))</f>
        <v>18</v>
      </c>
      <c r="CK71" s="171">
        <f ca="1">IF(OR($D71&lt;&gt;"Serviço",AND(AUTOEVENTO="Manual",$M71=$A$15)),0,
         IF(OFFSET(CRONOPLE!$F$15,$M71-$A$15,CK$13)=0,10^12,OFFSET(CRONOPLE!$F$15,$M71-$A$15,CK$13)))</f>
        <v>19</v>
      </c>
      <c r="CL71" s="171">
        <f ca="1">IF(OR($D71&lt;&gt;"Serviço",AND(AUTOEVENTO="Manual",$M71=$A$15)),0,
         IF(OFFSET(CRONOPLE!$F$15,$M71-$A$15,CL$13)=0,10^12,OFFSET(CRONOPLE!$F$15,$M71-$A$15,CL$13)))</f>
        <v>20</v>
      </c>
      <c r="CM71" s="171">
        <f ca="1">IF(OR($D71&lt;&gt;"Serviço",AND(AUTOEVENTO="Manual",$M71=$A$15)),0,
         IF(OFFSET(CRONOPLE!$F$15,$M71-$A$15,CM$13)=0,10^12,OFFSET(CRONOPLE!$F$15,$M71-$A$15,CM$13)))</f>
        <v>1000000000000</v>
      </c>
      <c r="CN71" s="171">
        <f ca="1">IF(OR($D71&lt;&gt;"Serviço",AND(AUTOEVENTO="Manual",$M71=$A$15)),0,
         IF(OFFSET(CRONOPLE!$F$15,$M71-$A$15,CN$13)=0,10^12,OFFSET(CRONOPLE!$F$15,$M71-$A$15,CN$13)))</f>
        <v>1000000000000</v>
      </c>
      <c r="CO71" s="171">
        <f ca="1">IF(OR($D71&lt;&gt;"Serviço",AND(AUTOEVENTO="Manual",$M71=$A$15)),0,
         IF(OFFSET(CRONOPLE!$F$15,$M71-$A$15,CO$13)=0,10^12,OFFSET(CRONOPLE!$F$15,$M71-$A$15,CO$13)))</f>
        <v>1000000000000</v>
      </c>
      <c r="CP71" s="171">
        <f ca="1">IF(OR($D71&lt;&gt;"Serviço",AND(AUTOEVENTO="Manual",$M71=$A$15)),0,
         IF(OFFSET(CRONOPLE!$F$15,$M71-$A$15,CP$13)=0,10^12,OFFSET(CRONOPLE!$F$15,$M71-$A$15,CP$13)))</f>
        <v>1000000000000</v>
      </c>
      <c r="CQ71" s="171">
        <f ca="1">IF(OR($D71&lt;&gt;"Serviço",AND(AUTOEVENTO="Manual",$M71=$A$15)),0,
         IF(OFFSET(CRONOPLE!$F$15,$M71-$A$15,CQ$13)=0,10^12,OFFSET(CRONOPLE!$F$15,$M71-$A$15,CQ$13)))</f>
        <v>1000000000000</v>
      </c>
      <c r="CR71" s="171">
        <f ca="1">IF(OR($D71&lt;&gt;"Serviço",AND(AUTOEVENTO="Manual",$M71=$A$15)),0,
         IF(OFFSET(CRONOPLE!$F$15,$M71-$A$15,CR$13)=0,10^12,OFFSET(CRONOPLE!$F$15,$M71-$A$15,CR$13)))</f>
        <v>1000000000000</v>
      </c>
      <c r="CT71" s="172" cm="1">
        <f t="array" aca="1" ref="CT71" ca="1">IF(OR($D71&lt;&gt;"Serviço",AND(AUTOEVENTO="Manual",$M71=$A$15),$M71&gt;(ROW(PLE.lastrow)-ROW(PLE.firstrow))),0,
           IF(OFFSET(PLE!$G$15,$M71-$A$15,CT$13)="",10^12,OFFSET(PLE!$G$15,$M71-$A$15,CT$13)))</f>
        <v>1000000000000</v>
      </c>
      <c r="CU71" s="172" cm="1">
        <f t="array" aca="1" ref="CU71" ca="1">IF(OR($D71&lt;&gt;"Serviço",AND(AUTOEVENTO="Manual",$M71=$A$15),$M71&gt;(ROW(PLE.lastrow)-ROW(PLE.firstrow))),0,
           IF(OFFSET(PLE!$G$15,$M71-$A$15,CU$13)="",10^12,OFFSET(PLE!$G$15,$M71-$A$15,CU$13)))</f>
        <v>1000000000000</v>
      </c>
      <c r="CV71" s="172" cm="1">
        <f t="array" aca="1" ref="CV71" ca="1">IF(OR($D71&lt;&gt;"Serviço",AND(AUTOEVENTO="Manual",$M71=$A$15),$M71&gt;(ROW(PLE.lastrow)-ROW(PLE.firstrow))),0,
           IF(OFFSET(PLE!$G$15,$M71-$A$15,CV$13)="",10^12,OFFSET(PLE!$G$15,$M71-$A$15,CV$13)))</f>
        <v>1000000000000</v>
      </c>
      <c r="CW71" s="172" cm="1">
        <f t="array" aca="1" ref="CW71" ca="1">IF(OR($D71&lt;&gt;"Serviço",AND(AUTOEVENTO="Manual",$M71=$A$15),$M71&gt;(ROW(PLE.lastrow)-ROW(PLE.firstrow))),0,
           IF(OFFSET(PLE!$G$15,$M71-$A$15,CW$13)="",10^12,OFFSET(PLE!$G$15,$M71-$A$15,CW$13)))</f>
        <v>1000000000000</v>
      </c>
      <c r="CX71" s="172" cm="1">
        <f t="array" aca="1" ref="CX71" ca="1">IF(OR($D71&lt;&gt;"Serviço",AND(AUTOEVENTO="Manual",$M71=$A$15),$M71&gt;(ROW(PLE.lastrow)-ROW(PLE.firstrow))),0,
           IF(OFFSET(PLE!$G$15,$M71-$A$15,CX$13)="",10^12,OFFSET(PLE!$G$15,$M71-$A$15,CX$13)))</f>
        <v>1000000000000</v>
      </c>
      <c r="CY71" s="172" cm="1">
        <f t="array" aca="1" ref="CY71" ca="1">IF(OR($D71&lt;&gt;"Serviço",AND(AUTOEVENTO="Manual",$M71=$A$15),$M71&gt;(ROW(PLE.lastrow)-ROW(PLE.firstrow))),0,
           IF(OFFSET(PLE!$G$15,$M71-$A$15,CY$13)="",10^12,OFFSET(PLE!$G$15,$M71-$A$15,CY$13)))</f>
        <v>1000000000000</v>
      </c>
      <c r="CZ71" s="172" cm="1">
        <f t="array" aca="1" ref="CZ71" ca="1">IF(OR($D71&lt;&gt;"Serviço",AND(AUTOEVENTO="Manual",$M71=$A$15),$M71&gt;(ROW(PLE.lastrow)-ROW(PLE.firstrow))),0,
           IF(OFFSET(PLE!$G$15,$M71-$A$15,CZ$13)="",10^12,OFFSET(PLE!$G$15,$M71-$A$15,CZ$13)))</f>
        <v>1000000000000</v>
      </c>
      <c r="DA71" s="172" cm="1">
        <f t="array" aca="1" ref="DA71" ca="1">IF(OR($D71&lt;&gt;"Serviço",AND(AUTOEVENTO="Manual",$M71=$A$15),$M71&gt;(ROW(PLE.lastrow)-ROW(PLE.firstrow))),0,
           IF(OFFSET(PLE!$G$15,$M71-$A$15,DA$13)="",10^12,OFFSET(PLE!$G$15,$M71-$A$15,DA$13)))</f>
        <v>1000000000000</v>
      </c>
      <c r="DB71" s="172" cm="1">
        <f t="array" aca="1" ref="DB71" ca="1">IF(OR($D71&lt;&gt;"Serviço",AND(AUTOEVENTO="Manual",$M71=$A$15),$M71&gt;(ROW(PLE.lastrow)-ROW(PLE.firstrow))),0,
           IF(OFFSET(PLE!$G$15,$M71-$A$15,DB$13)="",10^12,OFFSET(PLE!$G$15,$M71-$A$15,DB$13)))</f>
        <v>1000000000000</v>
      </c>
      <c r="DC71" s="172" cm="1">
        <f t="array" aca="1" ref="DC71" ca="1">IF(OR($D71&lt;&gt;"Serviço",AND(AUTOEVENTO="Manual",$M71=$A$15),$M71&gt;(ROW(PLE.lastrow)-ROW(PLE.firstrow))),0,
           IF(OFFSET(PLE!$G$15,$M71-$A$15,DC$13)="",10^12,OFFSET(PLE!$G$15,$M71-$A$15,DC$13)))</f>
        <v>1000000000000</v>
      </c>
      <c r="DD71" s="172" cm="1">
        <f t="array" aca="1" ref="DD71" ca="1">IF(OR($D71&lt;&gt;"Serviço",AND(AUTOEVENTO="Manual",$M71=$A$15),$M71&gt;(ROW(PLE.lastrow)-ROW(PLE.firstrow))),0,
           IF(OFFSET(PLE!$G$15,$M71-$A$15,DD$13)="",10^12,OFFSET(PLE!$G$15,$M71-$A$15,DD$13)))</f>
        <v>1000000000000</v>
      </c>
      <c r="DE71" s="172" cm="1">
        <f t="array" aca="1" ref="DE71" ca="1">IF(OR($D71&lt;&gt;"Serviço",AND(AUTOEVENTO="Manual",$M71=$A$15),$M71&gt;(ROW(PLE.lastrow)-ROW(PLE.firstrow))),0,
           IF(OFFSET(PLE!$G$15,$M71-$A$15,DE$13)="",10^12,OFFSET(PLE!$G$15,$M71-$A$15,DE$13)))</f>
        <v>1000000000000</v>
      </c>
      <c r="DF71" s="172" cm="1">
        <f t="array" aca="1" ref="DF71" ca="1">IF(OR($D71&lt;&gt;"Serviço",AND(AUTOEVENTO="Manual",$M71=$A$15),$M71&gt;(ROW(PLE.lastrow)-ROW(PLE.firstrow))),0,
           IF(OFFSET(PLE!$G$15,$M71-$A$15,DF$13)="",10^12,OFFSET(PLE!$G$15,$M71-$A$15,DF$13)))</f>
        <v>1000000000000</v>
      </c>
      <c r="DG71" s="172" cm="1">
        <f t="array" aca="1" ref="DG71" ca="1">IF(OR($D71&lt;&gt;"Serviço",AND(AUTOEVENTO="Manual",$M71=$A$15),$M71&gt;(ROW(PLE.lastrow)-ROW(PLE.firstrow))),0,
           IF(OFFSET(PLE!$G$15,$M71-$A$15,DG$13)="",10^12,OFFSET(PLE!$G$15,$M71-$A$15,DG$13)))</f>
        <v>1000000000000</v>
      </c>
      <c r="DH71" s="172" cm="1">
        <f t="array" aca="1" ref="DH71" ca="1">IF(OR($D71&lt;&gt;"Serviço",AND(AUTOEVENTO="Manual",$M71=$A$15),$M71&gt;(ROW(PLE.lastrow)-ROW(PLE.firstrow))),0,
           IF(OFFSET(PLE!$G$15,$M71-$A$15,DH$13)="",10^12,OFFSET(PLE!$G$15,$M71-$A$15,DH$13)))</f>
        <v>1000000000000</v>
      </c>
      <c r="DI71" s="172" cm="1">
        <f t="array" aca="1" ref="DI71" ca="1">IF(OR($D71&lt;&gt;"Serviço",AND(AUTOEVENTO="Manual",$M71=$A$15),$M71&gt;(ROW(PLE.lastrow)-ROW(PLE.firstrow))),0,
           IF(OFFSET(PLE!$G$15,$M71-$A$15,DI$13)="",10^12,OFFSET(PLE!$G$15,$M71-$A$15,DI$13)))</f>
        <v>1000000000000</v>
      </c>
      <c r="DJ71" s="172" cm="1">
        <f t="array" aca="1" ref="DJ71" ca="1">IF(OR($D71&lt;&gt;"Serviço",AND(AUTOEVENTO="Manual",$M71=$A$15),$M71&gt;(ROW(PLE.lastrow)-ROW(PLE.firstrow))),0,
           IF(OFFSET(PLE!$G$15,$M71-$A$15,DJ$13)="",10^12,OFFSET(PLE!$G$15,$M71-$A$15,DJ$13)))</f>
        <v>1000000000000</v>
      </c>
      <c r="DK71" s="172" cm="1">
        <f t="array" aca="1" ref="DK71" ca="1">IF(OR($D71&lt;&gt;"Serviço",AND(AUTOEVENTO="Manual",$M71=$A$15),$M71&gt;(ROW(PLE.lastrow)-ROW(PLE.firstrow))),0,
           IF(OFFSET(PLE!$G$15,$M71-$A$15,DK$13)="",10^12,OFFSET(PLE!$G$15,$M71-$A$15,DK$13)))</f>
        <v>1000000000000</v>
      </c>
      <c r="DL71" s="172" cm="1">
        <f t="array" aca="1" ref="DL71" ca="1">IF(OR($D71&lt;&gt;"Serviço",AND(AUTOEVENTO="Manual",$M71=$A$15),$M71&gt;(ROW(PLE.lastrow)-ROW(PLE.firstrow))),0,
           IF(OFFSET(PLE!$G$15,$M71-$A$15,DL$13)="",10^12,OFFSET(PLE!$G$15,$M71-$A$15,DL$13)))</f>
        <v>1000000000000</v>
      </c>
      <c r="DM71" s="172" cm="1">
        <f t="array" aca="1" ref="DM71" ca="1">IF(OR($D71&lt;&gt;"Serviço",AND(AUTOEVENTO="Manual",$M71=$A$15),$M71&gt;(ROW(PLE.lastrow)-ROW(PLE.firstrow))),0,
           IF(OFFSET(PLE!$G$15,$M71-$A$15,DM$13)="",10^12,OFFSET(PLE!$G$15,$M71-$A$15,DM$13)))</f>
        <v>1000000000000</v>
      </c>
      <c r="DN71" s="172" cm="1">
        <f t="array" aca="1" ref="DN71" ca="1">IF(OR($D71&lt;&gt;"Serviço",AND(AUTOEVENTO="Manual",$M71=$A$15),$M71&gt;(ROW(PLE.lastrow)-ROW(PLE.firstrow))),0,
           IF(OFFSET(PLE!$G$15,$M71-$A$15,DN$13)="",10^12,OFFSET(PLE!$G$15,$M71-$A$15,DN$13)))</f>
        <v>1000000000000</v>
      </c>
      <c r="DO71" s="172" cm="1">
        <f t="array" aca="1" ref="DO71" ca="1">IF(OR($D71&lt;&gt;"Serviço",AND(AUTOEVENTO="Manual",$M71=$A$15),$M71&gt;(ROW(PLE.lastrow)-ROW(PLE.firstrow))),0,
           IF(OFFSET(PLE!$G$15,$M71-$A$15,DO$13)="",10^12,OFFSET(PLE!$G$15,$M71-$A$15,DO$13)))</f>
        <v>1000000000000</v>
      </c>
      <c r="DP71" s="172" cm="1">
        <f t="array" aca="1" ref="DP71" ca="1">IF(OR($D71&lt;&gt;"Serviço",AND(AUTOEVENTO="Manual",$M71=$A$15),$M71&gt;(ROW(PLE.lastrow)-ROW(PLE.firstrow))),0,
           IF(OFFSET(PLE!$G$15,$M71-$A$15,DP$13)="",10^12,OFFSET(PLE!$G$15,$M71-$A$15,DP$13)))</f>
        <v>1000000000000</v>
      </c>
      <c r="DQ71" s="172" cm="1">
        <f t="array" aca="1" ref="DQ71" ca="1">IF(OR($D71&lt;&gt;"Serviço",AND(AUTOEVENTO="Manual",$M71=$A$15),$M71&gt;(ROW(PLE.lastrow)-ROW(PLE.firstrow))),0,
           IF(OFFSET(PLE!$G$15,$M71-$A$15,DQ$13)="",10^12,OFFSET(PLE!$G$15,$M71-$A$15,DQ$13)))</f>
        <v>1000000000000</v>
      </c>
      <c r="DR71" s="172" cm="1">
        <f t="array" aca="1" ref="DR71" ca="1">IF(OR($D71&lt;&gt;"Serviço",AND(AUTOEVENTO="Manual",$M71=$A$15),$M71&gt;(ROW(PLE.lastrow)-ROW(PLE.firstrow))),0,
           IF(OFFSET(PLE!$G$15,$M71-$A$15,DR$13)="",10^12,OFFSET(PLE!$G$15,$M71-$A$15,DR$13)))</f>
        <v>1000000000000</v>
      </c>
      <c r="DS71" s="172" cm="1">
        <f t="array" aca="1" ref="DS71" ca="1">IF(OR($D71&lt;&gt;"Serviço",AND(AUTOEVENTO="Manual",$M71=$A$15),$M71&gt;(ROW(PLE.lastrow)-ROW(PLE.firstrow))),0,
           IF(OFFSET(PLE!$G$15,$M71-$A$15,DS$13)="",10^12,OFFSET(PLE!$G$15,$M71-$A$15,DS$13)))</f>
        <v>1000000000000</v>
      </c>
    </row>
    <row r="72" spans="1:123" ht="25.5" x14ac:dyDescent="0.2">
      <c r="A72" s="7">
        <f t="shared" ca="1" si="11"/>
        <v>5</v>
      </c>
      <c r="B72" s="7" t="str">
        <f ca="1">OFFSET(ORÇAMENTO!C$15,$L72,0)</f>
        <v>S</v>
      </c>
      <c r="C72" s="7" t="str">
        <f ca="1">OFFSET(ORÇAMENTO!L$15,$L72,0)</f>
        <v/>
      </c>
      <c r="D72" s="116" t="str">
        <f ca="1">OFFSET(ORÇAMENTO!N$15,$L72,0)</f>
        <v>Serviço</v>
      </c>
      <c r="E72" s="117" t="str">
        <f ca="1">OFFSET(ORÇAMENTO!O$15,$L72,0)</f>
        <v>-</v>
      </c>
      <c r="F72" s="163" t="str">
        <f ca="1">OFFSET(ORÇAMENTO!R$15,$L72,0)</f>
        <v>(Código não identificado nas referências)</v>
      </c>
      <c r="G72" s="164" t="str">
        <f ca="1">IF($D72&lt;&gt;"Serviço","",OFFSET(ORÇAMENTO!S$15,$L72,0))</f>
        <v>-</v>
      </c>
      <c r="H72" s="122" cm="1">
        <f t="array" aca="1" ref="H72" ca="1">IF($D72&lt;&gt;"Serviço",0,IF(ACOMPANHAMENTO="BM",ROUND(OFFSET(ORÇAMENTO!AJ$15,$L72,0),15-13*ORÇAMENTO!$AF$7),IF(IFERROR(CÁLCULO.FrentesPreenchidas,0)=0,0,SUM(ROUND(OFFSET($P72,0,1,1,CÁLCULO.FrentesPreenchidas),15-13*ORÇAMENTO!$AF$7)))))</f>
        <v>864.00000000000034</v>
      </c>
      <c r="I72" s="468" t="s">
        <v>1235</v>
      </c>
      <c r="J72" s="651" t="str" cm="1">
        <f t="array" aca="1" ref="J72" ca="1">IF(OR(B72&lt;&gt;"S",CÁLCULO.FrentesPreenchidas=0),"",IF(AND(ACOMPANHAMENTO="PLE",AUTOEVENTO="Manual",OR(H72&gt;0,ORÇAMENTO!AC72="QUANT."),OR(K72="",M72=0,N72="")),"►E",IF(AND(ACOMPANHAMENTO="PLE",ORÇAMENTO!AC72="QUANT."),"►Q",IF(AND(ACOMPANHAMENTO="PLE",H72&lt;&gt;SUMPRODUCT(($Q$1:$AQ$1=1)*ROUND(Q72:AQ72,15))),"►S",IF(AND(COUNTIF($P$11:$AQ$11,"▼")=0,H72&gt;0,I72=""),"◄M","")))))</f>
        <v/>
      </c>
      <c r="K72" s="652" t="s">
        <v>1253</v>
      </c>
      <c r="L72" s="165">
        <f t="shared" ca="1" si="12"/>
        <v>57</v>
      </c>
      <c r="M72" s="166">
        <f ca="1">IF($D72&lt;&gt;"Serviço","",
          IF(AUTOEVENTO="manual",$A72,
                IF(ISERROR(MATCH($A72,$A$15:OFFSET($A72,-1,0),0)),MAX($M$15:OFFSET(M72,-1,0))+1,
                      INDEX($M$15:OFFSET(M72,-1,0),MATCH($A72,$A$15:OFFSET($A72,-1,0),0)))))</f>
        <v>5</v>
      </c>
      <c r="N72" s="167" t="str">
        <f ca="1">IF($D72&lt;&gt;"Serviço","",
         IF(AUTOEVENTO="Manual",
                IF($A72=0,"&lt;-- defina o número do agrupador",
                       OFFSET(EVENTOS!$D$15,$A72-$A$15,0)),
                OFFSET($F$15,$A72,0)))</f>
        <v>PAREDES E PAINÉIS</v>
      </c>
      <c r="O72" s="168"/>
      <c r="Q72" s="168">
        <v>43.2</v>
      </c>
      <c r="R72" s="169">
        <v>43.2</v>
      </c>
      <c r="S72" s="169">
        <v>43.2</v>
      </c>
      <c r="T72" s="169">
        <v>43.2</v>
      </c>
      <c r="U72" s="169">
        <v>43.2</v>
      </c>
      <c r="V72" s="169">
        <v>43.2</v>
      </c>
      <c r="W72" s="169">
        <v>43.2</v>
      </c>
      <c r="X72" s="169">
        <v>43.2</v>
      </c>
      <c r="Y72" s="169">
        <v>43.2</v>
      </c>
      <c r="Z72" s="170">
        <v>43.2</v>
      </c>
      <c r="AA72" s="169">
        <v>43.2</v>
      </c>
      <c r="AB72" s="169">
        <v>43.2</v>
      </c>
      <c r="AC72" s="169">
        <v>43.2</v>
      </c>
      <c r="AD72" s="169">
        <v>43.2</v>
      </c>
      <c r="AE72" s="169">
        <v>43.2</v>
      </c>
      <c r="AF72" s="169">
        <v>43.2</v>
      </c>
      <c r="AG72" s="169">
        <v>43.2</v>
      </c>
      <c r="AH72" s="170">
        <v>43.2</v>
      </c>
      <c r="AI72" s="169">
        <v>43.2</v>
      </c>
      <c r="AJ72" s="169">
        <v>43.2</v>
      </c>
      <c r="AK72" s="169"/>
      <c r="AL72" s="169"/>
      <c r="AM72" s="169"/>
      <c r="AN72" s="169"/>
      <c r="AO72" s="169"/>
      <c r="AP72" s="170"/>
      <c r="AR72" s="453">
        <f ca="1">IF(AND($D72="Serviço",AR$12&lt;&gt;0,$H72&gt;0,OR(AUTOEVENTO&lt;&gt;"manual",$M72&lt;&gt;$A$15)),
        IF(Import.TipoArredondamento&lt;&gt;"TransfereGOV",
              ROUND(OFFSET($P72,0,AR$13),15-13*ORÇAMENTO!$AF$7)/$H72*OFFSET(ORÇAMENTO!$X$15,ROW(AR72)-ROW(AR$15),0),
              ROUND(ROUND(OFFSET($P72,0,AR$13),15-13*ORÇAMENTO!$AF$7)*OFFSET(ORÇAMENTO!$W$15,ROW(AR72)-ROW(AR$15),0),15-13*ORÇAMENTO!$AF$11)),
         0)</f>
        <v>0</v>
      </c>
      <c r="AS72" s="453">
        <f ca="1">IF(AND($D72="Serviço",AS$12&lt;&gt;0,$H72&gt;0,OR(AUTOEVENTO&lt;&gt;"manual",$M72&lt;&gt;$A$15)),
        IF(Import.TipoArredondamento&lt;&gt;"TransfereGOV",
              ROUND(OFFSET($P72,0,AS$13),15-13*ORÇAMENTO!$AF$7)/$H72*OFFSET(ORÇAMENTO!$X$15,ROW(AS72)-ROW(AS$15),0),
              ROUND(ROUND(OFFSET($P72,0,AS$13),15-13*ORÇAMENTO!$AF$7)*OFFSET(ORÇAMENTO!$W$15,ROW(AS72)-ROW(AS$15),0),15-13*ORÇAMENTO!$AF$11)),
         0)</f>
        <v>0</v>
      </c>
      <c r="AT72" s="453">
        <f ca="1">IF(AND($D72="Serviço",AT$12&lt;&gt;0,$H72&gt;0,OR(AUTOEVENTO&lt;&gt;"manual",$M72&lt;&gt;$A$15)),
        IF(Import.TipoArredondamento&lt;&gt;"TransfereGOV",
              ROUND(OFFSET($P72,0,AT$13),15-13*ORÇAMENTO!$AF$7)/$H72*OFFSET(ORÇAMENTO!$X$15,ROW(AT72)-ROW(AT$15),0),
              ROUND(ROUND(OFFSET($P72,0,AT$13),15-13*ORÇAMENTO!$AF$7)*OFFSET(ORÇAMENTO!$W$15,ROW(AT72)-ROW(AT$15),0),15-13*ORÇAMENTO!$AF$11)),
         0)</f>
        <v>0</v>
      </c>
      <c r="AU72" s="453">
        <f ca="1">IF(AND($D72="Serviço",AU$12&lt;&gt;0,$H72&gt;0,OR(AUTOEVENTO&lt;&gt;"manual",$M72&lt;&gt;$A$15)),
        IF(Import.TipoArredondamento&lt;&gt;"TransfereGOV",
              ROUND(OFFSET($P72,0,AU$13),15-13*ORÇAMENTO!$AF$7)/$H72*OFFSET(ORÇAMENTO!$X$15,ROW(AU72)-ROW(AU$15),0),
              ROUND(ROUND(OFFSET($P72,0,AU$13),15-13*ORÇAMENTO!$AF$7)*OFFSET(ORÇAMENTO!$W$15,ROW(AU72)-ROW(AU$15),0),15-13*ORÇAMENTO!$AF$11)),
         0)</f>
        <v>0</v>
      </c>
      <c r="AV72" s="453">
        <f ca="1">IF(AND($D72="Serviço",AV$12&lt;&gt;0,$H72&gt;0,OR(AUTOEVENTO&lt;&gt;"manual",$M72&lt;&gt;$A$15)),
        IF(Import.TipoArredondamento&lt;&gt;"TransfereGOV",
              ROUND(OFFSET($P72,0,AV$13),15-13*ORÇAMENTO!$AF$7)/$H72*OFFSET(ORÇAMENTO!$X$15,ROW(AV72)-ROW(AV$15),0),
              ROUND(ROUND(OFFSET($P72,0,AV$13),15-13*ORÇAMENTO!$AF$7)*OFFSET(ORÇAMENTO!$W$15,ROW(AV72)-ROW(AV$15),0),15-13*ORÇAMENTO!$AF$11)),
         0)</f>
        <v>0</v>
      </c>
      <c r="AW72" s="453">
        <f ca="1">IF(AND($D72="Serviço",AW$12&lt;&gt;0,$H72&gt;0,OR(AUTOEVENTO&lt;&gt;"manual",$M72&lt;&gt;$A$15)),
        IF(Import.TipoArredondamento&lt;&gt;"TransfereGOV",
              ROUND(OFFSET($P72,0,AW$13),15-13*ORÇAMENTO!$AF$7)/$H72*OFFSET(ORÇAMENTO!$X$15,ROW(AW72)-ROW(AW$15),0),
              ROUND(ROUND(OFFSET($P72,0,AW$13),15-13*ORÇAMENTO!$AF$7)*OFFSET(ORÇAMENTO!$W$15,ROW(AW72)-ROW(AW$15),0),15-13*ORÇAMENTO!$AF$11)),
         0)</f>
        <v>0</v>
      </c>
      <c r="AX72" s="453">
        <f ca="1">IF(AND($D72="Serviço",AX$12&lt;&gt;0,$H72&gt;0,OR(AUTOEVENTO&lt;&gt;"manual",$M72&lt;&gt;$A$15)),
        IF(Import.TipoArredondamento&lt;&gt;"TransfereGOV",
              ROUND(OFFSET($P72,0,AX$13),15-13*ORÇAMENTO!$AF$7)/$H72*OFFSET(ORÇAMENTO!$X$15,ROW(AX72)-ROW(AX$15),0),
              ROUND(ROUND(OFFSET($P72,0,AX$13),15-13*ORÇAMENTO!$AF$7)*OFFSET(ORÇAMENTO!$W$15,ROW(AX72)-ROW(AX$15),0),15-13*ORÇAMENTO!$AF$11)),
         0)</f>
        <v>0</v>
      </c>
      <c r="AY72" s="453">
        <f ca="1">IF(AND($D72="Serviço",AY$12&lt;&gt;0,$H72&gt;0,OR(AUTOEVENTO&lt;&gt;"manual",$M72&lt;&gt;$A$15)),
        IF(Import.TipoArredondamento&lt;&gt;"TransfereGOV",
              ROUND(OFFSET($P72,0,AY$13),15-13*ORÇAMENTO!$AF$7)/$H72*OFFSET(ORÇAMENTO!$X$15,ROW(AY72)-ROW(AY$15),0),
              ROUND(ROUND(OFFSET($P72,0,AY$13),15-13*ORÇAMENTO!$AF$7)*OFFSET(ORÇAMENTO!$W$15,ROW(AY72)-ROW(AY$15),0),15-13*ORÇAMENTO!$AF$11)),
         0)</f>
        <v>0</v>
      </c>
      <c r="AZ72" s="453">
        <f ca="1">IF(AND($D72="Serviço",AZ$12&lt;&gt;0,$H72&gt;0,OR(AUTOEVENTO&lt;&gt;"manual",$M72&lt;&gt;$A$15)),
        IF(Import.TipoArredondamento&lt;&gt;"TransfereGOV",
              ROUND(OFFSET($P72,0,AZ$13),15-13*ORÇAMENTO!$AF$7)/$H72*OFFSET(ORÇAMENTO!$X$15,ROW(AZ72)-ROW(AZ$15),0),
              ROUND(ROUND(OFFSET($P72,0,AZ$13),15-13*ORÇAMENTO!$AF$7)*OFFSET(ORÇAMENTO!$W$15,ROW(AZ72)-ROW(AZ$15),0),15-13*ORÇAMENTO!$AF$11)),
         0)</f>
        <v>0</v>
      </c>
      <c r="BA72" s="453">
        <f ca="1">IF(AND($D72="Serviço",BA$12&lt;&gt;0,$H72&gt;0,OR(AUTOEVENTO&lt;&gt;"manual",$M72&lt;&gt;$A$15)),
        IF(Import.TipoArredondamento&lt;&gt;"TransfereGOV",
              ROUND(OFFSET($P72,0,BA$13),15-13*ORÇAMENTO!$AF$7)/$H72*OFFSET(ORÇAMENTO!$X$15,ROW(BA72)-ROW(BA$15),0),
              ROUND(ROUND(OFFSET($P72,0,BA$13),15-13*ORÇAMENTO!$AF$7)*OFFSET(ORÇAMENTO!$W$15,ROW(BA72)-ROW(BA$15),0),15-13*ORÇAMENTO!$AF$11)),
         0)</f>
        <v>0</v>
      </c>
      <c r="BB72" s="453">
        <f ca="1">IF(AND($D72="Serviço",BB$12&lt;&gt;0,$H72&gt;0,OR(AUTOEVENTO&lt;&gt;"manual",$M72&lt;&gt;$A$15)),
        IF(Import.TipoArredondamento&lt;&gt;"TransfereGOV",
              ROUND(OFFSET($P72,0,BB$13),15-13*ORÇAMENTO!$AF$7)/$H72*OFFSET(ORÇAMENTO!$X$15,ROW(BB72)-ROW(BB$15),0),
              ROUND(ROUND(OFFSET($P72,0,BB$13),15-13*ORÇAMENTO!$AF$7)*OFFSET(ORÇAMENTO!$W$15,ROW(BB72)-ROW(BB$15),0),15-13*ORÇAMENTO!$AF$11)),
         0)</f>
        <v>0</v>
      </c>
      <c r="BC72" s="453">
        <f ca="1">IF(AND($D72="Serviço",BC$12&lt;&gt;0,$H72&gt;0,OR(AUTOEVENTO&lt;&gt;"manual",$M72&lt;&gt;$A$15)),
        IF(Import.TipoArredondamento&lt;&gt;"TransfereGOV",
              ROUND(OFFSET($P72,0,BC$13),15-13*ORÇAMENTO!$AF$7)/$H72*OFFSET(ORÇAMENTO!$X$15,ROW(BC72)-ROW(BC$15),0),
              ROUND(ROUND(OFFSET($P72,0,BC$13),15-13*ORÇAMENTO!$AF$7)*OFFSET(ORÇAMENTO!$W$15,ROW(BC72)-ROW(BC$15),0),15-13*ORÇAMENTO!$AF$11)),
         0)</f>
        <v>0</v>
      </c>
      <c r="BD72" s="453">
        <f ca="1">IF(AND($D72="Serviço",BD$12&lt;&gt;0,$H72&gt;0,OR(AUTOEVENTO&lt;&gt;"manual",$M72&lt;&gt;$A$15)),
        IF(Import.TipoArredondamento&lt;&gt;"TransfereGOV",
              ROUND(OFFSET($P72,0,BD$13),15-13*ORÇAMENTO!$AF$7)/$H72*OFFSET(ORÇAMENTO!$X$15,ROW(BD72)-ROW(BD$15),0),
              ROUND(ROUND(OFFSET($P72,0,BD$13),15-13*ORÇAMENTO!$AF$7)*OFFSET(ORÇAMENTO!$W$15,ROW(BD72)-ROW(BD$15),0),15-13*ORÇAMENTO!$AF$11)),
         0)</f>
        <v>0</v>
      </c>
      <c r="BE72" s="453">
        <f ca="1">IF(AND($D72="Serviço",BE$12&lt;&gt;0,$H72&gt;0,OR(AUTOEVENTO&lt;&gt;"manual",$M72&lt;&gt;$A$15)),
        IF(Import.TipoArredondamento&lt;&gt;"TransfereGOV",
              ROUND(OFFSET($P72,0,BE$13),15-13*ORÇAMENTO!$AF$7)/$H72*OFFSET(ORÇAMENTO!$X$15,ROW(BE72)-ROW(BE$15),0),
              ROUND(ROUND(OFFSET($P72,0,BE$13),15-13*ORÇAMENTO!$AF$7)*OFFSET(ORÇAMENTO!$W$15,ROW(BE72)-ROW(BE$15),0),15-13*ORÇAMENTO!$AF$11)),
         0)</f>
        <v>0</v>
      </c>
      <c r="BF72" s="453">
        <f ca="1">IF(AND($D72="Serviço",BF$12&lt;&gt;0,$H72&gt;0,OR(AUTOEVENTO&lt;&gt;"manual",$M72&lt;&gt;$A$15)),
        IF(Import.TipoArredondamento&lt;&gt;"TransfereGOV",
              ROUND(OFFSET($P72,0,BF$13),15-13*ORÇAMENTO!$AF$7)/$H72*OFFSET(ORÇAMENTO!$X$15,ROW(BF72)-ROW(BF$15),0),
              ROUND(ROUND(OFFSET($P72,0,BF$13),15-13*ORÇAMENTO!$AF$7)*OFFSET(ORÇAMENTO!$W$15,ROW(BF72)-ROW(BF$15),0),15-13*ORÇAMENTO!$AF$11)),
         0)</f>
        <v>0</v>
      </c>
      <c r="BG72" s="453">
        <f ca="1">IF(AND($D72="Serviço",BG$12&lt;&gt;0,$H72&gt;0,OR(AUTOEVENTO&lt;&gt;"manual",$M72&lt;&gt;$A$15)),
        IF(Import.TipoArredondamento&lt;&gt;"TransfereGOV",
              ROUND(OFFSET($P72,0,BG$13),15-13*ORÇAMENTO!$AF$7)/$H72*OFFSET(ORÇAMENTO!$X$15,ROW(BG72)-ROW(BG$15),0),
              ROUND(ROUND(OFFSET($P72,0,BG$13),15-13*ORÇAMENTO!$AF$7)*OFFSET(ORÇAMENTO!$W$15,ROW(BG72)-ROW(BG$15),0),15-13*ORÇAMENTO!$AF$11)),
         0)</f>
        <v>0</v>
      </c>
      <c r="BH72" s="453">
        <f ca="1">IF(AND($D72="Serviço",BH$12&lt;&gt;0,$H72&gt;0,OR(AUTOEVENTO&lt;&gt;"manual",$M72&lt;&gt;$A$15)),
        IF(Import.TipoArredondamento&lt;&gt;"TransfereGOV",
              ROUND(OFFSET($P72,0,BH$13),15-13*ORÇAMENTO!$AF$7)/$H72*OFFSET(ORÇAMENTO!$X$15,ROW(BH72)-ROW(BH$15),0),
              ROUND(ROUND(OFFSET($P72,0,BH$13),15-13*ORÇAMENTO!$AF$7)*OFFSET(ORÇAMENTO!$W$15,ROW(BH72)-ROW(BH$15),0),15-13*ORÇAMENTO!$AF$11)),
         0)</f>
        <v>0</v>
      </c>
      <c r="BI72" s="453">
        <f ca="1">IF(AND($D72="Serviço",BI$12&lt;&gt;0,$H72&gt;0,OR(AUTOEVENTO&lt;&gt;"manual",$M72&lt;&gt;$A$15)),
        IF(Import.TipoArredondamento&lt;&gt;"TransfereGOV",
              ROUND(OFFSET($P72,0,BI$13),15-13*ORÇAMENTO!$AF$7)/$H72*OFFSET(ORÇAMENTO!$X$15,ROW(BI72)-ROW(BI$15),0),
              ROUND(ROUND(OFFSET($P72,0,BI$13),15-13*ORÇAMENTO!$AF$7)*OFFSET(ORÇAMENTO!$W$15,ROW(BI72)-ROW(BI$15),0),15-13*ORÇAMENTO!$AF$11)),
         0)</f>
        <v>0</v>
      </c>
      <c r="BJ72" s="453">
        <f ca="1">IF(AND($D72="Serviço",BJ$12&lt;&gt;0,$H72&gt;0,OR(AUTOEVENTO&lt;&gt;"manual",$M72&lt;&gt;$A$15)),
        IF(Import.TipoArredondamento&lt;&gt;"TransfereGOV",
              ROUND(OFFSET($P72,0,BJ$13),15-13*ORÇAMENTO!$AF$7)/$H72*OFFSET(ORÇAMENTO!$X$15,ROW(BJ72)-ROW(BJ$15),0),
              ROUND(ROUND(OFFSET($P72,0,BJ$13),15-13*ORÇAMENTO!$AF$7)*OFFSET(ORÇAMENTO!$W$15,ROW(BJ72)-ROW(BJ$15),0),15-13*ORÇAMENTO!$AF$11)),
         0)</f>
        <v>0</v>
      </c>
      <c r="BK72" s="453">
        <f ca="1">IF(AND($D72="Serviço",BK$12&lt;&gt;0,$H72&gt;0,OR(AUTOEVENTO&lt;&gt;"manual",$M72&lt;&gt;$A$15)),
        IF(Import.TipoArredondamento&lt;&gt;"TransfereGOV",
              ROUND(OFFSET($P72,0,BK$13),15-13*ORÇAMENTO!$AF$7)/$H72*OFFSET(ORÇAMENTO!$X$15,ROW(BK72)-ROW(BK$15),0),
              ROUND(ROUND(OFFSET($P72,0,BK$13),15-13*ORÇAMENTO!$AF$7)*OFFSET(ORÇAMENTO!$W$15,ROW(BK72)-ROW(BK$15),0),15-13*ORÇAMENTO!$AF$11)),
         0)</f>
        <v>0</v>
      </c>
      <c r="BL72" s="453">
        <f ca="1">IF(AND($D72="Serviço",BL$12&lt;&gt;0,$H72&gt;0,OR(AUTOEVENTO&lt;&gt;"manual",$M72&lt;&gt;$A$15)),
        IF(Import.TipoArredondamento&lt;&gt;"TransfereGOV",
              ROUND(OFFSET($P72,0,BL$13),15-13*ORÇAMENTO!$AF$7)/$H72*OFFSET(ORÇAMENTO!$X$15,ROW(BL72)-ROW(BL$15),0),
              ROUND(ROUND(OFFSET($P72,0,BL$13),15-13*ORÇAMENTO!$AF$7)*OFFSET(ORÇAMENTO!$W$15,ROW(BL72)-ROW(BL$15),0),15-13*ORÇAMENTO!$AF$11)),
         0)</f>
        <v>0</v>
      </c>
      <c r="BM72" s="453">
        <f ca="1">IF(AND($D72="Serviço",BM$12&lt;&gt;0,$H72&gt;0,OR(AUTOEVENTO&lt;&gt;"manual",$M72&lt;&gt;$A$15)),
        IF(Import.TipoArredondamento&lt;&gt;"TransfereGOV",
              ROUND(OFFSET($P72,0,BM$13),15-13*ORÇAMENTO!$AF$7)/$H72*OFFSET(ORÇAMENTO!$X$15,ROW(BM72)-ROW(BM$15),0),
              ROUND(ROUND(OFFSET($P72,0,BM$13),15-13*ORÇAMENTO!$AF$7)*OFFSET(ORÇAMENTO!$W$15,ROW(BM72)-ROW(BM$15),0),15-13*ORÇAMENTO!$AF$11)),
         0)</f>
        <v>0</v>
      </c>
      <c r="BN72" s="453">
        <f ca="1">IF(AND($D72="Serviço",BN$12&lt;&gt;0,$H72&gt;0,OR(AUTOEVENTO&lt;&gt;"manual",$M72&lt;&gt;$A$15)),
        IF(Import.TipoArredondamento&lt;&gt;"TransfereGOV",
              ROUND(OFFSET($P72,0,BN$13),15-13*ORÇAMENTO!$AF$7)/$H72*OFFSET(ORÇAMENTO!$X$15,ROW(BN72)-ROW(BN$15),0),
              ROUND(ROUND(OFFSET($P72,0,BN$13),15-13*ORÇAMENTO!$AF$7)*OFFSET(ORÇAMENTO!$W$15,ROW(BN72)-ROW(BN$15),0),15-13*ORÇAMENTO!$AF$11)),
         0)</f>
        <v>0</v>
      </c>
      <c r="BO72" s="453">
        <f ca="1">IF(AND($D72="Serviço",BO$12&lt;&gt;0,$H72&gt;0,OR(AUTOEVENTO&lt;&gt;"manual",$M72&lt;&gt;$A$15)),
        IF(Import.TipoArredondamento&lt;&gt;"TransfereGOV",
              ROUND(OFFSET($P72,0,BO$13),15-13*ORÇAMENTO!$AF$7)/$H72*OFFSET(ORÇAMENTO!$X$15,ROW(BO72)-ROW(BO$15),0),
              ROUND(ROUND(OFFSET($P72,0,BO$13),15-13*ORÇAMENTO!$AF$7)*OFFSET(ORÇAMENTO!$W$15,ROW(BO72)-ROW(BO$15),0),15-13*ORÇAMENTO!$AF$11)),
         0)</f>
        <v>0</v>
      </c>
      <c r="BP72" s="453">
        <f ca="1">IF(AND($D72="Serviço",BP$12&lt;&gt;0,$H72&gt;0,OR(AUTOEVENTO&lt;&gt;"manual",$M72&lt;&gt;$A$15)),
        IF(Import.TipoArredondamento&lt;&gt;"TransfereGOV",
              ROUND(OFFSET($P72,0,BP$13),15-13*ORÇAMENTO!$AF$7)/$H72*OFFSET(ORÇAMENTO!$X$15,ROW(BP72)-ROW(BP$15),0),
              ROUND(ROUND(OFFSET($P72,0,BP$13),15-13*ORÇAMENTO!$AF$7)*OFFSET(ORÇAMENTO!$W$15,ROW(BP72)-ROW(BP$15),0),15-13*ORÇAMENTO!$AF$11)),
         0)</f>
        <v>0</v>
      </c>
      <c r="BQ72" s="453">
        <f ca="1">IF(AND($D72="Serviço",BQ$12&lt;&gt;0,$H72&gt;0,OR(AUTOEVENTO&lt;&gt;"manual",$M72&lt;&gt;$A$15)),
        IF(Import.TipoArredondamento&lt;&gt;"TransfereGOV",
              ROUND(OFFSET($P72,0,BQ$13),15-13*ORÇAMENTO!$AF$7)/$H72*OFFSET(ORÇAMENTO!$X$15,ROW(BQ72)-ROW(BQ$15),0),
              ROUND(ROUND(OFFSET($P72,0,BQ$13),15-13*ORÇAMENTO!$AF$7)*OFFSET(ORÇAMENTO!$W$15,ROW(BQ72)-ROW(BQ$15),0),15-13*ORÇAMENTO!$AF$11)),
         0)</f>
        <v>0</v>
      </c>
      <c r="BS72" s="171">
        <f ca="1">IF(OR($D72&lt;&gt;"Serviço",AND(AUTOEVENTO="Manual",$M72=$A$15)),0,
         IF(OFFSET(CRONOPLE!$F$15,$M72-$A$15,BS$13)=0,10^12,OFFSET(CRONOPLE!$F$15,$M72-$A$15,BS$13)))</f>
        <v>1</v>
      </c>
      <c r="BT72" s="171">
        <f ca="1">IF(OR($D72&lt;&gt;"Serviço",AND(AUTOEVENTO="Manual",$M72=$A$15)),0,
         IF(OFFSET(CRONOPLE!$F$15,$M72-$A$15,BT$13)=0,10^12,OFFSET(CRONOPLE!$F$15,$M72-$A$15,BT$13)))</f>
        <v>2</v>
      </c>
      <c r="BU72" s="171">
        <f ca="1">IF(OR($D72&lt;&gt;"Serviço",AND(AUTOEVENTO="Manual",$M72=$A$15)),0,
         IF(OFFSET(CRONOPLE!$F$15,$M72-$A$15,BU$13)=0,10^12,OFFSET(CRONOPLE!$F$15,$M72-$A$15,BU$13)))</f>
        <v>3</v>
      </c>
      <c r="BV72" s="171">
        <f ca="1">IF(OR($D72&lt;&gt;"Serviço",AND(AUTOEVENTO="Manual",$M72=$A$15)),0,
         IF(OFFSET(CRONOPLE!$F$15,$M72-$A$15,BV$13)=0,10^12,OFFSET(CRONOPLE!$F$15,$M72-$A$15,BV$13)))</f>
        <v>4</v>
      </c>
      <c r="BW72" s="171">
        <f ca="1">IF(OR($D72&lt;&gt;"Serviço",AND(AUTOEVENTO="Manual",$M72=$A$15)),0,
         IF(OFFSET(CRONOPLE!$F$15,$M72-$A$15,BW$13)=0,10^12,OFFSET(CRONOPLE!$F$15,$M72-$A$15,BW$13)))</f>
        <v>5</v>
      </c>
      <c r="BX72" s="171">
        <f ca="1">IF(OR($D72&lt;&gt;"Serviço",AND(AUTOEVENTO="Manual",$M72=$A$15)),0,
         IF(OFFSET(CRONOPLE!$F$15,$M72-$A$15,BX$13)=0,10^12,OFFSET(CRONOPLE!$F$15,$M72-$A$15,BX$13)))</f>
        <v>6</v>
      </c>
      <c r="BY72" s="171">
        <f ca="1">IF(OR($D72&lt;&gt;"Serviço",AND(AUTOEVENTO="Manual",$M72=$A$15)),0,
         IF(OFFSET(CRONOPLE!$F$15,$M72-$A$15,BY$13)=0,10^12,OFFSET(CRONOPLE!$F$15,$M72-$A$15,BY$13)))</f>
        <v>7</v>
      </c>
      <c r="BZ72" s="171">
        <f ca="1">IF(OR($D72&lt;&gt;"Serviço",AND(AUTOEVENTO="Manual",$M72=$A$15)),0,
         IF(OFFSET(CRONOPLE!$F$15,$M72-$A$15,BZ$13)=0,10^12,OFFSET(CRONOPLE!$F$15,$M72-$A$15,BZ$13)))</f>
        <v>8</v>
      </c>
      <c r="CA72" s="171">
        <f ca="1">IF(OR($D72&lt;&gt;"Serviço",AND(AUTOEVENTO="Manual",$M72=$A$15)),0,
         IF(OFFSET(CRONOPLE!$F$15,$M72-$A$15,CA$13)=0,10^12,OFFSET(CRONOPLE!$F$15,$M72-$A$15,CA$13)))</f>
        <v>9</v>
      </c>
      <c r="CB72" s="171">
        <f ca="1">IF(OR($D72&lt;&gt;"Serviço",AND(AUTOEVENTO="Manual",$M72=$A$15)),0,
         IF(OFFSET(CRONOPLE!$F$15,$M72-$A$15,CB$13)=0,10^12,OFFSET(CRONOPLE!$F$15,$M72-$A$15,CB$13)))</f>
        <v>10</v>
      </c>
      <c r="CC72" s="171">
        <f ca="1">IF(OR($D72&lt;&gt;"Serviço",AND(AUTOEVENTO="Manual",$M72=$A$15)),0,
         IF(OFFSET(CRONOPLE!$F$15,$M72-$A$15,CC$13)=0,10^12,OFFSET(CRONOPLE!$F$15,$M72-$A$15,CC$13)))</f>
        <v>11</v>
      </c>
      <c r="CD72" s="171">
        <f ca="1">IF(OR($D72&lt;&gt;"Serviço",AND(AUTOEVENTO="Manual",$M72=$A$15)),0,
         IF(OFFSET(CRONOPLE!$F$15,$M72-$A$15,CD$13)=0,10^12,OFFSET(CRONOPLE!$F$15,$M72-$A$15,CD$13)))</f>
        <v>12</v>
      </c>
      <c r="CE72" s="171">
        <f ca="1">IF(OR($D72&lt;&gt;"Serviço",AND(AUTOEVENTO="Manual",$M72=$A$15)),0,
         IF(OFFSET(CRONOPLE!$F$15,$M72-$A$15,CE$13)=0,10^12,OFFSET(CRONOPLE!$F$15,$M72-$A$15,CE$13)))</f>
        <v>13</v>
      </c>
      <c r="CF72" s="171">
        <f ca="1">IF(OR($D72&lt;&gt;"Serviço",AND(AUTOEVENTO="Manual",$M72=$A$15)),0,
         IF(OFFSET(CRONOPLE!$F$15,$M72-$A$15,CF$13)=0,10^12,OFFSET(CRONOPLE!$F$15,$M72-$A$15,CF$13)))</f>
        <v>14</v>
      </c>
      <c r="CG72" s="171">
        <f ca="1">IF(OR($D72&lt;&gt;"Serviço",AND(AUTOEVENTO="Manual",$M72=$A$15)),0,
         IF(OFFSET(CRONOPLE!$F$15,$M72-$A$15,CG$13)=0,10^12,OFFSET(CRONOPLE!$F$15,$M72-$A$15,CG$13)))</f>
        <v>15</v>
      </c>
      <c r="CH72" s="171">
        <f ca="1">IF(OR($D72&lt;&gt;"Serviço",AND(AUTOEVENTO="Manual",$M72=$A$15)),0,
         IF(OFFSET(CRONOPLE!$F$15,$M72-$A$15,CH$13)=0,10^12,OFFSET(CRONOPLE!$F$15,$M72-$A$15,CH$13)))</f>
        <v>16</v>
      </c>
      <c r="CI72" s="171">
        <f ca="1">IF(OR($D72&lt;&gt;"Serviço",AND(AUTOEVENTO="Manual",$M72=$A$15)),0,
         IF(OFFSET(CRONOPLE!$F$15,$M72-$A$15,CI$13)=0,10^12,OFFSET(CRONOPLE!$F$15,$M72-$A$15,CI$13)))</f>
        <v>17</v>
      </c>
      <c r="CJ72" s="171">
        <f ca="1">IF(OR($D72&lt;&gt;"Serviço",AND(AUTOEVENTO="Manual",$M72=$A$15)),0,
         IF(OFFSET(CRONOPLE!$F$15,$M72-$A$15,CJ$13)=0,10^12,OFFSET(CRONOPLE!$F$15,$M72-$A$15,CJ$13)))</f>
        <v>18</v>
      </c>
      <c r="CK72" s="171">
        <f ca="1">IF(OR($D72&lt;&gt;"Serviço",AND(AUTOEVENTO="Manual",$M72=$A$15)),0,
         IF(OFFSET(CRONOPLE!$F$15,$M72-$A$15,CK$13)=0,10^12,OFFSET(CRONOPLE!$F$15,$M72-$A$15,CK$13)))</f>
        <v>19</v>
      </c>
      <c r="CL72" s="171">
        <f ca="1">IF(OR($D72&lt;&gt;"Serviço",AND(AUTOEVENTO="Manual",$M72=$A$15)),0,
         IF(OFFSET(CRONOPLE!$F$15,$M72-$A$15,CL$13)=0,10^12,OFFSET(CRONOPLE!$F$15,$M72-$A$15,CL$13)))</f>
        <v>20</v>
      </c>
      <c r="CM72" s="171">
        <f ca="1">IF(OR($D72&lt;&gt;"Serviço",AND(AUTOEVENTO="Manual",$M72=$A$15)),0,
         IF(OFFSET(CRONOPLE!$F$15,$M72-$A$15,CM$13)=0,10^12,OFFSET(CRONOPLE!$F$15,$M72-$A$15,CM$13)))</f>
        <v>1000000000000</v>
      </c>
      <c r="CN72" s="171">
        <f ca="1">IF(OR($D72&lt;&gt;"Serviço",AND(AUTOEVENTO="Manual",$M72=$A$15)),0,
         IF(OFFSET(CRONOPLE!$F$15,$M72-$A$15,CN$13)=0,10^12,OFFSET(CRONOPLE!$F$15,$M72-$A$15,CN$13)))</f>
        <v>1000000000000</v>
      </c>
      <c r="CO72" s="171">
        <f ca="1">IF(OR($D72&lt;&gt;"Serviço",AND(AUTOEVENTO="Manual",$M72=$A$15)),0,
         IF(OFFSET(CRONOPLE!$F$15,$M72-$A$15,CO$13)=0,10^12,OFFSET(CRONOPLE!$F$15,$M72-$A$15,CO$13)))</f>
        <v>1000000000000</v>
      </c>
      <c r="CP72" s="171">
        <f ca="1">IF(OR($D72&lt;&gt;"Serviço",AND(AUTOEVENTO="Manual",$M72=$A$15)),0,
         IF(OFFSET(CRONOPLE!$F$15,$M72-$A$15,CP$13)=0,10^12,OFFSET(CRONOPLE!$F$15,$M72-$A$15,CP$13)))</f>
        <v>1000000000000</v>
      </c>
      <c r="CQ72" s="171">
        <f ca="1">IF(OR($D72&lt;&gt;"Serviço",AND(AUTOEVENTO="Manual",$M72=$A$15)),0,
         IF(OFFSET(CRONOPLE!$F$15,$M72-$A$15,CQ$13)=0,10^12,OFFSET(CRONOPLE!$F$15,$M72-$A$15,CQ$13)))</f>
        <v>1000000000000</v>
      </c>
      <c r="CR72" s="171">
        <f ca="1">IF(OR($D72&lt;&gt;"Serviço",AND(AUTOEVENTO="Manual",$M72=$A$15)),0,
         IF(OFFSET(CRONOPLE!$F$15,$M72-$A$15,CR$13)=0,10^12,OFFSET(CRONOPLE!$F$15,$M72-$A$15,CR$13)))</f>
        <v>1000000000000</v>
      </c>
      <c r="CT72" s="172" cm="1">
        <f t="array" aca="1" ref="CT72" ca="1">IF(OR($D72&lt;&gt;"Serviço",AND(AUTOEVENTO="Manual",$M72=$A$15),$M72&gt;(ROW(PLE.lastrow)-ROW(PLE.firstrow))),0,
           IF(OFFSET(PLE!$G$15,$M72-$A$15,CT$13)="",10^12,OFFSET(PLE!$G$15,$M72-$A$15,CT$13)))</f>
        <v>1000000000000</v>
      </c>
      <c r="CU72" s="172" cm="1">
        <f t="array" aca="1" ref="CU72" ca="1">IF(OR($D72&lt;&gt;"Serviço",AND(AUTOEVENTO="Manual",$M72=$A$15),$M72&gt;(ROW(PLE.lastrow)-ROW(PLE.firstrow))),0,
           IF(OFFSET(PLE!$G$15,$M72-$A$15,CU$13)="",10^12,OFFSET(PLE!$G$15,$M72-$A$15,CU$13)))</f>
        <v>1000000000000</v>
      </c>
      <c r="CV72" s="172" cm="1">
        <f t="array" aca="1" ref="CV72" ca="1">IF(OR($D72&lt;&gt;"Serviço",AND(AUTOEVENTO="Manual",$M72=$A$15),$M72&gt;(ROW(PLE.lastrow)-ROW(PLE.firstrow))),0,
           IF(OFFSET(PLE!$G$15,$M72-$A$15,CV$13)="",10^12,OFFSET(PLE!$G$15,$M72-$A$15,CV$13)))</f>
        <v>1000000000000</v>
      </c>
      <c r="CW72" s="172" cm="1">
        <f t="array" aca="1" ref="CW72" ca="1">IF(OR($D72&lt;&gt;"Serviço",AND(AUTOEVENTO="Manual",$M72=$A$15),$M72&gt;(ROW(PLE.lastrow)-ROW(PLE.firstrow))),0,
           IF(OFFSET(PLE!$G$15,$M72-$A$15,CW$13)="",10^12,OFFSET(PLE!$G$15,$M72-$A$15,CW$13)))</f>
        <v>1000000000000</v>
      </c>
      <c r="CX72" s="172" cm="1">
        <f t="array" aca="1" ref="CX72" ca="1">IF(OR($D72&lt;&gt;"Serviço",AND(AUTOEVENTO="Manual",$M72=$A$15),$M72&gt;(ROW(PLE.lastrow)-ROW(PLE.firstrow))),0,
           IF(OFFSET(PLE!$G$15,$M72-$A$15,CX$13)="",10^12,OFFSET(PLE!$G$15,$M72-$A$15,CX$13)))</f>
        <v>1000000000000</v>
      </c>
      <c r="CY72" s="172" cm="1">
        <f t="array" aca="1" ref="CY72" ca="1">IF(OR($D72&lt;&gt;"Serviço",AND(AUTOEVENTO="Manual",$M72=$A$15),$M72&gt;(ROW(PLE.lastrow)-ROW(PLE.firstrow))),0,
           IF(OFFSET(PLE!$G$15,$M72-$A$15,CY$13)="",10^12,OFFSET(PLE!$G$15,$M72-$A$15,CY$13)))</f>
        <v>1000000000000</v>
      </c>
      <c r="CZ72" s="172" cm="1">
        <f t="array" aca="1" ref="CZ72" ca="1">IF(OR($D72&lt;&gt;"Serviço",AND(AUTOEVENTO="Manual",$M72=$A$15),$M72&gt;(ROW(PLE.lastrow)-ROW(PLE.firstrow))),0,
           IF(OFFSET(PLE!$G$15,$M72-$A$15,CZ$13)="",10^12,OFFSET(PLE!$G$15,$M72-$A$15,CZ$13)))</f>
        <v>1000000000000</v>
      </c>
      <c r="DA72" s="172" cm="1">
        <f t="array" aca="1" ref="DA72" ca="1">IF(OR($D72&lt;&gt;"Serviço",AND(AUTOEVENTO="Manual",$M72=$A$15),$M72&gt;(ROW(PLE.lastrow)-ROW(PLE.firstrow))),0,
           IF(OFFSET(PLE!$G$15,$M72-$A$15,DA$13)="",10^12,OFFSET(PLE!$G$15,$M72-$A$15,DA$13)))</f>
        <v>1000000000000</v>
      </c>
      <c r="DB72" s="172" cm="1">
        <f t="array" aca="1" ref="DB72" ca="1">IF(OR($D72&lt;&gt;"Serviço",AND(AUTOEVENTO="Manual",$M72=$A$15),$M72&gt;(ROW(PLE.lastrow)-ROW(PLE.firstrow))),0,
           IF(OFFSET(PLE!$G$15,$M72-$A$15,DB$13)="",10^12,OFFSET(PLE!$G$15,$M72-$A$15,DB$13)))</f>
        <v>1000000000000</v>
      </c>
      <c r="DC72" s="172" cm="1">
        <f t="array" aca="1" ref="DC72" ca="1">IF(OR($D72&lt;&gt;"Serviço",AND(AUTOEVENTO="Manual",$M72=$A$15),$M72&gt;(ROW(PLE.lastrow)-ROW(PLE.firstrow))),0,
           IF(OFFSET(PLE!$G$15,$M72-$A$15,DC$13)="",10^12,OFFSET(PLE!$G$15,$M72-$A$15,DC$13)))</f>
        <v>1000000000000</v>
      </c>
      <c r="DD72" s="172" cm="1">
        <f t="array" aca="1" ref="DD72" ca="1">IF(OR($D72&lt;&gt;"Serviço",AND(AUTOEVENTO="Manual",$M72=$A$15),$M72&gt;(ROW(PLE.lastrow)-ROW(PLE.firstrow))),0,
           IF(OFFSET(PLE!$G$15,$M72-$A$15,DD$13)="",10^12,OFFSET(PLE!$G$15,$M72-$A$15,DD$13)))</f>
        <v>1000000000000</v>
      </c>
      <c r="DE72" s="172" cm="1">
        <f t="array" aca="1" ref="DE72" ca="1">IF(OR($D72&lt;&gt;"Serviço",AND(AUTOEVENTO="Manual",$M72=$A$15),$M72&gt;(ROW(PLE.lastrow)-ROW(PLE.firstrow))),0,
           IF(OFFSET(PLE!$G$15,$M72-$A$15,DE$13)="",10^12,OFFSET(PLE!$G$15,$M72-$A$15,DE$13)))</f>
        <v>1000000000000</v>
      </c>
      <c r="DF72" s="172" cm="1">
        <f t="array" aca="1" ref="DF72" ca="1">IF(OR($D72&lt;&gt;"Serviço",AND(AUTOEVENTO="Manual",$M72=$A$15),$M72&gt;(ROW(PLE.lastrow)-ROW(PLE.firstrow))),0,
           IF(OFFSET(PLE!$G$15,$M72-$A$15,DF$13)="",10^12,OFFSET(PLE!$G$15,$M72-$A$15,DF$13)))</f>
        <v>1000000000000</v>
      </c>
      <c r="DG72" s="172" cm="1">
        <f t="array" aca="1" ref="DG72" ca="1">IF(OR($D72&lt;&gt;"Serviço",AND(AUTOEVENTO="Manual",$M72=$A$15),$M72&gt;(ROW(PLE.lastrow)-ROW(PLE.firstrow))),0,
           IF(OFFSET(PLE!$G$15,$M72-$A$15,DG$13)="",10^12,OFFSET(PLE!$G$15,$M72-$A$15,DG$13)))</f>
        <v>1000000000000</v>
      </c>
      <c r="DH72" s="172" cm="1">
        <f t="array" aca="1" ref="DH72" ca="1">IF(OR($D72&lt;&gt;"Serviço",AND(AUTOEVENTO="Manual",$M72=$A$15),$M72&gt;(ROW(PLE.lastrow)-ROW(PLE.firstrow))),0,
           IF(OFFSET(PLE!$G$15,$M72-$A$15,DH$13)="",10^12,OFFSET(PLE!$G$15,$M72-$A$15,DH$13)))</f>
        <v>1000000000000</v>
      </c>
      <c r="DI72" s="172" cm="1">
        <f t="array" aca="1" ref="DI72" ca="1">IF(OR($D72&lt;&gt;"Serviço",AND(AUTOEVENTO="Manual",$M72=$A$15),$M72&gt;(ROW(PLE.lastrow)-ROW(PLE.firstrow))),0,
           IF(OFFSET(PLE!$G$15,$M72-$A$15,DI$13)="",10^12,OFFSET(PLE!$G$15,$M72-$A$15,DI$13)))</f>
        <v>1000000000000</v>
      </c>
      <c r="DJ72" s="172" cm="1">
        <f t="array" aca="1" ref="DJ72" ca="1">IF(OR($D72&lt;&gt;"Serviço",AND(AUTOEVENTO="Manual",$M72=$A$15),$M72&gt;(ROW(PLE.lastrow)-ROW(PLE.firstrow))),0,
           IF(OFFSET(PLE!$G$15,$M72-$A$15,DJ$13)="",10^12,OFFSET(PLE!$G$15,$M72-$A$15,DJ$13)))</f>
        <v>1000000000000</v>
      </c>
      <c r="DK72" s="172" cm="1">
        <f t="array" aca="1" ref="DK72" ca="1">IF(OR($D72&lt;&gt;"Serviço",AND(AUTOEVENTO="Manual",$M72=$A$15),$M72&gt;(ROW(PLE.lastrow)-ROW(PLE.firstrow))),0,
           IF(OFFSET(PLE!$G$15,$M72-$A$15,DK$13)="",10^12,OFFSET(PLE!$G$15,$M72-$A$15,DK$13)))</f>
        <v>1000000000000</v>
      </c>
      <c r="DL72" s="172" cm="1">
        <f t="array" aca="1" ref="DL72" ca="1">IF(OR($D72&lt;&gt;"Serviço",AND(AUTOEVENTO="Manual",$M72=$A$15),$M72&gt;(ROW(PLE.lastrow)-ROW(PLE.firstrow))),0,
           IF(OFFSET(PLE!$G$15,$M72-$A$15,DL$13)="",10^12,OFFSET(PLE!$G$15,$M72-$A$15,DL$13)))</f>
        <v>1000000000000</v>
      </c>
      <c r="DM72" s="172" cm="1">
        <f t="array" aca="1" ref="DM72" ca="1">IF(OR($D72&lt;&gt;"Serviço",AND(AUTOEVENTO="Manual",$M72=$A$15),$M72&gt;(ROW(PLE.lastrow)-ROW(PLE.firstrow))),0,
           IF(OFFSET(PLE!$G$15,$M72-$A$15,DM$13)="",10^12,OFFSET(PLE!$G$15,$M72-$A$15,DM$13)))</f>
        <v>1000000000000</v>
      </c>
      <c r="DN72" s="172" cm="1">
        <f t="array" aca="1" ref="DN72" ca="1">IF(OR($D72&lt;&gt;"Serviço",AND(AUTOEVENTO="Manual",$M72=$A$15),$M72&gt;(ROW(PLE.lastrow)-ROW(PLE.firstrow))),0,
           IF(OFFSET(PLE!$G$15,$M72-$A$15,DN$13)="",10^12,OFFSET(PLE!$G$15,$M72-$A$15,DN$13)))</f>
        <v>1000000000000</v>
      </c>
      <c r="DO72" s="172" cm="1">
        <f t="array" aca="1" ref="DO72" ca="1">IF(OR($D72&lt;&gt;"Serviço",AND(AUTOEVENTO="Manual",$M72=$A$15),$M72&gt;(ROW(PLE.lastrow)-ROW(PLE.firstrow))),0,
           IF(OFFSET(PLE!$G$15,$M72-$A$15,DO$13)="",10^12,OFFSET(PLE!$G$15,$M72-$A$15,DO$13)))</f>
        <v>1000000000000</v>
      </c>
      <c r="DP72" s="172" cm="1">
        <f t="array" aca="1" ref="DP72" ca="1">IF(OR($D72&lt;&gt;"Serviço",AND(AUTOEVENTO="Manual",$M72=$A$15),$M72&gt;(ROW(PLE.lastrow)-ROW(PLE.firstrow))),0,
           IF(OFFSET(PLE!$G$15,$M72-$A$15,DP$13)="",10^12,OFFSET(PLE!$G$15,$M72-$A$15,DP$13)))</f>
        <v>1000000000000</v>
      </c>
      <c r="DQ72" s="172" cm="1">
        <f t="array" aca="1" ref="DQ72" ca="1">IF(OR($D72&lt;&gt;"Serviço",AND(AUTOEVENTO="Manual",$M72=$A$15),$M72&gt;(ROW(PLE.lastrow)-ROW(PLE.firstrow))),0,
           IF(OFFSET(PLE!$G$15,$M72-$A$15,DQ$13)="",10^12,OFFSET(PLE!$G$15,$M72-$A$15,DQ$13)))</f>
        <v>1000000000000</v>
      </c>
      <c r="DR72" s="172" cm="1">
        <f t="array" aca="1" ref="DR72" ca="1">IF(OR($D72&lt;&gt;"Serviço",AND(AUTOEVENTO="Manual",$M72=$A$15),$M72&gt;(ROW(PLE.lastrow)-ROW(PLE.firstrow))),0,
           IF(OFFSET(PLE!$G$15,$M72-$A$15,DR$13)="",10^12,OFFSET(PLE!$G$15,$M72-$A$15,DR$13)))</f>
        <v>1000000000000</v>
      </c>
      <c r="DS72" s="172" cm="1">
        <f t="array" aca="1" ref="DS72" ca="1">IF(OR($D72&lt;&gt;"Serviço",AND(AUTOEVENTO="Manual",$M72=$A$15),$M72&gt;(ROW(PLE.lastrow)-ROW(PLE.firstrow))),0,
           IF(OFFSET(PLE!$G$15,$M72-$A$15,DS$13)="",10^12,OFFSET(PLE!$G$15,$M72-$A$15,DS$13)))</f>
        <v>1000000000000</v>
      </c>
    </row>
    <row r="73" spans="1:123" ht="12.75" x14ac:dyDescent="0.2">
      <c r="A73" s="7">
        <f t="shared" ca="1" si="11"/>
        <v>0</v>
      </c>
      <c r="B73" s="7">
        <f ca="1">OFFSET(ORÇAMENTO!C$15,$L73,0)</f>
        <v>2</v>
      </c>
      <c r="C73" s="7" t="str">
        <f ca="1">OFFSET(ORÇAMENTO!L$15,$L73,0)</f>
        <v>F</v>
      </c>
      <c r="D73" s="116" t="str">
        <f ca="1">OFFSET(ORÇAMENTO!N$15,$L73,0)</f>
        <v>Nível 2</v>
      </c>
      <c r="E73" s="117" t="str">
        <f ca="1">OFFSET(ORÇAMENTO!O$15,$L73,0)</f>
        <v>5.3.</v>
      </c>
      <c r="F73" s="163" t="str">
        <f ca="1">OFFSET(ORÇAMENTO!R$15,$L73,0)</f>
        <v>ESQUADRIAS DE MADEIRAS</v>
      </c>
      <c r="G73" s="164" t="str">
        <f ca="1">IF($D73&lt;&gt;"Serviço","",OFFSET(ORÇAMENTO!S$15,$L73,0))</f>
        <v/>
      </c>
      <c r="H73" s="122" cm="1">
        <f t="array" aca="1" ref="H73" ca="1">IF($D73&lt;&gt;"Serviço",0,IF(ACOMPANHAMENTO="BM",ROUND(OFFSET(ORÇAMENTO!AJ$15,$L73,0),15-13*ORÇAMENTO!$AF$7),IF(IFERROR(CÁLCULO.FrentesPreenchidas,0)=0,0,SUM(ROUND(OFFSET($P73,0,1,1,CÁLCULO.FrentesPreenchidas),15-13*ORÇAMENTO!$AF$7)))))</f>
        <v>0</v>
      </c>
      <c r="I73" s="468"/>
      <c r="J73" s="651" t="str" cm="1">
        <f t="array" aca="1" ref="J73" ca="1">IF(OR(B73&lt;&gt;"S",CÁLCULO.FrentesPreenchidas=0),"",IF(AND(ACOMPANHAMENTO="PLE",AUTOEVENTO="Manual",OR(H73&gt;0,ORÇAMENTO!AC73="QUANT."),OR(K73="",M73=0,N73="")),"►E",IF(AND(ACOMPANHAMENTO="PLE",ORÇAMENTO!AC73="QUANT."),"►Q",IF(AND(ACOMPANHAMENTO="PLE",H73&lt;&gt;SUMPRODUCT(($Q$1:$AQ$1=1)*ROUND(Q73:AQ73,15))),"►S",IF(AND(COUNTIF($P$11:$AQ$11,"▼")=0,H73&gt;0,I73=""),"◄M","")))))</f>
        <v/>
      </c>
      <c r="K73" s="652"/>
      <c r="L73" s="165">
        <f t="shared" ca="1" si="12"/>
        <v>58</v>
      </c>
      <c r="M73" s="166" t="str">
        <f ca="1">IF($D73&lt;&gt;"Serviço","",
          IF(AUTOEVENTO="manual",$A73,
                IF(ISERROR(MATCH($A73,$A$15:OFFSET($A73,-1,0),0)),MAX($M$15:OFFSET(M73,-1,0))+1,
                      INDEX($M$15:OFFSET(M73,-1,0),MATCH($A73,$A$15:OFFSET($A73,-1,0),0)))))</f>
        <v/>
      </c>
      <c r="N73" s="167" t="str">
        <f ca="1">IF($D73&lt;&gt;"Serviço","",
         IF(AUTOEVENTO="Manual",
                IF($A73=0,"&lt;-- defina o número do agrupador",
                       OFFSET(EVENTOS!$D$15,$A73-$A$15,0)),
                OFFSET($F$15,$A73,0)))</f>
        <v/>
      </c>
      <c r="O73" s="168"/>
      <c r="Q73" s="168"/>
      <c r="R73" s="169"/>
      <c r="S73" s="169"/>
      <c r="T73" s="169"/>
      <c r="U73" s="169"/>
      <c r="V73" s="169"/>
      <c r="W73" s="169"/>
      <c r="X73" s="169"/>
      <c r="Y73" s="169"/>
      <c r="Z73" s="170"/>
      <c r="AA73" s="169"/>
      <c r="AB73" s="169"/>
      <c r="AC73" s="169"/>
      <c r="AD73" s="169"/>
      <c r="AE73" s="169"/>
      <c r="AF73" s="169"/>
      <c r="AG73" s="169"/>
      <c r="AH73" s="170"/>
      <c r="AI73" s="169"/>
      <c r="AJ73" s="169"/>
      <c r="AK73" s="169"/>
      <c r="AL73" s="169"/>
      <c r="AM73" s="169"/>
      <c r="AN73" s="169"/>
      <c r="AO73" s="169"/>
      <c r="AP73" s="170"/>
      <c r="AR73" s="453">
        <f ca="1">IF(AND($D73="Serviço",AR$12&lt;&gt;0,$H73&gt;0,OR(AUTOEVENTO&lt;&gt;"manual",$M73&lt;&gt;$A$15)),
        IF(Import.TipoArredondamento&lt;&gt;"TransfereGOV",
              ROUND(OFFSET($P73,0,AR$13),15-13*ORÇAMENTO!$AF$7)/$H73*OFFSET(ORÇAMENTO!$X$15,ROW(AR73)-ROW(AR$15),0),
              ROUND(ROUND(OFFSET($P73,0,AR$13),15-13*ORÇAMENTO!$AF$7)*OFFSET(ORÇAMENTO!$W$15,ROW(AR73)-ROW(AR$15),0),15-13*ORÇAMENTO!$AF$11)),
         0)</f>
        <v>0</v>
      </c>
      <c r="AS73" s="453">
        <f ca="1">IF(AND($D73="Serviço",AS$12&lt;&gt;0,$H73&gt;0,OR(AUTOEVENTO&lt;&gt;"manual",$M73&lt;&gt;$A$15)),
        IF(Import.TipoArredondamento&lt;&gt;"TransfereGOV",
              ROUND(OFFSET($P73,0,AS$13),15-13*ORÇAMENTO!$AF$7)/$H73*OFFSET(ORÇAMENTO!$X$15,ROW(AS73)-ROW(AS$15),0),
              ROUND(ROUND(OFFSET($P73,0,AS$13),15-13*ORÇAMENTO!$AF$7)*OFFSET(ORÇAMENTO!$W$15,ROW(AS73)-ROW(AS$15),0),15-13*ORÇAMENTO!$AF$11)),
         0)</f>
        <v>0</v>
      </c>
      <c r="AT73" s="453">
        <f ca="1">IF(AND($D73="Serviço",AT$12&lt;&gt;0,$H73&gt;0,OR(AUTOEVENTO&lt;&gt;"manual",$M73&lt;&gt;$A$15)),
        IF(Import.TipoArredondamento&lt;&gt;"TransfereGOV",
              ROUND(OFFSET($P73,0,AT$13),15-13*ORÇAMENTO!$AF$7)/$H73*OFFSET(ORÇAMENTO!$X$15,ROW(AT73)-ROW(AT$15),0),
              ROUND(ROUND(OFFSET($P73,0,AT$13),15-13*ORÇAMENTO!$AF$7)*OFFSET(ORÇAMENTO!$W$15,ROW(AT73)-ROW(AT$15),0),15-13*ORÇAMENTO!$AF$11)),
         0)</f>
        <v>0</v>
      </c>
      <c r="AU73" s="453">
        <f ca="1">IF(AND($D73="Serviço",AU$12&lt;&gt;0,$H73&gt;0,OR(AUTOEVENTO&lt;&gt;"manual",$M73&lt;&gt;$A$15)),
        IF(Import.TipoArredondamento&lt;&gt;"TransfereGOV",
              ROUND(OFFSET($P73,0,AU$13),15-13*ORÇAMENTO!$AF$7)/$H73*OFFSET(ORÇAMENTO!$X$15,ROW(AU73)-ROW(AU$15),0),
              ROUND(ROUND(OFFSET($P73,0,AU$13),15-13*ORÇAMENTO!$AF$7)*OFFSET(ORÇAMENTO!$W$15,ROW(AU73)-ROW(AU$15),0),15-13*ORÇAMENTO!$AF$11)),
         0)</f>
        <v>0</v>
      </c>
      <c r="AV73" s="453">
        <f ca="1">IF(AND($D73="Serviço",AV$12&lt;&gt;0,$H73&gt;0,OR(AUTOEVENTO&lt;&gt;"manual",$M73&lt;&gt;$A$15)),
        IF(Import.TipoArredondamento&lt;&gt;"TransfereGOV",
              ROUND(OFFSET($P73,0,AV$13),15-13*ORÇAMENTO!$AF$7)/$H73*OFFSET(ORÇAMENTO!$X$15,ROW(AV73)-ROW(AV$15),0),
              ROUND(ROUND(OFFSET($P73,0,AV$13),15-13*ORÇAMENTO!$AF$7)*OFFSET(ORÇAMENTO!$W$15,ROW(AV73)-ROW(AV$15),0),15-13*ORÇAMENTO!$AF$11)),
         0)</f>
        <v>0</v>
      </c>
      <c r="AW73" s="453">
        <f ca="1">IF(AND($D73="Serviço",AW$12&lt;&gt;0,$H73&gt;0,OR(AUTOEVENTO&lt;&gt;"manual",$M73&lt;&gt;$A$15)),
        IF(Import.TipoArredondamento&lt;&gt;"TransfereGOV",
              ROUND(OFFSET($P73,0,AW$13),15-13*ORÇAMENTO!$AF$7)/$H73*OFFSET(ORÇAMENTO!$X$15,ROW(AW73)-ROW(AW$15),0),
              ROUND(ROUND(OFFSET($P73,0,AW$13),15-13*ORÇAMENTO!$AF$7)*OFFSET(ORÇAMENTO!$W$15,ROW(AW73)-ROW(AW$15),0),15-13*ORÇAMENTO!$AF$11)),
         0)</f>
        <v>0</v>
      </c>
      <c r="AX73" s="453">
        <f ca="1">IF(AND($D73="Serviço",AX$12&lt;&gt;0,$H73&gt;0,OR(AUTOEVENTO&lt;&gt;"manual",$M73&lt;&gt;$A$15)),
        IF(Import.TipoArredondamento&lt;&gt;"TransfereGOV",
              ROUND(OFFSET($P73,0,AX$13),15-13*ORÇAMENTO!$AF$7)/$H73*OFFSET(ORÇAMENTO!$X$15,ROW(AX73)-ROW(AX$15),0),
              ROUND(ROUND(OFFSET($P73,0,AX$13),15-13*ORÇAMENTO!$AF$7)*OFFSET(ORÇAMENTO!$W$15,ROW(AX73)-ROW(AX$15),0),15-13*ORÇAMENTO!$AF$11)),
         0)</f>
        <v>0</v>
      </c>
      <c r="AY73" s="453">
        <f ca="1">IF(AND($D73="Serviço",AY$12&lt;&gt;0,$H73&gt;0,OR(AUTOEVENTO&lt;&gt;"manual",$M73&lt;&gt;$A$15)),
        IF(Import.TipoArredondamento&lt;&gt;"TransfereGOV",
              ROUND(OFFSET($P73,0,AY$13),15-13*ORÇAMENTO!$AF$7)/$H73*OFFSET(ORÇAMENTO!$X$15,ROW(AY73)-ROW(AY$15),0),
              ROUND(ROUND(OFFSET($P73,0,AY$13),15-13*ORÇAMENTO!$AF$7)*OFFSET(ORÇAMENTO!$W$15,ROW(AY73)-ROW(AY$15),0),15-13*ORÇAMENTO!$AF$11)),
         0)</f>
        <v>0</v>
      </c>
      <c r="AZ73" s="453">
        <f ca="1">IF(AND($D73="Serviço",AZ$12&lt;&gt;0,$H73&gt;0,OR(AUTOEVENTO&lt;&gt;"manual",$M73&lt;&gt;$A$15)),
        IF(Import.TipoArredondamento&lt;&gt;"TransfereGOV",
              ROUND(OFFSET($P73,0,AZ$13),15-13*ORÇAMENTO!$AF$7)/$H73*OFFSET(ORÇAMENTO!$X$15,ROW(AZ73)-ROW(AZ$15),0),
              ROUND(ROUND(OFFSET($P73,0,AZ$13),15-13*ORÇAMENTO!$AF$7)*OFFSET(ORÇAMENTO!$W$15,ROW(AZ73)-ROW(AZ$15),0),15-13*ORÇAMENTO!$AF$11)),
         0)</f>
        <v>0</v>
      </c>
      <c r="BA73" s="453">
        <f ca="1">IF(AND($D73="Serviço",BA$12&lt;&gt;0,$H73&gt;0,OR(AUTOEVENTO&lt;&gt;"manual",$M73&lt;&gt;$A$15)),
        IF(Import.TipoArredondamento&lt;&gt;"TransfereGOV",
              ROUND(OFFSET($P73,0,BA$13),15-13*ORÇAMENTO!$AF$7)/$H73*OFFSET(ORÇAMENTO!$X$15,ROW(BA73)-ROW(BA$15),0),
              ROUND(ROUND(OFFSET($P73,0,BA$13),15-13*ORÇAMENTO!$AF$7)*OFFSET(ORÇAMENTO!$W$15,ROW(BA73)-ROW(BA$15),0),15-13*ORÇAMENTO!$AF$11)),
         0)</f>
        <v>0</v>
      </c>
      <c r="BB73" s="453">
        <f ca="1">IF(AND($D73="Serviço",BB$12&lt;&gt;0,$H73&gt;0,OR(AUTOEVENTO&lt;&gt;"manual",$M73&lt;&gt;$A$15)),
        IF(Import.TipoArredondamento&lt;&gt;"TransfereGOV",
              ROUND(OFFSET($P73,0,BB$13),15-13*ORÇAMENTO!$AF$7)/$H73*OFFSET(ORÇAMENTO!$X$15,ROW(BB73)-ROW(BB$15),0),
              ROUND(ROUND(OFFSET($P73,0,BB$13),15-13*ORÇAMENTO!$AF$7)*OFFSET(ORÇAMENTO!$W$15,ROW(BB73)-ROW(BB$15),0),15-13*ORÇAMENTO!$AF$11)),
         0)</f>
        <v>0</v>
      </c>
      <c r="BC73" s="453">
        <f ca="1">IF(AND($D73="Serviço",BC$12&lt;&gt;0,$H73&gt;0,OR(AUTOEVENTO&lt;&gt;"manual",$M73&lt;&gt;$A$15)),
        IF(Import.TipoArredondamento&lt;&gt;"TransfereGOV",
              ROUND(OFFSET($P73,0,BC$13),15-13*ORÇAMENTO!$AF$7)/$H73*OFFSET(ORÇAMENTO!$X$15,ROW(BC73)-ROW(BC$15),0),
              ROUND(ROUND(OFFSET($P73,0,BC$13),15-13*ORÇAMENTO!$AF$7)*OFFSET(ORÇAMENTO!$W$15,ROW(BC73)-ROW(BC$15),0),15-13*ORÇAMENTO!$AF$11)),
         0)</f>
        <v>0</v>
      </c>
      <c r="BD73" s="453">
        <f ca="1">IF(AND($D73="Serviço",BD$12&lt;&gt;0,$H73&gt;0,OR(AUTOEVENTO&lt;&gt;"manual",$M73&lt;&gt;$A$15)),
        IF(Import.TipoArredondamento&lt;&gt;"TransfereGOV",
              ROUND(OFFSET($P73,0,BD$13),15-13*ORÇAMENTO!$AF$7)/$H73*OFFSET(ORÇAMENTO!$X$15,ROW(BD73)-ROW(BD$15),0),
              ROUND(ROUND(OFFSET($P73,0,BD$13),15-13*ORÇAMENTO!$AF$7)*OFFSET(ORÇAMENTO!$W$15,ROW(BD73)-ROW(BD$15),0),15-13*ORÇAMENTO!$AF$11)),
         0)</f>
        <v>0</v>
      </c>
      <c r="BE73" s="453">
        <f ca="1">IF(AND($D73="Serviço",BE$12&lt;&gt;0,$H73&gt;0,OR(AUTOEVENTO&lt;&gt;"manual",$M73&lt;&gt;$A$15)),
        IF(Import.TipoArredondamento&lt;&gt;"TransfereGOV",
              ROUND(OFFSET($P73,0,BE$13),15-13*ORÇAMENTO!$AF$7)/$H73*OFFSET(ORÇAMENTO!$X$15,ROW(BE73)-ROW(BE$15),0),
              ROUND(ROUND(OFFSET($P73,0,BE$13),15-13*ORÇAMENTO!$AF$7)*OFFSET(ORÇAMENTO!$W$15,ROW(BE73)-ROW(BE$15),0),15-13*ORÇAMENTO!$AF$11)),
         0)</f>
        <v>0</v>
      </c>
      <c r="BF73" s="453">
        <f ca="1">IF(AND($D73="Serviço",BF$12&lt;&gt;0,$H73&gt;0,OR(AUTOEVENTO&lt;&gt;"manual",$M73&lt;&gt;$A$15)),
        IF(Import.TipoArredondamento&lt;&gt;"TransfereGOV",
              ROUND(OFFSET($P73,0,BF$13),15-13*ORÇAMENTO!$AF$7)/$H73*OFFSET(ORÇAMENTO!$X$15,ROW(BF73)-ROW(BF$15),0),
              ROUND(ROUND(OFFSET($P73,0,BF$13),15-13*ORÇAMENTO!$AF$7)*OFFSET(ORÇAMENTO!$W$15,ROW(BF73)-ROW(BF$15),0),15-13*ORÇAMENTO!$AF$11)),
         0)</f>
        <v>0</v>
      </c>
      <c r="BG73" s="453">
        <f ca="1">IF(AND($D73="Serviço",BG$12&lt;&gt;0,$H73&gt;0,OR(AUTOEVENTO&lt;&gt;"manual",$M73&lt;&gt;$A$15)),
        IF(Import.TipoArredondamento&lt;&gt;"TransfereGOV",
              ROUND(OFFSET($P73,0,BG$13),15-13*ORÇAMENTO!$AF$7)/$H73*OFFSET(ORÇAMENTO!$X$15,ROW(BG73)-ROW(BG$15),0),
              ROUND(ROUND(OFFSET($P73,0,BG$13),15-13*ORÇAMENTO!$AF$7)*OFFSET(ORÇAMENTO!$W$15,ROW(BG73)-ROW(BG$15),0),15-13*ORÇAMENTO!$AF$11)),
         0)</f>
        <v>0</v>
      </c>
      <c r="BH73" s="453">
        <f ca="1">IF(AND($D73="Serviço",BH$12&lt;&gt;0,$H73&gt;0,OR(AUTOEVENTO&lt;&gt;"manual",$M73&lt;&gt;$A$15)),
        IF(Import.TipoArredondamento&lt;&gt;"TransfereGOV",
              ROUND(OFFSET($P73,0,BH$13),15-13*ORÇAMENTO!$AF$7)/$H73*OFFSET(ORÇAMENTO!$X$15,ROW(BH73)-ROW(BH$15),0),
              ROUND(ROUND(OFFSET($P73,0,BH$13),15-13*ORÇAMENTO!$AF$7)*OFFSET(ORÇAMENTO!$W$15,ROW(BH73)-ROW(BH$15),0),15-13*ORÇAMENTO!$AF$11)),
         0)</f>
        <v>0</v>
      </c>
      <c r="BI73" s="453">
        <f ca="1">IF(AND($D73="Serviço",BI$12&lt;&gt;0,$H73&gt;0,OR(AUTOEVENTO&lt;&gt;"manual",$M73&lt;&gt;$A$15)),
        IF(Import.TipoArredondamento&lt;&gt;"TransfereGOV",
              ROUND(OFFSET($P73,0,BI$13),15-13*ORÇAMENTO!$AF$7)/$H73*OFFSET(ORÇAMENTO!$X$15,ROW(BI73)-ROW(BI$15),0),
              ROUND(ROUND(OFFSET($P73,0,BI$13),15-13*ORÇAMENTO!$AF$7)*OFFSET(ORÇAMENTO!$W$15,ROW(BI73)-ROW(BI$15),0),15-13*ORÇAMENTO!$AF$11)),
         0)</f>
        <v>0</v>
      </c>
      <c r="BJ73" s="453">
        <f ca="1">IF(AND($D73="Serviço",BJ$12&lt;&gt;0,$H73&gt;0,OR(AUTOEVENTO&lt;&gt;"manual",$M73&lt;&gt;$A$15)),
        IF(Import.TipoArredondamento&lt;&gt;"TransfereGOV",
              ROUND(OFFSET($P73,0,BJ$13),15-13*ORÇAMENTO!$AF$7)/$H73*OFFSET(ORÇAMENTO!$X$15,ROW(BJ73)-ROW(BJ$15),0),
              ROUND(ROUND(OFFSET($P73,0,BJ$13),15-13*ORÇAMENTO!$AF$7)*OFFSET(ORÇAMENTO!$W$15,ROW(BJ73)-ROW(BJ$15),0),15-13*ORÇAMENTO!$AF$11)),
         0)</f>
        <v>0</v>
      </c>
      <c r="BK73" s="453">
        <f ca="1">IF(AND($D73="Serviço",BK$12&lt;&gt;0,$H73&gt;0,OR(AUTOEVENTO&lt;&gt;"manual",$M73&lt;&gt;$A$15)),
        IF(Import.TipoArredondamento&lt;&gt;"TransfereGOV",
              ROUND(OFFSET($P73,0,BK$13),15-13*ORÇAMENTO!$AF$7)/$H73*OFFSET(ORÇAMENTO!$X$15,ROW(BK73)-ROW(BK$15),0),
              ROUND(ROUND(OFFSET($P73,0,BK$13),15-13*ORÇAMENTO!$AF$7)*OFFSET(ORÇAMENTO!$W$15,ROW(BK73)-ROW(BK$15),0),15-13*ORÇAMENTO!$AF$11)),
         0)</f>
        <v>0</v>
      </c>
      <c r="BL73" s="453">
        <f ca="1">IF(AND($D73="Serviço",BL$12&lt;&gt;0,$H73&gt;0,OR(AUTOEVENTO&lt;&gt;"manual",$M73&lt;&gt;$A$15)),
        IF(Import.TipoArredondamento&lt;&gt;"TransfereGOV",
              ROUND(OFFSET($P73,0,BL$13),15-13*ORÇAMENTO!$AF$7)/$H73*OFFSET(ORÇAMENTO!$X$15,ROW(BL73)-ROW(BL$15),0),
              ROUND(ROUND(OFFSET($P73,0,BL$13),15-13*ORÇAMENTO!$AF$7)*OFFSET(ORÇAMENTO!$W$15,ROW(BL73)-ROW(BL$15),0),15-13*ORÇAMENTO!$AF$11)),
         0)</f>
        <v>0</v>
      </c>
      <c r="BM73" s="453">
        <f ca="1">IF(AND($D73="Serviço",BM$12&lt;&gt;0,$H73&gt;0,OR(AUTOEVENTO&lt;&gt;"manual",$M73&lt;&gt;$A$15)),
        IF(Import.TipoArredondamento&lt;&gt;"TransfereGOV",
              ROUND(OFFSET($P73,0,BM$13),15-13*ORÇAMENTO!$AF$7)/$H73*OFFSET(ORÇAMENTO!$X$15,ROW(BM73)-ROW(BM$15),0),
              ROUND(ROUND(OFFSET($P73,0,BM$13),15-13*ORÇAMENTO!$AF$7)*OFFSET(ORÇAMENTO!$W$15,ROW(BM73)-ROW(BM$15),0),15-13*ORÇAMENTO!$AF$11)),
         0)</f>
        <v>0</v>
      </c>
      <c r="BN73" s="453">
        <f ca="1">IF(AND($D73="Serviço",BN$12&lt;&gt;0,$H73&gt;0,OR(AUTOEVENTO&lt;&gt;"manual",$M73&lt;&gt;$A$15)),
        IF(Import.TipoArredondamento&lt;&gt;"TransfereGOV",
              ROUND(OFFSET($P73,0,BN$13),15-13*ORÇAMENTO!$AF$7)/$H73*OFFSET(ORÇAMENTO!$X$15,ROW(BN73)-ROW(BN$15),0),
              ROUND(ROUND(OFFSET($P73,0,BN$13),15-13*ORÇAMENTO!$AF$7)*OFFSET(ORÇAMENTO!$W$15,ROW(BN73)-ROW(BN$15),0),15-13*ORÇAMENTO!$AF$11)),
         0)</f>
        <v>0</v>
      </c>
      <c r="BO73" s="453">
        <f ca="1">IF(AND($D73="Serviço",BO$12&lt;&gt;0,$H73&gt;0,OR(AUTOEVENTO&lt;&gt;"manual",$M73&lt;&gt;$A$15)),
        IF(Import.TipoArredondamento&lt;&gt;"TransfereGOV",
              ROUND(OFFSET($P73,0,BO$13),15-13*ORÇAMENTO!$AF$7)/$H73*OFFSET(ORÇAMENTO!$X$15,ROW(BO73)-ROW(BO$15),0),
              ROUND(ROUND(OFFSET($P73,0,BO$13),15-13*ORÇAMENTO!$AF$7)*OFFSET(ORÇAMENTO!$W$15,ROW(BO73)-ROW(BO$15),0),15-13*ORÇAMENTO!$AF$11)),
         0)</f>
        <v>0</v>
      </c>
      <c r="BP73" s="453">
        <f ca="1">IF(AND($D73="Serviço",BP$12&lt;&gt;0,$H73&gt;0,OR(AUTOEVENTO&lt;&gt;"manual",$M73&lt;&gt;$A$15)),
        IF(Import.TipoArredondamento&lt;&gt;"TransfereGOV",
              ROUND(OFFSET($P73,0,BP$13),15-13*ORÇAMENTO!$AF$7)/$H73*OFFSET(ORÇAMENTO!$X$15,ROW(BP73)-ROW(BP$15),0),
              ROUND(ROUND(OFFSET($P73,0,BP$13),15-13*ORÇAMENTO!$AF$7)*OFFSET(ORÇAMENTO!$W$15,ROW(BP73)-ROW(BP$15),0),15-13*ORÇAMENTO!$AF$11)),
         0)</f>
        <v>0</v>
      </c>
      <c r="BQ73" s="453">
        <f ca="1">IF(AND($D73="Serviço",BQ$12&lt;&gt;0,$H73&gt;0,OR(AUTOEVENTO&lt;&gt;"manual",$M73&lt;&gt;$A$15)),
        IF(Import.TipoArredondamento&lt;&gt;"TransfereGOV",
              ROUND(OFFSET($P73,0,BQ$13),15-13*ORÇAMENTO!$AF$7)/$H73*OFFSET(ORÇAMENTO!$X$15,ROW(BQ73)-ROW(BQ$15),0),
              ROUND(ROUND(OFFSET($P73,0,BQ$13),15-13*ORÇAMENTO!$AF$7)*OFFSET(ORÇAMENTO!$W$15,ROW(BQ73)-ROW(BQ$15),0),15-13*ORÇAMENTO!$AF$11)),
         0)</f>
        <v>0</v>
      </c>
      <c r="BS73" s="171">
        <f ca="1">IF(OR($D73&lt;&gt;"Serviço",AND(AUTOEVENTO="Manual",$M73=$A$15)),0,
         IF(OFFSET(CRONOPLE!$F$15,$M73-$A$15,BS$13)=0,10^12,OFFSET(CRONOPLE!$F$15,$M73-$A$15,BS$13)))</f>
        <v>0</v>
      </c>
      <c r="BT73" s="171">
        <f ca="1">IF(OR($D73&lt;&gt;"Serviço",AND(AUTOEVENTO="Manual",$M73=$A$15)),0,
         IF(OFFSET(CRONOPLE!$F$15,$M73-$A$15,BT$13)=0,10^12,OFFSET(CRONOPLE!$F$15,$M73-$A$15,BT$13)))</f>
        <v>0</v>
      </c>
      <c r="BU73" s="171">
        <f ca="1">IF(OR($D73&lt;&gt;"Serviço",AND(AUTOEVENTO="Manual",$M73=$A$15)),0,
         IF(OFFSET(CRONOPLE!$F$15,$M73-$A$15,BU$13)=0,10^12,OFFSET(CRONOPLE!$F$15,$M73-$A$15,BU$13)))</f>
        <v>0</v>
      </c>
      <c r="BV73" s="171">
        <f ca="1">IF(OR($D73&lt;&gt;"Serviço",AND(AUTOEVENTO="Manual",$M73=$A$15)),0,
         IF(OFFSET(CRONOPLE!$F$15,$M73-$A$15,BV$13)=0,10^12,OFFSET(CRONOPLE!$F$15,$M73-$A$15,BV$13)))</f>
        <v>0</v>
      </c>
      <c r="BW73" s="171">
        <f ca="1">IF(OR($D73&lt;&gt;"Serviço",AND(AUTOEVENTO="Manual",$M73=$A$15)),0,
         IF(OFFSET(CRONOPLE!$F$15,$M73-$A$15,BW$13)=0,10^12,OFFSET(CRONOPLE!$F$15,$M73-$A$15,BW$13)))</f>
        <v>0</v>
      </c>
      <c r="BX73" s="171">
        <f ca="1">IF(OR($D73&lt;&gt;"Serviço",AND(AUTOEVENTO="Manual",$M73=$A$15)),0,
         IF(OFFSET(CRONOPLE!$F$15,$M73-$A$15,BX$13)=0,10^12,OFFSET(CRONOPLE!$F$15,$M73-$A$15,BX$13)))</f>
        <v>0</v>
      </c>
      <c r="BY73" s="171">
        <f ca="1">IF(OR($D73&lt;&gt;"Serviço",AND(AUTOEVENTO="Manual",$M73=$A$15)),0,
         IF(OFFSET(CRONOPLE!$F$15,$M73-$A$15,BY$13)=0,10^12,OFFSET(CRONOPLE!$F$15,$M73-$A$15,BY$13)))</f>
        <v>0</v>
      </c>
      <c r="BZ73" s="171">
        <f ca="1">IF(OR($D73&lt;&gt;"Serviço",AND(AUTOEVENTO="Manual",$M73=$A$15)),0,
         IF(OFFSET(CRONOPLE!$F$15,$M73-$A$15,BZ$13)=0,10^12,OFFSET(CRONOPLE!$F$15,$M73-$A$15,BZ$13)))</f>
        <v>0</v>
      </c>
      <c r="CA73" s="171">
        <f ca="1">IF(OR($D73&lt;&gt;"Serviço",AND(AUTOEVENTO="Manual",$M73=$A$15)),0,
         IF(OFFSET(CRONOPLE!$F$15,$M73-$A$15,CA$13)=0,10^12,OFFSET(CRONOPLE!$F$15,$M73-$A$15,CA$13)))</f>
        <v>0</v>
      </c>
      <c r="CB73" s="171">
        <f ca="1">IF(OR($D73&lt;&gt;"Serviço",AND(AUTOEVENTO="Manual",$M73=$A$15)),0,
         IF(OFFSET(CRONOPLE!$F$15,$M73-$A$15,CB$13)=0,10^12,OFFSET(CRONOPLE!$F$15,$M73-$A$15,CB$13)))</f>
        <v>0</v>
      </c>
      <c r="CC73" s="171">
        <f ca="1">IF(OR($D73&lt;&gt;"Serviço",AND(AUTOEVENTO="Manual",$M73=$A$15)),0,
         IF(OFFSET(CRONOPLE!$F$15,$M73-$A$15,CC$13)=0,10^12,OFFSET(CRONOPLE!$F$15,$M73-$A$15,CC$13)))</f>
        <v>0</v>
      </c>
      <c r="CD73" s="171">
        <f ca="1">IF(OR($D73&lt;&gt;"Serviço",AND(AUTOEVENTO="Manual",$M73=$A$15)),0,
         IF(OFFSET(CRONOPLE!$F$15,$M73-$A$15,CD$13)=0,10^12,OFFSET(CRONOPLE!$F$15,$M73-$A$15,CD$13)))</f>
        <v>0</v>
      </c>
      <c r="CE73" s="171">
        <f ca="1">IF(OR($D73&lt;&gt;"Serviço",AND(AUTOEVENTO="Manual",$M73=$A$15)),0,
         IF(OFFSET(CRONOPLE!$F$15,$M73-$A$15,CE$13)=0,10^12,OFFSET(CRONOPLE!$F$15,$M73-$A$15,CE$13)))</f>
        <v>0</v>
      </c>
      <c r="CF73" s="171">
        <f ca="1">IF(OR($D73&lt;&gt;"Serviço",AND(AUTOEVENTO="Manual",$M73=$A$15)),0,
         IF(OFFSET(CRONOPLE!$F$15,$M73-$A$15,CF$13)=0,10^12,OFFSET(CRONOPLE!$F$15,$M73-$A$15,CF$13)))</f>
        <v>0</v>
      </c>
      <c r="CG73" s="171">
        <f ca="1">IF(OR($D73&lt;&gt;"Serviço",AND(AUTOEVENTO="Manual",$M73=$A$15)),0,
         IF(OFFSET(CRONOPLE!$F$15,$M73-$A$15,CG$13)=0,10^12,OFFSET(CRONOPLE!$F$15,$M73-$A$15,CG$13)))</f>
        <v>0</v>
      </c>
      <c r="CH73" s="171">
        <f ca="1">IF(OR($D73&lt;&gt;"Serviço",AND(AUTOEVENTO="Manual",$M73=$A$15)),0,
         IF(OFFSET(CRONOPLE!$F$15,$M73-$A$15,CH$13)=0,10^12,OFFSET(CRONOPLE!$F$15,$M73-$A$15,CH$13)))</f>
        <v>0</v>
      </c>
      <c r="CI73" s="171">
        <f ca="1">IF(OR($D73&lt;&gt;"Serviço",AND(AUTOEVENTO="Manual",$M73=$A$15)),0,
         IF(OFFSET(CRONOPLE!$F$15,$M73-$A$15,CI$13)=0,10^12,OFFSET(CRONOPLE!$F$15,$M73-$A$15,CI$13)))</f>
        <v>0</v>
      </c>
      <c r="CJ73" s="171">
        <f ca="1">IF(OR($D73&lt;&gt;"Serviço",AND(AUTOEVENTO="Manual",$M73=$A$15)),0,
         IF(OFFSET(CRONOPLE!$F$15,$M73-$A$15,CJ$13)=0,10^12,OFFSET(CRONOPLE!$F$15,$M73-$A$15,CJ$13)))</f>
        <v>0</v>
      </c>
      <c r="CK73" s="171">
        <f ca="1">IF(OR($D73&lt;&gt;"Serviço",AND(AUTOEVENTO="Manual",$M73=$A$15)),0,
         IF(OFFSET(CRONOPLE!$F$15,$M73-$A$15,CK$13)=0,10^12,OFFSET(CRONOPLE!$F$15,$M73-$A$15,CK$13)))</f>
        <v>0</v>
      </c>
      <c r="CL73" s="171">
        <f ca="1">IF(OR($D73&lt;&gt;"Serviço",AND(AUTOEVENTO="Manual",$M73=$A$15)),0,
         IF(OFFSET(CRONOPLE!$F$15,$M73-$A$15,CL$13)=0,10^12,OFFSET(CRONOPLE!$F$15,$M73-$A$15,CL$13)))</f>
        <v>0</v>
      </c>
      <c r="CM73" s="171">
        <f ca="1">IF(OR($D73&lt;&gt;"Serviço",AND(AUTOEVENTO="Manual",$M73=$A$15)),0,
         IF(OFFSET(CRONOPLE!$F$15,$M73-$A$15,CM$13)=0,10^12,OFFSET(CRONOPLE!$F$15,$M73-$A$15,CM$13)))</f>
        <v>0</v>
      </c>
      <c r="CN73" s="171">
        <f ca="1">IF(OR($D73&lt;&gt;"Serviço",AND(AUTOEVENTO="Manual",$M73=$A$15)),0,
         IF(OFFSET(CRONOPLE!$F$15,$M73-$A$15,CN$13)=0,10^12,OFFSET(CRONOPLE!$F$15,$M73-$A$15,CN$13)))</f>
        <v>0</v>
      </c>
      <c r="CO73" s="171">
        <f ca="1">IF(OR($D73&lt;&gt;"Serviço",AND(AUTOEVENTO="Manual",$M73=$A$15)),0,
         IF(OFFSET(CRONOPLE!$F$15,$M73-$A$15,CO$13)=0,10^12,OFFSET(CRONOPLE!$F$15,$M73-$A$15,CO$13)))</f>
        <v>0</v>
      </c>
      <c r="CP73" s="171">
        <f ca="1">IF(OR($D73&lt;&gt;"Serviço",AND(AUTOEVENTO="Manual",$M73=$A$15)),0,
         IF(OFFSET(CRONOPLE!$F$15,$M73-$A$15,CP$13)=0,10^12,OFFSET(CRONOPLE!$F$15,$M73-$A$15,CP$13)))</f>
        <v>0</v>
      </c>
      <c r="CQ73" s="171">
        <f ca="1">IF(OR($D73&lt;&gt;"Serviço",AND(AUTOEVENTO="Manual",$M73=$A$15)),0,
         IF(OFFSET(CRONOPLE!$F$15,$M73-$A$15,CQ$13)=0,10^12,OFFSET(CRONOPLE!$F$15,$M73-$A$15,CQ$13)))</f>
        <v>0</v>
      </c>
      <c r="CR73" s="171">
        <f ca="1">IF(OR($D73&lt;&gt;"Serviço",AND(AUTOEVENTO="Manual",$M73=$A$15)),0,
         IF(OFFSET(CRONOPLE!$F$15,$M73-$A$15,CR$13)=0,10^12,OFFSET(CRONOPLE!$F$15,$M73-$A$15,CR$13)))</f>
        <v>0</v>
      </c>
      <c r="CT73" s="172" cm="1">
        <f t="array" aca="1" ref="CT73" ca="1">IF(OR($D73&lt;&gt;"Serviço",AND(AUTOEVENTO="Manual",$M73=$A$15),$M73&gt;(ROW(PLE.lastrow)-ROW(PLE.firstrow))),0,
           IF(OFFSET(PLE!$G$15,$M73-$A$15,CT$13)="",10^12,OFFSET(PLE!$G$15,$M73-$A$15,CT$13)))</f>
        <v>0</v>
      </c>
      <c r="CU73" s="172" cm="1">
        <f t="array" aca="1" ref="CU73" ca="1">IF(OR($D73&lt;&gt;"Serviço",AND(AUTOEVENTO="Manual",$M73=$A$15),$M73&gt;(ROW(PLE.lastrow)-ROW(PLE.firstrow))),0,
           IF(OFFSET(PLE!$G$15,$M73-$A$15,CU$13)="",10^12,OFFSET(PLE!$G$15,$M73-$A$15,CU$13)))</f>
        <v>0</v>
      </c>
      <c r="CV73" s="172" cm="1">
        <f t="array" aca="1" ref="CV73" ca="1">IF(OR($D73&lt;&gt;"Serviço",AND(AUTOEVENTO="Manual",$M73=$A$15),$M73&gt;(ROW(PLE.lastrow)-ROW(PLE.firstrow))),0,
           IF(OFFSET(PLE!$G$15,$M73-$A$15,CV$13)="",10^12,OFFSET(PLE!$G$15,$M73-$A$15,CV$13)))</f>
        <v>0</v>
      </c>
      <c r="CW73" s="172" cm="1">
        <f t="array" aca="1" ref="CW73" ca="1">IF(OR($D73&lt;&gt;"Serviço",AND(AUTOEVENTO="Manual",$M73=$A$15),$M73&gt;(ROW(PLE.lastrow)-ROW(PLE.firstrow))),0,
           IF(OFFSET(PLE!$G$15,$M73-$A$15,CW$13)="",10^12,OFFSET(PLE!$G$15,$M73-$A$15,CW$13)))</f>
        <v>0</v>
      </c>
      <c r="CX73" s="172" cm="1">
        <f t="array" aca="1" ref="CX73" ca="1">IF(OR($D73&lt;&gt;"Serviço",AND(AUTOEVENTO="Manual",$M73=$A$15),$M73&gt;(ROW(PLE.lastrow)-ROW(PLE.firstrow))),0,
           IF(OFFSET(PLE!$G$15,$M73-$A$15,CX$13)="",10^12,OFFSET(PLE!$G$15,$M73-$A$15,CX$13)))</f>
        <v>0</v>
      </c>
      <c r="CY73" s="172" cm="1">
        <f t="array" aca="1" ref="CY73" ca="1">IF(OR($D73&lt;&gt;"Serviço",AND(AUTOEVENTO="Manual",$M73=$A$15),$M73&gt;(ROW(PLE.lastrow)-ROW(PLE.firstrow))),0,
           IF(OFFSET(PLE!$G$15,$M73-$A$15,CY$13)="",10^12,OFFSET(PLE!$G$15,$M73-$A$15,CY$13)))</f>
        <v>0</v>
      </c>
      <c r="CZ73" s="172" cm="1">
        <f t="array" aca="1" ref="CZ73" ca="1">IF(OR($D73&lt;&gt;"Serviço",AND(AUTOEVENTO="Manual",$M73=$A$15),$M73&gt;(ROW(PLE.lastrow)-ROW(PLE.firstrow))),0,
           IF(OFFSET(PLE!$G$15,$M73-$A$15,CZ$13)="",10^12,OFFSET(PLE!$G$15,$M73-$A$15,CZ$13)))</f>
        <v>0</v>
      </c>
      <c r="DA73" s="172" cm="1">
        <f t="array" aca="1" ref="DA73" ca="1">IF(OR($D73&lt;&gt;"Serviço",AND(AUTOEVENTO="Manual",$M73=$A$15),$M73&gt;(ROW(PLE.lastrow)-ROW(PLE.firstrow))),0,
           IF(OFFSET(PLE!$G$15,$M73-$A$15,DA$13)="",10^12,OFFSET(PLE!$G$15,$M73-$A$15,DA$13)))</f>
        <v>0</v>
      </c>
      <c r="DB73" s="172" cm="1">
        <f t="array" aca="1" ref="DB73" ca="1">IF(OR($D73&lt;&gt;"Serviço",AND(AUTOEVENTO="Manual",$M73=$A$15),$M73&gt;(ROW(PLE.lastrow)-ROW(PLE.firstrow))),0,
           IF(OFFSET(PLE!$G$15,$M73-$A$15,DB$13)="",10^12,OFFSET(PLE!$G$15,$M73-$A$15,DB$13)))</f>
        <v>0</v>
      </c>
      <c r="DC73" s="172" cm="1">
        <f t="array" aca="1" ref="DC73" ca="1">IF(OR($D73&lt;&gt;"Serviço",AND(AUTOEVENTO="Manual",$M73=$A$15),$M73&gt;(ROW(PLE.lastrow)-ROW(PLE.firstrow))),0,
           IF(OFFSET(PLE!$G$15,$M73-$A$15,DC$13)="",10^12,OFFSET(PLE!$G$15,$M73-$A$15,DC$13)))</f>
        <v>0</v>
      </c>
      <c r="DD73" s="172" cm="1">
        <f t="array" aca="1" ref="DD73" ca="1">IF(OR($D73&lt;&gt;"Serviço",AND(AUTOEVENTO="Manual",$M73=$A$15),$M73&gt;(ROW(PLE.lastrow)-ROW(PLE.firstrow))),0,
           IF(OFFSET(PLE!$G$15,$M73-$A$15,DD$13)="",10^12,OFFSET(PLE!$G$15,$M73-$A$15,DD$13)))</f>
        <v>0</v>
      </c>
      <c r="DE73" s="172" cm="1">
        <f t="array" aca="1" ref="DE73" ca="1">IF(OR($D73&lt;&gt;"Serviço",AND(AUTOEVENTO="Manual",$M73=$A$15),$M73&gt;(ROW(PLE.lastrow)-ROW(PLE.firstrow))),0,
           IF(OFFSET(PLE!$G$15,$M73-$A$15,DE$13)="",10^12,OFFSET(PLE!$G$15,$M73-$A$15,DE$13)))</f>
        <v>0</v>
      </c>
      <c r="DF73" s="172" cm="1">
        <f t="array" aca="1" ref="DF73" ca="1">IF(OR($D73&lt;&gt;"Serviço",AND(AUTOEVENTO="Manual",$M73=$A$15),$M73&gt;(ROW(PLE.lastrow)-ROW(PLE.firstrow))),0,
           IF(OFFSET(PLE!$G$15,$M73-$A$15,DF$13)="",10^12,OFFSET(PLE!$G$15,$M73-$A$15,DF$13)))</f>
        <v>0</v>
      </c>
      <c r="DG73" s="172" cm="1">
        <f t="array" aca="1" ref="DG73" ca="1">IF(OR($D73&lt;&gt;"Serviço",AND(AUTOEVENTO="Manual",$M73=$A$15),$M73&gt;(ROW(PLE.lastrow)-ROW(PLE.firstrow))),0,
           IF(OFFSET(PLE!$G$15,$M73-$A$15,DG$13)="",10^12,OFFSET(PLE!$G$15,$M73-$A$15,DG$13)))</f>
        <v>0</v>
      </c>
      <c r="DH73" s="172" cm="1">
        <f t="array" aca="1" ref="DH73" ca="1">IF(OR($D73&lt;&gt;"Serviço",AND(AUTOEVENTO="Manual",$M73=$A$15),$M73&gt;(ROW(PLE.lastrow)-ROW(PLE.firstrow))),0,
           IF(OFFSET(PLE!$G$15,$M73-$A$15,DH$13)="",10^12,OFFSET(PLE!$G$15,$M73-$A$15,DH$13)))</f>
        <v>0</v>
      </c>
      <c r="DI73" s="172" cm="1">
        <f t="array" aca="1" ref="DI73" ca="1">IF(OR($D73&lt;&gt;"Serviço",AND(AUTOEVENTO="Manual",$M73=$A$15),$M73&gt;(ROW(PLE.lastrow)-ROW(PLE.firstrow))),0,
           IF(OFFSET(PLE!$G$15,$M73-$A$15,DI$13)="",10^12,OFFSET(PLE!$G$15,$M73-$A$15,DI$13)))</f>
        <v>0</v>
      </c>
      <c r="DJ73" s="172" cm="1">
        <f t="array" aca="1" ref="DJ73" ca="1">IF(OR($D73&lt;&gt;"Serviço",AND(AUTOEVENTO="Manual",$M73=$A$15),$M73&gt;(ROW(PLE.lastrow)-ROW(PLE.firstrow))),0,
           IF(OFFSET(PLE!$G$15,$M73-$A$15,DJ$13)="",10^12,OFFSET(PLE!$G$15,$M73-$A$15,DJ$13)))</f>
        <v>0</v>
      </c>
      <c r="DK73" s="172" cm="1">
        <f t="array" aca="1" ref="DK73" ca="1">IF(OR($D73&lt;&gt;"Serviço",AND(AUTOEVENTO="Manual",$M73=$A$15),$M73&gt;(ROW(PLE.lastrow)-ROW(PLE.firstrow))),0,
           IF(OFFSET(PLE!$G$15,$M73-$A$15,DK$13)="",10^12,OFFSET(PLE!$G$15,$M73-$A$15,DK$13)))</f>
        <v>0</v>
      </c>
      <c r="DL73" s="172" cm="1">
        <f t="array" aca="1" ref="DL73" ca="1">IF(OR($D73&lt;&gt;"Serviço",AND(AUTOEVENTO="Manual",$M73=$A$15),$M73&gt;(ROW(PLE.lastrow)-ROW(PLE.firstrow))),0,
           IF(OFFSET(PLE!$G$15,$M73-$A$15,DL$13)="",10^12,OFFSET(PLE!$G$15,$M73-$A$15,DL$13)))</f>
        <v>0</v>
      </c>
      <c r="DM73" s="172" cm="1">
        <f t="array" aca="1" ref="DM73" ca="1">IF(OR($D73&lt;&gt;"Serviço",AND(AUTOEVENTO="Manual",$M73=$A$15),$M73&gt;(ROW(PLE.lastrow)-ROW(PLE.firstrow))),0,
           IF(OFFSET(PLE!$G$15,$M73-$A$15,DM$13)="",10^12,OFFSET(PLE!$G$15,$M73-$A$15,DM$13)))</f>
        <v>0</v>
      </c>
      <c r="DN73" s="172" cm="1">
        <f t="array" aca="1" ref="DN73" ca="1">IF(OR($D73&lt;&gt;"Serviço",AND(AUTOEVENTO="Manual",$M73=$A$15),$M73&gt;(ROW(PLE.lastrow)-ROW(PLE.firstrow))),0,
           IF(OFFSET(PLE!$G$15,$M73-$A$15,DN$13)="",10^12,OFFSET(PLE!$G$15,$M73-$A$15,DN$13)))</f>
        <v>0</v>
      </c>
      <c r="DO73" s="172" cm="1">
        <f t="array" aca="1" ref="DO73" ca="1">IF(OR($D73&lt;&gt;"Serviço",AND(AUTOEVENTO="Manual",$M73=$A$15),$M73&gt;(ROW(PLE.lastrow)-ROW(PLE.firstrow))),0,
           IF(OFFSET(PLE!$G$15,$M73-$A$15,DO$13)="",10^12,OFFSET(PLE!$G$15,$M73-$A$15,DO$13)))</f>
        <v>0</v>
      </c>
      <c r="DP73" s="172" cm="1">
        <f t="array" aca="1" ref="DP73" ca="1">IF(OR($D73&lt;&gt;"Serviço",AND(AUTOEVENTO="Manual",$M73=$A$15),$M73&gt;(ROW(PLE.lastrow)-ROW(PLE.firstrow))),0,
           IF(OFFSET(PLE!$G$15,$M73-$A$15,DP$13)="",10^12,OFFSET(PLE!$G$15,$M73-$A$15,DP$13)))</f>
        <v>0</v>
      </c>
      <c r="DQ73" s="172" cm="1">
        <f t="array" aca="1" ref="DQ73" ca="1">IF(OR($D73&lt;&gt;"Serviço",AND(AUTOEVENTO="Manual",$M73=$A$15),$M73&gt;(ROW(PLE.lastrow)-ROW(PLE.firstrow))),0,
           IF(OFFSET(PLE!$G$15,$M73-$A$15,DQ$13)="",10^12,OFFSET(PLE!$G$15,$M73-$A$15,DQ$13)))</f>
        <v>0</v>
      </c>
      <c r="DR73" s="172" cm="1">
        <f t="array" aca="1" ref="DR73" ca="1">IF(OR($D73&lt;&gt;"Serviço",AND(AUTOEVENTO="Manual",$M73=$A$15),$M73&gt;(ROW(PLE.lastrow)-ROW(PLE.firstrow))),0,
           IF(OFFSET(PLE!$G$15,$M73-$A$15,DR$13)="",10^12,OFFSET(PLE!$G$15,$M73-$A$15,DR$13)))</f>
        <v>0</v>
      </c>
      <c r="DS73" s="172" cm="1">
        <f t="array" aca="1" ref="DS73" ca="1">IF(OR($D73&lt;&gt;"Serviço",AND(AUTOEVENTO="Manual",$M73=$A$15),$M73&gt;(ROW(PLE.lastrow)-ROW(PLE.firstrow))),0,
           IF(OFFSET(PLE!$G$15,$M73-$A$15,DS$13)="",10^12,OFFSET(PLE!$G$15,$M73-$A$15,DS$13)))</f>
        <v>0</v>
      </c>
    </row>
    <row r="74" spans="1:123" ht="63.75" x14ac:dyDescent="0.2">
      <c r="A74" s="7">
        <f t="shared" ca="1" si="11"/>
        <v>5</v>
      </c>
      <c r="B74" s="7" t="str">
        <f ca="1">OFFSET(ORÇAMENTO!C$15,$L74,0)</f>
        <v>S</v>
      </c>
      <c r="C74" s="7" t="str">
        <f ca="1">OFFSET(ORÇAMENTO!L$15,$L74,0)</f>
        <v/>
      </c>
      <c r="D74" s="116" t="str">
        <f ca="1">OFFSET(ORÇAMENTO!N$15,$L74,0)</f>
        <v>Serviço</v>
      </c>
      <c r="E74" s="117" t="str">
        <f ca="1">OFFSET(ORÇAMENTO!O$15,$L74,0)</f>
        <v>-</v>
      </c>
      <c r="F74" s="163" t="str">
        <f ca="1">OFFSET(ORÇAMENTO!R$15,$L74,0)</f>
        <v>(Código não identificado nas referências)</v>
      </c>
      <c r="G74" s="164" t="str">
        <f ca="1">IF($D74&lt;&gt;"Serviço","",OFFSET(ORÇAMENTO!S$15,$L74,0))</f>
        <v>-</v>
      </c>
      <c r="H74" s="122" cm="1">
        <f t="array" aca="1" ref="H74" ca="1">IF($D74&lt;&gt;"Serviço",0,IF(ACOMPANHAMENTO="BM",ROUND(OFFSET(ORÇAMENTO!AJ$15,$L74,0),15-13*ORÇAMENTO!$AF$7),IF(IFERROR(CÁLCULO.FrentesPreenchidas,0)=0,0,SUM(ROUND(OFFSET($P74,0,1,1,CÁLCULO.FrentesPreenchidas),15-13*ORÇAMENTO!$AF$7)))))</f>
        <v>60</v>
      </c>
      <c r="I74" s="468" t="s">
        <v>1235</v>
      </c>
      <c r="J74" s="651" t="str" cm="1">
        <f t="array" aca="1" ref="J74" ca="1">IF(OR(B74&lt;&gt;"S",CÁLCULO.FrentesPreenchidas=0),"",IF(AND(ACOMPANHAMENTO="PLE",AUTOEVENTO="Manual",OR(H74&gt;0,ORÇAMENTO!AC74="QUANT."),OR(K74="",M74=0,N74="")),"►E",IF(AND(ACOMPANHAMENTO="PLE",ORÇAMENTO!AC74="QUANT."),"►Q",IF(AND(ACOMPANHAMENTO="PLE",H74&lt;&gt;SUMPRODUCT(($Q$1:$AQ$1=1)*ROUND(Q74:AQ74,15))),"►S",IF(AND(COUNTIF($P$11:$AQ$11,"▼")=0,H74&gt;0,I74=""),"◄M","")))))</f>
        <v/>
      </c>
      <c r="K74" s="652" t="s">
        <v>1253</v>
      </c>
      <c r="L74" s="165">
        <f t="shared" ca="1" si="12"/>
        <v>59</v>
      </c>
      <c r="M74" s="166">
        <f ca="1">IF($D74&lt;&gt;"Serviço","",
          IF(AUTOEVENTO="manual",$A74,
                IF(ISERROR(MATCH($A74,$A$15:OFFSET($A74,-1,0),0)),MAX($M$15:OFFSET(M74,-1,0))+1,
                      INDEX($M$15:OFFSET(M74,-1,0),MATCH($A74,$A$15:OFFSET($A74,-1,0),0)))))</f>
        <v>5</v>
      </c>
      <c r="N74" s="167" t="str">
        <f ca="1">IF($D74&lt;&gt;"Serviço","",
         IF(AUTOEVENTO="Manual",
                IF($A74=0,"&lt;-- defina o número do agrupador",
                       OFFSET(EVENTOS!$D$15,$A74-$A$15,0)),
                OFFSET($F$15,$A74,0)))</f>
        <v>PAREDES E PAINÉIS</v>
      </c>
      <c r="O74" s="168"/>
      <c r="Q74" s="168">
        <v>3</v>
      </c>
      <c r="R74" s="169">
        <v>3</v>
      </c>
      <c r="S74" s="169">
        <v>3</v>
      </c>
      <c r="T74" s="169">
        <v>3</v>
      </c>
      <c r="U74" s="169">
        <v>3</v>
      </c>
      <c r="V74" s="169">
        <v>3</v>
      </c>
      <c r="W74" s="169">
        <v>3</v>
      </c>
      <c r="X74" s="169">
        <v>3</v>
      </c>
      <c r="Y74" s="169">
        <v>3</v>
      </c>
      <c r="Z74" s="170">
        <v>3</v>
      </c>
      <c r="AA74" s="169">
        <v>3</v>
      </c>
      <c r="AB74" s="169">
        <v>3</v>
      </c>
      <c r="AC74" s="169">
        <v>3</v>
      </c>
      <c r="AD74" s="169">
        <v>3</v>
      </c>
      <c r="AE74" s="169">
        <v>3</v>
      </c>
      <c r="AF74" s="169">
        <v>3</v>
      </c>
      <c r="AG74" s="169">
        <v>3</v>
      </c>
      <c r="AH74" s="170">
        <v>3</v>
      </c>
      <c r="AI74" s="169">
        <v>3</v>
      </c>
      <c r="AJ74" s="169">
        <v>3</v>
      </c>
      <c r="AK74" s="169"/>
      <c r="AL74" s="169"/>
      <c r="AM74" s="169"/>
      <c r="AN74" s="169"/>
      <c r="AO74" s="169"/>
      <c r="AP74" s="170"/>
      <c r="AR74" s="453">
        <f ca="1">IF(AND($D74="Serviço",AR$12&lt;&gt;0,$H74&gt;0,OR(AUTOEVENTO&lt;&gt;"manual",$M74&lt;&gt;$A$15)),
        IF(Import.TipoArredondamento&lt;&gt;"TransfereGOV",
              ROUND(OFFSET($P74,0,AR$13),15-13*ORÇAMENTO!$AF$7)/$H74*OFFSET(ORÇAMENTO!$X$15,ROW(AR74)-ROW(AR$15),0),
              ROUND(ROUND(OFFSET($P74,0,AR$13),15-13*ORÇAMENTO!$AF$7)*OFFSET(ORÇAMENTO!$W$15,ROW(AR74)-ROW(AR$15),0),15-13*ORÇAMENTO!$AF$11)),
         0)</f>
        <v>0</v>
      </c>
      <c r="AS74" s="453">
        <f ca="1">IF(AND($D74="Serviço",AS$12&lt;&gt;0,$H74&gt;0,OR(AUTOEVENTO&lt;&gt;"manual",$M74&lt;&gt;$A$15)),
        IF(Import.TipoArredondamento&lt;&gt;"TransfereGOV",
              ROUND(OFFSET($P74,0,AS$13),15-13*ORÇAMENTO!$AF$7)/$H74*OFFSET(ORÇAMENTO!$X$15,ROW(AS74)-ROW(AS$15),0),
              ROUND(ROUND(OFFSET($P74,0,AS$13),15-13*ORÇAMENTO!$AF$7)*OFFSET(ORÇAMENTO!$W$15,ROW(AS74)-ROW(AS$15),0),15-13*ORÇAMENTO!$AF$11)),
         0)</f>
        <v>0</v>
      </c>
      <c r="AT74" s="453">
        <f ca="1">IF(AND($D74="Serviço",AT$12&lt;&gt;0,$H74&gt;0,OR(AUTOEVENTO&lt;&gt;"manual",$M74&lt;&gt;$A$15)),
        IF(Import.TipoArredondamento&lt;&gt;"TransfereGOV",
              ROUND(OFFSET($P74,0,AT$13),15-13*ORÇAMENTO!$AF$7)/$H74*OFFSET(ORÇAMENTO!$X$15,ROW(AT74)-ROW(AT$15),0),
              ROUND(ROUND(OFFSET($P74,0,AT$13),15-13*ORÇAMENTO!$AF$7)*OFFSET(ORÇAMENTO!$W$15,ROW(AT74)-ROW(AT$15),0),15-13*ORÇAMENTO!$AF$11)),
         0)</f>
        <v>0</v>
      </c>
      <c r="AU74" s="453">
        <f ca="1">IF(AND($D74="Serviço",AU$12&lt;&gt;0,$H74&gt;0,OR(AUTOEVENTO&lt;&gt;"manual",$M74&lt;&gt;$A$15)),
        IF(Import.TipoArredondamento&lt;&gt;"TransfereGOV",
              ROUND(OFFSET($P74,0,AU$13),15-13*ORÇAMENTO!$AF$7)/$H74*OFFSET(ORÇAMENTO!$X$15,ROW(AU74)-ROW(AU$15),0),
              ROUND(ROUND(OFFSET($P74,0,AU$13),15-13*ORÇAMENTO!$AF$7)*OFFSET(ORÇAMENTO!$W$15,ROW(AU74)-ROW(AU$15),0),15-13*ORÇAMENTO!$AF$11)),
         0)</f>
        <v>0</v>
      </c>
      <c r="AV74" s="453">
        <f ca="1">IF(AND($D74="Serviço",AV$12&lt;&gt;0,$H74&gt;0,OR(AUTOEVENTO&lt;&gt;"manual",$M74&lt;&gt;$A$15)),
        IF(Import.TipoArredondamento&lt;&gt;"TransfereGOV",
              ROUND(OFFSET($P74,0,AV$13),15-13*ORÇAMENTO!$AF$7)/$H74*OFFSET(ORÇAMENTO!$X$15,ROW(AV74)-ROW(AV$15),0),
              ROUND(ROUND(OFFSET($P74,0,AV$13),15-13*ORÇAMENTO!$AF$7)*OFFSET(ORÇAMENTO!$W$15,ROW(AV74)-ROW(AV$15),0),15-13*ORÇAMENTO!$AF$11)),
         0)</f>
        <v>0</v>
      </c>
      <c r="AW74" s="453">
        <f ca="1">IF(AND($D74="Serviço",AW$12&lt;&gt;0,$H74&gt;0,OR(AUTOEVENTO&lt;&gt;"manual",$M74&lt;&gt;$A$15)),
        IF(Import.TipoArredondamento&lt;&gt;"TransfereGOV",
              ROUND(OFFSET($P74,0,AW$13),15-13*ORÇAMENTO!$AF$7)/$H74*OFFSET(ORÇAMENTO!$X$15,ROW(AW74)-ROW(AW$15),0),
              ROUND(ROUND(OFFSET($P74,0,AW$13),15-13*ORÇAMENTO!$AF$7)*OFFSET(ORÇAMENTO!$W$15,ROW(AW74)-ROW(AW$15),0),15-13*ORÇAMENTO!$AF$11)),
         0)</f>
        <v>0</v>
      </c>
      <c r="AX74" s="453">
        <f ca="1">IF(AND($D74="Serviço",AX$12&lt;&gt;0,$H74&gt;0,OR(AUTOEVENTO&lt;&gt;"manual",$M74&lt;&gt;$A$15)),
        IF(Import.TipoArredondamento&lt;&gt;"TransfereGOV",
              ROUND(OFFSET($P74,0,AX$13),15-13*ORÇAMENTO!$AF$7)/$H74*OFFSET(ORÇAMENTO!$X$15,ROW(AX74)-ROW(AX$15),0),
              ROUND(ROUND(OFFSET($P74,0,AX$13),15-13*ORÇAMENTO!$AF$7)*OFFSET(ORÇAMENTO!$W$15,ROW(AX74)-ROW(AX$15),0),15-13*ORÇAMENTO!$AF$11)),
         0)</f>
        <v>0</v>
      </c>
      <c r="AY74" s="453">
        <f ca="1">IF(AND($D74="Serviço",AY$12&lt;&gt;0,$H74&gt;0,OR(AUTOEVENTO&lt;&gt;"manual",$M74&lt;&gt;$A$15)),
        IF(Import.TipoArredondamento&lt;&gt;"TransfereGOV",
              ROUND(OFFSET($P74,0,AY$13),15-13*ORÇAMENTO!$AF$7)/$H74*OFFSET(ORÇAMENTO!$X$15,ROW(AY74)-ROW(AY$15),0),
              ROUND(ROUND(OFFSET($P74,0,AY$13),15-13*ORÇAMENTO!$AF$7)*OFFSET(ORÇAMENTO!$W$15,ROW(AY74)-ROW(AY$15),0),15-13*ORÇAMENTO!$AF$11)),
         0)</f>
        <v>0</v>
      </c>
      <c r="AZ74" s="453">
        <f ca="1">IF(AND($D74="Serviço",AZ$12&lt;&gt;0,$H74&gt;0,OR(AUTOEVENTO&lt;&gt;"manual",$M74&lt;&gt;$A$15)),
        IF(Import.TipoArredondamento&lt;&gt;"TransfereGOV",
              ROUND(OFFSET($P74,0,AZ$13),15-13*ORÇAMENTO!$AF$7)/$H74*OFFSET(ORÇAMENTO!$X$15,ROW(AZ74)-ROW(AZ$15),0),
              ROUND(ROUND(OFFSET($P74,0,AZ$13),15-13*ORÇAMENTO!$AF$7)*OFFSET(ORÇAMENTO!$W$15,ROW(AZ74)-ROW(AZ$15),0),15-13*ORÇAMENTO!$AF$11)),
         0)</f>
        <v>0</v>
      </c>
      <c r="BA74" s="453">
        <f ca="1">IF(AND($D74="Serviço",BA$12&lt;&gt;0,$H74&gt;0,OR(AUTOEVENTO&lt;&gt;"manual",$M74&lt;&gt;$A$15)),
        IF(Import.TipoArredondamento&lt;&gt;"TransfereGOV",
              ROUND(OFFSET($P74,0,BA$13),15-13*ORÇAMENTO!$AF$7)/$H74*OFFSET(ORÇAMENTO!$X$15,ROW(BA74)-ROW(BA$15),0),
              ROUND(ROUND(OFFSET($P74,0,BA$13),15-13*ORÇAMENTO!$AF$7)*OFFSET(ORÇAMENTO!$W$15,ROW(BA74)-ROW(BA$15),0),15-13*ORÇAMENTO!$AF$11)),
         0)</f>
        <v>0</v>
      </c>
      <c r="BB74" s="453">
        <f ca="1">IF(AND($D74="Serviço",BB$12&lt;&gt;0,$H74&gt;0,OR(AUTOEVENTO&lt;&gt;"manual",$M74&lt;&gt;$A$15)),
        IF(Import.TipoArredondamento&lt;&gt;"TransfereGOV",
              ROUND(OFFSET($P74,0,BB$13),15-13*ORÇAMENTO!$AF$7)/$H74*OFFSET(ORÇAMENTO!$X$15,ROW(BB74)-ROW(BB$15),0),
              ROUND(ROUND(OFFSET($P74,0,BB$13),15-13*ORÇAMENTO!$AF$7)*OFFSET(ORÇAMENTO!$W$15,ROW(BB74)-ROW(BB$15),0),15-13*ORÇAMENTO!$AF$11)),
         0)</f>
        <v>0</v>
      </c>
      <c r="BC74" s="453">
        <f ca="1">IF(AND($D74="Serviço",BC$12&lt;&gt;0,$H74&gt;0,OR(AUTOEVENTO&lt;&gt;"manual",$M74&lt;&gt;$A$15)),
        IF(Import.TipoArredondamento&lt;&gt;"TransfereGOV",
              ROUND(OFFSET($P74,0,BC$13),15-13*ORÇAMENTO!$AF$7)/$H74*OFFSET(ORÇAMENTO!$X$15,ROW(BC74)-ROW(BC$15),0),
              ROUND(ROUND(OFFSET($P74,0,BC$13),15-13*ORÇAMENTO!$AF$7)*OFFSET(ORÇAMENTO!$W$15,ROW(BC74)-ROW(BC$15),0),15-13*ORÇAMENTO!$AF$11)),
         0)</f>
        <v>0</v>
      </c>
      <c r="BD74" s="453">
        <f ca="1">IF(AND($D74="Serviço",BD$12&lt;&gt;0,$H74&gt;0,OR(AUTOEVENTO&lt;&gt;"manual",$M74&lt;&gt;$A$15)),
        IF(Import.TipoArredondamento&lt;&gt;"TransfereGOV",
              ROUND(OFFSET($P74,0,BD$13),15-13*ORÇAMENTO!$AF$7)/$H74*OFFSET(ORÇAMENTO!$X$15,ROW(BD74)-ROW(BD$15),0),
              ROUND(ROUND(OFFSET($P74,0,BD$13),15-13*ORÇAMENTO!$AF$7)*OFFSET(ORÇAMENTO!$W$15,ROW(BD74)-ROW(BD$15),0),15-13*ORÇAMENTO!$AF$11)),
         0)</f>
        <v>0</v>
      </c>
      <c r="BE74" s="453">
        <f ca="1">IF(AND($D74="Serviço",BE$12&lt;&gt;0,$H74&gt;0,OR(AUTOEVENTO&lt;&gt;"manual",$M74&lt;&gt;$A$15)),
        IF(Import.TipoArredondamento&lt;&gt;"TransfereGOV",
              ROUND(OFFSET($P74,0,BE$13),15-13*ORÇAMENTO!$AF$7)/$H74*OFFSET(ORÇAMENTO!$X$15,ROW(BE74)-ROW(BE$15),0),
              ROUND(ROUND(OFFSET($P74,0,BE$13),15-13*ORÇAMENTO!$AF$7)*OFFSET(ORÇAMENTO!$W$15,ROW(BE74)-ROW(BE$15),0),15-13*ORÇAMENTO!$AF$11)),
         0)</f>
        <v>0</v>
      </c>
      <c r="BF74" s="453">
        <f ca="1">IF(AND($D74="Serviço",BF$12&lt;&gt;0,$H74&gt;0,OR(AUTOEVENTO&lt;&gt;"manual",$M74&lt;&gt;$A$15)),
        IF(Import.TipoArredondamento&lt;&gt;"TransfereGOV",
              ROUND(OFFSET($P74,0,BF$13),15-13*ORÇAMENTO!$AF$7)/$H74*OFFSET(ORÇAMENTO!$X$15,ROW(BF74)-ROW(BF$15),0),
              ROUND(ROUND(OFFSET($P74,0,BF$13),15-13*ORÇAMENTO!$AF$7)*OFFSET(ORÇAMENTO!$W$15,ROW(BF74)-ROW(BF$15),0),15-13*ORÇAMENTO!$AF$11)),
         0)</f>
        <v>0</v>
      </c>
      <c r="BG74" s="453">
        <f ca="1">IF(AND($D74="Serviço",BG$12&lt;&gt;0,$H74&gt;0,OR(AUTOEVENTO&lt;&gt;"manual",$M74&lt;&gt;$A$15)),
        IF(Import.TipoArredondamento&lt;&gt;"TransfereGOV",
              ROUND(OFFSET($P74,0,BG$13),15-13*ORÇAMENTO!$AF$7)/$H74*OFFSET(ORÇAMENTO!$X$15,ROW(BG74)-ROW(BG$15),0),
              ROUND(ROUND(OFFSET($P74,0,BG$13),15-13*ORÇAMENTO!$AF$7)*OFFSET(ORÇAMENTO!$W$15,ROW(BG74)-ROW(BG$15),0),15-13*ORÇAMENTO!$AF$11)),
         0)</f>
        <v>0</v>
      </c>
      <c r="BH74" s="453">
        <f ca="1">IF(AND($D74="Serviço",BH$12&lt;&gt;0,$H74&gt;0,OR(AUTOEVENTO&lt;&gt;"manual",$M74&lt;&gt;$A$15)),
        IF(Import.TipoArredondamento&lt;&gt;"TransfereGOV",
              ROUND(OFFSET($P74,0,BH$13),15-13*ORÇAMENTO!$AF$7)/$H74*OFFSET(ORÇAMENTO!$X$15,ROW(BH74)-ROW(BH$15),0),
              ROUND(ROUND(OFFSET($P74,0,BH$13),15-13*ORÇAMENTO!$AF$7)*OFFSET(ORÇAMENTO!$W$15,ROW(BH74)-ROW(BH$15),0),15-13*ORÇAMENTO!$AF$11)),
         0)</f>
        <v>0</v>
      </c>
      <c r="BI74" s="453">
        <f ca="1">IF(AND($D74="Serviço",BI$12&lt;&gt;0,$H74&gt;0,OR(AUTOEVENTO&lt;&gt;"manual",$M74&lt;&gt;$A$15)),
        IF(Import.TipoArredondamento&lt;&gt;"TransfereGOV",
              ROUND(OFFSET($P74,0,BI$13),15-13*ORÇAMENTO!$AF$7)/$H74*OFFSET(ORÇAMENTO!$X$15,ROW(BI74)-ROW(BI$15),0),
              ROUND(ROUND(OFFSET($P74,0,BI$13),15-13*ORÇAMENTO!$AF$7)*OFFSET(ORÇAMENTO!$W$15,ROW(BI74)-ROW(BI$15),0),15-13*ORÇAMENTO!$AF$11)),
         0)</f>
        <v>0</v>
      </c>
      <c r="BJ74" s="453">
        <f ca="1">IF(AND($D74="Serviço",BJ$12&lt;&gt;0,$H74&gt;0,OR(AUTOEVENTO&lt;&gt;"manual",$M74&lt;&gt;$A$15)),
        IF(Import.TipoArredondamento&lt;&gt;"TransfereGOV",
              ROUND(OFFSET($P74,0,BJ$13),15-13*ORÇAMENTO!$AF$7)/$H74*OFFSET(ORÇAMENTO!$X$15,ROW(BJ74)-ROW(BJ$15),0),
              ROUND(ROUND(OFFSET($P74,0,BJ$13),15-13*ORÇAMENTO!$AF$7)*OFFSET(ORÇAMENTO!$W$15,ROW(BJ74)-ROW(BJ$15),0),15-13*ORÇAMENTO!$AF$11)),
         0)</f>
        <v>0</v>
      </c>
      <c r="BK74" s="453">
        <f ca="1">IF(AND($D74="Serviço",BK$12&lt;&gt;0,$H74&gt;0,OR(AUTOEVENTO&lt;&gt;"manual",$M74&lt;&gt;$A$15)),
        IF(Import.TipoArredondamento&lt;&gt;"TransfereGOV",
              ROUND(OFFSET($P74,0,BK$13),15-13*ORÇAMENTO!$AF$7)/$H74*OFFSET(ORÇAMENTO!$X$15,ROW(BK74)-ROW(BK$15),0),
              ROUND(ROUND(OFFSET($P74,0,BK$13),15-13*ORÇAMENTO!$AF$7)*OFFSET(ORÇAMENTO!$W$15,ROW(BK74)-ROW(BK$15),0),15-13*ORÇAMENTO!$AF$11)),
         0)</f>
        <v>0</v>
      </c>
      <c r="BL74" s="453">
        <f ca="1">IF(AND($D74="Serviço",BL$12&lt;&gt;0,$H74&gt;0,OR(AUTOEVENTO&lt;&gt;"manual",$M74&lt;&gt;$A$15)),
        IF(Import.TipoArredondamento&lt;&gt;"TransfereGOV",
              ROUND(OFFSET($P74,0,BL$13),15-13*ORÇAMENTO!$AF$7)/$H74*OFFSET(ORÇAMENTO!$X$15,ROW(BL74)-ROW(BL$15),0),
              ROUND(ROUND(OFFSET($P74,0,BL$13),15-13*ORÇAMENTO!$AF$7)*OFFSET(ORÇAMENTO!$W$15,ROW(BL74)-ROW(BL$15),0),15-13*ORÇAMENTO!$AF$11)),
         0)</f>
        <v>0</v>
      </c>
      <c r="BM74" s="453">
        <f ca="1">IF(AND($D74="Serviço",BM$12&lt;&gt;0,$H74&gt;0,OR(AUTOEVENTO&lt;&gt;"manual",$M74&lt;&gt;$A$15)),
        IF(Import.TipoArredondamento&lt;&gt;"TransfereGOV",
              ROUND(OFFSET($P74,0,BM$13),15-13*ORÇAMENTO!$AF$7)/$H74*OFFSET(ORÇAMENTO!$X$15,ROW(BM74)-ROW(BM$15),0),
              ROUND(ROUND(OFFSET($P74,0,BM$13),15-13*ORÇAMENTO!$AF$7)*OFFSET(ORÇAMENTO!$W$15,ROW(BM74)-ROW(BM$15),0),15-13*ORÇAMENTO!$AF$11)),
         0)</f>
        <v>0</v>
      </c>
      <c r="BN74" s="453">
        <f ca="1">IF(AND($D74="Serviço",BN$12&lt;&gt;0,$H74&gt;0,OR(AUTOEVENTO&lt;&gt;"manual",$M74&lt;&gt;$A$15)),
        IF(Import.TipoArredondamento&lt;&gt;"TransfereGOV",
              ROUND(OFFSET($P74,0,BN$13),15-13*ORÇAMENTO!$AF$7)/$H74*OFFSET(ORÇAMENTO!$X$15,ROW(BN74)-ROW(BN$15),0),
              ROUND(ROUND(OFFSET($P74,0,BN$13),15-13*ORÇAMENTO!$AF$7)*OFFSET(ORÇAMENTO!$W$15,ROW(BN74)-ROW(BN$15),0),15-13*ORÇAMENTO!$AF$11)),
         0)</f>
        <v>0</v>
      </c>
      <c r="BO74" s="453">
        <f ca="1">IF(AND($D74="Serviço",BO$12&lt;&gt;0,$H74&gt;0,OR(AUTOEVENTO&lt;&gt;"manual",$M74&lt;&gt;$A$15)),
        IF(Import.TipoArredondamento&lt;&gt;"TransfereGOV",
              ROUND(OFFSET($P74,0,BO$13),15-13*ORÇAMENTO!$AF$7)/$H74*OFFSET(ORÇAMENTO!$X$15,ROW(BO74)-ROW(BO$15),0),
              ROUND(ROUND(OFFSET($P74,0,BO$13),15-13*ORÇAMENTO!$AF$7)*OFFSET(ORÇAMENTO!$W$15,ROW(BO74)-ROW(BO$15),0),15-13*ORÇAMENTO!$AF$11)),
         0)</f>
        <v>0</v>
      </c>
      <c r="BP74" s="453">
        <f ca="1">IF(AND($D74="Serviço",BP$12&lt;&gt;0,$H74&gt;0,OR(AUTOEVENTO&lt;&gt;"manual",$M74&lt;&gt;$A$15)),
        IF(Import.TipoArredondamento&lt;&gt;"TransfereGOV",
              ROUND(OFFSET($P74,0,BP$13),15-13*ORÇAMENTO!$AF$7)/$H74*OFFSET(ORÇAMENTO!$X$15,ROW(BP74)-ROW(BP$15),0),
              ROUND(ROUND(OFFSET($P74,0,BP$13),15-13*ORÇAMENTO!$AF$7)*OFFSET(ORÇAMENTO!$W$15,ROW(BP74)-ROW(BP$15),0),15-13*ORÇAMENTO!$AF$11)),
         0)</f>
        <v>0</v>
      </c>
      <c r="BQ74" s="453">
        <f ca="1">IF(AND($D74="Serviço",BQ$12&lt;&gt;0,$H74&gt;0,OR(AUTOEVENTO&lt;&gt;"manual",$M74&lt;&gt;$A$15)),
        IF(Import.TipoArredondamento&lt;&gt;"TransfereGOV",
              ROUND(OFFSET($P74,0,BQ$13),15-13*ORÇAMENTO!$AF$7)/$H74*OFFSET(ORÇAMENTO!$X$15,ROW(BQ74)-ROW(BQ$15),0),
              ROUND(ROUND(OFFSET($P74,0,BQ$13),15-13*ORÇAMENTO!$AF$7)*OFFSET(ORÇAMENTO!$W$15,ROW(BQ74)-ROW(BQ$15),0),15-13*ORÇAMENTO!$AF$11)),
         0)</f>
        <v>0</v>
      </c>
      <c r="BS74" s="171">
        <f ca="1">IF(OR($D74&lt;&gt;"Serviço",AND(AUTOEVENTO="Manual",$M74=$A$15)),0,
         IF(OFFSET(CRONOPLE!$F$15,$M74-$A$15,BS$13)=0,10^12,OFFSET(CRONOPLE!$F$15,$M74-$A$15,BS$13)))</f>
        <v>1</v>
      </c>
      <c r="BT74" s="171">
        <f ca="1">IF(OR($D74&lt;&gt;"Serviço",AND(AUTOEVENTO="Manual",$M74=$A$15)),0,
         IF(OFFSET(CRONOPLE!$F$15,$M74-$A$15,BT$13)=0,10^12,OFFSET(CRONOPLE!$F$15,$M74-$A$15,BT$13)))</f>
        <v>2</v>
      </c>
      <c r="BU74" s="171">
        <f ca="1">IF(OR($D74&lt;&gt;"Serviço",AND(AUTOEVENTO="Manual",$M74=$A$15)),0,
         IF(OFFSET(CRONOPLE!$F$15,$M74-$A$15,BU$13)=0,10^12,OFFSET(CRONOPLE!$F$15,$M74-$A$15,BU$13)))</f>
        <v>3</v>
      </c>
      <c r="BV74" s="171">
        <f ca="1">IF(OR($D74&lt;&gt;"Serviço",AND(AUTOEVENTO="Manual",$M74=$A$15)),0,
         IF(OFFSET(CRONOPLE!$F$15,$M74-$A$15,BV$13)=0,10^12,OFFSET(CRONOPLE!$F$15,$M74-$A$15,BV$13)))</f>
        <v>4</v>
      </c>
      <c r="BW74" s="171">
        <f ca="1">IF(OR($D74&lt;&gt;"Serviço",AND(AUTOEVENTO="Manual",$M74=$A$15)),0,
         IF(OFFSET(CRONOPLE!$F$15,$M74-$A$15,BW$13)=0,10^12,OFFSET(CRONOPLE!$F$15,$M74-$A$15,BW$13)))</f>
        <v>5</v>
      </c>
      <c r="BX74" s="171">
        <f ca="1">IF(OR($D74&lt;&gt;"Serviço",AND(AUTOEVENTO="Manual",$M74=$A$15)),0,
         IF(OFFSET(CRONOPLE!$F$15,$M74-$A$15,BX$13)=0,10^12,OFFSET(CRONOPLE!$F$15,$M74-$A$15,BX$13)))</f>
        <v>6</v>
      </c>
      <c r="BY74" s="171">
        <f ca="1">IF(OR($D74&lt;&gt;"Serviço",AND(AUTOEVENTO="Manual",$M74=$A$15)),0,
         IF(OFFSET(CRONOPLE!$F$15,$M74-$A$15,BY$13)=0,10^12,OFFSET(CRONOPLE!$F$15,$M74-$A$15,BY$13)))</f>
        <v>7</v>
      </c>
      <c r="BZ74" s="171">
        <f ca="1">IF(OR($D74&lt;&gt;"Serviço",AND(AUTOEVENTO="Manual",$M74=$A$15)),0,
         IF(OFFSET(CRONOPLE!$F$15,$M74-$A$15,BZ$13)=0,10^12,OFFSET(CRONOPLE!$F$15,$M74-$A$15,BZ$13)))</f>
        <v>8</v>
      </c>
      <c r="CA74" s="171">
        <f ca="1">IF(OR($D74&lt;&gt;"Serviço",AND(AUTOEVENTO="Manual",$M74=$A$15)),0,
         IF(OFFSET(CRONOPLE!$F$15,$M74-$A$15,CA$13)=0,10^12,OFFSET(CRONOPLE!$F$15,$M74-$A$15,CA$13)))</f>
        <v>9</v>
      </c>
      <c r="CB74" s="171">
        <f ca="1">IF(OR($D74&lt;&gt;"Serviço",AND(AUTOEVENTO="Manual",$M74=$A$15)),0,
         IF(OFFSET(CRONOPLE!$F$15,$M74-$A$15,CB$13)=0,10^12,OFFSET(CRONOPLE!$F$15,$M74-$A$15,CB$13)))</f>
        <v>10</v>
      </c>
      <c r="CC74" s="171">
        <f ca="1">IF(OR($D74&lt;&gt;"Serviço",AND(AUTOEVENTO="Manual",$M74=$A$15)),0,
         IF(OFFSET(CRONOPLE!$F$15,$M74-$A$15,CC$13)=0,10^12,OFFSET(CRONOPLE!$F$15,$M74-$A$15,CC$13)))</f>
        <v>11</v>
      </c>
      <c r="CD74" s="171">
        <f ca="1">IF(OR($D74&lt;&gt;"Serviço",AND(AUTOEVENTO="Manual",$M74=$A$15)),0,
         IF(OFFSET(CRONOPLE!$F$15,$M74-$A$15,CD$13)=0,10^12,OFFSET(CRONOPLE!$F$15,$M74-$A$15,CD$13)))</f>
        <v>12</v>
      </c>
      <c r="CE74" s="171">
        <f ca="1">IF(OR($D74&lt;&gt;"Serviço",AND(AUTOEVENTO="Manual",$M74=$A$15)),0,
         IF(OFFSET(CRONOPLE!$F$15,$M74-$A$15,CE$13)=0,10^12,OFFSET(CRONOPLE!$F$15,$M74-$A$15,CE$13)))</f>
        <v>13</v>
      </c>
      <c r="CF74" s="171">
        <f ca="1">IF(OR($D74&lt;&gt;"Serviço",AND(AUTOEVENTO="Manual",$M74=$A$15)),0,
         IF(OFFSET(CRONOPLE!$F$15,$M74-$A$15,CF$13)=0,10^12,OFFSET(CRONOPLE!$F$15,$M74-$A$15,CF$13)))</f>
        <v>14</v>
      </c>
      <c r="CG74" s="171">
        <f ca="1">IF(OR($D74&lt;&gt;"Serviço",AND(AUTOEVENTO="Manual",$M74=$A$15)),0,
         IF(OFFSET(CRONOPLE!$F$15,$M74-$A$15,CG$13)=0,10^12,OFFSET(CRONOPLE!$F$15,$M74-$A$15,CG$13)))</f>
        <v>15</v>
      </c>
      <c r="CH74" s="171">
        <f ca="1">IF(OR($D74&lt;&gt;"Serviço",AND(AUTOEVENTO="Manual",$M74=$A$15)),0,
         IF(OFFSET(CRONOPLE!$F$15,$M74-$A$15,CH$13)=0,10^12,OFFSET(CRONOPLE!$F$15,$M74-$A$15,CH$13)))</f>
        <v>16</v>
      </c>
      <c r="CI74" s="171">
        <f ca="1">IF(OR($D74&lt;&gt;"Serviço",AND(AUTOEVENTO="Manual",$M74=$A$15)),0,
         IF(OFFSET(CRONOPLE!$F$15,$M74-$A$15,CI$13)=0,10^12,OFFSET(CRONOPLE!$F$15,$M74-$A$15,CI$13)))</f>
        <v>17</v>
      </c>
      <c r="CJ74" s="171">
        <f ca="1">IF(OR($D74&lt;&gt;"Serviço",AND(AUTOEVENTO="Manual",$M74=$A$15)),0,
         IF(OFFSET(CRONOPLE!$F$15,$M74-$A$15,CJ$13)=0,10^12,OFFSET(CRONOPLE!$F$15,$M74-$A$15,CJ$13)))</f>
        <v>18</v>
      </c>
      <c r="CK74" s="171">
        <f ca="1">IF(OR($D74&lt;&gt;"Serviço",AND(AUTOEVENTO="Manual",$M74=$A$15)),0,
         IF(OFFSET(CRONOPLE!$F$15,$M74-$A$15,CK$13)=0,10^12,OFFSET(CRONOPLE!$F$15,$M74-$A$15,CK$13)))</f>
        <v>19</v>
      </c>
      <c r="CL74" s="171">
        <f ca="1">IF(OR($D74&lt;&gt;"Serviço",AND(AUTOEVENTO="Manual",$M74=$A$15)),0,
         IF(OFFSET(CRONOPLE!$F$15,$M74-$A$15,CL$13)=0,10^12,OFFSET(CRONOPLE!$F$15,$M74-$A$15,CL$13)))</f>
        <v>20</v>
      </c>
      <c r="CM74" s="171">
        <f ca="1">IF(OR($D74&lt;&gt;"Serviço",AND(AUTOEVENTO="Manual",$M74=$A$15)),0,
         IF(OFFSET(CRONOPLE!$F$15,$M74-$A$15,CM$13)=0,10^12,OFFSET(CRONOPLE!$F$15,$M74-$A$15,CM$13)))</f>
        <v>1000000000000</v>
      </c>
      <c r="CN74" s="171">
        <f ca="1">IF(OR($D74&lt;&gt;"Serviço",AND(AUTOEVENTO="Manual",$M74=$A$15)),0,
         IF(OFFSET(CRONOPLE!$F$15,$M74-$A$15,CN$13)=0,10^12,OFFSET(CRONOPLE!$F$15,$M74-$A$15,CN$13)))</f>
        <v>1000000000000</v>
      </c>
      <c r="CO74" s="171">
        <f ca="1">IF(OR($D74&lt;&gt;"Serviço",AND(AUTOEVENTO="Manual",$M74=$A$15)),0,
         IF(OFFSET(CRONOPLE!$F$15,$M74-$A$15,CO$13)=0,10^12,OFFSET(CRONOPLE!$F$15,$M74-$A$15,CO$13)))</f>
        <v>1000000000000</v>
      </c>
      <c r="CP74" s="171">
        <f ca="1">IF(OR($D74&lt;&gt;"Serviço",AND(AUTOEVENTO="Manual",$M74=$A$15)),0,
         IF(OFFSET(CRONOPLE!$F$15,$M74-$A$15,CP$13)=0,10^12,OFFSET(CRONOPLE!$F$15,$M74-$A$15,CP$13)))</f>
        <v>1000000000000</v>
      </c>
      <c r="CQ74" s="171">
        <f ca="1">IF(OR($D74&lt;&gt;"Serviço",AND(AUTOEVENTO="Manual",$M74=$A$15)),0,
         IF(OFFSET(CRONOPLE!$F$15,$M74-$A$15,CQ$13)=0,10^12,OFFSET(CRONOPLE!$F$15,$M74-$A$15,CQ$13)))</f>
        <v>1000000000000</v>
      </c>
      <c r="CR74" s="171">
        <f ca="1">IF(OR($D74&lt;&gt;"Serviço",AND(AUTOEVENTO="Manual",$M74=$A$15)),0,
         IF(OFFSET(CRONOPLE!$F$15,$M74-$A$15,CR$13)=0,10^12,OFFSET(CRONOPLE!$F$15,$M74-$A$15,CR$13)))</f>
        <v>1000000000000</v>
      </c>
      <c r="CT74" s="172" cm="1">
        <f t="array" aca="1" ref="CT74" ca="1">IF(OR($D74&lt;&gt;"Serviço",AND(AUTOEVENTO="Manual",$M74=$A$15),$M74&gt;(ROW(PLE.lastrow)-ROW(PLE.firstrow))),0,
           IF(OFFSET(PLE!$G$15,$M74-$A$15,CT$13)="",10^12,OFFSET(PLE!$G$15,$M74-$A$15,CT$13)))</f>
        <v>1000000000000</v>
      </c>
      <c r="CU74" s="172" cm="1">
        <f t="array" aca="1" ref="CU74" ca="1">IF(OR($D74&lt;&gt;"Serviço",AND(AUTOEVENTO="Manual",$M74=$A$15),$M74&gt;(ROW(PLE.lastrow)-ROW(PLE.firstrow))),0,
           IF(OFFSET(PLE!$G$15,$M74-$A$15,CU$13)="",10^12,OFFSET(PLE!$G$15,$M74-$A$15,CU$13)))</f>
        <v>1000000000000</v>
      </c>
      <c r="CV74" s="172" cm="1">
        <f t="array" aca="1" ref="CV74" ca="1">IF(OR($D74&lt;&gt;"Serviço",AND(AUTOEVENTO="Manual",$M74=$A$15),$M74&gt;(ROW(PLE.lastrow)-ROW(PLE.firstrow))),0,
           IF(OFFSET(PLE!$G$15,$M74-$A$15,CV$13)="",10^12,OFFSET(PLE!$G$15,$M74-$A$15,CV$13)))</f>
        <v>1000000000000</v>
      </c>
      <c r="CW74" s="172" cm="1">
        <f t="array" aca="1" ref="CW74" ca="1">IF(OR($D74&lt;&gt;"Serviço",AND(AUTOEVENTO="Manual",$M74=$A$15),$M74&gt;(ROW(PLE.lastrow)-ROW(PLE.firstrow))),0,
           IF(OFFSET(PLE!$G$15,$M74-$A$15,CW$13)="",10^12,OFFSET(PLE!$G$15,$M74-$A$15,CW$13)))</f>
        <v>1000000000000</v>
      </c>
      <c r="CX74" s="172" cm="1">
        <f t="array" aca="1" ref="CX74" ca="1">IF(OR($D74&lt;&gt;"Serviço",AND(AUTOEVENTO="Manual",$M74=$A$15),$M74&gt;(ROW(PLE.lastrow)-ROW(PLE.firstrow))),0,
           IF(OFFSET(PLE!$G$15,$M74-$A$15,CX$13)="",10^12,OFFSET(PLE!$G$15,$M74-$A$15,CX$13)))</f>
        <v>1000000000000</v>
      </c>
      <c r="CY74" s="172" cm="1">
        <f t="array" aca="1" ref="CY74" ca="1">IF(OR($D74&lt;&gt;"Serviço",AND(AUTOEVENTO="Manual",$M74=$A$15),$M74&gt;(ROW(PLE.lastrow)-ROW(PLE.firstrow))),0,
           IF(OFFSET(PLE!$G$15,$M74-$A$15,CY$13)="",10^12,OFFSET(PLE!$G$15,$M74-$A$15,CY$13)))</f>
        <v>1000000000000</v>
      </c>
      <c r="CZ74" s="172" cm="1">
        <f t="array" aca="1" ref="CZ74" ca="1">IF(OR($D74&lt;&gt;"Serviço",AND(AUTOEVENTO="Manual",$M74=$A$15),$M74&gt;(ROW(PLE.lastrow)-ROW(PLE.firstrow))),0,
           IF(OFFSET(PLE!$G$15,$M74-$A$15,CZ$13)="",10^12,OFFSET(PLE!$G$15,$M74-$A$15,CZ$13)))</f>
        <v>1000000000000</v>
      </c>
      <c r="DA74" s="172" cm="1">
        <f t="array" aca="1" ref="DA74" ca="1">IF(OR($D74&lt;&gt;"Serviço",AND(AUTOEVENTO="Manual",$M74=$A$15),$M74&gt;(ROW(PLE.lastrow)-ROW(PLE.firstrow))),0,
           IF(OFFSET(PLE!$G$15,$M74-$A$15,DA$13)="",10^12,OFFSET(PLE!$G$15,$M74-$A$15,DA$13)))</f>
        <v>1000000000000</v>
      </c>
      <c r="DB74" s="172" cm="1">
        <f t="array" aca="1" ref="DB74" ca="1">IF(OR($D74&lt;&gt;"Serviço",AND(AUTOEVENTO="Manual",$M74=$A$15),$M74&gt;(ROW(PLE.lastrow)-ROW(PLE.firstrow))),0,
           IF(OFFSET(PLE!$G$15,$M74-$A$15,DB$13)="",10^12,OFFSET(PLE!$G$15,$M74-$A$15,DB$13)))</f>
        <v>1000000000000</v>
      </c>
      <c r="DC74" s="172" cm="1">
        <f t="array" aca="1" ref="DC74" ca="1">IF(OR($D74&lt;&gt;"Serviço",AND(AUTOEVENTO="Manual",$M74=$A$15),$M74&gt;(ROW(PLE.lastrow)-ROW(PLE.firstrow))),0,
           IF(OFFSET(PLE!$G$15,$M74-$A$15,DC$13)="",10^12,OFFSET(PLE!$G$15,$M74-$A$15,DC$13)))</f>
        <v>1000000000000</v>
      </c>
      <c r="DD74" s="172" cm="1">
        <f t="array" aca="1" ref="DD74" ca="1">IF(OR($D74&lt;&gt;"Serviço",AND(AUTOEVENTO="Manual",$M74=$A$15),$M74&gt;(ROW(PLE.lastrow)-ROW(PLE.firstrow))),0,
           IF(OFFSET(PLE!$G$15,$M74-$A$15,DD$13)="",10^12,OFFSET(PLE!$G$15,$M74-$A$15,DD$13)))</f>
        <v>1000000000000</v>
      </c>
      <c r="DE74" s="172" cm="1">
        <f t="array" aca="1" ref="DE74" ca="1">IF(OR($D74&lt;&gt;"Serviço",AND(AUTOEVENTO="Manual",$M74=$A$15),$M74&gt;(ROW(PLE.lastrow)-ROW(PLE.firstrow))),0,
           IF(OFFSET(PLE!$G$15,$M74-$A$15,DE$13)="",10^12,OFFSET(PLE!$G$15,$M74-$A$15,DE$13)))</f>
        <v>1000000000000</v>
      </c>
      <c r="DF74" s="172" cm="1">
        <f t="array" aca="1" ref="DF74" ca="1">IF(OR($D74&lt;&gt;"Serviço",AND(AUTOEVENTO="Manual",$M74=$A$15),$M74&gt;(ROW(PLE.lastrow)-ROW(PLE.firstrow))),0,
           IF(OFFSET(PLE!$G$15,$M74-$A$15,DF$13)="",10^12,OFFSET(PLE!$G$15,$M74-$A$15,DF$13)))</f>
        <v>1000000000000</v>
      </c>
      <c r="DG74" s="172" cm="1">
        <f t="array" aca="1" ref="DG74" ca="1">IF(OR($D74&lt;&gt;"Serviço",AND(AUTOEVENTO="Manual",$M74=$A$15),$M74&gt;(ROW(PLE.lastrow)-ROW(PLE.firstrow))),0,
           IF(OFFSET(PLE!$G$15,$M74-$A$15,DG$13)="",10^12,OFFSET(PLE!$G$15,$M74-$A$15,DG$13)))</f>
        <v>1000000000000</v>
      </c>
      <c r="DH74" s="172" cm="1">
        <f t="array" aca="1" ref="DH74" ca="1">IF(OR($D74&lt;&gt;"Serviço",AND(AUTOEVENTO="Manual",$M74=$A$15),$M74&gt;(ROW(PLE.lastrow)-ROW(PLE.firstrow))),0,
           IF(OFFSET(PLE!$G$15,$M74-$A$15,DH$13)="",10^12,OFFSET(PLE!$G$15,$M74-$A$15,DH$13)))</f>
        <v>1000000000000</v>
      </c>
      <c r="DI74" s="172" cm="1">
        <f t="array" aca="1" ref="DI74" ca="1">IF(OR($D74&lt;&gt;"Serviço",AND(AUTOEVENTO="Manual",$M74=$A$15),$M74&gt;(ROW(PLE.lastrow)-ROW(PLE.firstrow))),0,
           IF(OFFSET(PLE!$G$15,$M74-$A$15,DI$13)="",10^12,OFFSET(PLE!$G$15,$M74-$A$15,DI$13)))</f>
        <v>1000000000000</v>
      </c>
      <c r="DJ74" s="172" cm="1">
        <f t="array" aca="1" ref="DJ74" ca="1">IF(OR($D74&lt;&gt;"Serviço",AND(AUTOEVENTO="Manual",$M74=$A$15),$M74&gt;(ROW(PLE.lastrow)-ROW(PLE.firstrow))),0,
           IF(OFFSET(PLE!$G$15,$M74-$A$15,DJ$13)="",10^12,OFFSET(PLE!$G$15,$M74-$A$15,DJ$13)))</f>
        <v>1000000000000</v>
      </c>
      <c r="DK74" s="172" cm="1">
        <f t="array" aca="1" ref="DK74" ca="1">IF(OR($D74&lt;&gt;"Serviço",AND(AUTOEVENTO="Manual",$M74=$A$15),$M74&gt;(ROW(PLE.lastrow)-ROW(PLE.firstrow))),0,
           IF(OFFSET(PLE!$G$15,$M74-$A$15,DK$13)="",10^12,OFFSET(PLE!$G$15,$M74-$A$15,DK$13)))</f>
        <v>1000000000000</v>
      </c>
      <c r="DL74" s="172" cm="1">
        <f t="array" aca="1" ref="DL74" ca="1">IF(OR($D74&lt;&gt;"Serviço",AND(AUTOEVENTO="Manual",$M74=$A$15),$M74&gt;(ROW(PLE.lastrow)-ROW(PLE.firstrow))),0,
           IF(OFFSET(PLE!$G$15,$M74-$A$15,DL$13)="",10^12,OFFSET(PLE!$G$15,$M74-$A$15,DL$13)))</f>
        <v>1000000000000</v>
      </c>
      <c r="DM74" s="172" cm="1">
        <f t="array" aca="1" ref="DM74" ca="1">IF(OR($D74&lt;&gt;"Serviço",AND(AUTOEVENTO="Manual",$M74=$A$15),$M74&gt;(ROW(PLE.lastrow)-ROW(PLE.firstrow))),0,
           IF(OFFSET(PLE!$G$15,$M74-$A$15,DM$13)="",10^12,OFFSET(PLE!$G$15,$M74-$A$15,DM$13)))</f>
        <v>1000000000000</v>
      </c>
      <c r="DN74" s="172" cm="1">
        <f t="array" aca="1" ref="DN74" ca="1">IF(OR($D74&lt;&gt;"Serviço",AND(AUTOEVENTO="Manual",$M74=$A$15),$M74&gt;(ROW(PLE.lastrow)-ROW(PLE.firstrow))),0,
           IF(OFFSET(PLE!$G$15,$M74-$A$15,DN$13)="",10^12,OFFSET(PLE!$G$15,$M74-$A$15,DN$13)))</f>
        <v>1000000000000</v>
      </c>
      <c r="DO74" s="172" cm="1">
        <f t="array" aca="1" ref="DO74" ca="1">IF(OR($D74&lt;&gt;"Serviço",AND(AUTOEVENTO="Manual",$M74=$A$15),$M74&gt;(ROW(PLE.lastrow)-ROW(PLE.firstrow))),0,
           IF(OFFSET(PLE!$G$15,$M74-$A$15,DO$13)="",10^12,OFFSET(PLE!$G$15,$M74-$A$15,DO$13)))</f>
        <v>1000000000000</v>
      </c>
      <c r="DP74" s="172" cm="1">
        <f t="array" aca="1" ref="DP74" ca="1">IF(OR($D74&lt;&gt;"Serviço",AND(AUTOEVENTO="Manual",$M74=$A$15),$M74&gt;(ROW(PLE.lastrow)-ROW(PLE.firstrow))),0,
           IF(OFFSET(PLE!$G$15,$M74-$A$15,DP$13)="",10^12,OFFSET(PLE!$G$15,$M74-$A$15,DP$13)))</f>
        <v>1000000000000</v>
      </c>
      <c r="DQ74" s="172" cm="1">
        <f t="array" aca="1" ref="DQ74" ca="1">IF(OR($D74&lt;&gt;"Serviço",AND(AUTOEVENTO="Manual",$M74=$A$15),$M74&gt;(ROW(PLE.lastrow)-ROW(PLE.firstrow))),0,
           IF(OFFSET(PLE!$G$15,$M74-$A$15,DQ$13)="",10^12,OFFSET(PLE!$G$15,$M74-$A$15,DQ$13)))</f>
        <v>1000000000000</v>
      </c>
      <c r="DR74" s="172" cm="1">
        <f t="array" aca="1" ref="DR74" ca="1">IF(OR($D74&lt;&gt;"Serviço",AND(AUTOEVENTO="Manual",$M74=$A$15),$M74&gt;(ROW(PLE.lastrow)-ROW(PLE.firstrow))),0,
           IF(OFFSET(PLE!$G$15,$M74-$A$15,DR$13)="",10^12,OFFSET(PLE!$G$15,$M74-$A$15,DR$13)))</f>
        <v>1000000000000</v>
      </c>
      <c r="DS74" s="172" cm="1">
        <f t="array" aca="1" ref="DS74" ca="1">IF(OR($D74&lt;&gt;"Serviço",AND(AUTOEVENTO="Manual",$M74=$A$15),$M74&gt;(ROW(PLE.lastrow)-ROW(PLE.firstrow))),0,
           IF(OFFSET(PLE!$G$15,$M74-$A$15,DS$13)="",10^12,OFFSET(PLE!$G$15,$M74-$A$15,DS$13)))</f>
        <v>1000000000000</v>
      </c>
    </row>
    <row r="75" spans="1:123" ht="12.75" x14ac:dyDescent="0.2">
      <c r="A75" s="7">
        <f t="shared" ca="1" si="11"/>
        <v>0</v>
      </c>
      <c r="B75" s="7">
        <f ca="1">OFFSET(ORÇAMENTO!C$15,$L75,0)</f>
        <v>1</v>
      </c>
      <c r="C75" s="7" t="str">
        <f ca="1">OFFSET(ORÇAMENTO!L$15,$L75,0)</f>
        <v>F</v>
      </c>
      <c r="D75" s="116" t="str">
        <f ca="1">OFFSET(ORÇAMENTO!N$15,$L75,0)</f>
        <v>Meta</v>
      </c>
      <c r="E75" s="117" t="str">
        <f ca="1">OFFSET(ORÇAMENTO!O$15,$L75,0)</f>
        <v>6.</v>
      </c>
      <c r="F75" s="163" t="str">
        <f ca="1">OFFSET(ORÇAMENTO!R$15,$L75,0)</f>
        <v>COBERTURA E PROTEÇÕES</v>
      </c>
      <c r="G75" s="164" t="str">
        <f ca="1">IF($D75&lt;&gt;"Serviço","",OFFSET(ORÇAMENTO!S$15,$L75,0))</f>
        <v/>
      </c>
      <c r="H75" s="122" cm="1">
        <f t="array" aca="1" ref="H75" ca="1">IF($D75&lt;&gt;"Serviço",0,IF(ACOMPANHAMENTO="BM",ROUND(OFFSET(ORÇAMENTO!AJ$15,$L75,0),15-13*ORÇAMENTO!$AF$7),IF(IFERROR(CÁLCULO.FrentesPreenchidas,0)=0,0,SUM(ROUND(OFFSET($P75,0,1,1,CÁLCULO.FrentesPreenchidas),15-13*ORÇAMENTO!$AF$7)))))</f>
        <v>0</v>
      </c>
      <c r="I75" s="468"/>
      <c r="J75" s="651" t="str" cm="1">
        <f t="array" aca="1" ref="J75" ca="1">IF(OR(B75&lt;&gt;"S",CÁLCULO.FrentesPreenchidas=0),"",IF(AND(ACOMPANHAMENTO="PLE",AUTOEVENTO="Manual",OR(H75&gt;0,ORÇAMENTO!AC75="QUANT."),OR(K75="",M75=0,N75="")),"►E",IF(AND(ACOMPANHAMENTO="PLE",ORÇAMENTO!AC75="QUANT."),"►Q",IF(AND(ACOMPANHAMENTO="PLE",H75&lt;&gt;SUMPRODUCT(($Q$1:$AQ$1=1)*ROUND(Q75:AQ75,15))),"►S",IF(AND(COUNTIF($P$11:$AQ$11,"▼")=0,H75&gt;0,I75=""),"◄M","")))))</f>
        <v/>
      </c>
      <c r="K75" s="652"/>
      <c r="L75" s="165">
        <f t="shared" ca="1" si="12"/>
        <v>60</v>
      </c>
      <c r="M75" s="166" t="str">
        <f ca="1">IF($D75&lt;&gt;"Serviço","",
          IF(AUTOEVENTO="manual",$A75,
                IF(ISERROR(MATCH($A75,$A$15:OFFSET($A75,-1,0),0)),MAX($M$15:OFFSET(M75,-1,0))+1,
                      INDEX($M$15:OFFSET(M75,-1,0),MATCH($A75,$A$15:OFFSET($A75,-1,0),0)))))</f>
        <v/>
      </c>
      <c r="N75" s="167" t="str">
        <f ca="1">IF($D75&lt;&gt;"Serviço","",
         IF(AUTOEVENTO="Manual",
                IF($A75=0,"&lt;-- defina o número do agrupador",
                       OFFSET(EVENTOS!$D$15,$A75-$A$15,0)),
                OFFSET($F$15,$A75,0)))</f>
        <v/>
      </c>
      <c r="O75" s="168"/>
      <c r="Q75" s="168"/>
      <c r="R75" s="169"/>
      <c r="S75" s="169"/>
      <c r="T75" s="169"/>
      <c r="U75" s="169"/>
      <c r="V75" s="169"/>
      <c r="W75" s="169"/>
      <c r="X75" s="169"/>
      <c r="Y75" s="169"/>
      <c r="Z75" s="170"/>
      <c r="AA75" s="169"/>
      <c r="AB75" s="169"/>
      <c r="AC75" s="169"/>
      <c r="AD75" s="169"/>
      <c r="AE75" s="169"/>
      <c r="AF75" s="169"/>
      <c r="AG75" s="169"/>
      <c r="AH75" s="170"/>
      <c r="AI75" s="169"/>
      <c r="AJ75" s="169"/>
      <c r="AK75" s="169"/>
      <c r="AL75" s="169"/>
      <c r="AM75" s="169"/>
      <c r="AN75" s="169"/>
      <c r="AO75" s="169"/>
      <c r="AP75" s="170"/>
      <c r="AR75" s="453">
        <f ca="1">IF(AND($D75="Serviço",AR$12&lt;&gt;0,$H75&gt;0,OR(AUTOEVENTO&lt;&gt;"manual",$M75&lt;&gt;$A$15)),
        IF(Import.TipoArredondamento&lt;&gt;"TransfereGOV",
              ROUND(OFFSET($P75,0,AR$13),15-13*ORÇAMENTO!$AF$7)/$H75*OFFSET(ORÇAMENTO!$X$15,ROW(AR75)-ROW(AR$15),0),
              ROUND(ROUND(OFFSET($P75,0,AR$13),15-13*ORÇAMENTO!$AF$7)*OFFSET(ORÇAMENTO!$W$15,ROW(AR75)-ROW(AR$15),0),15-13*ORÇAMENTO!$AF$11)),
         0)</f>
        <v>0</v>
      </c>
      <c r="AS75" s="453">
        <f ca="1">IF(AND($D75="Serviço",AS$12&lt;&gt;0,$H75&gt;0,OR(AUTOEVENTO&lt;&gt;"manual",$M75&lt;&gt;$A$15)),
        IF(Import.TipoArredondamento&lt;&gt;"TransfereGOV",
              ROUND(OFFSET($P75,0,AS$13),15-13*ORÇAMENTO!$AF$7)/$H75*OFFSET(ORÇAMENTO!$X$15,ROW(AS75)-ROW(AS$15),0),
              ROUND(ROUND(OFFSET($P75,0,AS$13),15-13*ORÇAMENTO!$AF$7)*OFFSET(ORÇAMENTO!$W$15,ROW(AS75)-ROW(AS$15),0),15-13*ORÇAMENTO!$AF$11)),
         0)</f>
        <v>0</v>
      </c>
      <c r="AT75" s="453">
        <f ca="1">IF(AND($D75="Serviço",AT$12&lt;&gt;0,$H75&gt;0,OR(AUTOEVENTO&lt;&gt;"manual",$M75&lt;&gt;$A$15)),
        IF(Import.TipoArredondamento&lt;&gt;"TransfereGOV",
              ROUND(OFFSET($P75,0,AT$13),15-13*ORÇAMENTO!$AF$7)/$H75*OFFSET(ORÇAMENTO!$X$15,ROW(AT75)-ROW(AT$15),0),
              ROUND(ROUND(OFFSET($P75,0,AT$13),15-13*ORÇAMENTO!$AF$7)*OFFSET(ORÇAMENTO!$W$15,ROW(AT75)-ROW(AT$15),0),15-13*ORÇAMENTO!$AF$11)),
         0)</f>
        <v>0</v>
      </c>
      <c r="AU75" s="453">
        <f ca="1">IF(AND($D75="Serviço",AU$12&lt;&gt;0,$H75&gt;0,OR(AUTOEVENTO&lt;&gt;"manual",$M75&lt;&gt;$A$15)),
        IF(Import.TipoArredondamento&lt;&gt;"TransfereGOV",
              ROUND(OFFSET($P75,0,AU$13),15-13*ORÇAMENTO!$AF$7)/$H75*OFFSET(ORÇAMENTO!$X$15,ROW(AU75)-ROW(AU$15),0),
              ROUND(ROUND(OFFSET($P75,0,AU$13),15-13*ORÇAMENTO!$AF$7)*OFFSET(ORÇAMENTO!$W$15,ROW(AU75)-ROW(AU$15),0),15-13*ORÇAMENTO!$AF$11)),
         0)</f>
        <v>0</v>
      </c>
      <c r="AV75" s="453">
        <f ca="1">IF(AND($D75="Serviço",AV$12&lt;&gt;0,$H75&gt;0,OR(AUTOEVENTO&lt;&gt;"manual",$M75&lt;&gt;$A$15)),
        IF(Import.TipoArredondamento&lt;&gt;"TransfereGOV",
              ROUND(OFFSET($P75,0,AV$13),15-13*ORÇAMENTO!$AF$7)/$H75*OFFSET(ORÇAMENTO!$X$15,ROW(AV75)-ROW(AV$15),0),
              ROUND(ROUND(OFFSET($P75,0,AV$13),15-13*ORÇAMENTO!$AF$7)*OFFSET(ORÇAMENTO!$W$15,ROW(AV75)-ROW(AV$15),0),15-13*ORÇAMENTO!$AF$11)),
         0)</f>
        <v>0</v>
      </c>
      <c r="AW75" s="453">
        <f ca="1">IF(AND($D75="Serviço",AW$12&lt;&gt;0,$H75&gt;0,OR(AUTOEVENTO&lt;&gt;"manual",$M75&lt;&gt;$A$15)),
        IF(Import.TipoArredondamento&lt;&gt;"TransfereGOV",
              ROUND(OFFSET($P75,0,AW$13),15-13*ORÇAMENTO!$AF$7)/$H75*OFFSET(ORÇAMENTO!$X$15,ROW(AW75)-ROW(AW$15),0),
              ROUND(ROUND(OFFSET($P75,0,AW$13),15-13*ORÇAMENTO!$AF$7)*OFFSET(ORÇAMENTO!$W$15,ROW(AW75)-ROW(AW$15),0),15-13*ORÇAMENTO!$AF$11)),
         0)</f>
        <v>0</v>
      </c>
      <c r="AX75" s="453">
        <f ca="1">IF(AND($D75="Serviço",AX$12&lt;&gt;0,$H75&gt;0,OR(AUTOEVENTO&lt;&gt;"manual",$M75&lt;&gt;$A$15)),
        IF(Import.TipoArredondamento&lt;&gt;"TransfereGOV",
              ROUND(OFFSET($P75,0,AX$13),15-13*ORÇAMENTO!$AF$7)/$H75*OFFSET(ORÇAMENTO!$X$15,ROW(AX75)-ROW(AX$15),0),
              ROUND(ROUND(OFFSET($P75,0,AX$13),15-13*ORÇAMENTO!$AF$7)*OFFSET(ORÇAMENTO!$W$15,ROW(AX75)-ROW(AX$15),0),15-13*ORÇAMENTO!$AF$11)),
         0)</f>
        <v>0</v>
      </c>
      <c r="AY75" s="453">
        <f ca="1">IF(AND($D75="Serviço",AY$12&lt;&gt;0,$H75&gt;0,OR(AUTOEVENTO&lt;&gt;"manual",$M75&lt;&gt;$A$15)),
        IF(Import.TipoArredondamento&lt;&gt;"TransfereGOV",
              ROUND(OFFSET($P75,0,AY$13),15-13*ORÇAMENTO!$AF$7)/$H75*OFFSET(ORÇAMENTO!$X$15,ROW(AY75)-ROW(AY$15),0),
              ROUND(ROUND(OFFSET($P75,0,AY$13),15-13*ORÇAMENTO!$AF$7)*OFFSET(ORÇAMENTO!$W$15,ROW(AY75)-ROW(AY$15),0),15-13*ORÇAMENTO!$AF$11)),
         0)</f>
        <v>0</v>
      </c>
      <c r="AZ75" s="453">
        <f ca="1">IF(AND($D75="Serviço",AZ$12&lt;&gt;0,$H75&gt;0,OR(AUTOEVENTO&lt;&gt;"manual",$M75&lt;&gt;$A$15)),
        IF(Import.TipoArredondamento&lt;&gt;"TransfereGOV",
              ROUND(OFFSET($P75,0,AZ$13),15-13*ORÇAMENTO!$AF$7)/$H75*OFFSET(ORÇAMENTO!$X$15,ROW(AZ75)-ROW(AZ$15),0),
              ROUND(ROUND(OFFSET($P75,0,AZ$13),15-13*ORÇAMENTO!$AF$7)*OFFSET(ORÇAMENTO!$W$15,ROW(AZ75)-ROW(AZ$15),0),15-13*ORÇAMENTO!$AF$11)),
         0)</f>
        <v>0</v>
      </c>
      <c r="BA75" s="453">
        <f ca="1">IF(AND($D75="Serviço",BA$12&lt;&gt;0,$H75&gt;0,OR(AUTOEVENTO&lt;&gt;"manual",$M75&lt;&gt;$A$15)),
        IF(Import.TipoArredondamento&lt;&gt;"TransfereGOV",
              ROUND(OFFSET($P75,0,BA$13),15-13*ORÇAMENTO!$AF$7)/$H75*OFFSET(ORÇAMENTO!$X$15,ROW(BA75)-ROW(BA$15),0),
              ROUND(ROUND(OFFSET($P75,0,BA$13),15-13*ORÇAMENTO!$AF$7)*OFFSET(ORÇAMENTO!$W$15,ROW(BA75)-ROW(BA$15),0),15-13*ORÇAMENTO!$AF$11)),
         0)</f>
        <v>0</v>
      </c>
      <c r="BB75" s="453">
        <f ca="1">IF(AND($D75="Serviço",BB$12&lt;&gt;0,$H75&gt;0,OR(AUTOEVENTO&lt;&gt;"manual",$M75&lt;&gt;$A$15)),
        IF(Import.TipoArredondamento&lt;&gt;"TransfereGOV",
              ROUND(OFFSET($P75,0,BB$13),15-13*ORÇAMENTO!$AF$7)/$H75*OFFSET(ORÇAMENTO!$X$15,ROW(BB75)-ROW(BB$15),0),
              ROUND(ROUND(OFFSET($P75,0,BB$13),15-13*ORÇAMENTO!$AF$7)*OFFSET(ORÇAMENTO!$W$15,ROW(BB75)-ROW(BB$15),0),15-13*ORÇAMENTO!$AF$11)),
         0)</f>
        <v>0</v>
      </c>
      <c r="BC75" s="453">
        <f ca="1">IF(AND($D75="Serviço",BC$12&lt;&gt;0,$H75&gt;0,OR(AUTOEVENTO&lt;&gt;"manual",$M75&lt;&gt;$A$15)),
        IF(Import.TipoArredondamento&lt;&gt;"TransfereGOV",
              ROUND(OFFSET($P75,0,BC$13),15-13*ORÇAMENTO!$AF$7)/$H75*OFFSET(ORÇAMENTO!$X$15,ROW(BC75)-ROW(BC$15),0),
              ROUND(ROUND(OFFSET($P75,0,BC$13),15-13*ORÇAMENTO!$AF$7)*OFFSET(ORÇAMENTO!$W$15,ROW(BC75)-ROW(BC$15),0),15-13*ORÇAMENTO!$AF$11)),
         0)</f>
        <v>0</v>
      </c>
      <c r="BD75" s="453">
        <f ca="1">IF(AND($D75="Serviço",BD$12&lt;&gt;0,$H75&gt;0,OR(AUTOEVENTO&lt;&gt;"manual",$M75&lt;&gt;$A$15)),
        IF(Import.TipoArredondamento&lt;&gt;"TransfereGOV",
              ROUND(OFFSET($P75,0,BD$13),15-13*ORÇAMENTO!$AF$7)/$H75*OFFSET(ORÇAMENTO!$X$15,ROW(BD75)-ROW(BD$15),0),
              ROUND(ROUND(OFFSET($P75,0,BD$13),15-13*ORÇAMENTO!$AF$7)*OFFSET(ORÇAMENTO!$W$15,ROW(BD75)-ROW(BD$15),0),15-13*ORÇAMENTO!$AF$11)),
         0)</f>
        <v>0</v>
      </c>
      <c r="BE75" s="453">
        <f ca="1">IF(AND($D75="Serviço",BE$12&lt;&gt;0,$H75&gt;0,OR(AUTOEVENTO&lt;&gt;"manual",$M75&lt;&gt;$A$15)),
        IF(Import.TipoArredondamento&lt;&gt;"TransfereGOV",
              ROUND(OFFSET($P75,0,BE$13),15-13*ORÇAMENTO!$AF$7)/$H75*OFFSET(ORÇAMENTO!$X$15,ROW(BE75)-ROW(BE$15),0),
              ROUND(ROUND(OFFSET($P75,0,BE$13),15-13*ORÇAMENTO!$AF$7)*OFFSET(ORÇAMENTO!$W$15,ROW(BE75)-ROW(BE$15),0),15-13*ORÇAMENTO!$AF$11)),
         0)</f>
        <v>0</v>
      </c>
      <c r="BF75" s="453">
        <f ca="1">IF(AND($D75="Serviço",BF$12&lt;&gt;0,$H75&gt;0,OR(AUTOEVENTO&lt;&gt;"manual",$M75&lt;&gt;$A$15)),
        IF(Import.TipoArredondamento&lt;&gt;"TransfereGOV",
              ROUND(OFFSET($P75,0,BF$13),15-13*ORÇAMENTO!$AF$7)/$H75*OFFSET(ORÇAMENTO!$X$15,ROW(BF75)-ROW(BF$15),0),
              ROUND(ROUND(OFFSET($P75,0,BF$13),15-13*ORÇAMENTO!$AF$7)*OFFSET(ORÇAMENTO!$W$15,ROW(BF75)-ROW(BF$15),0),15-13*ORÇAMENTO!$AF$11)),
         0)</f>
        <v>0</v>
      </c>
      <c r="BG75" s="453">
        <f ca="1">IF(AND($D75="Serviço",BG$12&lt;&gt;0,$H75&gt;0,OR(AUTOEVENTO&lt;&gt;"manual",$M75&lt;&gt;$A$15)),
        IF(Import.TipoArredondamento&lt;&gt;"TransfereGOV",
              ROUND(OFFSET($P75,0,BG$13),15-13*ORÇAMENTO!$AF$7)/$H75*OFFSET(ORÇAMENTO!$X$15,ROW(BG75)-ROW(BG$15),0),
              ROUND(ROUND(OFFSET($P75,0,BG$13),15-13*ORÇAMENTO!$AF$7)*OFFSET(ORÇAMENTO!$W$15,ROW(BG75)-ROW(BG$15),0),15-13*ORÇAMENTO!$AF$11)),
         0)</f>
        <v>0</v>
      </c>
      <c r="BH75" s="453">
        <f ca="1">IF(AND($D75="Serviço",BH$12&lt;&gt;0,$H75&gt;0,OR(AUTOEVENTO&lt;&gt;"manual",$M75&lt;&gt;$A$15)),
        IF(Import.TipoArredondamento&lt;&gt;"TransfereGOV",
              ROUND(OFFSET($P75,0,BH$13),15-13*ORÇAMENTO!$AF$7)/$H75*OFFSET(ORÇAMENTO!$X$15,ROW(BH75)-ROW(BH$15),0),
              ROUND(ROUND(OFFSET($P75,0,BH$13),15-13*ORÇAMENTO!$AF$7)*OFFSET(ORÇAMENTO!$W$15,ROW(BH75)-ROW(BH$15),0),15-13*ORÇAMENTO!$AF$11)),
         0)</f>
        <v>0</v>
      </c>
      <c r="BI75" s="453">
        <f ca="1">IF(AND($D75="Serviço",BI$12&lt;&gt;0,$H75&gt;0,OR(AUTOEVENTO&lt;&gt;"manual",$M75&lt;&gt;$A$15)),
        IF(Import.TipoArredondamento&lt;&gt;"TransfereGOV",
              ROUND(OFFSET($P75,0,BI$13),15-13*ORÇAMENTO!$AF$7)/$H75*OFFSET(ORÇAMENTO!$X$15,ROW(BI75)-ROW(BI$15),0),
              ROUND(ROUND(OFFSET($P75,0,BI$13),15-13*ORÇAMENTO!$AF$7)*OFFSET(ORÇAMENTO!$W$15,ROW(BI75)-ROW(BI$15),0),15-13*ORÇAMENTO!$AF$11)),
         0)</f>
        <v>0</v>
      </c>
      <c r="BJ75" s="453">
        <f ca="1">IF(AND($D75="Serviço",BJ$12&lt;&gt;0,$H75&gt;0,OR(AUTOEVENTO&lt;&gt;"manual",$M75&lt;&gt;$A$15)),
        IF(Import.TipoArredondamento&lt;&gt;"TransfereGOV",
              ROUND(OFFSET($P75,0,BJ$13),15-13*ORÇAMENTO!$AF$7)/$H75*OFFSET(ORÇAMENTO!$X$15,ROW(BJ75)-ROW(BJ$15),0),
              ROUND(ROUND(OFFSET($P75,0,BJ$13),15-13*ORÇAMENTO!$AF$7)*OFFSET(ORÇAMENTO!$W$15,ROW(BJ75)-ROW(BJ$15),0),15-13*ORÇAMENTO!$AF$11)),
         0)</f>
        <v>0</v>
      </c>
      <c r="BK75" s="453">
        <f ca="1">IF(AND($D75="Serviço",BK$12&lt;&gt;0,$H75&gt;0,OR(AUTOEVENTO&lt;&gt;"manual",$M75&lt;&gt;$A$15)),
        IF(Import.TipoArredondamento&lt;&gt;"TransfereGOV",
              ROUND(OFFSET($P75,0,BK$13),15-13*ORÇAMENTO!$AF$7)/$H75*OFFSET(ORÇAMENTO!$X$15,ROW(BK75)-ROW(BK$15),0),
              ROUND(ROUND(OFFSET($P75,0,BK$13),15-13*ORÇAMENTO!$AF$7)*OFFSET(ORÇAMENTO!$W$15,ROW(BK75)-ROW(BK$15),0),15-13*ORÇAMENTO!$AF$11)),
         0)</f>
        <v>0</v>
      </c>
      <c r="BL75" s="453">
        <f ca="1">IF(AND($D75="Serviço",BL$12&lt;&gt;0,$H75&gt;0,OR(AUTOEVENTO&lt;&gt;"manual",$M75&lt;&gt;$A$15)),
        IF(Import.TipoArredondamento&lt;&gt;"TransfereGOV",
              ROUND(OFFSET($P75,0,BL$13),15-13*ORÇAMENTO!$AF$7)/$H75*OFFSET(ORÇAMENTO!$X$15,ROW(BL75)-ROW(BL$15),0),
              ROUND(ROUND(OFFSET($P75,0,BL$13),15-13*ORÇAMENTO!$AF$7)*OFFSET(ORÇAMENTO!$W$15,ROW(BL75)-ROW(BL$15),0),15-13*ORÇAMENTO!$AF$11)),
         0)</f>
        <v>0</v>
      </c>
      <c r="BM75" s="453">
        <f ca="1">IF(AND($D75="Serviço",BM$12&lt;&gt;0,$H75&gt;0,OR(AUTOEVENTO&lt;&gt;"manual",$M75&lt;&gt;$A$15)),
        IF(Import.TipoArredondamento&lt;&gt;"TransfereGOV",
              ROUND(OFFSET($P75,0,BM$13),15-13*ORÇAMENTO!$AF$7)/$H75*OFFSET(ORÇAMENTO!$X$15,ROW(BM75)-ROW(BM$15),0),
              ROUND(ROUND(OFFSET($P75,0,BM$13),15-13*ORÇAMENTO!$AF$7)*OFFSET(ORÇAMENTO!$W$15,ROW(BM75)-ROW(BM$15),0),15-13*ORÇAMENTO!$AF$11)),
         0)</f>
        <v>0</v>
      </c>
      <c r="BN75" s="453">
        <f ca="1">IF(AND($D75="Serviço",BN$12&lt;&gt;0,$H75&gt;0,OR(AUTOEVENTO&lt;&gt;"manual",$M75&lt;&gt;$A$15)),
        IF(Import.TipoArredondamento&lt;&gt;"TransfereGOV",
              ROUND(OFFSET($P75,0,BN$13),15-13*ORÇAMENTO!$AF$7)/$H75*OFFSET(ORÇAMENTO!$X$15,ROW(BN75)-ROW(BN$15),0),
              ROUND(ROUND(OFFSET($P75,0,BN$13),15-13*ORÇAMENTO!$AF$7)*OFFSET(ORÇAMENTO!$W$15,ROW(BN75)-ROW(BN$15),0),15-13*ORÇAMENTO!$AF$11)),
         0)</f>
        <v>0</v>
      </c>
      <c r="BO75" s="453">
        <f ca="1">IF(AND($D75="Serviço",BO$12&lt;&gt;0,$H75&gt;0,OR(AUTOEVENTO&lt;&gt;"manual",$M75&lt;&gt;$A$15)),
        IF(Import.TipoArredondamento&lt;&gt;"TransfereGOV",
              ROUND(OFFSET($P75,0,BO$13),15-13*ORÇAMENTO!$AF$7)/$H75*OFFSET(ORÇAMENTO!$X$15,ROW(BO75)-ROW(BO$15),0),
              ROUND(ROUND(OFFSET($P75,0,BO$13),15-13*ORÇAMENTO!$AF$7)*OFFSET(ORÇAMENTO!$W$15,ROW(BO75)-ROW(BO$15),0),15-13*ORÇAMENTO!$AF$11)),
         0)</f>
        <v>0</v>
      </c>
      <c r="BP75" s="453">
        <f ca="1">IF(AND($D75="Serviço",BP$12&lt;&gt;0,$H75&gt;0,OR(AUTOEVENTO&lt;&gt;"manual",$M75&lt;&gt;$A$15)),
        IF(Import.TipoArredondamento&lt;&gt;"TransfereGOV",
              ROUND(OFFSET($P75,0,BP$13),15-13*ORÇAMENTO!$AF$7)/$H75*OFFSET(ORÇAMENTO!$X$15,ROW(BP75)-ROW(BP$15),0),
              ROUND(ROUND(OFFSET($P75,0,BP$13),15-13*ORÇAMENTO!$AF$7)*OFFSET(ORÇAMENTO!$W$15,ROW(BP75)-ROW(BP$15),0),15-13*ORÇAMENTO!$AF$11)),
         0)</f>
        <v>0</v>
      </c>
      <c r="BQ75" s="453">
        <f ca="1">IF(AND($D75="Serviço",BQ$12&lt;&gt;0,$H75&gt;0,OR(AUTOEVENTO&lt;&gt;"manual",$M75&lt;&gt;$A$15)),
        IF(Import.TipoArredondamento&lt;&gt;"TransfereGOV",
              ROUND(OFFSET($P75,0,BQ$13),15-13*ORÇAMENTO!$AF$7)/$H75*OFFSET(ORÇAMENTO!$X$15,ROW(BQ75)-ROW(BQ$15),0),
              ROUND(ROUND(OFFSET($P75,0,BQ$13),15-13*ORÇAMENTO!$AF$7)*OFFSET(ORÇAMENTO!$W$15,ROW(BQ75)-ROW(BQ$15),0),15-13*ORÇAMENTO!$AF$11)),
         0)</f>
        <v>0</v>
      </c>
      <c r="BS75" s="171">
        <f ca="1">IF(OR($D75&lt;&gt;"Serviço",AND(AUTOEVENTO="Manual",$M75=$A$15)),0,
         IF(OFFSET(CRONOPLE!$F$15,$M75-$A$15,BS$13)=0,10^12,OFFSET(CRONOPLE!$F$15,$M75-$A$15,BS$13)))</f>
        <v>0</v>
      </c>
      <c r="BT75" s="171">
        <f ca="1">IF(OR($D75&lt;&gt;"Serviço",AND(AUTOEVENTO="Manual",$M75=$A$15)),0,
         IF(OFFSET(CRONOPLE!$F$15,$M75-$A$15,BT$13)=0,10^12,OFFSET(CRONOPLE!$F$15,$M75-$A$15,BT$13)))</f>
        <v>0</v>
      </c>
      <c r="BU75" s="171">
        <f ca="1">IF(OR($D75&lt;&gt;"Serviço",AND(AUTOEVENTO="Manual",$M75=$A$15)),0,
         IF(OFFSET(CRONOPLE!$F$15,$M75-$A$15,BU$13)=0,10^12,OFFSET(CRONOPLE!$F$15,$M75-$A$15,BU$13)))</f>
        <v>0</v>
      </c>
      <c r="BV75" s="171">
        <f ca="1">IF(OR($D75&lt;&gt;"Serviço",AND(AUTOEVENTO="Manual",$M75=$A$15)),0,
         IF(OFFSET(CRONOPLE!$F$15,$M75-$A$15,BV$13)=0,10^12,OFFSET(CRONOPLE!$F$15,$M75-$A$15,BV$13)))</f>
        <v>0</v>
      </c>
      <c r="BW75" s="171">
        <f ca="1">IF(OR($D75&lt;&gt;"Serviço",AND(AUTOEVENTO="Manual",$M75=$A$15)),0,
         IF(OFFSET(CRONOPLE!$F$15,$M75-$A$15,BW$13)=0,10^12,OFFSET(CRONOPLE!$F$15,$M75-$A$15,BW$13)))</f>
        <v>0</v>
      </c>
      <c r="BX75" s="171">
        <f ca="1">IF(OR($D75&lt;&gt;"Serviço",AND(AUTOEVENTO="Manual",$M75=$A$15)),0,
         IF(OFFSET(CRONOPLE!$F$15,$M75-$A$15,BX$13)=0,10^12,OFFSET(CRONOPLE!$F$15,$M75-$A$15,BX$13)))</f>
        <v>0</v>
      </c>
      <c r="BY75" s="171">
        <f ca="1">IF(OR($D75&lt;&gt;"Serviço",AND(AUTOEVENTO="Manual",$M75=$A$15)),0,
         IF(OFFSET(CRONOPLE!$F$15,$M75-$A$15,BY$13)=0,10^12,OFFSET(CRONOPLE!$F$15,$M75-$A$15,BY$13)))</f>
        <v>0</v>
      </c>
      <c r="BZ75" s="171">
        <f ca="1">IF(OR($D75&lt;&gt;"Serviço",AND(AUTOEVENTO="Manual",$M75=$A$15)),0,
         IF(OFFSET(CRONOPLE!$F$15,$M75-$A$15,BZ$13)=0,10^12,OFFSET(CRONOPLE!$F$15,$M75-$A$15,BZ$13)))</f>
        <v>0</v>
      </c>
      <c r="CA75" s="171">
        <f ca="1">IF(OR($D75&lt;&gt;"Serviço",AND(AUTOEVENTO="Manual",$M75=$A$15)),0,
         IF(OFFSET(CRONOPLE!$F$15,$M75-$A$15,CA$13)=0,10^12,OFFSET(CRONOPLE!$F$15,$M75-$A$15,CA$13)))</f>
        <v>0</v>
      </c>
      <c r="CB75" s="171">
        <f ca="1">IF(OR($D75&lt;&gt;"Serviço",AND(AUTOEVENTO="Manual",$M75=$A$15)),0,
         IF(OFFSET(CRONOPLE!$F$15,$M75-$A$15,CB$13)=0,10^12,OFFSET(CRONOPLE!$F$15,$M75-$A$15,CB$13)))</f>
        <v>0</v>
      </c>
      <c r="CC75" s="171">
        <f ca="1">IF(OR($D75&lt;&gt;"Serviço",AND(AUTOEVENTO="Manual",$M75=$A$15)),0,
         IF(OFFSET(CRONOPLE!$F$15,$M75-$A$15,CC$13)=0,10^12,OFFSET(CRONOPLE!$F$15,$M75-$A$15,CC$13)))</f>
        <v>0</v>
      </c>
      <c r="CD75" s="171">
        <f ca="1">IF(OR($D75&lt;&gt;"Serviço",AND(AUTOEVENTO="Manual",$M75=$A$15)),0,
         IF(OFFSET(CRONOPLE!$F$15,$M75-$A$15,CD$13)=0,10^12,OFFSET(CRONOPLE!$F$15,$M75-$A$15,CD$13)))</f>
        <v>0</v>
      </c>
      <c r="CE75" s="171">
        <f ca="1">IF(OR($D75&lt;&gt;"Serviço",AND(AUTOEVENTO="Manual",$M75=$A$15)),0,
         IF(OFFSET(CRONOPLE!$F$15,$M75-$A$15,CE$13)=0,10^12,OFFSET(CRONOPLE!$F$15,$M75-$A$15,CE$13)))</f>
        <v>0</v>
      </c>
      <c r="CF75" s="171">
        <f ca="1">IF(OR($D75&lt;&gt;"Serviço",AND(AUTOEVENTO="Manual",$M75=$A$15)),0,
         IF(OFFSET(CRONOPLE!$F$15,$M75-$A$15,CF$13)=0,10^12,OFFSET(CRONOPLE!$F$15,$M75-$A$15,CF$13)))</f>
        <v>0</v>
      </c>
      <c r="CG75" s="171">
        <f ca="1">IF(OR($D75&lt;&gt;"Serviço",AND(AUTOEVENTO="Manual",$M75=$A$15)),0,
         IF(OFFSET(CRONOPLE!$F$15,$M75-$A$15,CG$13)=0,10^12,OFFSET(CRONOPLE!$F$15,$M75-$A$15,CG$13)))</f>
        <v>0</v>
      </c>
      <c r="CH75" s="171">
        <f ca="1">IF(OR($D75&lt;&gt;"Serviço",AND(AUTOEVENTO="Manual",$M75=$A$15)),0,
         IF(OFFSET(CRONOPLE!$F$15,$M75-$A$15,CH$13)=0,10^12,OFFSET(CRONOPLE!$F$15,$M75-$A$15,CH$13)))</f>
        <v>0</v>
      </c>
      <c r="CI75" s="171">
        <f ca="1">IF(OR($D75&lt;&gt;"Serviço",AND(AUTOEVENTO="Manual",$M75=$A$15)),0,
         IF(OFFSET(CRONOPLE!$F$15,$M75-$A$15,CI$13)=0,10^12,OFFSET(CRONOPLE!$F$15,$M75-$A$15,CI$13)))</f>
        <v>0</v>
      </c>
      <c r="CJ75" s="171">
        <f ca="1">IF(OR($D75&lt;&gt;"Serviço",AND(AUTOEVENTO="Manual",$M75=$A$15)),0,
         IF(OFFSET(CRONOPLE!$F$15,$M75-$A$15,CJ$13)=0,10^12,OFFSET(CRONOPLE!$F$15,$M75-$A$15,CJ$13)))</f>
        <v>0</v>
      </c>
      <c r="CK75" s="171">
        <f ca="1">IF(OR($D75&lt;&gt;"Serviço",AND(AUTOEVENTO="Manual",$M75=$A$15)),0,
         IF(OFFSET(CRONOPLE!$F$15,$M75-$A$15,CK$13)=0,10^12,OFFSET(CRONOPLE!$F$15,$M75-$A$15,CK$13)))</f>
        <v>0</v>
      </c>
      <c r="CL75" s="171">
        <f ca="1">IF(OR($D75&lt;&gt;"Serviço",AND(AUTOEVENTO="Manual",$M75=$A$15)),0,
         IF(OFFSET(CRONOPLE!$F$15,$M75-$A$15,CL$13)=0,10^12,OFFSET(CRONOPLE!$F$15,$M75-$A$15,CL$13)))</f>
        <v>0</v>
      </c>
      <c r="CM75" s="171">
        <f ca="1">IF(OR($D75&lt;&gt;"Serviço",AND(AUTOEVENTO="Manual",$M75=$A$15)),0,
         IF(OFFSET(CRONOPLE!$F$15,$M75-$A$15,CM$13)=0,10^12,OFFSET(CRONOPLE!$F$15,$M75-$A$15,CM$13)))</f>
        <v>0</v>
      </c>
      <c r="CN75" s="171">
        <f ca="1">IF(OR($D75&lt;&gt;"Serviço",AND(AUTOEVENTO="Manual",$M75=$A$15)),0,
         IF(OFFSET(CRONOPLE!$F$15,$M75-$A$15,CN$13)=0,10^12,OFFSET(CRONOPLE!$F$15,$M75-$A$15,CN$13)))</f>
        <v>0</v>
      </c>
      <c r="CO75" s="171">
        <f ca="1">IF(OR($D75&lt;&gt;"Serviço",AND(AUTOEVENTO="Manual",$M75=$A$15)),0,
         IF(OFFSET(CRONOPLE!$F$15,$M75-$A$15,CO$13)=0,10^12,OFFSET(CRONOPLE!$F$15,$M75-$A$15,CO$13)))</f>
        <v>0</v>
      </c>
      <c r="CP75" s="171">
        <f ca="1">IF(OR($D75&lt;&gt;"Serviço",AND(AUTOEVENTO="Manual",$M75=$A$15)),0,
         IF(OFFSET(CRONOPLE!$F$15,$M75-$A$15,CP$13)=0,10^12,OFFSET(CRONOPLE!$F$15,$M75-$A$15,CP$13)))</f>
        <v>0</v>
      </c>
      <c r="CQ75" s="171">
        <f ca="1">IF(OR($D75&lt;&gt;"Serviço",AND(AUTOEVENTO="Manual",$M75=$A$15)),0,
         IF(OFFSET(CRONOPLE!$F$15,$M75-$A$15,CQ$13)=0,10^12,OFFSET(CRONOPLE!$F$15,$M75-$A$15,CQ$13)))</f>
        <v>0</v>
      </c>
      <c r="CR75" s="171">
        <f ca="1">IF(OR($D75&lt;&gt;"Serviço",AND(AUTOEVENTO="Manual",$M75=$A$15)),0,
         IF(OFFSET(CRONOPLE!$F$15,$M75-$A$15,CR$13)=0,10^12,OFFSET(CRONOPLE!$F$15,$M75-$A$15,CR$13)))</f>
        <v>0</v>
      </c>
      <c r="CT75" s="172" cm="1">
        <f t="array" aca="1" ref="CT75" ca="1">IF(OR($D75&lt;&gt;"Serviço",AND(AUTOEVENTO="Manual",$M75=$A$15),$M75&gt;(ROW(PLE.lastrow)-ROW(PLE.firstrow))),0,
           IF(OFFSET(PLE!$G$15,$M75-$A$15,CT$13)="",10^12,OFFSET(PLE!$G$15,$M75-$A$15,CT$13)))</f>
        <v>0</v>
      </c>
      <c r="CU75" s="172" cm="1">
        <f t="array" aca="1" ref="CU75" ca="1">IF(OR($D75&lt;&gt;"Serviço",AND(AUTOEVENTO="Manual",$M75=$A$15),$M75&gt;(ROW(PLE.lastrow)-ROW(PLE.firstrow))),0,
           IF(OFFSET(PLE!$G$15,$M75-$A$15,CU$13)="",10^12,OFFSET(PLE!$G$15,$M75-$A$15,CU$13)))</f>
        <v>0</v>
      </c>
      <c r="CV75" s="172" cm="1">
        <f t="array" aca="1" ref="CV75" ca="1">IF(OR($D75&lt;&gt;"Serviço",AND(AUTOEVENTO="Manual",$M75=$A$15),$M75&gt;(ROW(PLE.lastrow)-ROW(PLE.firstrow))),0,
           IF(OFFSET(PLE!$G$15,$M75-$A$15,CV$13)="",10^12,OFFSET(PLE!$G$15,$M75-$A$15,CV$13)))</f>
        <v>0</v>
      </c>
      <c r="CW75" s="172" cm="1">
        <f t="array" aca="1" ref="CW75" ca="1">IF(OR($D75&lt;&gt;"Serviço",AND(AUTOEVENTO="Manual",$M75=$A$15),$M75&gt;(ROW(PLE.lastrow)-ROW(PLE.firstrow))),0,
           IF(OFFSET(PLE!$G$15,$M75-$A$15,CW$13)="",10^12,OFFSET(PLE!$G$15,$M75-$A$15,CW$13)))</f>
        <v>0</v>
      </c>
      <c r="CX75" s="172" cm="1">
        <f t="array" aca="1" ref="CX75" ca="1">IF(OR($D75&lt;&gt;"Serviço",AND(AUTOEVENTO="Manual",$M75=$A$15),$M75&gt;(ROW(PLE.lastrow)-ROW(PLE.firstrow))),0,
           IF(OFFSET(PLE!$G$15,$M75-$A$15,CX$13)="",10^12,OFFSET(PLE!$G$15,$M75-$A$15,CX$13)))</f>
        <v>0</v>
      </c>
      <c r="CY75" s="172" cm="1">
        <f t="array" aca="1" ref="CY75" ca="1">IF(OR($D75&lt;&gt;"Serviço",AND(AUTOEVENTO="Manual",$M75=$A$15),$M75&gt;(ROW(PLE.lastrow)-ROW(PLE.firstrow))),0,
           IF(OFFSET(PLE!$G$15,$M75-$A$15,CY$13)="",10^12,OFFSET(PLE!$G$15,$M75-$A$15,CY$13)))</f>
        <v>0</v>
      </c>
      <c r="CZ75" s="172" cm="1">
        <f t="array" aca="1" ref="CZ75" ca="1">IF(OR($D75&lt;&gt;"Serviço",AND(AUTOEVENTO="Manual",$M75=$A$15),$M75&gt;(ROW(PLE.lastrow)-ROW(PLE.firstrow))),0,
           IF(OFFSET(PLE!$G$15,$M75-$A$15,CZ$13)="",10^12,OFFSET(PLE!$G$15,$M75-$A$15,CZ$13)))</f>
        <v>0</v>
      </c>
      <c r="DA75" s="172" cm="1">
        <f t="array" aca="1" ref="DA75" ca="1">IF(OR($D75&lt;&gt;"Serviço",AND(AUTOEVENTO="Manual",$M75=$A$15),$M75&gt;(ROW(PLE.lastrow)-ROW(PLE.firstrow))),0,
           IF(OFFSET(PLE!$G$15,$M75-$A$15,DA$13)="",10^12,OFFSET(PLE!$G$15,$M75-$A$15,DA$13)))</f>
        <v>0</v>
      </c>
      <c r="DB75" s="172" cm="1">
        <f t="array" aca="1" ref="DB75" ca="1">IF(OR($D75&lt;&gt;"Serviço",AND(AUTOEVENTO="Manual",$M75=$A$15),$M75&gt;(ROW(PLE.lastrow)-ROW(PLE.firstrow))),0,
           IF(OFFSET(PLE!$G$15,$M75-$A$15,DB$13)="",10^12,OFFSET(PLE!$G$15,$M75-$A$15,DB$13)))</f>
        <v>0</v>
      </c>
      <c r="DC75" s="172" cm="1">
        <f t="array" aca="1" ref="DC75" ca="1">IF(OR($D75&lt;&gt;"Serviço",AND(AUTOEVENTO="Manual",$M75=$A$15),$M75&gt;(ROW(PLE.lastrow)-ROW(PLE.firstrow))),0,
           IF(OFFSET(PLE!$G$15,$M75-$A$15,DC$13)="",10^12,OFFSET(PLE!$G$15,$M75-$A$15,DC$13)))</f>
        <v>0</v>
      </c>
      <c r="DD75" s="172" cm="1">
        <f t="array" aca="1" ref="DD75" ca="1">IF(OR($D75&lt;&gt;"Serviço",AND(AUTOEVENTO="Manual",$M75=$A$15),$M75&gt;(ROW(PLE.lastrow)-ROW(PLE.firstrow))),0,
           IF(OFFSET(PLE!$G$15,$M75-$A$15,DD$13)="",10^12,OFFSET(PLE!$G$15,$M75-$A$15,DD$13)))</f>
        <v>0</v>
      </c>
      <c r="DE75" s="172" cm="1">
        <f t="array" aca="1" ref="DE75" ca="1">IF(OR($D75&lt;&gt;"Serviço",AND(AUTOEVENTO="Manual",$M75=$A$15),$M75&gt;(ROW(PLE.lastrow)-ROW(PLE.firstrow))),0,
           IF(OFFSET(PLE!$G$15,$M75-$A$15,DE$13)="",10^12,OFFSET(PLE!$G$15,$M75-$A$15,DE$13)))</f>
        <v>0</v>
      </c>
      <c r="DF75" s="172" cm="1">
        <f t="array" aca="1" ref="DF75" ca="1">IF(OR($D75&lt;&gt;"Serviço",AND(AUTOEVENTO="Manual",$M75=$A$15),$M75&gt;(ROW(PLE.lastrow)-ROW(PLE.firstrow))),0,
           IF(OFFSET(PLE!$G$15,$M75-$A$15,DF$13)="",10^12,OFFSET(PLE!$G$15,$M75-$A$15,DF$13)))</f>
        <v>0</v>
      </c>
      <c r="DG75" s="172" cm="1">
        <f t="array" aca="1" ref="DG75" ca="1">IF(OR($D75&lt;&gt;"Serviço",AND(AUTOEVENTO="Manual",$M75=$A$15),$M75&gt;(ROW(PLE.lastrow)-ROW(PLE.firstrow))),0,
           IF(OFFSET(PLE!$G$15,$M75-$A$15,DG$13)="",10^12,OFFSET(PLE!$G$15,$M75-$A$15,DG$13)))</f>
        <v>0</v>
      </c>
      <c r="DH75" s="172" cm="1">
        <f t="array" aca="1" ref="DH75" ca="1">IF(OR($D75&lt;&gt;"Serviço",AND(AUTOEVENTO="Manual",$M75=$A$15),$M75&gt;(ROW(PLE.lastrow)-ROW(PLE.firstrow))),0,
           IF(OFFSET(PLE!$G$15,$M75-$A$15,DH$13)="",10^12,OFFSET(PLE!$G$15,$M75-$A$15,DH$13)))</f>
        <v>0</v>
      </c>
      <c r="DI75" s="172" cm="1">
        <f t="array" aca="1" ref="DI75" ca="1">IF(OR($D75&lt;&gt;"Serviço",AND(AUTOEVENTO="Manual",$M75=$A$15),$M75&gt;(ROW(PLE.lastrow)-ROW(PLE.firstrow))),0,
           IF(OFFSET(PLE!$G$15,$M75-$A$15,DI$13)="",10^12,OFFSET(PLE!$G$15,$M75-$A$15,DI$13)))</f>
        <v>0</v>
      </c>
      <c r="DJ75" s="172" cm="1">
        <f t="array" aca="1" ref="DJ75" ca="1">IF(OR($D75&lt;&gt;"Serviço",AND(AUTOEVENTO="Manual",$M75=$A$15),$M75&gt;(ROW(PLE.lastrow)-ROW(PLE.firstrow))),0,
           IF(OFFSET(PLE!$G$15,$M75-$A$15,DJ$13)="",10^12,OFFSET(PLE!$G$15,$M75-$A$15,DJ$13)))</f>
        <v>0</v>
      </c>
      <c r="DK75" s="172" cm="1">
        <f t="array" aca="1" ref="DK75" ca="1">IF(OR($D75&lt;&gt;"Serviço",AND(AUTOEVENTO="Manual",$M75=$A$15),$M75&gt;(ROW(PLE.lastrow)-ROW(PLE.firstrow))),0,
           IF(OFFSET(PLE!$G$15,$M75-$A$15,DK$13)="",10^12,OFFSET(PLE!$G$15,$M75-$A$15,DK$13)))</f>
        <v>0</v>
      </c>
      <c r="DL75" s="172" cm="1">
        <f t="array" aca="1" ref="DL75" ca="1">IF(OR($D75&lt;&gt;"Serviço",AND(AUTOEVENTO="Manual",$M75=$A$15),$M75&gt;(ROW(PLE.lastrow)-ROW(PLE.firstrow))),0,
           IF(OFFSET(PLE!$G$15,$M75-$A$15,DL$13)="",10^12,OFFSET(PLE!$G$15,$M75-$A$15,DL$13)))</f>
        <v>0</v>
      </c>
      <c r="DM75" s="172" cm="1">
        <f t="array" aca="1" ref="DM75" ca="1">IF(OR($D75&lt;&gt;"Serviço",AND(AUTOEVENTO="Manual",$M75=$A$15),$M75&gt;(ROW(PLE.lastrow)-ROW(PLE.firstrow))),0,
           IF(OFFSET(PLE!$G$15,$M75-$A$15,DM$13)="",10^12,OFFSET(PLE!$G$15,$M75-$A$15,DM$13)))</f>
        <v>0</v>
      </c>
      <c r="DN75" s="172" cm="1">
        <f t="array" aca="1" ref="DN75" ca="1">IF(OR($D75&lt;&gt;"Serviço",AND(AUTOEVENTO="Manual",$M75=$A$15),$M75&gt;(ROW(PLE.lastrow)-ROW(PLE.firstrow))),0,
           IF(OFFSET(PLE!$G$15,$M75-$A$15,DN$13)="",10^12,OFFSET(PLE!$G$15,$M75-$A$15,DN$13)))</f>
        <v>0</v>
      </c>
      <c r="DO75" s="172" cm="1">
        <f t="array" aca="1" ref="DO75" ca="1">IF(OR($D75&lt;&gt;"Serviço",AND(AUTOEVENTO="Manual",$M75=$A$15),$M75&gt;(ROW(PLE.lastrow)-ROW(PLE.firstrow))),0,
           IF(OFFSET(PLE!$G$15,$M75-$A$15,DO$13)="",10^12,OFFSET(PLE!$G$15,$M75-$A$15,DO$13)))</f>
        <v>0</v>
      </c>
      <c r="DP75" s="172" cm="1">
        <f t="array" aca="1" ref="DP75" ca="1">IF(OR($D75&lt;&gt;"Serviço",AND(AUTOEVENTO="Manual",$M75=$A$15),$M75&gt;(ROW(PLE.lastrow)-ROW(PLE.firstrow))),0,
           IF(OFFSET(PLE!$G$15,$M75-$A$15,DP$13)="",10^12,OFFSET(PLE!$G$15,$M75-$A$15,DP$13)))</f>
        <v>0</v>
      </c>
      <c r="DQ75" s="172" cm="1">
        <f t="array" aca="1" ref="DQ75" ca="1">IF(OR($D75&lt;&gt;"Serviço",AND(AUTOEVENTO="Manual",$M75=$A$15),$M75&gt;(ROW(PLE.lastrow)-ROW(PLE.firstrow))),0,
           IF(OFFSET(PLE!$G$15,$M75-$A$15,DQ$13)="",10^12,OFFSET(PLE!$G$15,$M75-$A$15,DQ$13)))</f>
        <v>0</v>
      </c>
      <c r="DR75" s="172" cm="1">
        <f t="array" aca="1" ref="DR75" ca="1">IF(OR($D75&lt;&gt;"Serviço",AND(AUTOEVENTO="Manual",$M75=$A$15),$M75&gt;(ROW(PLE.lastrow)-ROW(PLE.firstrow))),0,
           IF(OFFSET(PLE!$G$15,$M75-$A$15,DR$13)="",10^12,OFFSET(PLE!$G$15,$M75-$A$15,DR$13)))</f>
        <v>0</v>
      </c>
      <c r="DS75" s="172" cm="1">
        <f t="array" aca="1" ref="DS75" ca="1">IF(OR($D75&lt;&gt;"Serviço",AND(AUTOEVENTO="Manual",$M75=$A$15),$M75&gt;(ROW(PLE.lastrow)-ROW(PLE.firstrow))),0,
           IF(OFFSET(PLE!$G$15,$M75-$A$15,DS$13)="",10^12,OFFSET(PLE!$G$15,$M75-$A$15,DS$13)))</f>
        <v>0</v>
      </c>
    </row>
    <row r="76" spans="1:123" ht="12.75" x14ac:dyDescent="0.2">
      <c r="A76" s="7">
        <f t="shared" ca="1" si="11"/>
        <v>0</v>
      </c>
      <c r="B76" s="7">
        <f ca="1">OFFSET(ORÇAMENTO!C$15,$L76,0)</f>
        <v>2</v>
      </c>
      <c r="C76" s="7" t="str">
        <f ca="1">OFFSET(ORÇAMENTO!L$15,$L76,0)</f>
        <v>F</v>
      </c>
      <c r="D76" s="116" t="str">
        <f ca="1">OFFSET(ORÇAMENTO!N$15,$L76,0)</f>
        <v>Nível 2</v>
      </c>
      <c r="E76" s="117" t="str">
        <f ca="1">OFFSET(ORÇAMENTO!O$15,$L76,0)</f>
        <v>6.1.</v>
      </c>
      <c r="F76" s="163" t="str">
        <f ca="1">OFFSET(ORÇAMENTO!R$15,$L76,0)</f>
        <v>TELHADOS</v>
      </c>
      <c r="G76" s="164" t="str">
        <f ca="1">IF($D76&lt;&gt;"Serviço","",OFFSET(ORÇAMENTO!S$15,$L76,0))</f>
        <v/>
      </c>
      <c r="H76" s="122" cm="1">
        <f t="array" aca="1" ref="H76" ca="1">IF($D76&lt;&gt;"Serviço",0,IF(ACOMPANHAMENTO="BM",ROUND(OFFSET(ORÇAMENTO!AJ$15,$L76,0),15-13*ORÇAMENTO!$AF$7),IF(IFERROR(CÁLCULO.FrentesPreenchidas,0)=0,0,SUM(ROUND(OFFSET($P76,0,1,1,CÁLCULO.FrentesPreenchidas),15-13*ORÇAMENTO!$AF$7)))))</f>
        <v>0</v>
      </c>
      <c r="I76" s="468"/>
      <c r="J76" s="651" t="str" cm="1">
        <f t="array" aca="1" ref="J76" ca="1">IF(OR(B76&lt;&gt;"S",CÁLCULO.FrentesPreenchidas=0),"",IF(AND(ACOMPANHAMENTO="PLE",AUTOEVENTO="Manual",OR(H76&gt;0,ORÇAMENTO!AC76="QUANT."),OR(K76="",M76=0,N76="")),"►E",IF(AND(ACOMPANHAMENTO="PLE",ORÇAMENTO!AC76="QUANT."),"►Q",IF(AND(ACOMPANHAMENTO="PLE",H76&lt;&gt;SUMPRODUCT(($Q$1:$AQ$1=1)*ROUND(Q76:AQ76,15))),"►S",IF(AND(COUNTIF($P$11:$AQ$11,"▼")=0,H76&gt;0,I76=""),"◄M","")))))</f>
        <v/>
      </c>
      <c r="K76" s="652"/>
      <c r="L76" s="165">
        <f t="shared" ca="1" si="12"/>
        <v>61</v>
      </c>
      <c r="M76" s="166" t="str">
        <f ca="1">IF($D76&lt;&gt;"Serviço","",
          IF(AUTOEVENTO="manual",$A76,
                IF(ISERROR(MATCH($A76,$A$15:OFFSET($A76,-1,0),0)),MAX($M$15:OFFSET(M76,-1,0))+1,
                      INDEX($M$15:OFFSET(M76,-1,0),MATCH($A76,$A$15:OFFSET($A76,-1,0),0)))))</f>
        <v/>
      </c>
      <c r="N76" s="167" t="str">
        <f ca="1">IF($D76&lt;&gt;"Serviço","",
         IF(AUTOEVENTO="Manual",
                IF($A76=0,"&lt;-- defina o número do agrupador",
                       OFFSET(EVENTOS!$D$15,$A76-$A$15,0)),
                OFFSET($F$15,$A76,0)))</f>
        <v/>
      </c>
      <c r="O76" s="168"/>
      <c r="Q76" s="168"/>
      <c r="R76" s="169"/>
      <c r="S76" s="169"/>
      <c r="T76" s="169"/>
      <c r="U76" s="169"/>
      <c r="V76" s="169"/>
      <c r="W76" s="169"/>
      <c r="X76" s="169"/>
      <c r="Y76" s="169"/>
      <c r="Z76" s="170"/>
      <c r="AA76" s="169"/>
      <c r="AB76" s="169"/>
      <c r="AC76" s="169"/>
      <c r="AD76" s="169"/>
      <c r="AE76" s="169"/>
      <c r="AF76" s="169"/>
      <c r="AG76" s="169"/>
      <c r="AH76" s="170"/>
      <c r="AI76" s="169"/>
      <c r="AJ76" s="169"/>
      <c r="AK76" s="169"/>
      <c r="AL76" s="169"/>
      <c r="AM76" s="169"/>
      <c r="AN76" s="169"/>
      <c r="AO76" s="169"/>
      <c r="AP76" s="170"/>
      <c r="AR76" s="453">
        <f ca="1">IF(AND($D76="Serviço",AR$12&lt;&gt;0,$H76&gt;0,OR(AUTOEVENTO&lt;&gt;"manual",$M76&lt;&gt;$A$15)),
        IF(Import.TipoArredondamento&lt;&gt;"TransfereGOV",
              ROUND(OFFSET($P76,0,AR$13),15-13*ORÇAMENTO!$AF$7)/$H76*OFFSET(ORÇAMENTO!$X$15,ROW(AR76)-ROW(AR$15),0),
              ROUND(ROUND(OFFSET($P76,0,AR$13),15-13*ORÇAMENTO!$AF$7)*OFFSET(ORÇAMENTO!$W$15,ROW(AR76)-ROW(AR$15),0),15-13*ORÇAMENTO!$AF$11)),
         0)</f>
        <v>0</v>
      </c>
      <c r="AS76" s="453">
        <f ca="1">IF(AND($D76="Serviço",AS$12&lt;&gt;0,$H76&gt;0,OR(AUTOEVENTO&lt;&gt;"manual",$M76&lt;&gt;$A$15)),
        IF(Import.TipoArredondamento&lt;&gt;"TransfereGOV",
              ROUND(OFFSET($P76,0,AS$13),15-13*ORÇAMENTO!$AF$7)/$H76*OFFSET(ORÇAMENTO!$X$15,ROW(AS76)-ROW(AS$15),0),
              ROUND(ROUND(OFFSET($P76,0,AS$13),15-13*ORÇAMENTO!$AF$7)*OFFSET(ORÇAMENTO!$W$15,ROW(AS76)-ROW(AS$15),0),15-13*ORÇAMENTO!$AF$11)),
         0)</f>
        <v>0</v>
      </c>
      <c r="AT76" s="453">
        <f ca="1">IF(AND($D76="Serviço",AT$12&lt;&gt;0,$H76&gt;0,OR(AUTOEVENTO&lt;&gt;"manual",$M76&lt;&gt;$A$15)),
        IF(Import.TipoArredondamento&lt;&gt;"TransfereGOV",
              ROUND(OFFSET($P76,0,AT$13),15-13*ORÇAMENTO!$AF$7)/$H76*OFFSET(ORÇAMENTO!$X$15,ROW(AT76)-ROW(AT$15),0),
              ROUND(ROUND(OFFSET($P76,0,AT$13),15-13*ORÇAMENTO!$AF$7)*OFFSET(ORÇAMENTO!$W$15,ROW(AT76)-ROW(AT$15),0),15-13*ORÇAMENTO!$AF$11)),
         0)</f>
        <v>0</v>
      </c>
      <c r="AU76" s="453">
        <f ca="1">IF(AND($D76="Serviço",AU$12&lt;&gt;0,$H76&gt;0,OR(AUTOEVENTO&lt;&gt;"manual",$M76&lt;&gt;$A$15)),
        IF(Import.TipoArredondamento&lt;&gt;"TransfereGOV",
              ROUND(OFFSET($P76,0,AU$13),15-13*ORÇAMENTO!$AF$7)/$H76*OFFSET(ORÇAMENTO!$X$15,ROW(AU76)-ROW(AU$15),0),
              ROUND(ROUND(OFFSET($P76,0,AU$13),15-13*ORÇAMENTO!$AF$7)*OFFSET(ORÇAMENTO!$W$15,ROW(AU76)-ROW(AU$15),0),15-13*ORÇAMENTO!$AF$11)),
         0)</f>
        <v>0</v>
      </c>
      <c r="AV76" s="453">
        <f ca="1">IF(AND($D76="Serviço",AV$12&lt;&gt;0,$H76&gt;0,OR(AUTOEVENTO&lt;&gt;"manual",$M76&lt;&gt;$A$15)),
        IF(Import.TipoArredondamento&lt;&gt;"TransfereGOV",
              ROUND(OFFSET($P76,0,AV$13),15-13*ORÇAMENTO!$AF$7)/$H76*OFFSET(ORÇAMENTO!$X$15,ROW(AV76)-ROW(AV$15),0),
              ROUND(ROUND(OFFSET($P76,0,AV$13),15-13*ORÇAMENTO!$AF$7)*OFFSET(ORÇAMENTO!$W$15,ROW(AV76)-ROW(AV$15),0),15-13*ORÇAMENTO!$AF$11)),
         0)</f>
        <v>0</v>
      </c>
      <c r="AW76" s="453">
        <f ca="1">IF(AND($D76="Serviço",AW$12&lt;&gt;0,$H76&gt;0,OR(AUTOEVENTO&lt;&gt;"manual",$M76&lt;&gt;$A$15)),
        IF(Import.TipoArredondamento&lt;&gt;"TransfereGOV",
              ROUND(OFFSET($P76,0,AW$13),15-13*ORÇAMENTO!$AF$7)/$H76*OFFSET(ORÇAMENTO!$X$15,ROW(AW76)-ROW(AW$15),0),
              ROUND(ROUND(OFFSET($P76,0,AW$13),15-13*ORÇAMENTO!$AF$7)*OFFSET(ORÇAMENTO!$W$15,ROW(AW76)-ROW(AW$15),0),15-13*ORÇAMENTO!$AF$11)),
         0)</f>
        <v>0</v>
      </c>
      <c r="AX76" s="453">
        <f ca="1">IF(AND($D76="Serviço",AX$12&lt;&gt;0,$H76&gt;0,OR(AUTOEVENTO&lt;&gt;"manual",$M76&lt;&gt;$A$15)),
        IF(Import.TipoArredondamento&lt;&gt;"TransfereGOV",
              ROUND(OFFSET($P76,0,AX$13),15-13*ORÇAMENTO!$AF$7)/$H76*OFFSET(ORÇAMENTO!$X$15,ROW(AX76)-ROW(AX$15),0),
              ROUND(ROUND(OFFSET($P76,0,AX$13),15-13*ORÇAMENTO!$AF$7)*OFFSET(ORÇAMENTO!$W$15,ROW(AX76)-ROW(AX$15),0),15-13*ORÇAMENTO!$AF$11)),
         0)</f>
        <v>0</v>
      </c>
      <c r="AY76" s="453">
        <f ca="1">IF(AND($D76="Serviço",AY$12&lt;&gt;0,$H76&gt;0,OR(AUTOEVENTO&lt;&gt;"manual",$M76&lt;&gt;$A$15)),
        IF(Import.TipoArredondamento&lt;&gt;"TransfereGOV",
              ROUND(OFFSET($P76,0,AY$13),15-13*ORÇAMENTO!$AF$7)/$H76*OFFSET(ORÇAMENTO!$X$15,ROW(AY76)-ROW(AY$15),0),
              ROUND(ROUND(OFFSET($P76,0,AY$13),15-13*ORÇAMENTO!$AF$7)*OFFSET(ORÇAMENTO!$W$15,ROW(AY76)-ROW(AY$15),0),15-13*ORÇAMENTO!$AF$11)),
         0)</f>
        <v>0</v>
      </c>
      <c r="AZ76" s="453">
        <f ca="1">IF(AND($D76="Serviço",AZ$12&lt;&gt;0,$H76&gt;0,OR(AUTOEVENTO&lt;&gt;"manual",$M76&lt;&gt;$A$15)),
        IF(Import.TipoArredondamento&lt;&gt;"TransfereGOV",
              ROUND(OFFSET($P76,0,AZ$13),15-13*ORÇAMENTO!$AF$7)/$H76*OFFSET(ORÇAMENTO!$X$15,ROW(AZ76)-ROW(AZ$15),0),
              ROUND(ROUND(OFFSET($P76,0,AZ$13),15-13*ORÇAMENTO!$AF$7)*OFFSET(ORÇAMENTO!$W$15,ROW(AZ76)-ROW(AZ$15),0),15-13*ORÇAMENTO!$AF$11)),
         0)</f>
        <v>0</v>
      </c>
      <c r="BA76" s="453">
        <f ca="1">IF(AND($D76="Serviço",BA$12&lt;&gt;0,$H76&gt;0,OR(AUTOEVENTO&lt;&gt;"manual",$M76&lt;&gt;$A$15)),
        IF(Import.TipoArredondamento&lt;&gt;"TransfereGOV",
              ROUND(OFFSET($P76,0,BA$13),15-13*ORÇAMENTO!$AF$7)/$H76*OFFSET(ORÇAMENTO!$X$15,ROW(BA76)-ROW(BA$15),0),
              ROUND(ROUND(OFFSET($P76,0,BA$13),15-13*ORÇAMENTO!$AF$7)*OFFSET(ORÇAMENTO!$W$15,ROW(BA76)-ROW(BA$15),0),15-13*ORÇAMENTO!$AF$11)),
         0)</f>
        <v>0</v>
      </c>
      <c r="BB76" s="453">
        <f ca="1">IF(AND($D76="Serviço",BB$12&lt;&gt;0,$H76&gt;0,OR(AUTOEVENTO&lt;&gt;"manual",$M76&lt;&gt;$A$15)),
        IF(Import.TipoArredondamento&lt;&gt;"TransfereGOV",
              ROUND(OFFSET($P76,0,BB$13),15-13*ORÇAMENTO!$AF$7)/$H76*OFFSET(ORÇAMENTO!$X$15,ROW(BB76)-ROW(BB$15),0),
              ROUND(ROUND(OFFSET($P76,0,BB$13),15-13*ORÇAMENTO!$AF$7)*OFFSET(ORÇAMENTO!$W$15,ROW(BB76)-ROW(BB$15),0),15-13*ORÇAMENTO!$AF$11)),
         0)</f>
        <v>0</v>
      </c>
      <c r="BC76" s="453">
        <f ca="1">IF(AND($D76="Serviço",BC$12&lt;&gt;0,$H76&gt;0,OR(AUTOEVENTO&lt;&gt;"manual",$M76&lt;&gt;$A$15)),
        IF(Import.TipoArredondamento&lt;&gt;"TransfereGOV",
              ROUND(OFFSET($P76,0,BC$13),15-13*ORÇAMENTO!$AF$7)/$H76*OFFSET(ORÇAMENTO!$X$15,ROW(BC76)-ROW(BC$15),0),
              ROUND(ROUND(OFFSET($P76,0,BC$13),15-13*ORÇAMENTO!$AF$7)*OFFSET(ORÇAMENTO!$W$15,ROW(BC76)-ROW(BC$15),0),15-13*ORÇAMENTO!$AF$11)),
         0)</f>
        <v>0</v>
      </c>
      <c r="BD76" s="453">
        <f ca="1">IF(AND($D76="Serviço",BD$12&lt;&gt;0,$H76&gt;0,OR(AUTOEVENTO&lt;&gt;"manual",$M76&lt;&gt;$A$15)),
        IF(Import.TipoArredondamento&lt;&gt;"TransfereGOV",
              ROUND(OFFSET($P76,0,BD$13),15-13*ORÇAMENTO!$AF$7)/$H76*OFFSET(ORÇAMENTO!$X$15,ROW(BD76)-ROW(BD$15),0),
              ROUND(ROUND(OFFSET($P76,0,BD$13),15-13*ORÇAMENTO!$AF$7)*OFFSET(ORÇAMENTO!$W$15,ROW(BD76)-ROW(BD$15),0),15-13*ORÇAMENTO!$AF$11)),
         0)</f>
        <v>0</v>
      </c>
      <c r="BE76" s="453">
        <f ca="1">IF(AND($D76="Serviço",BE$12&lt;&gt;0,$H76&gt;0,OR(AUTOEVENTO&lt;&gt;"manual",$M76&lt;&gt;$A$15)),
        IF(Import.TipoArredondamento&lt;&gt;"TransfereGOV",
              ROUND(OFFSET($P76,0,BE$13),15-13*ORÇAMENTO!$AF$7)/$H76*OFFSET(ORÇAMENTO!$X$15,ROW(BE76)-ROW(BE$15),0),
              ROUND(ROUND(OFFSET($P76,0,BE$13),15-13*ORÇAMENTO!$AF$7)*OFFSET(ORÇAMENTO!$W$15,ROW(BE76)-ROW(BE$15),0),15-13*ORÇAMENTO!$AF$11)),
         0)</f>
        <v>0</v>
      </c>
      <c r="BF76" s="453">
        <f ca="1">IF(AND($D76="Serviço",BF$12&lt;&gt;0,$H76&gt;0,OR(AUTOEVENTO&lt;&gt;"manual",$M76&lt;&gt;$A$15)),
        IF(Import.TipoArredondamento&lt;&gt;"TransfereGOV",
              ROUND(OFFSET($P76,0,BF$13),15-13*ORÇAMENTO!$AF$7)/$H76*OFFSET(ORÇAMENTO!$X$15,ROW(BF76)-ROW(BF$15),0),
              ROUND(ROUND(OFFSET($P76,0,BF$13),15-13*ORÇAMENTO!$AF$7)*OFFSET(ORÇAMENTO!$W$15,ROW(BF76)-ROW(BF$15),0),15-13*ORÇAMENTO!$AF$11)),
         0)</f>
        <v>0</v>
      </c>
      <c r="BG76" s="453">
        <f ca="1">IF(AND($D76="Serviço",BG$12&lt;&gt;0,$H76&gt;0,OR(AUTOEVENTO&lt;&gt;"manual",$M76&lt;&gt;$A$15)),
        IF(Import.TipoArredondamento&lt;&gt;"TransfereGOV",
              ROUND(OFFSET($P76,0,BG$13),15-13*ORÇAMENTO!$AF$7)/$H76*OFFSET(ORÇAMENTO!$X$15,ROW(BG76)-ROW(BG$15),0),
              ROUND(ROUND(OFFSET($P76,0,BG$13),15-13*ORÇAMENTO!$AF$7)*OFFSET(ORÇAMENTO!$W$15,ROW(BG76)-ROW(BG$15),0),15-13*ORÇAMENTO!$AF$11)),
         0)</f>
        <v>0</v>
      </c>
      <c r="BH76" s="453">
        <f ca="1">IF(AND($D76="Serviço",BH$12&lt;&gt;0,$H76&gt;0,OR(AUTOEVENTO&lt;&gt;"manual",$M76&lt;&gt;$A$15)),
        IF(Import.TipoArredondamento&lt;&gt;"TransfereGOV",
              ROUND(OFFSET($P76,0,BH$13),15-13*ORÇAMENTO!$AF$7)/$H76*OFFSET(ORÇAMENTO!$X$15,ROW(BH76)-ROW(BH$15),0),
              ROUND(ROUND(OFFSET($P76,0,BH$13),15-13*ORÇAMENTO!$AF$7)*OFFSET(ORÇAMENTO!$W$15,ROW(BH76)-ROW(BH$15),0),15-13*ORÇAMENTO!$AF$11)),
         0)</f>
        <v>0</v>
      </c>
      <c r="BI76" s="453">
        <f ca="1">IF(AND($D76="Serviço",BI$12&lt;&gt;0,$H76&gt;0,OR(AUTOEVENTO&lt;&gt;"manual",$M76&lt;&gt;$A$15)),
        IF(Import.TipoArredondamento&lt;&gt;"TransfereGOV",
              ROUND(OFFSET($P76,0,BI$13),15-13*ORÇAMENTO!$AF$7)/$H76*OFFSET(ORÇAMENTO!$X$15,ROW(BI76)-ROW(BI$15),0),
              ROUND(ROUND(OFFSET($P76,0,BI$13),15-13*ORÇAMENTO!$AF$7)*OFFSET(ORÇAMENTO!$W$15,ROW(BI76)-ROW(BI$15),0),15-13*ORÇAMENTO!$AF$11)),
         0)</f>
        <v>0</v>
      </c>
      <c r="BJ76" s="453">
        <f ca="1">IF(AND($D76="Serviço",BJ$12&lt;&gt;0,$H76&gt;0,OR(AUTOEVENTO&lt;&gt;"manual",$M76&lt;&gt;$A$15)),
        IF(Import.TipoArredondamento&lt;&gt;"TransfereGOV",
              ROUND(OFFSET($P76,0,BJ$13),15-13*ORÇAMENTO!$AF$7)/$H76*OFFSET(ORÇAMENTO!$X$15,ROW(BJ76)-ROW(BJ$15),0),
              ROUND(ROUND(OFFSET($P76,0,BJ$13),15-13*ORÇAMENTO!$AF$7)*OFFSET(ORÇAMENTO!$W$15,ROW(BJ76)-ROW(BJ$15),0),15-13*ORÇAMENTO!$AF$11)),
         0)</f>
        <v>0</v>
      </c>
      <c r="BK76" s="453">
        <f ca="1">IF(AND($D76="Serviço",BK$12&lt;&gt;0,$H76&gt;0,OR(AUTOEVENTO&lt;&gt;"manual",$M76&lt;&gt;$A$15)),
        IF(Import.TipoArredondamento&lt;&gt;"TransfereGOV",
              ROUND(OFFSET($P76,0,BK$13),15-13*ORÇAMENTO!$AF$7)/$H76*OFFSET(ORÇAMENTO!$X$15,ROW(BK76)-ROW(BK$15),0),
              ROUND(ROUND(OFFSET($P76,0,BK$13),15-13*ORÇAMENTO!$AF$7)*OFFSET(ORÇAMENTO!$W$15,ROW(BK76)-ROW(BK$15),0),15-13*ORÇAMENTO!$AF$11)),
         0)</f>
        <v>0</v>
      </c>
      <c r="BL76" s="453">
        <f ca="1">IF(AND($D76="Serviço",BL$12&lt;&gt;0,$H76&gt;0,OR(AUTOEVENTO&lt;&gt;"manual",$M76&lt;&gt;$A$15)),
        IF(Import.TipoArredondamento&lt;&gt;"TransfereGOV",
              ROUND(OFFSET($P76,0,BL$13),15-13*ORÇAMENTO!$AF$7)/$H76*OFFSET(ORÇAMENTO!$X$15,ROW(BL76)-ROW(BL$15),0),
              ROUND(ROUND(OFFSET($P76,0,BL$13),15-13*ORÇAMENTO!$AF$7)*OFFSET(ORÇAMENTO!$W$15,ROW(BL76)-ROW(BL$15),0),15-13*ORÇAMENTO!$AF$11)),
         0)</f>
        <v>0</v>
      </c>
      <c r="BM76" s="453">
        <f ca="1">IF(AND($D76="Serviço",BM$12&lt;&gt;0,$H76&gt;0,OR(AUTOEVENTO&lt;&gt;"manual",$M76&lt;&gt;$A$15)),
        IF(Import.TipoArredondamento&lt;&gt;"TransfereGOV",
              ROUND(OFFSET($P76,0,BM$13),15-13*ORÇAMENTO!$AF$7)/$H76*OFFSET(ORÇAMENTO!$X$15,ROW(BM76)-ROW(BM$15),0),
              ROUND(ROUND(OFFSET($P76,0,BM$13),15-13*ORÇAMENTO!$AF$7)*OFFSET(ORÇAMENTO!$W$15,ROW(BM76)-ROW(BM$15),0),15-13*ORÇAMENTO!$AF$11)),
         0)</f>
        <v>0</v>
      </c>
      <c r="BN76" s="453">
        <f ca="1">IF(AND($D76="Serviço",BN$12&lt;&gt;0,$H76&gt;0,OR(AUTOEVENTO&lt;&gt;"manual",$M76&lt;&gt;$A$15)),
        IF(Import.TipoArredondamento&lt;&gt;"TransfereGOV",
              ROUND(OFFSET($P76,0,BN$13),15-13*ORÇAMENTO!$AF$7)/$H76*OFFSET(ORÇAMENTO!$X$15,ROW(BN76)-ROW(BN$15),0),
              ROUND(ROUND(OFFSET($P76,0,BN$13),15-13*ORÇAMENTO!$AF$7)*OFFSET(ORÇAMENTO!$W$15,ROW(BN76)-ROW(BN$15),0),15-13*ORÇAMENTO!$AF$11)),
         0)</f>
        <v>0</v>
      </c>
      <c r="BO76" s="453">
        <f ca="1">IF(AND($D76="Serviço",BO$12&lt;&gt;0,$H76&gt;0,OR(AUTOEVENTO&lt;&gt;"manual",$M76&lt;&gt;$A$15)),
        IF(Import.TipoArredondamento&lt;&gt;"TransfereGOV",
              ROUND(OFFSET($P76,0,BO$13),15-13*ORÇAMENTO!$AF$7)/$H76*OFFSET(ORÇAMENTO!$X$15,ROW(BO76)-ROW(BO$15),0),
              ROUND(ROUND(OFFSET($P76,0,BO$13),15-13*ORÇAMENTO!$AF$7)*OFFSET(ORÇAMENTO!$W$15,ROW(BO76)-ROW(BO$15),0),15-13*ORÇAMENTO!$AF$11)),
         0)</f>
        <v>0</v>
      </c>
      <c r="BP76" s="453">
        <f ca="1">IF(AND($D76="Serviço",BP$12&lt;&gt;0,$H76&gt;0,OR(AUTOEVENTO&lt;&gt;"manual",$M76&lt;&gt;$A$15)),
        IF(Import.TipoArredondamento&lt;&gt;"TransfereGOV",
              ROUND(OFFSET($P76,0,BP$13),15-13*ORÇAMENTO!$AF$7)/$H76*OFFSET(ORÇAMENTO!$X$15,ROW(BP76)-ROW(BP$15),0),
              ROUND(ROUND(OFFSET($P76,0,BP$13),15-13*ORÇAMENTO!$AF$7)*OFFSET(ORÇAMENTO!$W$15,ROW(BP76)-ROW(BP$15),0),15-13*ORÇAMENTO!$AF$11)),
         0)</f>
        <v>0</v>
      </c>
      <c r="BQ76" s="453">
        <f ca="1">IF(AND($D76="Serviço",BQ$12&lt;&gt;0,$H76&gt;0,OR(AUTOEVENTO&lt;&gt;"manual",$M76&lt;&gt;$A$15)),
        IF(Import.TipoArredondamento&lt;&gt;"TransfereGOV",
              ROUND(OFFSET($P76,0,BQ$13),15-13*ORÇAMENTO!$AF$7)/$H76*OFFSET(ORÇAMENTO!$X$15,ROW(BQ76)-ROW(BQ$15),0),
              ROUND(ROUND(OFFSET($P76,0,BQ$13),15-13*ORÇAMENTO!$AF$7)*OFFSET(ORÇAMENTO!$W$15,ROW(BQ76)-ROW(BQ$15),0),15-13*ORÇAMENTO!$AF$11)),
         0)</f>
        <v>0</v>
      </c>
      <c r="BS76" s="171">
        <f ca="1">IF(OR($D76&lt;&gt;"Serviço",AND(AUTOEVENTO="Manual",$M76=$A$15)),0,
         IF(OFFSET(CRONOPLE!$F$15,$M76-$A$15,BS$13)=0,10^12,OFFSET(CRONOPLE!$F$15,$M76-$A$15,BS$13)))</f>
        <v>0</v>
      </c>
      <c r="BT76" s="171">
        <f ca="1">IF(OR($D76&lt;&gt;"Serviço",AND(AUTOEVENTO="Manual",$M76=$A$15)),0,
         IF(OFFSET(CRONOPLE!$F$15,$M76-$A$15,BT$13)=0,10^12,OFFSET(CRONOPLE!$F$15,$M76-$A$15,BT$13)))</f>
        <v>0</v>
      </c>
      <c r="BU76" s="171">
        <f ca="1">IF(OR($D76&lt;&gt;"Serviço",AND(AUTOEVENTO="Manual",$M76=$A$15)),0,
         IF(OFFSET(CRONOPLE!$F$15,$M76-$A$15,BU$13)=0,10^12,OFFSET(CRONOPLE!$F$15,$M76-$A$15,BU$13)))</f>
        <v>0</v>
      </c>
      <c r="BV76" s="171">
        <f ca="1">IF(OR($D76&lt;&gt;"Serviço",AND(AUTOEVENTO="Manual",$M76=$A$15)),0,
         IF(OFFSET(CRONOPLE!$F$15,$M76-$A$15,BV$13)=0,10^12,OFFSET(CRONOPLE!$F$15,$M76-$A$15,BV$13)))</f>
        <v>0</v>
      </c>
      <c r="BW76" s="171">
        <f ca="1">IF(OR($D76&lt;&gt;"Serviço",AND(AUTOEVENTO="Manual",$M76=$A$15)),0,
         IF(OFFSET(CRONOPLE!$F$15,$M76-$A$15,BW$13)=0,10^12,OFFSET(CRONOPLE!$F$15,$M76-$A$15,BW$13)))</f>
        <v>0</v>
      </c>
      <c r="BX76" s="171">
        <f ca="1">IF(OR($D76&lt;&gt;"Serviço",AND(AUTOEVENTO="Manual",$M76=$A$15)),0,
         IF(OFFSET(CRONOPLE!$F$15,$M76-$A$15,BX$13)=0,10^12,OFFSET(CRONOPLE!$F$15,$M76-$A$15,BX$13)))</f>
        <v>0</v>
      </c>
      <c r="BY76" s="171">
        <f ca="1">IF(OR($D76&lt;&gt;"Serviço",AND(AUTOEVENTO="Manual",$M76=$A$15)),0,
         IF(OFFSET(CRONOPLE!$F$15,$M76-$A$15,BY$13)=0,10^12,OFFSET(CRONOPLE!$F$15,$M76-$A$15,BY$13)))</f>
        <v>0</v>
      </c>
      <c r="BZ76" s="171">
        <f ca="1">IF(OR($D76&lt;&gt;"Serviço",AND(AUTOEVENTO="Manual",$M76=$A$15)),0,
         IF(OFFSET(CRONOPLE!$F$15,$M76-$A$15,BZ$13)=0,10^12,OFFSET(CRONOPLE!$F$15,$M76-$A$15,BZ$13)))</f>
        <v>0</v>
      </c>
      <c r="CA76" s="171">
        <f ca="1">IF(OR($D76&lt;&gt;"Serviço",AND(AUTOEVENTO="Manual",$M76=$A$15)),0,
         IF(OFFSET(CRONOPLE!$F$15,$M76-$A$15,CA$13)=0,10^12,OFFSET(CRONOPLE!$F$15,$M76-$A$15,CA$13)))</f>
        <v>0</v>
      </c>
      <c r="CB76" s="171">
        <f ca="1">IF(OR($D76&lt;&gt;"Serviço",AND(AUTOEVENTO="Manual",$M76=$A$15)),0,
         IF(OFFSET(CRONOPLE!$F$15,$M76-$A$15,CB$13)=0,10^12,OFFSET(CRONOPLE!$F$15,$M76-$A$15,CB$13)))</f>
        <v>0</v>
      </c>
      <c r="CC76" s="171">
        <f ca="1">IF(OR($D76&lt;&gt;"Serviço",AND(AUTOEVENTO="Manual",$M76=$A$15)),0,
         IF(OFFSET(CRONOPLE!$F$15,$M76-$A$15,CC$13)=0,10^12,OFFSET(CRONOPLE!$F$15,$M76-$A$15,CC$13)))</f>
        <v>0</v>
      </c>
      <c r="CD76" s="171">
        <f ca="1">IF(OR($D76&lt;&gt;"Serviço",AND(AUTOEVENTO="Manual",$M76=$A$15)),0,
         IF(OFFSET(CRONOPLE!$F$15,$M76-$A$15,CD$13)=0,10^12,OFFSET(CRONOPLE!$F$15,$M76-$A$15,CD$13)))</f>
        <v>0</v>
      </c>
      <c r="CE76" s="171">
        <f ca="1">IF(OR($D76&lt;&gt;"Serviço",AND(AUTOEVENTO="Manual",$M76=$A$15)),0,
         IF(OFFSET(CRONOPLE!$F$15,$M76-$A$15,CE$13)=0,10^12,OFFSET(CRONOPLE!$F$15,$M76-$A$15,CE$13)))</f>
        <v>0</v>
      </c>
      <c r="CF76" s="171">
        <f ca="1">IF(OR($D76&lt;&gt;"Serviço",AND(AUTOEVENTO="Manual",$M76=$A$15)),0,
         IF(OFFSET(CRONOPLE!$F$15,$M76-$A$15,CF$13)=0,10^12,OFFSET(CRONOPLE!$F$15,$M76-$A$15,CF$13)))</f>
        <v>0</v>
      </c>
      <c r="CG76" s="171">
        <f ca="1">IF(OR($D76&lt;&gt;"Serviço",AND(AUTOEVENTO="Manual",$M76=$A$15)),0,
         IF(OFFSET(CRONOPLE!$F$15,$M76-$A$15,CG$13)=0,10^12,OFFSET(CRONOPLE!$F$15,$M76-$A$15,CG$13)))</f>
        <v>0</v>
      </c>
      <c r="CH76" s="171">
        <f ca="1">IF(OR($D76&lt;&gt;"Serviço",AND(AUTOEVENTO="Manual",$M76=$A$15)),0,
         IF(OFFSET(CRONOPLE!$F$15,$M76-$A$15,CH$13)=0,10^12,OFFSET(CRONOPLE!$F$15,$M76-$A$15,CH$13)))</f>
        <v>0</v>
      </c>
      <c r="CI76" s="171">
        <f ca="1">IF(OR($D76&lt;&gt;"Serviço",AND(AUTOEVENTO="Manual",$M76=$A$15)),0,
         IF(OFFSET(CRONOPLE!$F$15,$M76-$A$15,CI$13)=0,10^12,OFFSET(CRONOPLE!$F$15,$M76-$A$15,CI$13)))</f>
        <v>0</v>
      </c>
      <c r="CJ76" s="171">
        <f ca="1">IF(OR($D76&lt;&gt;"Serviço",AND(AUTOEVENTO="Manual",$M76=$A$15)),0,
         IF(OFFSET(CRONOPLE!$F$15,$M76-$A$15,CJ$13)=0,10^12,OFFSET(CRONOPLE!$F$15,$M76-$A$15,CJ$13)))</f>
        <v>0</v>
      </c>
      <c r="CK76" s="171">
        <f ca="1">IF(OR($D76&lt;&gt;"Serviço",AND(AUTOEVENTO="Manual",$M76=$A$15)),0,
         IF(OFFSET(CRONOPLE!$F$15,$M76-$A$15,CK$13)=0,10^12,OFFSET(CRONOPLE!$F$15,$M76-$A$15,CK$13)))</f>
        <v>0</v>
      </c>
      <c r="CL76" s="171">
        <f ca="1">IF(OR($D76&lt;&gt;"Serviço",AND(AUTOEVENTO="Manual",$M76=$A$15)),0,
         IF(OFFSET(CRONOPLE!$F$15,$M76-$A$15,CL$13)=0,10^12,OFFSET(CRONOPLE!$F$15,$M76-$A$15,CL$13)))</f>
        <v>0</v>
      </c>
      <c r="CM76" s="171">
        <f ca="1">IF(OR($D76&lt;&gt;"Serviço",AND(AUTOEVENTO="Manual",$M76=$A$15)),0,
         IF(OFFSET(CRONOPLE!$F$15,$M76-$A$15,CM$13)=0,10^12,OFFSET(CRONOPLE!$F$15,$M76-$A$15,CM$13)))</f>
        <v>0</v>
      </c>
      <c r="CN76" s="171">
        <f ca="1">IF(OR($D76&lt;&gt;"Serviço",AND(AUTOEVENTO="Manual",$M76=$A$15)),0,
         IF(OFFSET(CRONOPLE!$F$15,$M76-$A$15,CN$13)=0,10^12,OFFSET(CRONOPLE!$F$15,$M76-$A$15,CN$13)))</f>
        <v>0</v>
      </c>
      <c r="CO76" s="171">
        <f ca="1">IF(OR($D76&lt;&gt;"Serviço",AND(AUTOEVENTO="Manual",$M76=$A$15)),0,
         IF(OFFSET(CRONOPLE!$F$15,$M76-$A$15,CO$13)=0,10^12,OFFSET(CRONOPLE!$F$15,$M76-$A$15,CO$13)))</f>
        <v>0</v>
      </c>
      <c r="CP76" s="171">
        <f ca="1">IF(OR($D76&lt;&gt;"Serviço",AND(AUTOEVENTO="Manual",$M76=$A$15)),0,
         IF(OFFSET(CRONOPLE!$F$15,$M76-$A$15,CP$13)=0,10^12,OFFSET(CRONOPLE!$F$15,$M76-$A$15,CP$13)))</f>
        <v>0</v>
      </c>
      <c r="CQ76" s="171">
        <f ca="1">IF(OR($D76&lt;&gt;"Serviço",AND(AUTOEVENTO="Manual",$M76=$A$15)),0,
         IF(OFFSET(CRONOPLE!$F$15,$M76-$A$15,CQ$13)=0,10^12,OFFSET(CRONOPLE!$F$15,$M76-$A$15,CQ$13)))</f>
        <v>0</v>
      </c>
      <c r="CR76" s="171">
        <f ca="1">IF(OR($D76&lt;&gt;"Serviço",AND(AUTOEVENTO="Manual",$M76=$A$15)),0,
         IF(OFFSET(CRONOPLE!$F$15,$M76-$A$15,CR$13)=0,10^12,OFFSET(CRONOPLE!$F$15,$M76-$A$15,CR$13)))</f>
        <v>0</v>
      </c>
      <c r="CT76" s="172" cm="1">
        <f t="array" aca="1" ref="CT76" ca="1">IF(OR($D76&lt;&gt;"Serviço",AND(AUTOEVENTO="Manual",$M76=$A$15),$M76&gt;(ROW(PLE.lastrow)-ROW(PLE.firstrow))),0,
           IF(OFFSET(PLE!$G$15,$M76-$A$15,CT$13)="",10^12,OFFSET(PLE!$G$15,$M76-$A$15,CT$13)))</f>
        <v>0</v>
      </c>
      <c r="CU76" s="172" cm="1">
        <f t="array" aca="1" ref="CU76" ca="1">IF(OR($D76&lt;&gt;"Serviço",AND(AUTOEVENTO="Manual",$M76=$A$15),$M76&gt;(ROW(PLE.lastrow)-ROW(PLE.firstrow))),0,
           IF(OFFSET(PLE!$G$15,$M76-$A$15,CU$13)="",10^12,OFFSET(PLE!$G$15,$M76-$A$15,CU$13)))</f>
        <v>0</v>
      </c>
      <c r="CV76" s="172" cm="1">
        <f t="array" aca="1" ref="CV76" ca="1">IF(OR($D76&lt;&gt;"Serviço",AND(AUTOEVENTO="Manual",$M76=$A$15),$M76&gt;(ROW(PLE.lastrow)-ROW(PLE.firstrow))),0,
           IF(OFFSET(PLE!$G$15,$M76-$A$15,CV$13)="",10^12,OFFSET(PLE!$G$15,$M76-$A$15,CV$13)))</f>
        <v>0</v>
      </c>
      <c r="CW76" s="172" cm="1">
        <f t="array" aca="1" ref="CW76" ca="1">IF(OR($D76&lt;&gt;"Serviço",AND(AUTOEVENTO="Manual",$M76=$A$15),$M76&gt;(ROW(PLE.lastrow)-ROW(PLE.firstrow))),0,
           IF(OFFSET(PLE!$G$15,$M76-$A$15,CW$13)="",10^12,OFFSET(PLE!$G$15,$M76-$A$15,CW$13)))</f>
        <v>0</v>
      </c>
      <c r="CX76" s="172" cm="1">
        <f t="array" aca="1" ref="CX76" ca="1">IF(OR($D76&lt;&gt;"Serviço",AND(AUTOEVENTO="Manual",$M76=$A$15),$M76&gt;(ROW(PLE.lastrow)-ROW(PLE.firstrow))),0,
           IF(OFFSET(PLE!$G$15,$M76-$A$15,CX$13)="",10^12,OFFSET(PLE!$G$15,$M76-$A$15,CX$13)))</f>
        <v>0</v>
      </c>
      <c r="CY76" s="172" cm="1">
        <f t="array" aca="1" ref="CY76" ca="1">IF(OR($D76&lt;&gt;"Serviço",AND(AUTOEVENTO="Manual",$M76=$A$15),$M76&gt;(ROW(PLE.lastrow)-ROW(PLE.firstrow))),0,
           IF(OFFSET(PLE!$G$15,$M76-$A$15,CY$13)="",10^12,OFFSET(PLE!$G$15,$M76-$A$15,CY$13)))</f>
        <v>0</v>
      </c>
      <c r="CZ76" s="172" cm="1">
        <f t="array" aca="1" ref="CZ76" ca="1">IF(OR($D76&lt;&gt;"Serviço",AND(AUTOEVENTO="Manual",$M76=$A$15),$M76&gt;(ROW(PLE.lastrow)-ROW(PLE.firstrow))),0,
           IF(OFFSET(PLE!$G$15,$M76-$A$15,CZ$13)="",10^12,OFFSET(PLE!$G$15,$M76-$A$15,CZ$13)))</f>
        <v>0</v>
      </c>
      <c r="DA76" s="172" cm="1">
        <f t="array" aca="1" ref="DA76" ca="1">IF(OR($D76&lt;&gt;"Serviço",AND(AUTOEVENTO="Manual",$M76=$A$15),$M76&gt;(ROW(PLE.lastrow)-ROW(PLE.firstrow))),0,
           IF(OFFSET(PLE!$G$15,$M76-$A$15,DA$13)="",10^12,OFFSET(PLE!$G$15,$M76-$A$15,DA$13)))</f>
        <v>0</v>
      </c>
      <c r="DB76" s="172" cm="1">
        <f t="array" aca="1" ref="DB76" ca="1">IF(OR($D76&lt;&gt;"Serviço",AND(AUTOEVENTO="Manual",$M76=$A$15),$M76&gt;(ROW(PLE.lastrow)-ROW(PLE.firstrow))),0,
           IF(OFFSET(PLE!$G$15,$M76-$A$15,DB$13)="",10^12,OFFSET(PLE!$G$15,$M76-$A$15,DB$13)))</f>
        <v>0</v>
      </c>
      <c r="DC76" s="172" cm="1">
        <f t="array" aca="1" ref="DC76" ca="1">IF(OR($D76&lt;&gt;"Serviço",AND(AUTOEVENTO="Manual",$M76=$A$15),$M76&gt;(ROW(PLE.lastrow)-ROW(PLE.firstrow))),0,
           IF(OFFSET(PLE!$G$15,$M76-$A$15,DC$13)="",10^12,OFFSET(PLE!$G$15,$M76-$A$15,DC$13)))</f>
        <v>0</v>
      </c>
      <c r="DD76" s="172" cm="1">
        <f t="array" aca="1" ref="DD76" ca="1">IF(OR($D76&lt;&gt;"Serviço",AND(AUTOEVENTO="Manual",$M76=$A$15),$M76&gt;(ROW(PLE.lastrow)-ROW(PLE.firstrow))),0,
           IF(OFFSET(PLE!$G$15,$M76-$A$15,DD$13)="",10^12,OFFSET(PLE!$G$15,$M76-$A$15,DD$13)))</f>
        <v>0</v>
      </c>
      <c r="DE76" s="172" cm="1">
        <f t="array" aca="1" ref="DE76" ca="1">IF(OR($D76&lt;&gt;"Serviço",AND(AUTOEVENTO="Manual",$M76=$A$15),$M76&gt;(ROW(PLE.lastrow)-ROW(PLE.firstrow))),0,
           IF(OFFSET(PLE!$G$15,$M76-$A$15,DE$13)="",10^12,OFFSET(PLE!$G$15,$M76-$A$15,DE$13)))</f>
        <v>0</v>
      </c>
      <c r="DF76" s="172" cm="1">
        <f t="array" aca="1" ref="DF76" ca="1">IF(OR($D76&lt;&gt;"Serviço",AND(AUTOEVENTO="Manual",$M76=$A$15),$M76&gt;(ROW(PLE.lastrow)-ROW(PLE.firstrow))),0,
           IF(OFFSET(PLE!$G$15,$M76-$A$15,DF$13)="",10^12,OFFSET(PLE!$G$15,$M76-$A$15,DF$13)))</f>
        <v>0</v>
      </c>
      <c r="DG76" s="172" cm="1">
        <f t="array" aca="1" ref="DG76" ca="1">IF(OR($D76&lt;&gt;"Serviço",AND(AUTOEVENTO="Manual",$M76=$A$15),$M76&gt;(ROW(PLE.lastrow)-ROW(PLE.firstrow))),0,
           IF(OFFSET(PLE!$G$15,$M76-$A$15,DG$13)="",10^12,OFFSET(PLE!$G$15,$M76-$A$15,DG$13)))</f>
        <v>0</v>
      </c>
      <c r="DH76" s="172" cm="1">
        <f t="array" aca="1" ref="DH76" ca="1">IF(OR($D76&lt;&gt;"Serviço",AND(AUTOEVENTO="Manual",$M76=$A$15),$M76&gt;(ROW(PLE.lastrow)-ROW(PLE.firstrow))),0,
           IF(OFFSET(PLE!$G$15,$M76-$A$15,DH$13)="",10^12,OFFSET(PLE!$G$15,$M76-$A$15,DH$13)))</f>
        <v>0</v>
      </c>
      <c r="DI76" s="172" cm="1">
        <f t="array" aca="1" ref="DI76" ca="1">IF(OR($D76&lt;&gt;"Serviço",AND(AUTOEVENTO="Manual",$M76=$A$15),$M76&gt;(ROW(PLE.lastrow)-ROW(PLE.firstrow))),0,
           IF(OFFSET(PLE!$G$15,$M76-$A$15,DI$13)="",10^12,OFFSET(PLE!$G$15,$M76-$A$15,DI$13)))</f>
        <v>0</v>
      </c>
      <c r="DJ76" s="172" cm="1">
        <f t="array" aca="1" ref="DJ76" ca="1">IF(OR($D76&lt;&gt;"Serviço",AND(AUTOEVENTO="Manual",$M76=$A$15),$M76&gt;(ROW(PLE.lastrow)-ROW(PLE.firstrow))),0,
           IF(OFFSET(PLE!$G$15,$M76-$A$15,DJ$13)="",10^12,OFFSET(PLE!$G$15,$M76-$A$15,DJ$13)))</f>
        <v>0</v>
      </c>
      <c r="DK76" s="172" cm="1">
        <f t="array" aca="1" ref="DK76" ca="1">IF(OR($D76&lt;&gt;"Serviço",AND(AUTOEVENTO="Manual",$M76=$A$15),$M76&gt;(ROW(PLE.lastrow)-ROW(PLE.firstrow))),0,
           IF(OFFSET(PLE!$G$15,$M76-$A$15,DK$13)="",10^12,OFFSET(PLE!$G$15,$M76-$A$15,DK$13)))</f>
        <v>0</v>
      </c>
      <c r="DL76" s="172" cm="1">
        <f t="array" aca="1" ref="DL76" ca="1">IF(OR($D76&lt;&gt;"Serviço",AND(AUTOEVENTO="Manual",$M76=$A$15),$M76&gt;(ROW(PLE.lastrow)-ROW(PLE.firstrow))),0,
           IF(OFFSET(PLE!$G$15,$M76-$A$15,DL$13)="",10^12,OFFSET(PLE!$G$15,$M76-$A$15,DL$13)))</f>
        <v>0</v>
      </c>
      <c r="DM76" s="172" cm="1">
        <f t="array" aca="1" ref="DM76" ca="1">IF(OR($D76&lt;&gt;"Serviço",AND(AUTOEVENTO="Manual",$M76=$A$15),$M76&gt;(ROW(PLE.lastrow)-ROW(PLE.firstrow))),0,
           IF(OFFSET(PLE!$G$15,$M76-$A$15,DM$13)="",10^12,OFFSET(PLE!$G$15,$M76-$A$15,DM$13)))</f>
        <v>0</v>
      </c>
      <c r="DN76" s="172" cm="1">
        <f t="array" aca="1" ref="DN76" ca="1">IF(OR($D76&lt;&gt;"Serviço",AND(AUTOEVENTO="Manual",$M76=$A$15),$M76&gt;(ROW(PLE.lastrow)-ROW(PLE.firstrow))),0,
           IF(OFFSET(PLE!$G$15,$M76-$A$15,DN$13)="",10^12,OFFSET(PLE!$G$15,$M76-$A$15,DN$13)))</f>
        <v>0</v>
      </c>
      <c r="DO76" s="172" cm="1">
        <f t="array" aca="1" ref="DO76" ca="1">IF(OR($D76&lt;&gt;"Serviço",AND(AUTOEVENTO="Manual",$M76=$A$15),$M76&gt;(ROW(PLE.lastrow)-ROW(PLE.firstrow))),0,
           IF(OFFSET(PLE!$G$15,$M76-$A$15,DO$13)="",10^12,OFFSET(PLE!$G$15,$M76-$A$15,DO$13)))</f>
        <v>0</v>
      </c>
      <c r="DP76" s="172" cm="1">
        <f t="array" aca="1" ref="DP76" ca="1">IF(OR($D76&lt;&gt;"Serviço",AND(AUTOEVENTO="Manual",$M76=$A$15),$M76&gt;(ROW(PLE.lastrow)-ROW(PLE.firstrow))),0,
           IF(OFFSET(PLE!$G$15,$M76-$A$15,DP$13)="",10^12,OFFSET(PLE!$G$15,$M76-$A$15,DP$13)))</f>
        <v>0</v>
      </c>
      <c r="DQ76" s="172" cm="1">
        <f t="array" aca="1" ref="DQ76" ca="1">IF(OR($D76&lt;&gt;"Serviço",AND(AUTOEVENTO="Manual",$M76=$A$15),$M76&gt;(ROW(PLE.lastrow)-ROW(PLE.firstrow))),0,
           IF(OFFSET(PLE!$G$15,$M76-$A$15,DQ$13)="",10^12,OFFSET(PLE!$G$15,$M76-$A$15,DQ$13)))</f>
        <v>0</v>
      </c>
      <c r="DR76" s="172" cm="1">
        <f t="array" aca="1" ref="DR76" ca="1">IF(OR($D76&lt;&gt;"Serviço",AND(AUTOEVENTO="Manual",$M76=$A$15),$M76&gt;(ROW(PLE.lastrow)-ROW(PLE.firstrow))),0,
           IF(OFFSET(PLE!$G$15,$M76-$A$15,DR$13)="",10^12,OFFSET(PLE!$G$15,$M76-$A$15,DR$13)))</f>
        <v>0</v>
      </c>
      <c r="DS76" s="172" cm="1">
        <f t="array" aca="1" ref="DS76" ca="1">IF(OR($D76&lt;&gt;"Serviço",AND(AUTOEVENTO="Manual",$M76=$A$15),$M76&gt;(ROW(PLE.lastrow)-ROW(PLE.firstrow))),0,
           IF(OFFSET(PLE!$G$15,$M76-$A$15,DS$13)="",10^12,OFFSET(PLE!$G$15,$M76-$A$15,DS$13)))</f>
        <v>0</v>
      </c>
    </row>
    <row r="77" spans="1:123" ht="38.25" x14ac:dyDescent="0.2">
      <c r="A77" s="7">
        <f t="shared" ca="1" si="11"/>
        <v>6</v>
      </c>
      <c r="B77" s="7" t="str">
        <f ca="1">OFFSET(ORÇAMENTO!C$15,$L77,0)</f>
        <v>S</v>
      </c>
      <c r="C77" s="7" t="str">
        <f ca="1">OFFSET(ORÇAMENTO!L$15,$L77,0)</f>
        <v/>
      </c>
      <c r="D77" s="116" t="str">
        <f ca="1">OFFSET(ORÇAMENTO!N$15,$L77,0)</f>
        <v>Serviço</v>
      </c>
      <c r="E77" s="117" t="str">
        <f ca="1">OFFSET(ORÇAMENTO!O$15,$L77,0)</f>
        <v>-</v>
      </c>
      <c r="F77" s="163" t="str">
        <f ca="1">OFFSET(ORÇAMENTO!R$15,$L77,0)</f>
        <v>(Código não identificado nas referências)</v>
      </c>
      <c r="G77" s="164" t="str">
        <f ca="1">IF($D77&lt;&gt;"Serviço","",OFFSET(ORÇAMENTO!S$15,$L77,0))</f>
        <v>-</v>
      </c>
      <c r="H77" s="122" cm="1">
        <f t="array" aca="1" ref="H77" ca="1">IF($D77&lt;&gt;"Serviço",0,IF(ACOMPANHAMENTO="BM",ROUND(OFFSET(ORÇAMENTO!AJ$15,$L77,0),15-13*ORÇAMENTO!$AF$7),IF(IFERROR(CÁLCULO.FrentesPreenchidas,0)=0,0,SUM(ROUND(OFFSET($P77,0,1,1,CÁLCULO.FrentesPreenchidas),15-13*ORÇAMENTO!$AF$7)))))</f>
        <v>1469.8</v>
      </c>
      <c r="I77" s="468" t="s">
        <v>1235</v>
      </c>
      <c r="J77" s="651" t="str" cm="1">
        <f t="array" aca="1" ref="J77" ca="1">IF(OR(B77&lt;&gt;"S",CÁLCULO.FrentesPreenchidas=0),"",IF(AND(ACOMPANHAMENTO="PLE",AUTOEVENTO="Manual",OR(H77&gt;0,ORÇAMENTO!AC77="QUANT."),OR(K77="",M77=0,N77="")),"►E",IF(AND(ACOMPANHAMENTO="PLE",ORÇAMENTO!AC77="QUANT."),"►Q",IF(AND(ACOMPANHAMENTO="PLE",H77&lt;&gt;SUMPRODUCT(($Q$1:$AQ$1=1)*ROUND(Q77:AQ77,15))),"►S",IF(AND(COUNTIF($P$11:$AQ$11,"▼")=0,H77&gt;0,I77=""),"◄M","")))))</f>
        <v/>
      </c>
      <c r="K77" s="652" t="s">
        <v>1254</v>
      </c>
      <c r="L77" s="165">
        <f t="shared" ca="1" si="12"/>
        <v>62</v>
      </c>
      <c r="M77" s="166">
        <f ca="1">IF($D77&lt;&gt;"Serviço","",
          IF(AUTOEVENTO="manual",$A77,
                IF(ISERROR(MATCH($A77,$A$15:OFFSET($A77,-1,0),0)),MAX($M$15:OFFSET(M77,-1,0))+1,
                      INDEX($M$15:OFFSET(M77,-1,0),MATCH($A77,$A$15:OFFSET($A77,-1,0),0)))))</f>
        <v>6</v>
      </c>
      <c r="N77" s="167" t="str">
        <f ca="1">IF($D77&lt;&gt;"Serviço","",
         IF(AUTOEVENTO="Manual",
                IF($A77=0,"&lt;-- defina o número do agrupador",
                       OFFSET(EVENTOS!$D$15,$A77-$A$15,0)),
                OFFSET($F$15,$A77,0)))</f>
        <v>COBERTURA E PROTEÇÕES</v>
      </c>
      <c r="O77" s="168"/>
      <c r="Q77" s="168">
        <v>73.489999999999995</v>
      </c>
      <c r="R77" s="169">
        <v>73.489999999999995</v>
      </c>
      <c r="S77" s="169">
        <v>73.489999999999995</v>
      </c>
      <c r="T77" s="169">
        <v>73.489999999999995</v>
      </c>
      <c r="U77" s="169">
        <v>73.489999999999995</v>
      </c>
      <c r="V77" s="169">
        <v>73.489999999999995</v>
      </c>
      <c r="W77" s="169">
        <v>73.489999999999995</v>
      </c>
      <c r="X77" s="169">
        <v>73.489999999999995</v>
      </c>
      <c r="Y77" s="169">
        <v>73.489999999999995</v>
      </c>
      <c r="Z77" s="170">
        <v>73.489999999999995</v>
      </c>
      <c r="AA77" s="169">
        <v>73.489999999999995</v>
      </c>
      <c r="AB77" s="169">
        <v>73.489999999999995</v>
      </c>
      <c r="AC77" s="169">
        <v>73.489999999999995</v>
      </c>
      <c r="AD77" s="169">
        <v>73.489999999999995</v>
      </c>
      <c r="AE77" s="169">
        <v>73.489999999999995</v>
      </c>
      <c r="AF77" s="169">
        <v>73.489999999999995</v>
      </c>
      <c r="AG77" s="169">
        <v>73.489999999999995</v>
      </c>
      <c r="AH77" s="170">
        <v>73.489999999999995</v>
      </c>
      <c r="AI77" s="169">
        <v>73.489999999999995</v>
      </c>
      <c r="AJ77" s="169">
        <v>73.489999999999995</v>
      </c>
      <c r="AK77" s="169"/>
      <c r="AL77" s="169"/>
      <c r="AM77" s="169"/>
      <c r="AN77" s="169"/>
      <c r="AO77" s="169"/>
      <c r="AP77" s="170"/>
      <c r="AR77" s="453">
        <f ca="1">IF(AND($D77="Serviço",AR$12&lt;&gt;0,$H77&gt;0,OR(AUTOEVENTO&lt;&gt;"manual",$M77&lt;&gt;$A$15)),
        IF(Import.TipoArredondamento&lt;&gt;"TransfereGOV",
              ROUND(OFFSET($P77,0,AR$13),15-13*ORÇAMENTO!$AF$7)/$H77*OFFSET(ORÇAMENTO!$X$15,ROW(AR77)-ROW(AR$15),0),
              ROUND(ROUND(OFFSET($P77,0,AR$13),15-13*ORÇAMENTO!$AF$7)*OFFSET(ORÇAMENTO!$W$15,ROW(AR77)-ROW(AR$15),0),15-13*ORÇAMENTO!$AF$11)),
         0)</f>
        <v>0</v>
      </c>
      <c r="AS77" s="453">
        <f ca="1">IF(AND($D77="Serviço",AS$12&lt;&gt;0,$H77&gt;0,OR(AUTOEVENTO&lt;&gt;"manual",$M77&lt;&gt;$A$15)),
        IF(Import.TipoArredondamento&lt;&gt;"TransfereGOV",
              ROUND(OFFSET($P77,0,AS$13),15-13*ORÇAMENTO!$AF$7)/$H77*OFFSET(ORÇAMENTO!$X$15,ROW(AS77)-ROW(AS$15),0),
              ROUND(ROUND(OFFSET($P77,0,AS$13),15-13*ORÇAMENTO!$AF$7)*OFFSET(ORÇAMENTO!$W$15,ROW(AS77)-ROW(AS$15),0),15-13*ORÇAMENTO!$AF$11)),
         0)</f>
        <v>0</v>
      </c>
      <c r="AT77" s="453">
        <f ca="1">IF(AND($D77="Serviço",AT$12&lt;&gt;0,$H77&gt;0,OR(AUTOEVENTO&lt;&gt;"manual",$M77&lt;&gt;$A$15)),
        IF(Import.TipoArredondamento&lt;&gt;"TransfereGOV",
              ROUND(OFFSET($P77,0,AT$13),15-13*ORÇAMENTO!$AF$7)/$H77*OFFSET(ORÇAMENTO!$X$15,ROW(AT77)-ROW(AT$15),0),
              ROUND(ROUND(OFFSET($P77,0,AT$13),15-13*ORÇAMENTO!$AF$7)*OFFSET(ORÇAMENTO!$W$15,ROW(AT77)-ROW(AT$15),0),15-13*ORÇAMENTO!$AF$11)),
         0)</f>
        <v>0</v>
      </c>
      <c r="AU77" s="453">
        <f ca="1">IF(AND($D77="Serviço",AU$12&lt;&gt;0,$H77&gt;0,OR(AUTOEVENTO&lt;&gt;"manual",$M77&lt;&gt;$A$15)),
        IF(Import.TipoArredondamento&lt;&gt;"TransfereGOV",
              ROUND(OFFSET($P77,0,AU$13),15-13*ORÇAMENTO!$AF$7)/$H77*OFFSET(ORÇAMENTO!$X$15,ROW(AU77)-ROW(AU$15),0),
              ROUND(ROUND(OFFSET($P77,0,AU$13),15-13*ORÇAMENTO!$AF$7)*OFFSET(ORÇAMENTO!$W$15,ROW(AU77)-ROW(AU$15),0),15-13*ORÇAMENTO!$AF$11)),
         0)</f>
        <v>0</v>
      </c>
      <c r="AV77" s="453">
        <f ca="1">IF(AND($D77="Serviço",AV$12&lt;&gt;0,$H77&gt;0,OR(AUTOEVENTO&lt;&gt;"manual",$M77&lt;&gt;$A$15)),
        IF(Import.TipoArredondamento&lt;&gt;"TransfereGOV",
              ROUND(OFFSET($P77,0,AV$13),15-13*ORÇAMENTO!$AF$7)/$H77*OFFSET(ORÇAMENTO!$X$15,ROW(AV77)-ROW(AV$15),0),
              ROUND(ROUND(OFFSET($P77,0,AV$13),15-13*ORÇAMENTO!$AF$7)*OFFSET(ORÇAMENTO!$W$15,ROW(AV77)-ROW(AV$15),0),15-13*ORÇAMENTO!$AF$11)),
         0)</f>
        <v>0</v>
      </c>
      <c r="AW77" s="453">
        <f ca="1">IF(AND($D77="Serviço",AW$12&lt;&gt;0,$H77&gt;0,OR(AUTOEVENTO&lt;&gt;"manual",$M77&lt;&gt;$A$15)),
        IF(Import.TipoArredondamento&lt;&gt;"TransfereGOV",
              ROUND(OFFSET($P77,0,AW$13),15-13*ORÇAMENTO!$AF$7)/$H77*OFFSET(ORÇAMENTO!$X$15,ROW(AW77)-ROW(AW$15),0),
              ROUND(ROUND(OFFSET($P77,0,AW$13),15-13*ORÇAMENTO!$AF$7)*OFFSET(ORÇAMENTO!$W$15,ROW(AW77)-ROW(AW$15),0),15-13*ORÇAMENTO!$AF$11)),
         0)</f>
        <v>0</v>
      </c>
      <c r="AX77" s="453">
        <f ca="1">IF(AND($D77="Serviço",AX$12&lt;&gt;0,$H77&gt;0,OR(AUTOEVENTO&lt;&gt;"manual",$M77&lt;&gt;$A$15)),
        IF(Import.TipoArredondamento&lt;&gt;"TransfereGOV",
              ROUND(OFFSET($P77,0,AX$13),15-13*ORÇAMENTO!$AF$7)/$H77*OFFSET(ORÇAMENTO!$X$15,ROW(AX77)-ROW(AX$15),0),
              ROUND(ROUND(OFFSET($P77,0,AX$13),15-13*ORÇAMENTO!$AF$7)*OFFSET(ORÇAMENTO!$W$15,ROW(AX77)-ROW(AX$15),0),15-13*ORÇAMENTO!$AF$11)),
         0)</f>
        <v>0</v>
      </c>
      <c r="AY77" s="453">
        <f ca="1">IF(AND($D77="Serviço",AY$12&lt;&gt;0,$H77&gt;0,OR(AUTOEVENTO&lt;&gt;"manual",$M77&lt;&gt;$A$15)),
        IF(Import.TipoArredondamento&lt;&gt;"TransfereGOV",
              ROUND(OFFSET($P77,0,AY$13),15-13*ORÇAMENTO!$AF$7)/$H77*OFFSET(ORÇAMENTO!$X$15,ROW(AY77)-ROW(AY$15),0),
              ROUND(ROUND(OFFSET($P77,0,AY$13),15-13*ORÇAMENTO!$AF$7)*OFFSET(ORÇAMENTO!$W$15,ROW(AY77)-ROW(AY$15),0),15-13*ORÇAMENTO!$AF$11)),
         0)</f>
        <v>0</v>
      </c>
      <c r="AZ77" s="453">
        <f ca="1">IF(AND($D77="Serviço",AZ$12&lt;&gt;0,$H77&gt;0,OR(AUTOEVENTO&lt;&gt;"manual",$M77&lt;&gt;$A$15)),
        IF(Import.TipoArredondamento&lt;&gt;"TransfereGOV",
              ROUND(OFFSET($P77,0,AZ$13),15-13*ORÇAMENTO!$AF$7)/$H77*OFFSET(ORÇAMENTO!$X$15,ROW(AZ77)-ROW(AZ$15),0),
              ROUND(ROUND(OFFSET($P77,0,AZ$13),15-13*ORÇAMENTO!$AF$7)*OFFSET(ORÇAMENTO!$W$15,ROW(AZ77)-ROW(AZ$15),0),15-13*ORÇAMENTO!$AF$11)),
         0)</f>
        <v>0</v>
      </c>
      <c r="BA77" s="453">
        <f ca="1">IF(AND($D77="Serviço",BA$12&lt;&gt;0,$H77&gt;0,OR(AUTOEVENTO&lt;&gt;"manual",$M77&lt;&gt;$A$15)),
        IF(Import.TipoArredondamento&lt;&gt;"TransfereGOV",
              ROUND(OFFSET($P77,0,BA$13),15-13*ORÇAMENTO!$AF$7)/$H77*OFFSET(ORÇAMENTO!$X$15,ROW(BA77)-ROW(BA$15),0),
              ROUND(ROUND(OFFSET($P77,0,BA$13),15-13*ORÇAMENTO!$AF$7)*OFFSET(ORÇAMENTO!$W$15,ROW(BA77)-ROW(BA$15),0),15-13*ORÇAMENTO!$AF$11)),
         0)</f>
        <v>0</v>
      </c>
      <c r="BB77" s="453">
        <f ca="1">IF(AND($D77="Serviço",BB$12&lt;&gt;0,$H77&gt;0,OR(AUTOEVENTO&lt;&gt;"manual",$M77&lt;&gt;$A$15)),
        IF(Import.TipoArredondamento&lt;&gt;"TransfereGOV",
              ROUND(OFFSET($P77,0,BB$13),15-13*ORÇAMENTO!$AF$7)/$H77*OFFSET(ORÇAMENTO!$X$15,ROW(BB77)-ROW(BB$15),0),
              ROUND(ROUND(OFFSET($P77,0,BB$13),15-13*ORÇAMENTO!$AF$7)*OFFSET(ORÇAMENTO!$W$15,ROW(BB77)-ROW(BB$15),0),15-13*ORÇAMENTO!$AF$11)),
         0)</f>
        <v>0</v>
      </c>
      <c r="BC77" s="453">
        <f ca="1">IF(AND($D77="Serviço",BC$12&lt;&gt;0,$H77&gt;0,OR(AUTOEVENTO&lt;&gt;"manual",$M77&lt;&gt;$A$15)),
        IF(Import.TipoArredondamento&lt;&gt;"TransfereGOV",
              ROUND(OFFSET($P77,0,BC$13),15-13*ORÇAMENTO!$AF$7)/$H77*OFFSET(ORÇAMENTO!$X$15,ROW(BC77)-ROW(BC$15),0),
              ROUND(ROUND(OFFSET($P77,0,BC$13),15-13*ORÇAMENTO!$AF$7)*OFFSET(ORÇAMENTO!$W$15,ROW(BC77)-ROW(BC$15),0),15-13*ORÇAMENTO!$AF$11)),
         0)</f>
        <v>0</v>
      </c>
      <c r="BD77" s="453">
        <f ca="1">IF(AND($D77="Serviço",BD$12&lt;&gt;0,$H77&gt;0,OR(AUTOEVENTO&lt;&gt;"manual",$M77&lt;&gt;$A$15)),
        IF(Import.TipoArredondamento&lt;&gt;"TransfereGOV",
              ROUND(OFFSET($P77,0,BD$13),15-13*ORÇAMENTO!$AF$7)/$H77*OFFSET(ORÇAMENTO!$X$15,ROW(BD77)-ROW(BD$15),0),
              ROUND(ROUND(OFFSET($P77,0,BD$13),15-13*ORÇAMENTO!$AF$7)*OFFSET(ORÇAMENTO!$W$15,ROW(BD77)-ROW(BD$15),0),15-13*ORÇAMENTO!$AF$11)),
         0)</f>
        <v>0</v>
      </c>
      <c r="BE77" s="453">
        <f ca="1">IF(AND($D77="Serviço",BE$12&lt;&gt;0,$H77&gt;0,OR(AUTOEVENTO&lt;&gt;"manual",$M77&lt;&gt;$A$15)),
        IF(Import.TipoArredondamento&lt;&gt;"TransfereGOV",
              ROUND(OFFSET($P77,0,BE$13),15-13*ORÇAMENTO!$AF$7)/$H77*OFFSET(ORÇAMENTO!$X$15,ROW(BE77)-ROW(BE$15),0),
              ROUND(ROUND(OFFSET($P77,0,BE$13),15-13*ORÇAMENTO!$AF$7)*OFFSET(ORÇAMENTO!$W$15,ROW(BE77)-ROW(BE$15),0),15-13*ORÇAMENTO!$AF$11)),
         0)</f>
        <v>0</v>
      </c>
      <c r="BF77" s="453">
        <f ca="1">IF(AND($D77="Serviço",BF$12&lt;&gt;0,$H77&gt;0,OR(AUTOEVENTO&lt;&gt;"manual",$M77&lt;&gt;$A$15)),
        IF(Import.TipoArredondamento&lt;&gt;"TransfereGOV",
              ROUND(OFFSET($P77,0,BF$13),15-13*ORÇAMENTO!$AF$7)/$H77*OFFSET(ORÇAMENTO!$X$15,ROW(BF77)-ROW(BF$15),0),
              ROUND(ROUND(OFFSET($P77,0,BF$13),15-13*ORÇAMENTO!$AF$7)*OFFSET(ORÇAMENTO!$W$15,ROW(BF77)-ROW(BF$15),0),15-13*ORÇAMENTO!$AF$11)),
         0)</f>
        <v>0</v>
      </c>
      <c r="BG77" s="453">
        <f ca="1">IF(AND($D77="Serviço",BG$12&lt;&gt;0,$H77&gt;0,OR(AUTOEVENTO&lt;&gt;"manual",$M77&lt;&gt;$A$15)),
        IF(Import.TipoArredondamento&lt;&gt;"TransfereGOV",
              ROUND(OFFSET($P77,0,BG$13),15-13*ORÇAMENTO!$AF$7)/$H77*OFFSET(ORÇAMENTO!$X$15,ROW(BG77)-ROW(BG$15),0),
              ROUND(ROUND(OFFSET($P77,0,BG$13),15-13*ORÇAMENTO!$AF$7)*OFFSET(ORÇAMENTO!$W$15,ROW(BG77)-ROW(BG$15),0),15-13*ORÇAMENTO!$AF$11)),
         0)</f>
        <v>0</v>
      </c>
      <c r="BH77" s="453">
        <f ca="1">IF(AND($D77="Serviço",BH$12&lt;&gt;0,$H77&gt;0,OR(AUTOEVENTO&lt;&gt;"manual",$M77&lt;&gt;$A$15)),
        IF(Import.TipoArredondamento&lt;&gt;"TransfereGOV",
              ROUND(OFFSET($P77,0,BH$13),15-13*ORÇAMENTO!$AF$7)/$H77*OFFSET(ORÇAMENTO!$X$15,ROW(BH77)-ROW(BH$15),0),
              ROUND(ROUND(OFFSET($P77,0,BH$13),15-13*ORÇAMENTO!$AF$7)*OFFSET(ORÇAMENTO!$W$15,ROW(BH77)-ROW(BH$15),0),15-13*ORÇAMENTO!$AF$11)),
         0)</f>
        <v>0</v>
      </c>
      <c r="BI77" s="453">
        <f ca="1">IF(AND($D77="Serviço",BI$12&lt;&gt;0,$H77&gt;0,OR(AUTOEVENTO&lt;&gt;"manual",$M77&lt;&gt;$A$15)),
        IF(Import.TipoArredondamento&lt;&gt;"TransfereGOV",
              ROUND(OFFSET($P77,0,BI$13),15-13*ORÇAMENTO!$AF$7)/$H77*OFFSET(ORÇAMENTO!$X$15,ROW(BI77)-ROW(BI$15),0),
              ROUND(ROUND(OFFSET($P77,0,BI$13),15-13*ORÇAMENTO!$AF$7)*OFFSET(ORÇAMENTO!$W$15,ROW(BI77)-ROW(BI$15),0),15-13*ORÇAMENTO!$AF$11)),
         0)</f>
        <v>0</v>
      </c>
      <c r="BJ77" s="453">
        <f ca="1">IF(AND($D77="Serviço",BJ$12&lt;&gt;0,$H77&gt;0,OR(AUTOEVENTO&lt;&gt;"manual",$M77&lt;&gt;$A$15)),
        IF(Import.TipoArredondamento&lt;&gt;"TransfereGOV",
              ROUND(OFFSET($P77,0,BJ$13),15-13*ORÇAMENTO!$AF$7)/$H77*OFFSET(ORÇAMENTO!$X$15,ROW(BJ77)-ROW(BJ$15),0),
              ROUND(ROUND(OFFSET($P77,0,BJ$13),15-13*ORÇAMENTO!$AF$7)*OFFSET(ORÇAMENTO!$W$15,ROW(BJ77)-ROW(BJ$15),0),15-13*ORÇAMENTO!$AF$11)),
         0)</f>
        <v>0</v>
      </c>
      <c r="BK77" s="453">
        <f ca="1">IF(AND($D77="Serviço",BK$12&lt;&gt;0,$H77&gt;0,OR(AUTOEVENTO&lt;&gt;"manual",$M77&lt;&gt;$A$15)),
        IF(Import.TipoArredondamento&lt;&gt;"TransfereGOV",
              ROUND(OFFSET($P77,0,BK$13),15-13*ORÇAMENTO!$AF$7)/$H77*OFFSET(ORÇAMENTO!$X$15,ROW(BK77)-ROW(BK$15),0),
              ROUND(ROUND(OFFSET($P77,0,BK$13),15-13*ORÇAMENTO!$AF$7)*OFFSET(ORÇAMENTO!$W$15,ROW(BK77)-ROW(BK$15),0),15-13*ORÇAMENTO!$AF$11)),
         0)</f>
        <v>0</v>
      </c>
      <c r="BL77" s="453">
        <f ca="1">IF(AND($D77="Serviço",BL$12&lt;&gt;0,$H77&gt;0,OR(AUTOEVENTO&lt;&gt;"manual",$M77&lt;&gt;$A$15)),
        IF(Import.TipoArredondamento&lt;&gt;"TransfereGOV",
              ROUND(OFFSET($P77,0,BL$13),15-13*ORÇAMENTO!$AF$7)/$H77*OFFSET(ORÇAMENTO!$X$15,ROW(BL77)-ROW(BL$15),0),
              ROUND(ROUND(OFFSET($P77,0,BL$13),15-13*ORÇAMENTO!$AF$7)*OFFSET(ORÇAMENTO!$W$15,ROW(BL77)-ROW(BL$15),0),15-13*ORÇAMENTO!$AF$11)),
         0)</f>
        <v>0</v>
      </c>
      <c r="BM77" s="453">
        <f ca="1">IF(AND($D77="Serviço",BM$12&lt;&gt;0,$H77&gt;0,OR(AUTOEVENTO&lt;&gt;"manual",$M77&lt;&gt;$A$15)),
        IF(Import.TipoArredondamento&lt;&gt;"TransfereGOV",
              ROUND(OFFSET($P77,0,BM$13),15-13*ORÇAMENTO!$AF$7)/$H77*OFFSET(ORÇAMENTO!$X$15,ROW(BM77)-ROW(BM$15),0),
              ROUND(ROUND(OFFSET($P77,0,BM$13),15-13*ORÇAMENTO!$AF$7)*OFFSET(ORÇAMENTO!$W$15,ROW(BM77)-ROW(BM$15),0),15-13*ORÇAMENTO!$AF$11)),
         0)</f>
        <v>0</v>
      </c>
      <c r="BN77" s="453">
        <f ca="1">IF(AND($D77="Serviço",BN$12&lt;&gt;0,$H77&gt;0,OR(AUTOEVENTO&lt;&gt;"manual",$M77&lt;&gt;$A$15)),
        IF(Import.TipoArredondamento&lt;&gt;"TransfereGOV",
              ROUND(OFFSET($P77,0,BN$13),15-13*ORÇAMENTO!$AF$7)/$H77*OFFSET(ORÇAMENTO!$X$15,ROW(BN77)-ROW(BN$15),0),
              ROUND(ROUND(OFFSET($P77,0,BN$13),15-13*ORÇAMENTO!$AF$7)*OFFSET(ORÇAMENTO!$W$15,ROW(BN77)-ROW(BN$15),0),15-13*ORÇAMENTO!$AF$11)),
         0)</f>
        <v>0</v>
      </c>
      <c r="BO77" s="453">
        <f ca="1">IF(AND($D77="Serviço",BO$12&lt;&gt;0,$H77&gt;0,OR(AUTOEVENTO&lt;&gt;"manual",$M77&lt;&gt;$A$15)),
        IF(Import.TipoArredondamento&lt;&gt;"TransfereGOV",
              ROUND(OFFSET($P77,0,BO$13),15-13*ORÇAMENTO!$AF$7)/$H77*OFFSET(ORÇAMENTO!$X$15,ROW(BO77)-ROW(BO$15),0),
              ROUND(ROUND(OFFSET($P77,0,BO$13),15-13*ORÇAMENTO!$AF$7)*OFFSET(ORÇAMENTO!$W$15,ROW(BO77)-ROW(BO$15),0),15-13*ORÇAMENTO!$AF$11)),
         0)</f>
        <v>0</v>
      </c>
      <c r="BP77" s="453">
        <f ca="1">IF(AND($D77="Serviço",BP$12&lt;&gt;0,$H77&gt;0,OR(AUTOEVENTO&lt;&gt;"manual",$M77&lt;&gt;$A$15)),
        IF(Import.TipoArredondamento&lt;&gt;"TransfereGOV",
              ROUND(OFFSET($P77,0,BP$13),15-13*ORÇAMENTO!$AF$7)/$H77*OFFSET(ORÇAMENTO!$X$15,ROW(BP77)-ROW(BP$15),0),
              ROUND(ROUND(OFFSET($P77,0,BP$13),15-13*ORÇAMENTO!$AF$7)*OFFSET(ORÇAMENTO!$W$15,ROW(BP77)-ROW(BP$15),0),15-13*ORÇAMENTO!$AF$11)),
         0)</f>
        <v>0</v>
      </c>
      <c r="BQ77" s="453">
        <f ca="1">IF(AND($D77="Serviço",BQ$12&lt;&gt;0,$H77&gt;0,OR(AUTOEVENTO&lt;&gt;"manual",$M77&lt;&gt;$A$15)),
        IF(Import.TipoArredondamento&lt;&gt;"TransfereGOV",
              ROUND(OFFSET($P77,0,BQ$13),15-13*ORÇAMENTO!$AF$7)/$H77*OFFSET(ORÇAMENTO!$X$15,ROW(BQ77)-ROW(BQ$15),0),
              ROUND(ROUND(OFFSET($P77,0,BQ$13),15-13*ORÇAMENTO!$AF$7)*OFFSET(ORÇAMENTO!$W$15,ROW(BQ77)-ROW(BQ$15),0),15-13*ORÇAMENTO!$AF$11)),
         0)</f>
        <v>0</v>
      </c>
      <c r="BS77" s="171">
        <f ca="1">IF(OR($D77&lt;&gt;"Serviço",AND(AUTOEVENTO="Manual",$M77=$A$15)),0,
         IF(OFFSET(CRONOPLE!$F$15,$M77-$A$15,BS$13)=0,10^12,OFFSET(CRONOPLE!$F$15,$M77-$A$15,BS$13)))</f>
        <v>1</v>
      </c>
      <c r="BT77" s="171">
        <f ca="1">IF(OR($D77&lt;&gt;"Serviço",AND(AUTOEVENTO="Manual",$M77=$A$15)),0,
         IF(OFFSET(CRONOPLE!$F$15,$M77-$A$15,BT$13)=0,10^12,OFFSET(CRONOPLE!$F$15,$M77-$A$15,BT$13)))</f>
        <v>2</v>
      </c>
      <c r="BU77" s="171">
        <f ca="1">IF(OR($D77&lt;&gt;"Serviço",AND(AUTOEVENTO="Manual",$M77=$A$15)),0,
         IF(OFFSET(CRONOPLE!$F$15,$M77-$A$15,BU$13)=0,10^12,OFFSET(CRONOPLE!$F$15,$M77-$A$15,BU$13)))</f>
        <v>3</v>
      </c>
      <c r="BV77" s="171">
        <f ca="1">IF(OR($D77&lt;&gt;"Serviço",AND(AUTOEVENTO="Manual",$M77=$A$15)),0,
         IF(OFFSET(CRONOPLE!$F$15,$M77-$A$15,BV$13)=0,10^12,OFFSET(CRONOPLE!$F$15,$M77-$A$15,BV$13)))</f>
        <v>4</v>
      </c>
      <c r="BW77" s="171">
        <f ca="1">IF(OR($D77&lt;&gt;"Serviço",AND(AUTOEVENTO="Manual",$M77=$A$15)),0,
         IF(OFFSET(CRONOPLE!$F$15,$M77-$A$15,BW$13)=0,10^12,OFFSET(CRONOPLE!$F$15,$M77-$A$15,BW$13)))</f>
        <v>5</v>
      </c>
      <c r="BX77" s="171">
        <f ca="1">IF(OR($D77&lt;&gt;"Serviço",AND(AUTOEVENTO="Manual",$M77=$A$15)),0,
         IF(OFFSET(CRONOPLE!$F$15,$M77-$A$15,BX$13)=0,10^12,OFFSET(CRONOPLE!$F$15,$M77-$A$15,BX$13)))</f>
        <v>6</v>
      </c>
      <c r="BY77" s="171">
        <f ca="1">IF(OR($D77&lt;&gt;"Serviço",AND(AUTOEVENTO="Manual",$M77=$A$15)),0,
         IF(OFFSET(CRONOPLE!$F$15,$M77-$A$15,BY$13)=0,10^12,OFFSET(CRONOPLE!$F$15,$M77-$A$15,BY$13)))</f>
        <v>7</v>
      </c>
      <c r="BZ77" s="171">
        <f ca="1">IF(OR($D77&lt;&gt;"Serviço",AND(AUTOEVENTO="Manual",$M77=$A$15)),0,
         IF(OFFSET(CRONOPLE!$F$15,$M77-$A$15,BZ$13)=0,10^12,OFFSET(CRONOPLE!$F$15,$M77-$A$15,BZ$13)))</f>
        <v>8</v>
      </c>
      <c r="CA77" s="171">
        <f ca="1">IF(OR($D77&lt;&gt;"Serviço",AND(AUTOEVENTO="Manual",$M77=$A$15)),0,
         IF(OFFSET(CRONOPLE!$F$15,$M77-$A$15,CA$13)=0,10^12,OFFSET(CRONOPLE!$F$15,$M77-$A$15,CA$13)))</f>
        <v>9</v>
      </c>
      <c r="CB77" s="171">
        <f ca="1">IF(OR($D77&lt;&gt;"Serviço",AND(AUTOEVENTO="Manual",$M77=$A$15)),0,
         IF(OFFSET(CRONOPLE!$F$15,$M77-$A$15,CB$13)=0,10^12,OFFSET(CRONOPLE!$F$15,$M77-$A$15,CB$13)))</f>
        <v>10</v>
      </c>
      <c r="CC77" s="171">
        <f ca="1">IF(OR($D77&lt;&gt;"Serviço",AND(AUTOEVENTO="Manual",$M77=$A$15)),0,
         IF(OFFSET(CRONOPLE!$F$15,$M77-$A$15,CC$13)=0,10^12,OFFSET(CRONOPLE!$F$15,$M77-$A$15,CC$13)))</f>
        <v>11</v>
      </c>
      <c r="CD77" s="171">
        <f ca="1">IF(OR($D77&lt;&gt;"Serviço",AND(AUTOEVENTO="Manual",$M77=$A$15)),0,
         IF(OFFSET(CRONOPLE!$F$15,$M77-$A$15,CD$13)=0,10^12,OFFSET(CRONOPLE!$F$15,$M77-$A$15,CD$13)))</f>
        <v>12</v>
      </c>
      <c r="CE77" s="171">
        <f ca="1">IF(OR($D77&lt;&gt;"Serviço",AND(AUTOEVENTO="Manual",$M77=$A$15)),0,
         IF(OFFSET(CRONOPLE!$F$15,$M77-$A$15,CE$13)=0,10^12,OFFSET(CRONOPLE!$F$15,$M77-$A$15,CE$13)))</f>
        <v>13</v>
      </c>
      <c r="CF77" s="171">
        <f ca="1">IF(OR($D77&lt;&gt;"Serviço",AND(AUTOEVENTO="Manual",$M77=$A$15)),0,
         IF(OFFSET(CRONOPLE!$F$15,$M77-$A$15,CF$13)=0,10^12,OFFSET(CRONOPLE!$F$15,$M77-$A$15,CF$13)))</f>
        <v>14</v>
      </c>
      <c r="CG77" s="171">
        <f ca="1">IF(OR($D77&lt;&gt;"Serviço",AND(AUTOEVENTO="Manual",$M77=$A$15)),0,
         IF(OFFSET(CRONOPLE!$F$15,$M77-$A$15,CG$13)=0,10^12,OFFSET(CRONOPLE!$F$15,$M77-$A$15,CG$13)))</f>
        <v>15</v>
      </c>
      <c r="CH77" s="171">
        <f ca="1">IF(OR($D77&lt;&gt;"Serviço",AND(AUTOEVENTO="Manual",$M77=$A$15)),0,
         IF(OFFSET(CRONOPLE!$F$15,$M77-$A$15,CH$13)=0,10^12,OFFSET(CRONOPLE!$F$15,$M77-$A$15,CH$13)))</f>
        <v>16</v>
      </c>
      <c r="CI77" s="171">
        <f ca="1">IF(OR($D77&lt;&gt;"Serviço",AND(AUTOEVENTO="Manual",$M77=$A$15)),0,
         IF(OFFSET(CRONOPLE!$F$15,$M77-$A$15,CI$13)=0,10^12,OFFSET(CRONOPLE!$F$15,$M77-$A$15,CI$13)))</f>
        <v>17</v>
      </c>
      <c r="CJ77" s="171">
        <f ca="1">IF(OR($D77&lt;&gt;"Serviço",AND(AUTOEVENTO="Manual",$M77=$A$15)),0,
         IF(OFFSET(CRONOPLE!$F$15,$M77-$A$15,CJ$13)=0,10^12,OFFSET(CRONOPLE!$F$15,$M77-$A$15,CJ$13)))</f>
        <v>18</v>
      </c>
      <c r="CK77" s="171">
        <f ca="1">IF(OR($D77&lt;&gt;"Serviço",AND(AUTOEVENTO="Manual",$M77=$A$15)),0,
         IF(OFFSET(CRONOPLE!$F$15,$M77-$A$15,CK$13)=0,10^12,OFFSET(CRONOPLE!$F$15,$M77-$A$15,CK$13)))</f>
        <v>19</v>
      </c>
      <c r="CL77" s="171">
        <f ca="1">IF(OR($D77&lt;&gt;"Serviço",AND(AUTOEVENTO="Manual",$M77=$A$15)),0,
         IF(OFFSET(CRONOPLE!$F$15,$M77-$A$15,CL$13)=0,10^12,OFFSET(CRONOPLE!$F$15,$M77-$A$15,CL$13)))</f>
        <v>20</v>
      </c>
      <c r="CM77" s="171">
        <f ca="1">IF(OR($D77&lt;&gt;"Serviço",AND(AUTOEVENTO="Manual",$M77=$A$15)),0,
         IF(OFFSET(CRONOPLE!$F$15,$M77-$A$15,CM$13)=0,10^12,OFFSET(CRONOPLE!$F$15,$M77-$A$15,CM$13)))</f>
        <v>1000000000000</v>
      </c>
      <c r="CN77" s="171">
        <f ca="1">IF(OR($D77&lt;&gt;"Serviço",AND(AUTOEVENTO="Manual",$M77=$A$15)),0,
         IF(OFFSET(CRONOPLE!$F$15,$M77-$A$15,CN$13)=0,10^12,OFFSET(CRONOPLE!$F$15,$M77-$A$15,CN$13)))</f>
        <v>1000000000000</v>
      </c>
      <c r="CO77" s="171">
        <f ca="1">IF(OR($D77&lt;&gt;"Serviço",AND(AUTOEVENTO="Manual",$M77=$A$15)),0,
         IF(OFFSET(CRONOPLE!$F$15,$M77-$A$15,CO$13)=0,10^12,OFFSET(CRONOPLE!$F$15,$M77-$A$15,CO$13)))</f>
        <v>1000000000000</v>
      </c>
      <c r="CP77" s="171">
        <f ca="1">IF(OR($D77&lt;&gt;"Serviço",AND(AUTOEVENTO="Manual",$M77=$A$15)),0,
         IF(OFFSET(CRONOPLE!$F$15,$M77-$A$15,CP$13)=0,10^12,OFFSET(CRONOPLE!$F$15,$M77-$A$15,CP$13)))</f>
        <v>1000000000000</v>
      </c>
      <c r="CQ77" s="171">
        <f ca="1">IF(OR($D77&lt;&gt;"Serviço",AND(AUTOEVENTO="Manual",$M77=$A$15)),0,
         IF(OFFSET(CRONOPLE!$F$15,$M77-$A$15,CQ$13)=0,10^12,OFFSET(CRONOPLE!$F$15,$M77-$A$15,CQ$13)))</f>
        <v>1000000000000</v>
      </c>
      <c r="CR77" s="171">
        <f ca="1">IF(OR($D77&lt;&gt;"Serviço",AND(AUTOEVENTO="Manual",$M77=$A$15)),0,
         IF(OFFSET(CRONOPLE!$F$15,$M77-$A$15,CR$13)=0,10^12,OFFSET(CRONOPLE!$F$15,$M77-$A$15,CR$13)))</f>
        <v>1000000000000</v>
      </c>
      <c r="CT77" s="172" cm="1">
        <f t="array" aca="1" ref="CT77" ca="1">IF(OR($D77&lt;&gt;"Serviço",AND(AUTOEVENTO="Manual",$M77=$A$15),$M77&gt;(ROW(PLE.lastrow)-ROW(PLE.firstrow))),0,
           IF(OFFSET(PLE!$G$15,$M77-$A$15,CT$13)="",10^12,OFFSET(PLE!$G$15,$M77-$A$15,CT$13)))</f>
        <v>1000000000000</v>
      </c>
      <c r="CU77" s="172" cm="1">
        <f t="array" aca="1" ref="CU77" ca="1">IF(OR($D77&lt;&gt;"Serviço",AND(AUTOEVENTO="Manual",$M77=$A$15),$M77&gt;(ROW(PLE.lastrow)-ROW(PLE.firstrow))),0,
           IF(OFFSET(PLE!$G$15,$M77-$A$15,CU$13)="",10^12,OFFSET(PLE!$G$15,$M77-$A$15,CU$13)))</f>
        <v>1000000000000</v>
      </c>
      <c r="CV77" s="172" cm="1">
        <f t="array" aca="1" ref="CV77" ca="1">IF(OR($D77&lt;&gt;"Serviço",AND(AUTOEVENTO="Manual",$M77=$A$15),$M77&gt;(ROW(PLE.lastrow)-ROW(PLE.firstrow))),0,
           IF(OFFSET(PLE!$G$15,$M77-$A$15,CV$13)="",10^12,OFFSET(PLE!$G$15,$M77-$A$15,CV$13)))</f>
        <v>1000000000000</v>
      </c>
      <c r="CW77" s="172" cm="1">
        <f t="array" aca="1" ref="CW77" ca="1">IF(OR($D77&lt;&gt;"Serviço",AND(AUTOEVENTO="Manual",$M77=$A$15),$M77&gt;(ROW(PLE.lastrow)-ROW(PLE.firstrow))),0,
           IF(OFFSET(PLE!$G$15,$M77-$A$15,CW$13)="",10^12,OFFSET(PLE!$G$15,$M77-$A$15,CW$13)))</f>
        <v>1000000000000</v>
      </c>
      <c r="CX77" s="172" cm="1">
        <f t="array" aca="1" ref="CX77" ca="1">IF(OR($D77&lt;&gt;"Serviço",AND(AUTOEVENTO="Manual",$M77=$A$15),$M77&gt;(ROW(PLE.lastrow)-ROW(PLE.firstrow))),0,
           IF(OFFSET(PLE!$G$15,$M77-$A$15,CX$13)="",10^12,OFFSET(PLE!$G$15,$M77-$A$15,CX$13)))</f>
        <v>1000000000000</v>
      </c>
      <c r="CY77" s="172" cm="1">
        <f t="array" aca="1" ref="CY77" ca="1">IF(OR($D77&lt;&gt;"Serviço",AND(AUTOEVENTO="Manual",$M77=$A$15),$M77&gt;(ROW(PLE.lastrow)-ROW(PLE.firstrow))),0,
           IF(OFFSET(PLE!$G$15,$M77-$A$15,CY$13)="",10^12,OFFSET(PLE!$G$15,$M77-$A$15,CY$13)))</f>
        <v>1000000000000</v>
      </c>
      <c r="CZ77" s="172" cm="1">
        <f t="array" aca="1" ref="CZ77" ca="1">IF(OR($D77&lt;&gt;"Serviço",AND(AUTOEVENTO="Manual",$M77=$A$15),$M77&gt;(ROW(PLE.lastrow)-ROW(PLE.firstrow))),0,
           IF(OFFSET(PLE!$G$15,$M77-$A$15,CZ$13)="",10^12,OFFSET(PLE!$G$15,$M77-$A$15,CZ$13)))</f>
        <v>1000000000000</v>
      </c>
      <c r="DA77" s="172" cm="1">
        <f t="array" aca="1" ref="DA77" ca="1">IF(OR($D77&lt;&gt;"Serviço",AND(AUTOEVENTO="Manual",$M77=$A$15),$M77&gt;(ROW(PLE.lastrow)-ROW(PLE.firstrow))),0,
           IF(OFFSET(PLE!$G$15,$M77-$A$15,DA$13)="",10^12,OFFSET(PLE!$G$15,$M77-$A$15,DA$13)))</f>
        <v>1000000000000</v>
      </c>
      <c r="DB77" s="172" cm="1">
        <f t="array" aca="1" ref="DB77" ca="1">IF(OR($D77&lt;&gt;"Serviço",AND(AUTOEVENTO="Manual",$M77=$A$15),$M77&gt;(ROW(PLE.lastrow)-ROW(PLE.firstrow))),0,
           IF(OFFSET(PLE!$G$15,$M77-$A$15,DB$13)="",10^12,OFFSET(PLE!$G$15,$M77-$A$15,DB$13)))</f>
        <v>1000000000000</v>
      </c>
      <c r="DC77" s="172" cm="1">
        <f t="array" aca="1" ref="DC77" ca="1">IF(OR($D77&lt;&gt;"Serviço",AND(AUTOEVENTO="Manual",$M77=$A$15),$M77&gt;(ROW(PLE.lastrow)-ROW(PLE.firstrow))),0,
           IF(OFFSET(PLE!$G$15,$M77-$A$15,DC$13)="",10^12,OFFSET(PLE!$G$15,$M77-$A$15,DC$13)))</f>
        <v>1000000000000</v>
      </c>
      <c r="DD77" s="172" cm="1">
        <f t="array" aca="1" ref="DD77" ca="1">IF(OR($D77&lt;&gt;"Serviço",AND(AUTOEVENTO="Manual",$M77=$A$15),$M77&gt;(ROW(PLE.lastrow)-ROW(PLE.firstrow))),0,
           IF(OFFSET(PLE!$G$15,$M77-$A$15,DD$13)="",10^12,OFFSET(PLE!$G$15,$M77-$A$15,DD$13)))</f>
        <v>1000000000000</v>
      </c>
      <c r="DE77" s="172" cm="1">
        <f t="array" aca="1" ref="DE77" ca="1">IF(OR($D77&lt;&gt;"Serviço",AND(AUTOEVENTO="Manual",$M77=$A$15),$M77&gt;(ROW(PLE.lastrow)-ROW(PLE.firstrow))),0,
           IF(OFFSET(PLE!$G$15,$M77-$A$15,DE$13)="",10^12,OFFSET(PLE!$G$15,$M77-$A$15,DE$13)))</f>
        <v>1000000000000</v>
      </c>
      <c r="DF77" s="172" cm="1">
        <f t="array" aca="1" ref="DF77" ca="1">IF(OR($D77&lt;&gt;"Serviço",AND(AUTOEVENTO="Manual",$M77=$A$15),$M77&gt;(ROW(PLE.lastrow)-ROW(PLE.firstrow))),0,
           IF(OFFSET(PLE!$G$15,$M77-$A$15,DF$13)="",10^12,OFFSET(PLE!$G$15,$M77-$A$15,DF$13)))</f>
        <v>1000000000000</v>
      </c>
      <c r="DG77" s="172" cm="1">
        <f t="array" aca="1" ref="DG77" ca="1">IF(OR($D77&lt;&gt;"Serviço",AND(AUTOEVENTO="Manual",$M77=$A$15),$M77&gt;(ROW(PLE.lastrow)-ROW(PLE.firstrow))),0,
           IF(OFFSET(PLE!$G$15,$M77-$A$15,DG$13)="",10^12,OFFSET(PLE!$G$15,$M77-$A$15,DG$13)))</f>
        <v>1000000000000</v>
      </c>
      <c r="DH77" s="172" cm="1">
        <f t="array" aca="1" ref="DH77" ca="1">IF(OR($D77&lt;&gt;"Serviço",AND(AUTOEVENTO="Manual",$M77=$A$15),$M77&gt;(ROW(PLE.lastrow)-ROW(PLE.firstrow))),0,
           IF(OFFSET(PLE!$G$15,$M77-$A$15,DH$13)="",10^12,OFFSET(PLE!$G$15,$M77-$A$15,DH$13)))</f>
        <v>1000000000000</v>
      </c>
      <c r="DI77" s="172" cm="1">
        <f t="array" aca="1" ref="DI77" ca="1">IF(OR($D77&lt;&gt;"Serviço",AND(AUTOEVENTO="Manual",$M77=$A$15),$M77&gt;(ROW(PLE.lastrow)-ROW(PLE.firstrow))),0,
           IF(OFFSET(PLE!$G$15,$M77-$A$15,DI$13)="",10^12,OFFSET(PLE!$G$15,$M77-$A$15,DI$13)))</f>
        <v>1000000000000</v>
      </c>
      <c r="DJ77" s="172" cm="1">
        <f t="array" aca="1" ref="DJ77" ca="1">IF(OR($D77&lt;&gt;"Serviço",AND(AUTOEVENTO="Manual",$M77=$A$15),$M77&gt;(ROW(PLE.lastrow)-ROW(PLE.firstrow))),0,
           IF(OFFSET(PLE!$G$15,$M77-$A$15,DJ$13)="",10^12,OFFSET(PLE!$G$15,$M77-$A$15,DJ$13)))</f>
        <v>1000000000000</v>
      </c>
      <c r="DK77" s="172" cm="1">
        <f t="array" aca="1" ref="DK77" ca="1">IF(OR($D77&lt;&gt;"Serviço",AND(AUTOEVENTO="Manual",$M77=$A$15),$M77&gt;(ROW(PLE.lastrow)-ROW(PLE.firstrow))),0,
           IF(OFFSET(PLE!$G$15,$M77-$A$15,DK$13)="",10^12,OFFSET(PLE!$G$15,$M77-$A$15,DK$13)))</f>
        <v>1000000000000</v>
      </c>
      <c r="DL77" s="172" cm="1">
        <f t="array" aca="1" ref="DL77" ca="1">IF(OR($D77&lt;&gt;"Serviço",AND(AUTOEVENTO="Manual",$M77=$A$15),$M77&gt;(ROW(PLE.lastrow)-ROW(PLE.firstrow))),0,
           IF(OFFSET(PLE!$G$15,$M77-$A$15,DL$13)="",10^12,OFFSET(PLE!$G$15,$M77-$A$15,DL$13)))</f>
        <v>1000000000000</v>
      </c>
      <c r="DM77" s="172" cm="1">
        <f t="array" aca="1" ref="DM77" ca="1">IF(OR($D77&lt;&gt;"Serviço",AND(AUTOEVENTO="Manual",$M77=$A$15),$M77&gt;(ROW(PLE.lastrow)-ROW(PLE.firstrow))),0,
           IF(OFFSET(PLE!$G$15,$M77-$A$15,DM$13)="",10^12,OFFSET(PLE!$G$15,$M77-$A$15,DM$13)))</f>
        <v>1000000000000</v>
      </c>
      <c r="DN77" s="172" cm="1">
        <f t="array" aca="1" ref="DN77" ca="1">IF(OR($D77&lt;&gt;"Serviço",AND(AUTOEVENTO="Manual",$M77=$A$15),$M77&gt;(ROW(PLE.lastrow)-ROW(PLE.firstrow))),0,
           IF(OFFSET(PLE!$G$15,$M77-$A$15,DN$13)="",10^12,OFFSET(PLE!$G$15,$M77-$A$15,DN$13)))</f>
        <v>1000000000000</v>
      </c>
      <c r="DO77" s="172" cm="1">
        <f t="array" aca="1" ref="DO77" ca="1">IF(OR($D77&lt;&gt;"Serviço",AND(AUTOEVENTO="Manual",$M77=$A$15),$M77&gt;(ROW(PLE.lastrow)-ROW(PLE.firstrow))),0,
           IF(OFFSET(PLE!$G$15,$M77-$A$15,DO$13)="",10^12,OFFSET(PLE!$G$15,$M77-$A$15,DO$13)))</f>
        <v>1000000000000</v>
      </c>
      <c r="DP77" s="172" cm="1">
        <f t="array" aca="1" ref="DP77" ca="1">IF(OR($D77&lt;&gt;"Serviço",AND(AUTOEVENTO="Manual",$M77=$A$15),$M77&gt;(ROW(PLE.lastrow)-ROW(PLE.firstrow))),0,
           IF(OFFSET(PLE!$G$15,$M77-$A$15,DP$13)="",10^12,OFFSET(PLE!$G$15,$M77-$A$15,DP$13)))</f>
        <v>1000000000000</v>
      </c>
      <c r="DQ77" s="172" cm="1">
        <f t="array" aca="1" ref="DQ77" ca="1">IF(OR($D77&lt;&gt;"Serviço",AND(AUTOEVENTO="Manual",$M77=$A$15),$M77&gt;(ROW(PLE.lastrow)-ROW(PLE.firstrow))),0,
           IF(OFFSET(PLE!$G$15,$M77-$A$15,DQ$13)="",10^12,OFFSET(PLE!$G$15,$M77-$A$15,DQ$13)))</f>
        <v>1000000000000</v>
      </c>
      <c r="DR77" s="172" cm="1">
        <f t="array" aca="1" ref="DR77" ca="1">IF(OR($D77&lt;&gt;"Serviço",AND(AUTOEVENTO="Manual",$M77=$A$15),$M77&gt;(ROW(PLE.lastrow)-ROW(PLE.firstrow))),0,
           IF(OFFSET(PLE!$G$15,$M77-$A$15,DR$13)="",10^12,OFFSET(PLE!$G$15,$M77-$A$15,DR$13)))</f>
        <v>1000000000000</v>
      </c>
      <c r="DS77" s="172" cm="1">
        <f t="array" aca="1" ref="DS77" ca="1">IF(OR($D77&lt;&gt;"Serviço",AND(AUTOEVENTO="Manual",$M77=$A$15),$M77&gt;(ROW(PLE.lastrow)-ROW(PLE.firstrow))),0,
           IF(OFFSET(PLE!$G$15,$M77-$A$15,DS$13)="",10^12,OFFSET(PLE!$G$15,$M77-$A$15,DS$13)))</f>
        <v>1000000000000</v>
      </c>
    </row>
    <row r="78" spans="1:123" ht="25.5" x14ac:dyDescent="0.2">
      <c r="A78" s="7">
        <f t="shared" ca="1" si="11"/>
        <v>6</v>
      </c>
      <c r="B78" s="7" t="str">
        <f ca="1">OFFSET(ORÇAMENTO!C$15,$L78,0)</f>
        <v>S</v>
      </c>
      <c r="C78" s="7" t="str">
        <f ca="1">OFFSET(ORÇAMENTO!L$15,$L78,0)</f>
        <v/>
      </c>
      <c r="D78" s="116" t="str">
        <f ca="1">OFFSET(ORÇAMENTO!N$15,$L78,0)</f>
        <v>Serviço</v>
      </c>
      <c r="E78" s="117" t="str">
        <f ca="1">OFFSET(ORÇAMENTO!O$15,$L78,0)</f>
        <v>-</v>
      </c>
      <c r="F78" s="163" t="str">
        <f ca="1">OFFSET(ORÇAMENTO!R$15,$L78,0)</f>
        <v>(Código não identificado nas referências)</v>
      </c>
      <c r="G78" s="164" t="str">
        <f ca="1">IF($D78&lt;&gt;"Serviço","",OFFSET(ORÇAMENTO!S$15,$L78,0))</f>
        <v>-</v>
      </c>
      <c r="H78" s="122" cm="1">
        <f t="array" aca="1" ref="H78" ca="1">IF($D78&lt;&gt;"Serviço",0,IF(ACOMPANHAMENTO="BM",ROUND(OFFSET(ORÇAMENTO!AJ$15,$L78,0),15-13*ORÇAMENTO!$AF$7),IF(IFERROR(CÁLCULO.FrentesPreenchidas,0)=0,0,SUM(ROUND(OFFSET($P78,0,1,1,CÁLCULO.FrentesPreenchidas),15-13*ORÇAMENTO!$AF$7)))))</f>
        <v>1469.8</v>
      </c>
      <c r="I78" s="468" t="s">
        <v>1235</v>
      </c>
      <c r="J78" s="651" t="str" cm="1">
        <f t="array" aca="1" ref="J78" ca="1">IF(OR(B78&lt;&gt;"S",CÁLCULO.FrentesPreenchidas=0),"",IF(AND(ACOMPANHAMENTO="PLE",AUTOEVENTO="Manual",OR(H78&gt;0,ORÇAMENTO!AC78="QUANT."),OR(K78="",M78=0,N78="")),"►E",IF(AND(ACOMPANHAMENTO="PLE",ORÇAMENTO!AC78="QUANT."),"►Q",IF(AND(ACOMPANHAMENTO="PLE",H78&lt;&gt;SUMPRODUCT(($Q$1:$AQ$1=1)*ROUND(Q78:AQ78,15))),"►S",IF(AND(COUNTIF($P$11:$AQ$11,"▼")=0,H78&gt;0,I78=""),"◄M","")))))</f>
        <v/>
      </c>
      <c r="K78" s="652" t="s">
        <v>1254</v>
      </c>
      <c r="L78" s="165">
        <f t="shared" ca="1" si="12"/>
        <v>63</v>
      </c>
      <c r="M78" s="166">
        <f ca="1">IF($D78&lt;&gt;"Serviço","",
          IF(AUTOEVENTO="manual",$A78,
                IF(ISERROR(MATCH($A78,$A$15:OFFSET($A78,-1,0),0)),MAX($M$15:OFFSET(M78,-1,0))+1,
                      INDEX($M$15:OFFSET(M78,-1,0),MATCH($A78,$A$15:OFFSET($A78,-1,0),0)))))</f>
        <v>6</v>
      </c>
      <c r="N78" s="167" t="str">
        <f ca="1">IF($D78&lt;&gt;"Serviço","",
         IF(AUTOEVENTO="Manual",
                IF($A78=0,"&lt;-- defina o número do agrupador",
                       OFFSET(EVENTOS!$D$15,$A78-$A$15,0)),
                OFFSET($F$15,$A78,0)))</f>
        <v>COBERTURA E PROTEÇÕES</v>
      </c>
      <c r="O78" s="168"/>
      <c r="Q78" s="168">
        <v>73.489999999999995</v>
      </c>
      <c r="R78" s="169">
        <v>73.489999999999995</v>
      </c>
      <c r="S78" s="169">
        <v>73.489999999999995</v>
      </c>
      <c r="T78" s="169">
        <v>73.489999999999995</v>
      </c>
      <c r="U78" s="169">
        <v>73.489999999999995</v>
      </c>
      <c r="V78" s="169">
        <v>73.489999999999995</v>
      </c>
      <c r="W78" s="169">
        <v>73.489999999999995</v>
      </c>
      <c r="X78" s="169">
        <v>73.489999999999995</v>
      </c>
      <c r="Y78" s="169">
        <v>73.489999999999995</v>
      </c>
      <c r="Z78" s="170">
        <v>73.489999999999995</v>
      </c>
      <c r="AA78" s="169">
        <v>73.489999999999995</v>
      </c>
      <c r="AB78" s="169">
        <v>73.489999999999995</v>
      </c>
      <c r="AC78" s="169">
        <v>73.489999999999995</v>
      </c>
      <c r="AD78" s="169">
        <v>73.489999999999995</v>
      </c>
      <c r="AE78" s="169">
        <v>73.489999999999995</v>
      </c>
      <c r="AF78" s="169">
        <v>73.489999999999995</v>
      </c>
      <c r="AG78" s="169">
        <v>73.489999999999995</v>
      </c>
      <c r="AH78" s="170">
        <v>73.489999999999995</v>
      </c>
      <c r="AI78" s="169">
        <v>73.489999999999995</v>
      </c>
      <c r="AJ78" s="169">
        <v>73.489999999999995</v>
      </c>
      <c r="AK78" s="169"/>
      <c r="AL78" s="169"/>
      <c r="AM78" s="169"/>
      <c r="AN78" s="169"/>
      <c r="AO78" s="169"/>
      <c r="AP78" s="170"/>
      <c r="AR78" s="453">
        <f ca="1">IF(AND($D78="Serviço",AR$12&lt;&gt;0,$H78&gt;0,OR(AUTOEVENTO&lt;&gt;"manual",$M78&lt;&gt;$A$15)),
        IF(Import.TipoArredondamento&lt;&gt;"TransfereGOV",
              ROUND(OFFSET($P78,0,AR$13),15-13*ORÇAMENTO!$AF$7)/$H78*OFFSET(ORÇAMENTO!$X$15,ROW(AR78)-ROW(AR$15),0),
              ROUND(ROUND(OFFSET($P78,0,AR$13),15-13*ORÇAMENTO!$AF$7)*OFFSET(ORÇAMENTO!$W$15,ROW(AR78)-ROW(AR$15),0),15-13*ORÇAMENTO!$AF$11)),
         0)</f>
        <v>0</v>
      </c>
      <c r="AS78" s="453">
        <f ca="1">IF(AND($D78="Serviço",AS$12&lt;&gt;0,$H78&gt;0,OR(AUTOEVENTO&lt;&gt;"manual",$M78&lt;&gt;$A$15)),
        IF(Import.TipoArredondamento&lt;&gt;"TransfereGOV",
              ROUND(OFFSET($P78,0,AS$13),15-13*ORÇAMENTO!$AF$7)/$H78*OFFSET(ORÇAMENTO!$X$15,ROW(AS78)-ROW(AS$15),0),
              ROUND(ROUND(OFFSET($P78,0,AS$13),15-13*ORÇAMENTO!$AF$7)*OFFSET(ORÇAMENTO!$W$15,ROW(AS78)-ROW(AS$15),0),15-13*ORÇAMENTO!$AF$11)),
         0)</f>
        <v>0</v>
      </c>
      <c r="AT78" s="453">
        <f ca="1">IF(AND($D78="Serviço",AT$12&lt;&gt;0,$H78&gt;0,OR(AUTOEVENTO&lt;&gt;"manual",$M78&lt;&gt;$A$15)),
        IF(Import.TipoArredondamento&lt;&gt;"TransfereGOV",
              ROUND(OFFSET($P78,0,AT$13),15-13*ORÇAMENTO!$AF$7)/$H78*OFFSET(ORÇAMENTO!$X$15,ROW(AT78)-ROW(AT$15),0),
              ROUND(ROUND(OFFSET($P78,0,AT$13),15-13*ORÇAMENTO!$AF$7)*OFFSET(ORÇAMENTO!$W$15,ROW(AT78)-ROW(AT$15),0),15-13*ORÇAMENTO!$AF$11)),
         0)</f>
        <v>0</v>
      </c>
      <c r="AU78" s="453">
        <f ca="1">IF(AND($D78="Serviço",AU$12&lt;&gt;0,$H78&gt;0,OR(AUTOEVENTO&lt;&gt;"manual",$M78&lt;&gt;$A$15)),
        IF(Import.TipoArredondamento&lt;&gt;"TransfereGOV",
              ROUND(OFFSET($P78,0,AU$13),15-13*ORÇAMENTO!$AF$7)/$H78*OFFSET(ORÇAMENTO!$X$15,ROW(AU78)-ROW(AU$15),0),
              ROUND(ROUND(OFFSET($P78,0,AU$13),15-13*ORÇAMENTO!$AF$7)*OFFSET(ORÇAMENTO!$W$15,ROW(AU78)-ROW(AU$15),0),15-13*ORÇAMENTO!$AF$11)),
         0)</f>
        <v>0</v>
      </c>
      <c r="AV78" s="453">
        <f ca="1">IF(AND($D78="Serviço",AV$12&lt;&gt;0,$H78&gt;0,OR(AUTOEVENTO&lt;&gt;"manual",$M78&lt;&gt;$A$15)),
        IF(Import.TipoArredondamento&lt;&gt;"TransfereGOV",
              ROUND(OFFSET($P78,0,AV$13),15-13*ORÇAMENTO!$AF$7)/$H78*OFFSET(ORÇAMENTO!$X$15,ROW(AV78)-ROW(AV$15),0),
              ROUND(ROUND(OFFSET($P78,0,AV$13),15-13*ORÇAMENTO!$AF$7)*OFFSET(ORÇAMENTO!$W$15,ROW(AV78)-ROW(AV$15),0),15-13*ORÇAMENTO!$AF$11)),
         0)</f>
        <v>0</v>
      </c>
      <c r="AW78" s="453">
        <f ca="1">IF(AND($D78="Serviço",AW$12&lt;&gt;0,$H78&gt;0,OR(AUTOEVENTO&lt;&gt;"manual",$M78&lt;&gt;$A$15)),
        IF(Import.TipoArredondamento&lt;&gt;"TransfereGOV",
              ROUND(OFFSET($P78,0,AW$13),15-13*ORÇAMENTO!$AF$7)/$H78*OFFSET(ORÇAMENTO!$X$15,ROW(AW78)-ROW(AW$15),0),
              ROUND(ROUND(OFFSET($P78,0,AW$13),15-13*ORÇAMENTO!$AF$7)*OFFSET(ORÇAMENTO!$W$15,ROW(AW78)-ROW(AW$15),0),15-13*ORÇAMENTO!$AF$11)),
         0)</f>
        <v>0</v>
      </c>
      <c r="AX78" s="453">
        <f ca="1">IF(AND($D78="Serviço",AX$12&lt;&gt;0,$H78&gt;0,OR(AUTOEVENTO&lt;&gt;"manual",$M78&lt;&gt;$A$15)),
        IF(Import.TipoArredondamento&lt;&gt;"TransfereGOV",
              ROUND(OFFSET($P78,0,AX$13),15-13*ORÇAMENTO!$AF$7)/$H78*OFFSET(ORÇAMENTO!$X$15,ROW(AX78)-ROW(AX$15),0),
              ROUND(ROUND(OFFSET($P78,0,AX$13),15-13*ORÇAMENTO!$AF$7)*OFFSET(ORÇAMENTO!$W$15,ROW(AX78)-ROW(AX$15),0),15-13*ORÇAMENTO!$AF$11)),
         0)</f>
        <v>0</v>
      </c>
      <c r="AY78" s="453">
        <f ca="1">IF(AND($D78="Serviço",AY$12&lt;&gt;0,$H78&gt;0,OR(AUTOEVENTO&lt;&gt;"manual",$M78&lt;&gt;$A$15)),
        IF(Import.TipoArredondamento&lt;&gt;"TransfereGOV",
              ROUND(OFFSET($P78,0,AY$13),15-13*ORÇAMENTO!$AF$7)/$H78*OFFSET(ORÇAMENTO!$X$15,ROW(AY78)-ROW(AY$15),0),
              ROUND(ROUND(OFFSET($P78,0,AY$13),15-13*ORÇAMENTO!$AF$7)*OFFSET(ORÇAMENTO!$W$15,ROW(AY78)-ROW(AY$15),0),15-13*ORÇAMENTO!$AF$11)),
         0)</f>
        <v>0</v>
      </c>
      <c r="AZ78" s="453">
        <f ca="1">IF(AND($D78="Serviço",AZ$12&lt;&gt;0,$H78&gt;0,OR(AUTOEVENTO&lt;&gt;"manual",$M78&lt;&gt;$A$15)),
        IF(Import.TipoArredondamento&lt;&gt;"TransfereGOV",
              ROUND(OFFSET($P78,0,AZ$13),15-13*ORÇAMENTO!$AF$7)/$H78*OFFSET(ORÇAMENTO!$X$15,ROW(AZ78)-ROW(AZ$15),0),
              ROUND(ROUND(OFFSET($P78,0,AZ$13),15-13*ORÇAMENTO!$AF$7)*OFFSET(ORÇAMENTO!$W$15,ROW(AZ78)-ROW(AZ$15),0),15-13*ORÇAMENTO!$AF$11)),
         0)</f>
        <v>0</v>
      </c>
      <c r="BA78" s="453">
        <f ca="1">IF(AND($D78="Serviço",BA$12&lt;&gt;0,$H78&gt;0,OR(AUTOEVENTO&lt;&gt;"manual",$M78&lt;&gt;$A$15)),
        IF(Import.TipoArredondamento&lt;&gt;"TransfereGOV",
              ROUND(OFFSET($P78,0,BA$13),15-13*ORÇAMENTO!$AF$7)/$H78*OFFSET(ORÇAMENTO!$X$15,ROW(BA78)-ROW(BA$15),0),
              ROUND(ROUND(OFFSET($P78,0,BA$13),15-13*ORÇAMENTO!$AF$7)*OFFSET(ORÇAMENTO!$W$15,ROW(BA78)-ROW(BA$15),0),15-13*ORÇAMENTO!$AF$11)),
         0)</f>
        <v>0</v>
      </c>
      <c r="BB78" s="453">
        <f ca="1">IF(AND($D78="Serviço",BB$12&lt;&gt;0,$H78&gt;0,OR(AUTOEVENTO&lt;&gt;"manual",$M78&lt;&gt;$A$15)),
        IF(Import.TipoArredondamento&lt;&gt;"TransfereGOV",
              ROUND(OFFSET($P78,0,BB$13),15-13*ORÇAMENTO!$AF$7)/$H78*OFFSET(ORÇAMENTO!$X$15,ROW(BB78)-ROW(BB$15),0),
              ROUND(ROUND(OFFSET($P78,0,BB$13),15-13*ORÇAMENTO!$AF$7)*OFFSET(ORÇAMENTO!$W$15,ROW(BB78)-ROW(BB$15),0),15-13*ORÇAMENTO!$AF$11)),
         0)</f>
        <v>0</v>
      </c>
      <c r="BC78" s="453">
        <f ca="1">IF(AND($D78="Serviço",BC$12&lt;&gt;0,$H78&gt;0,OR(AUTOEVENTO&lt;&gt;"manual",$M78&lt;&gt;$A$15)),
        IF(Import.TipoArredondamento&lt;&gt;"TransfereGOV",
              ROUND(OFFSET($P78,0,BC$13),15-13*ORÇAMENTO!$AF$7)/$H78*OFFSET(ORÇAMENTO!$X$15,ROW(BC78)-ROW(BC$15),0),
              ROUND(ROUND(OFFSET($P78,0,BC$13),15-13*ORÇAMENTO!$AF$7)*OFFSET(ORÇAMENTO!$W$15,ROW(BC78)-ROW(BC$15),0),15-13*ORÇAMENTO!$AF$11)),
         0)</f>
        <v>0</v>
      </c>
      <c r="BD78" s="453">
        <f ca="1">IF(AND($D78="Serviço",BD$12&lt;&gt;0,$H78&gt;0,OR(AUTOEVENTO&lt;&gt;"manual",$M78&lt;&gt;$A$15)),
        IF(Import.TipoArredondamento&lt;&gt;"TransfereGOV",
              ROUND(OFFSET($P78,0,BD$13),15-13*ORÇAMENTO!$AF$7)/$H78*OFFSET(ORÇAMENTO!$X$15,ROW(BD78)-ROW(BD$15),0),
              ROUND(ROUND(OFFSET($P78,0,BD$13),15-13*ORÇAMENTO!$AF$7)*OFFSET(ORÇAMENTO!$W$15,ROW(BD78)-ROW(BD$15),0),15-13*ORÇAMENTO!$AF$11)),
         0)</f>
        <v>0</v>
      </c>
      <c r="BE78" s="453">
        <f ca="1">IF(AND($D78="Serviço",BE$12&lt;&gt;0,$H78&gt;0,OR(AUTOEVENTO&lt;&gt;"manual",$M78&lt;&gt;$A$15)),
        IF(Import.TipoArredondamento&lt;&gt;"TransfereGOV",
              ROUND(OFFSET($P78,0,BE$13),15-13*ORÇAMENTO!$AF$7)/$H78*OFFSET(ORÇAMENTO!$X$15,ROW(BE78)-ROW(BE$15),0),
              ROUND(ROUND(OFFSET($P78,0,BE$13),15-13*ORÇAMENTO!$AF$7)*OFFSET(ORÇAMENTO!$W$15,ROW(BE78)-ROW(BE$15),0),15-13*ORÇAMENTO!$AF$11)),
         0)</f>
        <v>0</v>
      </c>
      <c r="BF78" s="453">
        <f ca="1">IF(AND($D78="Serviço",BF$12&lt;&gt;0,$H78&gt;0,OR(AUTOEVENTO&lt;&gt;"manual",$M78&lt;&gt;$A$15)),
        IF(Import.TipoArredondamento&lt;&gt;"TransfereGOV",
              ROUND(OFFSET($P78,0,BF$13),15-13*ORÇAMENTO!$AF$7)/$H78*OFFSET(ORÇAMENTO!$X$15,ROW(BF78)-ROW(BF$15),0),
              ROUND(ROUND(OFFSET($P78,0,BF$13),15-13*ORÇAMENTO!$AF$7)*OFFSET(ORÇAMENTO!$W$15,ROW(BF78)-ROW(BF$15),0),15-13*ORÇAMENTO!$AF$11)),
         0)</f>
        <v>0</v>
      </c>
      <c r="BG78" s="453">
        <f ca="1">IF(AND($D78="Serviço",BG$12&lt;&gt;0,$H78&gt;0,OR(AUTOEVENTO&lt;&gt;"manual",$M78&lt;&gt;$A$15)),
        IF(Import.TipoArredondamento&lt;&gt;"TransfereGOV",
              ROUND(OFFSET($P78,0,BG$13),15-13*ORÇAMENTO!$AF$7)/$H78*OFFSET(ORÇAMENTO!$X$15,ROW(BG78)-ROW(BG$15),0),
              ROUND(ROUND(OFFSET($P78,0,BG$13),15-13*ORÇAMENTO!$AF$7)*OFFSET(ORÇAMENTO!$W$15,ROW(BG78)-ROW(BG$15),0),15-13*ORÇAMENTO!$AF$11)),
         0)</f>
        <v>0</v>
      </c>
      <c r="BH78" s="453">
        <f ca="1">IF(AND($D78="Serviço",BH$12&lt;&gt;0,$H78&gt;0,OR(AUTOEVENTO&lt;&gt;"manual",$M78&lt;&gt;$A$15)),
        IF(Import.TipoArredondamento&lt;&gt;"TransfereGOV",
              ROUND(OFFSET($P78,0,BH$13),15-13*ORÇAMENTO!$AF$7)/$H78*OFFSET(ORÇAMENTO!$X$15,ROW(BH78)-ROW(BH$15),0),
              ROUND(ROUND(OFFSET($P78,0,BH$13),15-13*ORÇAMENTO!$AF$7)*OFFSET(ORÇAMENTO!$W$15,ROW(BH78)-ROW(BH$15),0),15-13*ORÇAMENTO!$AF$11)),
         0)</f>
        <v>0</v>
      </c>
      <c r="BI78" s="453">
        <f ca="1">IF(AND($D78="Serviço",BI$12&lt;&gt;0,$H78&gt;0,OR(AUTOEVENTO&lt;&gt;"manual",$M78&lt;&gt;$A$15)),
        IF(Import.TipoArredondamento&lt;&gt;"TransfereGOV",
              ROUND(OFFSET($P78,0,BI$13),15-13*ORÇAMENTO!$AF$7)/$H78*OFFSET(ORÇAMENTO!$X$15,ROW(BI78)-ROW(BI$15),0),
              ROUND(ROUND(OFFSET($P78,0,BI$13),15-13*ORÇAMENTO!$AF$7)*OFFSET(ORÇAMENTO!$W$15,ROW(BI78)-ROW(BI$15),0),15-13*ORÇAMENTO!$AF$11)),
         0)</f>
        <v>0</v>
      </c>
      <c r="BJ78" s="453">
        <f ca="1">IF(AND($D78="Serviço",BJ$12&lt;&gt;0,$H78&gt;0,OR(AUTOEVENTO&lt;&gt;"manual",$M78&lt;&gt;$A$15)),
        IF(Import.TipoArredondamento&lt;&gt;"TransfereGOV",
              ROUND(OFFSET($P78,0,BJ$13),15-13*ORÇAMENTO!$AF$7)/$H78*OFFSET(ORÇAMENTO!$X$15,ROW(BJ78)-ROW(BJ$15),0),
              ROUND(ROUND(OFFSET($P78,0,BJ$13),15-13*ORÇAMENTO!$AF$7)*OFFSET(ORÇAMENTO!$W$15,ROW(BJ78)-ROW(BJ$15),0),15-13*ORÇAMENTO!$AF$11)),
         0)</f>
        <v>0</v>
      </c>
      <c r="BK78" s="453">
        <f ca="1">IF(AND($D78="Serviço",BK$12&lt;&gt;0,$H78&gt;0,OR(AUTOEVENTO&lt;&gt;"manual",$M78&lt;&gt;$A$15)),
        IF(Import.TipoArredondamento&lt;&gt;"TransfereGOV",
              ROUND(OFFSET($P78,0,BK$13),15-13*ORÇAMENTO!$AF$7)/$H78*OFFSET(ORÇAMENTO!$X$15,ROW(BK78)-ROW(BK$15),0),
              ROUND(ROUND(OFFSET($P78,0,BK$13),15-13*ORÇAMENTO!$AF$7)*OFFSET(ORÇAMENTO!$W$15,ROW(BK78)-ROW(BK$15),0),15-13*ORÇAMENTO!$AF$11)),
         0)</f>
        <v>0</v>
      </c>
      <c r="BL78" s="453">
        <f ca="1">IF(AND($D78="Serviço",BL$12&lt;&gt;0,$H78&gt;0,OR(AUTOEVENTO&lt;&gt;"manual",$M78&lt;&gt;$A$15)),
        IF(Import.TipoArredondamento&lt;&gt;"TransfereGOV",
              ROUND(OFFSET($P78,0,BL$13),15-13*ORÇAMENTO!$AF$7)/$H78*OFFSET(ORÇAMENTO!$X$15,ROW(BL78)-ROW(BL$15),0),
              ROUND(ROUND(OFFSET($P78,0,BL$13),15-13*ORÇAMENTO!$AF$7)*OFFSET(ORÇAMENTO!$W$15,ROW(BL78)-ROW(BL$15),0),15-13*ORÇAMENTO!$AF$11)),
         0)</f>
        <v>0</v>
      </c>
      <c r="BM78" s="453">
        <f ca="1">IF(AND($D78="Serviço",BM$12&lt;&gt;0,$H78&gt;0,OR(AUTOEVENTO&lt;&gt;"manual",$M78&lt;&gt;$A$15)),
        IF(Import.TipoArredondamento&lt;&gt;"TransfereGOV",
              ROUND(OFFSET($P78,0,BM$13),15-13*ORÇAMENTO!$AF$7)/$H78*OFFSET(ORÇAMENTO!$X$15,ROW(BM78)-ROW(BM$15),0),
              ROUND(ROUND(OFFSET($P78,0,BM$13),15-13*ORÇAMENTO!$AF$7)*OFFSET(ORÇAMENTO!$W$15,ROW(BM78)-ROW(BM$15),0),15-13*ORÇAMENTO!$AF$11)),
         0)</f>
        <v>0</v>
      </c>
      <c r="BN78" s="453">
        <f ca="1">IF(AND($D78="Serviço",BN$12&lt;&gt;0,$H78&gt;0,OR(AUTOEVENTO&lt;&gt;"manual",$M78&lt;&gt;$A$15)),
        IF(Import.TipoArredondamento&lt;&gt;"TransfereGOV",
              ROUND(OFFSET($P78,0,BN$13),15-13*ORÇAMENTO!$AF$7)/$H78*OFFSET(ORÇAMENTO!$X$15,ROW(BN78)-ROW(BN$15),0),
              ROUND(ROUND(OFFSET($P78,0,BN$13),15-13*ORÇAMENTO!$AF$7)*OFFSET(ORÇAMENTO!$W$15,ROW(BN78)-ROW(BN$15),0),15-13*ORÇAMENTO!$AF$11)),
         0)</f>
        <v>0</v>
      </c>
      <c r="BO78" s="453">
        <f ca="1">IF(AND($D78="Serviço",BO$12&lt;&gt;0,$H78&gt;0,OR(AUTOEVENTO&lt;&gt;"manual",$M78&lt;&gt;$A$15)),
        IF(Import.TipoArredondamento&lt;&gt;"TransfereGOV",
              ROUND(OFFSET($P78,0,BO$13),15-13*ORÇAMENTO!$AF$7)/$H78*OFFSET(ORÇAMENTO!$X$15,ROW(BO78)-ROW(BO$15),0),
              ROUND(ROUND(OFFSET($P78,0,BO$13),15-13*ORÇAMENTO!$AF$7)*OFFSET(ORÇAMENTO!$W$15,ROW(BO78)-ROW(BO$15),0),15-13*ORÇAMENTO!$AF$11)),
         0)</f>
        <v>0</v>
      </c>
      <c r="BP78" s="453">
        <f ca="1">IF(AND($D78="Serviço",BP$12&lt;&gt;0,$H78&gt;0,OR(AUTOEVENTO&lt;&gt;"manual",$M78&lt;&gt;$A$15)),
        IF(Import.TipoArredondamento&lt;&gt;"TransfereGOV",
              ROUND(OFFSET($P78,0,BP$13),15-13*ORÇAMENTO!$AF$7)/$H78*OFFSET(ORÇAMENTO!$X$15,ROW(BP78)-ROW(BP$15),0),
              ROUND(ROUND(OFFSET($P78,0,BP$13),15-13*ORÇAMENTO!$AF$7)*OFFSET(ORÇAMENTO!$W$15,ROW(BP78)-ROW(BP$15),0),15-13*ORÇAMENTO!$AF$11)),
         0)</f>
        <v>0</v>
      </c>
      <c r="BQ78" s="453">
        <f ca="1">IF(AND($D78="Serviço",BQ$12&lt;&gt;0,$H78&gt;0,OR(AUTOEVENTO&lt;&gt;"manual",$M78&lt;&gt;$A$15)),
        IF(Import.TipoArredondamento&lt;&gt;"TransfereGOV",
              ROUND(OFFSET($P78,0,BQ$13),15-13*ORÇAMENTO!$AF$7)/$H78*OFFSET(ORÇAMENTO!$X$15,ROW(BQ78)-ROW(BQ$15),0),
              ROUND(ROUND(OFFSET($P78,0,BQ$13),15-13*ORÇAMENTO!$AF$7)*OFFSET(ORÇAMENTO!$W$15,ROW(BQ78)-ROW(BQ$15),0),15-13*ORÇAMENTO!$AF$11)),
         0)</f>
        <v>0</v>
      </c>
      <c r="BS78" s="171">
        <f ca="1">IF(OR($D78&lt;&gt;"Serviço",AND(AUTOEVENTO="Manual",$M78=$A$15)),0,
         IF(OFFSET(CRONOPLE!$F$15,$M78-$A$15,BS$13)=0,10^12,OFFSET(CRONOPLE!$F$15,$M78-$A$15,BS$13)))</f>
        <v>1</v>
      </c>
      <c r="BT78" s="171">
        <f ca="1">IF(OR($D78&lt;&gt;"Serviço",AND(AUTOEVENTO="Manual",$M78=$A$15)),0,
         IF(OFFSET(CRONOPLE!$F$15,$M78-$A$15,BT$13)=0,10^12,OFFSET(CRONOPLE!$F$15,$M78-$A$15,BT$13)))</f>
        <v>2</v>
      </c>
      <c r="BU78" s="171">
        <f ca="1">IF(OR($D78&lt;&gt;"Serviço",AND(AUTOEVENTO="Manual",$M78=$A$15)),0,
         IF(OFFSET(CRONOPLE!$F$15,$M78-$A$15,BU$13)=0,10^12,OFFSET(CRONOPLE!$F$15,$M78-$A$15,BU$13)))</f>
        <v>3</v>
      </c>
      <c r="BV78" s="171">
        <f ca="1">IF(OR($D78&lt;&gt;"Serviço",AND(AUTOEVENTO="Manual",$M78=$A$15)),0,
         IF(OFFSET(CRONOPLE!$F$15,$M78-$A$15,BV$13)=0,10^12,OFFSET(CRONOPLE!$F$15,$M78-$A$15,BV$13)))</f>
        <v>4</v>
      </c>
      <c r="BW78" s="171">
        <f ca="1">IF(OR($D78&lt;&gt;"Serviço",AND(AUTOEVENTO="Manual",$M78=$A$15)),0,
         IF(OFFSET(CRONOPLE!$F$15,$M78-$A$15,BW$13)=0,10^12,OFFSET(CRONOPLE!$F$15,$M78-$A$15,BW$13)))</f>
        <v>5</v>
      </c>
      <c r="BX78" s="171">
        <f ca="1">IF(OR($D78&lt;&gt;"Serviço",AND(AUTOEVENTO="Manual",$M78=$A$15)),0,
         IF(OFFSET(CRONOPLE!$F$15,$M78-$A$15,BX$13)=0,10^12,OFFSET(CRONOPLE!$F$15,$M78-$A$15,BX$13)))</f>
        <v>6</v>
      </c>
      <c r="BY78" s="171">
        <f ca="1">IF(OR($D78&lt;&gt;"Serviço",AND(AUTOEVENTO="Manual",$M78=$A$15)),0,
         IF(OFFSET(CRONOPLE!$F$15,$M78-$A$15,BY$13)=0,10^12,OFFSET(CRONOPLE!$F$15,$M78-$A$15,BY$13)))</f>
        <v>7</v>
      </c>
      <c r="BZ78" s="171">
        <f ca="1">IF(OR($D78&lt;&gt;"Serviço",AND(AUTOEVENTO="Manual",$M78=$A$15)),0,
         IF(OFFSET(CRONOPLE!$F$15,$M78-$A$15,BZ$13)=0,10^12,OFFSET(CRONOPLE!$F$15,$M78-$A$15,BZ$13)))</f>
        <v>8</v>
      </c>
      <c r="CA78" s="171">
        <f ca="1">IF(OR($D78&lt;&gt;"Serviço",AND(AUTOEVENTO="Manual",$M78=$A$15)),0,
         IF(OFFSET(CRONOPLE!$F$15,$M78-$A$15,CA$13)=0,10^12,OFFSET(CRONOPLE!$F$15,$M78-$A$15,CA$13)))</f>
        <v>9</v>
      </c>
      <c r="CB78" s="171">
        <f ca="1">IF(OR($D78&lt;&gt;"Serviço",AND(AUTOEVENTO="Manual",$M78=$A$15)),0,
         IF(OFFSET(CRONOPLE!$F$15,$M78-$A$15,CB$13)=0,10^12,OFFSET(CRONOPLE!$F$15,$M78-$A$15,CB$13)))</f>
        <v>10</v>
      </c>
      <c r="CC78" s="171">
        <f ca="1">IF(OR($D78&lt;&gt;"Serviço",AND(AUTOEVENTO="Manual",$M78=$A$15)),0,
         IF(OFFSET(CRONOPLE!$F$15,$M78-$A$15,CC$13)=0,10^12,OFFSET(CRONOPLE!$F$15,$M78-$A$15,CC$13)))</f>
        <v>11</v>
      </c>
      <c r="CD78" s="171">
        <f ca="1">IF(OR($D78&lt;&gt;"Serviço",AND(AUTOEVENTO="Manual",$M78=$A$15)),0,
         IF(OFFSET(CRONOPLE!$F$15,$M78-$A$15,CD$13)=0,10^12,OFFSET(CRONOPLE!$F$15,$M78-$A$15,CD$13)))</f>
        <v>12</v>
      </c>
      <c r="CE78" s="171">
        <f ca="1">IF(OR($D78&lt;&gt;"Serviço",AND(AUTOEVENTO="Manual",$M78=$A$15)),0,
         IF(OFFSET(CRONOPLE!$F$15,$M78-$A$15,CE$13)=0,10^12,OFFSET(CRONOPLE!$F$15,$M78-$A$15,CE$13)))</f>
        <v>13</v>
      </c>
      <c r="CF78" s="171">
        <f ca="1">IF(OR($D78&lt;&gt;"Serviço",AND(AUTOEVENTO="Manual",$M78=$A$15)),0,
         IF(OFFSET(CRONOPLE!$F$15,$M78-$A$15,CF$13)=0,10^12,OFFSET(CRONOPLE!$F$15,$M78-$A$15,CF$13)))</f>
        <v>14</v>
      </c>
      <c r="CG78" s="171">
        <f ca="1">IF(OR($D78&lt;&gt;"Serviço",AND(AUTOEVENTO="Manual",$M78=$A$15)),0,
         IF(OFFSET(CRONOPLE!$F$15,$M78-$A$15,CG$13)=0,10^12,OFFSET(CRONOPLE!$F$15,$M78-$A$15,CG$13)))</f>
        <v>15</v>
      </c>
      <c r="CH78" s="171">
        <f ca="1">IF(OR($D78&lt;&gt;"Serviço",AND(AUTOEVENTO="Manual",$M78=$A$15)),0,
         IF(OFFSET(CRONOPLE!$F$15,$M78-$A$15,CH$13)=0,10^12,OFFSET(CRONOPLE!$F$15,$M78-$A$15,CH$13)))</f>
        <v>16</v>
      </c>
      <c r="CI78" s="171">
        <f ca="1">IF(OR($D78&lt;&gt;"Serviço",AND(AUTOEVENTO="Manual",$M78=$A$15)),0,
         IF(OFFSET(CRONOPLE!$F$15,$M78-$A$15,CI$13)=0,10^12,OFFSET(CRONOPLE!$F$15,$M78-$A$15,CI$13)))</f>
        <v>17</v>
      </c>
      <c r="CJ78" s="171">
        <f ca="1">IF(OR($D78&lt;&gt;"Serviço",AND(AUTOEVENTO="Manual",$M78=$A$15)),0,
         IF(OFFSET(CRONOPLE!$F$15,$M78-$A$15,CJ$13)=0,10^12,OFFSET(CRONOPLE!$F$15,$M78-$A$15,CJ$13)))</f>
        <v>18</v>
      </c>
      <c r="CK78" s="171">
        <f ca="1">IF(OR($D78&lt;&gt;"Serviço",AND(AUTOEVENTO="Manual",$M78=$A$15)),0,
         IF(OFFSET(CRONOPLE!$F$15,$M78-$A$15,CK$13)=0,10^12,OFFSET(CRONOPLE!$F$15,$M78-$A$15,CK$13)))</f>
        <v>19</v>
      </c>
      <c r="CL78" s="171">
        <f ca="1">IF(OR($D78&lt;&gt;"Serviço",AND(AUTOEVENTO="Manual",$M78=$A$15)),0,
         IF(OFFSET(CRONOPLE!$F$15,$M78-$A$15,CL$13)=0,10^12,OFFSET(CRONOPLE!$F$15,$M78-$A$15,CL$13)))</f>
        <v>20</v>
      </c>
      <c r="CM78" s="171">
        <f ca="1">IF(OR($D78&lt;&gt;"Serviço",AND(AUTOEVENTO="Manual",$M78=$A$15)),0,
         IF(OFFSET(CRONOPLE!$F$15,$M78-$A$15,CM$13)=0,10^12,OFFSET(CRONOPLE!$F$15,$M78-$A$15,CM$13)))</f>
        <v>1000000000000</v>
      </c>
      <c r="CN78" s="171">
        <f ca="1">IF(OR($D78&lt;&gt;"Serviço",AND(AUTOEVENTO="Manual",$M78=$A$15)),0,
         IF(OFFSET(CRONOPLE!$F$15,$M78-$A$15,CN$13)=0,10^12,OFFSET(CRONOPLE!$F$15,$M78-$A$15,CN$13)))</f>
        <v>1000000000000</v>
      </c>
      <c r="CO78" s="171">
        <f ca="1">IF(OR($D78&lt;&gt;"Serviço",AND(AUTOEVENTO="Manual",$M78=$A$15)),0,
         IF(OFFSET(CRONOPLE!$F$15,$M78-$A$15,CO$13)=0,10^12,OFFSET(CRONOPLE!$F$15,$M78-$A$15,CO$13)))</f>
        <v>1000000000000</v>
      </c>
      <c r="CP78" s="171">
        <f ca="1">IF(OR($D78&lt;&gt;"Serviço",AND(AUTOEVENTO="Manual",$M78=$A$15)),0,
         IF(OFFSET(CRONOPLE!$F$15,$M78-$A$15,CP$13)=0,10^12,OFFSET(CRONOPLE!$F$15,$M78-$A$15,CP$13)))</f>
        <v>1000000000000</v>
      </c>
      <c r="CQ78" s="171">
        <f ca="1">IF(OR($D78&lt;&gt;"Serviço",AND(AUTOEVENTO="Manual",$M78=$A$15)),0,
         IF(OFFSET(CRONOPLE!$F$15,$M78-$A$15,CQ$13)=0,10^12,OFFSET(CRONOPLE!$F$15,$M78-$A$15,CQ$13)))</f>
        <v>1000000000000</v>
      </c>
      <c r="CR78" s="171">
        <f ca="1">IF(OR($D78&lt;&gt;"Serviço",AND(AUTOEVENTO="Manual",$M78=$A$15)),0,
         IF(OFFSET(CRONOPLE!$F$15,$M78-$A$15,CR$13)=0,10^12,OFFSET(CRONOPLE!$F$15,$M78-$A$15,CR$13)))</f>
        <v>1000000000000</v>
      </c>
      <c r="CT78" s="172" cm="1">
        <f t="array" aca="1" ref="CT78" ca="1">IF(OR($D78&lt;&gt;"Serviço",AND(AUTOEVENTO="Manual",$M78=$A$15),$M78&gt;(ROW(PLE.lastrow)-ROW(PLE.firstrow))),0,
           IF(OFFSET(PLE!$G$15,$M78-$A$15,CT$13)="",10^12,OFFSET(PLE!$G$15,$M78-$A$15,CT$13)))</f>
        <v>1000000000000</v>
      </c>
      <c r="CU78" s="172" cm="1">
        <f t="array" aca="1" ref="CU78" ca="1">IF(OR($D78&lt;&gt;"Serviço",AND(AUTOEVENTO="Manual",$M78=$A$15),$M78&gt;(ROW(PLE.lastrow)-ROW(PLE.firstrow))),0,
           IF(OFFSET(PLE!$G$15,$M78-$A$15,CU$13)="",10^12,OFFSET(PLE!$G$15,$M78-$A$15,CU$13)))</f>
        <v>1000000000000</v>
      </c>
      <c r="CV78" s="172" cm="1">
        <f t="array" aca="1" ref="CV78" ca="1">IF(OR($D78&lt;&gt;"Serviço",AND(AUTOEVENTO="Manual",$M78=$A$15),$M78&gt;(ROW(PLE.lastrow)-ROW(PLE.firstrow))),0,
           IF(OFFSET(PLE!$G$15,$M78-$A$15,CV$13)="",10^12,OFFSET(PLE!$G$15,$M78-$A$15,CV$13)))</f>
        <v>1000000000000</v>
      </c>
      <c r="CW78" s="172" cm="1">
        <f t="array" aca="1" ref="CW78" ca="1">IF(OR($D78&lt;&gt;"Serviço",AND(AUTOEVENTO="Manual",$M78=$A$15),$M78&gt;(ROW(PLE.lastrow)-ROW(PLE.firstrow))),0,
           IF(OFFSET(PLE!$G$15,$M78-$A$15,CW$13)="",10^12,OFFSET(PLE!$G$15,$M78-$A$15,CW$13)))</f>
        <v>1000000000000</v>
      </c>
      <c r="CX78" s="172" cm="1">
        <f t="array" aca="1" ref="CX78" ca="1">IF(OR($D78&lt;&gt;"Serviço",AND(AUTOEVENTO="Manual",$M78=$A$15),$M78&gt;(ROW(PLE.lastrow)-ROW(PLE.firstrow))),0,
           IF(OFFSET(PLE!$G$15,$M78-$A$15,CX$13)="",10^12,OFFSET(PLE!$G$15,$M78-$A$15,CX$13)))</f>
        <v>1000000000000</v>
      </c>
      <c r="CY78" s="172" cm="1">
        <f t="array" aca="1" ref="CY78" ca="1">IF(OR($D78&lt;&gt;"Serviço",AND(AUTOEVENTO="Manual",$M78=$A$15),$M78&gt;(ROW(PLE.lastrow)-ROW(PLE.firstrow))),0,
           IF(OFFSET(PLE!$G$15,$M78-$A$15,CY$13)="",10^12,OFFSET(PLE!$G$15,$M78-$A$15,CY$13)))</f>
        <v>1000000000000</v>
      </c>
      <c r="CZ78" s="172" cm="1">
        <f t="array" aca="1" ref="CZ78" ca="1">IF(OR($D78&lt;&gt;"Serviço",AND(AUTOEVENTO="Manual",$M78=$A$15),$M78&gt;(ROW(PLE.lastrow)-ROW(PLE.firstrow))),0,
           IF(OFFSET(PLE!$G$15,$M78-$A$15,CZ$13)="",10^12,OFFSET(PLE!$G$15,$M78-$A$15,CZ$13)))</f>
        <v>1000000000000</v>
      </c>
      <c r="DA78" s="172" cm="1">
        <f t="array" aca="1" ref="DA78" ca="1">IF(OR($D78&lt;&gt;"Serviço",AND(AUTOEVENTO="Manual",$M78=$A$15),$M78&gt;(ROW(PLE.lastrow)-ROW(PLE.firstrow))),0,
           IF(OFFSET(PLE!$G$15,$M78-$A$15,DA$13)="",10^12,OFFSET(PLE!$G$15,$M78-$A$15,DA$13)))</f>
        <v>1000000000000</v>
      </c>
      <c r="DB78" s="172" cm="1">
        <f t="array" aca="1" ref="DB78" ca="1">IF(OR($D78&lt;&gt;"Serviço",AND(AUTOEVENTO="Manual",$M78=$A$15),$M78&gt;(ROW(PLE.lastrow)-ROW(PLE.firstrow))),0,
           IF(OFFSET(PLE!$G$15,$M78-$A$15,DB$13)="",10^12,OFFSET(PLE!$G$15,$M78-$A$15,DB$13)))</f>
        <v>1000000000000</v>
      </c>
      <c r="DC78" s="172" cm="1">
        <f t="array" aca="1" ref="DC78" ca="1">IF(OR($D78&lt;&gt;"Serviço",AND(AUTOEVENTO="Manual",$M78=$A$15),$M78&gt;(ROW(PLE.lastrow)-ROW(PLE.firstrow))),0,
           IF(OFFSET(PLE!$G$15,$M78-$A$15,DC$13)="",10^12,OFFSET(PLE!$G$15,$M78-$A$15,DC$13)))</f>
        <v>1000000000000</v>
      </c>
      <c r="DD78" s="172" cm="1">
        <f t="array" aca="1" ref="DD78" ca="1">IF(OR($D78&lt;&gt;"Serviço",AND(AUTOEVENTO="Manual",$M78=$A$15),$M78&gt;(ROW(PLE.lastrow)-ROW(PLE.firstrow))),0,
           IF(OFFSET(PLE!$G$15,$M78-$A$15,DD$13)="",10^12,OFFSET(PLE!$G$15,$M78-$A$15,DD$13)))</f>
        <v>1000000000000</v>
      </c>
      <c r="DE78" s="172" cm="1">
        <f t="array" aca="1" ref="DE78" ca="1">IF(OR($D78&lt;&gt;"Serviço",AND(AUTOEVENTO="Manual",$M78=$A$15),$M78&gt;(ROW(PLE.lastrow)-ROW(PLE.firstrow))),0,
           IF(OFFSET(PLE!$G$15,$M78-$A$15,DE$13)="",10^12,OFFSET(PLE!$G$15,$M78-$A$15,DE$13)))</f>
        <v>1000000000000</v>
      </c>
      <c r="DF78" s="172" cm="1">
        <f t="array" aca="1" ref="DF78" ca="1">IF(OR($D78&lt;&gt;"Serviço",AND(AUTOEVENTO="Manual",$M78=$A$15),$M78&gt;(ROW(PLE.lastrow)-ROW(PLE.firstrow))),0,
           IF(OFFSET(PLE!$G$15,$M78-$A$15,DF$13)="",10^12,OFFSET(PLE!$G$15,$M78-$A$15,DF$13)))</f>
        <v>1000000000000</v>
      </c>
      <c r="DG78" s="172" cm="1">
        <f t="array" aca="1" ref="DG78" ca="1">IF(OR($D78&lt;&gt;"Serviço",AND(AUTOEVENTO="Manual",$M78=$A$15),$M78&gt;(ROW(PLE.lastrow)-ROW(PLE.firstrow))),0,
           IF(OFFSET(PLE!$G$15,$M78-$A$15,DG$13)="",10^12,OFFSET(PLE!$G$15,$M78-$A$15,DG$13)))</f>
        <v>1000000000000</v>
      </c>
      <c r="DH78" s="172" cm="1">
        <f t="array" aca="1" ref="DH78" ca="1">IF(OR($D78&lt;&gt;"Serviço",AND(AUTOEVENTO="Manual",$M78=$A$15),$M78&gt;(ROW(PLE.lastrow)-ROW(PLE.firstrow))),0,
           IF(OFFSET(PLE!$G$15,$M78-$A$15,DH$13)="",10^12,OFFSET(PLE!$G$15,$M78-$A$15,DH$13)))</f>
        <v>1000000000000</v>
      </c>
      <c r="DI78" s="172" cm="1">
        <f t="array" aca="1" ref="DI78" ca="1">IF(OR($D78&lt;&gt;"Serviço",AND(AUTOEVENTO="Manual",$M78=$A$15),$M78&gt;(ROW(PLE.lastrow)-ROW(PLE.firstrow))),0,
           IF(OFFSET(PLE!$G$15,$M78-$A$15,DI$13)="",10^12,OFFSET(PLE!$G$15,$M78-$A$15,DI$13)))</f>
        <v>1000000000000</v>
      </c>
      <c r="DJ78" s="172" cm="1">
        <f t="array" aca="1" ref="DJ78" ca="1">IF(OR($D78&lt;&gt;"Serviço",AND(AUTOEVENTO="Manual",$M78=$A$15),$M78&gt;(ROW(PLE.lastrow)-ROW(PLE.firstrow))),0,
           IF(OFFSET(PLE!$G$15,$M78-$A$15,DJ$13)="",10^12,OFFSET(PLE!$G$15,$M78-$A$15,DJ$13)))</f>
        <v>1000000000000</v>
      </c>
      <c r="DK78" s="172" cm="1">
        <f t="array" aca="1" ref="DK78" ca="1">IF(OR($D78&lt;&gt;"Serviço",AND(AUTOEVENTO="Manual",$M78=$A$15),$M78&gt;(ROW(PLE.lastrow)-ROW(PLE.firstrow))),0,
           IF(OFFSET(PLE!$G$15,$M78-$A$15,DK$13)="",10^12,OFFSET(PLE!$G$15,$M78-$A$15,DK$13)))</f>
        <v>1000000000000</v>
      </c>
      <c r="DL78" s="172" cm="1">
        <f t="array" aca="1" ref="DL78" ca="1">IF(OR($D78&lt;&gt;"Serviço",AND(AUTOEVENTO="Manual",$M78=$A$15),$M78&gt;(ROW(PLE.lastrow)-ROW(PLE.firstrow))),0,
           IF(OFFSET(PLE!$G$15,$M78-$A$15,DL$13)="",10^12,OFFSET(PLE!$G$15,$M78-$A$15,DL$13)))</f>
        <v>1000000000000</v>
      </c>
      <c r="DM78" s="172" cm="1">
        <f t="array" aca="1" ref="DM78" ca="1">IF(OR($D78&lt;&gt;"Serviço",AND(AUTOEVENTO="Manual",$M78=$A$15),$M78&gt;(ROW(PLE.lastrow)-ROW(PLE.firstrow))),0,
           IF(OFFSET(PLE!$G$15,$M78-$A$15,DM$13)="",10^12,OFFSET(PLE!$G$15,$M78-$A$15,DM$13)))</f>
        <v>1000000000000</v>
      </c>
      <c r="DN78" s="172" cm="1">
        <f t="array" aca="1" ref="DN78" ca="1">IF(OR($D78&lt;&gt;"Serviço",AND(AUTOEVENTO="Manual",$M78=$A$15),$M78&gt;(ROW(PLE.lastrow)-ROW(PLE.firstrow))),0,
           IF(OFFSET(PLE!$G$15,$M78-$A$15,DN$13)="",10^12,OFFSET(PLE!$G$15,$M78-$A$15,DN$13)))</f>
        <v>1000000000000</v>
      </c>
      <c r="DO78" s="172" cm="1">
        <f t="array" aca="1" ref="DO78" ca="1">IF(OR($D78&lt;&gt;"Serviço",AND(AUTOEVENTO="Manual",$M78=$A$15),$M78&gt;(ROW(PLE.lastrow)-ROW(PLE.firstrow))),0,
           IF(OFFSET(PLE!$G$15,$M78-$A$15,DO$13)="",10^12,OFFSET(PLE!$G$15,$M78-$A$15,DO$13)))</f>
        <v>1000000000000</v>
      </c>
      <c r="DP78" s="172" cm="1">
        <f t="array" aca="1" ref="DP78" ca="1">IF(OR($D78&lt;&gt;"Serviço",AND(AUTOEVENTO="Manual",$M78=$A$15),$M78&gt;(ROW(PLE.lastrow)-ROW(PLE.firstrow))),0,
           IF(OFFSET(PLE!$G$15,$M78-$A$15,DP$13)="",10^12,OFFSET(PLE!$G$15,$M78-$A$15,DP$13)))</f>
        <v>1000000000000</v>
      </c>
      <c r="DQ78" s="172" cm="1">
        <f t="array" aca="1" ref="DQ78" ca="1">IF(OR($D78&lt;&gt;"Serviço",AND(AUTOEVENTO="Manual",$M78=$A$15),$M78&gt;(ROW(PLE.lastrow)-ROW(PLE.firstrow))),0,
           IF(OFFSET(PLE!$G$15,$M78-$A$15,DQ$13)="",10^12,OFFSET(PLE!$G$15,$M78-$A$15,DQ$13)))</f>
        <v>1000000000000</v>
      </c>
      <c r="DR78" s="172" cm="1">
        <f t="array" aca="1" ref="DR78" ca="1">IF(OR($D78&lt;&gt;"Serviço",AND(AUTOEVENTO="Manual",$M78=$A$15),$M78&gt;(ROW(PLE.lastrow)-ROW(PLE.firstrow))),0,
           IF(OFFSET(PLE!$G$15,$M78-$A$15,DR$13)="",10^12,OFFSET(PLE!$G$15,$M78-$A$15,DR$13)))</f>
        <v>1000000000000</v>
      </c>
      <c r="DS78" s="172" cm="1">
        <f t="array" aca="1" ref="DS78" ca="1">IF(OR($D78&lt;&gt;"Serviço",AND(AUTOEVENTO="Manual",$M78=$A$15),$M78&gt;(ROW(PLE.lastrow)-ROW(PLE.firstrow))),0,
           IF(OFFSET(PLE!$G$15,$M78-$A$15,DS$13)="",10^12,OFFSET(PLE!$G$15,$M78-$A$15,DS$13)))</f>
        <v>1000000000000</v>
      </c>
    </row>
    <row r="79" spans="1:123" ht="25.5" x14ac:dyDescent="0.2">
      <c r="A79" s="7">
        <f t="shared" ca="1" si="11"/>
        <v>6</v>
      </c>
      <c r="B79" s="7" t="str">
        <f ca="1">OFFSET(ORÇAMENTO!C$15,$L79,0)</f>
        <v>S</v>
      </c>
      <c r="C79" s="7" t="str">
        <f ca="1">OFFSET(ORÇAMENTO!L$15,$L79,0)</f>
        <v/>
      </c>
      <c r="D79" s="116" t="str">
        <f ca="1">OFFSET(ORÇAMENTO!N$15,$L79,0)</f>
        <v>Serviço</v>
      </c>
      <c r="E79" s="117" t="str">
        <f ca="1">OFFSET(ORÇAMENTO!O$15,$L79,0)</f>
        <v>-</v>
      </c>
      <c r="F79" s="163" t="str">
        <f ca="1">OFFSET(ORÇAMENTO!R$15,$L79,0)</f>
        <v>(Código não identificado nas referências)</v>
      </c>
      <c r="G79" s="164" t="str">
        <f ca="1">IF($D79&lt;&gt;"Serviço","",OFFSET(ORÇAMENTO!S$15,$L79,0))</f>
        <v>-</v>
      </c>
      <c r="H79" s="122" cm="1">
        <f t="array" aca="1" ref="H79" ca="1">IF($D79&lt;&gt;"Serviço",0,IF(ACOMPANHAMENTO="BM",ROUND(OFFSET(ORÇAMENTO!AJ$15,$L79,0),15-13*ORÇAMENTO!$AF$7),IF(IFERROR(CÁLCULO.FrentesPreenchidas,0)=0,0,SUM(ROUND(OFFSET($P79,0,1,1,CÁLCULO.FrentesPreenchidas),15-13*ORÇAMENTO!$AF$7)))))</f>
        <v>2075.9999999999995</v>
      </c>
      <c r="I79" s="468" t="s">
        <v>1235</v>
      </c>
      <c r="J79" s="651" t="str" cm="1">
        <f t="array" aca="1" ref="J79" ca="1">IF(OR(B79&lt;&gt;"S",CÁLCULO.FrentesPreenchidas=0),"",IF(AND(ACOMPANHAMENTO="PLE",AUTOEVENTO="Manual",OR(H79&gt;0,ORÇAMENTO!AC79="QUANT."),OR(K79="",M79=0,N79="")),"►E",IF(AND(ACOMPANHAMENTO="PLE",ORÇAMENTO!AC79="QUANT."),"►Q",IF(AND(ACOMPANHAMENTO="PLE",H79&lt;&gt;SUMPRODUCT(($Q$1:$AQ$1=1)*ROUND(Q79:AQ79,15))),"►S",IF(AND(COUNTIF($P$11:$AQ$11,"▼")=0,H79&gt;0,I79=""),"◄M","")))))</f>
        <v/>
      </c>
      <c r="K79" s="652" t="s">
        <v>1254</v>
      </c>
      <c r="L79" s="165">
        <f t="shared" ca="1" si="12"/>
        <v>64</v>
      </c>
      <c r="M79" s="166">
        <f ca="1">IF($D79&lt;&gt;"Serviço","",
          IF(AUTOEVENTO="manual",$A79,
                IF(ISERROR(MATCH($A79,$A$15:OFFSET($A79,-1,0),0)),MAX($M$15:OFFSET(M79,-1,0))+1,
                      INDEX($M$15:OFFSET(M79,-1,0),MATCH($A79,$A$15:OFFSET($A79,-1,0),0)))))</f>
        <v>6</v>
      </c>
      <c r="N79" s="167" t="str">
        <f ca="1">IF($D79&lt;&gt;"Serviço","",
         IF(AUTOEVENTO="Manual",
                IF($A79=0,"&lt;-- defina o número do agrupador",
                       OFFSET(EVENTOS!$D$15,$A79-$A$15,0)),
                OFFSET($F$15,$A79,0)))</f>
        <v>COBERTURA E PROTEÇÕES</v>
      </c>
      <c r="O79" s="168"/>
      <c r="Q79" s="168">
        <v>103.8</v>
      </c>
      <c r="R79" s="169">
        <v>103.8</v>
      </c>
      <c r="S79" s="169">
        <v>103.8</v>
      </c>
      <c r="T79" s="169">
        <v>103.8</v>
      </c>
      <c r="U79" s="169">
        <v>103.8</v>
      </c>
      <c r="V79" s="169">
        <v>103.8</v>
      </c>
      <c r="W79" s="169">
        <v>103.8</v>
      </c>
      <c r="X79" s="169">
        <v>103.8</v>
      </c>
      <c r="Y79" s="169">
        <v>103.8</v>
      </c>
      <c r="Z79" s="170">
        <v>103.8</v>
      </c>
      <c r="AA79" s="169">
        <v>103.8</v>
      </c>
      <c r="AB79" s="169">
        <v>103.8</v>
      </c>
      <c r="AC79" s="169">
        <v>103.8</v>
      </c>
      <c r="AD79" s="169">
        <v>103.8</v>
      </c>
      <c r="AE79" s="169">
        <v>103.8</v>
      </c>
      <c r="AF79" s="169">
        <v>103.8</v>
      </c>
      <c r="AG79" s="169">
        <v>103.8</v>
      </c>
      <c r="AH79" s="170">
        <v>103.8</v>
      </c>
      <c r="AI79" s="169">
        <v>103.8</v>
      </c>
      <c r="AJ79" s="169">
        <v>103.8</v>
      </c>
      <c r="AK79" s="169"/>
      <c r="AL79" s="169"/>
      <c r="AM79" s="169"/>
      <c r="AN79" s="169"/>
      <c r="AO79" s="169"/>
      <c r="AP79" s="170"/>
      <c r="AR79" s="453">
        <f ca="1">IF(AND($D79="Serviço",AR$12&lt;&gt;0,$H79&gt;0,OR(AUTOEVENTO&lt;&gt;"manual",$M79&lt;&gt;$A$15)),
        IF(Import.TipoArredondamento&lt;&gt;"TransfereGOV",
              ROUND(OFFSET($P79,0,AR$13),15-13*ORÇAMENTO!$AF$7)/$H79*OFFSET(ORÇAMENTO!$X$15,ROW(AR79)-ROW(AR$15),0),
              ROUND(ROUND(OFFSET($P79,0,AR$13),15-13*ORÇAMENTO!$AF$7)*OFFSET(ORÇAMENTO!$W$15,ROW(AR79)-ROW(AR$15),0),15-13*ORÇAMENTO!$AF$11)),
         0)</f>
        <v>0</v>
      </c>
      <c r="AS79" s="453">
        <f ca="1">IF(AND($D79="Serviço",AS$12&lt;&gt;0,$H79&gt;0,OR(AUTOEVENTO&lt;&gt;"manual",$M79&lt;&gt;$A$15)),
        IF(Import.TipoArredondamento&lt;&gt;"TransfereGOV",
              ROUND(OFFSET($P79,0,AS$13),15-13*ORÇAMENTO!$AF$7)/$H79*OFFSET(ORÇAMENTO!$X$15,ROW(AS79)-ROW(AS$15),0),
              ROUND(ROUND(OFFSET($P79,0,AS$13),15-13*ORÇAMENTO!$AF$7)*OFFSET(ORÇAMENTO!$W$15,ROW(AS79)-ROW(AS$15),0),15-13*ORÇAMENTO!$AF$11)),
         0)</f>
        <v>0</v>
      </c>
      <c r="AT79" s="453">
        <f ca="1">IF(AND($D79="Serviço",AT$12&lt;&gt;0,$H79&gt;0,OR(AUTOEVENTO&lt;&gt;"manual",$M79&lt;&gt;$A$15)),
        IF(Import.TipoArredondamento&lt;&gt;"TransfereGOV",
              ROUND(OFFSET($P79,0,AT$13),15-13*ORÇAMENTO!$AF$7)/$H79*OFFSET(ORÇAMENTO!$X$15,ROW(AT79)-ROW(AT$15),0),
              ROUND(ROUND(OFFSET($P79,0,AT$13),15-13*ORÇAMENTO!$AF$7)*OFFSET(ORÇAMENTO!$W$15,ROW(AT79)-ROW(AT$15),0),15-13*ORÇAMENTO!$AF$11)),
         0)</f>
        <v>0</v>
      </c>
      <c r="AU79" s="453">
        <f ca="1">IF(AND($D79="Serviço",AU$12&lt;&gt;0,$H79&gt;0,OR(AUTOEVENTO&lt;&gt;"manual",$M79&lt;&gt;$A$15)),
        IF(Import.TipoArredondamento&lt;&gt;"TransfereGOV",
              ROUND(OFFSET($P79,0,AU$13),15-13*ORÇAMENTO!$AF$7)/$H79*OFFSET(ORÇAMENTO!$X$15,ROW(AU79)-ROW(AU$15),0),
              ROUND(ROUND(OFFSET($P79,0,AU$13),15-13*ORÇAMENTO!$AF$7)*OFFSET(ORÇAMENTO!$W$15,ROW(AU79)-ROW(AU$15),0),15-13*ORÇAMENTO!$AF$11)),
         0)</f>
        <v>0</v>
      </c>
      <c r="AV79" s="453">
        <f ca="1">IF(AND($D79="Serviço",AV$12&lt;&gt;0,$H79&gt;0,OR(AUTOEVENTO&lt;&gt;"manual",$M79&lt;&gt;$A$15)),
        IF(Import.TipoArredondamento&lt;&gt;"TransfereGOV",
              ROUND(OFFSET($P79,0,AV$13),15-13*ORÇAMENTO!$AF$7)/$H79*OFFSET(ORÇAMENTO!$X$15,ROW(AV79)-ROW(AV$15),0),
              ROUND(ROUND(OFFSET($P79,0,AV$13),15-13*ORÇAMENTO!$AF$7)*OFFSET(ORÇAMENTO!$W$15,ROW(AV79)-ROW(AV$15),0),15-13*ORÇAMENTO!$AF$11)),
         0)</f>
        <v>0</v>
      </c>
      <c r="AW79" s="453">
        <f ca="1">IF(AND($D79="Serviço",AW$12&lt;&gt;0,$H79&gt;0,OR(AUTOEVENTO&lt;&gt;"manual",$M79&lt;&gt;$A$15)),
        IF(Import.TipoArredondamento&lt;&gt;"TransfereGOV",
              ROUND(OFFSET($P79,0,AW$13),15-13*ORÇAMENTO!$AF$7)/$H79*OFFSET(ORÇAMENTO!$X$15,ROW(AW79)-ROW(AW$15),0),
              ROUND(ROUND(OFFSET($P79,0,AW$13),15-13*ORÇAMENTO!$AF$7)*OFFSET(ORÇAMENTO!$W$15,ROW(AW79)-ROW(AW$15),0),15-13*ORÇAMENTO!$AF$11)),
         0)</f>
        <v>0</v>
      </c>
      <c r="AX79" s="453">
        <f ca="1">IF(AND($D79="Serviço",AX$12&lt;&gt;0,$H79&gt;0,OR(AUTOEVENTO&lt;&gt;"manual",$M79&lt;&gt;$A$15)),
        IF(Import.TipoArredondamento&lt;&gt;"TransfereGOV",
              ROUND(OFFSET($P79,0,AX$13),15-13*ORÇAMENTO!$AF$7)/$H79*OFFSET(ORÇAMENTO!$X$15,ROW(AX79)-ROW(AX$15),0),
              ROUND(ROUND(OFFSET($P79,0,AX$13),15-13*ORÇAMENTO!$AF$7)*OFFSET(ORÇAMENTO!$W$15,ROW(AX79)-ROW(AX$15),0),15-13*ORÇAMENTO!$AF$11)),
         0)</f>
        <v>0</v>
      </c>
      <c r="AY79" s="453">
        <f ca="1">IF(AND($D79="Serviço",AY$12&lt;&gt;0,$H79&gt;0,OR(AUTOEVENTO&lt;&gt;"manual",$M79&lt;&gt;$A$15)),
        IF(Import.TipoArredondamento&lt;&gt;"TransfereGOV",
              ROUND(OFFSET($P79,0,AY$13),15-13*ORÇAMENTO!$AF$7)/$H79*OFFSET(ORÇAMENTO!$X$15,ROW(AY79)-ROW(AY$15),0),
              ROUND(ROUND(OFFSET($P79,0,AY$13),15-13*ORÇAMENTO!$AF$7)*OFFSET(ORÇAMENTO!$W$15,ROW(AY79)-ROW(AY$15),0),15-13*ORÇAMENTO!$AF$11)),
         0)</f>
        <v>0</v>
      </c>
      <c r="AZ79" s="453">
        <f ca="1">IF(AND($D79="Serviço",AZ$12&lt;&gt;0,$H79&gt;0,OR(AUTOEVENTO&lt;&gt;"manual",$M79&lt;&gt;$A$15)),
        IF(Import.TipoArredondamento&lt;&gt;"TransfereGOV",
              ROUND(OFFSET($P79,0,AZ$13),15-13*ORÇAMENTO!$AF$7)/$H79*OFFSET(ORÇAMENTO!$X$15,ROW(AZ79)-ROW(AZ$15),0),
              ROUND(ROUND(OFFSET($P79,0,AZ$13),15-13*ORÇAMENTO!$AF$7)*OFFSET(ORÇAMENTO!$W$15,ROW(AZ79)-ROW(AZ$15),0),15-13*ORÇAMENTO!$AF$11)),
         0)</f>
        <v>0</v>
      </c>
      <c r="BA79" s="453">
        <f ca="1">IF(AND($D79="Serviço",BA$12&lt;&gt;0,$H79&gt;0,OR(AUTOEVENTO&lt;&gt;"manual",$M79&lt;&gt;$A$15)),
        IF(Import.TipoArredondamento&lt;&gt;"TransfereGOV",
              ROUND(OFFSET($P79,0,BA$13),15-13*ORÇAMENTO!$AF$7)/$H79*OFFSET(ORÇAMENTO!$X$15,ROW(BA79)-ROW(BA$15),0),
              ROUND(ROUND(OFFSET($P79,0,BA$13),15-13*ORÇAMENTO!$AF$7)*OFFSET(ORÇAMENTO!$W$15,ROW(BA79)-ROW(BA$15),0),15-13*ORÇAMENTO!$AF$11)),
         0)</f>
        <v>0</v>
      </c>
      <c r="BB79" s="453">
        <f ca="1">IF(AND($D79="Serviço",BB$12&lt;&gt;0,$H79&gt;0,OR(AUTOEVENTO&lt;&gt;"manual",$M79&lt;&gt;$A$15)),
        IF(Import.TipoArredondamento&lt;&gt;"TransfereGOV",
              ROUND(OFFSET($P79,0,BB$13),15-13*ORÇAMENTO!$AF$7)/$H79*OFFSET(ORÇAMENTO!$X$15,ROW(BB79)-ROW(BB$15),0),
              ROUND(ROUND(OFFSET($P79,0,BB$13),15-13*ORÇAMENTO!$AF$7)*OFFSET(ORÇAMENTO!$W$15,ROW(BB79)-ROW(BB$15),0),15-13*ORÇAMENTO!$AF$11)),
         0)</f>
        <v>0</v>
      </c>
      <c r="BC79" s="453">
        <f ca="1">IF(AND($D79="Serviço",BC$12&lt;&gt;0,$H79&gt;0,OR(AUTOEVENTO&lt;&gt;"manual",$M79&lt;&gt;$A$15)),
        IF(Import.TipoArredondamento&lt;&gt;"TransfereGOV",
              ROUND(OFFSET($P79,0,BC$13),15-13*ORÇAMENTO!$AF$7)/$H79*OFFSET(ORÇAMENTO!$X$15,ROW(BC79)-ROW(BC$15),0),
              ROUND(ROUND(OFFSET($P79,0,BC$13),15-13*ORÇAMENTO!$AF$7)*OFFSET(ORÇAMENTO!$W$15,ROW(BC79)-ROW(BC$15),0),15-13*ORÇAMENTO!$AF$11)),
         0)</f>
        <v>0</v>
      </c>
      <c r="BD79" s="453">
        <f ca="1">IF(AND($D79="Serviço",BD$12&lt;&gt;0,$H79&gt;0,OR(AUTOEVENTO&lt;&gt;"manual",$M79&lt;&gt;$A$15)),
        IF(Import.TipoArredondamento&lt;&gt;"TransfereGOV",
              ROUND(OFFSET($P79,0,BD$13),15-13*ORÇAMENTO!$AF$7)/$H79*OFFSET(ORÇAMENTO!$X$15,ROW(BD79)-ROW(BD$15),0),
              ROUND(ROUND(OFFSET($P79,0,BD$13),15-13*ORÇAMENTO!$AF$7)*OFFSET(ORÇAMENTO!$W$15,ROW(BD79)-ROW(BD$15),0),15-13*ORÇAMENTO!$AF$11)),
         0)</f>
        <v>0</v>
      </c>
      <c r="BE79" s="453">
        <f ca="1">IF(AND($D79="Serviço",BE$12&lt;&gt;0,$H79&gt;0,OR(AUTOEVENTO&lt;&gt;"manual",$M79&lt;&gt;$A$15)),
        IF(Import.TipoArredondamento&lt;&gt;"TransfereGOV",
              ROUND(OFFSET($P79,0,BE$13),15-13*ORÇAMENTO!$AF$7)/$H79*OFFSET(ORÇAMENTO!$X$15,ROW(BE79)-ROW(BE$15),0),
              ROUND(ROUND(OFFSET($P79,0,BE$13),15-13*ORÇAMENTO!$AF$7)*OFFSET(ORÇAMENTO!$W$15,ROW(BE79)-ROW(BE$15),0),15-13*ORÇAMENTO!$AF$11)),
         0)</f>
        <v>0</v>
      </c>
      <c r="BF79" s="453">
        <f ca="1">IF(AND($D79="Serviço",BF$12&lt;&gt;0,$H79&gt;0,OR(AUTOEVENTO&lt;&gt;"manual",$M79&lt;&gt;$A$15)),
        IF(Import.TipoArredondamento&lt;&gt;"TransfereGOV",
              ROUND(OFFSET($P79,0,BF$13),15-13*ORÇAMENTO!$AF$7)/$H79*OFFSET(ORÇAMENTO!$X$15,ROW(BF79)-ROW(BF$15),0),
              ROUND(ROUND(OFFSET($P79,0,BF$13),15-13*ORÇAMENTO!$AF$7)*OFFSET(ORÇAMENTO!$W$15,ROW(BF79)-ROW(BF$15),0),15-13*ORÇAMENTO!$AF$11)),
         0)</f>
        <v>0</v>
      </c>
      <c r="BG79" s="453">
        <f ca="1">IF(AND($D79="Serviço",BG$12&lt;&gt;0,$H79&gt;0,OR(AUTOEVENTO&lt;&gt;"manual",$M79&lt;&gt;$A$15)),
        IF(Import.TipoArredondamento&lt;&gt;"TransfereGOV",
              ROUND(OFFSET($P79,0,BG$13),15-13*ORÇAMENTO!$AF$7)/$H79*OFFSET(ORÇAMENTO!$X$15,ROW(BG79)-ROW(BG$15),0),
              ROUND(ROUND(OFFSET($P79,0,BG$13),15-13*ORÇAMENTO!$AF$7)*OFFSET(ORÇAMENTO!$W$15,ROW(BG79)-ROW(BG$15),0),15-13*ORÇAMENTO!$AF$11)),
         0)</f>
        <v>0</v>
      </c>
      <c r="BH79" s="453">
        <f ca="1">IF(AND($D79="Serviço",BH$12&lt;&gt;0,$H79&gt;0,OR(AUTOEVENTO&lt;&gt;"manual",$M79&lt;&gt;$A$15)),
        IF(Import.TipoArredondamento&lt;&gt;"TransfereGOV",
              ROUND(OFFSET($P79,0,BH$13),15-13*ORÇAMENTO!$AF$7)/$H79*OFFSET(ORÇAMENTO!$X$15,ROW(BH79)-ROW(BH$15),0),
              ROUND(ROUND(OFFSET($P79,0,BH$13),15-13*ORÇAMENTO!$AF$7)*OFFSET(ORÇAMENTO!$W$15,ROW(BH79)-ROW(BH$15),0),15-13*ORÇAMENTO!$AF$11)),
         0)</f>
        <v>0</v>
      </c>
      <c r="BI79" s="453">
        <f ca="1">IF(AND($D79="Serviço",BI$12&lt;&gt;0,$H79&gt;0,OR(AUTOEVENTO&lt;&gt;"manual",$M79&lt;&gt;$A$15)),
        IF(Import.TipoArredondamento&lt;&gt;"TransfereGOV",
              ROUND(OFFSET($P79,0,BI$13),15-13*ORÇAMENTO!$AF$7)/$H79*OFFSET(ORÇAMENTO!$X$15,ROW(BI79)-ROW(BI$15),0),
              ROUND(ROUND(OFFSET($P79,0,BI$13),15-13*ORÇAMENTO!$AF$7)*OFFSET(ORÇAMENTO!$W$15,ROW(BI79)-ROW(BI$15),0),15-13*ORÇAMENTO!$AF$11)),
         0)</f>
        <v>0</v>
      </c>
      <c r="BJ79" s="453">
        <f ca="1">IF(AND($D79="Serviço",BJ$12&lt;&gt;0,$H79&gt;0,OR(AUTOEVENTO&lt;&gt;"manual",$M79&lt;&gt;$A$15)),
        IF(Import.TipoArredondamento&lt;&gt;"TransfereGOV",
              ROUND(OFFSET($P79,0,BJ$13),15-13*ORÇAMENTO!$AF$7)/$H79*OFFSET(ORÇAMENTO!$X$15,ROW(BJ79)-ROW(BJ$15),0),
              ROUND(ROUND(OFFSET($P79,0,BJ$13),15-13*ORÇAMENTO!$AF$7)*OFFSET(ORÇAMENTO!$W$15,ROW(BJ79)-ROW(BJ$15),0),15-13*ORÇAMENTO!$AF$11)),
         0)</f>
        <v>0</v>
      </c>
      <c r="BK79" s="453">
        <f ca="1">IF(AND($D79="Serviço",BK$12&lt;&gt;0,$H79&gt;0,OR(AUTOEVENTO&lt;&gt;"manual",$M79&lt;&gt;$A$15)),
        IF(Import.TipoArredondamento&lt;&gt;"TransfereGOV",
              ROUND(OFFSET($P79,0,BK$13),15-13*ORÇAMENTO!$AF$7)/$H79*OFFSET(ORÇAMENTO!$X$15,ROW(BK79)-ROW(BK$15),0),
              ROUND(ROUND(OFFSET($P79,0,BK$13),15-13*ORÇAMENTO!$AF$7)*OFFSET(ORÇAMENTO!$W$15,ROW(BK79)-ROW(BK$15),0),15-13*ORÇAMENTO!$AF$11)),
         0)</f>
        <v>0</v>
      </c>
      <c r="BL79" s="453">
        <f ca="1">IF(AND($D79="Serviço",BL$12&lt;&gt;0,$H79&gt;0,OR(AUTOEVENTO&lt;&gt;"manual",$M79&lt;&gt;$A$15)),
        IF(Import.TipoArredondamento&lt;&gt;"TransfereGOV",
              ROUND(OFFSET($P79,0,BL$13),15-13*ORÇAMENTO!$AF$7)/$H79*OFFSET(ORÇAMENTO!$X$15,ROW(BL79)-ROW(BL$15),0),
              ROUND(ROUND(OFFSET($P79,0,BL$13),15-13*ORÇAMENTO!$AF$7)*OFFSET(ORÇAMENTO!$W$15,ROW(BL79)-ROW(BL$15),0),15-13*ORÇAMENTO!$AF$11)),
         0)</f>
        <v>0</v>
      </c>
      <c r="BM79" s="453">
        <f ca="1">IF(AND($D79="Serviço",BM$12&lt;&gt;0,$H79&gt;0,OR(AUTOEVENTO&lt;&gt;"manual",$M79&lt;&gt;$A$15)),
        IF(Import.TipoArredondamento&lt;&gt;"TransfereGOV",
              ROUND(OFFSET($P79,0,BM$13),15-13*ORÇAMENTO!$AF$7)/$H79*OFFSET(ORÇAMENTO!$X$15,ROW(BM79)-ROW(BM$15),0),
              ROUND(ROUND(OFFSET($P79,0,BM$13),15-13*ORÇAMENTO!$AF$7)*OFFSET(ORÇAMENTO!$W$15,ROW(BM79)-ROW(BM$15),0),15-13*ORÇAMENTO!$AF$11)),
         0)</f>
        <v>0</v>
      </c>
      <c r="BN79" s="453">
        <f ca="1">IF(AND($D79="Serviço",BN$12&lt;&gt;0,$H79&gt;0,OR(AUTOEVENTO&lt;&gt;"manual",$M79&lt;&gt;$A$15)),
        IF(Import.TipoArredondamento&lt;&gt;"TransfereGOV",
              ROUND(OFFSET($P79,0,BN$13),15-13*ORÇAMENTO!$AF$7)/$H79*OFFSET(ORÇAMENTO!$X$15,ROW(BN79)-ROW(BN$15),0),
              ROUND(ROUND(OFFSET($P79,0,BN$13),15-13*ORÇAMENTO!$AF$7)*OFFSET(ORÇAMENTO!$W$15,ROW(BN79)-ROW(BN$15),0),15-13*ORÇAMENTO!$AF$11)),
         0)</f>
        <v>0</v>
      </c>
      <c r="BO79" s="453">
        <f ca="1">IF(AND($D79="Serviço",BO$12&lt;&gt;0,$H79&gt;0,OR(AUTOEVENTO&lt;&gt;"manual",$M79&lt;&gt;$A$15)),
        IF(Import.TipoArredondamento&lt;&gt;"TransfereGOV",
              ROUND(OFFSET($P79,0,BO$13),15-13*ORÇAMENTO!$AF$7)/$H79*OFFSET(ORÇAMENTO!$X$15,ROW(BO79)-ROW(BO$15),0),
              ROUND(ROUND(OFFSET($P79,0,BO$13),15-13*ORÇAMENTO!$AF$7)*OFFSET(ORÇAMENTO!$W$15,ROW(BO79)-ROW(BO$15),0),15-13*ORÇAMENTO!$AF$11)),
         0)</f>
        <v>0</v>
      </c>
      <c r="BP79" s="453">
        <f ca="1">IF(AND($D79="Serviço",BP$12&lt;&gt;0,$H79&gt;0,OR(AUTOEVENTO&lt;&gt;"manual",$M79&lt;&gt;$A$15)),
        IF(Import.TipoArredondamento&lt;&gt;"TransfereGOV",
              ROUND(OFFSET($P79,0,BP$13),15-13*ORÇAMENTO!$AF$7)/$H79*OFFSET(ORÇAMENTO!$X$15,ROW(BP79)-ROW(BP$15),0),
              ROUND(ROUND(OFFSET($P79,0,BP$13),15-13*ORÇAMENTO!$AF$7)*OFFSET(ORÇAMENTO!$W$15,ROW(BP79)-ROW(BP$15),0),15-13*ORÇAMENTO!$AF$11)),
         0)</f>
        <v>0</v>
      </c>
      <c r="BQ79" s="453">
        <f ca="1">IF(AND($D79="Serviço",BQ$12&lt;&gt;0,$H79&gt;0,OR(AUTOEVENTO&lt;&gt;"manual",$M79&lt;&gt;$A$15)),
        IF(Import.TipoArredondamento&lt;&gt;"TransfereGOV",
              ROUND(OFFSET($P79,0,BQ$13),15-13*ORÇAMENTO!$AF$7)/$H79*OFFSET(ORÇAMENTO!$X$15,ROW(BQ79)-ROW(BQ$15),0),
              ROUND(ROUND(OFFSET($P79,0,BQ$13),15-13*ORÇAMENTO!$AF$7)*OFFSET(ORÇAMENTO!$W$15,ROW(BQ79)-ROW(BQ$15),0),15-13*ORÇAMENTO!$AF$11)),
         0)</f>
        <v>0</v>
      </c>
      <c r="BS79" s="171">
        <f ca="1">IF(OR($D79&lt;&gt;"Serviço",AND(AUTOEVENTO="Manual",$M79=$A$15)),0,
         IF(OFFSET(CRONOPLE!$F$15,$M79-$A$15,BS$13)=0,10^12,OFFSET(CRONOPLE!$F$15,$M79-$A$15,BS$13)))</f>
        <v>1</v>
      </c>
      <c r="BT79" s="171">
        <f ca="1">IF(OR($D79&lt;&gt;"Serviço",AND(AUTOEVENTO="Manual",$M79=$A$15)),0,
         IF(OFFSET(CRONOPLE!$F$15,$M79-$A$15,BT$13)=0,10^12,OFFSET(CRONOPLE!$F$15,$M79-$A$15,BT$13)))</f>
        <v>2</v>
      </c>
      <c r="BU79" s="171">
        <f ca="1">IF(OR($D79&lt;&gt;"Serviço",AND(AUTOEVENTO="Manual",$M79=$A$15)),0,
         IF(OFFSET(CRONOPLE!$F$15,$M79-$A$15,BU$13)=0,10^12,OFFSET(CRONOPLE!$F$15,$M79-$A$15,BU$13)))</f>
        <v>3</v>
      </c>
      <c r="BV79" s="171">
        <f ca="1">IF(OR($D79&lt;&gt;"Serviço",AND(AUTOEVENTO="Manual",$M79=$A$15)),0,
         IF(OFFSET(CRONOPLE!$F$15,$M79-$A$15,BV$13)=0,10^12,OFFSET(CRONOPLE!$F$15,$M79-$A$15,BV$13)))</f>
        <v>4</v>
      </c>
      <c r="BW79" s="171">
        <f ca="1">IF(OR($D79&lt;&gt;"Serviço",AND(AUTOEVENTO="Manual",$M79=$A$15)),0,
         IF(OFFSET(CRONOPLE!$F$15,$M79-$A$15,BW$13)=0,10^12,OFFSET(CRONOPLE!$F$15,$M79-$A$15,BW$13)))</f>
        <v>5</v>
      </c>
      <c r="BX79" s="171">
        <f ca="1">IF(OR($D79&lt;&gt;"Serviço",AND(AUTOEVENTO="Manual",$M79=$A$15)),0,
         IF(OFFSET(CRONOPLE!$F$15,$M79-$A$15,BX$13)=0,10^12,OFFSET(CRONOPLE!$F$15,$M79-$A$15,BX$13)))</f>
        <v>6</v>
      </c>
      <c r="BY79" s="171">
        <f ca="1">IF(OR($D79&lt;&gt;"Serviço",AND(AUTOEVENTO="Manual",$M79=$A$15)),0,
         IF(OFFSET(CRONOPLE!$F$15,$M79-$A$15,BY$13)=0,10^12,OFFSET(CRONOPLE!$F$15,$M79-$A$15,BY$13)))</f>
        <v>7</v>
      </c>
      <c r="BZ79" s="171">
        <f ca="1">IF(OR($D79&lt;&gt;"Serviço",AND(AUTOEVENTO="Manual",$M79=$A$15)),0,
         IF(OFFSET(CRONOPLE!$F$15,$M79-$A$15,BZ$13)=0,10^12,OFFSET(CRONOPLE!$F$15,$M79-$A$15,BZ$13)))</f>
        <v>8</v>
      </c>
      <c r="CA79" s="171">
        <f ca="1">IF(OR($D79&lt;&gt;"Serviço",AND(AUTOEVENTO="Manual",$M79=$A$15)),0,
         IF(OFFSET(CRONOPLE!$F$15,$M79-$A$15,CA$13)=0,10^12,OFFSET(CRONOPLE!$F$15,$M79-$A$15,CA$13)))</f>
        <v>9</v>
      </c>
      <c r="CB79" s="171">
        <f ca="1">IF(OR($D79&lt;&gt;"Serviço",AND(AUTOEVENTO="Manual",$M79=$A$15)),0,
         IF(OFFSET(CRONOPLE!$F$15,$M79-$A$15,CB$13)=0,10^12,OFFSET(CRONOPLE!$F$15,$M79-$A$15,CB$13)))</f>
        <v>10</v>
      </c>
      <c r="CC79" s="171">
        <f ca="1">IF(OR($D79&lt;&gt;"Serviço",AND(AUTOEVENTO="Manual",$M79=$A$15)),0,
         IF(OFFSET(CRONOPLE!$F$15,$M79-$A$15,CC$13)=0,10^12,OFFSET(CRONOPLE!$F$15,$M79-$A$15,CC$13)))</f>
        <v>11</v>
      </c>
      <c r="CD79" s="171">
        <f ca="1">IF(OR($D79&lt;&gt;"Serviço",AND(AUTOEVENTO="Manual",$M79=$A$15)),0,
         IF(OFFSET(CRONOPLE!$F$15,$M79-$A$15,CD$13)=0,10^12,OFFSET(CRONOPLE!$F$15,$M79-$A$15,CD$13)))</f>
        <v>12</v>
      </c>
      <c r="CE79" s="171">
        <f ca="1">IF(OR($D79&lt;&gt;"Serviço",AND(AUTOEVENTO="Manual",$M79=$A$15)),0,
         IF(OFFSET(CRONOPLE!$F$15,$M79-$A$15,CE$13)=0,10^12,OFFSET(CRONOPLE!$F$15,$M79-$A$15,CE$13)))</f>
        <v>13</v>
      </c>
      <c r="CF79" s="171">
        <f ca="1">IF(OR($D79&lt;&gt;"Serviço",AND(AUTOEVENTO="Manual",$M79=$A$15)),0,
         IF(OFFSET(CRONOPLE!$F$15,$M79-$A$15,CF$13)=0,10^12,OFFSET(CRONOPLE!$F$15,$M79-$A$15,CF$13)))</f>
        <v>14</v>
      </c>
      <c r="CG79" s="171">
        <f ca="1">IF(OR($D79&lt;&gt;"Serviço",AND(AUTOEVENTO="Manual",$M79=$A$15)),0,
         IF(OFFSET(CRONOPLE!$F$15,$M79-$A$15,CG$13)=0,10^12,OFFSET(CRONOPLE!$F$15,$M79-$A$15,CG$13)))</f>
        <v>15</v>
      </c>
      <c r="CH79" s="171">
        <f ca="1">IF(OR($D79&lt;&gt;"Serviço",AND(AUTOEVENTO="Manual",$M79=$A$15)),0,
         IF(OFFSET(CRONOPLE!$F$15,$M79-$A$15,CH$13)=0,10^12,OFFSET(CRONOPLE!$F$15,$M79-$A$15,CH$13)))</f>
        <v>16</v>
      </c>
      <c r="CI79" s="171">
        <f ca="1">IF(OR($D79&lt;&gt;"Serviço",AND(AUTOEVENTO="Manual",$M79=$A$15)),0,
         IF(OFFSET(CRONOPLE!$F$15,$M79-$A$15,CI$13)=0,10^12,OFFSET(CRONOPLE!$F$15,$M79-$A$15,CI$13)))</f>
        <v>17</v>
      </c>
      <c r="CJ79" s="171">
        <f ca="1">IF(OR($D79&lt;&gt;"Serviço",AND(AUTOEVENTO="Manual",$M79=$A$15)),0,
         IF(OFFSET(CRONOPLE!$F$15,$M79-$A$15,CJ$13)=0,10^12,OFFSET(CRONOPLE!$F$15,$M79-$A$15,CJ$13)))</f>
        <v>18</v>
      </c>
      <c r="CK79" s="171">
        <f ca="1">IF(OR($D79&lt;&gt;"Serviço",AND(AUTOEVENTO="Manual",$M79=$A$15)),0,
         IF(OFFSET(CRONOPLE!$F$15,$M79-$A$15,CK$13)=0,10^12,OFFSET(CRONOPLE!$F$15,$M79-$A$15,CK$13)))</f>
        <v>19</v>
      </c>
      <c r="CL79" s="171">
        <f ca="1">IF(OR($D79&lt;&gt;"Serviço",AND(AUTOEVENTO="Manual",$M79=$A$15)),0,
         IF(OFFSET(CRONOPLE!$F$15,$M79-$A$15,CL$13)=0,10^12,OFFSET(CRONOPLE!$F$15,$M79-$A$15,CL$13)))</f>
        <v>20</v>
      </c>
      <c r="CM79" s="171">
        <f ca="1">IF(OR($D79&lt;&gt;"Serviço",AND(AUTOEVENTO="Manual",$M79=$A$15)),0,
         IF(OFFSET(CRONOPLE!$F$15,$M79-$A$15,CM$13)=0,10^12,OFFSET(CRONOPLE!$F$15,$M79-$A$15,CM$13)))</f>
        <v>1000000000000</v>
      </c>
      <c r="CN79" s="171">
        <f ca="1">IF(OR($D79&lt;&gt;"Serviço",AND(AUTOEVENTO="Manual",$M79=$A$15)),0,
         IF(OFFSET(CRONOPLE!$F$15,$M79-$A$15,CN$13)=0,10^12,OFFSET(CRONOPLE!$F$15,$M79-$A$15,CN$13)))</f>
        <v>1000000000000</v>
      </c>
      <c r="CO79" s="171">
        <f ca="1">IF(OR($D79&lt;&gt;"Serviço",AND(AUTOEVENTO="Manual",$M79=$A$15)),0,
         IF(OFFSET(CRONOPLE!$F$15,$M79-$A$15,CO$13)=0,10^12,OFFSET(CRONOPLE!$F$15,$M79-$A$15,CO$13)))</f>
        <v>1000000000000</v>
      </c>
      <c r="CP79" s="171">
        <f ca="1">IF(OR($D79&lt;&gt;"Serviço",AND(AUTOEVENTO="Manual",$M79=$A$15)),0,
         IF(OFFSET(CRONOPLE!$F$15,$M79-$A$15,CP$13)=0,10^12,OFFSET(CRONOPLE!$F$15,$M79-$A$15,CP$13)))</f>
        <v>1000000000000</v>
      </c>
      <c r="CQ79" s="171">
        <f ca="1">IF(OR($D79&lt;&gt;"Serviço",AND(AUTOEVENTO="Manual",$M79=$A$15)),0,
         IF(OFFSET(CRONOPLE!$F$15,$M79-$A$15,CQ$13)=0,10^12,OFFSET(CRONOPLE!$F$15,$M79-$A$15,CQ$13)))</f>
        <v>1000000000000</v>
      </c>
      <c r="CR79" s="171">
        <f ca="1">IF(OR($D79&lt;&gt;"Serviço",AND(AUTOEVENTO="Manual",$M79=$A$15)),0,
         IF(OFFSET(CRONOPLE!$F$15,$M79-$A$15,CR$13)=0,10^12,OFFSET(CRONOPLE!$F$15,$M79-$A$15,CR$13)))</f>
        <v>1000000000000</v>
      </c>
      <c r="CT79" s="172" cm="1">
        <f t="array" aca="1" ref="CT79" ca="1">IF(OR($D79&lt;&gt;"Serviço",AND(AUTOEVENTO="Manual",$M79=$A$15),$M79&gt;(ROW(PLE.lastrow)-ROW(PLE.firstrow))),0,
           IF(OFFSET(PLE!$G$15,$M79-$A$15,CT$13)="",10^12,OFFSET(PLE!$G$15,$M79-$A$15,CT$13)))</f>
        <v>1000000000000</v>
      </c>
      <c r="CU79" s="172" cm="1">
        <f t="array" aca="1" ref="CU79" ca="1">IF(OR($D79&lt;&gt;"Serviço",AND(AUTOEVENTO="Manual",$M79=$A$15),$M79&gt;(ROW(PLE.lastrow)-ROW(PLE.firstrow))),0,
           IF(OFFSET(PLE!$G$15,$M79-$A$15,CU$13)="",10^12,OFFSET(PLE!$G$15,$M79-$A$15,CU$13)))</f>
        <v>1000000000000</v>
      </c>
      <c r="CV79" s="172" cm="1">
        <f t="array" aca="1" ref="CV79" ca="1">IF(OR($D79&lt;&gt;"Serviço",AND(AUTOEVENTO="Manual",$M79=$A$15),$M79&gt;(ROW(PLE.lastrow)-ROW(PLE.firstrow))),0,
           IF(OFFSET(PLE!$G$15,$M79-$A$15,CV$13)="",10^12,OFFSET(PLE!$G$15,$M79-$A$15,CV$13)))</f>
        <v>1000000000000</v>
      </c>
      <c r="CW79" s="172" cm="1">
        <f t="array" aca="1" ref="CW79" ca="1">IF(OR($D79&lt;&gt;"Serviço",AND(AUTOEVENTO="Manual",$M79=$A$15),$M79&gt;(ROW(PLE.lastrow)-ROW(PLE.firstrow))),0,
           IF(OFFSET(PLE!$G$15,$M79-$A$15,CW$13)="",10^12,OFFSET(PLE!$G$15,$M79-$A$15,CW$13)))</f>
        <v>1000000000000</v>
      </c>
      <c r="CX79" s="172" cm="1">
        <f t="array" aca="1" ref="CX79" ca="1">IF(OR($D79&lt;&gt;"Serviço",AND(AUTOEVENTO="Manual",$M79=$A$15),$M79&gt;(ROW(PLE.lastrow)-ROW(PLE.firstrow))),0,
           IF(OFFSET(PLE!$G$15,$M79-$A$15,CX$13)="",10^12,OFFSET(PLE!$G$15,$M79-$A$15,CX$13)))</f>
        <v>1000000000000</v>
      </c>
      <c r="CY79" s="172" cm="1">
        <f t="array" aca="1" ref="CY79" ca="1">IF(OR($D79&lt;&gt;"Serviço",AND(AUTOEVENTO="Manual",$M79=$A$15),$M79&gt;(ROW(PLE.lastrow)-ROW(PLE.firstrow))),0,
           IF(OFFSET(PLE!$G$15,$M79-$A$15,CY$13)="",10^12,OFFSET(PLE!$G$15,$M79-$A$15,CY$13)))</f>
        <v>1000000000000</v>
      </c>
      <c r="CZ79" s="172" cm="1">
        <f t="array" aca="1" ref="CZ79" ca="1">IF(OR($D79&lt;&gt;"Serviço",AND(AUTOEVENTO="Manual",$M79=$A$15),$M79&gt;(ROW(PLE.lastrow)-ROW(PLE.firstrow))),0,
           IF(OFFSET(PLE!$G$15,$M79-$A$15,CZ$13)="",10^12,OFFSET(PLE!$G$15,$M79-$A$15,CZ$13)))</f>
        <v>1000000000000</v>
      </c>
      <c r="DA79" s="172" cm="1">
        <f t="array" aca="1" ref="DA79" ca="1">IF(OR($D79&lt;&gt;"Serviço",AND(AUTOEVENTO="Manual",$M79=$A$15),$M79&gt;(ROW(PLE.lastrow)-ROW(PLE.firstrow))),0,
           IF(OFFSET(PLE!$G$15,$M79-$A$15,DA$13)="",10^12,OFFSET(PLE!$G$15,$M79-$A$15,DA$13)))</f>
        <v>1000000000000</v>
      </c>
      <c r="DB79" s="172" cm="1">
        <f t="array" aca="1" ref="DB79" ca="1">IF(OR($D79&lt;&gt;"Serviço",AND(AUTOEVENTO="Manual",$M79=$A$15),$M79&gt;(ROW(PLE.lastrow)-ROW(PLE.firstrow))),0,
           IF(OFFSET(PLE!$G$15,$M79-$A$15,DB$13)="",10^12,OFFSET(PLE!$G$15,$M79-$A$15,DB$13)))</f>
        <v>1000000000000</v>
      </c>
      <c r="DC79" s="172" cm="1">
        <f t="array" aca="1" ref="DC79" ca="1">IF(OR($D79&lt;&gt;"Serviço",AND(AUTOEVENTO="Manual",$M79=$A$15),$M79&gt;(ROW(PLE.lastrow)-ROW(PLE.firstrow))),0,
           IF(OFFSET(PLE!$G$15,$M79-$A$15,DC$13)="",10^12,OFFSET(PLE!$G$15,$M79-$A$15,DC$13)))</f>
        <v>1000000000000</v>
      </c>
      <c r="DD79" s="172" cm="1">
        <f t="array" aca="1" ref="DD79" ca="1">IF(OR($D79&lt;&gt;"Serviço",AND(AUTOEVENTO="Manual",$M79=$A$15),$M79&gt;(ROW(PLE.lastrow)-ROW(PLE.firstrow))),0,
           IF(OFFSET(PLE!$G$15,$M79-$A$15,DD$13)="",10^12,OFFSET(PLE!$G$15,$M79-$A$15,DD$13)))</f>
        <v>1000000000000</v>
      </c>
      <c r="DE79" s="172" cm="1">
        <f t="array" aca="1" ref="DE79" ca="1">IF(OR($D79&lt;&gt;"Serviço",AND(AUTOEVENTO="Manual",$M79=$A$15),$M79&gt;(ROW(PLE.lastrow)-ROW(PLE.firstrow))),0,
           IF(OFFSET(PLE!$G$15,$M79-$A$15,DE$13)="",10^12,OFFSET(PLE!$G$15,$M79-$A$15,DE$13)))</f>
        <v>1000000000000</v>
      </c>
      <c r="DF79" s="172" cm="1">
        <f t="array" aca="1" ref="DF79" ca="1">IF(OR($D79&lt;&gt;"Serviço",AND(AUTOEVENTO="Manual",$M79=$A$15),$M79&gt;(ROW(PLE.lastrow)-ROW(PLE.firstrow))),0,
           IF(OFFSET(PLE!$G$15,$M79-$A$15,DF$13)="",10^12,OFFSET(PLE!$G$15,$M79-$A$15,DF$13)))</f>
        <v>1000000000000</v>
      </c>
      <c r="DG79" s="172" cm="1">
        <f t="array" aca="1" ref="DG79" ca="1">IF(OR($D79&lt;&gt;"Serviço",AND(AUTOEVENTO="Manual",$M79=$A$15),$M79&gt;(ROW(PLE.lastrow)-ROW(PLE.firstrow))),0,
           IF(OFFSET(PLE!$G$15,$M79-$A$15,DG$13)="",10^12,OFFSET(PLE!$G$15,$M79-$A$15,DG$13)))</f>
        <v>1000000000000</v>
      </c>
      <c r="DH79" s="172" cm="1">
        <f t="array" aca="1" ref="DH79" ca="1">IF(OR($D79&lt;&gt;"Serviço",AND(AUTOEVENTO="Manual",$M79=$A$15),$M79&gt;(ROW(PLE.lastrow)-ROW(PLE.firstrow))),0,
           IF(OFFSET(PLE!$G$15,$M79-$A$15,DH$13)="",10^12,OFFSET(PLE!$G$15,$M79-$A$15,DH$13)))</f>
        <v>1000000000000</v>
      </c>
      <c r="DI79" s="172" cm="1">
        <f t="array" aca="1" ref="DI79" ca="1">IF(OR($D79&lt;&gt;"Serviço",AND(AUTOEVENTO="Manual",$M79=$A$15),$M79&gt;(ROW(PLE.lastrow)-ROW(PLE.firstrow))),0,
           IF(OFFSET(PLE!$G$15,$M79-$A$15,DI$13)="",10^12,OFFSET(PLE!$G$15,$M79-$A$15,DI$13)))</f>
        <v>1000000000000</v>
      </c>
      <c r="DJ79" s="172" cm="1">
        <f t="array" aca="1" ref="DJ79" ca="1">IF(OR($D79&lt;&gt;"Serviço",AND(AUTOEVENTO="Manual",$M79=$A$15),$M79&gt;(ROW(PLE.lastrow)-ROW(PLE.firstrow))),0,
           IF(OFFSET(PLE!$G$15,$M79-$A$15,DJ$13)="",10^12,OFFSET(PLE!$G$15,$M79-$A$15,DJ$13)))</f>
        <v>1000000000000</v>
      </c>
      <c r="DK79" s="172" cm="1">
        <f t="array" aca="1" ref="DK79" ca="1">IF(OR($D79&lt;&gt;"Serviço",AND(AUTOEVENTO="Manual",$M79=$A$15),$M79&gt;(ROW(PLE.lastrow)-ROW(PLE.firstrow))),0,
           IF(OFFSET(PLE!$G$15,$M79-$A$15,DK$13)="",10^12,OFFSET(PLE!$G$15,$M79-$A$15,DK$13)))</f>
        <v>1000000000000</v>
      </c>
      <c r="DL79" s="172" cm="1">
        <f t="array" aca="1" ref="DL79" ca="1">IF(OR($D79&lt;&gt;"Serviço",AND(AUTOEVENTO="Manual",$M79=$A$15),$M79&gt;(ROW(PLE.lastrow)-ROW(PLE.firstrow))),0,
           IF(OFFSET(PLE!$G$15,$M79-$A$15,DL$13)="",10^12,OFFSET(PLE!$G$15,$M79-$A$15,DL$13)))</f>
        <v>1000000000000</v>
      </c>
      <c r="DM79" s="172" cm="1">
        <f t="array" aca="1" ref="DM79" ca="1">IF(OR($D79&lt;&gt;"Serviço",AND(AUTOEVENTO="Manual",$M79=$A$15),$M79&gt;(ROW(PLE.lastrow)-ROW(PLE.firstrow))),0,
           IF(OFFSET(PLE!$G$15,$M79-$A$15,DM$13)="",10^12,OFFSET(PLE!$G$15,$M79-$A$15,DM$13)))</f>
        <v>1000000000000</v>
      </c>
      <c r="DN79" s="172" cm="1">
        <f t="array" aca="1" ref="DN79" ca="1">IF(OR($D79&lt;&gt;"Serviço",AND(AUTOEVENTO="Manual",$M79=$A$15),$M79&gt;(ROW(PLE.lastrow)-ROW(PLE.firstrow))),0,
           IF(OFFSET(PLE!$G$15,$M79-$A$15,DN$13)="",10^12,OFFSET(PLE!$G$15,$M79-$A$15,DN$13)))</f>
        <v>1000000000000</v>
      </c>
      <c r="DO79" s="172" cm="1">
        <f t="array" aca="1" ref="DO79" ca="1">IF(OR($D79&lt;&gt;"Serviço",AND(AUTOEVENTO="Manual",$M79=$A$15),$M79&gt;(ROW(PLE.lastrow)-ROW(PLE.firstrow))),0,
           IF(OFFSET(PLE!$G$15,$M79-$A$15,DO$13)="",10^12,OFFSET(PLE!$G$15,$M79-$A$15,DO$13)))</f>
        <v>1000000000000</v>
      </c>
      <c r="DP79" s="172" cm="1">
        <f t="array" aca="1" ref="DP79" ca="1">IF(OR($D79&lt;&gt;"Serviço",AND(AUTOEVENTO="Manual",$M79=$A$15),$M79&gt;(ROW(PLE.lastrow)-ROW(PLE.firstrow))),0,
           IF(OFFSET(PLE!$G$15,$M79-$A$15,DP$13)="",10^12,OFFSET(PLE!$G$15,$M79-$A$15,DP$13)))</f>
        <v>1000000000000</v>
      </c>
      <c r="DQ79" s="172" cm="1">
        <f t="array" aca="1" ref="DQ79" ca="1">IF(OR($D79&lt;&gt;"Serviço",AND(AUTOEVENTO="Manual",$M79=$A$15),$M79&gt;(ROW(PLE.lastrow)-ROW(PLE.firstrow))),0,
           IF(OFFSET(PLE!$G$15,$M79-$A$15,DQ$13)="",10^12,OFFSET(PLE!$G$15,$M79-$A$15,DQ$13)))</f>
        <v>1000000000000</v>
      </c>
      <c r="DR79" s="172" cm="1">
        <f t="array" aca="1" ref="DR79" ca="1">IF(OR($D79&lt;&gt;"Serviço",AND(AUTOEVENTO="Manual",$M79=$A$15),$M79&gt;(ROW(PLE.lastrow)-ROW(PLE.firstrow))),0,
           IF(OFFSET(PLE!$G$15,$M79-$A$15,DR$13)="",10^12,OFFSET(PLE!$G$15,$M79-$A$15,DR$13)))</f>
        <v>1000000000000</v>
      </c>
      <c r="DS79" s="172" cm="1">
        <f t="array" aca="1" ref="DS79" ca="1">IF(OR($D79&lt;&gt;"Serviço",AND(AUTOEVENTO="Manual",$M79=$A$15),$M79&gt;(ROW(PLE.lastrow)-ROW(PLE.firstrow))),0,
           IF(OFFSET(PLE!$G$15,$M79-$A$15,DS$13)="",10^12,OFFSET(PLE!$G$15,$M79-$A$15,DS$13)))</f>
        <v>1000000000000</v>
      </c>
    </row>
    <row r="80" spans="1:123" ht="25.5" x14ac:dyDescent="0.2">
      <c r="A80" s="7">
        <f t="shared" ca="1" si="11"/>
        <v>6</v>
      </c>
      <c r="B80" s="7" t="str">
        <f ca="1">OFFSET(ORÇAMENTO!C$15,$L80,0)</f>
        <v>S</v>
      </c>
      <c r="C80" s="7" t="str">
        <f ca="1">OFFSET(ORÇAMENTO!L$15,$L80,0)</f>
        <v/>
      </c>
      <c r="D80" s="116" t="str">
        <f ca="1">OFFSET(ORÇAMENTO!N$15,$L80,0)</f>
        <v>Serviço</v>
      </c>
      <c r="E80" s="117" t="str">
        <f ca="1">OFFSET(ORÇAMENTO!O$15,$L80,0)</f>
        <v>-</v>
      </c>
      <c r="F80" s="163" t="str">
        <f ca="1">OFFSET(ORÇAMENTO!R$15,$L80,0)</f>
        <v>(Código não identificado nas referências)</v>
      </c>
      <c r="G80" s="164" t="str">
        <f ca="1">IF($D80&lt;&gt;"Serviço","",OFFSET(ORÇAMENTO!S$15,$L80,0))</f>
        <v>-</v>
      </c>
      <c r="H80" s="122" cm="1">
        <f t="array" aca="1" ref="H80" ca="1">IF($D80&lt;&gt;"Serviço",0,IF(ACOMPANHAMENTO="BM",ROUND(OFFSET(ORÇAMENTO!AJ$15,$L80,0),15-13*ORÇAMENTO!$AF$7),IF(IFERROR(CÁLCULO.FrentesPreenchidas,0)=0,0,SUM(ROUND(OFFSET($P80,0,1,1,CÁLCULO.FrentesPreenchidas),15-13*ORÇAMENTO!$AF$7)))))</f>
        <v>10520</v>
      </c>
      <c r="I80" s="468" t="s">
        <v>1235</v>
      </c>
      <c r="J80" s="651" t="str" cm="1">
        <f t="array" aca="1" ref="J80" ca="1">IF(OR(B80&lt;&gt;"S",CÁLCULO.FrentesPreenchidas=0),"",IF(AND(ACOMPANHAMENTO="PLE",AUTOEVENTO="Manual",OR(H80&gt;0,ORÇAMENTO!AC80="QUANT."),OR(K80="",M80=0,N80="")),"►E",IF(AND(ACOMPANHAMENTO="PLE",ORÇAMENTO!AC80="QUANT."),"►Q",IF(AND(ACOMPANHAMENTO="PLE",H80&lt;&gt;SUMPRODUCT(($Q$1:$AQ$1=1)*ROUND(Q80:AQ80,15))),"►S",IF(AND(COUNTIF($P$11:$AQ$11,"▼")=0,H80&gt;0,I80=""),"◄M","")))))</f>
        <v/>
      </c>
      <c r="K80" s="652" t="s">
        <v>1254</v>
      </c>
      <c r="L80" s="165">
        <f t="shared" ca="1" si="12"/>
        <v>65</v>
      </c>
      <c r="M80" s="166">
        <f ca="1">IF($D80&lt;&gt;"Serviço","",
          IF(AUTOEVENTO="manual",$A80,
                IF(ISERROR(MATCH($A80,$A$15:OFFSET($A80,-1,0),0)),MAX($M$15:OFFSET(M80,-1,0))+1,
                      INDEX($M$15:OFFSET(M80,-1,0),MATCH($A80,$A$15:OFFSET($A80,-1,0),0)))))</f>
        <v>6</v>
      </c>
      <c r="N80" s="167" t="str">
        <f ca="1">IF($D80&lt;&gt;"Serviço","",
         IF(AUTOEVENTO="Manual",
                IF($A80=0,"&lt;-- defina o número do agrupador",
                       OFFSET(EVENTOS!$D$15,$A80-$A$15,0)),
                OFFSET($F$15,$A80,0)))</f>
        <v>COBERTURA E PROTEÇÕES</v>
      </c>
      <c r="O80" s="168"/>
      <c r="Q80" s="168">
        <v>526</v>
      </c>
      <c r="R80" s="169">
        <v>526</v>
      </c>
      <c r="S80" s="169">
        <v>526</v>
      </c>
      <c r="T80" s="169">
        <v>526</v>
      </c>
      <c r="U80" s="169">
        <v>526</v>
      </c>
      <c r="V80" s="169">
        <v>526</v>
      </c>
      <c r="W80" s="169">
        <v>526</v>
      </c>
      <c r="X80" s="169">
        <v>526</v>
      </c>
      <c r="Y80" s="169">
        <v>526</v>
      </c>
      <c r="Z80" s="170">
        <v>526</v>
      </c>
      <c r="AA80" s="169">
        <v>526</v>
      </c>
      <c r="AB80" s="169">
        <v>526</v>
      </c>
      <c r="AC80" s="169">
        <v>526</v>
      </c>
      <c r="AD80" s="169">
        <v>526</v>
      </c>
      <c r="AE80" s="169">
        <v>526</v>
      </c>
      <c r="AF80" s="169">
        <v>526</v>
      </c>
      <c r="AG80" s="169">
        <v>526</v>
      </c>
      <c r="AH80" s="170">
        <v>526</v>
      </c>
      <c r="AI80" s="169">
        <v>526</v>
      </c>
      <c r="AJ80" s="169">
        <v>526</v>
      </c>
      <c r="AK80" s="169"/>
      <c r="AL80" s="169"/>
      <c r="AM80" s="169"/>
      <c r="AN80" s="169"/>
      <c r="AO80" s="169"/>
      <c r="AP80" s="170"/>
      <c r="AR80" s="453">
        <f ca="1">IF(AND($D80="Serviço",AR$12&lt;&gt;0,$H80&gt;0,OR(AUTOEVENTO&lt;&gt;"manual",$M80&lt;&gt;$A$15)),
        IF(Import.TipoArredondamento&lt;&gt;"TransfereGOV",
              ROUND(OFFSET($P80,0,AR$13),15-13*ORÇAMENTO!$AF$7)/$H80*OFFSET(ORÇAMENTO!$X$15,ROW(AR80)-ROW(AR$15),0),
              ROUND(ROUND(OFFSET($P80,0,AR$13),15-13*ORÇAMENTO!$AF$7)*OFFSET(ORÇAMENTO!$W$15,ROW(AR80)-ROW(AR$15),0),15-13*ORÇAMENTO!$AF$11)),
         0)</f>
        <v>0</v>
      </c>
      <c r="AS80" s="453">
        <f ca="1">IF(AND($D80="Serviço",AS$12&lt;&gt;0,$H80&gt;0,OR(AUTOEVENTO&lt;&gt;"manual",$M80&lt;&gt;$A$15)),
        IF(Import.TipoArredondamento&lt;&gt;"TransfereGOV",
              ROUND(OFFSET($P80,0,AS$13),15-13*ORÇAMENTO!$AF$7)/$H80*OFFSET(ORÇAMENTO!$X$15,ROW(AS80)-ROW(AS$15),0),
              ROUND(ROUND(OFFSET($P80,0,AS$13),15-13*ORÇAMENTO!$AF$7)*OFFSET(ORÇAMENTO!$W$15,ROW(AS80)-ROW(AS$15),0),15-13*ORÇAMENTO!$AF$11)),
         0)</f>
        <v>0</v>
      </c>
      <c r="AT80" s="453">
        <f ca="1">IF(AND($D80="Serviço",AT$12&lt;&gt;0,$H80&gt;0,OR(AUTOEVENTO&lt;&gt;"manual",$M80&lt;&gt;$A$15)),
        IF(Import.TipoArredondamento&lt;&gt;"TransfereGOV",
              ROUND(OFFSET($P80,0,AT$13),15-13*ORÇAMENTO!$AF$7)/$H80*OFFSET(ORÇAMENTO!$X$15,ROW(AT80)-ROW(AT$15),0),
              ROUND(ROUND(OFFSET($P80,0,AT$13),15-13*ORÇAMENTO!$AF$7)*OFFSET(ORÇAMENTO!$W$15,ROW(AT80)-ROW(AT$15),0),15-13*ORÇAMENTO!$AF$11)),
         0)</f>
        <v>0</v>
      </c>
      <c r="AU80" s="453">
        <f ca="1">IF(AND($D80="Serviço",AU$12&lt;&gt;0,$H80&gt;0,OR(AUTOEVENTO&lt;&gt;"manual",$M80&lt;&gt;$A$15)),
        IF(Import.TipoArredondamento&lt;&gt;"TransfereGOV",
              ROUND(OFFSET($P80,0,AU$13),15-13*ORÇAMENTO!$AF$7)/$H80*OFFSET(ORÇAMENTO!$X$15,ROW(AU80)-ROW(AU$15),0),
              ROUND(ROUND(OFFSET($P80,0,AU$13),15-13*ORÇAMENTO!$AF$7)*OFFSET(ORÇAMENTO!$W$15,ROW(AU80)-ROW(AU$15),0),15-13*ORÇAMENTO!$AF$11)),
         0)</f>
        <v>0</v>
      </c>
      <c r="AV80" s="453">
        <f ca="1">IF(AND($D80="Serviço",AV$12&lt;&gt;0,$H80&gt;0,OR(AUTOEVENTO&lt;&gt;"manual",$M80&lt;&gt;$A$15)),
        IF(Import.TipoArredondamento&lt;&gt;"TransfereGOV",
              ROUND(OFFSET($P80,0,AV$13),15-13*ORÇAMENTO!$AF$7)/$H80*OFFSET(ORÇAMENTO!$X$15,ROW(AV80)-ROW(AV$15),0),
              ROUND(ROUND(OFFSET($P80,0,AV$13),15-13*ORÇAMENTO!$AF$7)*OFFSET(ORÇAMENTO!$W$15,ROW(AV80)-ROW(AV$15),0),15-13*ORÇAMENTO!$AF$11)),
         0)</f>
        <v>0</v>
      </c>
      <c r="AW80" s="453">
        <f ca="1">IF(AND($D80="Serviço",AW$12&lt;&gt;0,$H80&gt;0,OR(AUTOEVENTO&lt;&gt;"manual",$M80&lt;&gt;$A$15)),
        IF(Import.TipoArredondamento&lt;&gt;"TransfereGOV",
              ROUND(OFFSET($P80,0,AW$13),15-13*ORÇAMENTO!$AF$7)/$H80*OFFSET(ORÇAMENTO!$X$15,ROW(AW80)-ROW(AW$15),0),
              ROUND(ROUND(OFFSET($P80,0,AW$13),15-13*ORÇAMENTO!$AF$7)*OFFSET(ORÇAMENTO!$W$15,ROW(AW80)-ROW(AW$15),0),15-13*ORÇAMENTO!$AF$11)),
         0)</f>
        <v>0</v>
      </c>
      <c r="AX80" s="453">
        <f ca="1">IF(AND($D80="Serviço",AX$12&lt;&gt;0,$H80&gt;0,OR(AUTOEVENTO&lt;&gt;"manual",$M80&lt;&gt;$A$15)),
        IF(Import.TipoArredondamento&lt;&gt;"TransfereGOV",
              ROUND(OFFSET($P80,0,AX$13),15-13*ORÇAMENTO!$AF$7)/$H80*OFFSET(ORÇAMENTO!$X$15,ROW(AX80)-ROW(AX$15),0),
              ROUND(ROUND(OFFSET($P80,0,AX$13),15-13*ORÇAMENTO!$AF$7)*OFFSET(ORÇAMENTO!$W$15,ROW(AX80)-ROW(AX$15),0),15-13*ORÇAMENTO!$AF$11)),
         0)</f>
        <v>0</v>
      </c>
      <c r="AY80" s="453">
        <f ca="1">IF(AND($D80="Serviço",AY$12&lt;&gt;0,$H80&gt;0,OR(AUTOEVENTO&lt;&gt;"manual",$M80&lt;&gt;$A$15)),
        IF(Import.TipoArredondamento&lt;&gt;"TransfereGOV",
              ROUND(OFFSET($P80,0,AY$13),15-13*ORÇAMENTO!$AF$7)/$H80*OFFSET(ORÇAMENTO!$X$15,ROW(AY80)-ROW(AY$15),0),
              ROUND(ROUND(OFFSET($P80,0,AY$13),15-13*ORÇAMENTO!$AF$7)*OFFSET(ORÇAMENTO!$W$15,ROW(AY80)-ROW(AY$15),0),15-13*ORÇAMENTO!$AF$11)),
         0)</f>
        <v>0</v>
      </c>
      <c r="AZ80" s="453">
        <f ca="1">IF(AND($D80="Serviço",AZ$12&lt;&gt;0,$H80&gt;0,OR(AUTOEVENTO&lt;&gt;"manual",$M80&lt;&gt;$A$15)),
        IF(Import.TipoArredondamento&lt;&gt;"TransfereGOV",
              ROUND(OFFSET($P80,0,AZ$13),15-13*ORÇAMENTO!$AF$7)/$H80*OFFSET(ORÇAMENTO!$X$15,ROW(AZ80)-ROW(AZ$15),0),
              ROUND(ROUND(OFFSET($P80,0,AZ$13),15-13*ORÇAMENTO!$AF$7)*OFFSET(ORÇAMENTO!$W$15,ROW(AZ80)-ROW(AZ$15),0),15-13*ORÇAMENTO!$AF$11)),
         0)</f>
        <v>0</v>
      </c>
      <c r="BA80" s="453">
        <f ca="1">IF(AND($D80="Serviço",BA$12&lt;&gt;0,$H80&gt;0,OR(AUTOEVENTO&lt;&gt;"manual",$M80&lt;&gt;$A$15)),
        IF(Import.TipoArredondamento&lt;&gt;"TransfereGOV",
              ROUND(OFFSET($P80,0,BA$13),15-13*ORÇAMENTO!$AF$7)/$H80*OFFSET(ORÇAMENTO!$X$15,ROW(BA80)-ROW(BA$15),0),
              ROUND(ROUND(OFFSET($P80,0,BA$13),15-13*ORÇAMENTO!$AF$7)*OFFSET(ORÇAMENTO!$W$15,ROW(BA80)-ROW(BA$15),0),15-13*ORÇAMENTO!$AF$11)),
         0)</f>
        <v>0</v>
      </c>
      <c r="BB80" s="453">
        <f ca="1">IF(AND($D80="Serviço",BB$12&lt;&gt;0,$H80&gt;0,OR(AUTOEVENTO&lt;&gt;"manual",$M80&lt;&gt;$A$15)),
        IF(Import.TipoArredondamento&lt;&gt;"TransfereGOV",
              ROUND(OFFSET($P80,0,BB$13),15-13*ORÇAMENTO!$AF$7)/$H80*OFFSET(ORÇAMENTO!$X$15,ROW(BB80)-ROW(BB$15),0),
              ROUND(ROUND(OFFSET($P80,0,BB$13),15-13*ORÇAMENTO!$AF$7)*OFFSET(ORÇAMENTO!$W$15,ROW(BB80)-ROW(BB$15),0),15-13*ORÇAMENTO!$AF$11)),
         0)</f>
        <v>0</v>
      </c>
      <c r="BC80" s="453">
        <f ca="1">IF(AND($D80="Serviço",BC$12&lt;&gt;0,$H80&gt;0,OR(AUTOEVENTO&lt;&gt;"manual",$M80&lt;&gt;$A$15)),
        IF(Import.TipoArredondamento&lt;&gt;"TransfereGOV",
              ROUND(OFFSET($P80,0,BC$13),15-13*ORÇAMENTO!$AF$7)/$H80*OFFSET(ORÇAMENTO!$X$15,ROW(BC80)-ROW(BC$15),0),
              ROUND(ROUND(OFFSET($P80,0,BC$13),15-13*ORÇAMENTO!$AF$7)*OFFSET(ORÇAMENTO!$W$15,ROW(BC80)-ROW(BC$15),0),15-13*ORÇAMENTO!$AF$11)),
         0)</f>
        <v>0</v>
      </c>
      <c r="BD80" s="453">
        <f ca="1">IF(AND($D80="Serviço",BD$12&lt;&gt;0,$H80&gt;0,OR(AUTOEVENTO&lt;&gt;"manual",$M80&lt;&gt;$A$15)),
        IF(Import.TipoArredondamento&lt;&gt;"TransfereGOV",
              ROUND(OFFSET($P80,0,BD$13),15-13*ORÇAMENTO!$AF$7)/$H80*OFFSET(ORÇAMENTO!$X$15,ROW(BD80)-ROW(BD$15),0),
              ROUND(ROUND(OFFSET($P80,0,BD$13),15-13*ORÇAMENTO!$AF$7)*OFFSET(ORÇAMENTO!$W$15,ROW(BD80)-ROW(BD$15),0),15-13*ORÇAMENTO!$AF$11)),
         0)</f>
        <v>0</v>
      </c>
      <c r="BE80" s="453">
        <f ca="1">IF(AND($D80="Serviço",BE$12&lt;&gt;0,$H80&gt;0,OR(AUTOEVENTO&lt;&gt;"manual",$M80&lt;&gt;$A$15)),
        IF(Import.TipoArredondamento&lt;&gt;"TransfereGOV",
              ROUND(OFFSET($P80,0,BE$13),15-13*ORÇAMENTO!$AF$7)/$H80*OFFSET(ORÇAMENTO!$X$15,ROW(BE80)-ROW(BE$15),0),
              ROUND(ROUND(OFFSET($P80,0,BE$13),15-13*ORÇAMENTO!$AF$7)*OFFSET(ORÇAMENTO!$W$15,ROW(BE80)-ROW(BE$15),0),15-13*ORÇAMENTO!$AF$11)),
         0)</f>
        <v>0</v>
      </c>
      <c r="BF80" s="453">
        <f ca="1">IF(AND($D80="Serviço",BF$12&lt;&gt;0,$H80&gt;0,OR(AUTOEVENTO&lt;&gt;"manual",$M80&lt;&gt;$A$15)),
        IF(Import.TipoArredondamento&lt;&gt;"TransfereGOV",
              ROUND(OFFSET($P80,0,BF$13),15-13*ORÇAMENTO!$AF$7)/$H80*OFFSET(ORÇAMENTO!$X$15,ROW(BF80)-ROW(BF$15),0),
              ROUND(ROUND(OFFSET($P80,0,BF$13),15-13*ORÇAMENTO!$AF$7)*OFFSET(ORÇAMENTO!$W$15,ROW(BF80)-ROW(BF$15),0),15-13*ORÇAMENTO!$AF$11)),
         0)</f>
        <v>0</v>
      </c>
      <c r="BG80" s="453">
        <f ca="1">IF(AND($D80="Serviço",BG$12&lt;&gt;0,$H80&gt;0,OR(AUTOEVENTO&lt;&gt;"manual",$M80&lt;&gt;$A$15)),
        IF(Import.TipoArredondamento&lt;&gt;"TransfereGOV",
              ROUND(OFFSET($P80,0,BG$13),15-13*ORÇAMENTO!$AF$7)/$H80*OFFSET(ORÇAMENTO!$X$15,ROW(BG80)-ROW(BG$15),0),
              ROUND(ROUND(OFFSET($P80,0,BG$13),15-13*ORÇAMENTO!$AF$7)*OFFSET(ORÇAMENTO!$W$15,ROW(BG80)-ROW(BG$15),0),15-13*ORÇAMENTO!$AF$11)),
         0)</f>
        <v>0</v>
      </c>
      <c r="BH80" s="453">
        <f ca="1">IF(AND($D80="Serviço",BH$12&lt;&gt;0,$H80&gt;0,OR(AUTOEVENTO&lt;&gt;"manual",$M80&lt;&gt;$A$15)),
        IF(Import.TipoArredondamento&lt;&gt;"TransfereGOV",
              ROUND(OFFSET($P80,0,BH$13),15-13*ORÇAMENTO!$AF$7)/$H80*OFFSET(ORÇAMENTO!$X$15,ROW(BH80)-ROW(BH$15),0),
              ROUND(ROUND(OFFSET($P80,0,BH$13),15-13*ORÇAMENTO!$AF$7)*OFFSET(ORÇAMENTO!$W$15,ROW(BH80)-ROW(BH$15),0),15-13*ORÇAMENTO!$AF$11)),
         0)</f>
        <v>0</v>
      </c>
      <c r="BI80" s="453">
        <f ca="1">IF(AND($D80="Serviço",BI$12&lt;&gt;0,$H80&gt;0,OR(AUTOEVENTO&lt;&gt;"manual",$M80&lt;&gt;$A$15)),
        IF(Import.TipoArredondamento&lt;&gt;"TransfereGOV",
              ROUND(OFFSET($P80,0,BI$13),15-13*ORÇAMENTO!$AF$7)/$H80*OFFSET(ORÇAMENTO!$X$15,ROW(BI80)-ROW(BI$15),0),
              ROUND(ROUND(OFFSET($P80,0,BI$13),15-13*ORÇAMENTO!$AF$7)*OFFSET(ORÇAMENTO!$W$15,ROW(BI80)-ROW(BI$15),0),15-13*ORÇAMENTO!$AF$11)),
         0)</f>
        <v>0</v>
      </c>
      <c r="BJ80" s="453">
        <f ca="1">IF(AND($D80="Serviço",BJ$12&lt;&gt;0,$H80&gt;0,OR(AUTOEVENTO&lt;&gt;"manual",$M80&lt;&gt;$A$15)),
        IF(Import.TipoArredondamento&lt;&gt;"TransfereGOV",
              ROUND(OFFSET($P80,0,BJ$13),15-13*ORÇAMENTO!$AF$7)/$H80*OFFSET(ORÇAMENTO!$X$15,ROW(BJ80)-ROW(BJ$15),0),
              ROUND(ROUND(OFFSET($P80,0,BJ$13),15-13*ORÇAMENTO!$AF$7)*OFFSET(ORÇAMENTO!$W$15,ROW(BJ80)-ROW(BJ$15),0),15-13*ORÇAMENTO!$AF$11)),
         0)</f>
        <v>0</v>
      </c>
      <c r="BK80" s="453">
        <f ca="1">IF(AND($D80="Serviço",BK$12&lt;&gt;0,$H80&gt;0,OR(AUTOEVENTO&lt;&gt;"manual",$M80&lt;&gt;$A$15)),
        IF(Import.TipoArredondamento&lt;&gt;"TransfereGOV",
              ROUND(OFFSET($P80,0,BK$13),15-13*ORÇAMENTO!$AF$7)/$H80*OFFSET(ORÇAMENTO!$X$15,ROW(BK80)-ROW(BK$15),0),
              ROUND(ROUND(OFFSET($P80,0,BK$13),15-13*ORÇAMENTO!$AF$7)*OFFSET(ORÇAMENTO!$W$15,ROW(BK80)-ROW(BK$15),0),15-13*ORÇAMENTO!$AF$11)),
         0)</f>
        <v>0</v>
      </c>
      <c r="BL80" s="453">
        <f ca="1">IF(AND($D80="Serviço",BL$12&lt;&gt;0,$H80&gt;0,OR(AUTOEVENTO&lt;&gt;"manual",$M80&lt;&gt;$A$15)),
        IF(Import.TipoArredondamento&lt;&gt;"TransfereGOV",
              ROUND(OFFSET($P80,0,BL$13),15-13*ORÇAMENTO!$AF$7)/$H80*OFFSET(ORÇAMENTO!$X$15,ROW(BL80)-ROW(BL$15),0),
              ROUND(ROUND(OFFSET($P80,0,BL$13),15-13*ORÇAMENTO!$AF$7)*OFFSET(ORÇAMENTO!$W$15,ROW(BL80)-ROW(BL$15),0),15-13*ORÇAMENTO!$AF$11)),
         0)</f>
        <v>0</v>
      </c>
      <c r="BM80" s="453">
        <f ca="1">IF(AND($D80="Serviço",BM$12&lt;&gt;0,$H80&gt;0,OR(AUTOEVENTO&lt;&gt;"manual",$M80&lt;&gt;$A$15)),
        IF(Import.TipoArredondamento&lt;&gt;"TransfereGOV",
              ROUND(OFFSET($P80,0,BM$13),15-13*ORÇAMENTO!$AF$7)/$H80*OFFSET(ORÇAMENTO!$X$15,ROW(BM80)-ROW(BM$15),0),
              ROUND(ROUND(OFFSET($P80,0,BM$13),15-13*ORÇAMENTO!$AF$7)*OFFSET(ORÇAMENTO!$W$15,ROW(BM80)-ROW(BM$15),0),15-13*ORÇAMENTO!$AF$11)),
         0)</f>
        <v>0</v>
      </c>
      <c r="BN80" s="453">
        <f ca="1">IF(AND($D80="Serviço",BN$12&lt;&gt;0,$H80&gt;0,OR(AUTOEVENTO&lt;&gt;"manual",$M80&lt;&gt;$A$15)),
        IF(Import.TipoArredondamento&lt;&gt;"TransfereGOV",
              ROUND(OFFSET($P80,0,BN$13),15-13*ORÇAMENTO!$AF$7)/$H80*OFFSET(ORÇAMENTO!$X$15,ROW(BN80)-ROW(BN$15),0),
              ROUND(ROUND(OFFSET($P80,0,BN$13),15-13*ORÇAMENTO!$AF$7)*OFFSET(ORÇAMENTO!$W$15,ROW(BN80)-ROW(BN$15),0),15-13*ORÇAMENTO!$AF$11)),
         0)</f>
        <v>0</v>
      </c>
      <c r="BO80" s="453">
        <f ca="1">IF(AND($D80="Serviço",BO$12&lt;&gt;0,$H80&gt;0,OR(AUTOEVENTO&lt;&gt;"manual",$M80&lt;&gt;$A$15)),
        IF(Import.TipoArredondamento&lt;&gt;"TransfereGOV",
              ROUND(OFFSET($P80,0,BO$13),15-13*ORÇAMENTO!$AF$7)/$H80*OFFSET(ORÇAMENTO!$X$15,ROW(BO80)-ROW(BO$15),0),
              ROUND(ROUND(OFFSET($P80,0,BO$13),15-13*ORÇAMENTO!$AF$7)*OFFSET(ORÇAMENTO!$W$15,ROW(BO80)-ROW(BO$15),0),15-13*ORÇAMENTO!$AF$11)),
         0)</f>
        <v>0</v>
      </c>
      <c r="BP80" s="453">
        <f ca="1">IF(AND($D80="Serviço",BP$12&lt;&gt;0,$H80&gt;0,OR(AUTOEVENTO&lt;&gt;"manual",$M80&lt;&gt;$A$15)),
        IF(Import.TipoArredondamento&lt;&gt;"TransfereGOV",
              ROUND(OFFSET($P80,0,BP$13),15-13*ORÇAMENTO!$AF$7)/$H80*OFFSET(ORÇAMENTO!$X$15,ROW(BP80)-ROW(BP$15),0),
              ROUND(ROUND(OFFSET($P80,0,BP$13),15-13*ORÇAMENTO!$AF$7)*OFFSET(ORÇAMENTO!$W$15,ROW(BP80)-ROW(BP$15),0),15-13*ORÇAMENTO!$AF$11)),
         0)</f>
        <v>0</v>
      </c>
      <c r="BQ80" s="453">
        <f ca="1">IF(AND($D80="Serviço",BQ$12&lt;&gt;0,$H80&gt;0,OR(AUTOEVENTO&lt;&gt;"manual",$M80&lt;&gt;$A$15)),
        IF(Import.TipoArredondamento&lt;&gt;"TransfereGOV",
              ROUND(OFFSET($P80,0,BQ$13),15-13*ORÇAMENTO!$AF$7)/$H80*OFFSET(ORÇAMENTO!$X$15,ROW(BQ80)-ROW(BQ$15),0),
              ROUND(ROUND(OFFSET($P80,0,BQ$13),15-13*ORÇAMENTO!$AF$7)*OFFSET(ORÇAMENTO!$W$15,ROW(BQ80)-ROW(BQ$15),0),15-13*ORÇAMENTO!$AF$11)),
         0)</f>
        <v>0</v>
      </c>
      <c r="BS80" s="171">
        <f ca="1">IF(OR($D80&lt;&gt;"Serviço",AND(AUTOEVENTO="Manual",$M80=$A$15)),0,
         IF(OFFSET(CRONOPLE!$F$15,$M80-$A$15,BS$13)=0,10^12,OFFSET(CRONOPLE!$F$15,$M80-$A$15,BS$13)))</f>
        <v>1</v>
      </c>
      <c r="BT80" s="171">
        <f ca="1">IF(OR($D80&lt;&gt;"Serviço",AND(AUTOEVENTO="Manual",$M80=$A$15)),0,
         IF(OFFSET(CRONOPLE!$F$15,$M80-$A$15,BT$13)=0,10^12,OFFSET(CRONOPLE!$F$15,$M80-$A$15,BT$13)))</f>
        <v>2</v>
      </c>
      <c r="BU80" s="171">
        <f ca="1">IF(OR($D80&lt;&gt;"Serviço",AND(AUTOEVENTO="Manual",$M80=$A$15)),0,
         IF(OFFSET(CRONOPLE!$F$15,$M80-$A$15,BU$13)=0,10^12,OFFSET(CRONOPLE!$F$15,$M80-$A$15,BU$13)))</f>
        <v>3</v>
      </c>
      <c r="BV80" s="171">
        <f ca="1">IF(OR($D80&lt;&gt;"Serviço",AND(AUTOEVENTO="Manual",$M80=$A$15)),0,
         IF(OFFSET(CRONOPLE!$F$15,$M80-$A$15,BV$13)=0,10^12,OFFSET(CRONOPLE!$F$15,$M80-$A$15,BV$13)))</f>
        <v>4</v>
      </c>
      <c r="BW80" s="171">
        <f ca="1">IF(OR($D80&lt;&gt;"Serviço",AND(AUTOEVENTO="Manual",$M80=$A$15)),0,
         IF(OFFSET(CRONOPLE!$F$15,$M80-$A$15,BW$13)=0,10^12,OFFSET(CRONOPLE!$F$15,$M80-$A$15,BW$13)))</f>
        <v>5</v>
      </c>
      <c r="BX80" s="171">
        <f ca="1">IF(OR($D80&lt;&gt;"Serviço",AND(AUTOEVENTO="Manual",$M80=$A$15)),0,
         IF(OFFSET(CRONOPLE!$F$15,$M80-$A$15,BX$13)=0,10^12,OFFSET(CRONOPLE!$F$15,$M80-$A$15,BX$13)))</f>
        <v>6</v>
      </c>
      <c r="BY80" s="171">
        <f ca="1">IF(OR($D80&lt;&gt;"Serviço",AND(AUTOEVENTO="Manual",$M80=$A$15)),0,
         IF(OFFSET(CRONOPLE!$F$15,$M80-$A$15,BY$13)=0,10^12,OFFSET(CRONOPLE!$F$15,$M80-$A$15,BY$13)))</f>
        <v>7</v>
      </c>
      <c r="BZ80" s="171">
        <f ca="1">IF(OR($D80&lt;&gt;"Serviço",AND(AUTOEVENTO="Manual",$M80=$A$15)),0,
         IF(OFFSET(CRONOPLE!$F$15,$M80-$A$15,BZ$13)=0,10^12,OFFSET(CRONOPLE!$F$15,$M80-$A$15,BZ$13)))</f>
        <v>8</v>
      </c>
      <c r="CA80" s="171">
        <f ca="1">IF(OR($D80&lt;&gt;"Serviço",AND(AUTOEVENTO="Manual",$M80=$A$15)),0,
         IF(OFFSET(CRONOPLE!$F$15,$M80-$A$15,CA$13)=0,10^12,OFFSET(CRONOPLE!$F$15,$M80-$A$15,CA$13)))</f>
        <v>9</v>
      </c>
      <c r="CB80" s="171">
        <f ca="1">IF(OR($D80&lt;&gt;"Serviço",AND(AUTOEVENTO="Manual",$M80=$A$15)),0,
         IF(OFFSET(CRONOPLE!$F$15,$M80-$A$15,CB$13)=0,10^12,OFFSET(CRONOPLE!$F$15,$M80-$A$15,CB$13)))</f>
        <v>10</v>
      </c>
      <c r="CC80" s="171">
        <f ca="1">IF(OR($D80&lt;&gt;"Serviço",AND(AUTOEVENTO="Manual",$M80=$A$15)),0,
         IF(OFFSET(CRONOPLE!$F$15,$M80-$A$15,CC$13)=0,10^12,OFFSET(CRONOPLE!$F$15,$M80-$A$15,CC$13)))</f>
        <v>11</v>
      </c>
      <c r="CD80" s="171">
        <f ca="1">IF(OR($D80&lt;&gt;"Serviço",AND(AUTOEVENTO="Manual",$M80=$A$15)),0,
         IF(OFFSET(CRONOPLE!$F$15,$M80-$A$15,CD$13)=0,10^12,OFFSET(CRONOPLE!$F$15,$M80-$A$15,CD$13)))</f>
        <v>12</v>
      </c>
      <c r="CE80" s="171">
        <f ca="1">IF(OR($D80&lt;&gt;"Serviço",AND(AUTOEVENTO="Manual",$M80=$A$15)),0,
         IF(OFFSET(CRONOPLE!$F$15,$M80-$A$15,CE$13)=0,10^12,OFFSET(CRONOPLE!$F$15,$M80-$A$15,CE$13)))</f>
        <v>13</v>
      </c>
      <c r="CF80" s="171">
        <f ca="1">IF(OR($D80&lt;&gt;"Serviço",AND(AUTOEVENTO="Manual",$M80=$A$15)),0,
         IF(OFFSET(CRONOPLE!$F$15,$M80-$A$15,CF$13)=0,10^12,OFFSET(CRONOPLE!$F$15,$M80-$A$15,CF$13)))</f>
        <v>14</v>
      </c>
      <c r="CG80" s="171">
        <f ca="1">IF(OR($D80&lt;&gt;"Serviço",AND(AUTOEVENTO="Manual",$M80=$A$15)),0,
         IF(OFFSET(CRONOPLE!$F$15,$M80-$A$15,CG$13)=0,10^12,OFFSET(CRONOPLE!$F$15,$M80-$A$15,CG$13)))</f>
        <v>15</v>
      </c>
      <c r="CH80" s="171">
        <f ca="1">IF(OR($D80&lt;&gt;"Serviço",AND(AUTOEVENTO="Manual",$M80=$A$15)),0,
         IF(OFFSET(CRONOPLE!$F$15,$M80-$A$15,CH$13)=0,10^12,OFFSET(CRONOPLE!$F$15,$M80-$A$15,CH$13)))</f>
        <v>16</v>
      </c>
      <c r="CI80" s="171">
        <f ca="1">IF(OR($D80&lt;&gt;"Serviço",AND(AUTOEVENTO="Manual",$M80=$A$15)),0,
         IF(OFFSET(CRONOPLE!$F$15,$M80-$A$15,CI$13)=0,10^12,OFFSET(CRONOPLE!$F$15,$M80-$A$15,CI$13)))</f>
        <v>17</v>
      </c>
      <c r="CJ80" s="171">
        <f ca="1">IF(OR($D80&lt;&gt;"Serviço",AND(AUTOEVENTO="Manual",$M80=$A$15)),0,
         IF(OFFSET(CRONOPLE!$F$15,$M80-$A$15,CJ$13)=0,10^12,OFFSET(CRONOPLE!$F$15,$M80-$A$15,CJ$13)))</f>
        <v>18</v>
      </c>
      <c r="CK80" s="171">
        <f ca="1">IF(OR($D80&lt;&gt;"Serviço",AND(AUTOEVENTO="Manual",$M80=$A$15)),0,
         IF(OFFSET(CRONOPLE!$F$15,$M80-$A$15,CK$13)=0,10^12,OFFSET(CRONOPLE!$F$15,$M80-$A$15,CK$13)))</f>
        <v>19</v>
      </c>
      <c r="CL80" s="171">
        <f ca="1">IF(OR($D80&lt;&gt;"Serviço",AND(AUTOEVENTO="Manual",$M80=$A$15)),0,
         IF(OFFSET(CRONOPLE!$F$15,$M80-$A$15,CL$13)=0,10^12,OFFSET(CRONOPLE!$F$15,$M80-$A$15,CL$13)))</f>
        <v>20</v>
      </c>
      <c r="CM80" s="171">
        <f ca="1">IF(OR($D80&lt;&gt;"Serviço",AND(AUTOEVENTO="Manual",$M80=$A$15)),0,
         IF(OFFSET(CRONOPLE!$F$15,$M80-$A$15,CM$13)=0,10^12,OFFSET(CRONOPLE!$F$15,$M80-$A$15,CM$13)))</f>
        <v>1000000000000</v>
      </c>
      <c r="CN80" s="171">
        <f ca="1">IF(OR($D80&lt;&gt;"Serviço",AND(AUTOEVENTO="Manual",$M80=$A$15)),0,
         IF(OFFSET(CRONOPLE!$F$15,$M80-$A$15,CN$13)=0,10^12,OFFSET(CRONOPLE!$F$15,$M80-$A$15,CN$13)))</f>
        <v>1000000000000</v>
      </c>
      <c r="CO80" s="171">
        <f ca="1">IF(OR($D80&lt;&gt;"Serviço",AND(AUTOEVENTO="Manual",$M80=$A$15)),0,
         IF(OFFSET(CRONOPLE!$F$15,$M80-$A$15,CO$13)=0,10^12,OFFSET(CRONOPLE!$F$15,$M80-$A$15,CO$13)))</f>
        <v>1000000000000</v>
      </c>
      <c r="CP80" s="171">
        <f ca="1">IF(OR($D80&lt;&gt;"Serviço",AND(AUTOEVENTO="Manual",$M80=$A$15)),0,
         IF(OFFSET(CRONOPLE!$F$15,$M80-$A$15,CP$13)=0,10^12,OFFSET(CRONOPLE!$F$15,$M80-$A$15,CP$13)))</f>
        <v>1000000000000</v>
      </c>
      <c r="CQ80" s="171">
        <f ca="1">IF(OR($D80&lt;&gt;"Serviço",AND(AUTOEVENTO="Manual",$M80=$A$15)),0,
         IF(OFFSET(CRONOPLE!$F$15,$M80-$A$15,CQ$13)=0,10^12,OFFSET(CRONOPLE!$F$15,$M80-$A$15,CQ$13)))</f>
        <v>1000000000000</v>
      </c>
      <c r="CR80" s="171">
        <f ca="1">IF(OR($D80&lt;&gt;"Serviço",AND(AUTOEVENTO="Manual",$M80=$A$15)),0,
         IF(OFFSET(CRONOPLE!$F$15,$M80-$A$15,CR$13)=0,10^12,OFFSET(CRONOPLE!$F$15,$M80-$A$15,CR$13)))</f>
        <v>1000000000000</v>
      </c>
      <c r="CT80" s="172" cm="1">
        <f t="array" aca="1" ref="CT80" ca="1">IF(OR($D80&lt;&gt;"Serviço",AND(AUTOEVENTO="Manual",$M80=$A$15),$M80&gt;(ROW(PLE.lastrow)-ROW(PLE.firstrow))),0,
           IF(OFFSET(PLE!$G$15,$M80-$A$15,CT$13)="",10^12,OFFSET(PLE!$G$15,$M80-$A$15,CT$13)))</f>
        <v>1000000000000</v>
      </c>
      <c r="CU80" s="172" cm="1">
        <f t="array" aca="1" ref="CU80" ca="1">IF(OR($D80&lt;&gt;"Serviço",AND(AUTOEVENTO="Manual",$M80=$A$15),$M80&gt;(ROW(PLE.lastrow)-ROW(PLE.firstrow))),0,
           IF(OFFSET(PLE!$G$15,$M80-$A$15,CU$13)="",10^12,OFFSET(PLE!$G$15,$M80-$A$15,CU$13)))</f>
        <v>1000000000000</v>
      </c>
      <c r="CV80" s="172" cm="1">
        <f t="array" aca="1" ref="CV80" ca="1">IF(OR($D80&lt;&gt;"Serviço",AND(AUTOEVENTO="Manual",$M80=$A$15),$M80&gt;(ROW(PLE.lastrow)-ROW(PLE.firstrow))),0,
           IF(OFFSET(PLE!$G$15,$M80-$A$15,CV$13)="",10^12,OFFSET(PLE!$G$15,$M80-$A$15,CV$13)))</f>
        <v>1000000000000</v>
      </c>
      <c r="CW80" s="172" cm="1">
        <f t="array" aca="1" ref="CW80" ca="1">IF(OR($D80&lt;&gt;"Serviço",AND(AUTOEVENTO="Manual",$M80=$A$15),$M80&gt;(ROW(PLE.lastrow)-ROW(PLE.firstrow))),0,
           IF(OFFSET(PLE!$G$15,$M80-$A$15,CW$13)="",10^12,OFFSET(PLE!$G$15,$M80-$A$15,CW$13)))</f>
        <v>1000000000000</v>
      </c>
      <c r="CX80" s="172" cm="1">
        <f t="array" aca="1" ref="CX80" ca="1">IF(OR($D80&lt;&gt;"Serviço",AND(AUTOEVENTO="Manual",$M80=$A$15),$M80&gt;(ROW(PLE.lastrow)-ROW(PLE.firstrow))),0,
           IF(OFFSET(PLE!$G$15,$M80-$A$15,CX$13)="",10^12,OFFSET(PLE!$G$15,$M80-$A$15,CX$13)))</f>
        <v>1000000000000</v>
      </c>
      <c r="CY80" s="172" cm="1">
        <f t="array" aca="1" ref="CY80" ca="1">IF(OR($D80&lt;&gt;"Serviço",AND(AUTOEVENTO="Manual",$M80=$A$15),$M80&gt;(ROW(PLE.lastrow)-ROW(PLE.firstrow))),0,
           IF(OFFSET(PLE!$G$15,$M80-$A$15,CY$13)="",10^12,OFFSET(PLE!$G$15,$M80-$A$15,CY$13)))</f>
        <v>1000000000000</v>
      </c>
      <c r="CZ80" s="172" cm="1">
        <f t="array" aca="1" ref="CZ80" ca="1">IF(OR($D80&lt;&gt;"Serviço",AND(AUTOEVENTO="Manual",$M80=$A$15),$M80&gt;(ROW(PLE.lastrow)-ROW(PLE.firstrow))),0,
           IF(OFFSET(PLE!$G$15,$M80-$A$15,CZ$13)="",10^12,OFFSET(PLE!$G$15,$M80-$A$15,CZ$13)))</f>
        <v>1000000000000</v>
      </c>
      <c r="DA80" s="172" cm="1">
        <f t="array" aca="1" ref="DA80" ca="1">IF(OR($D80&lt;&gt;"Serviço",AND(AUTOEVENTO="Manual",$M80=$A$15),$M80&gt;(ROW(PLE.lastrow)-ROW(PLE.firstrow))),0,
           IF(OFFSET(PLE!$G$15,$M80-$A$15,DA$13)="",10^12,OFFSET(PLE!$G$15,$M80-$A$15,DA$13)))</f>
        <v>1000000000000</v>
      </c>
      <c r="DB80" s="172" cm="1">
        <f t="array" aca="1" ref="DB80" ca="1">IF(OR($D80&lt;&gt;"Serviço",AND(AUTOEVENTO="Manual",$M80=$A$15),$M80&gt;(ROW(PLE.lastrow)-ROW(PLE.firstrow))),0,
           IF(OFFSET(PLE!$G$15,$M80-$A$15,DB$13)="",10^12,OFFSET(PLE!$G$15,$M80-$A$15,DB$13)))</f>
        <v>1000000000000</v>
      </c>
      <c r="DC80" s="172" cm="1">
        <f t="array" aca="1" ref="DC80" ca="1">IF(OR($D80&lt;&gt;"Serviço",AND(AUTOEVENTO="Manual",$M80=$A$15),$M80&gt;(ROW(PLE.lastrow)-ROW(PLE.firstrow))),0,
           IF(OFFSET(PLE!$G$15,$M80-$A$15,DC$13)="",10^12,OFFSET(PLE!$G$15,$M80-$A$15,DC$13)))</f>
        <v>1000000000000</v>
      </c>
      <c r="DD80" s="172" cm="1">
        <f t="array" aca="1" ref="DD80" ca="1">IF(OR($D80&lt;&gt;"Serviço",AND(AUTOEVENTO="Manual",$M80=$A$15),$M80&gt;(ROW(PLE.lastrow)-ROW(PLE.firstrow))),0,
           IF(OFFSET(PLE!$G$15,$M80-$A$15,DD$13)="",10^12,OFFSET(PLE!$G$15,$M80-$A$15,DD$13)))</f>
        <v>1000000000000</v>
      </c>
      <c r="DE80" s="172" cm="1">
        <f t="array" aca="1" ref="DE80" ca="1">IF(OR($D80&lt;&gt;"Serviço",AND(AUTOEVENTO="Manual",$M80=$A$15),$M80&gt;(ROW(PLE.lastrow)-ROW(PLE.firstrow))),0,
           IF(OFFSET(PLE!$G$15,$M80-$A$15,DE$13)="",10^12,OFFSET(PLE!$G$15,$M80-$A$15,DE$13)))</f>
        <v>1000000000000</v>
      </c>
      <c r="DF80" s="172" cm="1">
        <f t="array" aca="1" ref="DF80" ca="1">IF(OR($D80&lt;&gt;"Serviço",AND(AUTOEVENTO="Manual",$M80=$A$15),$M80&gt;(ROW(PLE.lastrow)-ROW(PLE.firstrow))),0,
           IF(OFFSET(PLE!$G$15,$M80-$A$15,DF$13)="",10^12,OFFSET(PLE!$G$15,$M80-$A$15,DF$13)))</f>
        <v>1000000000000</v>
      </c>
      <c r="DG80" s="172" cm="1">
        <f t="array" aca="1" ref="DG80" ca="1">IF(OR($D80&lt;&gt;"Serviço",AND(AUTOEVENTO="Manual",$M80=$A$15),$M80&gt;(ROW(PLE.lastrow)-ROW(PLE.firstrow))),0,
           IF(OFFSET(PLE!$G$15,$M80-$A$15,DG$13)="",10^12,OFFSET(PLE!$G$15,$M80-$A$15,DG$13)))</f>
        <v>1000000000000</v>
      </c>
      <c r="DH80" s="172" cm="1">
        <f t="array" aca="1" ref="DH80" ca="1">IF(OR($D80&lt;&gt;"Serviço",AND(AUTOEVENTO="Manual",$M80=$A$15),$M80&gt;(ROW(PLE.lastrow)-ROW(PLE.firstrow))),0,
           IF(OFFSET(PLE!$G$15,$M80-$A$15,DH$13)="",10^12,OFFSET(PLE!$G$15,$M80-$A$15,DH$13)))</f>
        <v>1000000000000</v>
      </c>
      <c r="DI80" s="172" cm="1">
        <f t="array" aca="1" ref="DI80" ca="1">IF(OR($D80&lt;&gt;"Serviço",AND(AUTOEVENTO="Manual",$M80=$A$15),$M80&gt;(ROW(PLE.lastrow)-ROW(PLE.firstrow))),0,
           IF(OFFSET(PLE!$G$15,$M80-$A$15,DI$13)="",10^12,OFFSET(PLE!$G$15,$M80-$A$15,DI$13)))</f>
        <v>1000000000000</v>
      </c>
      <c r="DJ80" s="172" cm="1">
        <f t="array" aca="1" ref="DJ80" ca="1">IF(OR($D80&lt;&gt;"Serviço",AND(AUTOEVENTO="Manual",$M80=$A$15),$M80&gt;(ROW(PLE.lastrow)-ROW(PLE.firstrow))),0,
           IF(OFFSET(PLE!$G$15,$M80-$A$15,DJ$13)="",10^12,OFFSET(PLE!$G$15,$M80-$A$15,DJ$13)))</f>
        <v>1000000000000</v>
      </c>
      <c r="DK80" s="172" cm="1">
        <f t="array" aca="1" ref="DK80" ca="1">IF(OR($D80&lt;&gt;"Serviço",AND(AUTOEVENTO="Manual",$M80=$A$15),$M80&gt;(ROW(PLE.lastrow)-ROW(PLE.firstrow))),0,
           IF(OFFSET(PLE!$G$15,$M80-$A$15,DK$13)="",10^12,OFFSET(PLE!$G$15,$M80-$A$15,DK$13)))</f>
        <v>1000000000000</v>
      </c>
      <c r="DL80" s="172" cm="1">
        <f t="array" aca="1" ref="DL80" ca="1">IF(OR($D80&lt;&gt;"Serviço",AND(AUTOEVENTO="Manual",$M80=$A$15),$M80&gt;(ROW(PLE.lastrow)-ROW(PLE.firstrow))),0,
           IF(OFFSET(PLE!$G$15,$M80-$A$15,DL$13)="",10^12,OFFSET(PLE!$G$15,$M80-$A$15,DL$13)))</f>
        <v>1000000000000</v>
      </c>
      <c r="DM80" s="172" cm="1">
        <f t="array" aca="1" ref="DM80" ca="1">IF(OR($D80&lt;&gt;"Serviço",AND(AUTOEVENTO="Manual",$M80=$A$15),$M80&gt;(ROW(PLE.lastrow)-ROW(PLE.firstrow))),0,
           IF(OFFSET(PLE!$G$15,$M80-$A$15,DM$13)="",10^12,OFFSET(PLE!$G$15,$M80-$A$15,DM$13)))</f>
        <v>1000000000000</v>
      </c>
      <c r="DN80" s="172" cm="1">
        <f t="array" aca="1" ref="DN80" ca="1">IF(OR($D80&lt;&gt;"Serviço",AND(AUTOEVENTO="Manual",$M80=$A$15),$M80&gt;(ROW(PLE.lastrow)-ROW(PLE.firstrow))),0,
           IF(OFFSET(PLE!$G$15,$M80-$A$15,DN$13)="",10^12,OFFSET(PLE!$G$15,$M80-$A$15,DN$13)))</f>
        <v>1000000000000</v>
      </c>
      <c r="DO80" s="172" cm="1">
        <f t="array" aca="1" ref="DO80" ca="1">IF(OR($D80&lt;&gt;"Serviço",AND(AUTOEVENTO="Manual",$M80=$A$15),$M80&gt;(ROW(PLE.lastrow)-ROW(PLE.firstrow))),0,
           IF(OFFSET(PLE!$G$15,$M80-$A$15,DO$13)="",10^12,OFFSET(PLE!$G$15,$M80-$A$15,DO$13)))</f>
        <v>1000000000000</v>
      </c>
      <c r="DP80" s="172" cm="1">
        <f t="array" aca="1" ref="DP80" ca="1">IF(OR($D80&lt;&gt;"Serviço",AND(AUTOEVENTO="Manual",$M80=$A$15),$M80&gt;(ROW(PLE.lastrow)-ROW(PLE.firstrow))),0,
           IF(OFFSET(PLE!$G$15,$M80-$A$15,DP$13)="",10^12,OFFSET(PLE!$G$15,$M80-$A$15,DP$13)))</f>
        <v>1000000000000</v>
      </c>
      <c r="DQ80" s="172" cm="1">
        <f t="array" aca="1" ref="DQ80" ca="1">IF(OR($D80&lt;&gt;"Serviço",AND(AUTOEVENTO="Manual",$M80=$A$15),$M80&gt;(ROW(PLE.lastrow)-ROW(PLE.firstrow))),0,
           IF(OFFSET(PLE!$G$15,$M80-$A$15,DQ$13)="",10^12,OFFSET(PLE!$G$15,$M80-$A$15,DQ$13)))</f>
        <v>1000000000000</v>
      </c>
      <c r="DR80" s="172" cm="1">
        <f t="array" aca="1" ref="DR80" ca="1">IF(OR($D80&lt;&gt;"Serviço",AND(AUTOEVENTO="Manual",$M80=$A$15),$M80&gt;(ROW(PLE.lastrow)-ROW(PLE.firstrow))),0,
           IF(OFFSET(PLE!$G$15,$M80-$A$15,DR$13)="",10^12,OFFSET(PLE!$G$15,$M80-$A$15,DR$13)))</f>
        <v>1000000000000</v>
      </c>
      <c r="DS80" s="172" cm="1">
        <f t="array" aca="1" ref="DS80" ca="1">IF(OR($D80&lt;&gt;"Serviço",AND(AUTOEVENTO="Manual",$M80=$A$15),$M80&gt;(ROW(PLE.lastrow)-ROW(PLE.firstrow))),0,
           IF(OFFSET(PLE!$G$15,$M80-$A$15,DS$13)="",10^12,OFFSET(PLE!$G$15,$M80-$A$15,DS$13)))</f>
        <v>1000000000000</v>
      </c>
    </row>
    <row r="81" spans="1:123" ht="38.25" x14ac:dyDescent="0.2">
      <c r="A81" s="7">
        <f t="shared" ca="1" si="11"/>
        <v>6</v>
      </c>
      <c r="B81" s="7" t="str">
        <f ca="1">OFFSET(ORÇAMENTO!C$15,$L81,0)</f>
        <v>S</v>
      </c>
      <c r="C81" s="7" t="str">
        <f ca="1">OFFSET(ORÇAMENTO!L$15,$L81,0)</f>
        <v/>
      </c>
      <c r="D81" s="116" t="str">
        <f ca="1">OFFSET(ORÇAMENTO!N$15,$L81,0)</f>
        <v>Serviço</v>
      </c>
      <c r="E81" s="117" t="str">
        <f ca="1">OFFSET(ORÇAMENTO!O$15,$L81,0)</f>
        <v>-</v>
      </c>
      <c r="F81" s="163" t="str">
        <f ca="1">OFFSET(ORÇAMENTO!R$15,$L81,0)</f>
        <v>(Código não identificado nas referências)</v>
      </c>
      <c r="G81" s="164" t="str">
        <f ca="1">IF($D81&lt;&gt;"Serviço","",OFFSET(ORÇAMENTO!S$15,$L81,0))</f>
        <v>-</v>
      </c>
      <c r="H81" s="122" cm="1">
        <f t="array" aca="1" ref="H81" ca="1">IF($D81&lt;&gt;"Serviço",0,IF(ACOMPANHAMENTO="BM",ROUND(OFFSET(ORÇAMENTO!AJ$15,$L81,0),15-13*ORÇAMENTO!$AF$7),IF(IFERROR(CÁLCULO.FrentesPreenchidas,0)=0,0,SUM(ROUND(OFFSET($P81,0,1,1,CÁLCULO.FrentesPreenchidas),15-13*ORÇAMENTO!$AF$7)))))</f>
        <v>213.00000000000006</v>
      </c>
      <c r="I81" s="468" t="s">
        <v>1235</v>
      </c>
      <c r="J81" s="651" t="str" cm="1">
        <f t="array" aca="1" ref="J81" ca="1">IF(OR(B81&lt;&gt;"S",CÁLCULO.FrentesPreenchidas=0),"",IF(AND(ACOMPANHAMENTO="PLE",AUTOEVENTO="Manual",OR(H81&gt;0,ORÇAMENTO!AC81="QUANT."),OR(K81="",M81=0,N81="")),"►E",IF(AND(ACOMPANHAMENTO="PLE",ORÇAMENTO!AC81="QUANT."),"►Q",IF(AND(ACOMPANHAMENTO="PLE",H81&lt;&gt;SUMPRODUCT(($Q$1:$AQ$1=1)*ROUND(Q81:AQ81,15))),"►S",IF(AND(COUNTIF($P$11:$AQ$11,"▼")=0,H81&gt;0,I81=""),"◄M","")))))</f>
        <v/>
      </c>
      <c r="K81" s="652" t="s">
        <v>1254</v>
      </c>
      <c r="L81" s="165">
        <f t="shared" ca="1" si="12"/>
        <v>66</v>
      </c>
      <c r="M81" s="166">
        <f ca="1">IF($D81&lt;&gt;"Serviço","",
          IF(AUTOEVENTO="manual",$A81,
                IF(ISERROR(MATCH($A81,$A$15:OFFSET($A81,-1,0),0)),MAX($M$15:OFFSET(M81,-1,0))+1,
                      INDEX($M$15:OFFSET(M81,-1,0),MATCH($A81,$A$15:OFFSET($A81,-1,0),0)))))</f>
        <v>6</v>
      </c>
      <c r="N81" s="167" t="str">
        <f ca="1">IF($D81&lt;&gt;"Serviço","",
         IF(AUTOEVENTO="Manual",
                IF($A81=0,"&lt;-- defina o número do agrupador",
                       OFFSET(EVENTOS!$D$15,$A81-$A$15,0)),
                OFFSET($F$15,$A81,0)))</f>
        <v>COBERTURA E PROTEÇÕES</v>
      </c>
      <c r="O81" s="168"/>
      <c r="Q81" s="168">
        <v>10.65</v>
      </c>
      <c r="R81" s="169">
        <v>10.65</v>
      </c>
      <c r="S81" s="169">
        <v>10.65</v>
      </c>
      <c r="T81" s="169">
        <v>10.65</v>
      </c>
      <c r="U81" s="169">
        <v>10.65</v>
      </c>
      <c r="V81" s="169">
        <v>10.65</v>
      </c>
      <c r="W81" s="169">
        <v>10.65</v>
      </c>
      <c r="X81" s="169">
        <v>10.65</v>
      </c>
      <c r="Y81" s="169">
        <v>10.65</v>
      </c>
      <c r="Z81" s="170">
        <v>10.65</v>
      </c>
      <c r="AA81" s="169">
        <v>10.65</v>
      </c>
      <c r="AB81" s="169">
        <v>10.65</v>
      </c>
      <c r="AC81" s="169">
        <v>10.65</v>
      </c>
      <c r="AD81" s="169">
        <v>10.65</v>
      </c>
      <c r="AE81" s="169">
        <v>10.65</v>
      </c>
      <c r="AF81" s="169">
        <v>10.65</v>
      </c>
      <c r="AG81" s="169">
        <v>10.65</v>
      </c>
      <c r="AH81" s="170">
        <v>10.65</v>
      </c>
      <c r="AI81" s="169">
        <v>10.65</v>
      </c>
      <c r="AJ81" s="169">
        <v>10.65</v>
      </c>
      <c r="AK81" s="169"/>
      <c r="AL81" s="169"/>
      <c r="AM81" s="169"/>
      <c r="AN81" s="169"/>
      <c r="AO81" s="169"/>
      <c r="AP81" s="170"/>
      <c r="AR81" s="453">
        <f ca="1">IF(AND($D81="Serviço",AR$12&lt;&gt;0,$H81&gt;0,OR(AUTOEVENTO&lt;&gt;"manual",$M81&lt;&gt;$A$15)),
        IF(Import.TipoArredondamento&lt;&gt;"TransfereGOV",
              ROUND(OFFSET($P81,0,AR$13),15-13*ORÇAMENTO!$AF$7)/$H81*OFFSET(ORÇAMENTO!$X$15,ROW(AR81)-ROW(AR$15),0),
              ROUND(ROUND(OFFSET($P81,0,AR$13),15-13*ORÇAMENTO!$AF$7)*OFFSET(ORÇAMENTO!$W$15,ROW(AR81)-ROW(AR$15),0),15-13*ORÇAMENTO!$AF$11)),
         0)</f>
        <v>0</v>
      </c>
      <c r="AS81" s="453">
        <f ca="1">IF(AND($D81="Serviço",AS$12&lt;&gt;0,$H81&gt;0,OR(AUTOEVENTO&lt;&gt;"manual",$M81&lt;&gt;$A$15)),
        IF(Import.TipoArredondamento&lt;&gt;"TransfereGOV",
              ROUND(OFFSET($P81,0,AS$13),15-13*ORÇAMENTO!$AF$7)/$H81*OFFSET(ORÇAMENTO!$X$15,ROW(AS81)-ROW(AS$15),0),
              ROUND(ROUND(OFFSET($P81,0,AS$13),15-13*ORÇAMENTO!$AF$7)*OFFSET(ORÇAMENTO!$W$15,ROW(AS81)-ROW(AS$15),0),15-13*ORÇAMENTO!$AF$11)),
         0)</f>
        <v>0</v>
      </c>
      <c r="AT81" s="453">
        <f ca="1">IF(AND($D81="Serviço",AT$12&lt;&gt;0,$H81&gt;0,OR(AUTOEVENTO&lt;&gt;"manual",$M81&lt;&gt;$A$15)),
        IF(Import.TipoArredondamento&lt;&gt;"TransfereGOV",
              ROUND(OFFSET($P81,0,AT$13),15-13*ORÇAMENTO!$AF$7)/$H81*OFFSET(ORÇAMENTO!$X$15,ROW(AT81)-ROW(AT$15),0),
              ROUND(ROUND(OFFSET($P81,0,AT$13),15-13*ORÇAMENTO!$AF$7)*OFFSET(ORÇAMENTO!$W$15,ROW(AT81)-ROW(AT$15),0),15-13*ORÇAMENTO!$AF$11)),
         0)</f>
        <v>0</v>
      </c>
      <c r="AU81" s="453">
        <f ca="1">IF(AND($D81="Serviço",AU$12&lt;&gt;0,$H81&gt;0,OR(AUTOEVENTO&lt;&gt;"manual",$M81&lt;&gt;$A$15)),
        IF(Import.TipoArredondamento&lt;&gt;"TransfereGOV",
              ROUND(OFFSET($P81,0,AU$13),15-13*ORÇAMENTO!$AF$7)/$H81*OFFSET(ORÇAMENTO!$X$15,ROW(AU81)-ROW(AU$15),0),
              ROUND(ROUND(OFFSET($P81,0,AU$13),15-13*ORÇAMENTO!$AF$7)*OFFSET(ORÇAMENTO!$W$15,ROW(AU81)-ROW(AU$15),0),15-13*ORÇAMENTO!$AF$11)),
         0)</f>
        <v>0</v>
      </c>
      <c r="AV81" s="453">
        <f ca="1">IF(AND($D81="Serviço",AV$12&lt;&gt;0,$H81&gt;0,OR(AUTOEVENTO&lt;&gt;"manual",$M81&lt;&gt;$A$15)),
        IF(Import.TipoArredondamento&lt;&gt;"TransfereGOV",
              ROUND(OFFSET($P81,0,AV$13),15-13*ORÇAMENTO!$AF$7)/$H81*OFFSET(ORÇAMENTO!$X$15,ROW(AV81)-ROW(AV$15),0),
              ROUND(ROUND(OFFSET($P81,0,AV$13),15-13*ORÇAMENTO!$AF$7)*OFFSET(ORÇAMENTO!$W$15,ROW(AV81)-ROW(AV$15),0),15-13*ORÇAMENTO!$AF$11)),
         0)</f>
        <v>0</v>
      </c>
      <c r="AW81" s="453">
        <f ca="1">IF(AND($D81="Serviço",AW$12&lt;&gt;0,$H81&gt;0,OR(AUTOEVENTO&lt;&gt;"manual",$M81&lt;&gt;$A$15)),
        IF(Import.TipoArredondamento&lt;&gt;"TransfereGOV",
              ROUND(OFFSET($P81,0,AW$13),15-13*ORÇAMENTO!$AF$7)/$H81*OFFSET(ORÇAMENTO!$X$15,ROW(AW81)-ROW(AW$15),0),
              ROUND(ROUND(OFFSET($P81,0,AW$13),15-13*ORÇAMENTO!$AF$7)*OFFSET(ORÇAMENTO!$W$15,ROW(AW81)-ROW(AW$15),0),15-13*ORÇAMENTO!$AF$11)),
         0)</f>
        <v>0</v>
      </c>
      <c r="AX81" s="453">
        <f ca="1">IF(AND($D81="Serviço",AX$12&lt;&gt;0,$H81&gt;0,OR(AUTOEVENTO&lt;&gt;"manual",$M81&lt;&gt;$A$15)),
        IF(Import.TipoArredondamento&lt;&gt;"TransfereGOV",
              ROUND(OFFSET($P81,0,AX$13),15-13*ORÇAMENTO!$AF$7)/$H81*OFFSET(ORÇAMENTO!$X$15,ROW(AX81)-ROW(AX$15),0),
              ROUND(ROUND(OFFSET($P81,0,AX$13),15-13*ORÇAMENTO!$AF$7)*OFFSET(ORÇAMENTO!$W$15,ROW(AX81)-ROW(AX$15),0),15-13*ORÇAMENTO!$AF$11)),
         0)</f>
        <v>0</v>
      </c>
      <c r="AY81" s="453">
        <f ca="1">IF(AND($D81="Serviço",AY$12&lt;&gt;0,$H81&gt;0,OR(AUTOEVENTO&lt;&gt;"manual",$M81&lt;&gt;$A$15)),
        IF(Import.TipoArredondamento&lt;&gt;"TransfereGOV",
              ROUND(OFFSET($P81,0,AY$13),15-13*ORÇAMENTO!$AF$7)/$H81*OFFSET(ORÇAMENTO!$X$15,ROW(AY81)-ROW(AY$15),0),
              ROUND(ROUND(OFFSET($P81,0,AY$13),15-13*ORÇAMENTO!$AF$7)*OFFSET(ORÇAMENTO!$W$15,ROW(AY81)-ROW(AY$15),0),15-13*ORÇAMENTO!$AF$11)),
         0)</f>
        <v>0</v>
      </c>
      <c r="AZ81" s="453">
        <f ca="1">IF(AND($D81="Serviço",AZ$12&lt;&gt;0,$H81&gt;0,OR(AUTOEVENTO&lt;&gt;"manual",$M81&lt;&gt;$A$15)),
        IF(Import.TipoArredondamento&lt;&gt;"TransfereGOV",
              ROUND(OFFSET($P81,0,AZ$13),15-13*ORÇAMENTO!$AF$7)/$H81*OFFSET(ORÇAMENTO!$X$15,ROW(AZ81)-ROW(AZ$15),0),
              ROUND(ROUND(OFFSET($P81,0,AZ$13),15-13*ORÇAMENTO!$AF$7)*OFFSET(ORÇAMENTO!$W$15,ROW(AZ81)-ROW(AZ$15),0),15-13*ORÇAMENTO!$AF$11)),
         0)</f>
        <v>0</v>
      </c>
      <c r="BA81" s="453">
        <f ca="1">IF(AND($D81="Serviço",BA$12&lt;&gt;0,$H81&gt;0,OR(AUTOEVENTO&lt;&gt;"manual",$M81&lt;&gt;$A$15)),
        IF(Import.TipoArredondamento&lt;&gt;"TransfereGOV",
              ROUND(OFFSET($P81,0,BA$13),15-13*ORÇAMENTO!$AF$7)/$H81*OFFSET(ORÇAMENTO!$X$15,ROW(BA81)-ROW(BA$15),0),
              ROUND(ROUND(OFFSET($P81,0,BA$13),15-13*ORÇAMENTO!$AF$7)*OFFSET(ORÇAMENTO!$W$15,ROW(BA81)-ROW(BA$15),0),15-13*ORÇAMENTO!$AF$11)),
         0)</f>
        <v>0</v>
      </c>
      <c r="BB81" s="453">
        <f ca="1">IF(AND($D81="Serviço",BB$12&lt;&gt;0,$H81&gt;0,OR(AUTOEVENTO&lt;&gt;"manual",$M81&lt;&gt;$A$15)),
        IF(Import.TipoArredondamento&lt;&gt;"TransfereGOV",
              ROUND(OFFSET($P81,0,BB$13),15-13*ORÇAMENTO!$AF$7)/$H81*OFFSET(ORÇAMENTO!$X$15,ROW(BB81)-ROW(BB$15),0),
              ROUND(ROUND(OFFSET($P81,0,BB$13),15-13*ORÇAMENTO!$AF$7)*OFFSET(ORÇAMENTO!$W$15,ROW(BB81)-ROW(BB$15),0),15-13*ORÇAMENTO!$AF$11)),
         0)</f>
        <v>0</v>
      </c>
      <c r="BC81" s="453">
        <f ca="1">IF(AND($D81="Serviço",BC$12&lt;&gt;0,$H81&gt;0,OR(AUTOEVENTO&lt;&gt;"manual",$M81&lt;&gt;$A$15)),
        IF(Import.TipoArredondamento&lt;&gt;"TransfereGOV",
              ROUND(OFFSET($P81,0,BC$13),15-13*ORÇAMENTO!$AF$7)/$H81*OFFSET(ORÇAMENTO!$X$15,ROW(BC81)-ROW(BC$15),0),
              ROUND(ROUND(OFFSET($P81,0,BC$13),15-13*ORÇAMENTO!$AF$7)*OFFSET(ORÇAMENTO!$W$15,ROW(BC81)-ROW(BC$15),0),15-13*ORÇAMENTO!$AF$11)),
         0)</f>
        <v>0</v>
      </c>
      <c r="BD81" s="453">
        <f ca="1">IF(AND($D81="Serviço",BD$12&lt;&gt;0,$H81&gt;0,OR(AUTOEVENTO&lt;&gt;"manual",$M81&lt;&gt;$A$15)),
        IF(Import.TipoArredondamento&lt;&gt;"TransfereGOV",
              ROUND(OFFSET($P81,0,BD$13),15-13*ORÇAMENTO!$AF$7)/$H81*OFFSET(ORÇAMENTO!$X$15,ROW(BD81)-ROW(BD$15),0),
              ROUND(ROUND(OFFSET($P81,0,BD$13),15-13*ORÇAMENTO!$AF$7)*OFFSET(ORÇAMENTO!$W$15,ROW(BD81)-ROW(BD$15),0),15-13*ORÇAMENTO!$AF$11)),
         0)</f>
        <v>0</v>
      </c>
      <c r="BE81" s="453">
        <f ca="1">IF(AND($D81="Serviço",BE$12&lt;&gt;0,$H81&gt;0,OR(AUTOEVENTO&lt;&gt;"manual",$M81&lt;&gt;$A$15)),
        IF(Import.TipoArredondamento&lt;&gt;"TransfereGOV",
              ROUND(OFFSET($P81,0,BE$13),15-13*ORÇAMENTO!$AF$7)/$H81*OFFSET(ORÇAMENTO!$X$15,ROW(BE81)-ROW(BE$15),0),
              ROUND(ROUND(OFFSET($P81,0,BE$13),15-13*ORÇAMENTO!$AF$7)*OFFSET(ORÇAMENTO!$W$15,ROW(BE81)-ROW(BE$15),0),15-13*ORÇAMENTO!$AF$11)),
         0)</f>
        <v>0</v>
      </c>
      <c r="BF81" s="453">
        <f ca="1">IF(AND($D81="Serviço",BF$12&lt;&gt;0,$H81&gt;0,OR(AUTOEVENTO&lt;&gt;"manual",$M81&lt;&gt;$A$15)),
        IF(Import.TipoArredondamento&lt;&gt;"TransfereGOV",
              ROUND(OFFSET($P81,0,BF$13),15-13*ORÇAMENTO!$AF$7)/$H81*OFFSET(ORÇAMENTO!$X$15,ROW(BF81)-ROW(BF$15),0),
              ROUND(ROUND(OFFSET($P81,0,BF$13),15-13*ORÇAMENTO!$AF$7)*OFFSET(ORÇAMENTO!$W$15,ROW(BF81)-ROW(BF$15),0),15-13*ORÇAMENTO!$AF$11)),
         0)</f>
        <v>0</v>
      </c>
      <c r="BG81" s="453">
        <f ca="1">IF(AND($D81="Serviço",BG$12&lt;&gt;0,$H81&gt;0,OR(AUTOEVENTO&lt;&gt;"manual",$M81&lt;&gt;$A$15)),
        IF(Import.TipoArredondamento&lt;&gt;"TransfereGOV",
              ROUND(OFFSET($P81,0,BG$13),15-13*ORÇAMENTO!$AF$7)/$H81*OFFSET(ORÇAMENTO!$X$15,ROW(BG81)-ROW(BG$15),0),
              ROUND(ROUND(OFFSET($P81,0,BG$13),15-13*ORÇAMENTO!$AF$7)*OFFSET(ORÇAMENTO!$W$15,ROW(BG81)-ROW(BG$15),0),15-13*ORÇAMENTO!$AF$11)),
         0)</f>
        <v>0</v>
      </c>
      <c r="BH81" s="453">
        <f ca="1">IF(AND($D81="Serviço",BH$12&lt;&gt;0,$H81&gt;0,OR(AUTOEVENTO&lt;&gt;"manual",$M81&lt;&gt;$A$15)),
        IF(Import.TipoArredondamento&lt;&gt;"TransfereGOV",
              ROUND(OFFSET($P81,0,BH$13),15-13*ORÇAMENTO!$AF$7)/$H81*OFFSET(ORÇAMENTO!$X$15,ROW(BH81)-ROW(BH$15),0),
              ROUND(ROUND(OFFSET($P81,0,BH$13),15-13*ORÇAMENTO!$AF$7)*OFFSET(ORÇAMENTO!$W$15,ROW(BH81)-ROW(BH$15),0),15-13*ORÇAMENTO!$AF$11)),
         0)</f>
        <v>0</v>
      </c>
      <c r="BI81" s="453">
        <f ca="1">IF(AND($D81="Serviço",BI$12&lt;&gt;0,$H81&gt;0,OR(AUTOEVENTO&lt;&gt;"manual",$M81&lt;&gt;$A$15)),
        IF(Import.TipoArredondamento&lt;&gt;"TransfereGOV",
              ROUND(OFFSET($P81,0,BI$13),15-13*ORÇAMENTO!$AF$7)/$H81*OFFSET(ORÇAMENTO!$X$15,ROW(BI81)-ROW(BI$15),0),
              ROUND(ROUND(OFFSET($P81,0,BI$13),15-13*ORÇAMENTO!$AF$7)*OFFSET(ORÇAMENTO!$W$15,ROW(BI81)-ROW(BI$15),0),15-13*ORÇAMENTO!$AF$11)),
         0)</f>
        <v>0</v>
      </c>
      <c r="BJ81" s="453">
        <f ca="1">IF(AND($D81="Serviço",BJ$12&lt;&gt;0,$H81&gt;0,OR(AUTOEVENTO&lt;&gt;"manual",$M81&lt;&gt;$A$15)),
        IF(Import.TipoArredondamento&lt;&gt;"TransfereGOV",
              ROUND(OFFSET($P81,0,BJ$13),15-13*ORÇAMENTO!$AF$7)/$H81*OFFSET(ORÇAMENTO!$X$15,ROW(BJ81)-ROW(BJ$15),0),
              ROUND(ROUND(OFFSET($P81,0,BJ$13),15-13*ORÇAMENTO!$AF$7)*OFFSET(ORÇAMENTO!$W$15,ROW(BJ81)-ROW(BJ$15),0),15-13*ORÇAMENTO!$AF$11)),
         0)</f>
        <v>0</v>
      </c>
      <c r="BK81" s="453">
        <f ca="1">IF(AND($D81="Serviço",BK$12&lt;&gt;0,$H81&gt;0,OR(AUTOEVENTO&lt;&gt;"manual",$M81&lt;&gt;$A$15)),
        IF(Import.TipoArredondamento&lt;&gt;"TransfereGOV",
              ROUND(OFFSET($P81,0,BK$13),15-13*ORÇAMENTO!$AF$7)/$H81*OFFSET(ORÇAMENTO!$X$15,ROW(BK81)-ROW(BK$15),0),
              ROUND(ROUND(OFFSET($P81,0,BK$13),15-13*ORÇAMENTO!$AF$7)*OFFSET(ORÇAMENTO!$W$15,ROW(BK81)-ROW(BK$15),0),15-13*ORÇAMENTO!$AF$11)),
         0)</f>
        <v>0</v>
      </c>
      <c r="BL81" s="453">
        <f ca="1">IF(AND($D81="Serviço",BL$12&lt;&gt;0,$H81&gt;0,OR(AUTOEVENTO&lt;&gt;"manual",$M81&lt;&gt;$A$15)),
        IF(Import.TipoArredondamento&lt;&gt;"TransfereGOV",
              ROUND(OFFSET($P81,0,BL$13),15-13*ORÇAMENTO!$AF$7)/$H81*OFFSET(ORÇAMENTO!$X$15,ROW(BL81)-ROW(BL$15),0),
              ROUND(ROUND(OFFSET($P81,0,BL$13),15-13*ORÇAMENTO!$AF$7)*OFFSET(ORÇAMENTO!$W$15,ROW(BL81)-ROW(BL$15),0),15-13*ORÇAMENTO!$AF$11)),
         0)</f>
        <v>0</v>
      </c>
      <c r="BM81" s="453">
        <f ca="1">IF(AND($D81="Serviço",BM$12&lt;&gt;0,$H81&gt;0,OR(AUTOEVENTO&lt;&gt;"manual",$M81&lt;&gt;$A$15)),
        IF(Import.TipoArredondamento&lt;&gt;"TransfereGOV",
              ROUND(OFFSET($P81,0,BM$13),15-13*ORÇAMENTO!$AF$7)/$H81*OFFSET(ORÇAMENTO!$X$15,ROW(BM81)-ROW(BM$15),0),
              ROUND(ROUND(OFFSET($P81,0,BM$13),15-13*ORÇAMENTO!$AF$7)*OFFSET(ORÇAMENTO!$W$15,ROW(BM81)-ROW(BM$15),0),15-13*ORÇAMENTO!$AF$11)),
         0)</f>
        <v>0</v>
      </c>
      <c r="BN81" s="453">
        <f ca="1">IF(AND($D81="Serviço",BN$12&lt;&gt;0,$H81&gt;0,OR(AUTOEVENTO&lt;&gt;"manual",$M81&lt;&gt;$A$15)),
        IF(Import.TipoArredondamento&lt;&gt;"TransfereGOV",
              ROUND(OFFSET($P81,0,BN$13),15-13*ORÇAMENTO!$AF$7)/$H81*OFFSET(ORÇAMENTO!$X$15,ROW(BN81)-ROW(BN$15),0),
              ROUND(ROUND(OFFSET($P81,0,BN$13),15-13*ORÇAMENTO!$AF$7)*OFFSET(ORÇAMENTO!$W$15,ROW(BN81)-ROW(BN$15),0),15-13*ORÇAMENTO!$AF$11)),
         0)</f>
        <v>0</v>
      </c>
      <c r="BO81" s="453">
        <f ca="1">IF(AND($D81="Serviço",BO$12&lt;&gt;0,$H81&gt;0,OR(AUTOEVENTO&lt;&gt;"manual",$M81&lt;&gt;$A$15)),
        IF(Import.TipoArredondamento&lt;&gt;"TransfereGOV",
              ROUND(OFFSET($P81,0,BO$13),15-13*ORÇAMENTO!$AF$7)/$H81*OFFSET(ORÇAMENTO!$X$15,ROW(BO81)-ROW(BO$15),0),
              ROUND(ROUND(OFFSET($P81,0,BO$13),15-13*ORÇAMENTO!$AF$7)*OFFSET(ORÇAMENTO!$W$15,ROW(BO81)-ROW(BO$15),0),15-13*ORÇAMENTO!$AF$11)),
         0)</f>
        <v>0</v>
      </c>
      <c r="BP81" s="453">
        <f ca="1">IF(AND($D81="Serviço",BP$12&lt;&gt;0,$H81&gt;0,OR(AUTOEVENTO&lt;&gt;"manual",$M81&lt;&gt;$A$15)),
        IF(Import.TipoArredondamento&lt;&gt;"TransfereGOV",
              ROUND(OFFSET($P81,0,BP$13),15-13*ORÇAMENTO!$AF$7)/$H81*OFFSET(ORÇAMENTO!$X$15,ROW(BP81)-ROW(BP$15),0),
              ROUND(ROUND(OFFSET($P81,0,BP$13),15-13*ORÇAMENTO!$AF$7)*OFFSET(ORÇAMENTO!$W$15,ROW(BP81)-ROW(BP$15),0),15-13*ORÇAMENTO!$AF$11)),
         0)</f>
        <v>0</v>
      </c>
      <c r="BQ81" s="453">
        <f ca="1">IF(AND($D81="Serviço",BQ$12&lt;&gt;0,$H81&gt;0,OR(AUTOEVENTO&lt;&gt;"manual",$M81&lt;&gt;$A$15)),
        IF(Import.TipoArredondamento&lt;&gt;"TransfereGOV",
              ROUND(OFFSET($P81,0,BQ$13),15-13*ORÇAMENTO!$AF$7)/$H81*OFFSET(ORÇAMENTO!$X$15,ROW(BQ81)-ROW(BQ$15),0),
              ROUND(ROUND(OFFSET($P81,0,BQ$13),15-13*ORÇAMENTO!$AF$7)*OFFSET(ORÇAMENTO!$W$15,ROW(BQ81)-ROW(BQ$15),0),15-13*ORÇAMENTO!$AF$11)),
         0)</f>
        <v>0</v>
      </c>
      <c r="BS81" s="171">
        <f ca="1">IF(OR($D81&lt;&gt;"Serviço",AND(AUTOEVENTO="Manual",$M81=$A$15)),0,
         IF(OFFSET(CRONOPLE!$F$15,$M81-$A$15,BS$13)=0,10^12,OFFSET(CRONOPLE!$F$15,$M81-$A$15,BS$13)))</f>
        <v>1</v>
      </c>
      <c r="BT81" s="171">
        <f ca="1">IF(OR($D81&lt;&gt;"Serviço",AND(AUTOEVENTO="Manual",$M81=$A$15)),0,
         IF(OFFSET(CRONOPLE!$F$15,$M81-$A$15,BT$13)=0,10^12,OFFSET(CRONOPLE!$F$15,$M81-$A$15,BT$13)))</f>
        <v>2</v>
      </c>
      <c r="BU81" s="171">
        <f ca="1">IF(OR($D81&lt;&gt;"Serviço",AND(AUTOEVENTO="Manual",$M81=$A$15)),0,
         IF(OFFSET(CRONOPLE!$F$15,$M81-$A$15,BU$13)=0,10^12,OFFSET(CRONOPLE!$F$15,$M81-$A$15,BU$13)))</f>
        <v>3</v>
      </c>
      <c r="BV81" s="171">
        <f ca="1">IF(OR($D81&lt;&gt;"Serviço",AND(AUTOEVENTO="Manual",$M81=$A$15)),0,
         IF(OFFSET(CRONOPLE!$F$15,$M81-$A$15,BV$13)=0,10^12,OFFSET(CRONOPLE!$F$15,$M81-$A$15,BV$13)))</f>
        <v>4</v>
      </c>
      <c r="BW81" s="171">
        <f ca="1">IF(OR($D81&lt;&gt;"Serviço",AND(AUTOEVENTO="Manual",$M81=$A$15)),0,
         IF(OFFSET(CRONOPLE!$F$15,$M81-$A$15,BW$13)=0,10^12,OFFSET(CRONOPLE!$F$15,$M81-$A$15,BW$13)))</f>
        <v>5</v>
      </c>
      <c r="BX81" s="171">
        <f ca="1">IF(OR($D81&lt;&gt;"Serviço",AND(AUTOEVENTO="Manual",$M81=$A$15)),0,
         IF(OFFSET(CRONOPLE!$F$15,$M81-$A$15,BX$13)=0,10^12,OFFSET(CRONOPLE!$F$15,$M81-$A$15,BX$13)))</f>
        <v>6</v>
      </c>
      <c r="BY81" s="171">
        <f ca="1">IF(OR($D81&lt;&gt;"Serviço",AND(AUTOEVENTO="Manual",$M81=$A$15)),0,
         IF(OFFSET(CRONOPLE!$F$15,$M81-$A$15,BY$13)=0,10^12,OFFSET(CRONOPLE!$F$15,$M81-$A$15,BY$13)))</f>
        <v>7</v>
      </c>
      <c r="BZ81" s="171">
        <f ca="1">IF(OR($D81&lt;&gt;"Serviço",AND(AUTOEVENTO="Manual",$M81=$A$15)),0,
         IF(OFFSET(CRONOPLE!$F$15,$M81-$A$15,BZ$13)=0,10^12,OFFSET(CRONOPLE!$F$15,$M81-$A$15,BZ$13)))</f>
        <v>8</v>
      </c>
      <c r="CA81" s="171">
        <f ca="1">IF(OR($D81&lt;&gt;"Serviço",AND(AUTOEVENTO="Manual",$M81=$A$15)),0,
         IF(OFFSET(CRONOPLE!$F$15,$M81-$A$15,CA$13)=0,10^12,OFFSET(CRONOPLE!$F$15,$M81-$A$15,CA$13)))</f>
        <v>9</v>
      </c>
      <c r="CB81" s="171">
        <f ca="1">IF(OR($D81&lt;&gt;"Serviço",AND(AUTOEVENTO="Manual",$M81=$A$15)),0,
         IF(OFFSET(CRONOPLE!$F$15,$M81-$A$15,CB$13)=0,10^12,OFFSET(CRONOPLE!$F$15,$M81-$A$15,CB$13)))</f>
        <v>10</v>
      </c>
      <c r="CC81" s="171">
        <f ca="1">IF(OR($D81&lt;&gt;"Serviço",AND(AUTOEVENTO="Manual",$M81=$A$15)),0,
         IF(OFFSET(CRONOPLE!$F$15,$M81-$A$15,CC$13)=0,10^12,OFFSET(CRONOPLE!$F$15,$M81-$A$15,CC$13)))</f>
        <v>11</v>
      </c>
      <c r="CD81" s="171">
        <f ca="1">IF(OR($D81&lt;&gt;"Serviço",AND(AUTOEVENTO="Manual",$M81=$A$15)),0,
         IF(OFFSET(CRONOPLE!$F$15,$M81-$A$15,CD$13)=0,10^12,OFFSET(CRONOPLE!$F$15,$M81-$A$15,CD$13)))</f>
        <v>12</v>
      </c>
      <c r="CE81" s="171">
        <f ca="1">IF(OR($D81&lt;&gt;"Serviço",AND(AUTOEVENTO="Manual",$M81=$A$15)),0,
         IF(OFFSET(CRONOPLE!$F$15,$M81-$A$15,CE$13)=0,10^12,OFFSET(CRONOPLE!$F$15,$M81-$A$15,CE$13)))</f>
        <v>13</v>
      </c>
      <c r="CF81" s="171">
        <f ca="1">IF(OR($D81&lt;&gt;"Serviço",AND(AUTOEVENTO="Manual",$M81=$A$15)),0,
         IF(OFFSET(CRONOPLE!$F$15,$M81-$A$15,CF$13)=0,10^12,OFFSET(CRONOPLE!$F$15,$M81-$A$15,CF$13)))</f>
        <v>14</v>
      </c>
      <c r="CG81" s="171">
        <f ca="1">IF(OR($D81&lt;&gt;"Serviço",AND(AUTOEVENTO="Manual",$M81=$A$15)),0,
         IF(OFFSET(CRONOPLE!$F$15,$M81-$A$15,CG$13)=0,10^12,OFFSET(CRONOPLE!$F$15,$M81-$A$15,CG$13)))</f>
        <v>15</v>
      </c>
      <c r="CH81" s="171">
        <f ca="1">IF(OR($D81&lt;&gt;"Serviço",AND(AUTOEVENTO="Manual",$M81=$A$15)),0,
         IF(OFFSET(CRONOPLE!$F$15,$M81-$A$15,CH$13)=0,10^12,OFFSET(CRONOPLE!$F$15,$M81-$A$15,CH$13)))</f>
        <v>16</v>
      </c>
      <c r="CI81" s="171">
        <f ca="1">IF(OR($D81&lt;&gt;"Serviço",AND(AUTOEVENTO="Manual",$M81=$A$15)),0,
         IF(OFFSET(CRONOPLE!$F$15,$M81-$A$15,CI$13)=0,10^12,OFFSET(CRONOPLE!$F$15,$M81-$A$15,CI$13)))</f>
        <v>17</v>
      </c>
      <c r="CJ81" s="171">
        <f ca="1">IF(OR($D81&lt;&gt;"Serviço",AND(AUTOEVENTO="Manual",$M81=$A$15)),0,
         IF(OFFSET(CRONOPLE!$F$15,$M81-$A$15,CJ$13)=0,10^12,OFFSET(CRONOPLE!$F$15,$M81-$A$15,CJ$13)))</f>
        <v>18</v>
      </c>
      <c r="CK81" s="171">
        <f ca="1">IF(OR($D81&lt;&gt;"Serviço",AND(AUTOEVENTO="Manual",$M81=$A$15)),0,
         IF(OFFSET(CRONOPLE!$F$15,$M81-$A$15,CK$13)=0,10^12,OFFSET(CRONOPLE!$F$15,$M81-$A$15,CK$13)))</f>
        <v>19</v>
      </c>
      <c r="CL81" s="171">
        <f ca="1">IF(OR($D81&lt;&gt;"Serviço",AND(AUTOEVENTO="Manual",$M81=$A$15)),0,
         IF(OFFSET(CRONOPLE!$F$15,$M81-$A$15,CL$13)=0,10^12,OFFSET(CRONOPLE!$F$15,$M81-$A$15,CL$13)))</f>
        <v>20</v>
      </c>
      <c r="CM81" s="171">
        <f ca="1">IF(OR($D81&lt;&gt;"Serviço",AND(AUTOEVENTO="Manual",$M81=$A$15)),0,
         IF(OFFSET(CRONOPLE!$F$15,$M81-$A$15,CM$13)=0,10^12,OFFSET(CRONOPLE!$F$15,$M81-$A$15,CM$13)))</f>
        <v>1000000000000</v>
      </c>
      <c r="CN81" s="171">
        <f ca="1">IF(OR($D81&lt;&gt;"Serviço",AND(AUTOEVENTO="Manual",$M81=$A$15)),0,
         IF(OFFSET(CRONOPLE!$F$15,$M81-$A$15,CN$13)=0,10^12,OFFSET(CRONOPLE!$F$15,$M81-$A$15,CN$13)))</f>
        <v>1000000000000</v>
      </c>
      <c r="CO81" s="171">
        <f ca="1">IF(OR($D81&lt;&gt;"Serviço",AND(AUTOEVENTO="Manual",$M81=$A$15)),0,
         IF(OFFSET(CRONOPLE!$F$15,$M81-$A$15,CO$13)=0,10^12,OFFSET(CRONOPLE!$F$15,$M81-$A$15,CO$13)))</f>
        <v>1000000000000</v>
      </c>
      <c r="CP81" s="171">
        <f ca="1">IF(OR($D81&lt;&gt;"Serviço",AND(AUTOEVENTO="Manual",$M81=$A$15)),0,
         IF(OFFSET(CRONOPLE!$F$15,$M81-$A$15,CP$13)=0,10^12,OFFSET(CRONOPLE!$F$15,$M81-$A$15,CP$13)))</f>
        <v>1000000000000</v>
      </c>
      <c r="CQ81" s="171">
        <f ca="1">IF(OR($D81&lt;&gt;"Serviço",AND(AUTOEVENTO="Manual",$M81=$A$15)),0,
         IF(OFFSET(CRONOPLE!$F$15,$M81-$A$15,CQ$13)=0,10^12,OFFSET(CRONOPLE!$F$15,$M81-$A$15,CQ$13)))</f>
        <v>1000000000000</v>
      </c>
      <c r="CR81" s="171">
        <f ca="1">IF(OR($D81&lt;&gt;"Serviço",AND(AUTOEVENTO="Manual",$M81=$A$15)),0,
         IF(OFFSET(CRONOPLE!$F$15,$M81-$A$15,CR$13)=0,10^12,OFFSET(CRONOPLE!$F$15,$M81-$A$15,CR$13)))</f>
        <v>1000000000000</v>
      </c>
      <c r="CT81" s="172" cm="1">
        <f t="array" aca="1" ref="CT81" ca="1">IF(OR($D81&lt;&gt;"Serviço",AND(AUTOEVENTO="Manual",$M81=$A$15),$M81&gt;(ROW(PLE.lastrow)-ROW(PLE.firstrow))),0,
           IF(OFFSET(PLE!$G$15,$M81-$A$15,CT$13)="",10^12,OFFSET(PLE!$G$15,$M81-$A$15,CT$13)))</f>
        <v>1000000000000</v>
      </c>
      <c r="CU81" s="172" cm="1">
        <f t="array" aca="1" ref="CU81" ca="1">IF(OR($D81&lt;&gt;"Serviço",AND(AUTOEVENTO="Manual",$M81=$A$15),$M81&gt;(ROW(PLE.lastrow)-ROW(PLE.firstrow))),0,
           IF(OFFSET(PLE!$G$15,$M81-$A$15,CU$13)="",10^12,OFFSET(PLE!$G$15,$M81-$A$15,CU$13)))</f>
        <v>1000000000000</v>
      </c>
      <c r="CV81" s="172" cm="1">
        <f t="array" aca="1" ref="CV81" ca="1">IF(OR($D81&lt;&gt;"Serviço",AND(AUTOEVENTO="Manual",$M81=$A$15),$M81&gt;(ROW(PLE.lastrow)-ROW(PLE.firstrow))),0,
           IF(OFFSET(PLE!$G$15,$M81-$A$15,CV$13)="",10^12,OFFSET(PLE!$G$15,$M81-$A$15,CV$13)))</f>
        <v>1000000000000</v>
      </c>
      <c r="CW81" s="172" cm="1">
        <f t="array" aca="1" ref="CW81" ca="1">IF(OR($D81&lt;&gt;"Serviço",AND(AUTOEVENTO="Manual",$M81=$A$15),$M81&gt;(ROW(PLE.lastrow)-ROW(PLE.firstrow))),0,
           IF(OFFSET(PLE!$G$15,$M81-$A$15,CW$13)="",10^12,OFFSET(PLE!$G$15,$M81-$A$15,CW$13)))</f>
        <v>1000000000000</v>
      </c>
      <c r="CX81" s="172" cm="1">
        <f t="array" aca="1" ref="CX81" ca="1">IF(OR($D81&lt;&gt;"Serviço",AND(AUTOEVENTO="Manual",$M81=$A$15),$M81&gt;(ROW(PLE.lastrow)-ROW(PLE.firstrow))),0,
           IF(OFFSET(PLE!$G$15,$M81-$A$15,CX$13)="",10^12,OFFSET(PLE!$G$15,$M81-$A$15,CX$13)))</f>
        <v>1000000000000</v>
      </c>
      <c r="CY81" s="172" cm="1">
        <f t="array" aca="1" ref="CY81" ca="1">IF(OR($D81&lt;&gt;"Serviço",AND(AUTOEVENTO="Manual",$M81=$A$15),$M81&gt;(ROW(PLE.lastrow)-ROW(PLE.firstrow))),0,
           IF(OFFSET(PLE!$G$15,$M81-$A$15,CY$13)="",10^12,OFFSET(PLE!$G$15,$M81-$A$15,CY$13)))</f>
        <v>1000000000000</v>
      </c>
      <c r="CZ81" s="172" cm="1">
        <f t="array" aca="1" ref="CZ81" ca="1">IF(OR($D81&lt;&gt;"Serviço",AND(AUTOEVENTO="Manual",$M81=$A$15),$M81&gt;(ROW(PLE.lastrow)-ROW(PLE.firstrow))),0,
           IF(OFFSET(PLE!$G$15,$M81-$A$15,CZ$13)="",10^12,OFFSET(PLE!$G$15,$M81-$A$15,CZ$13)))</f>
        <v>1000000000000</v>
      </c>
      <c r="DA81" s="172" cm="1">
        <f t="array" aca="1" ref="DA81" ca="1">IF(OR($D81&lt;&gt;"Serviço",AND(AUTOEVENTO="Manual",$M81=$A$15),$M81&gt;(ROW(PLE.lastrow)-ROW(PLE.firstrow))),0,
           IF(OFFSET(PLE!$G$15,$M81-$A$15,DA$13)="",10^12,OFFSET(PLE!$G$15,$M81-$A$15,DA$13)))</f>
        <v>1000000000000</v>
      </c>
      <c r="DB81" s="172" cm="1">
        <f t="array" aca="1" ref="DB81" ca="1">IF(OR($D81&lt;&gt;"Serviço",AND(AUTOEVENTO="Manual",$M81=$A$15),$M81&gt;(ROW(PLE.lastrow)-ROW(PLE.firstrow))),0,
           IF(OFFSET(PLE!$G$15,$M81-$A$15,DB$13)="",10^12,OFFSET(PLE!$G$15,$M81-$A$15,DB$13)))</f>
        <v>1000000000000</v>
      </c>
      <c r="DC81" s="172" cm="1">
        <f t="array" aca="1" ref="DC81" ca="1">IF(OR($D81&lt;&gt;"Serviço",AND(AUTOEVENTO="Manual",$M81=$A$15),$M81&gt;(ROW(PLE.lastrow)-ROW(PLE.firstrow))),0,
           IF(OFFSET(PLE!$G$15,$M81-$A$15,DC$13)="",10^12,OFFSET(PLE!$G$15,$M81-$A$15,DC$13)))</f>
        <v>1000000000000</v>
      </c>
      <c r="DD81" s="172" cm="1">
        <f t="array" aca="1" ref="DD81" ca="1">IF(OR($D81&lt;&gt;"Serviço",AND(AUTOEVENTO="Manual",$M81=$A$15),$M81&gt;(ROW(PLE.lastrow)-ROW(PLE.firstrow))),0,
           IF(OFFSET(PLE!$G$15,$M81-$A$15,DD$13)="",10^12,OFFSET(PLE!$G$15,$M81-$A$15,DD$13)))</f>
        <v>1000000000000</v>
      </c>
      <c r="DE81" s="172" cm="1">
        <f t="array" aca="1" ref="DE81" ca="1">IF(OR($D81&lt;&gt;"Serviço",AND(AUTOEVENTO="Manual",$M81=$A$15),$M81&gt;(ROW(PLE.lastrow)-ROW(PLE.firstrow))),0,
           IF(OFFSET(PLE!$G$15,$M81-$A$15,DE$13)="",10^12,OFFSET(PLE!$G$15,$M81-$A$15,DE$13)))</f>
        <v>1000000000000</v>
      </c>
      <c r="DF81" s="172" cm="1">
        <f t="array" aca="1" ref="DF81" ca="1">IF(OR($D81&lt;&gt;"Serviço",AND(AUTOEVENTO="Manual",$M81=$A$15),$M81&gt;(ROW(PLE.lastrow)-ROW(PLE.firstrow))),0,
           IF(OFFSET(PLE!$G$15,$M81-$A$15,DF$13)="",10^12,OFFSET(PLE!$G$15,$M81-$A$15,DF$13)))</f>
        <v>1000000000000</v>
      </c>
      <c r="DG81" s="172" cm="1">
        <f t="array" aca="1" ref="DG81" ca="1">IF(OR($D81&lt;&gt;"Serviço",AND(AUTOEVENTO="Manual",$M81=$A$15),$M81&gt;(ROW(PLE.lastrow)-ROW(PLE.firstrow))),0,
           IF(OFFSET(PLE!$G$15,$M81-$A$15,DG$13)="",10^12,OFFSET(PLE!$G$15,$M81-$A$15,DG$13)))</f>
        <v>1000000000000</v>
      </c>
      <c r="DH81" s="172" cm="1">
        <f t="array" aca="1" ref="DH81" ca="1">IF(OR($D81&lt;&gt;"Serviço",AND(AUTOEVENTO="Manual",$M81=$A$15),$M81&gt;(ROW(PLE.lastrow)-ROW(PLE.firstrow))),0,
           IF(OFFSET(PLE!$G$15,$M81-$A$15,DH$13)="",10^12,OFFSET(PLE!$G$15,$M81-$A$15,DH$13)))</f>
        <v>1000000000000</v>
      </c>
      <c r="DI81" s="172" cm="1">
        <f t="array" aca="1" ref="DI81" ca="1">IF(OR($D81&lt;&gt;"Serviço",AND(AUTOEVENTO="Manual",$M81=$A$15),$M81&gt;(ROW(PLE.lastrow)-ROW(PLE.firstrow))),0,
           IF(OFFSET(PLE!$G$15,$M81-$A$15,DI$13)="",10^12,OFFSET(PLE!$G$15,$M81-$A$15,DI$13)))</f>
        <v>1000000000000</v>
      </c>
      <c r="DJ81" s="172" cm="1">
        <f t="array" aca="1" ref="DJ81" ca="1">IF(OR($D81&lt;&gt;"Serviço",AND(AUTOEVENTO="Manual",$M81=$A$15),$M81&gt;(ROW(PLE.lastrow)-ROW(PLE.firstrow))),0,
           IF(OFFSET(PLE!$G$15,$M81-$A$15,DJ$13)="",10^12,OFFSET(PLE!$G$15,$M81-$A$15,DJ$13)))</f>
        <v>1000000000000</v>
      </c>
      <c r="DK81" s="172" cm="1">
        <f t="array" aca="1" ref="DK81" ca="1">IF(OR($D81&lt;&gt;"Serviço",AND(AUTOEVENTO="Manual",$M81=$A$15),$M81&gt;(ROW(PLE.lastrow)-ROW(PLE.firstrow))),0,
           IF(OFFSET(PLE!$G$15,$M81-$A$15,DK$13)="",10^12,OFFSET(PLE!$G$15,$M81-$A$15,DK$13)))</f>
        <v>1000000000000</v>
      </c>
      <c r="DL81" s="172" cm="1">
        <f t="array" aca="1" ref="DL81" ca="1">IF(OR($D81&lt;&gt;"Serviço",AND(AUTOEVENTO="Manual",$M81=$A$15),$M81&gt;(ROW(PLE.lastrow)-ROW(PLE.firstrow))),0,
           IF(OFFSET(PLE!$G$15,$M81-$A$15,DL$13)="",10^12,OFFSET(PLE!$G$15,$M81-$A$15,DL$13)))</f>
        <v>1000000000000</v>
      </c>
      <c r="DM81" s="172" cm="1">
        <f t="array" aca="1" ref="DM81" ca="1">IF(OR($D81&lt;&gt;"Serviço",AND(AUTOEVENTO="Manual",$M81=$A$15),$M81&gt;(ROW(PLE.lastrow)-ROW(PLE.firstrow))),0,
           IF(OFFSET(PLE!$G$15,$M81-$A$15,DM$13)="",10^12,OFFSET(PLE!$G$15,$M81-$A$15,DM$13)))</f>
        <v>1000000000000</v>
      </c>
      <c r="DN81" s="172" cm="1">
        <f t="array" aca="1" ref="DN81" ca="1">IF(OR($D81&lt;&gt;"Serviço",AND(AUTOEVENTO="Manual",$M81=$A$15),$M81&gt;(ROW(PLE.lastrow)-ROW(PLE.firstrow))),0,
           IF(OFFSET(PLE!$G$15,$M81-$A$15,DN$13)="",10^12,OFFSET(PLE!$G$15,$M81-$A$15,DN$13)))</f>
        <v>1000000000000</v>
      </c>
      <c r="DO81" s="172" cm="1">
        <f t="array" aca="1" ref="DO81" ca="1">IF(OR($D81&lt;&gt;"Serviço",AND(AUTOEVENTO="Manual",$M81=$A$15),$M81&gt;(ROW(PLE.lastrow)-ROW(PLE.firstrow))),0,
           IF(OFFSET(PLE!$G$15,$M81-$A$15,DO$13)="",10^12,OFFSET(PLE!$G$15,$M81-$A$15,DO$13)))</f>
        <v>1000000000000</v>
      </c>
      <c r="DP81" s="172" cm="1">
        <f t="array" aca="1" ref="DP81" ca="1">IF(OR($D81&lt;&gt;"Serviço",AND(AUTOEVENTO="Manual",$M81=$A$15),$M81&gt;(ROW(PLE.lastrow)-ROW(PLE.firstrow))),0,
           IF(OFFSET(PLE!$G$15,$M81-$A$15,DP$13)="",10^12,OFFSET(PLE!$G$15,$M81-$A$15,DP$13)))</f>
        <v>1000000000000</v>
      </c>
      <c r="DQ81" s="172" cm="1">
        <f t="array" aca="1" ref="DQ81" ca="1">IF(OR($D81&lt;&gt;"Serviço",AND(AUTOEVENTO="Manual",$M81=$A$15),$M81&gt;(ROW(PLE.lastrow)-ROW(PLE.firstrow))),0,
           IF(OFFSET(PLE!$G$15,$M81-$A$15,DQ$13)="",10^12,OFFSET(PLE!$G$15,$M81-$A$15,DQ$13)))</f>
        <v>1000000000000</v>
      </c>
      <c r="DR81" s="172" cm="1">
        <f t="array" aca="1" ref="DR81" ca="1">IF(OR($D81&lt;&gt;"Serviço",AND(AUTOEVENTO="Manual",$M81=$A$15),$M81&gt;(ROW(PLE.lastrow)-ROW(PLE.firstrow))),0,
           IF(OFFSET(PLE!$G$15,$M81-$A$15,DR$13)="",10^12,OFFSET(PLE!$G$15,$M81-$A$15,DR$13)))</f>
        <v>1000000000000</v>
      </c>
      <c r="DS81" s="172" cm="1">
        <f t="array" aca="1" ref="DS81" ca="1">IF(OR($D81&lt;&gt;"Serviço",AND(AUTOEVENTO="Manual",$M81=$A$15),$M81&gt;(ROW(PLE.lastrow)-ROW(PLE.firstrow))),0,
           IF(OFFSET(PLE!$G$15,$M81-$A$15,DS$13)="",10^12,OFFSET(PLE!$G$15,$M81-$A$15,DS$13)))</f>
        <v>1000000000000</v>
      </c>
    </row>
    <row r="82" spans="1:123" ht="38.25" x14ac:dyDescent="0.2">
      <c r="A82" s="7">
        <f t="shared" ca="1" si="11"/>
        <v>6</v>
      </c>
      <c r="B82" s="7" t="str">
        <f ca="1">OFFSET(ORÇAMENTO!C$15,$L82,0)</f>
        <v>S</v>
      </c>
      <c r="C82" s="7" t="str">
        <f ca="1">OFFSET(ORÇAMENTO!L$15,$L82,0)</f>
        <v/>
      </c>
      <c r="D82" s="116" t="str">
        <f ca="1">OFFSET(ORÇAMENTO!N$15,$L82,0)</f>
        <v>Serviço</v>
      </c>
      <c r="E82" s="117" t="str">
        <f ca="1">OFFSET(ORÇAMENTO!O$15,$L82,0)</f>
        <v>-</v>
      </c>
      <c r="F82" s="163" t="str">
        <f ca="1">OFFSET(ORÇAMENTO!R$15,$L82,0)</f>
        <v>(Código não identificado nas referências)</v>
      </c>
      <c r="G82" s="164" t="str">
        <f ca="1">IF($D82&lt;&gt;"Serviço","",OFFSET(ORÇAMENTO!S$15,$L82,0))</f>
        <v>-</v>
      </c>
      <c r="H82" s="122" cm="1">
        <f t="array" aca="1" ref="H82" ca="1">IF($D82&lt;&gt;"Serviço",0,IF(ACOMPANHAMENTO="BM",ROUND(OFFSET(ORÇAMENTO!AJ$15,$L82,0),15-13*ORÇAMENTO!$AF$7),IF(IFERROR(CÁLCULO.FrentesPreenchidas,0)=0,0,SUM(ROUND(OFFSET($P82,0,1,1,CÁLCULO.FrentesPreenchidas),15-13*ORÇAMENTO!$AF$7)))))</f>
        <v>80</v>
      </c>
      <c r="I82" s="468" t="s">
        <v>1235</v>
      </c>
      <c r="J82" s="651" t="str" cm="1">
        <f t="array" aca="1" ref="J82" ca="1">IF(OR(B82&lt;&gt;"S",CÁLCULO.FrentesPreenchidas=0),"",IF(AND(ACOMPANHAMENTO="PLE",AUTOEVENTO="Manual",OR(H82&gt;0,ORÇAMENTO!AC82="QUANT."),OR(K82="",M82=0,N82="")),"►E",IF(AND(ACOMPANHAMENTO="PLE",ORÇAMENTO!AC82="QUANT."),"►Q",IF(AND(ACOMPANHAMENTO="PLE",H82&lt;&gt;SUMPRODUCT(($Q$1:$AQ$1=1)*ROUND(Q82:AQ82,15))),"►S",IF(AND(COUNTIF($P$11:$AQ$11,"▼")=0,H82&gt;0,I82=""),"◄M","")))))</f>
        <v/>
      </c>
      <c r="K82" s="652" t="s">
        <v>1254</v>
      </c>
      <c r="L82" s="165">
        <f t="shared" ca="1" si="12"/>
        <v>67</v>
      </c>
      <c r="M82" s="166">
        <f ca="1">IF($D82&lt;&gt;"Serviço","",
          IF(AUTOEVENTO="manual",$A82,
                IF(ISERROR(MATCH($A82,$A$15:OFFSET($A82,-1,0),0)),MAX($M$15:OFFSET(M82,-1,0))+1,
                      INDEX($M$15:OFFSET(M82,-1,0),MATCH($A82,$A$15:OFFSET($A82,-1,0),0)))))</f>
        <v>6</v>
      </c>
      <c r="N82" s="167" t="str">
        <f ca="1">IF($D82&lt;&gt;"Serviço","",
         IF(AUTOEVENTO="Manual",
                IF($A82=0,"&lt;-- defina o número do agrupador",
                       OFFSET(EVENTOS!$D$15,$A82-$A$15,0)),
                OFFSET($F$15,$A82,0)))</f>
        <v>COBERTURA E PROTEÇÕES</v>
      </c>
      <c r="O82" s="168"/>
      <c r="Q82" s="168">
        <v>4</v>
      </c>
      <c r="R82" s="169">
        <v>4</v>
      </c>
      <c r="S82" s="169">
        <v>4</v>
      </c>
      <c r="T82" s="169">
        <v>4</v>
      </c>
      <c r="U82" s="169">
        <v>4</v>
      </c>
      <c r="V82" s="169">
        <v>4</v>
      </c>
      <c r="W82" s="169">
        <v>4</v>
      </c>
      <c r="X82" s="169">
        <v>4</v>
      </c>
      <c r="Y82" s="169">
        <v>4</v>
      </c>
      <c r="Z82" s="170">
        <v>4</v>
      </c>
      <c r="AA82" s="169">
        <v>4</v>
      </c>
      <c r="AB82" s="169">
        <v>4</v>
      </c>
      <c r="AC82" s="169">
        <v>4</v>
      </c>
      <c r="AD82" s="169">
        <v>4</v>
      </c>
      <c r="AE82" s="169">
        <v>4</v>
      </c>
      <c r="AF82" s="169">
        <v>4</v>
      </c>
      <c r="AG82" s="169">
        <v>4</v>
      </c>
      <c r="AH82" s="170">
        <v>4</v>
      </c>
      <c r="AI82" s="169">
        <v>4</v>
      </c>
      <c r="AJ82" s="169">
        <v>4</v>
      </c>
      <c r="AK82" s="169"/>
      <c r="AL82" s="169"/>
      <c r="AM82" s="169"/>
      <c r="AN82" s="169"/>
      <c r="AO82" s="169"/>
      <c r="AP82" s="170"/>
      <c r="AR82" s="453">
        <f ca="1">IF(AND($D82="Serviço",AR$12&lt;&gt;0,$H82&gt;0,OR(AUTOEVENTO&lt;&gt;"manual",$M82&lt;&gt;$A$15)),
        IF(Import.TipoArredondamento&lt;&gt;"TransfereGOV",
              ROUND(OFFSET($P82,0,AR$13),15-13*ORÇAMENTO!$AF$7)/$H82*OFFSET(ORÇAMENTO!$X$15,ROW(AR82)-ROW(AR$15),0),
              ROUND(ROUND(OFFSET($P82,0,AR$13),15-13*ORÇAMENTO!$AF$7)*OFFSET(ORÇAMENTO!$W$15,ROW(AR82)-ROW(AR$15),0),15-13*ORÇAMENTO!$AF$11)),
         0)</f>
        <v>0</v>
      </c>
      <c r="AS82" s="453">
        <f ca="1">IF(AND($D82="Serviço",AS$12&lt;&gt;0,$H82&gt;0,OR(AUTOEVENTO&lt;&gt;"manual",$M82&lt;&gt;$A$15)),
        IF(Import.TipoArredondamento&lt;&gt;"TransfereGOV",
              ROUND(OFFSET($P82,0,AS$13),15-13*ORÇAMENTO!$AF$7)/$H82*OFFSET(ORÇAMENTO!$X$15,ROW(AS82)-ROW(AS$15),0),
              ROUND(ROUND(OFFSET($P82,0,AS$13),15-13*ORÇAMENTO!$AF$7)*OFFSET(ORÇAMENTO!$W$15,ROW(AS82)-ROW(AS$15),0),15-13*ORÇAMENTO!$AF$11)),
         0)</f>
        <v>0</v>
      </c>
      <c r="AT82" s="453">
        <f ca="1">IF(AND($D82="Serviço",AT$12&lt;&gt;0,$H82&gt;0,OR(AUTOEVENTO&lt;&gt;"manual",$M82&lt;&gt;$A$15)),
        IF(Import.TipoArredondamento&lt;&gt;"TransfereGOV",
              ROUND(OFFSET($P82,0,AT$13),15-13*ORÇAMENTO!$AF$7)/$H82*OFFSET(ORÇAMENTO!$X$15,ROW(AT82)-ROW(AT$15),0),
              ROUND(ROUND(OFFSET($P82,0,AT$13),15-13*ORÇAMENTO!$AF$7)*OFFSET(ORÇAMENTO!$W$15,ROW(AT82)-ROW(AT$15),0),15-13*ORÇAMENTO!$AF$11)),
         0)</f>
        <v>0</v>
      </c>
      <c r="AU82" s="453">
        <f ca="1">IF(AND($D82="Serviço",AU$12&lt;&gt;0,$H82&gt;0,OR(AUTOEVENTO&lt;&gt;"manual",$M82&lt;&gt;$A$15)),
        IF(Import.TipoArredondamento&lt;&gt;"TransfereGOV",
              ROUND(OFFSET($P82,0,AU$13),15-13*ORÇAMENTO!$AF$7)/$H82*OFFSET(ORÇAMENTO!$X$15,ROW(AU82)-ROW(AU$15),0),
              ROUND(ROUND(OFFSET($P82,0,AU$13),15-13*ORÇAMENTO!$AF$7)*OFFSET(ORÇAMENTO!$W$15,ROW(AU82)-ROW(AU$15),0),15-13*ORÇAMENTO!$AF$11)),
         0)</f>
        <v>0</v>
      </c>
      <c r="AV82" s="453">
        <f ca="1">IF(AND($D82="Serviço",AV$12&lt;&gt;0,$H82&gt;0,OR(AUTOEVENTO&lt;&gt;"manual",$M82&lt;&gt;$A$15)),
        IF(Import.TipoArredondamento&lt;&gt;"TransfereGOV",
              ROUND(OFFSET($P82,0,AV$13),15-13*ORÇAMENTO!$AF$7)/$H82*OFFSET(ORÇAMENTO!$X$15,ROW(AV82)-ROW(AV$15),0),
              ROUND(ROUND(OFFSET($P82,0,AV$13),15-13*ORÇAMENTO!$AF$7)*OFFSET(ORÇAMENTO!$W$15,ROW(AV82)-ROW(AV$15),0),15-13*ORÇAMENTO!$AF$11)),
         0)</f>
        <v>0</v>
      </c>
      <c r="AW82" s="453">
        <f ca="1">IF(AND($D82="Serviço",AW$12&lt;&gt;0,$H82&gt;0,OR(AUTOEVENTO&lt;&gt;"manual",$M82&lt;&gt;$A$15)),
        IF(Import.TipoArredondamento&lt;&gt;"TransfereGOV",
              ROUND(OFFSET($P82,0,AW$13),15-13*ORÇAMENTO!$AF$7)/$H82*OFFSET(ORÇAMENTO!$X$15,ROW(AW82)-ROW(AW$15),0),
              ROUND(ROUND(OFFSET($P82,0,AW$13),15-13*ORÇAMENTO!$AF$7)*OFFSET(ORÇAMENTO!$W$15,ROW(AW82)-ROW(AW$15),0),15-13*ORÇAMENTO!$AF$11)),
         0)</f>
        <v>0</v>
      </c>
      <c r="AX82" s="453">
        <f ca="1">IF(AND($D82="Serviço",AX$12&lt;&gt;0,$H82&gt;0,OR(AUTOEVENTO&lt;&gt;"manual",$M82&lt;&gt;$A$15)),
        IF(Import.TipoArredondamento&lt;&gt;"TransfereGOV",
              ROUND(OFFSET($P82,0,AX$13),15-13*ORÇAMENTO!$AF$7)/$H82*OFFSET(ORÇAMENTO!$X$15,ROW(AX82)-ROW(AX$15),0),
              ROUND(ROUND(OFFSET($P82,0,AX$13),15-13*ORÇAMENTO!$AF$7)*OFFSET(ORÇAMENTO!$W$15,ROW(AX82)-ROW(AX$15),0),15-13*ORÇAMENTO!$AF$11)),
         0)</f>
        <v>0</v>
      </c>
      <c r="AY82" s="453">
        <f ca="1">IF(AND($D82="Serviço",AY$12&lt;&gt;0,$H82&gt;0,OR(AUTOEVENTO&lt;&gt;"manual",$M82&lt;&gt;$A$15)),
        IF(Import.TipoArredondamento&lt;&gt;"TransfereGOV",
              ROUND(OFFSET($P82,0,AY$13),15-13*ORÇAMENTO!$AF$7)/$H82*OFFSET(ORÇAMENTO!$X$15,ROW(AY82)-ROW(AY$15),0),
              ROUND(ROUND(OFFSET($P82,0,AY$13),15-13*ORÇAMENTO!$AF$7)*OFFSET(ORÇAMENTO!$W$15,ROW(AY82)-ROW(AY$15),0),15-13*ORÇAMENTO!$AF$11)),
         0)</f>
        <v>0</v>
      </c>
      <c r="AZ82" s="453">
        <f ca="1">IF(AND($D82="Serviço",AZ$12&lt;&gt;0,$H82&gt;0,OR(AUTOEVENTO&lt;&gt;"manual",$M82&lt;&gt;$A$15)),
        IF(Import.TipoArredondamento&lt;&gt;"TransfereGOV",
              ROUND(OFFSET($P82,0,AZ$13),15-13*ORÇAMENTO!$AF$7)/$H82*OFFSET(ORÇAMENTO!$X$15,ROW(AZ82)-ROW(AZ$15),0),
              ROUND(ROUND(OFFSET($P82,0,AZ$13),15-13*ORÇAMENTO!$AF$7)*OFFSET(ORÇAMENTO!$W$15,ROW(AZ82)-ROW(AZ$15),0),15-13*ORÇAMENTO!$AF$11)),
         0)</f>
        <v>0</v>
      </c>
      <c r="BA82" s="453">
        <f ca="1">IF(AND($D82="Serviço",BA$12&lt;&gt;0,$H82&gt;0,OR(AUTOEVENTO&lt;&gt;"manual",$M82&lt;&gt;$A$15)),
        IF(Import.TipoArredondamento&lt;&gt;"TransfereGOV",
              ROUND(OFFSET($P82,0,BA$13),15-13*ORÇAMENTO!$AF$7)/$H82*OFFSET(ORÇAMENTO!$X$15,ROW(BA82)-ROW(BA$15),0),
              ROUND(ROUND(OFFSET($P82,0,BA$13),15-13*ORÇAMENTO!$AF$7)*OFFSET(ORÇAMENTO!$W$15,ROW(BA82)-ROW(BA$15),0),15-13*ORÇAMENTO!$AF$11)),
         0)</f>
        <v>0</v>
      </c>
      <c r="BB82" s="453">
        <f ca="1">IF(AND($D82="Serviço",BB$12&lt;&gt;0,$H82&gt;0,OR(AUTOEVENTO&lt;&gt;"manual",$M82&lt;&gt;$A$15)),
        IF(Import.TipoArredondamento&lt;&gt;"TransfereGOV",
              ROUND(OFFSET($P82,0,BB$13),15-13*ORÇAMENTO!$AF$7)/$H82*OFFSET(ORÇAMENTO!$X$15,ROW(BB82)-ROW(BB$15),0),
              ROUND(ROUND(OFFSET($P82,0,BB$13),15-13*ORÇAMENTO!$AF$7)*OFFSET(ORÇAMENTO!$W$15,ROW(BB82)-ROW(BB$15),0),15-13*ORÇAMENTO!$AF$11)),
         0)</f>
        <v>0</v>
      </c>
      <c r="BC82" s="453">
        <f ca="1">IF(AND($D82="Serviço",BC$12&lt;&gt;0,$H82&gt;0,OR(AUTOEVENTO&lt;&gt;"manual",$M82&lt;&gt;$A$15)),
        IF(Import.TipoArredondamento&lt;&gt;"TransfereGOV",
              ROUND(OFFSET($P82,0,BC$13),15-13*ORÇAMENTO!$AF$7)/$H82*OFFSET(ORÇAMENTO!$X$15,ROW(BC82)-ROW(BC$15),0),
              ROUND(ROUND(OFFSET($P82,0,BC$13),15-13*ORÇAMENTO!$AF$7)*OFFSET(ORÇAMENTO!$W$15,ROW(BC82)-ROW(BC$15),0),15-13*ORÇAMENTO!$AF$11)),
         0)</f>
        <v>0</v>
      </c>
      <c r="BD82" s="453">
        <f ca="1">IF(AND($D82="Serviço",BD$12&lt;&gt;0,$H82&gt;0,OR(AUTOEVENTO&lt;&gt;"manual",$M82&lt;&gt;$A$15)),
        IF(Import.TipoArredondamento&lt;&gt;"TransfereGOV",
              ROUND(OFFSET($P82,0,BD$13),15-13*ORÇAMENTO!$AF$7)/$H82*OFFSET(ORÇAMENTO!$X$15,ROW(BD82)-ROW(BD$15),0),
              ROUND(ROUND(OFFSET($P82,0,BD$13),15-13*ORÇAMENTO!$AF$7)*OFFSET(ORÇAMENTO!$W$15,ROW(BD82)-ROW(BD$15),0),15-13*ORÇAMENTO!$AF$11)),
         0)</f>
        <v>0</v>
      </c>
      <c r="BE82" s="453">
        <f ca="1">IF(AND($D82="Serviço",BE$12&lt;&gt;0,$H82&gt;0,OR(AUTOEVENTO&lt;&gt;"manual",$M82&lt;&gt;$A$15)),
        IF(Import.TipoArredondamento&lt;&gt;"TransfereGOV",
              ROUND(OFFSET($P82,0,BE$13),15-13*ORÇAMENTO!$AF$7)/$H82*OFFSET(ORÇAMENTO!$X$15,ROW(BE82)-ROW(BE$15),0),
              ROUND(ROUND(OFFSET($P82,0,BE$13),15-13*ORÇAMENTO!$AF$7)*OFFSET(ORÇAMENTO!$W$15,ROW(BE82)-ROW(BE$15),0),15-13*ORÇAMENTO!$AF$11)),
         0)</f>
        <v>0</v>
      </c>
      <c r="BF82" s="453">
        <f ca="1">IF(AND($D82="Serviço",BF$12&lt;&gt;0,$H82&gt;0,OR(AUTOEVENTO&lt;&gt;"manual",$M82&lt;&gt;$A$15)),
        IF(Import.TipoArredondamento&lt;&gt;"TransfereGOV",
              ROUND(OFFSET($P82,0,BF$13),15-13*ORÇAMENTO!$AF$7)/$H82*OFFSET(ORÇAMENTO!$X$15,ROW(BF82)-ROW(BF$15),0),
              ROUND(ROUND(OFFSET($P82,0,BF$13),15-13*ORÇAMENTO!$AF$7)*OFFSET(ORÇAMENTO!$W$15,ROW(BF82)-ROW(BF$15),0),15-13*ORÇAMENTO!$AF$11)),
         0)</f>
        <v>0</v>
      </c>
      <c r="BG82" s="453">
        <f ca="1">IF(AND($D82="Serviço",BG$12&lt;&gt;0,$H82&gt;0,OR(AUTOEVENTO&lt;&gt;"manual",$M82&lt;&gt;$A$15)),
        IF(Import.TipoArredondamento&lt;&gt;"TransfereGOV",
              ROUND(OFFSET($P82,0,BG$13),15-13*ORÇAMENTO!$AF$7)/$H82*OFFSET(ORÇAMENTO!$X$15,ROW(BG82)-ROW(BG$15),0),
              ROUND(ROUND(OFFSET($P82,0,BG$13),15-13*ORÇAMENTO!$AF$7)*OFFSET(ORÇAMENTO!$W$15,ROW(BG82)-ROW(BG$15),0),15-13*ORÇAMENTO!$AF$11)),
         0)</f>
        <v>0</v>
      </c>
      <c r="BH82" s="453">
        <f ca="1">IF(AND($D82="Serviço",BH$12&lt;&gt;0,$H82&gt;0,OR(AUTOEVENTO&lt;&gt;"manual",$M82&lt;&gt;$A$15)),
        IF(Import.TipoArredondamento&lt;&gt;"TransfereGOV",
              ROUND(OFFSET($P82,0,BH$13),15-13*ORÇAMENTO!$AF$7)/$H82*OFFSET(ORÇAMENTO!$X$15,ROW(BH82)-ROW(BH$15),0),
              ROUND(ROUND(OFFSET($P82,0,BH$13),15-13*ORÇAMENTO!$AF$7)*OFFSET(ORÇAMENTO!$W$15,ROW(BH82)-ROW(BH$15),0),15-13*ORÇAMENTO!$AF$11)),
         0)</f>
        <v>0</v>
      </c>
      <c r="BI82" s="453">
        <f ca="1">IF(AND($D82="Serviço",BI$12&lt;&gt;0,$H82&gt;0,OR(AUTOEVENTO&lt;&gt;"manual",$M82&lt;&gt;$A$15)),
        IF(Import.TipoArredondamento&lt;&gt;"TransfereGOV",
              ROUND(OFFSET($P82,0,BI$13),15-13*ORÇAMENTO!$AF$7)/$H82*OFFSET(ORÇAMENTO!$X$15,ROW(BI82)-ROW(BI$15),0),
              ROUND(ROUND(OFFSET($P82,0,BI$13),15-13*ORÇAMENTO!$AF$7)*OFFSET(ORÇAMENTO!$W$15,ROW(BI82)-ROW(BI$15),0),15-13*ORÇAMENTO!$AF$11)),
         0)</f>
        <v>0</v>
      </c>
      <c r="BJ82" s="453">
        <f ca="1">IF(AND($D82="Serviço",BJ$12&lt;&gt;0,$H82&gt;0,OR(AUTOEVENTO&lt;&gt;"manual",$M82&lt;&gt;$A$15)),
        IF(Import.TipoArredondamento&lt;&gt;"TransfereGOV",
              ROUND(OFFSET($P82,0,BJ$13),15-13*ORÇAMENTO!$AF$7)/$H82*OFFSET(ORÇAMENTO!$X$15,ROW(BJ82)-ROW(BJ$15),0),
              ROUND(ROUND(OFFSET($P82,0,BJ$13),15-13*ORÇAMENTO!$AF$7)*OFFSET(ORÇAMENTO!$W$15,ROW(BJ82)-ROW(BJ$15),0),15-13*ORÇAMENTO!$AF$11)),
         0)</f>
        <v>0</v>
      </c>
      <c r="BK82" s="453">
        <f ca="1">IF(AND($D82="Serviço",BK$12&lt;&gt;0,$H82&gt;0,OR(AUTOEVENTO&lt;&gt;"manual",$M82&lt;&gt;$A$15)),
        IF(Import.TipoArredondamento&lt;&gt;"TransfereGOV",
              ROUND(OFFSET($P82,0,BK$13),15-13*ORÇAMENTO!$AF$7)/$H82*OFFSET(ORÇAMENTO!$X$15,ROW(BK82)-ROW(BK$15),0),
              ROUND(ROUND(OFFSET($P82,0,BK$13),15-13*ORÇAMENTO!$AF$7)*OFFSET(ORÇAMENTO!$W$15,ROW(BK82)-ROW(BK$15),0),15-13*ORÇAMENTO!$AF$11)),
         0)</f>
        <v>0</v>
      </c>
      <c r="BL82" s="453">
        <f ca="1">IF(AND($D82="Serviço",BL$12&lt;&gt;0,$H82&gt;0,OR(AUTOEVENTO&lt;&gt;"manual",$M82&lt;&gt;$A$15)),
        IF(Import.TipoArredondamento&lt;&gt;"TransfereGOV",
              ROUND(OFFSET($P82,0,BL$13),15-13*ORÇAMENTO!$AF$7)/$H82*OFFSET(ORÇAMENTO!$X$15,ROW(BL82)-ROW(BL$15),0),
              ROUND(ROUND(OFFSET($P82,0,BL$13),15-13*ORÇAMENTO!$AF$7)*OFFSET(ORÇAMENTO!$W$15,ROW(BL82)-ROW(BL$15),0),15-13*ORÇAMENTO!$AF$11)),
         0)</f>
        <v>0</v>
      </c>
      <c r="BM82" s="453">
        <f ca="1">IF(AND($D82="Serviço",BM$12&lt;&gt;0,$H82&gt;0,OR(AUTOEVENTO&lt;&gt;"manual",$M82&lt;&gt;$A$15)),
        IF(Import.TipoArredondamento&lt;&gt;"TransfereGOV",
              ROUND(OFFSET($P82,0,BM$13),15-13*ORÇAMENTO!$AF$7)/$H82*OFFSET(ORÇAMENTO!$X$15,ROW(BM82)-ROW(BM$15),0),
              ROUND(ROUND(OFFSET($P82,0,BM$13),15-13*ORÇAMENTO!$AF$7)*OFFSET(ORÇAMENTO!$W$15,ROW(BM82)-ROW(BM$15),0),15-13*ORÇAMENTO!$AF$11)),
         0)</f>
        <v>0</v>
      </c>
      <c r="BN82" s="453">
        <f ca="1">IF(AND($D82="Serviço",BN$12&lt;&gt;0,$H82&gt;0,OR(AUTOEVENTO&lt;&gt;"manual",$M82&lt;&gt;$A$15)),
        IF(Import.TipoArredondamento&lt;&gt;"TransfereGOV",
              ROUND(OFFSET($P82,0,BN$13),15-13*ORÇAMENTO!$AF$7)/$H82*OFFSET(ORÇAMENTO!$X$15,ROW(BN82)-ROW(BN$15),0),
              ROUND(ROUND(OFFSET($P82,0,BN$13),15-13*ORÇAMENTO!$AF$7)*OFFSET(ORÇAMENTO!$W$15,ROW(BN82)-ROW(BN$15),0),15-13*ORÇAMENTO!$AF$11)),
         0)</f>
        <v>0</v>
      </c>
      <c r="BO82" s="453">
        <f ca="1">IF(AND($D82="Serviço",BO$12&lt;&gt;0,$H82&gt;0,OR(AUTOEVENTO&lt;&gt;"manual",$M82&lt;&gt;$A$15)),
        IF(Import.TipoArredondamento&lt;&gt;"TransfereGOV",
              ROUND(OFFSET($P82,0,BO$13),15-13*ORÇAMENTO!$AF$7)/$H82*OFFSET(ORÇAMENTO!$X$15,ROW(BO82)-ROW(BO$15),0),
              ROUND(ROUND(OFFSET($P82,0,BO$13),15-13*ORÇAMENTO!$AF$7)*OFFSET(ORÇAMENTO!$W$15,ROW(BO82)-ROW(BO$15),0),15-13*ORÇAMENTO!$AF$11)),
         0)</f>
        <v>0</v>
      </c>
      <c r="BP82" s="453">
        <f ca="1">IF(AND($D82="Serviço",BP$12&lt;&gt;0,$H82&gt;0,OR(AUTOEVENTO&lt;&gt;"manual",$M82&lt;&gt;$A$15)),
        IF(Import.TipoArredondamento&lt;&gt;"TransfereGOV",
              ROUND(OFFSET($P82,0,BP$13),15-13*ORÇAMENTO!$AF$7)/$H82*OFFSET(ORÇAMENTO!$X$15,ROW(BP82)-ROW(BP$15),0),
              ROUND(ROUND(OFFSET($P82,0,BP$13),15-13*ORÇAMENTO!$AF$7)*OFFSET(ORÇAMENTO!$W$15,ROW(BP82)-ROW(BP$15),0),15-13*ORÇAMENTO!$AF$11)),
         0)</f>
        <v>0</v>
      </c>
      <c r="BQ82" s="453">
        <f ca="1">IF(AND($D82="Serviço",BQ$12&lt;&gt;0,$H82&gt;0,OR(AUTOEVENTO&lt;&gt;"manual",$M82&lt;&gt;$A$15)),
        IF(Import.TipoArredondamento&lt;&gt;"TransfereGOV",
              ROUND(OFFSET($P82,0,BQ$13),15-13*ORÇAMENTO!$AF$7)/$H82*OFFSET(ORÇAMENTO!$X$15,ROW(BQ82)-ROW(BQ$15),0),
              ROUND(ROUND(OFFSET($P82,0,BQ$13),15-13*ORÇAMENTO!$AF$7)*OFFSET(ORÇAMENTO!$W$15,ROW(BQ82)-ROW(BQ$15),0),15-13*ORÇAMENTO!$AF$11)),
         0)</f>
        <v>0</v>
      </c>
      <c r="BS82" s="171">
        <f ca="1">IF(OR($D82&lt;&gt;"Serviço",AND(AUTOEVENTO="Manual",$M82=$A$15)),0,
         IF(OFFSET(CRONOPLE!$F$15,$M82-$A$15,BS$13)=0,10^12,OFFSET(CRONOPLE!$F$15,$M82-$A$15,BS$13)))</f>
        <v>1</v>
      </c>
      <c r="BT82" s="171">
        <f ca="1">IF(OR($D82&lt;&gt;"Serviço",AND(AUTOEVENTO="Manual",$M82=$A$15)),0,
         IF(OFFSET(CRONOPLE!$F$15,$M82-$A$15,BT$13)=0,10^12,OFFSET(CRONOPLE!$F$15,$M82-$A$15,BT$13)))</f>
        <v>2</v>
      </c>
      <c r="BU82" s="171">
        <f ca="1">IF(OR($D82&lt;&gt;"Serviço",AND(AUTOEVENTO="Manual",$M82=$A$15)),0,
         IF(OFFSET(CRONOPLE!$F$15,$M82-$A$15,BU$13)=0,10^12,OFFSET(CRONOPLE!$F$15,$M82-$A$15,BU$13)))</f>
        <v>3</v>
      </c>
      <c r="BV82" s="171">
        <f ca="1">IF(OR($D82&lt;&gt;"Serviço",AND(AUTOEVENTO="Manual",$M82=$A$15)),0,
         IF(OFFSET(CRONOPLE!$F$15,$M82-$A$15,BV$13)=0,10^12,OFFSET(CRONOPLE!$F$15,$M82-$A$15,BV$13)))</f>
        <v>4</v>
      </c>
      <c r="BW82" s="171">
        <f ca="1">IF(OR($D82&lt;&gt;"Serviço",AND(AUTOEVENTO="Manual",$M82=$A$15)),0,
         IF(OFFSET(CRONOPLE!$F$15,$M82-$A$15,BW$13)=0,10^12,OFFSET(CRONOPLE!$F$15,$M82-$A$15,BW$13)))</f>
        <v>5</v>
      </c>
      <c r="BX82" s="171">
        <f ca="1">IF(OR($D82&lt;&gt;"Serviço",AND(AUTOEVENTO="Manual",$M82=$A$15)),0,
         IF(OFFSET(CRONOPLE!$F$15,$M82-$A$15,BX$13)=0,10^12,OFFSET(CRONOPLE!$F$15,$M82-$A$15,BX$13)))</f>
        <v>6</v>
      </c>
      <c r="BY82" s="171">
        <f ca="1">IF(OR($D82&lt;&gt;"Serviço",AND(AUTOEVENTO="Manual",$M82=$A$15)),0,
         IF(OFFSET(CRONOPLE!$F$15,$M82-$A$15,BY$13)=0,10^12,OFFSET(CRONOPLE!$F$15,$M82-$A$15,BY$13)))</f>
        <v>7</v>
      </c>
      <c r="BZ82" s="171">
        <f ca="1">IF(OR($D82&lt;&gt;"Serviço",AND(AUTOEVENTO="Manual",$M82=$A$15)),0,
         IF(OFFSET(CRONOPLE!$F$15,$M82-$A$15,BZ$13)=0,10^12,OFFSET(CRONOPLE!$F$15,$M82-$A$15,BZ$13)))</f>
        <v>8</v>
      </c>
      <c r="CA82" s="171">
        <f ca="1">IF(OR($D82&lt;&gt;"Serviço",AND(AUTOEVENTO="Manual",$M82=$A$15)),0,
         IF(OFFSET(CRONOPLE!$F$15,$M82-$A$15,CA$13)=0,10^12,OFFSET(CRONOPLE!$F$15,$M82-$A$15,CA$13)))</f>
        <v>9</v>
      </c>
      <c r="CB82" s="171">
        <f ca="1">IF(OR($D82&lt;&gt;"Serviço",AND(AUTOEVENTO="Manual",$M82=$A$15)),0,
         IF(OFFSET(CRONOPLE!$F$15,$M82-$A$15,CB$13)=0,10^12,OFFSET(CRONOPLE!$F$15,$M82-$A$15,CB$13)))</f>
        <v>10</v>
      </c>
      <c r="CC82" s="171">
        <f ca="1">IF(OR($D82&lt;&gt;"Serviço",AND(AUTOEVENTO="Manual",$M82=$A$15)),0,
         IF(OFFSET(CRONOPLE!$F$15,$M82-$A$15,CC$13)=0,10^12,OFFSET(CRONOPLE!$F$15,$M82-$A$15,CC$13)))</f>
        <v>11</v>
      </c>
      <c r="CD82" s="171">
        <f ca="1">IF(OR($D82&lt;&gt;"Serviço",AND(AUTOEVENTO="Manual",$M82=$A$15)),0,
         IF(OFFSET(CRONOPLE!$F$15,$M82-$A$15,CD$13)=0,10^12,OFFSET(CRONOPLE!$F$15,$M82-$A$15,CD$13)))</f>
        <v>12</v>
      </c>
      <c r="CE82" s="171">
        <f ca="1">IF(OR($D82&lt;&gt;"Serviço",AND(AUTOEVENTO="Manual",$M82=$A$15)),0,
         IF(OFFSET(CRONOPLE!$F$15,$M82-$A$15,CE$13)=0,10^12,OFFSET(CRONOPLE!$F$15,$M82-$A$15,CE$13)))</f>
        <v>13</v>
      </c>
      <c r="CF82" s="171">
        <f ca="1">IF(OR($D82&lt;&gt;"Serviço",AND(AUTOEVENTO="Manual",$M82=$A$15)),0,
         IF(OFFSET(CRONOPLE!$F$15,$M82-$A$15,CF$13)=0,10^12,OFFSET(CRONOPLE!$F$15,$M82-$A$15,CF$13)))</f>
        <v>14</v>
      </c>
      <c r="CG82" s="171">
        <f ca="1">IF(OR($D82&lt;&gt;"Serviço",AND(AUTOEVENTO="Manual",$M82=$A$15)),0,
         IF(OFFSET(CRONOPLE!$F$15,$M82-$A$15,CG$13)=0,10^12,OFFSET(CRONOPLE!$F$15,$M82-$A$15,CG$13)))</f>
        <v>15</v>
      </c>
      <c r="CH82" s="171">
        <f ca="1">IF(OR($D82&lt;&gt;"Serviço",AND(AUTOEVENTO="Manual",$M82=$A$15)),0,
         IF(OFFSET(CRONOPLE!$F$15,$M82-$A$15,CH$13)=0,10^12,OFFSET(CRONOPLE!$F$15,$M82-$A$15,CH$13)))</f>
        <v>16</v>
      </c>
      <c r="CI82" s="171">
        <f ca="1">IF(OR($D82&lt;&gt;"Serviço",AND(AUTOEVENTO="Manual",$M82=$A$15)),0,
         IF(OFFSET(CRONOPLE!$F$15,$M82-$A$15,CI$13)=0,10^12,OFFSET(CRONOPLE!$F$15,$M82-$A$15,CI$13)))</f>
        <v>17</v>
      </c>
      <c r="CJ82" s="171">
        <f ca="1">IF(OR($D82&lt;&gt;"Serviço",AND(AUTOEVENTO="Manual",$M82=$A$15)),0,
         IF(OFFSET(CRONOPLE!$F$15,$M82-$A$15,CJ$13)=0,10^12,OFFSET(CRONOPLE!$F$15,$M82-$A$15,CJ$13)))</f>
        <v>18</v>
      </c>
      <c r="CK82" s="171">
        <f ca="1">IF(OR($D82&lt;&gt;"Serviço",AND(AUTOEVENTO="Manual",$M82=$A$15)),0,
         IF(OFFSET(CRONOPLE!$F$15,$M82-$A$15,CK$13)=0,10^12,OFFSET(CRONOPLE!$F$15,$M82-$A$15,CK$13)))</f>
        <v>19</v>
      </c>
      <c r="CL82" s="171">
        <f ca="1">IF(OR($D82&lt;&gt;"Serviço",AND(AUTOEVENTO="Manual",$M82=$A$15)),0,
         IF(OFFSET(CRONOPLE!$F$15,$M82-$A$15,CL$13)=0,10^12,OFFSET(CRONOPLE!$F$15,$M82-$A$15,CL$13)))</f>
        <v>20</v>
      </c>
      <c r="CM82" s="171">
        <f ca="1">IF(OR($D82&lt;&gt;"Serviço",AND(AUTOEVENTO="Manual",$M82=$A$15)),0,
         IF(OFFSET(CRONOPLE!$F$15,$M82-$A$15,CM$13)=0,10^12,OFFSET(CRONOPLE!$F$15,$M82-$A$15,CM$13)))</f>
        <v>1000000000000</v>
      </c>
      <c r="CN82" s="171">
        <f ca="1">IF(OR($D82&lt;&gt;"Serviço",AND(AUTOEVENTO="Manual",$M82=$A$15)),0,
         IF(OFFSET(CRONOPLE!$F$15,$M82-$A$15,CN$13)=0,10^12,OFFSET(CRONOPLE!$F$15,$M82-$A$15,CN$13)))</f>
        <v>1000000000000</v>
      </c>
      <c r="CO82" s="171">
        <f ca="1">IF(OR($D82&lt;&gt;"Serviço",AND(AUTOEVENTO="Manual",$M82=$A$15)),0,
         IF(OFFSET(CRONOPLE!$F$15,$M82-$A$15,CO$13)=0,10^12,OFFSET(CRONOPLE!$F$15,$M82-$A$15,CO$13)))</f>
        <v>1000000000000</v>
      </c>
      <c r="CP82" s="171">
        <f ca="1">IF(OR($D82&lt;&gt;"Serviço",AND(AUTOEVENTO="Manual",$M82=$A$15)),0,
         IF(OFFSET(CRONOPLE!$F$15,$M82-$A$15,CP$13)=0,10^12,OFFSET(CRONOPLE!$F$15,$M82-$A$15,CP$13)))</f>
        <v>1000000000000</v>
      </c>
      <c r="CQ82" s="171">
        <f ca="1">IF(OR($D82&lt;&gt;"Serviço",AND(AUTOEVENTO="Manual",$M82=$A$15)),0,
         IF(OFFSET(CRONOPLE!$F$15,$M82-$A$15,CQ$13)=0,10^12,OFFSET(CRONOPLE!$F$15,$M82-$A$15,CQ$13)))</f>
        <v>1000000000000</v>
      </c>
      <c r="CR82" s="171">
        <f ca="1">IF(OR($D82&lt;&gt;"Serviço",AND(AUTOEVENTO="Manual",$M82=$A$15)),0,
         IF(OFFSET(CRONOPLE!$F$15,$M82-$A$15,CR$13)=0,10^12,OFFSET(CRONOPLE!$F$15,$M82-$A$15,CR$13)))</f>
        <v>1000000000000</v>
      </c>
      <c r="CT82" s="172" cm="1">
        <f t="array" aca="1" ref="CT82" ca="1">IF(OR($D82&lt;&gt;"Serviço",AND(AUTOEVENTO="Manual",$M82=$A$15),$M82&gt;(ROW(PLE.lastrow)-ROW(PLE.firstrow))),0,
           IF(OFFSET(PLE!$G$15,$M82-$A$15,CT$13)="",10^12,OFFSET(PLE!$G$15,$M82-$A$15,CT$13)))</f>
        <v>1000000000000</v>
      </c>
      <c r="CU82" s="172" cm="1">
        <f t="array" aca="1" ref="CU82" ca="1">IF(OR($D82&lt;&gt;"Serviço",AND(AUTOEVENTO="Manual",$M82=$A$15),$M82&gt;(ROW(PLE.lastrow)-ROW(PLE.firstrow))),0,
           IF(OFFSET(PLE!$G$15,$M82-$A$15,CU$13)="",10^12,OFFSET(PLE!$G$15,$M82-$A$15,CU$13)))</f>
        <v>1000000000000</v>
      </c>
      <c r="CV82" s="172" cm="1">
        <f t="array" aca="1" ref="CV82" ca="1">IF(OR($D82&lt;&gt;"Serviço",AND(AUTOEVENTO="Manual",$M82=$A$15),$M82&gt;(ROW(PLE.lastrow)-ROW(PLE.firstrow))),0,
           IF(OFFSET(PLE!$G$15,$M82-$A$15,CV$13)="",10^12,OFFSET(PLE!$G$15,$M82-$A$15,CV$13)))</f>
        <v>1000000000000</v>
      </c>
      <c r="CW82" s="172" cm="1">
        <f t="array" aca="1" ref="CW82" ca="1">IF(OR($D82&lt;&gt;"Serviço",AND(AUTOEVENTO="Manual",$M82=$A$15),$M82&gt;(ROW(PLE.lastrow)-ROW(PLE.firstrow))),0,
           IF(OFFSET(PLE!$G$15,$M82-$A$15,CW$13)="",10^12,OFFSET(PLE!$G$15,$M82-$A$15,CW$13)))</f>
        <v>1000000000000</v>
      </c>
      <c r="CX82" s="172" cm="1">
        <f t="array" aca="1" ref="CX82" ca="1">IF(OR($D82&lt;&gt;"Serviço",AND(AUTOEVENTO="Manual",$M82=$A$15),$M82&gt;(ROW(PLE.lastrow)-ROW(PLE.firstrow))),0,
           IF(OFFSET(PLE!$G$15,$M82-$A$15,CX$13)="",10^12,OFFSET(PLE!$G$15,$M82-$A$15,CX$13)))</f>
        <v>1000000000000</v>
      </c>
      <c r="CY82" s="172" cm="1">
        <f t="array" aca="1" ref="CY82" ca="1">IF(OR($D82&lt;&gt;"Serviço",AND(AUTOEVENTO="Manual",$M82=$A$15),$M82&gt;(ROW(PLE.lastrow)-ROW(PLE.firstrow))),0,
           IF(OFFSET(PLE!$G$15,$M82-$A$15,CY$13)="",10^12,OFFSET(PLE!$G$15,$M82-$A$15,CY$13)))</f>
        <v>1000000000000</v>
      </c>
      <c r="CZ82" s="172" cm="1">
        <f t="array" aca="1" ref="CZ82" ca="1">IF(OR($D82&lt;&gt;"Serviço",AND(AUTOEVENTO="Manual",$M82=$A$15),$M82&gt;(ROW(PLE.lastrow)-ROW(PLE.firstrow))),0,
           IF(OFFSET(PLE!$G$15,$M82-$A$15,CZ$13)="",10^12,OFFSET(PLE!$G$15,$M82-$A$15,CZ$13)))</f>
        <v>1000000000000</v>
      </c>
      <c r="DA82" s="172" cm="1">
        <f t="array" aca="1" ref="DA82" ca="1">IF(OR($D82&lt;&gt;"Serviço",AND(AUTOEVENTO="Manual",$M82=$A$15),$M82&gt;(ROW(PLE.lastrow)-ROW(PLE.firstrow))),0,
           IF(OFFSET(PLE!$G$15,$M82-$A$15,DA$13)="",10^12,OFFSET(PLE!$G$15,$M82-$A$15,DA$13)))</f>
        <v>1000000000000</v>
      </c>
      <c r="DB82" s="172" cm="1">
        <f t="array" aca="1" ref="DB82" ca="1">IF(OR($D82&lt;&gt;"Serviço",AND(AUTOEVENTO="Manual",$M82=$A$15),$M82&gt;(ROW(PLE.lastrow)-ROW(PLE.firstrow))),0,
           IF(OFFSET(PLE!$G$15,$M82-$A$15,DB$13)="",10^12,OFFSET(PLE!$G$15,$M82-$A$15,DB$13)))</f>
        <v>1000000000000</v>
      </c>
      <c r="DC82" s="172" cm="1">
        <f t="array" aca="1" ref="DC82" ca="1">IF(OR($D82&lt;&gt;"Serviço",AND(AUTOEVENTO="Manual",$M82=$A$15),$M82&gt;(ROW(PLE.lastrow)-ROW(PLE.firstrow))),0,
           IF(OFFSET(PLE!$G$15,$M82-$A$15,DC$13)="",10^12,OFFSET(PLE!$G$15,$M82-$A$15,DC$13)))</f>
        <v>1000000000000</v>
      </c>
      <c r="DD82" s="172" cm="1">
        <f t="array" aca="1" ref="DD82" ca="1">IF(OR($D82&lt;&gt;"Serviço",AND(AUTOEVENTO="Manual",$M82=$A$15),$M82&gt;(ROW(PLE.lastrow)-ROW(PLE.firstrow))),0,
           IF(OFFSET(PLE!$G$15,$M82-$A$15,DD$13)="",10^12,OFFSET(PLE!$G$15,$M82-$A$15,DD$13)))</f>
        <v>1000000000000</v>
      </c>
      <c r="DE82" s="172" cm="1">
        <f t="array" aca="1" ref="DE82" ca="1">IF(OR($D82&lt;&gt;"Serviço",AND(AUTOEVENTO="Manual",$M82=$A$15),$M82&gt;(ROW(PLE.lastrow)-ROW(PLE.firstrow))),0,
           IF(OFFSET(PLE!$G$15,$M82-$A$15,DE$13)="",10^12,OFFSET(PLE!$G$15,$M82-$A$15,DE$13)))</f>
        <v>1000000000000</v>
      </c>
      <c r="DF82" s="172" cm="1">
        <f t="array" aca="1" ref="DF82" ca="1">IF(OR($D82&lt;&gt;"Serviço",AND(AUTOEVENTO="Manual",$M82=$A$15),$M82&gt;(ROW(PLE.lastrow)-ROW(PLE.firstrow))),0,
           IF(OFFSET(PLE!$G$15,$M82-$A$15,DF$13)="",10^12,OFFSET(PLE!$G$15,$M82-$A$15,DF$13)))</f>
        <v>1000000000000</v>
      </c>
      <c r="DG82" s="172" cm="1">
        <f t="array" aca="1" ref="DG82" ca="1">IF(OR($D82&lt;&gt;"Serviço",AND(AUTOEVENTO="Manual",$M82=$A$15),$M82&gt;(ROW(PLE.lastrow)-ROW(PLE.firstrow))),0,
           IF(OFFSET(PLE!$G$15,$M82-$A$15,DG$13)="",10^12,OFFSET(PLE!$G$15,$M82-$A$15,DG$13)))</f>
        <v>1000000000000</v>
      </c>
      <c r="DH82" s="172" cm="1">
        <f t="array" aca="1" ref="DH82" ca="1">IF(OR($D82&lt;&gt;"Serviço",AND(AUTOEVENTO="Manual",$M82=$A$15),$M82&gt;(ROW(PLE.lastrow)-ROW(PLE.firstrow))),0,
           IF(OFFSET(PLE!$G$15,$M82-$A$15,DH$13)="",10^12,OFFSET(PLE!$G$15,$M82-$A$15,DH$13)))</f>
        <v>1000000000000</v>
      </c>
      <c r="DI82" s="172" cm="1">
        <f t="array" aca="1" ref="DI82" ca="1">IF(OR($D82&lt;&gt;"Serviço",AND(AUTOEVENTO="Manual",$M82=$A$15),$M82&gt;(ROW(PLE.lastrow)-ROW(PLE.firstrow))),0,
           IF(OFFSET(PLE!$G$15,$M82-$A$15,DI$13)="",10^12,OFFSET(PLE!$G$15,$M82-$A$15,DI$13)))</f>
        <v>1000000000000</v>
      </c>
      <c r="DJ82" s="172" cm="1">
        <f t="array" aca="1" ref="DJ82" ca="1">IF(OR($D82&lt;&gt;"Serviço",AND(AUTOEVENTO="Manual",$M82=$A$15),$M82&gt;(ROW(PLE.lastrow)-ROW(PLE.firstrow))),0,
           IF(OFFSET(PLE!$G$15,$M82-$A$15,DJ$13)="",10^12,OFFSET(PLE!$G$15,$M82-$A$15,DJ$13)))</f>
        <v>1000000000000</v>
      </c>
      <c r="DK82" s="172" cm="1">
        <f t="array" aca="1" ref="DK82" ca="1">IF(OR($D82&lt;&gt;"Serviço",AND(AUTOEVENTO="Manual",$M82=$A$15),$M82&gt;(ROW(PLE.lastrow)-ROW(PLE.firstrow))),0,
           IF(OFFSET(PLE!$G$15,$M82-$A$15,DK$13)="",10^12,OFFSET(PLE!$G$15,$M82-$A$15,DK$13)))</f>
        <v>1000000000000</v>
      </c>
      <c r="DL82" s="172" cm="1">
        <f t="array" aca="1" ref="DL82" ca="1">IF(OR($D82&lt;&gt;"Serviço",AND(AUTOEVENTO="Manual",$M82=$A$15),$M82&gt;(ROW(PLE.lastrow)-ROW(PLE.firstrow))),0,
           IF(OFFSET(PLE!$G$15,$M82-$A$15,DL$13)="",10^12,OFFSET(PLE!$G$15,$M82-$A$15,DL$13)))</f>
        <v>1000000000000</v>
      </c>
      <c r="DM82" s="172" cm="1">
        <f t="array" aca="1" ref="DM82" ca="1">IF(OR($D82&lt;&gt;"Serviço",AND(AUTOEVENTO="Manual",$M82=$A$15),$M82&gt;(ROW(PLE.lastrow)-ROW(PLE.firstrow))),0,
           IF(OFFSET(PLE!$G$15,$M82-$A$15,DM$13)="",10^12,OFFSET(PLE!$G$15,$M82-$A$15,DM$13)))</f>
        <v>1000000000000</v>
      </c>
      <c r="DN82" s="172" cm="1">
        <f t="array" aca="1" ref="DN82" ca="1">IF(OR($D82&lt;&gt;"Serviço",AND(AUTOEVENTO="Manual",$M82=$A$15),$M82&gt;(ROW(PLE.lastrow)-ROW(PLE.firstrow))),0,
           IF(OFFSET(PLE!$G$15,$M82-$A$15,DN$13)="",10^12,OFFSET(PLE!$G$15,$M82-$A$15,DN$13)))</f>
        <v>1000000000000</v>
      </c>
      <c r="DO82" s="172" cm="1">
        <f t="array" aca="1" ref="DO82" ca="1">IF(OR($D82&lt;&gt;"Serviço",AND(AUTOEVENTO="Manual",$M82=$A$15),$M82&gt;(ROW(PLE.lastrow)-ROW(PLE.firstrow))),0,
           IF(OFFSET(PLE!$G$15,$M82-$A$15,DO$13)="",10^12,OFFSET(PLE!$G$15,$M82-$A$15,DO$13)))</f>
        <v>1000000000000</v>
      </c>
      <c r="DP82" s="172" cm="1">
        <f t="array" aca="1" ref="DP82" ca="1">IF(OR($D82&lt;&gt;"Serviço",AND(AUTOEVENTO="Manual",$M82=$A$15),$M82&gt;(ROW(PLE.lastrow)-ROW(PLE.firstrow))),0,
           IF(OFFSET(PLE!$G$15,$M82-$A$15,DP$13)="",10^12,OFFSET(PLE!$G$15,$M82-$A$15,DP$13)))</f>
        <v>1000000000000</v>
      </c>
      <c r="DQ82" s="172" cm="1">
        <f t="array" aca="1" ref="DQ82" ca="1">IF(OR($D82&lt;&gt;"Serviço",AND(AUTOEVENTO="Manual",$M82=$A$15),$M82&gt;(ROW(PLE.lastrow)-ROW(PLE.firstrow))),0,
           IF(OFFSET(PLE!$G$15,$M82-$A$15,DQ$13)="",10^12,OFFSET(PLE!$G$15,$M82-$A$15,DQ$13)))</f>
        <v>1000000000000</v>
      </c>
      <c r="DR82" s="172" cm="1">
        <f t="array" aca="1" ref="DR82" ca="1">IF(OR($D82&lt;&gt;"Serviço",AND(AUTOEVENTO="Manual",$M82=$A$15),$M82&gt;(ROW(PLE.lastrow)-ROW(PLE.firstrow))),0,
           IF(OFFSET(PLE!$G$15,$M82-$A$15,DR$13)="",10^12,OFFSET(PLE!$G$15,$M82-$A$15,DR$13)))</f>
        <v>1000000000000</v>
      </c>
      <c r="DS82" s="172" cm="1">
        <f t="array" aca="1" ref="DS82" ca="1">IF(OR($D82&lt;&gt;"Serviço",AND(AUTOEVENTO="Manual",$M82=$A$15),$M82&gt;(ROW(PLE.lastrow)-ROW(PLE.firstrow))),0,
           IF(OFFSET(PLE!$G$15,$M82-$A$15,DS$13)="",10^12,OFFSET(PLE!$G$15,$M82-$A$15,DS$13)))</f>
        <v>1000000000000</v>
      </c>
    </row>
    <row r="83" spans="1:123" ht="12.75" x14ac:dyDescent="0.2">
      <c r="A83" s="7">
        <f t="shared" ca="1" si="11"/>
        <v>0</v>
      </c>
      <c r="B83" s="7">
        <f ca="1">OFFSET(ORÇAMENTO!C$15,$L83,0)</f>
        <v>1</v>
      </c>
      <c r="C83" s="7" t="str">
        <f ca="1">OFFSET(ORÇAMENTO!L$15,$L83,0)</f>
        <v>F</v>
      </c>
      <c r="D83" s="116" t="str">
        <f ca="1">OFFSET(ORÇAMENTO!N$15,$L83,0)</f>
        <v>Meta</v>
      </c>
      <c r="E83" s="117" t="str">
        <f ca="1">OFFSET(ORÇAMENTO!O$15,$L83,0)</f>
        <v>7.</v>
      </c>
      <c r="F83" s="163" t="str">
        <f ca="1">OFFSET(ORÇAMENTO!R$15,$L83,0)</f>
        <v>REVESTIMENTOS</v>
      </c>
      <c r="G83" s="164" t="str">
        <f ca="1">IF($D83&lt;&gt;"Serviço","",OFFSET(ORÇAMENTO!S$15,$L83,0))</f>
        <v/>
      </c>
      <c r="H83" s="122" cm="1">
        <f t="array" aca="1" ref="H83" ca="1">IF($D83&lt;&gt;"Serviço",0,IF(ACOMPANHAMENTO="BM",ROUND(OFFSET(ORÇAMENTO!AJ$15,$L83,0),15-13*ORÇAMENTO!$AF$7),IF(IFERROR(CÁLCULO.FrentesPreenchidas,0)=0,0,SUM(ROUND(OFFSET($P83,0,1,1,CÁLCULO.FrentesPreenchidas),15-13*ORÇAMENTO!$AF$7)))))</f>
        <v>0</v>
      </c>
      <c r="I83" s="468"/>
      <c r="J83" s="651" t="str" cm="1">
        <f t="array" aca="1" ref="J83" ca="1">IF(OR(B83&lt;&gt;"S",CÁLCULO.FrentesPreenchidas=0),"",IF(AND(ACOMPANHAMENTO="PLE",AUTOEVENTO="Manual",OR(H83&gt;0,ORÇAMENTO!AC83="QUANT."),OR(K83="",M83=0,N83="")),"►E",IF(AND(ACOMPANHAMENTO="PLE",ORÇAMENTO!AC83="QUANT."),"►Q",IF(AND(ACOMPANHAMENTO="PLE",H83&lt;&gt;SUMPRODUCT(($Q$1:$AQ$1=1)*ROUND(Q83:AQ83,15))),"►S",IF(AND(COUNTIF($P$11:$AQ$11,"▼")=0,H83&gt;0,I83=""),"◄M","")))))</f>
        <v/>
      </c>
      <c r="K83" s="652"/>
      <c r="L83" s="165">
        <f t="shared" ca="1" si="12"/>
        <v>68</v>
      </c>
      <c r="M83" s="166" t="str">
        <f ca="1">IF($D83&lt;&gt;"Serviço","",
          IF(AUTOEVENTO="manual",$A83,
                IF(ISERROR(MATCH($A83,$A$15:OFFSET($A83,-1,0),0)),MAX($M$15:OFFSET(M83,-1,0))+1,
                      INDEX($M$15:OFFSET(M83,-1,0),MATCH($A83,$A$15:OFFSET($A83,-1,0),0)))))</f>
        <v/>
      </c>
      <c r="N83" s="167" t="str">
        <f ca="1">IF($D83&lt;&gt;"Serviço","",
         IF(AUTOEVENTO="Manual",
                IF($A83=0,"&lt;-- defina o número do agrupador",
                       OFFSET(EVENTOS!$D$15,$A83-$A$15,0)),
                OFFSET($F$15,$A83,0)))</f>
        <v/>
      </c>
      <c r="O83" s="168"/>
      <c r="Q83" s="168"/>
      <c r="R83" s="169"/>
      <c r="S83" s="169"/>
      <c r="T83" s="169"/>
      <c r="U83" s="169"/>
      <c r="V83" s="169"/>
      <c r="W83" s="169"/>
      <c r="X83" s="169"/>
      <c r="Y83" s="169"/>
      <c r="Z83" s="170"/>
      <c r="AA83" s="169"/>
      <c r="AB83" s="169"/>
      <c r="AC83" s="169"/>
      <c r="AD83" s="169"/>
      <c r="AE83" s="169"/>
      <c r="AF83" s="169"/>
      <c r="AG83" s="169"/>
      <c r="AH83" s="170"/>
      <c r="AI83" s="169"/>
      <c r="AJ83" s="169"/>
      <c r="AK83" s="169"/>
      <c r="AL83" s="169"/>
      <c r="AM83" s="169"/>
      <c r="AN83" s="169"/>
      <c r="AO83" s="169"/>
      <c r="AP83" s="170"/>
      <c r="AR83" s="453">
        <f ca="1">IF(AND($D83="Serviço",AR$12&lt;&gt;0,$H83&gt;0,OR(AUTOEVENTO&lt;&gt;"manual",$M83&lt;&gt;$A$15)),
        IF(Import.TipoArredondamento&lt;&gt;"TransfereGOV",
              ROUND(OFFSET($P83,0,AR$13),15-13*ORÇAMENTO!$AF$7)/$H83*OFFSET(ORÇAMENTO!$X$15,ROW(AR83)-ROW(AR$15),0),
              ROUND(ROUND(OFFSET($P83,0,AR$13),15-13*ORÇAMENTO!$AF$7)*OFFSET(ORÇAMENTO!$W$15,ROW(AR83)-ROW(AR$15),0),15-13*ORÇAMENTO!$AF$11)),
         0)</f>
        <v>0</v>
      </c>
      <c r="AS83" s="453">
        <f ca="1">IF(AND($D83="Serviço",AS$12&lt;&gt;0,$H83&gt;0,OR(AUTOEVENTO&lt;&gt;"manual",$M83&lt;&gt;$A$15)),
        IF(Import.TipoArredondamento&lt;&gt;"TransfereGOV",
              ROUND(OFFSET($P83,0,AS$13),15-13*ORÇAMENTO!$AF$7)/$H83*OFFSET(ORÇAMENTO!$X$15,ROW(AS83)-ROW(AS$15),0),
              ROUND(ROUND(OFFSET($P83,0,AS$13),15-13*ORÇAMENTO!$AF$7)*OFFSET(ORÇAMENTO!$W$15,ROW(AS83)-ROW(AS$15),0),15-13*ORÇAMENTO!$AF$11)),
         0)</f>
        <v>0</v>
      </c>
      <c r="AT83" s="453">
        <f ca="1">IF(AND($D83="Serviço",AT$12&lt;&gt;0,$H83&gt;0,OR(AUTOEVENTO&lt;&gt;"manual",$M83&lt;&gt;$A$15)),
        IF(Import.TipoArredondamento&lt;&gt;"TransfereGOV",
              ROUND(OFFSET($P83,0,AT$13),15-13*ORÇAMENTO!$AF$7)/$H83*OFFSET(ORÇAMENTO!$X$15,ROW(AT83)-ROW(AT$15),0),
              ROUND(ROUND(OFFSET($P83,0,AT$13),15-13*ORÇAMENTO!$AF$7)*OFFSET(ORÇAMENTO!$W$15,ROW(AT83)-ROW(AT$15),0),15-13*ORÇAMENTO!$AF$11)),
         0)</f>
        <v>0</v>
      </c>
      <c r="AU83" s="453">
        <f ca="1">IF(AND($D83="Serviço",AU$12&lt;&gt;0,$H83&gt;0,OR(AUTOEVENTO&lt;&gt;"manual",$M83&lt;&gt;$A$15)),
        IF(Import.TipoArredondamento&lt;&gt;"TransfereGOV",
              ROUND(OFFSET($P83,0,AU$13),15-13*ORÇAMENTO!$AF$7)/$H83*OFFSET(ORÇAMENTO!$X$15,ROW(AU83)-ROW(AU$15),0),
              ROUND(ROUND(OFFSET($P83,0,AU$13),15-13*ORÇAMENTO!$AF$7)*OFFSET(ORÇAMENTO!$W$15,ROW(AU83)-ROW(AU$15),0),15-13*ORÇAMENTO!$AF$11)),
         0)</f>
        <v>0</v>
      </c>
      <c r="AV83" s="453">
        <f ca="1">IF(AND($D83="Serviço",AV$12&lt;&gt;0,$H83&gt;0,OR(AUTOEVENTO&lt;&gt;"manual",$M83&lt;&gt;$A$15)),
        IF(Import.TipoArredondamento&lt;&gt;"TransfereGOV",
              ROUND(OFFSET($P83,0,AV$13),15-13*ORÇAMENTO!$AF$7)/$H83*OFFSET(ORÇAMENTO!$X$15,ROW(AV83)-ROW(AV$15),0),
              ROUND(ROUND(OFFSET($P83,0,AV$13),15-13*ORÇAMENTO!$AF$7)*OFFSET(ORÇAMENTO!$W$15,ROW(AV83)-ROW(AV$15),0),15-13*ORÇAMENTO!$AF$11)),
         0)</f>
        <v>0</v>
      </c>
      <c r="AW83" s="453">
        <f ca="1">IF(AND($D83="Serviço",AW$12&lt;&gt;0,$H83&gt;0,OR(AUTOEVENTO&lt;&gt;"manual",$M83&lt;&gt;$A$15)),
        IF(Import.TipoArredondamento&lt;&gt;"TransfereGOV",
              ROUND(OFFSET($P83,0,AW$13),15-13*ORÇAMENTO!$AF$7)/$H83*OFFSET(ORÇAMENTO!$X$15,ROW(AW83)-ROW(AW$15),0),
              ROUND(ROUND(OFFSET($P83,0,AW$13),15-13*ORÇAMENTO!$AF$7)*OFFSET(ORÇAMENTO!$W$15,ROW(AW83)-ROW(AW$15),0),15-13*ORÇAMENTO!$AF$11)),
         0)</f>
        <v>0</v>
      </c>
      <c r="AX83" s="453">
        <f ca="1">IF(AND($D83="Serviço",AX$12&lt;&gt;0,$H83&gt;0,OR(AUTOEVENTO&lt;&gt;"manual",$M83&lt;&gt;$A$15)),
        IF(Import.TipoArredondamento&lt;&gt;"TransfereGOV",
              ROUND(OFFSET($P83,0,AX$13),15-13*ORÇAMENTO!$AF$7)/$H83*OFFSET(ORÇAMENTO!$X$15,ROW(AX83)-ROW(AX$15),0),
              ROUND(ROUND(OFFSET($P83,0,AX$13),15-13*ORÇAMENTO!$AF$7)*OFFSET(ORÇAMENTO!$W$15,ROW(AX83)-ROW(AX$15),0),15-13*ORÇAMENTO!$AF$11)),
         0)</f>
        <v>0</v>
      </c>
      <c r="AY83" s="453">
        <f ca="1">IF(AND($D83="Serviço",AY$12&lt;&gt;0,$H83&gt;0,OR(AUTOEVENTO&lt;&gt;"manual",$M83&lt;&gt;$A$15)),
        IF(Import.TipoArredondamento&lt;&gt;"TransfereGOV",
              ROUND(OFFSET($P83,0,AY$13),15-13*ORÇAMENTO!$AF$7)/$H83*OFFSET(ORÇAMENTO!$X$15,ROW(AY83)-ROW(AY$15),0),
              ROUND(ROUND(OFFSET($P83,0,AY$13),15-13*ORÇAMENTO!$AF$7)*OFFSET(ORÇAMENTO!$W$15,ROW(AY83)-ROW(AY$15),0),15-13*ORÇAMENTO!$AF$11)),
         0)</f>
        <v>0</v>
      </c>
      <c r="AZ83" s="453">
        <f ca="1">IF(AND($D83="Serviço",AZ$12&lt;&gt;0,$H83&gt;0,OR(AUTOEVENTO&lt;&gt;"manual",$M83&lt;&gt;$A$15)),
        IF(Import.TipoArredondamento&lt;&gt;"TransfereGOV",
              ROUND(OFFSET($P83,0,AZ$13),15-13*ORÇAMENTO!$AF$7)/$H83*OFFSET(ORÇAMENTO!$X$15,ROW(AZ83)-ROW(AZ$15),0),
              ROUND(ROUND(OFFSET($P83,0,AZ$13),15-13*ORÇAMENTO!$AF$7)*OFFSET(ORÇAMENTO!$W$15,ROW(AZ83)-ROW(AZ$15),0),15-13*ORÇAMENTO!$AF$11)),
         0)</f>
        <v>0</v>
      </c>
      <c r="BA83" s="453">
        <f ca="1">IF(AND($D83="Serviço",BA$12&lt;&gt;0,$H83&gt;0,OR(AUTOEVENTO&lt;&gt;"manual",$M83&lt;&gt;$A$15)),
        IF(Import.TipoArredondamento&lt;&gt;"TransfereGOV",
              ROUND(OFFSET($P83,0,BA$13),15-13*ORÇAMENTO!$AF$7)/$H83*OFFSET(ORÇAMENTO!$X$15,ROW(BA83)-ROW(BA$15),0),
              ROUND(ROUND(OFFSET($P83,0,BA$13),15-13*ORÇAMENTO!$AF$7)*OFFSET(ORÇAMENTO!$W$15,ROW(BA83)-ROW(BA$15),0),15-13*ORÇAMENTO!$AF$11)),
         0)</f>
        <v>0</v>
      </c>
      <c r="BB83" s="453">
        <f ca="1">IF(AND($D83="Serviço",BB$12&lt;&gt;0,$H83&gt;0,OR(AUTOEVENTO&lt;&gt;"manual",$M83&lt;&gt;$A$15)),
        IF(Import.TipoArredondamento&lt;&gt;"TransfereGOV",
              ROUND(OFFSET($P83,0,BB$13),15-13*ORÇAMENTO!$AF$7)/$H83*OFFSET(ORÇAMENTO!$X$15,ROW(BB83)-ROW(BB$15),0),
              ROUND(ROUND(OFFSET($P83,0,BB$13),15-13*ORÇAMENTO!$AF$7)*OFFSET(ORÇAMENTO!$W$15,ROW(BB83)-ROW(BB$15),0),15-13*ORÇAMENTO!$AF$11)),
         0)</f>
        <v>0</v>
      </c>
      <c r="BC83" s="453">
        <f ca="1">IF(AND($D83="Serviço",BC$12&lt;&gt;0,$H83&gt;0,OR(AUTOEVENTO&lt;&gt;"manual",$M83&lt;&gt;$A$15)),
        IF(Import.TipoArredondamento&lt;&gt;"TransfereGOV",
              ROUND(OFFSET($P83,0,BC$13),15-13*ORÇAMENTO!$AF$7)/$H83*OFFSET(ORÇAMENTO!$X$15,ROW(BC83)-ROW(BC$15),0),
              ROUND(ROUND(OFFSET($P83,0,BC$13),15-13*ORÇAMENTO!$AF$7)*OFFSET(ORÇAMENTO!$W$15,ROW(BC83)-ROW(BC$15),0),15-13*ORÇAMENTO!$AF$11)),
         0)</f>
        <v>0</v>
      </c>
      <c r="BD83" s="453">
        <f ca="1">IF(AND($D83="Serviço",BD$12&lt;&gt;0,$H83&gt;0,OR(AUTOEVENTO&lt;&gt;"manual",$M83&lt;&gt;$A$15)),
        IF(Import.TipoArredondamento&lt;&gt;"TransfereGOV",
              ROUND(OFFSET($P83,0,BD$13),15-13*ORÇAMENTO!$AF$7)/$H83*OFFSET(ORÇAMENTO!$X$15,ROW(BD83)-ROW(BD$15),0),
              ROUND(ROUND(OFFSET($P83,0,BD$13),15-13*ORÇAMENTO!$AF$7)*OFFSET(ORÇAMENTO!$W$15,ROW(BD83)-ROW(BD$15),0),15-13*ORÇAMENTO!$AF$11)),
         0)</f>
        <v>0</v>
      </c>
      <c r="BE83" s="453">
        <f ca="1">IF(AND($D83="Serviço",BE$12&lt;&gt;0,$H83&gt;0,OR(AUTOEVENTO&lt;&gt;"manual",$M83&lt;&gt;$A$15)),
        IF(Import.TipoArredondamento&lt;&gt;"TransfereGOV",
              ROUND(OFFSET($P83,0,BE$13),15-13*ORÇAMENTO!$AF$7)/$H83*OFFSET(ORÇAMENTO!$X$15,ROW(BE83)-ROW(BE$15),0),
              ROUND(ROUND(OFFSET($P83,0,BE$13),15-13*ORÇAMENTO!$AF$7)*OFFSET(ORÇAMENTO!$W$15,ROW(BE83)-ROW(BE$15),0),15-13*ORÇAMENTO!$AF$11)),
         0)</f>
        <v>0</v>
      </c>
      <c r="BF83" s="453">
        <f ca="1">IF(AND($D83="Serviço",BF$12&lt;&gt;0,$H83&gt;0,OR(AUTOEVENTO&lt;&gt;"manual",$M83&lt;&gt;$A$15)),
        IF(Import.TipoArredondamento&lt;&gt;"TransfereGOV",
              ROUND(OFFSET($P83,0,BF$13),15-13*ORÇAMENTO!$AF$7)/$H83*OFFSET(ORÇAMENTO!$X$15,ROW(BF83)-ROW(BF$15),0),
              ROUND(ROUND(OFFSET($P83,0,BF$13),15-13*ORÇAMENTO!$AF$7)*OFFSET(ORÇAMENTO!$W$15,ROW(BF83)-ROW(BF$15),0),15-13*ORÇAMENTO!$AF$11)),
         0)</f>
        <v>0</v>
      </c>
      <c r="BG83" s="453">
        <f ca="1">IF(AND($D83="Serviço",BG$12&lt;&gt;0,$H83&gt;0,OR(AUTOEVENTO&lt;&gt;"manual",$M83&lt;&gt;$A$15)),
        IF(Import.TipoArredondamento&lt;&gt;"TransfereGOV",
              ROUND(OFFSET($P83,0,BG$13),15-13*ORÇAMENTO!$AF$7)/$H83*OFFSET(ORÇAMENTO!$X$15,ROW(BG83)-ROW(BG$15),0),
              ROUND(ROUND(OFFSET($P83,0,BG$13),15-13*ORÇAMENTO!$AF$7)*OFFSET(ORÇAMENTO!$W$15,ROW(BG83)-ROW(BG$15),0),15-13*ORÇAMENTO!$AF$11)),
         0)</f>
        <v>0</v>
      </c>
      <c r="BH83" s="453">
        <f ca="1">IF(AND($D83="Serviço",BH$12&lt;&gt;0,$H83&gt;0,OR(AUTOEVENTO&lt;&gt;"manual",$M83&lt;&gt;$A$15)),
        IF(Import.TipoArredondamento&lt;&gt;"TransfereGOV",
              ROUND(OFFSET($P83,0,BH$13),15-13*ORÇAMENTO!$AF$7)/$H83*OFFSET(ORÇAMENTO!$X$15,ROW(BH83)-ROW(BH$15),0),
              ROUND(ROUND(OFFSET($P83,0,BH$13),15-13*ORÇAMENTO!$AF$7)*OFFSET(ORÇAMENTO!$W$15,ROW(BH83)-ROW(BH$15),0),15-13*ORÇAMENTO!$AF$11)),
         0)</f>
        <v>0</v>
      </c>
      <c r="BI83" s="453">
        <f ca="1">IF(AND($D83="Serviço",BI$12&lt;&gt;0,$H83&gt;0,OR(AUTOEVENTO&lt;&gt;"manual",$M83&lt;&gt;$A$15)),
        IF(Import.TipoArredondamento&lt;&gt;"TransfereGOV",
              ROUND(OFFSET($P83,0,BI$13),15-13*ORÇAMENTO!$AF$7)/$H83*OFFSET(ORÇAMENTO!$X$15,ROW(BI83)-ROW(BI$15),0),
              ROUND(ROUND(OFFSET($P83,0,BI$13),15-13*ORÇAMENTO!$AF$7)*OFFSET(ORÇAMENTO!$W$15,ROW(BI83)-ROW(BI$15),0),15-13*ORÇAMENTO!$AF$11)),
         0)</f>
        <v>0</v>
      </c>
      <c r="BJ83" s="453">
        <f ca="1">IF(AND($D83="Serviço",BJ$12&lt;&gt;0,$H83&gt;0,OR(AUTOEVENTO&lt;&gt;"manual",$M83&lt;&gt;$A$15)),
        IF(Import.TipoArredondamento&lt;&gt;"TransfereGOV",
              ROUND(OFFSET($P83,0,BJ$13),15-13*ORÇAMENTO!$AF$7)/$H83*OFFSET(ORÇAMENTO!$X$15,ROW(BJ83)-ROW(BJ$15),0),
              ROUND(ROUND(OFFSET($P83,0,BJ$13),15-13*ORÇAMENTO!$AF$7)*OFFSET(ORÇAMENTO!$W$15,ROW(BJ83)-ROW(BJ$15),0),15-13*ORÇAMENTO!$AF$11)),
         0)</f>
        <v>0</v>
      </c>
      <c r="BK83" s="453">
        <f ca="1">IF(AND($D83="Serviço",BK$12&lt;&gt;0,$H83&gt;0,OR(AUTOEVENTO&lt;&gt;"manual",$M83&lt;&gt;$A$15)),
        IF(Import.TipoArredondamento&lt;&gt;"TransfereGOV",
              ROUND(OFFSET($P83,0,BK$13),15-13*ORÇAMENTO!$AF$7)/$H83*OFFSET(ORÇAMENTO!$X$15,ROW(BK83)-ROW(BK$15),0),
              ROUND(ROUND(OFFSET($P83,0,BK$13),15-13*ORÇAMENTO!$AF$7)*OFFSET(ORÇAMENTO!$W$15,ROW(BK83)-ROW(BK$15),0),15-13*ORÇAMENTO!$AF$11)),
         0)</f>
        <v>0</v>
      </c>
      <c r="BL83" s="453">
        <f ca="1">IF(AND($D83="Serviço",BL$12&lt;&gt;0,$H83&gt;0,OR(AUTOEVENTO&lt;&gt;"manual",$M83&lt;&gt;$A$15)),
        IF(Import.TipoArredondamento&lt;&gt;"TransfereGOV",
              ROUND(OFFSET($P83,0,BL$13),15-13*ORÇAMENTO!$AF$7)/$H83*OFFSET(ORÇAMENTO!$X$15,ROW(BL83)-ROW(BL$15),0),
              ROUND(ROUND(OFFSET($P83,0,BL$13),15-13*ORÇAMENTO!$AF$7)*OFFSET(ORÇAMENTO!$W$15,ROW(BL83)-ROW(BL$15),0),15-13*ORÇAMENTO!$AF$11)),
         0)</f>
        <v>0</v>
      </c>
      <c r="BM83" s="453">
        <f ca="1">IF(AND($D83="Serviço",BM$12&lt;&gt;0,$H83&gt;0,OR(AUTOEVENTO&lt;&gt;"manual",$M83&lt;&gt;$A$15)),
        IF(Import.TipoArredondamento&lt;&gt;"TransfereGOV",
              ROUND(OFFSET($P83,0,BM$13),15-13*ORÇAMENTO!$AF$7)/$H83*OFFSET(ORÇAMENTO!$X$15,ROW(BM83)-ROW(BM$15),0),
              ROUND(ROUND(OFFSET($P83,0,BM$13),15-13*ORÇAMENTO!$AF$7)*OFFSET(ORÇAMENTO!$W$15,ROW(BM83)-ROW(BM$15),0),15-13*ORÇAMENTO!$AF$11)),
         0)</f>
        <v>0</v>
      </c>
      <c r="BN83" s="453">
        <f ca="1">IF(AND($D83="Serviço",BN$12&lt;&gt;0,$H83&gt;0,OR(AUTOEVENTO&lt;&gt;"manual",$M83&lt;&gt;$A$15)),
        IF(Import.TipoArredondamento&lt;&gt;"TransfereGOV",
              ROUND(OFFSET($P83,0,BN$13),15-13*ORÇAMENTO!$AF$7)/$H83*OFFSET(ORÇAMENTO!$X$15,ROW(BN83)-ROW(BN$15),0),
              ROUND(ROUND(OFFSET($P83,0,BN$13),15-13*ORÇAMENTO!$AF$7)*OFFSET(ORÇAMENTO!$W$15,ROW(BN83)-ROW(BN$15),0),15-13*ORÇAMENTO!$AF$11)),
         0)</f>
        <v>0</v>
      </c>
      <c r="BO83" s="453">
        <f ca="1">IF(AND($D83="Serviço",BO$12&lt;&gt;0,$H83&gt;0,OR(AUTOEVENTO&lt;&gt;"manual",$M83&lt;&gt;$A$15)),
        IF(Import.TipoArredondamento&lt;&gt;"TransfereGOV",
              ROUND(OFFSET($P83,0,BO$13),15-13*ORÇAMENTO!$AF$7)/$H83*OFFSET(ORÇAMENTO!$X$15,ROW(BO83)-ROW(BO$15),0),
              ROUND(ROUND(OFFSET($P83,0,BO$13),15-13*ORÇAMENTO!$AF$7)*OFFSET(ORÇAMENTO!$W$15,ROW(BO83)-ROW(BO$15),0),15-13*ORÇAMENTO!$AF$11)),
         0)</f>
        <v>0</v>
      </c>
      <c r="BP83" s="453">
        <f ca="1">IF(AND($D83="Serviço",BP$12&lt;&gt;0,$H83&gt;0,OR(AUTOEVENTO&lt;&gt;"manual",$M83&lt;&gt;$A$15)),
        IF(Import.TipoArredondamento&lt;&gt;"TransfereGOV",
              ROUND(OFFSET($P83,0,BP$13),15-13*ORÇAMENTO!$AF$7)/$H83*OFFSET(ORÇAMENTO!$X$15,ROW(BP83)-ROW(BP$15),0),
              ROUND(ROUND(OFFSET($P83,0,BP$13),15-13*ORÇAMENTO!$AF$7)*OFFSET(ORÇAMENTO!$W$15,ROW(BP83)-ROW(BP$15),0),15-13*ORÇAMENTO!$AF$11)),
         0)</f>
        <v>0</v>
      </c>
      <c r="BQ83" s="453">
        <f ca="1">IF(AND($D83="Serviço",BQ$12&lt;&gt;0,$H83&gt;0,OR(AUTOEVENTO&lt;&gt;"manual",$M83&lt;&gt;$A$15)),
        IF(Import.TipoArredondamento&lt;&gt;"TransfereGOV",
              ROUND(OFFSET($P83,0,BQ$13),15-13*ORÇAMENTO!$AF$7)/$H83*OFFSET(ORÇAMENTO!$X$15,ROW(BQ83)-ROW(BQ$15),0),
              ROUND(ROUND(OFFSET($P83,0,BQ$13),15-13*ORÇAMENTO!$AF$7)*OFFSET(ORÇAMENTO!$W$15,ROW(BQ83)-ROW(BQ$15),0),15-13*ORÇAMENTO!$AF$11)),
         0)</f>
        <v>0</v>
      </c>
      <c r="BS83" s="171">
        <f ca="1">IF(OR($D83&lt;&gt;"Serviço",AND(AUTOEVENTO="Manual",$M83=$A$15)),0,
         IF(OFFSET(CRONOPLE!$F$15,$M83-$A$15,BS$13)=0,10^12,OFFSET(CRONOPLE!$F$15,$M83-$A$15,BS$13)))</f>
        <v>0</v>
      </c>
      <c r="BT83" s="171">
        <f ca="1">IF(OR($D83&lt;&gt;"Serviço",AND(AUTOEVENTO="Manual",$M83=$A$15)),0,
         IF(OFFSET(CRONOPLE!$F$15,$M83-$A$15,BT$13)=0,10^12,OFFSET(CRONOPLE!$F$15,$M83-$A$15,BT$13)))</f>
        <v>0</v>
      </c>
      <c r="BU83" s="171">
        <f ca="1">IF(OR($D83&lt;&gt;"Serviço",AND(AUTOEVENTO="Manual",$M83=$A$15)),0,
         IF(OFFSET(CRONOPLE!$F$15,$M83-$A$15,BU$13)=0,10^12,OFFSET(CRONOPLE!$F$15,$M83-$A$15,BU$13)))</f>
        <v>0</v>
      </c>
      <c r="BV83" s="171">
        <f ca="1">IF(OR($D83&lt;&gt;"Serviço",AND(AUTOEVENTO="Manual",$M83=$A$15)),0,
         IF(OFFSET(CRONOPLE!$F$15,$M83-$A$15,BV$13)=0,10^12,OFFSET(CRONOPLE!$F$15,$M83-$A$15,BV$13)))</f>
        <v>0</v>
      </c>
      <c r="BW83" s="171">
        <f ca="1">IF(OR($D83&lt;&gt;"Serviço",AND(AUTOEVENTO="Manual",$M83=$A$15)),0,
         IF(OFFSET(CRONOPLE!$F$15,$M83-$A$15,BW$13)=0,10^12,OFFSET(CRONOPLE!$F$15,$M83-$A$15,BW$13)))</f>
        <v>0</v>
      </c>
      <c r="BX83" s="171">
        <f ca="1">IF(OR($D83&lt;&gt;"Serviço",AND(AUTOEVENTO="Manual",$M83=$A$15)),0,
         IF(OFFSET(CRONOPLE!$F$15,$M83-$A$15,BX$13)=0,10^12,OFFSET(CRONOPLE!$F$15,$M83-$A$15,BX$13)))</f>
        <v>0</v>
      </c>
      <c r="BY83" s="171">
        <f ca="1">IF(OR($D83&lt;&gt;"Serviço",AND(AUTOEVENTO="Manual",$M83=$A$15)),0,
         IF(OFFSET(CRONOPLE!$F$15,$M83-$A$15,BY$13)=0,10^12,OFFSET(CRONOPLE!$F$15,$M83-$A$15,BY$13)))</f>
        <v>0</v>
      </c>
      <c r="BZ83" s="171">
        <f ca="1">IF(OR($D83&lt;&gt;"Serviço",AND(AUTOEVENTO="Manual",$M83=$A$15)),0,
         IF(OFFSET(CRONOPLE!$F$15,$M83-$A$15,BZ$13)=0,10^12,OFFSET(CRONOPLE!$F$15,$M83-$A$15,BZ$13)))</f>
        <v>0</v>
      </c>
      <c r="CA83" s="171">
        <f ca="1">IF(OR($D83&lt;&gt;"Serviço",AND(AUTOEVENTO="Manual",$M83=$A$15)),0,
         IF(OFFSET(CRONOPLE!$F$15,$M83-$A$15,CA$13)=0,10^12,OFFSET(CRONOPLE!$F$15,$M83-$A$15,CA$13)))</f>
        <v>0</v>
      </c>
      <c r="CB83" s="171">
        <f ca="1">IF(OR($D83&lt;&gt;"Serviço",AND(AUTOEVENTO="Manual",$M83=$A$15)),0,
         IF(OFFSET(CRONOPLE!$F$15,$M83-$A$15,CB$13)=0,10^12,OFFSET(CRONOPLE!$F$15,$M83-$A$15,CB$13)))</f>
        <v>0</v>
      </c>
      <c r="CC83" s="171">
        <f ca="1">IF(OR($D83&lt;&gt;"Serviço",AND(AUTOEVENTO="Manual",$M83=$A$15)),0,
         IF(OFFSET(CRONOPLE!$F$15,$M83-$A$15,CC$13)=0,10^12,OFFSET(CRONOPLE!$F$15,$M83-$A$15,CC$13)))</f>
        <v>0</v>
      </c>
      <c r="CD83" s="171">
        <f ca="1">IF(OR($D83&lt;&gt;"Serviço",AND(AUTOEVENTO="Manual",$M83=$A$15)),0,
         IF(OFFSET(CRONOPLE!$F$15,$M83-$A$15,CD$13)=0,10^12,OFFSET(CRONOPLE!$F$15,$M83-$A$15,CD$13)))</f>
        <v>0</v>
      </c>
      <c r="CE83" s="171">
        <f ca="1">IF(OR($D83&lt;&gt;"Serviço",AND(AUTOEVENTO="Manual",$M83=$A$15)),0,
         IF(OFFSET(CRONOPLE!$F$15,$M83-$A$15,CE$13)=0,10^12,OFFSET(CRONOPLE!$F$15,$M83-$A$15,CE$13)))</f>
        <v>0</v>
      </c>
      <c r="CF83" s="171">
        <f ca="1">IF(OR($D83&lt;&gt;"Serviço",AND(AUTOEVENTO="Manual",$M83=$A$15)),0,
         IF(OFFSET(CRONOPLE!$F$15,$M83-$A$15,CF$13)=0,10^12,OFFSET(CRONOPLE!$F$15,$M83-$A$15,CF$13)))</f>
        <v>0</v>
      </c>
      <c r="CG83" s="171">
        <f ca="1">IF(OR($D83&lt;&gt;"Serviço",AND(AUTOEVENTO="Manual",$M83=$A$15)),0,
         IF(OFFSET(CRONOPLE!$F$15,$M83-$A$15,CG$13)=0,10^12,OFFSET(CRONOPLE!$F$15,$M83-$A$15,CG$13)))</f>
        <v>0</v>
      </c>
      <c r="CH83" s="171">
        <f ca="1">IF(OR($D83&lt;&gt;"Serviço",AND(AUTOEVENTO="Manual",$M83=$A$15)),0,
         IF(OFFSET(CRONOPLE!$F$15,$M83-$A$15,CH$13)=0,10^12,OFFSET(CRONOPLE!$F$15,$M83-$A$15,CH$13)))</f>
        <v>0</v>
      </c>
      <c r="CI83" s="171">
        <f ca="1">IF(OR($D83&lt;&gt;"Serviço",AND(AUTOEVENTO="Manual",$M83=$A$15)),0,
         IF(OFFSET(CRONOPLE!$F$15,$M83-$A$15,CI$13)=0,10^12,OFFSET(CRONOPLE!$F$15,$M83-$A$15,CI$13)))</f>
        <v>0</v>
      </c>
      <c r="CJ83" s="171">
        <f ca="1">IF(OR($D83&lt;&gt;"Serviço",AND(AUTOEVENTO="Manual",$M83=$A$15)),0,
         IF(OFFSET(CRONOPLE!$F$15,$M83-$A$15,CJ$13)=0,10^12,OFFSET(CRONOPLE!$F$15,$M83-$A$15,CJ$13)))</f>
        <v>0</v>
      </c>
      <c r="CK83" s="171">
        <f ca="1">IF(OR($D83&lt;&gt;"Serviço",AND(AUTOEVENTO="Manual",$M83=$A$15)),0,
         IF(OFFSET(CRONOPLE!$F$15,$M83-$A$15,CK$13)=0,10^12,OFFSET(CRONOPLE!$F$15,$M83-$A$15,CK$13)))</f>
        <v>0</v>
      </c>
      <c r="CL83" s="171">
        <f ca="1">IF(OR($D83&lt;&gt;"Serviço",AND(AUTOEVENTO="Manual",$M83=$A$15)),0,
         IF(OFFSET(CRONOPLE!$F$15,$M83-$A$15,CL$13)=0,10^12,OFFSET(CRONOPLE!$F$15,$M83-$A$15,CL$13)))</f>
        <v>0</v>
      </c>
      <c r="CM83" s="171">
        <f ca="1">IF(OR($D83&lt;&gt;"Serviço",AND(AUTOEVENTO="Manual",$M83=$A$15)),0,
         IF(OFFSET(CRONOPLE!$F$15,$M83-$A$15,CM$13)=0,10^12,OFFSET(CRONOPLE!$F$15,$M83-$A$15,CM$13)))</f>
        <v>0</v>
      </c>
      <c r="CN83" s="171">
        <f ca="1">IF(OR($D83&lt;&gt;"Serviço",AND(AUTOEVENTO="Manual",$M83=$A$15)),0,
         IF(OFFSET(CRONOPLE!$F$15,$M83-$A$15,CN$13)=0,10^12,OFFSET(CRONOPLE!$F$15,$M83-$A$15,CN$13)))</f>
        <v>0</v>
      </c>
      <c r="CO83" s="171">
        <f ca="1">IF(OR($D83&lt;&gt;"Serviço",AND(AUTOEVENTO="Manual",$M83=$A$15)),0,
         IF(OFFSET(CRONOPLE!$F$15,$M83-$A$15,CO$13)=0,10^12,OFFSET(CRONOPLE!$F$15,$M83-$A$15,CO$13)))</f>
        <v>0</v>
      </c>
      <c r="CP83" s="171">
        <f ca="1">IF(OR($D83&lt;&gt;"Serviço",AND(AUTOEVENTO="Manual",$M83=$A$15)),0,
         IF(OFFSET(CRONOPLE!$F$15,$M83-$A$15,CP$13)=0,10^12,OFFSET(CRONOPLE!$F$15,$M83-$A$15,CP$13)))</f>
        <v>0</v>
      </c>
      <c r="CQ83" s="171">
        <f ca="1">IF(OR($D83&lt;&gt;"Serviço",AND(AUTOEVENTO="Manual",$M83=$A$15)),0,
         IF(OFFSET(CRONOPLE!$F$15,$M83-$A$15,CQ$13)=0,10^12,OFFSET(CRONOPLE!$F$15,$M83-$A$15,CQ$13)))</f>
        <v>0</v>
      </c>
      <c r="CR83" s="171">
        <f ca="1">IF(OR($D83&lt;&gt;"Serviço",AND(AUTOEVENTO="Manual",$M83=$A$15)),0,
         IF(OFFSET(CRONOPLE!$F$15,$M83-$A$15,CR$13)=0,10^12,OFFSET(CRONOPLE!$F$15,$M83-$A$15,CR$13)))</f>
        <v>0</v>
      </c>
      <c r="CT83" s="172" cm="1">
        <f t="array" aca="1" ref="CT83" ca="1">IF(OR($D83&lt;&gt;"Serviço",AND(AUTOEVENTO="Manual",$M83=$A$15),$M83&gt;(ROW(PLE.lastrow)-ROW(PLE.firstrow))),0,
           IF(OFFSET(PLE!$G$15,$M83-$A$15,CT$13)="",10^12,OFFSET(PLE!$G$15,$M83-$A$15,CT$13)))</f>
        <v>0</v>
      </c>
      <c r="CU83" s="172" cm="1">
        <f t="array" aca="1" ref="CU83" ca="1">IF(OR($D83&lt;&gt;"Serviço",AND(AUTOEVENTO="Manual",$M83=$A$15),$M83&gt;(ROW(PLE.lastrow)-ROW(PLE.firstrow))),0,
           IF(OFFSET(PLE!$G$15,$M83-$A$15,CU$13)="",10^12,OFFSET(PLE!$G$15,$M83-$A$15,CU$13)))</f>
        <v>0</v>
      </c>
      <c r="CV83" s="172" cm="1">
        <f t="array" aca="1" ref="CV83" ca="1">IF(OR($D83&lt;&gt;"Serviço",AND(AUTOEVENTO="Manual",$M83=$A$15),$M83&gt;(ROW(PLE.lastrow)-ROW(PLE.firstrow))),0,
           IF(OFFSET(PLE!$G$15,$M83-$A$15,CV$13)="",10^12,OFFSET(PLE!$G$15,$M83-$A$15,CV$13)))</f>
        <v>0</v>
      </c>
      <c r="CW83" s="172" cm="1">
        <f t="array" aca="1" ref="CW83" ca="1">IF(OR($D83&lt;&gt;"Serviço",AND(AUTOEVENTO="Manual",$M83=$A$15),$M83&gt;(ROW(PLE.lastrow)-ROW(PLE.firstrow))),0,
           IF(OFFSET(PLE!$G$15,$M83-$A$15,CW$13)="",10^12,OFFSET(PLE!$G$15,$M83-$A$15,CW$13)))</f>
        <v>0</v>
      </c>
      <c r="CX83" s="172" cm="1">
        <f t="array" aca="1" ref="CX83" ca="1">IF(OR($D83&lt;&gt;"Serviço",AND(AUTOEVENTO="Manual",$M83=$A$15),$M83&gt;(ROW(PLE.lastrow)-ROW(PLE.firstrow))),0,
           IF(OFFSET(PLE!$G$15,$M83-$A$15,CX$13)="",10^12,OFFSET(PLE!$G$15,$M83-$A$15,CX$13)))</f>
        <v>0</v>
      </c>
      <c r="CY83" s="172" cm="1">
        <f t="array" aca="1" ref="CY83" ca="1">IF(OR($D83&lt;&gt;"Serviço",AND(AUTOEVENTO="Manual",$M83=$A$15),$M83&gt;(ROW(PLE.lastrow)-ROW(PLE.firstrow))),0,
           IF(OFFSET(PLE!$G$15,$M83-$A$15,CY$13)="",10^12,OFFSET(PLE!$G$15,$M83-$A$15,CY$13)))</f>
        <v>0</v>
      </c>
      <c r="CZ83" s="172" cm="1">
        <f t="array" aca="1" ref="CZ83" ca="1">IF(OR($D83&lt;&gt;"Serviço",AND(AUTOEVENTO="Manual",$M83=$A$15),$M83&gt;(ROW(PLE.lastrow)-ROW(PLE.firstrow))),0,
           IF(OFFSET(PLE!$G$15,$M83-$A$15,CZ$13)="",10^12,OFFSET(PLE!$G$15,$M83-$A$15,CZ$13)))</f>
        <v>0</v>
      </c>
      <c r="DA83" s="172" cm="1">
        <f t="array" aca="1" ref="DA83" ca="1">IF(OR($D83&lt;&gt;"Serviço",AND(AUTOEVENTO="Manual",$M83=$A$15),$M83&gt;(ROW(PLE.lastrow)-ROW(PLE.firstrow))),0,
           IF(OFFSET(PLE!$G$15,$M83-$A$15,DA$13)="",10^12,OFFSET(PLE!$G$15,$M83-$A$15,DA$13)))</f>
        <v>0</v>
      </c>
      <c r="DB83" s="172" cm="1">
        <f t="array" aca="1" ref="DB83" ca="1">IF(OR($D83&lt;&gt;"Serviço",AND(AUTOEVENTO="Manual",$M83=$A$15),$M83&gt;(ROW(PLE.lastrow)-ROW(PLE.firstrow))),0,
           IF(OFFSET(PLE!$G$15,$M83-$A$15,DB$13)="",10^12,OFFSET(PLE!$G$15,$M83-$A$15,DB$13)))</f>
        <v>0</v>
      </c>
      <c r="DC83" s="172" cm="1">
        <f t="array" aca="1" ref="DC83" ca="1">IF(OR($D83&lt;&gt;"Serviço",AND(AUTOEVENTO="Manual",$M83=$A$15),$M83&gt;(ROW(PLE.lastrow)-ROW(PLE.firstrow))),0,
           IF(OFFSET(PLE!$G$15,$M83-$A$15,DC$13)="",10^12,OFFSET(PLE!$G$15,$M83-$A$15,DC$13)))</f>
        <v>0</v>
      </c>
      <c r="DD83" s="172" cm="1">
        <f t="array" aca="1" ref="DD83" ca="1">IF(OR($D83&lt;&gt;"Serviço",AND(AUTOEVENTO="Manual",$M83=$A$15),$M83&gt;(ROW(PLE.lastrow)-ROW(PLE.firstrow))),0,
           IF(OFFSET(PLE!$G$15,$M83-$A$15,DD$13)="",10^12,OFFSET(PLE!$G$15,$M83-$A$15,DD$13)))</f>
        <v>0</v>
      </c>
      <c r="DE83" s="172" cm="1">
        <f t="array" aca="1" ref="DE83" ca="1">IF(OR($D83&lt;&gt;"Serviço",AND(AUTOEVENTO="Manual",$M83=$A$15),$M83&gt;(ROW(PLE.lastrow)-ROW(PLE.firstrow))),0,
           IF(OFFSET(PLE!$G$15,$M83-$A$15,DE$13)="",10^12,OFFSET(PLE!$G$15,$M83-$A$15,DE$13)))</f>
        <v>0</v>
      </c>
      <c r="DF83" s="172" cm="1">
        <f t="array" aca="1" ref="DF83" ca="1">IF(OR($D83&lt;&gt;"Serviço",AND(AUTOEVENTO="Manual",$M83=$A$15),$M83&gt;(ROW(PLE.lastrow)-ROW(PLE.firstrow))),0,
           IF(OFFSET(PLE!$G$15,$M83-$A$15,DF$13)="",10^12,OFFSET(PLE!$G$15,$M83-$A$15,DF$13)))</f>
        <v>0</v>
      </c>
      <c r="DG83" s="172" cm="1">
        <f t="array" aca="1" ref="DG83" ca="1">IF(OR($D83&lt;&gt;"Serviço",AND(AUTOEVENTO="Manual",$M83=$A$15),$M83&gt;(ROW(PLE.lastrow)-ROW(PLE.firstrow))),0,
           IF(OFFSET(PLE!$G$15,$M83-$A$15,DG$13)="",10^12,OFFSET(PLE!$G$15,$M83-$A$15,DG$13)))</f>
        <v>0</v>
      </c>
      <c r="DH83" s="172" cm="1">
        <f t="array" aca="1" ref="DH83" ca="1">IF(OR($D83&lt;&gt;"Serviço",AND(AUTOEVENTO="Manual",$M83=$A$15),$M83&gt;(ROW(PLE.lastrow)-ROW(PLE.firstrow))),0,
           IF(OFFSET(PLE!$G$15,$M83-$A$15,DH$13)="",10^12,OFFSET(PLE!$G$15,$M83-$A$15,DH$13)))</f>
        <v>0</v>
      </c>
      <c r="DI83" s="172" cm="1">
        <f t="array" aca="1" ref="DI83" ca="1">IF(OR($D83&lt;&gt;"Serviço",AND(AUTOEVENTO="Manual",$M83=$A$15),$M83&gt;(ROW(PLE.lastrow)-ROW(PLE.firstrow))),0,
           IF(OFFSET(PLE!$G$15,$M83-$A$15,DI$13)="",10^12,OFFSET(PLE!$G$15,$M83-$A$15,DI$13)))</f>
        <v>0</v>
      </c>
      <c r="DJ83" s="172" cm="1">
        <f t="array" aca="1" ref="DJ83" ca="1">IF(OR($D83&lt;&gt;"Serviço",AND(AUTOEVENTO="Manual",$M83=$A$15),$M83&gt;(ROW(PLE.lastrow)-ROW(PLE.firstrow))),0,
           IF(OFFSET(PLE!$G$15,$M83-$A$15,DJ$13)="",10^12,OFFSET(PLE!$G$15,$M83-$A$15,DJ$13)))</f>
        <v>0</v>
      </c>
      <c r="DK83" s="172" cm="1">
        <f t="array" aca="1" ref="DK83" ca="1">IF(OR($D83&lt;&gt;"Serviço",AND(AUTOEVENTO="Manual",$M83=$A$15),$M83&gt;(ROW(PLE.lastrow)-ROW(PLE.firstrow))),0,
           IF(OFFSET(PLE!$G$15,$M83-$A$15,DK$13)="",10^12,OFFSET(PLE!$G$15,$M83-$A$15,DK$13)))</f>
        <v>0</v>
      </c>
      <c r="DL83" s="172" cm="1">
        <f t="array" aca="1" ref="DL83" ca="1">IF(OR($D83&lt;&gt;"Serviço",AND(AUTOEVENTO="Manual",$M83=$A$15),$M83&gt;(ROW(PLE.lastrow)-ROW(PLE.firstrow))),0,
           IF(OFFSET(PLE!$G$15,$M83-$A$15,DL$13)="",10^12,OFFSET(PLE!$G$15,$M83-$A$15,DL$13)))</f>
        <v>0</v>
      </c>
      <c r="DM83" s="172" cm="1">
        <f t="array" aca="1" ref="DM83" ca="1">IF(OR($D83&lt;&gt;"Serviço",AND(AUTOEVENTO="Manual",$M83=$A$15),$M83&gt;(ROW(PLE.lastrow)-ROW(PLE.firstrow))),0,
           IF(OFFSET(PLE!$G$15,$M83-$A$15,DM$13)="",10^12,OFFSET(PLE!$G$15,$M83-$A$15,DM$13)))</f>
        <v>0</v>
      </c>
      <c r="DN83" s="172" cm="1">
        <f t="array" aca="1" ref="DN83" ca="1">IF(OR($D83&lt;&gt;"Serviço",AND(AUTOEVENTO="Manual",$M83=$A$15),$M83&gt;(ROW(PLE.lastrow)-ROW(PLE.firstrow))),0,
           IF(OFFSET(PLE!$G$15,$M83-$A$15,DN$13)="",10^12,OFFSET(PLE!$G$15,$M83-$A$15,DN$13)))</f>
        <v>0</v>
      </c>
      <c r="DO83" s="172" cm="1">
        <f t="array" aca="1" ref="DO83" ca="1">IF(OR($D83&lt;&gt;"Serviço",AND(AUTOEVENTO="Manual",$M83=$A$15),$M83&gt;(ROW(PLE.lastrow)-ROW(PLE.firstrow))),0,
           IF(OFFSET(PLE!$G$15,$M83-$A$15,DO$13)="",10^12,OFFSET(PLE!$G$15,$M83-$A$15,DO$13)))</f>
        <v>0</v>
      </c>
      <c r="DP83" s="172" cm="1">
        <f t="array" aca="1" ref="DP83" ca="1">IF(OR($D83&lt;&gt;"Serviço",AND(AUTOEVENTO="Manual",$M83=$A$15),$M83&gt;(ROW(PLE.lastrow)-ROW(PLE.firstrow))),0,
           IF(OFFSET(PLE!$G$15,$M83-$A$15,DP$13)="",10^12,OFFSET(PLE!$G$15,$M83-$A$15,DP$13)))</f>
        <v>0</v>
      </c>
      <c r="DQ83" s="172" cm="1">
        <f t="array" aca="1" ref="DQ83" ca="1">IF(OR($D83&lt;&gt;"Serviço",AND(AUTOEVENTO="Manual",$M83=$A$15),$M83&gt;(ROW(PLE.lastrow)-ROW(PLE.firstrow))),0,
           IF(OFFSET(PLE!$G$15,$M83-$A$15,DQ$13)="",10^12,OFFSET(PLE!$G$15,$M83-$A$15,DQ$13)))</f>
        <v>0</v>
      </c>
      <c r="DR83" s="172" cm="1">
        <f t="array" aca="1" ref="DR83" ca="1">IF(OR($D83&lt;&gt;"Serviço",AND(AUTOEVENTO="Manual",$M83=$A$15),$M83&gt;(ROW(PLE.lastrow)-ROW(PLE.firstrow))),0,
           IF(OFFSET(PLE!$G$15,$M83-$A$15,DR$13)="",10^12,OFFSET(PLE!$G$15,$M83-$A$15,DR$13)))</f>
        <v>0</v>
      </c>
      <c r="DS83" s="172" cm="1">
        <f t="array" aca="1" ref="DS83" ca="1">IF(OR($D83&lt;&gt;"Serviço",AND(AUTOEVENTO="Manual",$M83=$A$15),$M83&gt;(ROW(PLE.lastrow)-ROW(PLE.firstrow))),0,
           IF(OFFSET(PLE!$G$15,$M83-$A$15,DS$13)="",10^12,OFFSET(PLE!$G$15,$M83-$A$15,DS$13)))</f>
        <v>0</v>
      </c>
    </row>
    <row r="84" spans="1:123" ht="12.75" x14ac:dyDescent="0.2">
      <c r="A84" s="7">
        <f t="shared" ca="1" si="11"/>
        <v>0</v>
      </c>
      <c r="B84" s="7">
        <f ca="1">OFFSET(ORÇAMENTO!C$15,$L84,0)</f>
        <v>2</v>
      </c>
      <c r="C84" s="7" t="str">
        <f ca="1">OFFSET(ORÇAMENTO!L$15,$L84,0)</f>
        <v>F</v>
      </c>
      <c r="D84" s="116" t="str">
        <f ca="1">OFFSET(ORÇAMENTO!N$15,$L84,0)</f>
        <v>Nível 2</v>
      </c>
      <c r="E84" s="117" t="str">
        <f ca="1">OFFSET(ORÇAMENTO!O$15,$L84,0)</f>
        <v>7.1.</v>
      </c>
      <c r="F84" s="163" t="str">
        <f ca="1">OFFSET(ORÇAMENTO!R$15,$L84,0)</f>
        <v>REVESTIMENTOS INTERNOS</v>
      </c>
      <c r="G84" s="164" t="str">
        <f ca="1">IF($D84&lt;&gt;"Serviço","",OFFSET(ORÇAMENTO!S$15,$L84,0))</f>
        <v/>
      </c>
      <c r="H84" s="122" cm="1">
        <f t="array" aca="1" ref="H84" ca="1">IF($D84&lt;&gt;"Serviço",0,IF(ACOMPANHAMENTO="BM",ROUND(OFFSET(ORÇAMENTO!AJ$15,$L84,0),15-13*ORÇAMENTO!$AF$7),IF(IFERROR(CÁLCULO.FrentesPreenchidas,0)=0,0,SUM(ROUND(OFFSET($P84,0,1,1,CÁLCULO.FrentesPreenchidas),15-13*ORÇAMENTO!$AF$7)))))</f>
        <v>0</v>
      </c>
      <c r="I84" s="468"/>
      <c r="J84" s="651" t="str" cm="1">
        <f t="array" aca="1" ref="J84" ca="1">IF(OR(B84&lt;&gt;"S",CÁLCULO.FrentesPreenchidas=0),"",IF(AND(ACOMPANHAMENTO="PLE",AUTOEVENTO="Manual",OR(H84&gt;0,ORÇAMENTO!AC84="QUANT."),OR(K84="",M84=0,N84="")),"►E",IF(AND(ACOMPANHAMENTO="PLE",ORÇAMENTO!AC84="QUANT."),"►Q",IF(AND(ACOMPANHAMENTO="PLE",H84&lt;&gt;SUMPRODUCT(($Q$1:$AQ$1=1)*ROUND(Q84:AQ84,15))),"►S",IF(AND(COUNTIF($P$11:$AQ$11,"▼")=0,H84&gt;0,I84=""),"◄M","")))))</f>
        <v/>
      </c>
      <c r="K84" s="652"/>
      <c r="L84" s="165">
        <f t="shared" ca="1" si="12"/>
        <v>69</v>
      </c>
      <c r="M84" s="166" t="str">
        <f ca="1">IF($D84&lt;&gt;"Serviço","",
          IF(AUTOEVENTO="manual",$A84,
                IF(ISERROR(MATCH($A84,$A$15:OFFSET($A84,-1,0),0)),MAX($M$15:OFFSET(M84,-1,0))+1,
                      INDEX($M$15:OFFSET(M84,-1,0),MATCH($A84,$A$15:OFFSET($A84,-1,0),0)))))</f>
        <v/>
      </c>
      <c r="N84" s="167" t="str">
        <f ca="1">IF($D84&lt;&gt;"Serviço","",
         IF(AUTOEVENTO="Manual",
                IF($A84=0,"&lt;-- defina o número do agrupador",
                       OFFSET(EVENTOS!$D$15,$A84-$A$15,0)),
                OFFSET($F$15,$A84,0)))</f>
        <v/>
      </c>
      <c r="O84" s="168"/>
      <c r="Q84" s="168"/>
      <c r="R84" s="169"/>
      <c r="S84" s="169"/>
      <c r="T84" s="169"/>
      <c r="U84" s="169"/>
      <c r="V84" s="169"/>
      <c r="W84" s="169"/>
      <c r="X84" s="169"/>
      <c r="Y84" s="169"/>
      <c r="Z84" s="170"/>
      <c r="AA84" s="169"/>
      <c r="AB84" s="169"/>
      <c r="AC84" s="169"/>
      <c r="AD84" s="169"/>
      <c r="AE84" s="169"/>
      <c r="AF84" s="169"/>
      <c r="AG84" s="169"/>
      <c r="AH84" s="170"/>
      <c r="AI84" s="169"/>
      <c r="AJ84" s="169"/>
      <c r="AK84" s="169"/>
      <c r="AL84" s="169"/>
      <c r="AM84" s="169"/>
      <c r="AN84" s="169"/>
      <c r="AO84" s="169"/>
      <c r="AP84" s="170"/>
      <c r="AR84" s="453">
        <f ca="1">IF(AND($D84="Serviço",AR$12&lt;&gt;0,$H84&gt;0,OR(AUTOEVENTO&lt;&gt;"manual",$M84&lt;&gt;$A$15)),
        IF(Import.TipoArredondamento&lt;&gt;"TransfereGOV",
              ROUND(OFFSET($P84,0,AR$13),15-13*ORÇAMENTO!$AF$7)/$H84*OFFSET(ORÇAMENTO!$X$15,ROW(AR84)-ROW(AR$15),0),
              ROUND(ROUND(OFFSET($P84,0,AR$13),15-13*ORÇAMENTO!$AF$7)*OFFSET(ORÇAMENTO!$W$15,ROW(AR84)-ROW(AR$15),0),15-13*ORÇAMENTO!$AF$11)),
         0)</f>
        <v>0</v>
      </c>
      <c r="AS84" s="453">
        <f ca="1">IF(AND($D84="Serviço",AS$12&lt;&gt;0,$H84&gt;0,OR(AUTOEVENTO&lt;&gt;"manual",$M84&lt;&gt;$A$15)),
        IF(Import.TipoArredondamento&lt;&gt;"TransfereGOV",
              ROUND(OFFSET($P84,0,AS$13),15-13*ORÇAMENTO!$AF$7)/$H84*OFFSET(ORÇAMENTO!$X$15,ROW(AS84)-ROW(AS$15),0),
              ROUND(ROUND(OFFSET($P84,0,AS$13),15-13*ORÇAMENTO!$AF$7)*OFFSET(ORÇAMENTO!$W$15,ROW(AS84)-ROW(AS$15),0),15-13*ORÇAMENTO!$AF$11)),
         0)</f>
        <v>0</v>
      </c>
      <c r="AT84" s="453">
        <f ca="1">IF(AND($D84="Serviço",AT$12&lt;&gt;0,$H84&gt;0,OR(AUTOEVENTO&lt;&gt;"manual",$M84&lt;&gt;$A$15)),
        IF(Import.TipoArredondamento&lt;&gt;"TransfereGOV",
              ROUND(OFFSET($P84,0,AT$13),15-13*ORÇAMENTO!$AF$7)/$H84*OFFSET(ORÇAMENTO!$X$15,ROW(AT84)-ROW(AT$15),0),
              ROUND(ROUND(OFFSET($P84,0,AT$13),15-13*ORÇAMENTO!$AF$7)*OFFSET(ORÇAMENTO!$W$15,ROW(AT84)-ROW(AT$15),0),15-13*ORÇAMENTO!$AF$11)),
         0)</f>
        <v>0</v>
      </c>
      <c r="AU84" s="453">
        <f ca="1">IF(AND($D84="Serviço",AU$12&lt;&gt;0,$H84&gt;0,OR(AUTOEVENTO&lt;&gt;"manual",$M84&lt;&gt;$A$15)),
        IF(Import.TipoArredondamento&lt;&gt;"TransfereGOV",
              ROUND(OFFSET($P84,0,AU$13),15-13*ORÇAMENTO!$AF$7)/$H84*OFFSET(ORÇAMENTO!$X$15,ROW(AU84)-ROW(AU$15),0),
              ROUND(ROUND(OFFSET($P84,0,AU$13),15-13*ORÇAMENTO!$AF$7)*OFFSET(ORÇAMENTO!$W$15,ROW(AU84)-ROW(AU$15),0),15-13*ORÇAMENTO!$AF$11)),
         0)</f>
        <v>0</v>
      </c>
      <c r="AV84" s="453">
        <f ca="1">IF(AND($D84="Serviço",AV$12&lt;&gt;0,$H84&gt;0,OR(AUTOEVENTO&lt;&gt;"manual",$M84&lt;&gt;$A$15)),
        IF(Import.TipoArredondamento&lt;&gt;"TransfereGOV",
              ROUND(OFFSET($P84,0,AV$13),15-13*ORÇAMENTO!$AF$7)/$H84*OFFSET(ORÇAMENTO!$X$15,ROW(AV84)-ROW(AV$15),0),
              ROUND(ROUND(OFFSET($P84,0,AV$13),15-13*ORÇAMENTO!$AF$7)*OFFSET(ORÇAMENTO!$W$15,ROW(AV84)-ROW(AV$15),0),15-13*ORÇAMENTO!$AF$11)),
         0)</f>
        <v>0</v>
      </c>
      <c r="AW84" s="453">
        <f ca="1">IF(AND($D84="Serviço",AW$12&lt;&gt;0,$H84&gt;0,OR(AUTOEVENTO&lt;&gt;"manual",$M84&lt;&gt;$A$15)),
        IF(Import.TipoArredondamento&lt;&gt;"TransfereGOV",
              ROUND(OFFSET($P84,0,AW$13),15-13*ORÇAMENTO!$AF$7)/$H84*OFFSET(ORÇAMENTO!$X$15,ROW(AW84)-ROW(AW$15),0),
              ROUND(ROUND(OFFSET($P84,0,AW$13),15-13*ORÇAMENTO!$AF$7)*OFFSET(ORÇAMENTO!$W$15,ROW(AW84)-ROW(AW$15),0),15-13*ORÇAMENTO!$AF$11)),
         0)</f>
        <v>0</v>
      </c>
      <c r="AX84" s="453">
        <f ca="1">IF(AND($D84="Serviço",AX$12&lt;&gt;0,$H84&gt;0,OR(AUTOEVENTO&lt;&gt;"manual",$M84&lt;&gt;$A$15)),
        IF(Import.TipoArredondamento&lt;&gt;"TransfereGOV",
              ROUND(OFFSET($P84,0,AX$13),15-13*ORÇAMENTO!$AF$7)/$H84*OFFSET(ORÇAMENTO!$X$15,ROW(AX84)-ROW(AX$15),0),
              ROUND(ROUND(OFFSET($P84,0,AX$13),15-13*ORÇAMENTO!$AF$7)*OFFSET(ORÇAMENTO!$W$15,ROW(AX84)-ROW(AX$15),0),15-13*ORÇAMENTO!$AF$11)),
         0)</f>
        <v>0</v>
      </c>
      <c r="AY84" s="453">
        <f ca="1">IF(AND($D84="Serviço",AY$12&lt;&gt;0,$H84&gt;0,OR(AUTOEVENTO&lt;&gt;"manual",$M84&lt;&gt;$A$15)),
        IF(Import.TipoArredondamento&lt;&gt;"TransfereGOV",
              ROUND(OFFSET($P84,0,AY$13),15-13*ORÇAMENTO!$AF$7)/$H84*OFFSET(ORÇAMENTO!$X$15,ROW(AY84)-ROW(AY$15),0),
              ROUND(ROUND(OFFSET($P84,0,AY$13),15-13*ORÇAMENTO!$AF$7)*OFFSET(ORÇAMENTO!$W$15,ROW(AY84)-ROW(AY$15),0),15-13*ORÇAMENTO!$AF$11)),
         0)</f>
        <v>0</v>
      </c>
      <c r="AZ84" s="453">
        <f ca="1">IF(AND($D84="Serviço",AZ$12&lt;&gt;0,$H84&gt;0,OR(AUTOEVENTO&lt;&gt;"manual",$M84&lt;&gt;$A$15)),
        IF(Import.TipoArredondamento&lt;&gt;"TransfereGOV",
              ROUND(OFFSET($P84,0,AZ$13),15-13*ORÇAMENTO!$AF$7)/$H84*OFFSET(ORÇAMENTO!$X$15,ROW(AZ84)-ROW(AZ$15),0),
              ROUND(ROUND(OFFSET($P84,0,AZ$13),15-13*ORÇAMENTO!$AF$7)*OFFSET(ORÇAMENTO!$W$15,ROW(AZ84)-ROW(AZ$15),0),15-13*ORÇAMENTO!$AF$11)),
         0)</f>
        <v>0</v>
      </c>
      <c r="BA84" s="453">
        <f ca="1">IF(AND($D84="Serviço",BA$12&lt;&gt;0,$H84&gt;0,OR(AUTOEVENTO&lt;&gt;"manual",$M84&lt;&gt;$A$15)),
        IF(Import.TipoArredondamento&lt;&gt;"TransfereGOV",
              ROUND(OFFSET($P84,0,BA$13),15-13*ORÇAMENTO!$AF$7)/$H84*OFFSET(ORÇAMENTO!$X$15,ROW(BA84)-ROW(BA$15),0),
              ROUND(ROUND(OFFSET($P84,0,BA$13),15-13*ORÇAMENTO!$AF$7)*OFFSET(ORÇAMENTO!$W$15,ROW(BA84)-ROW(BA$15),0),15-13*ORÇAMENTO!$AF$11)),
         0)</f>
        <v>0</v>
      </c>
      <c r="BB84" s="453">
        <f ca="1">IF(AND($D84="Serviço",BB$12&lt;&gt;0,$H84&gt;0,OR(AUTOEVENTO&lt;&gt;"manual",$M84&lt;&gt;$A$15)),
        IF(Import.TipoArredondamento&lt;&gt;"TransfereGOV",
              ROUND(OFFSET($P84,0,BB$13),15-13*ORÇAMENTO!$AF$7)/$H84*OFFSET(ORÇAMENTO!$X$15,ROW(BB84)-ROW(BB$15),0),
              ROUND(ROUND(OFFSET($P84,0,BB$13),15-13*ORÇAMENTO!$AF$7)*OFFSET(ORÇAMENTO!$W$15,ROW(BB84)-ROW(BB$15),0),15-13*ORÇAMENTO!$AF$11)),
         0)</f>
        <v>0</v>
      </c>
      <c r="BC84" s="453">
        <f ca="1">IF(AND($D84="Serviço",BC$12&lt;&gt;0,$H84&gt;0,OR(AUTOEVENTO&lt;&gt;"manual",$M84&lt;&gt;$A$15)),
        IF(Import.TipoArredondamento&lt;&gt;"TransfereGOV",
              ROUND(OFFSET($P84,0,BC$13),15-13*ORÇAMENTO!$AF$7)/$H84*OFFSET(ORÇAMENTO!$X$15,ROW(BC84)-ROW(BC$15),0),
              ROUND(ROUND(OFFSET($P84,0,BC$13),15-13*ORÇAMENTO!$AF$7)*OFFSET(ORÇAMENTO!$W$15,ROW(BC84)-ROW(BC$15),0),15-13*ORÇAMENTO!$AF$11)),
         0)</f>
        <v>0</v>
      </c>
      <c r="BD84" s="453">
        <f ca="1">IF(AND($D84="Serviço",BD$12&lt;&gt;0,$H84&gt;0,OR(AUTOEVENTO&lt;&gt;"manual",$M84&lt;&gt;$A$15)),
        IF(Import.TipoArredondamento&lt;&gt;"TransfereGOV",
              ROUND(OFFSET($P84,0,BD$13),15-13*ORÇAMENTO!$AF$7)/$H84*OFFSET(ORÇAMENTO!$X$15,ROW(BD84)-ROW(BD$15),0),
              ROUND(ROUND(OFFSET($P84,0,BD$13),15-13*ORÇAMENTO!$AF$7)*OFFSET(ORÇAMENTO!$W$15,ROW(BD84)-ROW(BD$15),0),15-13*ORÇAMENTO!$AF$11)),
         0)</f>
        <v>0</v>
      </c>
      <c r="BE84" s="453">
        <f ca="1">IF(AND($D84="Serviço",BE$12&lt;&gt;0,$H84&gt;0,OR(AUTOEVENTO&lt;&gt;"manual",$M84&lt;&gt;$A$15)),
        IF(Import.TipoArredondamento&lt;&gt;"TransfereGOV",
              ROUND(OFFSET($P84,0,BE$13),15-13*ORÇAMENTO!$AF$7)/$H84*OFFSET(ORÇAMENTO!$X$15,ROW(BE84)-ROW(BE$15),0),
              ROUND(ROUND(OFFSET($P84,0,BE$13),15-13*ORÇAMENTO!$AF$7)*OFFSET(ORÇAMENTO!$W$15,ROW(BE84)-ROW(BE$15),0),15-13*ORÇAMENTO!$AF$11)),
         0)</f>
        <v>0</v>
      </c>
      <c r="BF84" s="453">
        <f ca="1">IF(AND($D84="Serviço",BF$12&lt;&gt;0,$H84&gt;0,OR(AUTOEVENTO&lt;&gt;"manual",$M84&lt;&gt;$A$15)),
        IF(Import.TipoArredondamento&lt;&gt;"TransfereGOV",
              ROUND(OFFSET($P84,0,BF$13),15-13*ORÇAMENTO!$AF$7)/$H84*OFFSET(ORÇAMENTO!$X$15,ROW(BF84)-ROW(BF$15),0),
              ROUND(ROUND(OFFSET($P84,0,BF$13),15-13*ORÇAMENTO!$AF$7)*OFFSET(ORÇAMENTO!$W$15,ROW(BF84)-ROW(BF$15),0),15-13*ORÇAMENTO!$AF$11)),
         0)</f>
        <v>0</v>
      </c>
      <c r="BG84" s="453">
        <f ca="1">IF(AND($D84="Serviço",BG$12&lt;&gt;0,$H84&gt;0,OR(AUTOEVENTO&lt;&gt;"manual",$M84&lt;&gt;$A$15)),
        IF(Import.TipoArredondamento&lt;&gt;"TransfereGOV",
              ROUND(OFFSET($P84,0,BG$13),15-13*ORÇAMENTO!$AF$7)/$H84*OFFSET(ORÇAMENTO!$X$15,ROW(BG84)-ROW(BG$15),0),
              ROUND(ROUND(OFFSET($P84,0,BG$13),15-13*ORÇAMENTO!$AF$7)*OFFSET(ORÇAMENTO!$W$15,ROW(BG84)-ROW(BG$15),0),15-13*ORÇAMENTO!$AF$11)),
         0)</f>
        <v>0</v>
      </c>
      <c r="BH84" s="453">
        <f ca="1">IF(AND($D84="Serviço",BH$12&lt;&gt;0,$H84&gt;0,OR(AUTOEVENTO&lt;&gt;"manual",$M84&lt;&gt;$A$15)),
        IF(Import.TipoArredondamento&lt;&gt;"TransfereGOV",
              ROUND(OFFSET($P84,0,BH$13),15-13*ORÇAMENTO!$AF$7)/$H84*OFFSET(ORÇAMENTO!$X$15,ROW(BH84)-ROW(BH$15),0),
              ROUND(ROUND(OFFSET($P84,0,BH$13),15-13*ORÇAMENTO!$AF$7)*OFFSET(ORÇAMENTO!$W$15,ROW(BH84)-ROW(BH$15),0),15-13*ORÇAMENTO!$AF$11)),
         0)</f>
        <v>0</v>
      </c>
      <c r="BI84" s="453">
        <f ca="1">IF(AND($D84="Serviço",BI$12&lt;&gt;0,$H84&gt;0,OR(AUTOEVENTO&lt;&gt;"manual",$M84&lt;&gt;$A$15)),
        IF(Import.TipoArredondamento&lt;&gt;"TransfereGOV",
              ROUND(OFFSET($P84,0,BI$13),15-13*ORÇAMENTO!$AF$7)/$H84*OFFSET(ORÇAMENTO!$X$15,ROW(BI84)-ROW(BI$15),0),
              ROUND(ROUND(OFFSET($P84,0,BI$13),15-13*ORÇAMENTO!$AF$7)*OFFSET(ORÇAMENTO!$W$15,ROW(BI84)-ROW(BI$15),0),15-13*ORÇAMENTO!$AF$11)),
         0)</f>
        <v>0</v>
      </c>
      <c r="BJ84" s="453">
        <f ca="1">IF(AND($D84="Serviço",BJ$12&lt;&gt;0,$H84&gt;0,OR(AUTOEVENTO&lt;&gt;"manual",$M84&lt;&gt;$A$15)),
        IF(Import.TipoArredondamento&lt;&gt;"TransfereGOV",
              ROUND(OFFSET($P84,0,BJ$13),15-13*ORÇAMENTO!$AF$7)/$H84*OFFSET(ORÇAMENTO!$X$15,ROW(BJ84)-ROW(BJ$15),0),
              ROUND(ROUND(OFFSET($P84,0,BJ$13),15-13*ORÇAMENTO!$AF$7)*OFFSET(ORÇAMENTO!$W$15,ROW(BJ84)-ROW(BJ$15),0),15-13*ORÇAMENTO!$AF$11)),
         0)</f>
        <v>0</v>
      </c>
      <c r="BK84" s="453">
        <f ca="1">IF(AND($D84="Serviço",BK$12&lt;&gt;0,$H84&gt;0,OR(AUTOEVENTO&lt;&gt;"manual",$M84&lt;&gt;$A$15)),
        IF(Import.TipoArredondamento&lt;&gt;"TransfereGOV",
              ROUND(OFFSET($P84,0,BK$13),15-13*ORÇAMENTO!$AF$7)/$H84*OFFSET(ORÇAMENTO!$X$15,ROW(BK84)-ROW(BK$15),0),
              ROUND(ROUND(OFFSET($P84,0,BK$13),15-13*ORÇAMENTO!$AF$7)*OFFSET(ORÇAMENTO!$W$15,ROW(BK84)-ROW(BK$15),0),15-13*ORÇAMENTO!$AF$11)),
         0)</f>
        <v>0</v>
      </c>
      <c r="BL84" s="453">
        <f ca="1">IF(AND($D84="Serviço",BL$12&lt;&gt;0,$H84&gt;0,OR(AUTOEVENTO&lt;&gt;"manual",$M84&lt;&gt;$A$15)),
        IF(Import.TipoArredondamento&lt;&gt;"TransfereGOV",
              ROUND(OFFSET($P84,0,BL$13),15-13*ORÇAMENTO!$AF$7)/$H84*OFFSET(ORÇAMENTO!$X$15,ROW(BL84)-ROW(BL$15),0),
              ROUND(ROUND(OFFSET($P84,0,BL$13),15-13*ORÇAMENTO!$AF$7)*OFFSET(ORÇAMENTO!$W$15,ROW(BL84)-ROW(BL$15),0),15-13*ORÇAMENTO!$AF$11)),
         0)</f>
        <v>0</v>
      </c>
      <c r="BM84" s="453">
        <f ca="1">IF(AND($D84="Serviço",BM$12&lt;&gt;0,$H84&gt;0,OR(AUTOEVENTO&lt;&gt;"manual",$M84&lt;&gt;$A$15)),
        IF(Import.TipoArredondamento&lt;&gt;"TransfereGOV",
              ROUND(OFFSET($P84,0,BM$13),15-13*ORÇAMENTO!$AF$7)/$H84*OFFSET(ORÇAMENTO!$X$15,ROW(BM84)-ROW(BM$15),0),
              ROUND(ROUND(OFFSET($P84,0,BM$13),15-13*ORÇAMENTO!$AF$7)*OFFSET(ORÇAMENTO!$W$15,ROW(BM84)-ROW(BM$15),0),15-13*ORÇAMENTO!$AF$11)),
         0)</f>
        <v>0</v>
      </c>
      <c r="BN84" s="453">
        <f ca="1">IF(AND($D84="Serviço",BN$12&lt;&gt;0,$H84&gt;0,OR(AUTOEVENTO&lt;&gt;"manual",$M84&lt;&gt;$A$15)),
        IF(Import.TipoArredondamento&lt;&gt;"TransfereGOV",
              ROUND(OFFSET($P84,0,BN$13),15-13*ORÇAMENTO!$AF$7)/$H84*OFFSET(ORÇAMENTO!$X$15,ROW(BN84)-ROW(BN$15),0),
              ROUND(ROUND(OFFSET($P84,0,BN$13),15-13*ORÇAMENTO!$AF$7)*OFFSET(ORÇAMENTO!$W$15,ROW(BN84)-ROW(BN$15),0),15-13*ORÇAMENTO!$AF$11)),
         0)</f>
        <v>0</v>
      </c>
      <c r="BO84" s="453">
        <f ca="1">IF(AND($D84="Serviço",BO$12&lt;&gt;0,$H84&gt;0,OR(AUTOEVENTO&lt;&gt;"manual",$M84&lt;&gt;$A$15)),
        IF(Import.TipoArredondamento&lt;&gt;"TransfereGOV",
              ROUND(OFFSET($P84,0,BO$13),15-13*ORÇAMENTO!$AF$7)/$H84*OFFSET(ORÇAMENTO!$X$15,ROW(BO84)-ROW(BO$15),0),
              ROUND(ROUND(OFFSET($P84,0,BO$13),15-13*ORÇAMENTO!$AF$7)*OFFSET(ORÇAMENTO!$W$15,ROW(BO84)-ROW(BO$15),0),15-13*ORÇAMENTO!$AF$11)),
         0)</f>
        <v>0</v>
      </c>
      <c r="BP84" s="453">
        <f ca="1">IF(AND($D84="Serviço",BP$12&lt;&gt;0,$H84&gt;0,OR(AUTOEVENTO&lt;&gt;"manual",$M84&lt;&gt;$A$15)),
        IF(Import.TipoArredondamento&lt;&gt;"TransfereGOV",
              ROUND(OFFSET($P84,0,BP$13),15-13*ORÇAMENTO!$AF$7)/$H84*OFFSET(ORÇAMENTO!$X$15,ROW(BP84)-ROW(BP$15),0),
              ROUND(ROUND(OFFSET($P84,0,BP$13),15-13*ORÇAMENTO!$AF$7)*OFFSET(ORÇAMENTO!$W$15,ROW(BP84)-ROW(BP$15),0),15-13*ORÇAMENTO!$AF$11)),
         0)</f>
        <v>0</v>
      </c>
      <c r="BQ84" s="453">
        <f ca="1">IF(AND($D84="Serviço",BQ$12&lt;&gt;0,$H84&gt;0,OR(AUTOEVENTO&lt;&gt;"manual",$M84&lt;&gt;$A$15)),
        IF(Import.TipoArredondamento&lt;&gt;"TransfereGOV",
              ROUND(OFFSET($P84,0,BQ$13),15-13*ORÇAMENTO!$AF$7)/$H84*OFFSET(ORÇAMENTO!$X$15,ROW(BQ84)-ROW(BQ$15),0),
              ROUND(ROUND(OFFSET($P84,0,BQ$13),15-13*ORÇAMENTO!$AF$7)*OFFSET(ORÇAMENTO!$W$15,ROW(BQ84)-ROW(BQ$15),0),15-13*ORÇAMENTO!$AF$11)),
         0)</f>
        <v>0</v>
      </c>
      <c r="BS84" s="171">
        <f ca="1">IF(OR($D84&lt;&gt;"Serviço",AND(AUTOEVENTO="Manual",$M84=$A$15)),0,
         IF(OFFSET(CRONOPLE!$F$15,$M84-$A$15,BS$13)=0,10^12,OFFSET(CRONOPLE!$F$15,$M84-$A$15,BS$13)))</f>
        <v>0</v>
      </c>
      <c r="BT84" s="171">
        <f ca="1">IF(OR($D84&lt;&gt;"Serviço",AND(AUTOEVENTO="Manual",$M84=$A$15)),0,
         IF(OFFSET(CRONOPLE!$F$15,$M84-$A$15,BT$13)=0,10^12,OFFSET(CRONOPLE!$F$15,$M84-$A$15,BT$13)))</f>
        <v>0</v>
      </c>
      <c r="BU84" s="171">
        <f ca="1">IF(OR($D84&lt;&gt;"Serviço",AND(AUTOEVENTO="Manual",$M84=$A$15)),0,
         IF(OFFSET(CRONOPLE!$F$15,$M84-$A$15,BU$13)=0,10^12,OFFSET(CRONOPLE!$F$15,$M84-$A$15,BU$13)))</f>
        <v>0</v>
      </c>
      <c r="BV84" s="171">
        <f ca="1">IF(OR($D84&lt;&gt;"Serviço",AND(AUTOEVENTO="Manual",$M84=$A$15)),0,
         IF(OFFSET(CRONOPLE!$F$15,$M84-$A$15,BV$13)=0,10^12,OFFSET(CRONOPLE!$F$15,$M84-$A$15,BV$13)))</f>
        <v>0</v>
      </c>
      <c r="BW84" s="171">
        <f ca="1">IF(OR($D84&lt;&gt;"Serviço",AND(AUTOEVENTO="Manual",$M84=$A$15)),0,
         IF(OFFSET(CRONOPLE!$F$15,$M84-$A$15,BW$13)=0,10^12,OFFSET(CRONOPLE!$F$15,$M84-$A$15,BW$13)))</f>
        <v>0</v>
      </c>
      <c r="BX84" s="171">
        <f ca="1">IF(OR($D84&lt;&gt;"Serviço",AND(AUTOEVENTO="Manual",$M84=$A$15)),0,
         IF(OFFSET(CRONOPLE!$F$15,$M84-$A$15,BX$13)=0,10^12,OFFSET(CRONOPLE!$F$15,$M84-$A$15,BX$13)))</f>
        <v>0</v>
      </c>
      <c r="BY84" s="171">
        <f ca="1">IF(OR($D84&lt;&gt;"Serviço",AND(AUTOEVENTO="Manual",$M84=$A$15)),0,
         IF(OFFSET(CRONOPLE!$F$15,$M84-$A$15,BY$13)=0,10^12,OFFSET(CRONOPLE!$F$15,$M84-$A$15,BY$13)))</f>
        <v>0</v>
      </c>
      <c r="BZ84" s="171">
        <f ca="1">IF(OR($D84&lt;&gt;"Serviço",AND(AUTOEVENTO="Manual",$M84=$A$15)),0,
         IF(OFFSET(CRONOPLE!$F$15,$M84-$A$15,BZ$13)=0,10^12,OFFSET(CRONOPLE!$F$15,$M84-$A$15,BZ$13)))</f>
        <v>0</v>
      </c>
      <c r="CA84" s="171">
        <f ca="1">IF(OR($D84&lt;&gt;"Serviço",AND(AUTOEVENTO="Manual",$M84=$A$15)),0,
         IF(OFFSET(CRONOPLE!$F$15,$M84-$A$15,CA$13)=0,10^12,OFFSET(CRONOPLE!$F$15,$M84-$A$15,CA$13)))</f>
        <v>0</v>
      </c>
      <c r="CB84" s="171">
        <f ca="1">IF(OR($D84&lt;&gt;"Serviço",AND(AUTOEVENTO="Manual",$M84=$A$15)),0,
         IF(OFFSET(CRONOPLE!$F$15,$M84-$A$15,CB$13)=0,10^12,OFFSET(CRONOPLE!$F$15,$M84-$A$15,CB$13)))</f>
        <v>0</v>
      </c>
      <c r="CC84" s="171">
        <f ca="1">IF(OR($D84&lt;&gt;"Serviço",AND(AUTOEVENTO="Manual",$M84=$A$15)),0,
         IF(OFFSET(CRONOPLE!$F$15,$M84-$A$15,CC$13)=0,10^12,OFFSET(CRONOPLE!$F$15,$M84-$A$15,CC$13)))</f>
        <v>0</v>
      </c>
      <c r="CD84" s="171">
        <f ca="1">IF(OR($D84&lt;&gt;"Serviço",AND(AUTOEVENTO="Manual",$M84=$A$15)),0,
         IF(OFFSET(CRONOPLE!$F$15,$M84-$A$15,CD$13)=0,10^12,OFFSET(CRONOPLE!$F$15,$M84-$A$15,CD$13)))</f>
        <v>0</v>
      </c>
      <c r="CE84" s="171">
        <f ca="1">IF(OR($D84&lt;&gt;"Serviço",AND(AUTOEVENTO="Manual",$M84=$A$15)),0,
         IF(OFFSET(CRONOPLE!$F$15,$M84-$A$15,CE$13)=0,10^12,OFFSET(CRONOPLE!$F$15,$M84-$A$15,CE$13)))</f>
        <v>0</v>
      </c>
      <c r="CF84" s="171">
        <f ca="1">IF(OR($D84&lt;&gt;"Serviço",AND(AUTOEVENTO="Manual",$M84=$A$15)),0,
         IF(OFFSET(CRONOPLE!$F$15,$M84-$A$15,CF$13)=0,10^12,OFFSET(CRONOPLE!$F$15,$M84-$A$15,CF$13)))</f>
        <v>0</v>
      </c>
      <c r="CG84" s="171">
        <f ca="1">IF(OR($D84&lt;&gt;"Serviço",AND(AUTOEVENTO="Manual",$M84=$A$15)),0,
         IF(OFFSET(CRONOPLE!$F$15,$M84-$A$15,CG$13)=0,10^12,OFFSET(CRONOPLE!$F$15,$M84-$A$15,CG$13)))</f>
        <v>0</v>
      </c>
      <c r="CH84" s="171">
        <f ca="1">IF(OR($D84&lt;&gt;"Serviço",AND(AUTOEVENTO="Manual",$M84=$A$15)),0,
         IF(OFFSET(CRONOPLE!$F$15,$M84-$A$15,CH$13)=0,10^12,OFFSET(CRONOPLE!$F$15,$M84-$A$15,CH$13)))</f>
        <v>0</v>
      </c>
      <c r="CI84" s="171">
        <f ca="1">IF(OR($D84&lt;&gt;"Serviço",AND(AUTOEVENTO="Manual",$M84=$A$15)),0,
         IF(OFFSET(CRONOPLE!$F$15,$M84-$A$15,CI$13)=0,10^12,OFFSET(CRONOPLE!$F$15,$M84-$A$15,CI$13)))</f>
        <v>0</v>
      </c>
      <c r="CJ84" s="171">
        <f ca="1">IF(OR($D84&lt;&gt;"Serviço",AND(AUTOEVENTO="Manual",$M84=$A$15)),0,
         IF(OFFSET(CRONOPLE!$F$15,$M84-$A$15,CJ$13)=0,10^12,OFFSET(CRONOPLE!$F$15,$M84-$A$15,CJ$13)))</f>
        <v>0</v>
      </c>
      <c r="CK84" s="171">
        <f ca="1">IF(OR($D84&lt;&gt;"Serviço",AND(AUTOEVENTO="Manual",$M84=$A$15)),0,
         IF(OFFSET(CRONOPLE!$F$15,$M84-$A$15,CK$13)=0,10^12,OFFSET(CRONOPLE!$F$15,$M84-$A$15,CK$13)))</f>
        <v>0</v>
      </c>
      <c r="CL84" s="171">
        <f ca="1">IF(OR($D84&lt;&gt;"Serviço",AND(AUTOEVENTO="Manual",$M84=$A$15)),0,
         IF(OFFSET(CRONOPLE!$F$15,$M84-$A$15,CL$13)=0,10^12,OFFSET(CRONOPLE!$F$15,$M84-$A$15,CL$13)))</f>
        <v>0</v>
      </c>
      <c r="CM84" s="171">
        <f ca="1">IF(OR($D84&lt;&gt;"Serviço",AND(AUTOEVENTO="Manual",$M84=$A$15)),0,
         IF(OFFSET(CRONOPLE!$F$15,$M84-$A$15,CM$13)=0,10^12,OFFSET(CRONOPLE!$F$15,$M84-$A$15,CM$13)))</f>
        <v>0</v>
      </c>
      <c r="CN84" s="171">
        <f ca="1">IF(OR($D84&lt;&gt;"Serviço",AND(AUTOEVENTO="Manual",$M84=$A$15)),0,
         IF(OFFSET(CRONOPLE!$F$15,$M84-$A$15,CN$13)=0,10^12,OFFSET(CRONOPLE!$F$15,$M84-$A$15,CN$13)))</f>
        <v>0</v>
      </c>
      <c r="CO84" s="171">
        <f ca="1">IF(OR($D84&lt;&gt;"Serviço",AND(AUTOEVENTO="Manual",$M84=$A$15)),0,
         IF(OFFSET(CRONOPLE!$F$15,$M84-$A$15,CO$13)=0,10^12,OFFSET(CRONOPLE!$F$15,$M84-$A$15,CO$13)))</f>
        <v>0</v>
      </c>
      <c r="CP84" s="171">
        <f ca="1">IF(OR($D84&lt;&gt;"Serviço",AND(AUTOEVENTO="Manual",$M84=$A$15)),0,
         IF(OFFSET(CRONOPLE!$F$15,$M84-$A$15,CP$13)=0,10^12,OFFSET(CRONOPLE!$F$15,$M84-$A$15,CP$13)))</f>
        <v>0</v>
      </c>
      <c r="CQ84" s="171">
        <f ca="1">IF(OR($D84&lt;&gt;"Serviço",AND(AUTOEVENTO="Manual",$M84=$A$15)),0,
         IF(OFFSET(CRONOPLE!$F$15,$M84-$A$15,CQ$13)=0,10^12,OFFSET(CRONOPLE!$F$15,$M84-$A$15,CQ$13)))</f>
        <v>0</v>
      </c>
      <c r="CR84" s="171">
        <f ca="1">IF(OR($D84&lt;&gt;"Serviço",AND(AUTOEVENTO="Manual",$M84=$A$15)),0,
         IF(OFFSET(CRONOPLE!$F$15,$M84-$A$15,CR$13)=0,10^12,OFFSET(CRONOPLE!$F$15,$M84-$A$15,CR$13)))</f>
        <v>0</v>
      </c>
      <c r="CT84" s="172" cm="1">
        <f t="array" aca="1" ref="CT84" ca="1">IF(OR($D84&lt;&gt;"Serviço",AND(AUTOEVENTO="Manual",$M84=$A$15),$M84&gt;(ROW(PLE.lastrow)-ROW(PLE.firstrow))),0,
           IF(OFFSET(PLE!$G$15,$M84-$A$15,CT$13)="",10^12,OFFSET(PLE!$G$15,$M84-$A$15,CT$13)))</f>
        <v>0</v>
      </c>
      <c r="CU84" s="172" cm="1">
        <f t="array" aca="1" ref="CU84" ca="1">IF(OR($D84&lt;&gt;"Serviço",AND(AUTOEVENTO="Manual",$M84=$A$15),$M84&gt;(ROW(PLE.lastrow)-ROW(PLE.firstrow))),0,
           IF(OFFSET(PLE!$G$15,$M84-$A$15,CU$13)="",10^12,OFFSET(PLE!$G$15,$M84-$A$15,CU$13)))</f>
        <v>0</v>
      </c>
      <c r="CV84" s="172" cm="1">
        <f t="array" aca="1" ref="CV84" ca="1">IF(OR($D84&lt;&gt;"Serviço",AND(AUTOEVENTO="Manual",$M84=$A$15),$M84&gt;(ROW(PLE.lastrow)-ROW(PLE.firstrow))),0,
           IF(OFFSET(PLE!$G$15,$M84-$A$15,CV$13)="",10^12,OFFSET(PLE!$G$15,$M84-$A$15,CV$13)))</f>
        <v>0</v>
      </c>
      <c r="CW84" s="172" cm="1">
        <f t="array" aca="1" ref="CW84" ca="1">IF(OR($D84&lt;&gt;"Serviço",AND(AUTOEVENTO="Manual",$M84=$A$15),$M84&gt;(ROW(PLE.lastrow)-ROW(PLE.firstrow))),0,
           IF(OFFSET(PLE!$G$15,$M84-$A$15,CW$13)="",10^12,OFFSET(PLE!$G$15,$M84-$A$15,CW$13)))</f>
        <v>0</v>
      </c>
      <c r="CX84" s="172" cm="1">
        <f t="array" aca="1" ref="CX84" ca="1">IF(OR($D84&lt;&gt;"Serviço",AND(AUTOEVENTO="Manual",$M84=$A$15),$M84&gt;(ROW(PLE.lastrow)-ROW(PLE.firstrow))),0,
           IF(OFFSET(PLE!$G$15,$M84-$A$15,CX$13)="",10^12,OFFSET(PLE!$G$15,$M84-$A$15,CX$13)))</f>
        <v>0</v>
      </c>
      <c r="CY84" s="172" cm="1">
        <f t="array" aca="1" ref="CY84" ca="1">IF(OR($D84&lt;&gt;"Serviço",AND(AUTOEVENTO="Manual",$M84=$A$15),$M84&gt;(ROW(PLE.lastrow)-ROW(PLE.firstrow))),0,
           IF(OFFSET(PLE!$G$15,$M84-$A$15,CY$13)="",10^12,OFFSET(PLE!$G$15,$M84-$A$15,CY$13)))</f>
        <v>0</v>
      </c>
      <c r="CZ84" s="172" cm="1">
        <f t="array" aca="1" ref="CZ84" ca="1">IF(OR($D84&lt;&gt;"Serviço",AND(AUTOEVENTO="Manual",$M84=$A$15),$M84&gt;(ROW(PLE.lastrow)-ROW(PLE.firstrow))),0,
           IF(OFFSET(PLE!$G$15,$M84-$A$15,CZ$13)="",10^12,OFFSET(PLE!$G$15,$M84-$A$15,CZ$13)))</f>
        <v>0</v>
      </c>
      <c r="DA84" s="172" cm="1">
        <f t="array" aca="1" ref="DA84" ca="1">IF(OR($D84&lt;&gt;"Serviço",AND(AUTOEVENTO="Manual",$M84=$A$15),$M84&gt;(ROW(PLE.lastrow)-ROW(PLE.firstrow))),0,
           IF(OFFSET(PLE!$G$15,$M84-$A$15,DA$13)="",10^12,OFFSET(PLE!$G$15,$M84-$A$15,DA$13)))</f>
        <v>0</v>
      </c>
      <c r="DB84" s="172" cm="1">
        <f t="array" aca="1" ref="DB84" ca="1">IF(OR($D84&lt;&gt;"Serviço",AND(AUTOEVENTO="Manual",$M84=$A$15),$M84&gt;(ROW(PLE.lastrow)-ROW(PLE.firstrow))),0,
           IF(OFFSET(PLE!$G$15,$M84-$A$15,DB$13)="",10^12,OFFSET(PLE!$G$15,$M84-$A$15,DB$13)))</f>
        <v>0</v>
      </c>
      <c r="DC84" s="172" cm="1">
        <f t="array" aca="1" ref="DC84" ca="1">IF(OR($D84&lt;&gt;"Serviço",AND(AUTOEVENTO="Manual",$M84=$A$15),$M84&gt;(ROW(PLE.lastrow)-ROW(PLE.firstrow))),0,
           IF(OFFSET(PLE!$G$15,$M84-$A$15,DC$13)="",10^12,OFFSET(PLE!$G$15,$M84-$A$15,DC$13)))</f>
        <v>0</v>
      </c>
      <c r="DD84" s="172" cm="1">
        <f t="array" aca="1" ref="DD84" ca="1">IF(OR($D84&lt;&gt;"Serviço",AND(AUTOEVENTO="Manual",$M84=$A$15),$M84&gt;(ROW(PLE.lastrow)-ROW(PLE.firstrow))),0,
           IF(OFFSET(PLE!$G$15,$M84-$A$15,DD$13)="",10^12,OFFSET(PLE!$G$15,$M84-$A$15,DD$13)))</f>
        <v>0</v>
      </c>
      <c r="DE84" s="172" cm="1">
        <f t="array" aca="1" ref="DE84" ca="1">IF(OR($D84&lt;&gt;"Serviço",AND(AUTOEVENTO="Manual",$M84=$A$15),$M84&gt;(ROW(PLE.lastrow)-ROW(PLE.firstrow))),0,
           IF(OFFSET(PLE!$G$15,$M84-$A$15,DE$13)="",10^12,OFFSET(PLE!$G$15,$M84-$A$15,DE$13)))</f>
        <v>0</v>
      </c>
      <c r="DF84" s="172" cm="1">
        <f t="array" aca="1" ref="DF84" ca="1">IF(OR($D84&lt;&gt;"Serviço",AND(AUTOEVENTO="Manual",$M84=$A$15),$M84&gt;(ROW(PLE.lastrow)-ROW(PLE.firstrow))),0,
           IF(OFFSET(PLE!$G$15,$M84-$A$15,DF$13)="",10^12,OFFSET(PLE!$G$15,$M84-$A$15,DF$13)))</f>
        <v>0</v>
      </c>
      <c r="DG84" s="172" cm="1">
        <f t="array" aca="1" ref="DG84" ca="1">IF(OR($D84&lt;&gt;"Serviço",AND(AUTOEVENTO="Manual",$M84=$A$15),$M84&gt;(ROW(PLE.lastrow)-ROW(PLE.firstrow))),0,
           IF(OFFSET(PLE!$G$15,$M84-$A$15,DG$13)="",10^12,OFFSET(PLE!$G$15,$M84-$A$15,DG$13)))</f>
        <v>0</v>
      </c>
      <c r="DH84" s="172" cm="1">
        <f t="array" aca="1" ref="DH84" ca="1">IF(OR($D84&lt;&gt;"Serviço",AND(AUTOEVENTO="Manual",$M84=$A$15),$M84&gt;(ROW(PLE.lastrow)-ROW(PLE.firstrow))),0,
           IF(OFFSET(PLE!$G$15,$M84-$A$15,DH$13)="",10^12,OFFSET(PLE!$G$15,$M84-$A$15,DH$13)))</f>
        <v>0</v>
      </c>
      <c r="DI84" s="172" cm="1">
        <f t="array" aca="1" ref="DI84" ca="1">IF(OR($D84&lt;&gt;"Serviço",AND(AUTOEVENTO="Manual",$M84=$A$15),$M84&gt;(ROW(PLE.lastrow)-ROW(PLE.firstrow))),0,
           IF(OFFSET(PLE!$G$15,$M84-$A$15,DI$13)="",10^12,OFFSET(PLE!$G$15,$M84-$A$15,DI$13)))</f>
        <v>0</v>
      </c>
      <c r="DJ84" s="172" cm="1">
        <f t="array" aca="1" ref="DJ84" ca="1">IF(OR($D84&lt;&gt;"Serviço",AND(AUTOEVENTO="Manual",$M84=$A$15),$M84&gt;(ROW(PLE.lastrow)-ROW(PLE.firstrow))),0,
           IF(OFFSET(PLE!$G$15,$M84-$A$15,DJ$13)="",10^12,OFFSET(PLE!$G$15,$M84-$A$15,DJ$13)))</f>
        <v>0</v>
      </c>
      <c r="DK84" s="172" cm="1">
        <f t="array" aca="1" ref="DK84" ca="1">IF(OR($D84&lt;&gt;"Serviço",AND(AUTOEVENTO="Manual",$M84=$A$15),$M84&gt;(ROW(PLE.lastrow)-ROW(PLE.firstrow))),0,
           IF(OFFSET(PLE!$G$15,$M84-$A$15,DK$13)="",10^12,OFFSET(PLE!$G$15,$M84-$A$15,DK$13)))</f>
        <v>0</v>
      </c>
      <c r="DL84" s="172" cm="1">
        <f t="array" aca="1" ref="DL84" ca="1">IF(OR($D84&lt;&gt;"Serviço",AND(AUTOEVENTO="Manual",$M84=$A$15),$M84&gt;(ROW(PLE.lastrow)-ROW(PLE.firstrow))),0,
           IF(OFFSET(PLE!$G$15,$M84-$A$15,DL$13)="",10^12,OFFSET(PLE!$G$15,$M84-$A$15,DL$13)))</f>
        <v>0</v>
      </c>
      <c r="DM84" s="172" cm="1">
        <f t="array" aca="1" ref="DM84" ca="1">IF(OR($D84&lt;&gt;"Serviço",AND(AUTOEVENTO="Manual",$M84=$A$15),$M84&gt;(ROW(PLE.lastrow)-ROW(PLE.firstrow))),0,
           IF(OFFSET(PLE!$G$15,$M84-$A$15,DM$13)="",10^12,OFFSET(PLE!$G$15,$M84-$A$15,DM$13)))</f>
        <v>0</v>
      </c>
      <c r="DN84" s="172" cm="1">
        <f t="array" aca="1" ref="DN84" ca="1">IF(OR($D84&lt;&gt;"Serviço",AND(AUTOEVENTO="Manual",$M84=$A$15),$M84&gt;(ROW(PLE.lastrow)-ROW(PLE.firstrow))),0,
           IF(OFFSET(PLE!$G$15,$M84-$A$15,DN$13)="",10^12,OFFSET(PLE!$G$15,$M84-$A$15,DN$13)))</f>
        <v>0</v>
      </c>
      <c r="DO84" s="172" cm="1">
        <f t="array" aca="1" ref="DO84" ca="1">IF(OR($D84&lt;&gt;"Serviço",AND(AUTOEVENTO="Manual",$M84=$A$15),$M84&gt;(ROW(PLE.lastrow)-ROW(PLE.firstrow))),0,
           IF(OFFSET(PLE!$G$15,$M84-$A$15,DO$13)="",10^12,OFFSET(PLE!$G$15,$M84-$A$15,DO$13)))</f>
        <v>0</v>
      </c>
      <c r="DP84" s="172" cm="1">
        <f t="array" aca="1" ref="DP84" ca="1">IF(OR($D84&lt;&gt;"Serviço",AND(AUTOEVENTO="Manual",$M84=$A$15),$M84&gt;(ROW(PLE.lastrow)-ROW(PLE.firstrow))),0,
           IF(OFFSET(PLE!$G$15,$M84-$A$15,DP$13)="",10^12,OFFSET(PLE!$G$15,$M84-$A$15,DP$13)))</f>
        <v>0</v>
      </c>
      <c r="DQ84" s="172" cm="1">
        <f t="array" aca="1" ref="DQ84" ca="1">IF(OR($D84&lt;&gt;"Serviço",AND(AUTOEVENTO="Manual",$M84=$A$15),$M84&gt;(ROW(PLE.lastrow)-ROW(PLE.firstrow))),0,
           IF(OFFSET(PLE!$G$15,$M84-$A$15,DQ$13)="",10^12,OFFSET(PLE!$G$15,$M84-$A$15,DQ$13)))</f>
        <v>0</v>
      </c>
      <c r="DR84" s="172" cm="1">
        <f t="array" aca="1" ref="DR84" ca="1">IF(OR($D84&lt;&gt;"Serviço",AND(AUTOEVENTO="Manual",$M84=$A$15),$M84&gt;(ROW(PLE.lastrow)-ROW(PLE.firstrow))),0,
           IF(OFFSET(PLE!$G$15,$M84-$A$15,DR$13)="",10^12,OFFSET(PLE!$G$15,$M84-$A$15,DR$13)))</f>
        <v>0</v>
      </c>
      <c r="DS84" s="172" cm="1">
        <f t="array" aca="1" ref="DS84" ca="1">IF(OR($D84&lt;&gt;"Serviço",AND(AUTOEVENTO="Manual",$M84=$A$15),$M84&gt;(ROW(PLE.lastrow)-ROW(PLE.firstrow))),0,
           IF(OFFSET(PLE!$G$15,$M84-$A$15,DS$13)="",10^12,OFFSET(PLE!$G$15,$M84-$A$15,DS$13)))</f>
        <v>0</v>
      </c>
    </row>
    <row r="85" spans="1:123" ht="38.25" x14ac:dyDescent="0.2">
      <c r="A85" s="7">
        <f t="shared" ref="A85:A116" ca="1" si="13">IFERROR(IF(AUTOEVENTO="Manual",IF(K85&lt;&gt;"",MIN(VALUE(LEFT(K85,FIND(".",K85)-1)),COUNTA(EVENTOS.Lista)),0),IF(OR($B85&gt;AUTOEVENTO,$B85="S",$B85=0),SUBSTITUTE(OFFSET($A85,-1,0),IF($D85="Serviço",".",""),""),$L85&amp;".")),0)</f>
        <v>7</v>
      </c>
      <c r="B85" s="7" t="str">
        <f ca="1">OFFSET(ORÇAMENTO!C$15,$L85,0)</f>
        <v>S</v>
      </c>
      <c r="C85" s="7" t="str">
        <f ca="1">OFFSET(ORÇAMENTO!L$15,$L85,0)</f>
        <v/>
      </c>
      <c r="D85" s="116" t="str">
        <f ca="1">OFFSET(ORÇAMENTO!N$15,$L85,0)</f>
        <v>Serviço</v>
      </c>
      <c r="E85" s="117" t="str">
        <f ca="1">OFFSET(ORÇAMENTO!O$15,$L85,0)</f>
        <v>-</v>
      </c>
      <c r="F85" s="163" t="str">
        <f ca="1">OFFSET(ORÇAMENTO!R$15,$L85,0)</f>
        <v>(Código não identificado nas referências)</v>
      </c>
      <c r="G85" s="164" t="str">
        <f ca="1">IF($D85&lt;&gt;"Serviço","",OFFSET(ORÇAMENTO!S$15,$L85,0))</f>
        <v>-</v>
      </c>
      <c r="H85" s="122" cm="1">
        <f t="array" aca="1" ref="H85" ca="1">IF($D85&lt;&gt;"Serviço",0,IF(ACOMPANHAMENTO="BM",ROUND(OFFSET(ORÇAMENTO!AJ$15,$L85,0),15-13*ORÇAMENTO!$AF$7),IF(IFERROR(CÁLCULO.FrentesPreenchidas,0)=0,0,SUM(ROUND(OFFSET($P85,0,1,1,CÁLCULO.FrentesPreenchidas),15-13*ORÇAMENTO!$AF$7)))))</f>
        <v>2721.9999999999991</v>
      </c>
      <c r="I85" s="468" t="s">
        <v>1235</v>
      </c>
      <c r="J85" s="651" t="str" cm="1">
        <f t="array" aca="1" ref="J85" ca="1">IF(OR(B85&lt;&gt;"S",CÁLCULO.FrentesPreenchidas=0),"",IF(AND(ACOMPANHAMENTO="PLE",AUTOEVENTO="Manual",OR(H85&gt;0,ORÇAMENTO!AC85="QUANT."),OR(K85="",M85=0,N85="")),"►E",IF(AND(ACOMPANHAMENTO="PLE",ORÇAMENTO!AC85="QUANT."),"►Q",IF(AND(ACOMPANHAMENTO="PLE",H85&lt;&gt;SUMPRODUCT(($Q$1:$AQ$1=1)*ROUND(Q85:AQ85,15))),"►S",IF(AND(COUNTIF($P$11:$AQ$11,"▼")=0,H85&gt;0,I85=""),"◄M","")))))</f>
        <v/>
      </c>
      <c r="K85" s="652" t="s">
        <v>1255</v>
      </c>
      <c r="L85" s="165">
        <f t="shared" ref="L85:L148" ca="1" si="14">OFFSET(L85,-1,0)+1</f>
        <v>70</v>
      </c>
      <c r="M85" s="166">
        <f ca="1">IF($D85&lt;&gt;"Serviço","",
          IF(AUTOEVENTO="manual",$A85,
                IF(ISERROR(MATCH($A85,$A$15:OFFSET($A85,-1,0),0)),MAX($M$15:OFFSET(M85,-1,0))+1,
                      INDEX($M$15:OFFSET(M85,-1,0),MATCH($A85,$A$15:OFFSET($A85,-1,0),0)))))</f>
        <v>7</v>
      </c>
      <c r="N85" s="167" t="str">
        <f ca="1">IF($D85&lt;&gt;"Serviço","",
         IF(AUTOEVENTO="Manual",
                IF($A85=0,"&lt;-- defina o número do agrupador",
                       OFFSET(EVENTOS!$D$15,$A85-$A$15,0)),
                OFFSET($F$15,$A85,0)))</f>
        <v>REVESTIMENTOS</v>
      </c>
      <c r="O85" s="168"/>
      <c r="Q85" s="168">
        <v>136.1</v>
      </c>
      <c r="R85" s="169">
        <v>136.1</v>
      </c>
      <c r="S85" s="169">
        <v>136.1</v>
      </c>
      <c r="T85" s="169">
        <v>136.1</v>
      </c>
      <c r="U85" s="169">
        <v>136.1</v>
      </c>
      <c r="V85" s="169">
        <v>136.1</v>
      </c>
      <c r="W85" s="169">
        <v>136.1</v>
      </c>
      <c r="X85" s="169">
        <v>136.1</v>
      </c>
      <c r="Y85" s="169">
        <v>136.1</v>
      </c>
      <c r="Z85" s="170">
        <v>136.1</v>
      </c>
      <c r="AA85" s="169">
        <v>136.1</v>
      </c>
      <c r="AB85" s="169">
        <v>136.1</v>
      </c>
      <c r="AC85" s="169">
        <v>136.1</v>
      </c>
      <c r="AD85" s="169">
        <v>136.1</v>
      </c>
      <c r="AE85" s="169">
        <v>136.1</v>
      </c>
      <c r="AF85" s="169">
        <v>136.1</v>
      </c>
      <c r="AG85" s="169">
        <v>136.1</v>
      </c>
      <c r="AH85" s="170">
        <v>136.1</v>
      </c>
      <c r="AI85" s="169">
        <v>136.1</v>
      </c>
      <c r="AJ85" s="169">
        <v>136.1</v>
      </c>
      <c r="AK85" s="169"/>
      <c r="AL85" s="169"/>
      <c r="AM85" s="169"/>
      <c r="AN85" s="169"/>
      <c r="AO85" s="169"/>
      <c r="AP85" s="170"/>
      <c r="AR85" s="453">
        <f ca="1">IF(AND($D85="Serviço",AR$12&lt;&gt;0,$H85&gt;0,OR(AUTOEVENTO&lt;&gt;"manual",$M85&lt;&gt;$A$15)),
        IF(Import.TipoArredondamento&lt;&gt;"TransfereGOV",
              ROUND(OFFSET($P85,0,AR$13),15-13*ORÇAMENTO!$AF$7)/$H85*OFFSET(ORÇAMENTO!$X$15,ROW(AR85)-ROW(AR$15),0),
              ROUND(ROUND(OFFSET($P85,0,AR$13),15-13*ORÇAMENTO!$AF$7)*OFFSET(ORÇAMENTO!$W$15,ROW(AR85)-ROW(AR$15),0),15-13*ORÇAMENTO!$AF$11)),
         0)</f>
        <v>0</v>
      </c>
      <c r="AS85" s="453">
        <f ca="1">IF(AND($D85="Serviço",AS$12&lt;&gt;0,$H85&gt;0,OR(AUTOEVENTO&lt;&gt;"manual",$M85&lt;&gt;$A$15)),
        IF(Import.TipoArredondamento&lt;&gt;"TransfereGOV",
              ROUND(OFFSET($P85,0,AS$13),15-13*ORÇAMENTO!$AF$7)/$H85*OFFSET(ORÇAMENTO!$X$15,ROW(AS85)-ROW(AS$15),0),
              ROUND(ROUND(OFFSET($P85,0,AS$13),15-13*ORÇAMENTO!$AF$7)*OFFSET(ORÇAMENTO!$W$15,ROW(AS85)-ROW(AS$15),0),15-13*ORÇAMENTO!$AF$11)),
         0)</f>
        <v>0</v>
      </c>
      <c r="AT85" s="453">
        <f ca="1">IF(AND($D85="Serviço",AT$12&lt;&gt;0,$H85&gt;0,OR(AUTOEVENTO&lt;&gt;"manual",$M85&lt;&gt;$A$15)),
        IF(Import.TipoArredondamento&lt;&gt;"TransfereGOV",
              ROUND(OFFSET($P85,0,AT$13),15-13*ORÇAMENTO!$AF$7)/$H85*OFFSET(ORÇAMENTO!$X$15,ROW(AT85)-ROW(AT$15),0),
              ROUND(ROUND(OFFSET($P85,0,AT$13),15-13*ORÇAMENTO!$AF$7)*OFFSET(ORÇAMENTO!$W$15,ROW(AT85)-ROW(AT$15),0),15-13*ORÇAMENTO!$AF$11)),
         0)</f>
        <v>0</v>
      </c>
      <c r="AU85" s="453">
        <f ca="1">IF(AND($D85="Serviço",AU$12&lt;&gt;0,$H85&gt;0,OR(AUTOEVENTO&lt;&gt;"manual",$M85&lt;&gt;$A$15)),
        IF(Import.TipoArredondamento&lt;&gt;"TransfereGOV",
              ROUND(OFFSET($P85,0,AU$13),15-13*ORÇAMENTO!$AF$7)/$H85*OFFSET(ORÇAMENTO!$X$15,ROW(AU85)-ROW(AU$15),0),
              ROUND(ROUND(OFFSET($P85,0,AU$13),15-13*ORÇAMENTO!$AF$7)*OFFSET(ORÇAMENTO!$W$15,ROW(AU85)-ROW(AU$15),0),15-13*ORÇAMENTO!$AF$11)),
         0)</f>
        <v>0</v>
      </c>
      <c r="AV85" s="453">
        <f ca="1">IF(AND($D85="Serviço",AV$12&lt;&gt;0,$H85&gt;0,OR(AUTOEVENTO&lt;&gt;"manual",$M85&lt;&gt;$A$15)),
        IF(Import.TipoArredondamento&lt;&gt;"TransfereGOV",
              ROUND(OFFSET($P85,0,AV$13),15-13*ORÇAMENTO!$AF$7)/$H85*OFFSET(ORÇAMENTO!$X$15,ROW(AV85)-ROW(AV$15),0),
              ROUND(ROUND(OFFSET($P85,0,AV$13),15-13*ORÇAMENTO!$AF$7)*OFFSET(ORÇAMENTO!$W$15,ROW(AV85)-ROW(AV$15),0),15-13*ORÇAMENTO!$AF$11)),
         0)</f>
        <v>0</v>
      </c>
      <c r="AW85" s="453">
        <f ca="1">IF(AND($D85="Serviço",AW$12&lt;&gt;0,$H85&gt;0,OR(AUTOEVENTO&lt;&gt;"manual",$M85&lt;&gt;$A$15)),
        IF(Import.TipoArredondamento&lt;&gt;"TransfereGOV",
              ROUND(OFFSET($P85,0,AW$13),15-13*ORÇAMENTO!$AF$7)/$H85*OFFSET(ORÇAMENTO!$X$15,ROW(AW85)-ROW(AW$15),0),
              ROUND(ROUND(OFFSET($P85,0,AW$13),15-13*ORÇAMENTO!$AF$7)*OFFSET(ORÇAMENTO!$W$15,ROW(AW85)-ROW(AW$15),0),15-13*ORÇAMENTO!$AF$11)),
         0)</f>
        <v>0</v>
      </c>
      <c r="AX85" s="453">
        <f ca="1">IF(AND($D85="Serviço",AX$12&lt;&gt;0,$H85&gt;0,OR(AUTOEVENTO&lt;&gt;"manual",$M85&lt;&gt;$A$15)),
        IF(Import.TipoArredondamento&lt;&gt;"TransfereGOV",
              ROUND(OFFSET($P85,0,AX$13),15-13*ORÇAMENTO!$AF$7)/$H85*OFFSET(ORÇAMENTO!$X$15,ROW(AX85)-ROW(AX$15),0),
              ROUND(ROUND(OFFSET($P85,0,AX$13),15-13*ORÇAMENTO!$AF$7)*OFFSET(ORÇAMENTO!$W$15,ROW(AX85)-ROW(AX$15),0),15-13*ORÇAMENTO!$AF$11)),
         0)</f>
        <v>0</v>
      </c>
      <c r="AY85" s="453">
        <f ca="1">IF(AND($D85="Serviço",AY$12&lt;&gt;0,$H85&gt;0,OR(AUTOEVENTO&lt;&gt;"manual",$M85&lt;&gt;$A$15)),
        IF(Import.TipoArredondamento&lt;&gt;"TransfereGOV",
              ROUND(OFFSET($P85,0,AY$13),15-13*ORÇAMENTO!$AF$7)/$H85*OFFSET(ORÇAMENTO!$X$15,ROW(AY85)-ROW(AY$15),0),
              ROUND(ROUND(OFFSET($P85,0,AY$13),15-13*ORÇAMENTO!$AF$7)*OFFSET(ORÇAMENTO!$W$15,ROW(AY85)-ROW(AY$15),0),15-13*ORÇAMENTO!$AF$11)),
         0)</f>
        <v>0</v>
      </c>
      <c r="AZ85" s="453">
        <f ca="1">IF(AND($D85="Serviço",AZ$12&lt;&gt;0,$H85&gt;0,OR(AUTOEVENTO&lt;&gt;"manual",$M85&lt;&gt;$A$15)),
        IF(Import.TipoArredondamento&lt;&gt;"TransfereGOV",
              ROUND(OFFSET($P85,0,AZ$13),15-13*ORÇAMENTO!$AF$7)/$H85*OFFSET(ORÇAMENTO!$X$15,ROW(AZ85)-ROW(AZ$15),0),
              ROUND(ROUND(OFFSET($P85,0,AZ$13),15-13*ORÇAMENTO!$AF$7)*OFFSET(ORÇAMENTO!$W$15,ROW(AZ85)-ROW(AZ$15),0),15-13*ORÇAMENTO!$AF$11)),
         0)</f>
        <v>0</v>
      </c>
      <c r="BA85" s="453">
        <f ca="1">IF(AND($D85="Serviço",BA$12&lt;&gt;0,$H85&gt;0,OR(AUTOEVENTO&lt;&gt;"manual",$M85&lt;&gt;$A$15)),
        IF(Import.TipoArredondamento&lt;&gt;"TransfereGOV",
              ROUND(OFFSET($P85,0,BA$13),15-13*ORÇAMENTO!$AF$7)/$H85*OFFSET(ORÇAMENTO!$X$15,ROW(BA85)-ROW(BA$15),0),
              ROUND(ROUND(OFFSET($P85,0,BA$13),15-13*ORÇAMENTO!$AF$7)*OFFSET(ORÇAMENTO!$W$15,ROW(BA85)-ROW(BA$15),0),15-13*ORÇAMENTO!$AF$11)),
         0)</f>
        <v>0</v>
      </c>
      <c r="BB85" s="453">
        <f ca="1">IF(AND($D85="Serviço",BB$12&lt;&gt;0,$H85&gt;0,OR(AUTOEVENTO&lt;&gt;"manual",$M85&lt;&gt;$A$15)),
        IF(Import.TipoArredondamento&lt;&gt;"TransfereGOV",
              ROUND(OFFSET($P85,0,BB$13),15-13*ORÇAMENTO!$AF$7)/$H85*OFFSET(ORÇAMENTO!$X$15,ROW(BB85)-ROW(BB$15),0),
              ROUND(ROUND(OFFSET($P85,0,BB$13),15-13*ORÇAMENTO!$AF$7)*OFFSET(ORÇAMENTO!$W$15,ROW(BB85)-ROW(BB$15),0),15-13*ORÇAMENTO!$AF$11)),
         0)</f>
        <v>0</v>
      </c>
      <c r="BC85" s="453">
        <f ca="1">IF(AND($D85="Serviço",BC$12&lt;&gt;0,$H85&gt;0,OR(AUTOEVENTO&lt;&gt;"manual",$M85&lt;&gt;$A$15)),
        IF(Import.TipoArredondamento&lt;&gt;"TransfereGOV",
              ROUND(OFFSET($P85,0,BC$13),15-13*ORÇAMENTO!$AF$7)/$H85*OFFSET(ORÇAMENTO!$X$15,ROW(BC85)-ROW(BC$15),0),
              ROUND(ROUND(OFFSET($P85,0,BC$13),15-13*ORÇAMENTO!$AF$7)*OFFSET(ORÇAMENTO!$W$15,ROW(BC85)-ROW(BC$15),0),15-13*ORÇAMENTO!$AF$11)),
         0)</f>
        <v>0</v>
      </c>
      <c r="BD85" s="453">
        <f ca="1">IF(AND($D85="Serviço",BD$12&lt;&gt;0,$H85&gt;0,OR(AUTOEVENTO&lt;&gt;"manual",$M85&lt;&gt;$A$15)),
        IF(Import.TipoArredondamento&lt;&gt;"TransfereGOV",
              ROUND(OFFSET($P85,0,BD$13),15-13*ORÇAMENTO!$AF$7)/$H85*OFFSET(ORÇAMENTO!$X$15,ROW(BD85)-ROW(BD$15),0),
              ROUND(ROUND(OFFSET($P85,0,BD$13),15-13*ORÇAMENTO!$AF$7)*OFFSET(ORÇAMENTO!$W$15,ROW(BD85)-ROW(BD$15),0),15-13*ORÇAMENTO!$AF$11)),
         0)</f>
        <v>0</v>
      </c>
      <c r="BE85" s="453">
        <f ca="1">IF(AND($D85="Serviço",BE$12&lt;&gt;0,$H85&gt;0,OR(AUTOEVENTO&lt;&gt;"manual",$M85&lt;&gt;$A$15)),
        IF(Import.TipoArredondamento&lt;&gt;"TransfereGOV",
              ROUND(OFFSET($P85,0,BE$13),15-13*ORÇAMENTO!$AF$7)/$H85*OFFSET(ORÇAMENTO!$X$15,ROW(BE85)-ROW(BE$15),0),
              ROUND(ROUND(OFFSET($P85,0,BE$13),15-13*ORÇAMENTO!$AF$7)*OFFSET(ORÇAMENTO!$W$15,ROW(BE85)-ROW(BE$15),0),15-13*ORÇAMENTO!$AF$11)),
         0)</f>
        <v>0</v>
      </c>
      <c r="BF85" s="453">
        <f ca="1">IF(AND($D85="Serviço",BF$12&lt;&gt;0,$H85&gt;0,OR(AUTOEVENTO&lt;&gt;"manual",$M85&lt;&gt;$A$15)),
        IF(Import.TipoArredondamento&lt;&gt;"TransfereGOV",
              ROUND(OFFSET($P85,0,BF$13),15-13*ORÇAMENTO!$AF$7)/$H85*OFFSET(ORÇAMENTO!$X$15,ROW(BF85)-ROW(BF$15),0),
              ROUND(ROUND(OFFSET($P85,0,BF$13),15-13*ORÇAMENTO!$AF$7)*OFFSET(ORÇAMENTO!$W$15,ROW(BF85)-ROW(BF$15),0),15-13*ORÇAMENTO!$AF$11)),
         0)</f>
        <v>0</v>
      </c>
      <c r="BG85" s="453">
        <f ca="1">IF(AND($D85="Serviço",BG$12&lt;&gt;0,$H85&gt;0,OR(AUTOEVENTO&lt;&gt;"manual",$M85&lt;&gt;$A$15)),
        IF(Import.TipoArredondamento&lt;&gt;"TransfereGOV",
              ROUND(OFFSET($P85,0,BG$13),15-13*ORÇAMENTO!$AF$7)/$H85*OFFSET(ORÇAMENTO!$X$15,ROW(BG85)-ROW(BG$15),0),
              ROUND(ROUND(OFFSET($P85,0,BG$13),15-13*ORÇAMENTO!$AF$7)*OFFSET(ORÇAMENTO!$W$15,ROW(BG85)-ROW(BG$15),0),15-13*ORÇAMENTO!$AF$11)),
         0)</f>
        <v>0</v>
      </c>
      <c r="BH85" s="453">
        <f ca="1">IF(AND($D85="Serviço",BH$12&lt;&gt;0,$H85&gt;0,OR(AUTOEVENTO&lt;&gt;"manual",$M85&lt;&gt;$A$15)),
        IF(Import.TipoArredondamento&lt;&gt;"TransfereGOV",
              ROUND(OFFSET($P85,0,BH$13),15-13*ORÇAMENTO!$AF$7)/$H85*OFFSET(ORÇAMENTO!$X$15,ROW(BH85)-ROW(BH$15),0),
              ROUND(ROUND(OFFSET($P85,0,BH$13),15-13*ORÇAMENTO!$AF$7)*OFFSET(ORÇAMENTO!$W$15,ROW(BH85)-ROW(BH$15),0),15-13*ORÇAMENTO!$AF$11)),
         0)</f>
        <v>0</v>
      </c>
      <c r="BI85" s="453">
        <f ca="1">IF(AND($D85="Serviço",BI$12&lt;&gt;0,$H85&gt;0,OR(AUTOEVENTO&lt;&gt;"manual",$M85&lt;&gt;$A$15)),
        IF(Import.TipoArredondamento&lt;&gt;"TransfereGOV",
              ROUND(OFFSET($P85,0,BI$13),15-13*ORÇAMENTO!$AF$7)/$H85*OFFSET(ORÇAMENTO!$X$15,ROW(BI85)-ROW(BI$15),0),
              ROUND(ROUND(OFFSET($P85,0,BI$13),15-13*ORÇAMENTO!$AF$7)*OFFSET(ORÇAMENTO!$W$15,ROW(BI85)-ROW(BI$15),0),15-13*ORÇAMENTO!$AF$11)),
         0)</f>
        <v>0</v>
      </c>
      <c r="BJ85" s="453">
        <f ca="1">IF(AND($D85="Serviço",BJ$12&lt;&gt;0,$H85&gt;0,OR(AUTOEVENTO&lt;&gt;"manual",$M85&lt;&gt;$A$15)),
        IF(Import.TipoArredondamento&lt;&gt;"TransfereGOV",
              ROUND(OFFSET($P85,0,BJ$13),15-13*ORÇAMENTO!$AF$7)/$H85*OFFSET(ORÇAMENTO!$X$15,ROW(BJ85)-ROW(BJ$15),0),
              ROUND(ROUND(OFFSET($P85,0,BJ$13),15-13*ORÇAMENTO!$AF$7)*OFFSET(ORÇAMENTO!$W$15,ROW(BJ85)-ROW(BJ$15),0),15-13*ORÇAMENTO!$AF$11)),
         0)</f>
        <v>0</v>
      </c>
      <c r="BK85" s="453">
        <f ca="1">IF(AND($D85="Serviço",BK$12&lt;&gt;0,$H85&gt;0,OR(AUTOEVENTO&lt;&gt;"manual",$M85&lt;&gt;$A$15)),
        IF(Import.TipoArredondamento&lt;&gt;"TransfereGOV",
              ROUND(OFFSET($P85,0,BK$13),15-13*ORÇAMENTO!$AF$7)/$H85*OFFSET(ORÇAMENTO!$X$15,ROW(BK85)-ROW(BK$15),0),
              ROUND(ROUND(OFFSET($P85,0,BK$13),15-13*ORÇAMENTO!$AF$7)*OFFSET(ORÇAMENTO!$W$15,ROW(BK85)-ROW(BK$15),0),15-13*ORÇAMENTO!$AF$11)),
         0)</f>
        <v>0</v>
      </c>
      <c r="BL85" s="453">
        <f ca="1">IF(AND($D85="Serviço",BL$12&lt;&gt;0,$H85&gt;0,OR(AUTOEVENTO&lt;&gt;"manual",$M85&lt;&gt;$A$15)),
        IF(Import.TipoArredondamento&lt;&gt;"TransfereGOV",
              ROUND(OFFSET($P85,0,BL$13),15-13*ORÇAMENTO!$AF$7)/$H85*OFFSET(ORÇAMENTO!$X$15,ROW(BL85)-ROW(BL$15),0),
              ROUND(ROUND(OFFSET($P85,0,BL$13),15-13*ORÇAMENTO!$AF$7)*OFFSET(ORÇAMENTO!$W$15,ROW(BL85)-ROW(BL$15),0),15-13*ORÇAMENTO!$AF$11)),
         0)</f>
        <v>0</v>
      </c>
      <c r="BM85" s="453">
        <f ca="1">IF(AND($D85="Serviço",BM$12&lt;&gt;0,$H85&gt;0,OR(AUTOEVENTO&lt;&gt;"manual",$M85&lt;&gt;$A$15)),
        IF(Import.TipoArredondamento&lt;&gt;"TransfereGOV",
              ROUND(OFFSET($P85,0,BM$13),15-13*ORÇAMENTO!$AF$7)/$H85*OFFSET(ORÇAMENTO!$X$15,ROW(BM85)-ROW(BM$15),0),
              ROUND(ROUND(OFFSET($P85,0,BM$13),15-13*ORÇAMENTO!$AF$7)*OFFSET(ORÇAMENTO!$W$15,ROW(BM85)-ROW(BM$15),0),15-13*ORÇAMENTO!$AF$11)),
         0)</f>
        <v>0</v>
      </c>
      <c r="BN85" s="453">
        <f ca="1">IF(AND($D85="Serviço",BN$12&lt;&gt;0,$H85&gt;0,OR(AUTOEVENTO&lt;&gt;"manual",$M85&lt;&gt;$A$15)),
        IF(Import.TipoArredondamento&lt;&gt;"TransfereGOV",
              ROUND(OFFSET($P85,0,BN$13),15-13*ORÇAMENTO!$AF$7)/$H85*OFFSET(ORÇAMENTO!$X$15,ROW(BN85)-ROW(BN$15),0),
              ROUND(ROUND(OFFSET($P85,0,BN$13),15-13*ORÇAMENTO!$AF$7)*OFFSET(ORÇAMENTO!$W$15,ROW(BN85)-ROW(BN$15),0),15-13*ORÇAMENTO!$AF$11)),
         0)</f>
        <v>0</v>
      </c>
      <c r="BO85" s="453">
        <f ca="1">IF(AND($D85="Serviço",BO$12&lt;&gt;0,$H85&gt;0,OR(AUTOEVENTO&lt;&gt;"manual",$M85&lt;&gt;$A$15)),
        IF(Import.TipoArredondamento&lt;&gt;"TransfereGOV",
              ROUND(OFFSET($P85,0,BO$13),15-13*ORÇAMENTO!$AF$7)/$H85*OFFSET(ORÇAMENTO!$X$15,ROW(BO85)-ROW(BO$15),0),
              ROUND(ROUND(OFFSET($P85,0,BO$13),15-13*ORÇAMENTO!$AF$7)*OFFSET(ORÇAMENTO!$W$15,ROW(BO85)-ROW(BO$15),0),15-13*ORÇAMENTO!$AF$11)),
         0)</f>
        <v>0</v>
      </c>
      <c r="BP85" s="453">
        <f ca="1">IF(AND($D85="Serviço",BP$12&lt;&gt;0,$H85&gt;0,OR(AUTOEVENTO&lt;&gt;"manual",$M85&lt;&gt;$A$15)),
        IF(Import.TipoArredondamento&lt;&gt;"TransfereGOV",
              ROUND(OFFSET($P85,0,BP$13),15-13*ORÇAMENTO!$AF$7)/$H85*OFFSET(ORÇAMENTO!$X$15,ROW(BP85)-ROW(BP$15),0),
              ROUND(ROUND(OFFSET($P85,0,BP$13),15-13*ORÇAMENTO!$AF$7)*OFFSET(ORÇAMENTO!$W$15,ROW(BP85)-ROW(BP$15),0),15-13*ORÇAMENTO!$AF$11)),
         0)</f>
        <v>0</v>
      </c>
      <c r="BQ85" s="453">
        <f ca="1">IF(AND($D85="Serviço",BQ$12&lt;&gt;0,$H85&gt;0,OR(AUTOEVENTO&lt;&gt;"manual",$M85&lt;&gt;$A$15)),
        IF(Import.TipoArredondamento&lt;&gt;"TransfereGOV",
              ROUND(OFFSET($P85,0,BQ$13),15-13*ORÇAMENTO!$AF$7)/$H85*OFFSET(ORÇAMENTO!$X$15,ROW(BQ85)-ROW(BQ$15),0),
              ROUND(ROUND(OFFSET($P85,0,BQ$13),15-13*ORÇAMENTO!$AF$7)*OFFSET(ORÇAMENTO!$W$15,ROW(BQ85)-ROW(BQ$15),0),15-13*ORÇAMENTO!$AF$11)),
         0)</f>
        <v>0</v>
      </c>
      <c r="BS85" s="171">
        <f ca="1">IF(OR($D85&lt;&gt;"Serviço",AND(AUTOEVENTO="Manual",$M85=$A$15)),0,
         IF(OFFSET(CRONOPLE!$F$15,$M85-$A$15,BS$13)=0,10^12,OFFSET(CRONOPLE!$F$15,$M85-$A$15,BS$13)))</f>
        <v>1</v>
      </c>
      <c r="BT85" s="171">
        <f ca="1">IF(OR($D85&lt;&gt;"Serviço",AND(AUTOEVENTO="Manual",$M85=$A$15)),0,
         IF(OFFSET(CRONOPLE!$F$15,$M85-$A$15,BT$13)=0,10^12,OFFSET(CRONOPLE!$F$15,$M85-$A$15,BT$13)))</f>
        <v>2</v>
      </c>
      <c r="BU85" s="171">
        <f ca="1">IF(OR($D85&lt;&gt;"Serviço",AND(AUTOEVENTO="Manual",$M85=$A$15)),0,
         IF(OFFSET(CRONOPLE!$F$15,$M85-$A$15,BU$13)=0,10^12,OFFSET(CRONOPLE!$F$15,$M85-$A$15,BU$13)))</f>
        <v>3</v>
      </c>
      <c r="BV85" s="171">
        <f ca="1">IF(OR($D85&lt;&gt;"Serviço",AND(AUTOEVENTO="Manual",$M85=$A$15)),0,
         IF(OFFSET(CRONOPLE!$F$15,$M85-$A$15,BV$13)=0,10^12,OFFSET(CRONOPLE!$F$15,$M85-$A$15,BV$13)))</f>
        <v>4</v>
      </c>
      <c r="BW85" s="171">
        <f ca="1">IF(OR($D85&lt;&gt;"Serviço",AND(AUTOEVENTO="Manual",$M85=$A$15)),0,
         IF(OFFSET(CRONOPLE!$F$15,$M85-$A$15,BW$13)=0,10^12,OFFSET(CRONOPLE!$F$15,$M85-$A$15,BW$13)))</f>
        <v>5</v>
      </c>
      <c r="BX85" s="171">
        <f ca="1">IF(OR($D85&lt;&gt;"Serviço",AND(AUTOEVENTO="Manual",$M85=$A$15)),0,
         IF(OFFSET(CRONOPLE!$F$15,$M85-$A$15,BX$13)=0,10^12,OFFSET(CRONOPLE!$F$15,$M85-$A$15,BX$13)))</f>
        <v>6</v>
      </c>
      <c r="BY85" s="171">
        <f ca="1">IF(OR($D85&lt;&gt;"Serviço",AND(AUTOEVENTO="Manual",$M85=$A$15)),0,
         IF(OFFSET(CRONOPLE!$F$15,$M85-$A$15,BY$13)=0,10^12,OFFSET(CRONOPLE!$F$15,$M85-$A$15,BY$13)))</f>
        <v>7</v>
      </c>
      <c r="BZ85" s="171">
        <f ca="1">IF(OR($D85&lt;&gt;"Serviço",AND(AUTOEVENTO="Manual",$M85=$A$15)),0,
         IF(OFFSET(CRONOPLE!$F$15,$M85-$A$15,BZ$13)=0,10^12,OFFSET(CRONOPLE!$F$15,$M85-$A$15,BZ$13)))</f>
        <v>8</v>
      </c>
      <c r="CA85" s="171">
        <f ca="1">IF(OR($D85&lt;&gt;"Serviço",AND(AUTOEVENTO="Manual",$M85=$A$15)),0,
         IF(OFFSET(CRONOPLE!$F$15,$M85-$A$15,CA$13)=0,10^12,OFFSET(CRONOPLE!$F$15,$M85-$A$15,CA$13)))</f>
        <v>9</v>
      </c>
      <c r="CB85" s="171">
        <f ca="1">IF(OR($D85&lt;&gt;"Serviço",AND(AUTOEVENTO="Manual",$M85=$A$15)),0,
         IF(OFFSET(CRONOPLE!$F$15,$M85-$A$15,CB$13)=0,10^12,OFFSET(CRONOPLE!$F$15,$M85-$A$15,CB$13)))</f>
        <v>10</v>
      </c>
      <c r="CC85" s="171">
        <f ca="1">IF(OR($D85&lt;&gt;"Serviço",AND(AUTOEVENTO="Manual",$M85=$A$15)),0,
         IF(OFFSET(CRONOPLE!$F$15,$M85-$A$15,CC$13)=0,10^12,OFFSET(CRONOPLE!$F$15,$M85-$A$15,CC$13)))</f>
        <v>11</v>
      </c>
      <c r="CD85" s="171">
        <f ca="1">IF(OR($D85&lt;&gt;"Serviço",AND(AUTOEVENTO="Manual",$M85=$A$15)),0,
         IF(OFFSET(CRONOPLE!$F$15,$M85-$A$15,CD$13)=0,10^12,OFFSET(CRONOPLE!$F$15,$M85-$A$15,CD$13)))</f>
        <v>12</v>
      </c>
      <c r="CE85" s="171">
        <f ca="1">IF(OR($D85&lt;&gt;"Serviço",AND(AUTOEVENTO="Manual",$M85=$A$15)),0,
         IF(OFFSET(CRONOPLE!$F$15,$M85-$A$15,CE$13)=0,10^12,OFFSET(CRONOPLE!$F$15,$M85-$A$15,CE$13)))</f>
        <v>13</v>
      </c>
      <c r="CF85" s="171">
        <f ca="1">IF(OR($D85&lt;&gt;"Serviço",AND(AUTOEVENTO="Manual",$M85=$A$15)),0,
         IF(OFFSET(CRONOPLE!$F$15,$M85-$A$15,CF$13)=0,10^12,OFFSET(CRONOPLE!$F$15,$M85-$A$15,CF$13)))</f>
        <v>14</v>
      </c>
      <c r="CG85" s="171">
        <f ca="1">IF(OR($D85&lt;&gt;"Serviço",AND(AUTOEVENTO="Manual",$M85=$A$15)),0,
         IF(OFFSET(CRONOPLE!$F$15,$M85-$A$15,CG$13)=0,10^12,OFFSET(CRONOPLE!$F$15,$M85-$A$15,CG$13)))</f>
        <v>15</v>
      </c>
      <c r="CH85" s="171">
        <f ca="1">IF(OR($D85&lt;&gt;"Serviço",AND(AUTOEVENTO="Manual",$M85=$A$15)),0,
         IF(OFFSET(CRONOPLE!$F$15,$M85-$A$15,CH$13)=0,10^12,OFFSET(CRONOPLE!$F$15,$M85-$A$15,CH$13)))</f>
        <v>16</v>
      </c>
      <c r="CI85" s="171">
        <f ca="1">IF(OR($D85&lt;&gt;"Serviço",AND(AUTOEVENTO="Manual",$M85=$A$15)),0,
         IF(OFFSET(CRONOPLE!$F$15,$M85-$A$15,CI$13)=0,10^12,OFFSET(CRONOPLE!$F$15,$M85-$A$15,CI$13)))</f>
        <v>17</v>
      </c>
      <c r="CJ85" s="171">
        <f ca="1">IF(OR($D85&lt;&gt;"Serviço",AND(AUTOEVENTO="Manual",$M85=$A$15)),0,
         IF(OFFSET(CRONOPLE!$F$15,$M85-$A$15,CJ$13)=0,10^12,OFFSET(CRONOPLE!$F$15,$M85-$A$15,CJ$13)))</f>
        <v>18</v>
      </c>
      <c r="CK85" s="171">
        <f ca="1">IF(OR($D85&lt;&gt;"Serviço",AND(AUTOEVENTO="Manual",$M85=$A$15)),0,
         IF(OFFSET(CRONOPLE!$F$15,$M85-$A$15,CK$13)=0,10^12,OFFSET(CRONOPLE!$F$15,$M85-$A$15,CK$13)))</f>
        <v>19</v>
      </c>
      <c r="CL85" s="171">
        <f ca="1">IF(OR($D85&lt;&gt;"Serviço",AND(AUTOEVENTO="Manual",$M85=$A$15)),0,
         IF(OFFSET(CRONOPLE!$F$15,$M85-$A$15,CL$13)=0,10^12,OFFSET(CRONOPLE!$F$15,$M85-$A$15,CL$13)))</f>
        <v>20</v>
      </c>
      <c r="CM85" s="171">
        <f ca="1">IF(OR($D85&lt;&gt;"Serviço",AND(AUTOEVENTO="Manual",$M85=$A$15)),0,
         IF(OFFSET(CRONOPLE!$F$15,$M85-$A$15,CM$13)=0,10^12,OFFSET(CRONOPLE!$F$15,$M85-$A$15,CM$13)))</f>
        <v>1000000000000</v>
      </c>
      <c r="CN85" s="171">
        <f ca="1">IF(OR($D85&lt;&gt;"Serviço",AND(AUTOEVENTO="Manual",$M85=$A$15)),0,
         IF(OFFSET(CRONOPLE!$F$15,$M85-$A$15,CN$13)=0,10^12,OFFSET(CRONOPLE!$F$15,$M85-$A$15,CN$13)))</f>
        <v>1000000000000</v>
      </c>
      <c r="CO85" s="171">
        <f ca="1">IF(OR($D85&lt;&gt;"Serviço",AND(AUTOEVENTO="Manual",$M85=$A$15)),0,
         IF(OFFSET(CRONOPLE!$F$15,$M85-$A$15,CO$13)=0,10^12,OFFSET(CRONOPLE!$F$15,$M85-$A$15,CO$13)))</f>
        <v>1000000000000</v>
      </c>
      <c r="CP85" s="171">
        <f ca="1">IF(OR($D85&lt;&gt;"Serviço",AND(AUTOEVENTO="Manual",$M85=$A$15)),0,
         IF(OFFSET(CRONOPLE!$F$15,$M85-$A$15,CP$13)=0,10^12,OFFSET(CRONOPLE!$F$15,$M85-$A$15,CP$13)))</f>
        <v>1000000000000</v>
      </c>
      <c r="CQ85" s="171">
        <f ca="1">IF(OR($D85&lt;&gt;"Serviço",AND(AUTOEVENTO="Manual",$M85=$A$15)),0,
         IF(OFFSET(CRONOPLE!$F$15,$M85-$A$15,CQ$13)=0,10^12,OFFSET(CRONOPLE!$F$15,$M85-$A$15,CQ$13)))</f>
        <v>1000000000000</v>
      </c>
      <c r="CR85" s="171">
        <f ca="1">IF(OR($D85&lt;&gt;"Serviço",AND(AUTOEVENTO="Manual",$M85=$A$15)),0,
         IF(OFFSET(CRONOPLE!$F$15,$M85-$A$15,CR$13)=0,10^12,OFFSET(CRONOPLE!$F$15,$M85-$A$15,CR$13)))</f>
        <v>1000000000000</v>
      </c>
      <c r="CT85" s="172" cm="1">
        <f t="array" aca="1" ref="CT85" ca="1">IF(OR($D85&lt;&gt;"Serviço",AND(AUTOEVENTO="Manual",$M85=$A$15),$M85&gt;(ROW(PLE.lastrow)-ROW(PLE.firstrow))),0,
           IF(OFFSET(PLE!$G$15,$M85-$A$15,CT$13)="",10^12,OFFSET(PLE!$G$15,$M85-$A$15,CT$13)))</f>
        <v>1000000000000</v>
      </c>
      <c r="CU85" s="172" cm="1">
        <f t="array" aca="1" ref="CU85" ca="1">IF(OR($D85&lt;&gt;"Serviço",AND(AUTOEVENTO="Manual",$M85=$A$15),$M85&gt;(ROW(PLE.lastrow)-ROW(PLE.firstrow))),0,
           IF(OFFSET(PLE!$G$15,$M85-$A$15,CU$13)="",10^12,OFFSET(PLE!$G$15,$M85-$A$15,CU$13)))</f>
        <v>1000000000000</v>
      </c>
      <c r="CV85" s="172" cm="1">
        <f t="array" aca="1" ref="CV85" ca="1">IF(OR($D85&lt;&gt;"Serviço",AND(AUTOEVENTO="Manual",$M85=$A$15),$M85&gt;(ROW(PLE.lastrow)-ROW(PLE.firstrow))),0,
           IF(OFFSET(PLE!$G$15,$M85-$A$15,CV$13)="",10^12,OFFSET(PLE!$G$15,$M85-$A$15,CV$13)))</f>
        <v>1000000000000</v>
      </c>
      <c r="CW85" s="172" cm="1">
        <f t="array" aca="1" ref="CW85" ca="1">IF(OR($D85&lt;&gt;"Serviço",AND(AUTOEVENTO="Manual",$M85=$A$15),$M85&gt;(ROW(PLE.lastrow)-ROW(PLE.firstrow))),0,
           IF(OFFSET(PLE!$G$15,$M85-$A$15,CW$13)="",10^12,OFFSET(PLE!$G$15,$M85-$A$15,CW$13)))</f>
        <v>1000000000000</v>
      </c>
      <c r="CX85" s="172" cm="1">
        <f t="array" aca="1" ref="CX85" ca="1">IF(OR($D85&lt;&gt;"Serviço",AND(AUTOEVENTO="Manual",$M85=$A$15),$M85&gt;(ROW(PLE.lastrow)-ROW(PLE.firstrow))),0,
           IF(OFFSET(PLE!$G$15,$M85-$A$15,CX$13)="",10^12,OFFSET(PLE!$G$15,$M85-$A$15,CX$13)))</f>
        <v>1000000000000</v>
      </c>
      <c r="CY85" s="172" cm="1">
        <f t="array" aca="1" ref="CY85" ca="1">IF(OR($D85&lt;&gt;"Serviço",AND(AUTOEVENTO="Manual",$M85=$A$15),$M85&gt;(ROW(PLE.lastrow)-ROW(PLE.firstrow))),0,
           IF(OFFSET(PLE!$G$15,$M85-$A$15,CY$13)="",10^12,OFFSET(PLE!$G$15,$M85-$A$15,CY$13)))</f>
        <v>1000000000000</v>
      </c>
      <c r="CZ85" s="172" cm="1">
        <f t="array" aca="1" ref="CZ85" ca="1">IF(OR($D85&lt;&gt;"Serviço",AND(AUTOEVENTO="Manual",$M85=$A$15),$M85&gt;(ROW(PLE.lastrow)-ROW(PLE.firstrow))),0,
           IF(OFFSET(PLE!$G$15,$M85-$A$15,CZ$13)="",10^12,OFFSET(PLE!$G$15,$M85-$A$15,CZ$13)))</f>
        <v>1000000000000</v>
      </c>
      <c r="DA85" s="172" cm="1">
        <f t="array" aca="1" ref="DA85" ca="1">IF(OR($D85&lt;&gt;"Serviço",AND(AUTOEVENTO="Manual",$M85=$A$15),$M85&gt;(ROW(PLE.lastrow)-ROW(PLE.firstrow))),0,
           IF(OFFSET(PLE!$G$15,$M85-$A$15,DA$13)="",10^12,OFFSET(PLE!$G$15,$M85-$A$15,DA$13)))</f>
        <v>1000000000000</v>
      </c>
      <c r="DB85" s="172" cm="1">
        <f t="array" aca="1" ref="DB85" ca="1">IF(OR($D85&lt;&gt;"Serviço",AND(AUTOEVENTO="Manual",$M85=$A$15),$M85&gt;(ROW(PLE.lastrow)-ROW(PLE.firstrow))),0,
           IF(OFFSET(PLE!$G$15,$M85-$A$15,DB$13)="",10^12,OFFSET(PLE!$G$15,$M85-$A$15,DB$13)))</f>
        <v>1000000000000</v>
      </c>
      <c r="DC85" s="172" cm="1">
        <f t="array" aca="1" ref="DC85" ca="1">IF(OR($D85&lt;&gt;"Serviço",AND(AUTOEVENTO="Manual",$M85=$A$15),$M85&gt;(ROW(PLE.lastrow)-ROW(PLE.firstrow))),0,
           IF(OFFSET(PLE!$G$15,$M85-$A$15,DC$13)="",10^12,OFFSET(PLE!$G$15,$M85-$A$15,DC$13)))</f>
        <v>1000000000000</v>
      </c>
      <c r="DD85" s="172" cm="1">
        <f t="array" aca="1" ref="DD85" ca="1">IF(OR($D85&lt;&gt;"Serviço",AND(AUTOEVENTO="Manual",$M85=$A$15),$M85&gt;(ROW(PLE.lastrow)-ROW(PLE.firstrow))),0,
           IF(OFFSET(PLE!$G$15,$M85-$A$15,DD$13)="",10^12,OFFSET(PLE!$G$15,$M85-$A$15,DD$13)))</f>
        <v>1000000000000</v>
      </c>
      <c r="DE85" s="172" cm="1">
        <f t="array" aca="1" ref="DE85" ca="1">IF(OR($D85&lt;&gt;"Serviço",AND(AUTOEVENTO="Manual",$M85=$A$15),$M85&gt;(ROW(PLE.lastrow)-ROW(PLE.firstrow))),0,
           IF(OFFSET(PLE!$G$15,$M85-$A$15,DE$13)="",10^12,OFFSET(PLE!$G$15,$M85-$A$15,DE$13)))</f>
        <v>1000000000000</v>
      </c>
      <c r="DF85" s="172" cm="1">
        <f t="array" aca="1" ref="DF85" ca="1">IF(OR($D85&lt;&gt;"Serviço",AND(AUTOEVENTO="Manual",$M85=$A$15),$M85&gt;(ROW(PLE.lastrow)-ROW(PLE.firstrow))),0,
           IF(OFFSET(PLE!$G$15,$M85-$A$15,DF$13)="",10^12,OFFSET(PLE!$G$15,$M85-$A$15,DF$13)))</f>
        <v>1000000000000</v>
      </c>
      <c r="DG85" s="172" cm="1">
        <f t="array" aca="1" ref="DG85" ca="1">IF(OR($D85&lt;&gt;"Serviço",AND(AUTOEVENTO="Manual",$M85=$A$15),$M85&gt;(ROW(PLE.lastrow)-ROW(PLE.firstrow))),0,
           IF(OFFSET(PLE!$G$15,$M85-$A$15,DG$13)="",10^12,OFFSET(PLE!$G$15,$M85-$A$15,DG$13)))</f>
        <v>1000000000000</v>
      </c>
      <c r="DH85" s="172" cm="1">
        <f t="array" aca="1" ref="DH85" ca="1">IF(OR($D85&lt;&gt;"Serviço",AND(AUTOEVENTO="Manual",$M85=$A$15),$M85&gt;(ROW(PLE.lastrow)-ROW(PLE.firstrow))),0,
           IF(OFFSET(PLE!$G$15,$M85-$A$15,DH$13)="",10^12,OFFSET(PLE!$G$15,$M85-$A$15,DH$13)))</f>
        <v>1000000000000</v>
      </c>
      <c r="DI85" s="172" cm="1">
        <f t="array" aca="1" ref="DI85" ca="1">IF(OR($D85&lt;&gt;"Serviço",AND(AUTOEVENTO="Manual",$M85=$A$15),$M85&gt;(ROW(PLE.lastrow)-ROW(PLE.firstrow))),0,
           IF(OFFSET(PLE!$G$15,$M85-$A$15,DI$13)="",10^12,OFFSET(PLE!$G$15,$M85-$A$15,DI$13)))</f>
        <v>1000000000000</v>
      </c>
      <c r="DJ85" s="172" cm="1">
        <f t="array" aca="1" ref="DJ85" ca="1">IF(OR($D85&lt;&gt;"Serviço",AND(AUTOEVENTO="Manual",$M85=$A$15),$M85&gt;(ROW(PLE.lastrow)-ROW(PLE.firstrow))),0,
           IF(OFFSET(PLE!$G$15,$M85-$A$15,DJ$13)="",10^12,OFFSET(PLE!$G$15,$M85-$A$15,DJ$13)))</f>
        <v>1000000000000</v>
      </c>
      <c r="DK85" s="172" cm="1">
        <f t="array" aca="1" ref="DK85" ca="1">IF(OR($D85&lt;&gt;"Serviço",AND(AUTOEVENTO="Manual",$M85=$A$15),$M85&gt;(ROW(PLE.lastrow)-ROW(PLE.firstrow))),0,
           IF(OFFSET(PLE!$G$15,$M85-$A$15,DK$13)="",10^12,OFFSET(PLE!$G$15,$M85-$A$15,DK$13)))</f>
        <v>1000000000000</v>
      </c>
      <c r="DL85" s="172" cm="1">
        <f t="array" aca="1" ref="DL85" ca="1">IF(OR($D85&lt;&gt;"Serviço",AND(AUTOEVENTO="Manual",$M85=$A$15),$M85&gt;(ROW(PLE.lastrow)-ROW(PLE.firstrow))),0,
           IF(OFFSET(PLE!$G$15,$M85-$A$15,DL$13)="",10^12,OFFSET(PLE!$G$15,$M85-$A$15,DL$13)))</f>
        <v>1000000000000</v>
      </c>
      <c r="DM85" s="172" cm="1">
        <f t="array" aca="1" ref="DM85" ca="1">IF(OR($D85&lt;&gt;"Serviço",AND(AUTOEVENTO="Manual",$M85=$A$15),$M85&gt;(ROW(PLE.lastrow)-ROW(PLE.firstrow))),0,
           IF(OFFSET(PLE!$G$15,$M85-$A$15,DM$13)="",10^12,OFFSET(PLE!$G$15,$M85-$A$15,DM$13)))</f>
        <v>1000000000000</v>
      </c>
      <c r="DN85" s="172" cm="1">
        <f t="array" aca="1" ref="DN85" ca="1">IF(OR($D85&lt;&gt;"Serviço",AND(AUTOEVENTO="Manual",$M85=$A$15),$M85&gt;(ROW(PLE.lastrow)-ROW(PLE.firstrow))),0,
           IF(OFFSET(PLE!$G$15,$M85-$A$15,DN$13)="",10^12,OFFSET(PLE!$G$15,$M85-$A$15,DN$13)))</f>
        <v>1000000000000</v>
      </c>
      <c r="DO85" s="172" cm="1">
        <f t="array" aca="1" ref="DO85" ca="1">IF(OR($D85&lt;&gt;"Serviço",AND(AUTOEVENTO="Manual",$M85=$A$15),$M85&gt;(ROW(PLE.lastrow)-ROW(PLE.firstrow))),0,
           IF(OFFSET(PLE!$G$15,$M85-$A$15,DO$13)="",10^12,OFFSET(PLE!$G$15,$M85-$A$15,DO$13)))</f>
        <v>1000000000000</v>
      </c>
      <c r="DP85" s="172" cm="1">
        <f t="array" aca="1" ref="DP85" ca="1">IF(OR($D85&lt;&gt;"Serviço",AND(AUTOEVENTO="Manual",$M85=$A$15),$M85&gt;(ROW(PLE.lastrow)-ROW(PLE.firstrow))),0,
           IF(OFFSET(PLE!$G$15,$M85-$A$15,DP$13)="",10^12,OFFSET(PLE!$G$15,$M85-$A$15,DP$13)))</f>
        <v>1000000000000</v>
      </c>
      <c r="DQ85" s="172" cm="1">
        <f t="array" aca="1" ref="DQ85" ca="1">IF(OR($D85&lt;&gt;"Serviço",AND(AUTOEVENTO="Manual",$M85=$A$15),$M85&gt;(ROW(PLE.lastrow)-ROW(PLE.firstrow))),0,
           IF(OFFSET(PLE!$G$15,$M85-$A$15,DQ$13)="",10^12,OFFSET(PLE!$G$15,$M85-$A$15,DQ$13)))</f>
        <v>1000000000000</v>
      </c>
      <c r="DR85" s="172" cm="1">
        <f t="array" aca="1" ref="DR85" ca="1">IF(OR($D85&lt;&gt;"Serviço",AND(AUTOEVENTO="Manual",$M85=$A$15),$M85&gt;(ROW(PLE.lastrow)-ROW(PLE.firstrow))),0,
           IF(OFFSET(PLE!$G$15,$M85-$A$15,DR$13)="",10^12,OFFSET(PLE!$G$15,$M85-$A$15,DR$13)))</f>
        <v>1000000000000</v>
      </c>
      <c r="DS85" s="172" cm="1">
        <f t="array" aca="1" ref="DS85" ca="1">IF(OR($D85&lt;&gt;"Serviço",AND(AUTOEVENTO="Manual",$M85=$A$15),$M85&gt;(ROW(PLE.lastrow)-ROW(PLE.firstrow))),0,
           IF(OFFSET(PLE!$G$15,$M85-$A$15,DS$13)="",10^12,OFFSET(PLE!$G$15,$M85-$A$15,DS$13)))</f>
        <v>1000000000000</v>
      </c>
    </row>
    <row r="86" spans="1:123" ht="51" x14ac:dyDescent="0.2">
      <c r="A86" s="7">
        <f t="shared" ca="1" si="13"/>
        <v>7</v>
      </c>
      <c r="B86" s="7" t="str">
        <f ca="1">OFFSET(ORÇAMENTO!C$15,$L86,0)</f>
        <v>S</v>
      </c>
      <c r="C86" s="7" t="str">
        <f ca="1">OFFSET(ORÇAMENTO!L$15,$L86,0)</f>
        <v/>
      </c>
      <c r="D86" s="116" t="str">
        <f ca="1">OFFSET(ORÇAMENTO!N$15,$L86,0)</f>
        <v>Serviço</v>
      </c>
      <c r="E86" s="117" t="str">
        <f ca="1">OFFSET(ORÇAMENTO!O$15,$L86,0)</f>
        <v>-</v>
      </c>
      <c r="F86" s="163" t="str">
        <f ca="1">OFFSET(ORÇAMENTO!R$15,$L86,0)</f>
        <v>(Código não identificado nas referências)</v>
      </c>
      <c r="G86" s="164" t="str">
        <f ca="1">IF($D86&lt;&gt;"Serviço","",OFFSET(ORÇAMENTO!S$15,$L86,0))</f>
        <v>-</v>
      </c>
      <c r="H86" s="122" cm="1">
        <f t="array" aca="1" ref="H86" ca="1">IF($D86&lt;&gt;"Serviço",0,IF(ACOMPANHAMENTO="BM",ROUND(OFFSET(ORÇAMENTO!AJ$15,$L86,0),15-13*ORÇAMENTO!$AF$7),IF(IFERROR(CÁLCULO.FrentesPreenchidas,0)=0,0,SUM(ROUND(OFFSET($P86,0,1,1,CÁLCULO.FrentesPreenchidas),15-13*ORÇAMENTO!$AF$7)))))</f>
        <v>88.799999999999983</v>
      </c>
      <c r="I86" s="468" t="s">
        <v>1235</v>
      </c>
      <c r="J86" s="651" t="str" cm="1">
        <f t="array" aca="1" ref="J86" ca="1">IF(OR(B86&lt;&gt;"S",CÁLCULO.FrentesPreenchidas=0),"",IF(AND(ACOMPANHAMENTO="PLE",AUTOEVENTO="Manual",OR(H86&gt;0,ORÇAMENTO!AC86="QUANT."),OR(K86="",M86=0,N86="")),"►E",IF(AND(ACOMPANHAMENTO="PLE",ORÇAMENTO!AC86="QUANT."),"►Q",IF(AND(ACOMPANHAMENTO="PLE",H86&lt;&gt;SUMPRODUCT(($Q$1:$AQ$1=1)*ROUND(Q86:AQ86,15))),"►S",IF(AND(COUNTIF($P$11:$AQ$11,"▼")=0,H86&gt;0,I86=""),"◄M","")))))</f>
        <v/>
      </c>
      <c r="K86" s="652" t="s">
        <v>1255</v>
      </c>
      <c r="L86" s="165">
        <f t="shared" ca="1" si="14"/>
        <v>71</v>
      </c>
      <c r="M86" s="166">
        <f ca="1">IF($D86&lt;&gt;"Serviço","",
          IF(AUTOEVENTO="manual",$A86,
                IF(ISERROR(MATCH($A86,$A$15:OFFSET($A86,-1,0),0)),MAX($M$15:OFFSET(M86,-1,0))+1,
                      INDEX($M$15:OFFSET(M86,-1,0),MATCH($A86,$A$15:OFFSET($A86,-1,0),0)))))</f>
        <v>7</v>
      </c>
      <c r="N86" s="167" t="str">
        <f ca="1">IF($D86&lt;&gt;"Serviço","",
         IF(AUTOEVENTO="Manual",
                IF($A86=0,"&lt;-- defina o número do agrupador",
                       OFFSET(EVENTOS!$D$15,$A86-$A$15,0)),
                OFFSET($F$15,$A86,0)))</f>
        <v>REVESTIMENTOS</v>
      </c>
      <c r="O86" s="168"/>
      <c r="Q86" s="168">
        <v>4.4400000000000004</v>
      </c>
      <c r="R86" s="169">
        <v>4.4400000000000004</v>
      </c>
      <c r="S86" s="169">
        <v>4.4400000000000004</v>
      </c>
      <c r="T86" s="169">
        <v>4.4400000000000004</v>
      </c>
      <c r="U86" s="169">
        <v>4.4400000000000004</v>
      </c>
      <c r="V86" s="169">
        <v>4.4400000000000004</v>
      </c>
      <c r="W86" s="169">
        <v>4.4400000000000004</v>
      </c>
      <c r="X86" s="169">
        <v>4.4400000000000004</v>
      </c>
      <c r="Y86" s="169">
        <v>4.4400000000000004</v>
      </c>
      <c r="Z86" s="170">
        <v>4.4400000000000004</v>
      </c>
      <c r="AA86" s="169">
        <v>4.4400000000000004</v>
      </c>
      <c r="AB86" s="169">
        <v>4.4400000000000004</v>
      </c>
      <c r="AC86" s="169">
        <v>4.4400000000000004</v>
      </c>
      <c r="AD86" s="169">
        <v>4.4400000000000004</v>
      </c>
      <c r="AE86" s="169">
        <v>4.4400000000000004</v>
      </c>
      <c r="AF86" s="169">
        <v>4.4400000000000004</v>
      </c>
      <c r="AG86" s="169">
        <v>4.4400000000000004</v>
      </c>
      <c r="AH86" s="170">
        <v>4.4400000000000004</v>
      </c>
      <c r="AI86" s="169">
        <v>4.4400000000000004</v>
      </c>
      <c r="AJ86" s="169">
        <v>4.4400000000000004</v>
      </c>
      <c r="AK86" s="169"/>
      <c r="AL86" s="169"/>
      <c r="AM86" s="169"/>
      <c r="AN86" s="169"/>
      <c r="AO86" s="169"/>
      <c r="AP86" s="170"/>
      <c r="AR86" s="453">
        <f ca="1">IF(AND($D86="Serviço",AR$12&lt;&gt;0,$H86&gt;0,OR(AUTOEVENTO&lt;&gt;"manual",$M86&lt;&gt;$A$15)),
        IF(Import.TipoArredondamento&lt;&gt;"TransfereGOV",
              ROUND(OFFSET($P86,0,AR$13),15-13*ORÇAMENTO!$AF$7)/$H86*OFFSET(ORÇAMENTO!$X$15,ROW(AR86)-ROW(AR$15),0),
              ROUND(ROUND(OFFSET($P86,0,AR$13),15-13*ORÇAMENTO!$AF$7)*OFFSET(ORÇAMENTO!$W$15,ROW(AR86)-ROW(AR$15),0),15-13*ORÇAMENTO!$AF$11)),
         0)</f>
        <v>0</v>
      </c>
      <c r="AS86" s="453">
        <f ca="1">IF(AND($D86="Serviço",AS$12&lt;&gt;0,$H86&gt;0,OR(AUTOEVENTO&lt;&gt;"manual",$M86&lt;&gt;$A$15)),
        IF(Import.TipoArredondamento&lt;&gt;"TransfereGOV",
              ROUND(OFFSET($P86,0,AS$13),15-13*ORÇAMENTO!$AF$7)/$H86*OFFSET(ORÇAMENTO!$X$15,ROW(AS86)-ROW(AS$15),0),
              ROUND(ROUND(OFFSET($P86,0,AS$13),15-13*ORÇAMENTO!$AF$7)*OFFSET(ORÇAMENTO!$W$15,ROW(AS86)-ROW(AS$15),0),15-13*ORÇAMENTO!$AF$11)),
         0)</f>
        <v>0</v>
      </c>
      <c r="AT86" s="453">
        <f ca="1">IF(AND($D86="Serviço",AT$12&lt;&gt;0,$H86&gt;0,OR(AUTOEVENTO&lt;&gt;"manual",$M86&lt;&gt;$A$15)),
        IF(Import.TipoArredondamento&lt;&gt;"TransfereGOV",
              ROUND(OFFSET($P86,0,AT$13),15-13*ORÇAMENTO!$AF$7)/$H86*OFFSET(ORÇAMENTO!$X$15,ROW(AT86)-ROW(AT$15),0),
              ROUND(ROUND(OFFSET($P86,0,AT$13),15-13*ORÇAMENTO!$AF$7)*OFFSET(ORÇAMENTO!$W$15,ROW(AT86)-ROW(AT$15),0),15-13*ORÇAMENTO!$AF$11)),
         0)</f>
        <v>0</v>
      </c>
      <c r="AU86" s="453">
        <f ca="1">IF(AND($D86="Serviço",AU$12&lt;&gt;0,$H86&gt;0,OR(AUTOEVENTO&lt;&gt;"manual",$M86&lt;&gt;$A$15)),
        IF(Import.TipoArredondamento&lt;&gt;"TransfereGOV",
              ROUND(OFFSET($P86,0,AU$13),15-13*ORÇAMENTO!$AF$7)/$H86*OFFSET(ORÇAMENTO!$X$15,ROW(AU86)-ROW(AU$15),0),
              ROUND(ROUND(OFFSET($P86,0,AU$13),15-13*ORÇAMENTO!$AF$7)*OFFSET(ORÇAMENTO!$W$15,ROW(AU86)-ROW(AU$15),0),15-13*ORÇAMENTO!$AF$11)),
         0)</f>
        <v>0</v>
      </c>
      <c r="AV86" s="453">
        <f ca="1">IF(AND($D86="Serviço",AV$12&lt;&gt;0,$H86&gt;0,OR(AUTOEVENTO&lt;&gt;"manual",$M86&lt;&gt;$A$15)),
        IF(Import.TipoArredondamento&lt;&gt;"TransfereGOV",
              ROUND(OFFSET($P86,0,AV$13),15-13*ORÇAMENTO!$AF$7)/$H86*OFFSET(ORÇAMENTO!$X$15,ROW(AV86)-ROW(AV$15),0),
              ROUND(ROUND(OFFSET($P86,0,AV$13),15-13*ORÇAMENTO!$AF$7)*OFFSET(ORÇAMENTO!$W$15,ROW(AV86)-ROW(AV$15),0),15-13*ORÇAMENTO!$AF$11)),
         0)</f>
        <v>0</v>
      </c>
      <c r="AW86" s="453">
        <f ca="1">IF(AND($D86="Serviço",AW$12&lt;&gt;0,$H86&gt;0,OR(AUTOEVENTO&lt;&gt;"manual",$M86&lt;&gt;$A$15)),
        IF(Import.TipoArredondamento&lt;&gt;"TransfereGOV",
              ROUND(OFFSET($P86,0,AW$13),15-13*ORÇAMENTO!$AF$7)/$H86*OFFSET(ORÇAMENTO!$X$15,ROW(AW86)-ROW(AW$15),0),
              ROUND(ROUND(OFFSET($P86,0,AW$13),15-13*ORÇAMENTO!$AF$7)*OFFSET(ORÇAMENTO!$W$15,ROW(AW86)-ROW(AW$15),0),15-13*ORÇAMENTO!$AF$11)),
         0)</f>
        <v>0</v>
      </c>
      <c r="AX86" s="453">
        <f ca="1">IF(AND($D86="Serviço",AX$12&lt;&gt;0,$H86&gt;0,OR(AUTOEVENTO&lt;&gt;"manual",$M86&lt;&gt;$A$15)),
        IF(Import.TipoArredondamento&lt;&gt;"TransfereGOV",
              ROUND(OFFSET($P86,0,AX$13),15-13*ORÇAMENTO!$AF$7)/$H86*OFFSET(ORÇAMENTO!$X$15,ROW(AX86)-ROW(AX$15),0),
              ROUND(ROUND(OFFSET($P86,0,AX$13),15-13*ORÇAMENTO!$AF$7)*OFFSET(ORÇAMENTO!$W$15,ROW(AX86)-ROW(AX$15),0),15-13*ORÇAMENTO!$AF$11)),
         0)</f>
        <v>0</v>
      </c>
      <c r="AY86" s="453">
        <f ca="1">IF(AND($D86="Serviço",AY$12&lt;&gt;0,$H86&gt;0,OR(AUTOEVENTO&lt;&gt;"manual",$M86&lt;&gt;$A$15)),
        IF(Import.TipoArredondamento&lt;&gt;"TransfereGOV",
              ROUND(OFFSET($P86,0,AY$13),15-13*ORÇAMENTO!$AF$7)/$H86*OFFSET(ORÇAMENTO!$X$15,ROW(AY86)-ROW(AY$15),0),
              ROUND(ROUND(OFFSET($P86,0,AY$13),15-13*ORÇAMENTO!$AF$7)*OFFSET(ORÇAMENTO!$W$15,ROW(AY86)-ROW(AY$15),0),15-13*ORÇAMENTO!$AF$11)),
         0)</f>
        <v>0</v>
      </c>
      <c r="AZ86" s="453">
        <f ca="1">IF(AND($D86="Serviço",AZ$12&lt;&gt;0,$H86&gt;0,OR(AUTOEVENTO&lt;&gt;"manual",$M86&lt;&gt;$A$15)),
        IF(Import.TipoArredondamento&lt;&gt;"TransfereGOV",
              ROUND(OFFSET($P86,0,AZ$13),15-13*ORÇAMENTO!$AF$7)/$H86*OFFSET(ORÇAMENTO!$X$15,ROW(AZ86)-ROW(AZ$15),0),
              ROUND(ROUND(OFFSET($P86,0,AZ$13),15-13*ORÇAMENTO!$AF$7)*OFFSET(ORÇAMENTO!$W$15,ROW(AZ86)-ROW(AZ$15),0),15-13*ORÇAMENTO!$AF$11)),
         0)</f>
        <v>0</v>
      </c>
      <c r="BA86" s="453">
        <f ca="1">IF(AND($D86="Serviço",BA$12&lt;&gt;0,$H86&gt;0,OR(AUTOEVENTO&lt;&gt;"manual",$M86&lt;&gt;$A$15)),
        IF(Import.TipoArredondamento&lt;&gt;"TransfereGOV",
              ROUND(OFFSET($P86,0,BA$13),15-13*ORÇAMENTO!$AF$7)/$H86*OFFSET(ORÇAMENTO!$X$15,ROW(BA86)-ROW(BA$15),0),
              ROUND(ROUND(OFFSET($P86,0,BA$13),15-13*ORÇAMENTO!$AF$7)*OFFSET(ORÇAMENTO!$W$15,ROW(BA86)-ROW(BA$15),0),15-13*ORÇAMENTO!$AF$11)),
         0)</f>
        <v>0</v>
      </c>
      <c r="BB86" s="453">
        <f ca="1">IF(AND($D86="Serviço",BB$12&lt;&gt;0,$H86&gt;0,OR(AUTOEVENTO&lt;&gt;"manual",$M86&lt;&gt;$A$15)),
        IF(Import.TipoArredondamento&lt;&gt;"TransfereGOV",
              ROUND(OFFSET($P86,0,BB$13),15-13*ORÇAMENTO!$AF$7)/$H86*OFFSET(ORÇAMENTO!$X$15,ROW(BB86)-ROW(BB$15),0),
              ROUND(ROUND(OFFSET($P86,0,BB$13),15-13*ORÇAMENTO!$AF$7)*OFFSET(ORÇAMENTO!$W$15,ROW(BB86)-ROW(BB$15),0),15-13*ORÇAMENTO!$AF$11)),
         0)</f>
        <v>0</v>
      </c>
      <c r="BC86" s="453">
        <f ca="1">IF(AND($D86="Serviço",BC$12&lt;&gt;0,$H86&gt;0,OR(AUTOEVENTO&lt;&gt;"manual",$M86&lt;&gt;$A$15)),
        IF(Import.TipoArredondamento&lt;&gt;"TransfereGOV",
              ROUND(OFFSET($P86,0,BC$13),15-13*ORÇAMENTO!$AF$7)/$H86*OFFSET(ORÇAMENTO!$X$15,ROW(BC86)-ROW(BC$15),0),
              ROUND(ROUND(OFFSET($P86,0,BC$13),15-13*ORÇAMENTO!$AF$7)*OFFSET(ORÇAMENTO!$W$15,ROW(BC86)-ROW(BC$15),0),15-13*ORÇAMENTO!$AF$11)),
         0)</f>
        <v>0</v>
      </c>
      <c r="BD86" s="453">
        <f ca="1">IF(AND($D86="Serviço",BD$12&lt;&gt;0,$H86&gt;0,OR(AUTOEVENTO&lt;&gt;"manual",$M86&lt;&gt;$A$15)),
        IF(Import.TipoArredondamento&lt;&gt;"TransfereGOV",
              ROUND(OFFSET($P86,0,BD$13),15-13*ORÇAMENTO!$AF$7)/$H86*OFFSET(ORÇAMENTO!$X$15,ROW(BD86)-ROW(BD$15),0),
              ROUND(ROUND(OFFSET($P86,0,BD$13),15-13*ORÇAMENTO!$AF$7)*OFFSET(ORÇAMENTO!$W$15,ROW(BD86)-ROW(BD$15),0),15-13*ORÇAMENTO!$AF$11)),
         0)</f>
        <v>0</v>
      </c>
      <c r="BE86" s="453">
        <f ca="1">IF(AND($D86="Serviço",BE$12&lt;&gt;0,$H86&gt;0,OR(AUTOEVENTO&lt;&gt;"manual",$M86&lt;&gt;$A$15)),
        IF(Import.TipoArredondamento&lt;&gt;"TransfereGOV",
              ROUND(OFFSET($P86,0,BE$13),15-13*ORÇAMENTO!$AF$7)/$H86*OFFSET(ORÇAMENTO!$X$15,ROW(BE86)-ROW(BE$15),0),
              ROUND(ROUND(OFFSET($P86,0,BE$13),15-13*ORÇAMENTO!$AF$7)*OFFSET(ORÇAMENTO!$W$15,ROW(BE86)-ROW(BE$15),0),15-13*ORÇAMENTO!$AF$11)),
         0)</f>
        <v>0</v>
      </c>
      <c r="BF86" s="453">
        <f ca="1">IF(AND($D86="Serviço",BF$12&lt;&gt;0,$H86&gt;0,OR(AUTOEVENTO&lt;&gt;"manual",$M86&lt;&gt;$A$15)),
        IF(Import.TipoArredondamento&lt;&gt;"TransfereGOV",
              ROUND(OFFSET($P86,0,BF$13),15-13*ORÇAMENTO!$AF$7)/$H86*OFFSET(ORÇAMENTO!$X$15,ROW(BF86)-ROW(BF$15),0),
              ROUND(ROUND(OFFSET($P86,0,BF$13),15-13*ORÇAMENTO!$AF$7)*OFFSET(ORÇAMENTO!$W$15,ROW(BF86)-ROW(BF$15),0),15-13*ORÇAMENTO!$AF$11)),
         0)</f>
        <v>0</v>
      </c>
      <c r="BG86" s="453">
        <f ca="1">IF(AND($D86="Serviço",BG$12&lt;&gt;0,$H86&gt;0,OR(AUTOEVENTO&lt;&gt;"manual",$M86&lt;&gt;$A$15)),
        IF(Import.TipoArredondamento&lt;&gt;"TransfereGOV",
              ROUND(OFFSET($P86,0,BG$13),15-13*ORÇAMENTO!$AF$7)/$H86*OFFSET(ORÇAMENTO!$X$15,ROW(BG86)-ROW(BG$15),0),
              ROUND(ROUND(OFFSET($P86,0,BG$13),15-13*ORÇAMENTO!$AF$7)*OFFSET(ORÇAMENTO!$W$15,ROW(BG86)-ROW(BG$15),0),15-13*ORÇAMENTO!$AF$11)),
         0)</f>
        <v>0</v>
      </c>
      <c r="BH86" s="453">
        <f ca="1">IF(AND($D86="Serviço",BH$12&lt;&gt;0,$H86&gt;0,OR(AUTOEVENTO&lt;&gt;"manual",$M86&lt;&gt;$A$15)),
        IF(Import.TipoArredondamento&lt;&gt;"TransfereGOV",
              ROUND(OFFSET($P86,0,BH$13),15-13*ORÇAMENTO!$AF$7)/$H86*OFFSET(ORÇAMENTO!$X$15,ROW(BH86)-ROW(BH$15),0),
              ROUND(ROUND(OFFSET($P86,0,BH$13),15-13*ORÇAMENTO!$AF$7)*OFFSET(ORÇAMENTO!$W$15,ROW(BH86)-ROW(BH$15),0),15-13*ORÇAMENTO!$AF$11)),
         0)</f>
        <v>0</v>
      </c>
      <c r="BI86" s="453">
        <f ca="1">IF(AND($D86="Serviço",BI$12&lt;&gt;0,$H86&gt;0,OR(AUTOEVENTO&lt;&gt;"manual",$M86&lt;&gt;$A$15)),
        IF(Import.TipoArredondamento&lt;&gt;"TransfereGOV",
              ROUND(OFFSET($P86,0,BI$13),15-13*ORÇAMENTO!$AF$7)/$H86*OFFSET(ORÇAMENTO!$X$15,ROW(BI86)-ROW(BI$15),0),
              ROUND(ROUND(OFFSET($P86,0,BI$13),15-13*ORÇAMENTO!$AF$7)*OFFSET(ORÇAMENTO!$W$15,ROW(BI86)-ROW(BI$15),0),15-13*ORÇAMENTO!$AF$11)),
         0)</f>
        <v>0</v>
      </c>
      <c r="BJ86" s="453">
        <f ca="1">IF(AND($D86="Serviço",BJ$12&lt;&gt;0,$H86&gt;0,OR(AUTOEVENTO&lt;&gt;"manual",$M86&lt;&gt;$A$15)),
        IF(Import.TipoArredondamento&lt;&gt;"TransfereGOV",
              ROUND(OFFSET($P86,0,BJ$13),15-13*ORÇAMENTO!$AF$7)/$H86*OFFSET(ORÇAMENTO!$X$15,ROW(BJ86)-ROW(BJ$15),0),
              ROUND(ROUND(OFFSET($P86,0,BJ$13),15-13*ORÇAMENTO!$AF$7)*OFFSET(ORÇAMENTO!$W$15,ROW(BJ86)-ROW(BJ$15),0),15-13*ORÇAMENTO!$AF$11)),
         0)</f>
        <v>0</v>
      </c>
      <c r="BK86" s="453">
        <f ca="1">IF(AND($D86="Serviço",BK$12&lt;&gt;0,$H86&gt;0,OR(AUTOEVENTO&lt;&gt;"manual",$M86&lt;&gt;$A$15)),
        IF(Import.TipoArredondamento&lt;&gt;"TransfereGOV",
              ROUND(OFFSET($P86,0,BK$13),15-13*ORÇAMENTO!$AF$7)/$H86*OFFSET(ORÇAMENTO!$X$15,ROW(BK86)-ROW(BK$15),0),
              ROUND(ROUND(OFFSET($P86,0,BK$13),15-13*ORÇAMENTO!$AF$7)*OFFSET(ORÇAMENTO!$W$15,ROW(BK86)-ROW(BK$15),0),15-13*ORÇAMENTO!$AF$11)),
         0)</f>
        <v>0</v>
      </c>
      <c r="BL86" s="453">
        <f ca="1">IF(AND($D86="Serviço",BL$12&lt;&gt;0,$H86&gt;0,OR(AUTOEVENTO&lt;&gt;"manual",$M86&lt;&gt;$A$15)),
        IF(Import.TipoArredondamento&lt;&gt;"TransfereGOV",
              ROUND(OFFSET($P86,0,BL$13),15-13*ORÇAMENTO!$AF$7)/$H86*OFFSET(ORÇAMENTO!$X$15,ROW(BL86)-ROW(BL$15),0),
              ROUND(ROUND(OFFSET($P86,0,BL$13),15-13*ORÇAMENTO!$AF$7)*OFFSET(ORÇAMENTO!$W$15,ROW(BL86)-ROW(BL$15),0),15-13*ORÇAMENTO!$AF$11)),
         0)</f>
        <v>0</v>
      </c>
      <c r="BM86" s="453">
        <f ca="1">IF(AND($D86="Serviço",BM$12&lt;&gt;0,$H86&gt;0,OR(AUTOEVENTO&lt;&gt;"manual",$M86&lt;&gt;$A$15)),
        IF(Import.TipoArredondamento&lt;&gt;"TransfereGOV",
              ROUND(OFFSET($P86,0,BM$13),15-13*ORÇAMENTO!$AF$7)/$H86*OFFSET(ORÇAMENTO!$X$15,ROW(BM86)-ROW(BM$15),0),
              ROUND(ROUND(OFFSET($P86,0,BM$13),15-13*ORÇAMENTO!$AF$7)*OFFSET(ORÇAMENTO!$W$15,ROW(BM86)-ROW(BM$15),0),15-13*ORÇAMENTO!$AF$11)),
         0)</f>
        <v>0</v>
      </c>
      <c r="BN86" s="453">
        <f ca="1">IF(AND($D86="Serviço",BN$12&lt;&gt;0,$H86&gt;0,OR(AUTOEVENTO&lt;&gt;"manual",$M86&lt;&gt;$A$15)),
        IF(Import.TipoArredondamento&lt;&gt;"TransfereGOV",
              ROUND(OFFSET($P86,0,BN$13),15-13*ORÇAMENTO!$AF$7)/$H86*OFFSET(ORÇAMENTO!$X$15,ROW(BN86)-ROW(BN$15),0),
              ROUND(ROUND(OFFSET($P86,0,BN$13),15-13*ORÇAMENTO!$AF$7)*OFFSET(ORÇAMENTO!$W$15,ROW(BN86)-ROW(BN$15),0),15-13*ORÇAMENTO!$AF$11)),
         0)</f>
        <v>0</v>
      </c>
      <c r="BO86" s="453">
        <f ca="1">IF(AND($D86="Serviço",BO$12&lt;&gt;0,$H86&gt;0,OR(AUTOEVENTO&lt;&gt;"manual",$M86&lt;&gt;$A$15)),
        IF(Import.TipoArredondamento&lt;&gt;"TransfereGOV",
              ROUND(OFFSET($P86,0,BO$13),15-13*ORÇAMENTO!$AF$7)/$H86*OFFSET(ORÇAMENTO!$X$15,ROW(BO86)-ROW(BO$15),0),
              ROUND(ROUND(OFFSET($P86,0,BO$13),15-13*ORÇAMENTO!$AF$7)*OFFSET(ORÇAMENTO!$W$15,ROW(BO86)-ROW(BO$15),0),15-13*ORÇAMENTO!$AF$11)),
         0)</f>
        <v>0</v>
      </c>
      <c r="BP86" s="453">
        <f ca="1">IF(AND($D86="Serviço",BP$12&lt;&gt;0,$H86&gt;0,OR(AUTOEVENTO&lt;&gt;"manual",$M86&lt;&gt;$A$15)),
        IF(Import.TipoArredondamento&lt;&gt;"TransfereGOV",
              ROUND(OFFSET($P86,0,BP$13),15-13*ORÇAMENTO!$AF$7)/$H86*OFFSET(ORÇAMENTO!$X$15,ROW(BP86)-ROW(BP$15),0),
              ROUND(ROUND(OFFSET($P86,0,BP$13),15-13*ORÇAMENTO!$AF$7)*OFFSET(ORÇAMENTO!$W$15,ROW(BP86)-ROW(BP$15),0),15-13*ORÇAMENTO!$AF$11)),
         0)</f>
        <v>0</v>
      </c>
      <c r="BQ86" s="453">
        <f ca="1">IF(AND($D86="Serviço",BQ$12&lt;&gt;0,$H86&gt;0,OR(AUTOEVENTO&lt;&gt;"manual",$M86&lt;&gt;$A$15)),
        IF(Import.TipoArredondamento&lt;&gt;"TransfereGOV",
              ROUND(OFFSET($P86,0,BQ$13),15-13*ORÇAMENTO!$AF$7)/$H86*OFFSET(ORÇAMENTO!$X$15,ROW(BQ86)-ROW(BQ$15),0),
              ROUND(ROUND(OFFSET($P86,0,BQ$13),15-13*ORÇAMENTO!$AF$7)*OFFSET(ORÇAMENTO!$W$15,ROW(BQ86)-ROW(BQ$15),0),15-13*ORÇAMENTO!$AF$11)),
         0)</f>
        <v>0</v>
      </c>
      <c r="BS86" s="171">
        <f ca="1">IF(OR($D86&lt;&gt;"Serviço",AND(AUTOEVENTO="Manual",$M86=$A$15)),0,
         IF(OFFSET(CRONOPLE!$F$15,$M86-$A$15,BS$13)=0,10^12,OFFSET(CRONOPLE!$F$15,$M86-$A$15,BS$13)))</f>
        <v>1</v>
      </c>
      <c r="BT86" s="171">
        <f ca="1">IF(OR($D86&lt;&gt;"Serviço",AND(AUTOEVENTO="Manual",$M86=$A$15)),0,
         IF(OFFSET(CRONOPLE!$F$15,$M86-$A$15,BT$13)=0,10^12,OFFSET(CRONOPLE!$F$15,$M86-$A$15,BT$13)))</f>
        <v>2</v>
      </c>
      <c r="BU86" s="171">
        <f ca="1">IF(OR($D86&lt;&gt;"Serviço",AND(AUTOEVENTO="Manual",$M86=$A$15)),0,
         IF(OFFSET(CRONOPLE!$F$15,$M86-$A$15,BU$13)=0,10^12,OFFSET(CRONOPLE!$F$15,$M86-$A$15,BU$13)))</f>
        <v>3</v>
      </c>
      <c r="BV86" s="171">
        <f ca="1">IF(OR($D86&lt;&gt;"Serviço",AND(AUTOEVENTO="Manual",$M86=$A$15)),0,
         IF(OFFSET(CRONOPLE!$F$15,$M86-$A$15,BV$13)=0,10^12,OFFSET(CRONOPLE!$F$15,$M86-$A$15,BV$13)))</f>
        <v>4</v>
      </c>
      <c r="BW86" s="171">
        <f ca="1">IF(OR($D86&lt;&gt;"Serviço",AND(AUTOEVENTO="Manual",$M86=$A$15)),0,
         IF(OFFSET(CRONOPLE!$F$15,$M86-$A$15,BW$13)=0,10^12,OFFSET(CRONOPLE!$F$15,$M86-$A$15,BW$13)))</f>
        <v>5</v>
      </c>
      <c r="BX86" s="171">
        <f ca="1">IF(OR($D86&lt;&gt;"Serviço",AND(AUTOEVENTO="Manual",$M86=$A$15)),0,
         IF(OFFSET(CRONOPLE!$F$15,$M86-$A$15,BX$13)=0,10^12,OFFSET(CRONOPLE!$F$15,$M86-$A$15,BX$13)))</f>
        <v>6</v>
      </c>
      <c r="BY86" s="171">
        <f ca="1">IF(OR($D86&lt;&gt;"Serviço",AND(AUTOEVENTO="Manual",$M86=$A$15)),0,
         IF(OFFSET(CRONOPLE!$F$15,$M86-$A$15,BY$13)=0,10^12,OFFSET(CRONOPLE!$F$15,$M86-$A$15,BY$13)))</f>
        <v>7</v>
      </c>
      <c r="BZ86" s="171">
        <f ca="1">IF(OR($D86&lt;&gt;"Serviço",AND(AUTOEVENTO="Manual",$M86=$A$15)),0,
         IF(OFFSET(CRONOPLE!$F$15,$M86-$A$15,BZ$13)=0,10^12,OFFSET(CRONOPLE!$F$15,$M86-$A$15,BZ$13)))</f>
        <v>8</v>
      </c>
      <c r="CA86" s="171">
        <f ca="1">IF(OR($D86&lt;&gt;"Serviço",AND(AUTOEVENTO="Manual",$M86=$A$15)),0,
         IF(OFFSET(CRONOPLE!$F$15,$M86-$A$15,CA$13)=0,10^12,OFFSET(CRONOPLE!$F$15,$M86-$A$15,CA$13)))</f>
        <v>9</v>
      </c>
      <c r="CB86" s="171">
        <f ca="1">IF(OR($D86&lt;&gt;"Serviço",AND(AUTOEVENTO="Manual",$M86=$A$15)),0,
         IF(OFFSET(CRONOPLE!$F$15,$M86-$A$15,CB$13)=0,10^12,OFFSET(CRONOPLE!$F$15,$M86-$A$15,CB$13)))</f>
        <v>10</v>
      </c>
      <c r="CC86" s="171">
        <f ca="1">IF(OR($D86&lt;&gt;"Serviço",AND(AUTOEVENTO="Manual",$M86=$A$15)),0,
         IF(OFFSET(CRONOPLE!$F$15,$M86-$A$15,CC$13)=0,10^12,OFFSET(CRONOPLE!$F$15,$M86-$A$15,CC$13)))</f>
        <v>11</v>
      </c>
      <c r="CD86" s="171">
        <f ca="1">IF(OR($D86&lt;&gt;"Serviço",AND(AUTOEVENTO="Manual",$M86=$A$15)),0,
         IF(OFFSET(CRONOPLE!$F$15,$M86-$A$15,CD$13)=0,10^12,OFFSET(CRONOPLE!$F$15,$M86-$A$15,CD$13)))</f>
        <v>12</v>
      </c>
      <c r="CE86" s="171">
        <f ca="1">IF(OR($D86&lt;&gt;"Serviço",AND(AUTOEVENTO="Manual",$M86=$A$15)),0,
         IF(OFFSET(CRONOPLE!$F$15,$M86-$A$15,CE$13)=0,10^12,OFFSET(CRONOPLE!$F$15,$M86-$A$15,CE$13)))</f>
        <v>13</v>
      </c>
      <c r="CF86" s="171">
        <f ca="1">IF(OR($D86&lt;&gt;"Serviço",AND(AUTOEVENTO="Manual",$M86=$A$15)),0,
         IF(OFFSET(CRONOPLE!$F$15,$M86-$A$15,CF$13)=0,10^12,OFFSET(CRONOPLE!$F$15,$M86-$A$15,CF$13)))</f>
        <v>14</v>
      </c>
      <c r="CG86" s="171">
        <f ca="1">IF(OR($D86&lt;&gt;"Serviço",AND(AUTOEVENTO="Manual",$M86=$A$15)),0,
         IF(OFFSET(CRONOPLE!$F$15,$M86-$A$15,CG$13)=0,10^12,OFFSET(CRONOPLE!$F$15,$M86-$A$15,CG$13)))</f>
        <v>15</v>
      </c>
      <c r="CH86" s="171">
        <f ca="1">IF(OR($D86&lt;&gt;"Serviço",AND(AUTOEVENTO="Manual",$M86=$A$15)),0,
         IF(OFFSET(CRONOPLE!$F$15,$M86-$A$15,CH$13)=0,10^12,OFFSET(CRONOPLE!$F$15,$M86-$A$15,CH$13)))</f>
        <v>16</v>
      </c>
      <c r="CI86" s="171">
        <f ca="1">IF(OR($D86&lt;&gt;"Serviço",AND(AUTOEVENTO="Manual",$M86=$A$15)),0,
         IF(OFFSET(CRONOPLE!$F$15,$M86-$A$15,CI$13)=0,10^12,OFFSET(CRONOPLE!$F$15,$M86-$A$15,CI$13)))</f>
        <v>17</v>
      </c>
      <c r="CJ86" s="171">
        <f ca="1">IF(OR($D86&lt;&gt;"Serviço",AND(AUTOEVENTO="Manual",$M86=$A$15)),0,
         IF(OFFSET(CRONOPLE!$F$15,$M86-$A$15,CJ$13)=0,10^12,OFFSET(CRONOPLE!$F$15,$M86-$A$15,CJ$13)))</f>
        <v>18</v>
      </c>
      <c r="CK86" s="171">
        <f ca="1">IF(OR($D86&lt;&gt;"Serviço",AND(AUTOEVENTO="Manual",$M86=$A$15)),0,
         IF(OFFSET(CRONOPLE!$F$15,$M86-$A$15,CK$13)=0,10^12,OFFSET(CRONOPLE!$F$15,$M86-$A$15,CK$13)))</f>
        <v>19</v>
      </c>
      <c r="CL86" s="171">
        <f ca="1">IF(OR($D86&lt;&gt;"Serviço",AND(AUTOEVENTO="Manual",$M86=$A$15)),0,
         IF(OFFSET(CRONOPLE!$F$15,$M86-$A$15,CL$13)=0,10^12,OFFSET(CRONOPLE!$F$15,$M86-$A$15,CL$13)))</f>
        <v>20</v>
      </c>
      <c r="CM86" s="171">
        <f ca="1">IF(OR($D86&lt;&gt;"Serviço",AND(AUTOEVENTO="Manual",$M86=$A$15)),0,
         IF(OFFSET(CRONOPLE!$F$15,$M86-$A$15,CM$13)=0,10^12,OFFSET(CRONOPLE!$F$15,$M86-$A$15,CM$13)))</f>
        <v>1000000000000</v>
      </c>
      <c r="CN86" s="171">
        <f ca="1">IF(OR($D86&lt;&gt;"Serviço",AND(AUTOEVENTO="Manual",$M86=$A$15)),0,
         IF(OFFSET(CRONOPLE!$F$15,$M86-$A$15,CN$13)=0,10^12,OFFSET(CRONOPLE!$F$15,$M86-$A$15,CN$13)))</f>
        <v>1000000000000</v>
      </c>
      <c r="CO86" s="171">
        <f ca="1">IF(OR($D86&lt;&gt;"Serviço",AND(AUTOEVENTO="Manual",$M86=$A$15)),0,
         IF(OFFSET(CRONOPLE!$F$15,$M86-$A$15,CO$13)=0,10^12,OFFSET(CRONOPLE!$F$15,$M86-$A$15,CO$13)))</f>
        <v>1000000000000</v>
      </c>
      <c r="CP86" s="171">
        <f ca="1">IF(OR($D86&lt;&gt;"Serviço",AND(AUTOEVENTO="Manual",$M86=$A$15)),0,
         IF(OFFSET(CRONOPLE!$F$15,$M86-$A$15,CP$13)=0,10^12,OFFSET(CRONOPLE!$F$15,$M86-$A$15,CP$13)))</f>
        <v>1000000000000</v>
      </c>
      <c r="CQ86" s="171">
        <f ca="1">IF(OR($D86&lt;&gt;"Serviço",AND(AUTOEVENTO="Manual",$M86=$A$15)),0,
         IF(OFFSET(CRONOPLE!$F$15,$M86-$A$15,CQ$13)=0,10^12,OFFSET(CRONOPLE!$F$15,$M86-$A$15,CQ$13)))</f>
        <v>1000000000000</v>
      </c>
      <c r="CR86" s="171">
        <f ca="1">IF(OR($D86&lt;&gt;"Serviço",AND(AUTOEVENTO="Manual",$M86=$A$15)),0,
         IF(OFFSET(CRONOPLE!$F$15,$M86-$A$15,CR$13)=0,10^12,OFFSET(CRONOPLE!$F$15,$M86-$A$15,CR$13)))</f>
        <v>1000000000000</v>
      </c>
      <c r="CT86" s="172" cm="1">
        <f t="array" aca="1" ref="CT86" ca="1">IF(OR($D86&lt;&gt;"Serviço",AND(AUTOEVENTO="Manual",$M86=$A$15),$M86&gt;(ROW(PLE.lastrow)-ROW(PLE.firstrow))),0,
           IF(OFFSET(PLE!$G$15,$M86-$A$15,CT$13)="",10^12,OFFSET(PLE!$G$15,$M86-$A$15,CT$13)))</f>
        <v>1000000000000</v>
      </c>
      <c r="CU86" s="172" cm="1">
        <f t="array" aca="1" ref="CU86" ca="1">IF(OR($D86&lt;&gt;"Serviço",AND(AUTOEVENTO="Manual",$M86=$A$15),$M86&gt;(ROW(PLE.lastrow)-ROW(PLE.firstrow))),0,
           IF(OFFSET(PLE!$G$15,$M86-$A$15,CU$13)="",10^12,OFFSET(PLE!$G$15,$M86-$A$15,CU$13)))</f>
        <v>1000000000000</v>
      </c>
      <c r="CV86" s="172" cm="1">
        <f t="array" aca="1" ref="CV86" ca="1">IF(OR($D86&lt;&gt;"Serviço",AND(AUTOEVENTO="Manual",$M86=$A$15),$M86&gt;(ROW(PLE.lastrow)-ROW(PLE.firstrow))),0,
           IF(OFFSET(PLE!$G$15,$M86-$A$15,CV$13)="",10^12,OFFSET(PLE!$G$15,$M86-$A$15,CV$13)))</f>
        <v>1000000000000</v>
      </c>
      <c r="CW86" s="172" cm="1">
        <f t="array" aca="1" ref="CW86" ca="1">IF(OR($D86&lt;&gt;"Serviço",AND(AUTOEVENTO="Manual",$M86=$A$15),$M86&gt;(ROW(PLE.lastrow)-ROW(PLE.firstrow))),0,
           IF(OFFSET(PLE!$G$15,$M86-$A$15,CW$13)="",10^12,OFFSET(PLE!$G$15,$M86-$A$15,CW$13)))</f>
        <v>1000000000000</v>
      </c>
      <c r="CX86" s="172" cm="1">
        <f t="array" aca="1" ref="CX86" ca="1">IF(OR($D86&lt;&gt;"Serviço",AND(AUTOEVENTO="Manual",$M86=$A$15),$M86&gt;(ROW(PLE.lastrow)-ROW(PLE.firstrow))),0,
           IF(OFFSET(PLE!$G$15,$M86-$A$15,CX$13)="",10^12,OFFSET(PLE!$G$15,$M86-$A$15,CX$13)))</f>
        <v>1000000000000</v>
      </c>
      <c r="CY86" s="172" cm="1">
        <f t="array" aca="1" ref="CY86" ca="1">IF(OR($D86&lt;&gt;"Serviço",AND(AUTOEVENTO="Manual",$M86=$A$15),$M86&gt;(ROW(PLE.lastrow)-ROW(PLE.firstrow))),0,
           IF(OFFSET(PLE!$G$15,$M86-$A$15,CY$13)="",10^12,OFFSET(PLE!$G$15,$M86-$A$15,CY$13)))</f>
        <v>1000000000000</v>
      </c>
      <c r="CZ86" s="172" cm="1">
        <f t="array" aca="1" ref="CZ86" ca="1">IF(OR($D86&lt;&gt;"Serviço",AND(AUTOEVENTO="Manual",$M86=$A$15),$M86&gt;(ROW(PLE.lastrow)-ROW(PLE.firstrow))),0,
           IF(OFFSET(PLE!$G$15,$M86-$A$15,CZ$13)="",10^12,OFFSET(PLE!$G$15,$M86-$A$15,CZ$13)))</f>
        <v>1000000000000</v>
      </c>
      <c r="DA86" s="172" cm="1">
        <f t="array" aca="1" ref="DA86" ca="1">IF(OR($D86&lt;&gt;"Serviço",AND(AUTOEVENTO="Manual",$M86=$A$15),$M86&gt;(ROW(PLE.lastrow)-ROW(PLE.firstrow))),0,
           IF(OFFSET(PLE!$G$15,$M86-$A$15,DA$13)="",10^12,OFFSET(PLE!$G$15,$M86-$A$15,DA$13)))</f>
        <v>1000000000000</v>
      </c>
      <c r="DB86" s="172" cm="1">
        <f t="array" aca="1" ref="DB86" ca="1">IF(OR($D86&lt;&gt;"Serviço",AND(AUTOEVENTO="Manual",$M86=$A$15),$M86&gt;(ROW(PLE.lastrow)-ROW(PLE.firstrow))),0,
           IF(OFFSET(PLE!$G$15,$M86-$A$15,DB$13)="",10^12,OFFSET(PLE!$G$15,$M86-$A$15,DB$13)))</f>
        <v>1000000000000</v>
      </c>
      <c r="DC86" s="172" cm="1">
        <f t="array" aca="1" ref="DC86" ca="1">IF(OR($D86&lt;&gt;"Serviço",AND(AUTOEVENTO="Manual",$M86=$A$15),$M86&gt;(ROW(PLE.lastrow)-ROW(PLE.firstrow))),0,
           IF(OFFSET(PLE!$G$15,$M86-$A$15,DC$13)="",10^12,OFFSET(PLE!$G$15,$M86-$A$15,DC$13)))</f>
        <v>1000000000000</v>
      </c>
      <c r="DD86" s="172" cm="1">
        <f t="array" aca="1" ref="DD86" ca="1">IF(OR($D86&lt;&gt;"Serviço",AND(AUTOEVENTO="Manual",$M86=$A$15),$M86&gt;(ROW(PLE.lastrow)-ROW(PLE.firstrow))),0,
           IF(OFFSET(PLE!$G$15,$M86-$A$15,DD$13)="",10^12,OFFSET(PLE!$G$15,$M86-$A$15,DD$13)))</f>
        <v>1000000000000</v>
      </c>
      <c r="DE86" s="172" cm="1">
        <f t="array" aca="1" ref="DE86" ca="1">IF(OR($D86&lt;&gt;"Serviço",AND(AUTOEVENTO="Manual",$M86=$A$15),$M86&gt;(ROW(PLE.lastrow)-ROW(PLE.firstrow))),0,
           IF(OFFSET(PLE!$G$15,$M86-$A$15,DE$13)="",10^12,OFFSET(PLE!$G$15,$M86-$A$15,DE$13)))</f>
        <v>1000000000000</v>
      </c>
      <c r="DF86" s="172" cm="1">
        <f t="array" aca="1" ref="DF86" ca="1">IF(OR($D86&lt;&gt;"Serviço",AND(AUTOEVENTO="Manual",$M86=$A$15),$M86&gt;(ROW(PLE.lastrow)-ROW(PLE.firstrow))),0,
           IF(OFFSET(PLE!$G$15,$M86-$A$15,DF$13)="",10^12,OFFSET(PLE!$G$15,$M86-$A$15,DF$13)))</f>
        <v>1000000000000</v>
      </c>
      <c r="DG86" s="172" cm="1">
        <f t="array" aca="1" ref="DG86" ca="1">IF(OR($D86&lt;&gt;"Serviço",AND(AUTOEVENTO="Manual",$M86=$A$15),$M86&gt;(ROW(PLE.lastrow)-ROW(PLE.firstrow))),0,
           IF(OFFSET(PLE!$G$15,$M86-$A$15,DG$13)="",10^12,OFFSET(PLE!$G$15,$M86-$A$15,DG$13)))</f>
        <v>1000000000000</v>
      </c>
      <c r="DH86" s="172" cm="1">
        <f t="array" aca="1" ref="DH86" ca="1">IF(OR($D86&lt;&gt;"Serviço",AND(AUTOEVENTO="Manual",$M86=$A$15),$M86&gt;(ROW(PLE.lastrow)-ROW(PLE.firstrow))),0,
           IF(OFFSET(PLE!$G$15,$M86-$A$15,DH$13)="",10^12,OFFSET(PLE!$G$15,$M86-$A$15,DH$13)))</f>
        <v>1000000000000</v>
      </c>
      <c r="DI86" s="172" cm="1">
        <f t="array" aca="1" ref="DI86" ca="1">IF(OR($D86&lt;&gt;"Serviço",AND(AUTOEVENTO="Manual",$M86=$A$15),$M86&gt;(ROW(PLE.lastrow)-ROW(PLE.firstrow))),0,
           IF(OFFSET(PLE!$G$15,$M86-$A$15,DI$13)="",10^12,OFFSET(PLE!$G$15,$M86-$A$15,DI$13)))</f>
        <v>1000000000000</v>
      </c>
      <c r="DJ86" s="172" cm="1">
        <f t="array" aca="1" ref="DJ86" ca="1">IF(OR($D86&lt;&gt;"Serviço",AND(AUTOEVENTO="Manual",$M86=$A$15),$M86&gt;(ROW(PLE.lastrow)-ROW(PLE.firstrow))),0,
           IF(OFFSET(PLE!$G$15,$M86-$A$15,DJ$13)="",10^12,OFFSET(PLE!$G$15,$M86-$A$15,DJ$13)))</f>
        <v>1000000000000</v>
      </c>
      <c r="DK86" s="172" cm="1">
        <f t="array" aca="1" ref="DK86" ca="1">IF(OR($D86&lt;&gt;"Serviço",AND(AUTOEVENTO="Manual",$M86=$A$15),$M86&gt;(ROW(PLE.lastrow)-ROW(PLE.firstrow))),0,
           IF(OFFSET(PLE!$G$15,$M86-$A$15,DK$13)="",10^12,OFFSET(PLE!$G$15,$M86-$A$15,DK$13)))</f>
        <v>1000000000000</v>
      </c>
      <c r="DL86" s="172" cm="1">
        <f t="array" aca="1" ref="DL86" ca="1">IF(OR($D86&lt;&gt;"Serviço",AND(AUTOEVENTO="Manual",$M86=$A$15),$M86&gt;(ROW(PLE.lastrow)-ROW(PLE.firstrow))),0,
           IF(OFFSET(PLE!$G$15,$M86-$A$15,DL$13)="",10^12,OFFSET(PLE!$G$15,$M86-$A$15,DL$13)))</f>
        <v>1000000000000</v>
      </c>
      <c r="DM86" s="172" cm="1">
        <f t="array" aca="1" ref="DM86" ca="1">IF(OR($D86&lt;&gt;"Serviço",AND(AUTOEVENTO="Manual",$M86=$A$15),$M86&gt;(ROW(PLE.lastrow)-ROW(PLE.firstrow))),0,
           IF(OFFSET(PLE!$G$15,$M86-$A$15,DM$13)="",10^12,OFFSET(PLE!$G$15,$M86-$A$15,DM$13)))</f>
        <v>1000000000000</v>
      </c>
      <c r="DN86" s="172" cm="1">
        <f t="array" aca="1" ref="DN86" ca="1">IF(OR($D86&lt;&gt;"Serviço",AND(AUTOEVENTO="Manual",$M86=$A$15),$M86&gt;(ROW(PLE.lastrow)-ROW(PLE.firstrow))),0,
           IF(OFFSET(PLE!$G$15,$M86-$A$15,DN$13)="",10^12,OFFSET(PLE!$G$15,$M86-$A$15,DN$13)))</f>
        <v>1000000000000</v>
      </c>
      <c r="DO86" s="172" cm="1">
        <f t="array" aca="1" ref="DO86" ca="1">IF(OR($D86&lt;&gt;"Serviço",AND(AUTOEVENTO="Manual",$M86=$A$15),$M86&gt;(ROW(PLE.lastrow)-ROW(PLE.firstrow))),0,
           IF(OFFSET(PLE!$G$15,$M86-$A$15,DO$13)="",10^12,OFFSET(PLE!$G$15,$M86-$A$15,DO$13)))</f>
        <v>1000000000000</v>
      </c>
      <c r="DP86" s="172" cm="1">
        <f t="array" aca="1" ref="DP86" ca="1">IF(OR($D86&lt;&gt;"Serviço",AND(AUTOEVENTO="Manual",$M86=$A$15),$M86&gt;(ROW(PLE.lastrow)-ROW(PLE.firstrow))),0,
           IF(OFFSET(PLE!$G$15,$M86-$A$15,DP$13)="",10^12,OFFSET(PLE!$G$15,$M86-$A$15,DP$13)))</f>
        <v>1000000000000</v>
      </c>
      <c r="DQ86" s="172" cm="1">
        <f t="array" aca="1" ref="DQ86" ca="1">IF(OR($D86&lt;&gt;"Serviço",AND(AUTOEVENTO="Manual",$M86=$A$15),$M86&gt;(ROW(PLE.lastrow)-ROW(PLE.firstrow))),0,
           IF(OFFSET(PLE!$G$15,$M86-$A$15,DQ$13)="",10^12,OFFSET(PLE!$G$15,$M86-$A$15,DQ$13)))</f>
        <v>1000000000000</v>
      </c>
      <c r="DR86" s="172" cm="1">
        <f t="array" aca="1" ref="DR86" ca="1">IF(OR($D86&lt;&gt;"Serviço",AND(AUTOEVENTO="Manual",$M86=$A$15),$M86&gt;(ROW(PLE.lastrow)-ROW(PLE.firstrow))),0,
           IF(OFFSET(PLE!$G$15,$M86-$A$15,DR$13)="",10^12,OFFSET(PLE!$G$15,$M86-$A$15,DR$13)))</f>
        <v>1000000000000</v>
      </c>
      <c r="DS86" s="172" cm="1">
        <f t="array" aca="1" ref="DS86" ca="1">IF(OR($D86&lt;&gt;"Serviço",AND(AUTOEVENTO="Manual",$M86=$A$15),$M86&gt;(ROW(PLE.lastrow)-ROW(PLE.firstrow))),0,
           IF(OFFSET(PLE!$G$15,$M86-$A$15,DS$13)="",10^12,OFFSET(PLE!$G$15,$M86-$A$15,DS$13)))</f>
        <v>1000000000000</v>
      </c>
    </row>
    <row r="87" spans="1:123" ht="51" x14ac:dyDescent="0.2">
      <c r="A87" s="7">
        <f t="shared" ca="1" si="13"/>
        <v>7</v>
      </c>
      <c r="B87" s="7" t="str">
        <f ca="1">OFFSET(ORÇAMENTO!C$15,$L87,0)</f>
        <v>S</v>
      </c>
      <c r="C87" s="7" t="str">
        <f ca="1">OFFSET(ORÇAMENTO!L$15,$L87,0)</f>
        <v/>
      </c>
      <c r="D87" s="116" t="str">
        <f ca="1">OFFSET(ORÇAMENTO!N$15,$L87,0)</f>
        <v>Serviço</v>
      </c>
      <c r="E87" s="117" t="str">
        <f ca="1">OFFSET(ORÇAMENTO!O$15,$L87,0)</f>
        <v>-</v>
      </c>
      <c r="F87" s="163" t="str">
        <f ca="1">OFFSET(ORÇAMENTO!R$15,$L87,0)</f>
        <v>(Código não identificado nas referências)</v>
      </c>
      <c r="G87" s="164" t="str">
        <f ca="1">IF($D87&lt;&gt;"Serviço","",OFFSET(ORÇAMENTO!S$15,$L87,0))</f>
        <v>-</v>
      </c>
      <c r="H87" s="122" cm="1">
        <f t="array" aca="1" ref="H87" ca="1">IF($D87&lt;&gt;"Serviço",0,IF(ACOMPANHAMENTO="BM",ROUND(OFFSET(ORÇAMENTO!AJ$15,$L87,0),15-13*ORÇAMENTO!$AF$7),IF(IFERROR(CÁLCULO.FrentesPreenchidas,0)=0,0,SUM(ROUND(OFFSET($P87,0,1,1,CÁLCULO.FrentesPreenchidas),15-13*ORÇAMENTO!$AF$7)))))</f>
        <v>469.80000000000013</v>
      </c>
      <c r="I87" s="468" t="s">
        <v>1235</v>
      </c>
      <c r="J87" s="651" t="str" cm="1">
        <f t="array" aca="1" ref="J87" ca="1">IF(OR(B87&lt;&gt;"S",CÁLCULO.FrentesPreenchidas=0),"",IF(AND(ACOMPANHAMENTO="PLE",AUTOEVENTO="Manual",OR(H87&gt;0,ORÇAMENTO!AC87="QUANT."),OR(K87="",M87=0,N87="")),"►E",IF(AND(ACOMPANHAMENTO="PLE",ORÇAMENTO!AC87="QUANT."),"►Q",IF(AND(ACOMPANHAMENTO="PLE",H87&lt;&gt;SUMPRODUCT(($Q$1:$AQ$1=1)*ROUND(Q87:AQ87,15))),"►S",IF(AND(COUNTIF($P$11:$AQ$11,"▼")=0,H87&gt;0,I87=""),"◄M","")))))</f>
        <v/>
      </c>
      <c r="K87" s="652" t="s">
        <v>1255</v>
      </c>
      <c r="L87" s="165">
        <f t="shared" ca="1" si="14"/>
        <v>72</v>
      </c>
      <c r="M87" s="166">
        <f ca="1">IF($D87&lt;&gt;"Serviço","",
          IF(AUTOEVENTO="manual",$A87,
                IF(ISERROR(MATCH($A87,$A$15:OFFSET($A87,-1,0),0)),MAX($M$15:OFFSET(M87,-1,0))+1,
                      INDEX($M$15:OFFSET(M87,-1,0),MATCH($A87,$A$15:OFFSET($A87,-1,0),0)))))</f>
        <v>7</v>
      </c>
      <c r="N87" s="167" t="str">
        <f ca="1">IF($D87&lt;&gt;"Serviço","",
         IF(AUTOEVENTO="Manual",
                IF($A87=0,"&lt;-- defina o número do agrupador",
                       OFFSET(EVENTOS!$D$15,$A87-$A$15,0)),
                OFFSET($F$15,$A87,0)))</f>
        <v>REVESTIMENTOS</v>
      </c>
      <c r="O87" s="168"/>
      <c r="Q87" s="168">
        <v>23.49</v>
      </c>
      <c r="R87" s="169">
        <v>23.49</v>
      </c>
      <c r="S87" s="169">
        <v>23.49</v>
      </c>
      <c r="T87" s="169">
        <v>23.49</v>
      </c>
      <c r="U87" s="169">
        <v>23.49</v>
      </c>
      <c r="V87" s="169">
        <v>23.49</v>
      </c>
      <c r="W87" s="169">
        <v>23.49</v>
      </c>
      <c r="X87" s="169">
        <v>23.49</v>
      </c>
      <c r="Y87" s="169">
        <v>23.49</v>
      </c>
      <c r="Z87" s="170">
        <v>23.49</v>
      </c>
      <c r="AA87" s="169">
        <v>23.49</v>
      </c>
      <c r="AB87" s="169">
        <v>23.49</v>
      </c>
      <c r="AC87" s="169">
        <v>23.49</v>
      </c>
      <c r="AD87" s="169">
        <v>23.49</v>
      </c>
      <c r="AE87" s="169">
        <v>23.49</v>
      </c>
      <c r="AF87" s="169">
        <v>23.49</v>
      </c>
      <c r="AG87" s="169">
        <v>23.49</v>
      </c>
      <c r="AH87" s="170">
        <v>23.49</v>
      </c>
      <c r="AI87" s="169">
        <v>23.49</v>
      </c>
      <c r="AJ87" s="169">
        <v>23.49</v>
      </c>
      <c r="AK87" s="169"/>
      <c r="AL87" s="169"/>
      <c r="AM87" s="169"/>
      <c r="AN87" s="169"/>
      <c r="AO87" s="169"/>
      <c r="AP87" s="170"/>
      <c r="AR87" s="453">
        <f ca="1">IF(AND($D87="Serviço",AR$12&lt;&gt;0,$H87&gt;0,OR(AUTOEVENTO&lt;&gt;"manual",$M87&lt;&gt;$A$15)),
        IF(Import.TipoArredondamento&lt;&gt;"TransfereGOV",
              ROUND(OFFSET($P87,0,AR$13),15-13*ORÇAMENTO!$AF$7)/$H87*OFFSET(ORÇAMENTO!$X$15,ROW(AR87)-ROW(AR$15),0),
              ROUND(ROUND(OFFSET($P87,0,AR$13),15-13*ORÇAMENTO!$AF$7)*OFFSET(ORÇAMENTO!$W$15,ROW(AR87)-ROW(AR$15),0),15-13*ORÇAMENTO!$AF$11)),
         0)</f>
        <v>0</v>
      </c>
      <c r="AS87" s="453">
        <f ca="1">IF(AND($D87="Serviço",AS$12&lt;&gt;0,$H87&gt;0,OR(AUTOEVENTO&lt;&gt;"manual",$M87&lt;&gt;$A$15)),
        IF(Import.TipoArredondamento&lt;&gt;"TransfereGOV",
              ROUND(OFFSET($P87,0,AS$13),15-13*ORÇAMENTO!$AF$7)/$H87*OFFSET(ORÇAMENTO!$X$15,ROW(AS87)-ROW(AS$15),0),
              ROUND(ROUND(OFFSET($P87,0,AS$13),15-13*ORÇAMENTO!$AF$7)*OFFSET(ORÇAMENTO!$W$15,ROW(AS87)-ROW(AS$15),0),15-13*ORÇAMENTO!$AF$11)),
         0)</f>
        <v>0</v>
      </c>
      <c r="AT87" s="453">
        <f ca="1">IF(AND($D87="Serviço",AT$12&lt;&gt;0,$H87&gt;0,OR(AUTOEVENTO&lt;&gt;"manual",$M87&lt;&gt;$A$15)),
        IF(Import.TipoArredondamento&lt;&gt;"TransfereGOV",
              ROUND(OFFSET($P87,0,AT$13),15-13*ORÇAMENTO!$AF$7)/$H87*OFFSET(ORÇAMENTO!$X$15,ROW(AT87)-ROW(AT$15),0),
              ROUND(ROUND(OFFSET($P87,0,AT$13),15-13*ORÇAMENTO!$AF$7)*OFFSET(ORÇAMENTO!$W$15,ROW(AT87)-ROW(AT$15),0),15-13*ORÇAMENTO!$AF$11)),
         0)</f>
        <v>0</v>
      </c>
      <c r="AU87" s="453">
        <f ca="1">IF(AND($D87="Serviço",AU$12&lt;&gt;0,$H87&gt;0,OR(AUTOEVENTO&lt;&gt;"manual",$M87&lt;&gt;$A$15)),
        IF(Import.TipoArredondamento&lt;&gt;"TransfereGOV",
              ROUND(OFFSET($P87,0,AU$13),15-13*ORÇAMENTO!$AF$7)/$H87*OFFSET(ORÇAMENTO!$X$15,ROW(AU87)-ROW(AU$15),0),
              ROUND(ROUND(OFFSET($P87,0,AU$13),15-13*ORÇAMENTO!$AF$7)*OFFSET(ORÇAMENTO!$W$15,ROW(AU87)-ROW(AU$15),0),15-13*ORÇAMENTO!$AF$11)),
         0)</f>
        <v>0</v>
      </c>
      <c r="AV87" s="453">
        <f ca="1">IF(AND($D87="Serviço",AV$12&lt;&gt;0,$H87&gt;0,OR(AUTOEVENTO&lt;&gt;"manual",$M87&lt;&gt;$A$15)),
        IF(Import.TipoArredondamento&lt;&gt;"TransfereGOV",
              ROUND(OFFSET($P87,0,AV$13),15-13*ORÇAMENTO!$AF$7)/$H87*OFFSET(ORÇAMENTO!$X$15,ROW(AV87)-ROW(AV$15),0),
              ROUND(ROUND(OFFSET($P87,0,AV$13),15-13*ORÇAMENTO!$AF$7)*OFFSET(ORÇAMENTO!$W$15,ROW(AV87)-ROW(AV$15),0),15-13*ORÇAMENTO!$AF$11)),
         0)</f>
        <v>0</v>
      </c>
      <c r="AW87" s="453">
        <f ca="1">IF(AND($D87="Serviço",AW$12&lt;&gt;0,$H87&gt;0,OR(AUTOEVENTO&lt;&gt;"manual",$M87&lt;&gt;$A$15)),
        IF(Import.TipoArredondamento&lt;&gt;"TransfereGOV",
              ROUND(OFFSET($P87,0,AW$13),15-13*ORÇAMENTO!$AF$7)/$H87*OFFSET(ORÇAMENTO!$X$15,ROW(AW87)-ROW(AW$15),0),
              ROUND(ROUND(OFFSET($P87,0,AW$13),15-13*ORÇAMENTO!$AF$7)*OFFSET(ORÇAMENTO!$W$15,ROW(AW87)-ROW(AW$15),0),15-13*ORÇAMENTO!$AF$11)),
         0)</f>
        <v>0</v>
      </c>
      <c r="AX87" s="453">
        <f ca="1">IF(AND($D87="Serviço",AX$12&lt;&gt;0,$H87&gt;0,OR(AUTOEVENTO&lt;&gt;"manual",$M87&lt;&gt;$A$15)),
        IF(Import.TipoArredondamento&lt;&gt;"TransfereGOV",
              ROUND(OFFSET($P87,0,AX$13),15-13*ORÇAMENTO!$AF$7)/$H87*OFFSET(ORÇAMENTO!$X$15,ROW(AX87)-ROW(AX$15),0),
              ROUND(ROUND(OFFSET($P87,0,AX$13),15-13*ORÇAMENTO!$AF$7)*OFFSET(ORÇAMENTO!$W$15,ROW(AX87)-ROW(AX$15),0),15-13*ORÇAMENTO!$AF$11)),
         0)</f>
        <v>0</v>
      </c>
      <c r="AY87" s="453">
        <f ca="1">IF(AND($D87="Serviço",AY$12&lt;&gt;0,$H87&gt;0,OR(AUTOEVENTO&lt;&gt;"manual",$M87&lt;&gt;$A$15)),
        IF(Import.TipoArredondamento&lt;&gt;"TransfereGOV",
              ROUND(OFFSET($P87,0,AY$13),15-13*ORÇAMENTO!$AF$7)/$H87*OFFSET(ORÇAMENTO!$X$15,ROW(AY87)-ROW(AY$15),0),
              ROUND(ROUND(OFFSET($P87,0,AY$13),15-13*ORÇAMENTO!$AF$7)*OFFSET(ORÇAMENTO!$W$15,ROW(AY87)-ROW(AY$15),0),15-13*ORÇAMENTO!$AF$11)),
         0)</f>
        <v>0</v>
      </c>
      <c r="AZ87" s="453">
        <f ca="1">IF(AND($D87="Serviço",AZ$12&lt;&gt;0,$H87&gt;0,OR(AUTOEVENTO&lt;&gt;"manual",$M87&lt;&gt;$A$15)),
        IF(Import.TipoArredondamento&lt;&gt;"TransfereGOV",
              ROUND(OFFSET($P87,0,AZ$13),15-13*ORÇAMENTO!$AF$7)/$H87*OFFSET(ORÇAMENTO!$X$15,ROW(AZ87)-ROW(AZ$15),0),
              ROUND(ROUND(OFFSET($P87,0,AZ$13),15-13*ORÇAMENTO!$AF$7)*OFFSET(ORÇAMENTO!$W$15,ROW(AZ87)-ROW(AZ$15),0),15-13*ORÇAMENTO!$AF$11)),
         0)</f>
        <v>0</v>
      </c>
      <c r="BA87" s="453">
        <f ca="1">IF(AND($D87="Serviço",BA$12&lt;&gt;0,$H87&gt;0,OR(AUTOEVENTO&lt;&gt;"manual",$M87&lt;&gt;$A$15)),
        IF(Import.TipoArredondamento&lt;&gt;"TransfereGOV",
              ROUND(OFFSET($P87,0,BA$13),15-13*ORÇAMENTO!$AF$7)/$H87*OFFSET(ORÇAMENTO!$X$15,ROW(BA87)-ROW(BA$15),0),
              ROUND(ROUND(OFFSET($P87,0,BA$13),15-13*ORÇAMENTO!$AF$7)*OFFSET(ORÇAMENTO!$W$15,ROW(BA87)-ROW(BA$15),0),15-13*ORÇAMENTO!$AF$11)),
         0)</f>
        <v>0</v>
      </c>
      <c r="BB87" s="453">
        <f ca="1">IF(AND($D87="Serviço",BB$12&lt;&gt;0,$H87&gt;0,OR(AUTOEVENTO&lt;&gt;"manual",$M87&lt;&gt;$A$15)),
        IF(Import.TipoArredondamento&lt;&gt;"TransfereGOV",
              ROUND(OFFSET($P87,0,BB$13),15-13*ORÇAMENTO!$AF$7)/$H87*OFFSET(ORÇAMENTO!$X$15,ROW(BB87)-ROW(BB$15),0),
              ROUND(ROUND(OFFSET($P87,0,BB$13),15-13*ORÇAMENTO!$AF$7)*OFFSET(ORÇAMENTO!$W$15,ROW(BB87)-ROW(BB$15),0),15-13*ORÇAMENTO!$AF$11)),
         0)</f>
        <v>0</v>
      </c>
      <c r="BC87" s="453">
        <f ca="1">IF(AND($D87="Serviço",BC$12&lt;&gt;0,$H87&gt;0,OR(AUTOEVENTO&lt;&gt;"manual",$M87&lt;&gt;$A$15)),
        IF(Import.TipoArredondamento&lt;&gt;"TransfereGOV",
              ROUND(OFFSET($P87,0,BC$13),15-13*ORÇAMENTO!$AF$7)/$H87*OFFSET(ORÇAMENTO!$X$15,ROW(BC87)-ROW(BC$15),0),
              ROUND(ROUND(OFFSET($P87,0,BC$13),15-13*ORÇAMENTO!$AF$7)*OFFSET(ORÇAMENTO!$W$15,ROW(BC87)-ROW(BC$15),0),15-13*ORÇAMENTO!$AF$11)),
         0)</f>
        <v>0</v>
      </c>
      <c r="BD87" s="453">
        <f ca="1">IF(AND($D87="Serviço",BD$12&lt;&gt;0,$H87&gt;0,OR(AUTOEVENTO&lt;&gt;"manual",$M87&lt;&gt;$A$15)),
        IF(Import.TipoArredondamento&lt;&gt;"TransfereGOV",
              ROUND(OFFSET($P87,0,BD$13),15-13*ORÇAMENTO!$AF$7)/$H87*OFFSET(ORÇAMENTO!$X$15,ROW(BD87)-ROW(BD$15),0),
              ROUND(ROUND(OFFSET($P87,0,BD$13),15-13*ORÇAMENTO!$AF$7)*OFFSET(ORÇAMENTO!$W$15,ROW(BD87)-ROW(BD$15),0),15-13*ORÇAMENTO!$AF$11)),
         0)</f>
        <v>0</v>
      </c>
      <c r="BE87" s="453">
        <f ca="1">IF(AND($D87="Serviço",BE$12&lt;&gt;0,$H87&gt;0,OR(AUTOEVENTO&lt;&gt;"manual",$M87&lt;&gt;$A$15)),
        IF(Import.TipoArredondamento&lt;&gt;"TransfereGOV",
              ROUND(OFFSET($P87,0,BE$13),15-13*ORÇAMENTO!$AF$7)/$H87*OFFSET(ORÇAMENTO!$X$15,ROW(BE87)-ROW(BE$15),0),
              ROUND(ROUND(OFFSET($P87,0,BE$13),15-13*ORÇAMENTO!$AF$7)*OFFSET(ORÇAMENTO!$W$15,ROW(BE87)-ROW(BE$15),0),15-13*ORÇAMENTO!$AF$11)),
         0)</f>
        <v>0</v>
      </c>
      <c r="BF87" s="453">
        <f ca="1">IF(AND($D87="Serviço",BF$12&lt;&gt;0,$H87&gt;0,OR(AUTOEVENTO&lt;&gt;"manual",$M87&lt;&gt;$A$15)),
        IF(Import.TipoArredondamento&lt;&gt;"TransfereGOV",
              ROUND(OFFSET($P87,0,BF$13),15-13*ORÇAMENTO!$AF$7)/$H87*OFFSET(ORÇAMENTO!$X$15,ROW(BF87)-ROW(BF$15),0),
              ROUND(ROUND(OFFSET($P87,0,BF$13),15-13*ORÇAMENTO!$AF$7)*OFFSET(ORÇAMENTO!$W$15,ROW(BF87)-ROW(BF$15),0),15-13*ORÇAMENTO!$AF$11)),
         0)</f>
        <v>0</v>
      </c>
      <c r="BG87" s="453">
        <f ca="1">IF(AND($D87="Serviço",BG$12&lt;&gt;0,$H87&gt;0,OR(AUTOEVENTO&lt;&gt;"manual",$M87&lt;&gt;$A$15)),
        IF(Import.TipoArredondamento&lt;&gt;"TransfereGOV",
              ROUND(OFFSET($P87,0,BG$13),15-13*ORÇAMENTO!$AF$7)/$H87*OFFSET(ORÇAMENTO!$X$15,ROW(BG87)-ROW(BG$15),0),
              ROUND(ROUND(OFFSET($P87,0,BG$13),15-13*ORÇAMENTO!$AF$7)*OFFSET(ORÇAMENTO!$W$15,ROW(BG87)-ROW(BG$15),0),15-13*ORÇAMENTO!$AF$11)),
         0)</f>
        <v>0</v>
      </c>
      <c r="BH87" s="453">
        <f ca="1">IF(AND($D87="Serviço",BH$12&lt;&gt;0,$H87&gt;0,OR(AUTOEVENTO&lt;&gt;"manual",$M87&lt;&gt;$A$15)),
        IF(Import.TipoArredondamento&lt;&gt;"TransfereGOV",
              ROUND(OFFSET($P87,0,BH$13),15-13*ORÇAMENTO!$AF$7)/$H87*OFFSET(ORÇAMENTO!$X$15,ROW(BH87)-ROW(BH$15),0),
              ROUND(ROUND(OFFSET($P87,0,BH$13),15-13*ORÇAMENTO!$AF$7)*OFFSET(ORÇAMENTO!$W$15,ROW(BH87)-ROW(BH$15),0),15-13*ORÇAMENTO!$AF$11)),
         0)</f>
        <v>0</v>
      </c>
      <c r="BI87" s="453">
        <f ca="1">IF(AND($D87="Serviço",BI$12&lt;&gt;0,$H87&gt;0,OR(AUTOEVENTO&lt;&gt;"manual",$M87&lt;&gt;$A$15)),
        IF(Import.TipoArredondamento&lt;&gt;"TransfereGOV",
              ROUND(OFFSET($P87,0,BI$13),15-13*ORÇAMENTO!$AF$7)/$H87*OFFSET(ORÇAMENTO!$X$15,ROW(BI87)-ROW(BI$15),0),
              ROUND(ROUND(OFFSET($P87,0,BI$13),15-13*ORÇAMENTO!$AF$7)*OFFSET(ORÇAMENTO!$W$15,ROW(BI87)-ROW(BI$15),0),15-13*ORÇAMENTO!$AF$11)),
         0)</f>
        <v>0</v>
      </c>
      <c r="BJ87" s="453">
        <f ca="1">IF(AND($D87="Serviço",BJ$12&lt;&gt;0,$H87&gt;0,OR(AUTOEVENTO&lt;&gt;"manual",$M87&lt;&gt;$A$15)),
        IF(Import.TipoArredondamento&lt;&gt;"TransfereGOV",
              ROUND(OFFSET($P87,0,BJ$13),15-13*ORÇAMENTO!$AF$7)/$H87*OFFSET(ORÇAMENTO!$X$15,ROW(BJ87)-ROW(BJ$15),0),
              ROUND(ROUND(OFFSET($P87,0,BJ$13),15-13*ORÇAMENTO!$AF$7)*OFFSET(ORÇAMENTO!$W$15,ROW(BJ87)-ROW(BJ$15),0),15-13*ORÇAMENTO!$AF$11)),
         0)</f>
        <v>0</v>
      </c>
      <c r="BK87" s="453">
        <f ca="1">IF(AND($D87="Serviço",BK$12&lt;&gt;0,$H87&gt;0,OR(AUTOEVENTO&lt;&gt;"manual",$M87&lt;&gt;$A$15)),
        IF(Import.TipoArredondamento&lt;&gt;"TransfereGOV",
              ROUND(OFFSET($P87,0,BK$13),15-13*ORÇAMENTO!$AF$7)/$H87*OFFSET(ORÇAMENTO!$X$15,ROW(BK87)-ROW(BK$15),0),
              ROUND(ROUND(OFFSET($P87,0,BK$13),15-13*ORÇAMENTO!$AF$7)*OFFSET(ORÇAMENTO!$W$15,ROW(BK87)-ROW(BK$15),0),15-13*ORÇAMENTO!$AF$11)),
         0)</f>
        <v>0</v>
      </c>
      <c r="BL87" s="453">
        <f ca="1">IF(AND($D87="Serviço",BL$12&lt;&gt;0,$H87&gt;0,OR(AUTOEVENTO&lt;&gt;"manual",$M87&lt;&gt;$A$15)),
        IF(Import.TipoArredondamento&lt;&gt;"TransfereGOV",
              ROUND(OFFSET($P87,0,BL$13),15-13*ORÇAMENTO!$AF$7)/$H87*OFFSET(ORÇAMENTO!$X$15,ROW(BL87)-ROW(BL$15),0),
              ROUND(ROUND(OFFSET($P87,0,BL$13),15-13*ORÇAMENTO!$AF$7)*OFFSET(ORÇAMENTO!$W$15,ROW(BL87)-ROW(BL$15),0),15-13*ORÇAMENTO!$AF$11)),
         0)</f>
        <v>0</v>
      </c>
      <c r="BM87" s="453">
        <f ca="1">IF(AND($D87="Serviço",BM$12&lt;&gt;0,$H87&gt;0,OR(AUTOEVENTO&lt;&gt;"manual",$M87&lt;&gt;$A$15)),
        IF(Import.TipoArredondamento&lt;&gt;"TransfereGOV",
              ROUND(OFFSET($P87,0,BM$13),15-13*ORÇAMENTO!$AF$7)/$H87*OFFSET(ORÇAMENTO!$X$15,ROW(BM87)-ROW(BM$15),0),
              ROUND(ROUND(OFFSET($P87,0,BM$13),15-13*ORÇAMENTO!$AF$7)*OFFSET(ORÇAMENTO!$W$15,ROW(BM87)-ROW(BM$15),0),15-13*ORÇAMENTO!$AF$11)),
         0)</f>
        <v>0</v>
      </c>
      <c r="BN87" s="453">
        <f ca="1">IF(AND($D87="Serviço",BN$12&lt;&gt;0,$H87&gt;0,OR(AUTOEVENTO&lt;&gt;"manual",$M87&lt;&gt;$A$15)),
        IF(Import.TipoArredondamento&lt;&gt;"TransfereGOV",
              ROUND(OFFSET($P87,0,BN$13),15-13*ORÇAMENTO!$AF$7)/$H87*OFFSET(ORÇAMENTO!$X$15,ROW(BN87)-ROW(BN$15),0),
              ROUND(ROUND(OFFSET($P87,0,BN$13),15-13*ORÇAMENTO!$AF$7)*OFFSET(ORÇAMENTO!$W$15,ROW(BN87)-ROW(BN$15),0),15-13*ORÇAMENTO!$AF$11)),
         0)</f>
        <v>0</v>
      </c>
      <c r="BO87" s="453">
        <f ca="1">IF(AND($D87="Serviço",BO$12&lt;&gt;0,$H87&gt;0,OR(AUTOEVENTO&lt;&gt;"manual",$M87&lt;&gt;$A$15)),
        IF(Import.TipoArredondamento&lt;&gt;"TransfereGOV",
              ROUND(OFFSET($P87,0,BO$13),15-13*ORÇAMENTO!$AF$7)/$H87*OFFSET(ORÇAMENTO!$X$15,ROW(BO87)-ROW(BO$15),0),
              ROUND(ROUND(OFFSET($P87,0,BO$13),15-13*ORÇAMENTO!$AF$7)*OFFSET(ORÇAMENTO!$W$15,ROW(BO87)-ROW(BO$15),0),15-13*ORÇAMENTO!$AF$11)),
         0)</f>
        <v>0</v>
      </c>
      <c r="BP87" s="453">
        <f ca="1">IF(AND($D87="Serviço",BP$12&lt;&gt;0,$H87&gt;0,OR(AUTOEVENTO&lt;&gt;"manual",$M87&lt;&gt;$A$15)),
        IF(Import.TipoArredondamento&lt;&gt;"TransfereGOV",
              ROUND(OFFSET($P87,0,BP$13),15-13*ORÇAMENTO!$AF$7)/$H87*OFFSET(ORÇAMENTO!$X$15,ROW(BP87)-ROW(BP$15),0),
              ROUND(ROUND(OFFSET($P87,0,BP$13),15-13*ORÇAMENTO!$AF$7)*OFFSET(ORÇAMENTO!$W$15,ROW(BP87)-ROW(BP$15),0),15-13*ORÇAMENTO!$AF$11)),
         0)</f>
        <v>0</v>
      </c>
      <c r="BQ87" s="453">
        <f ca="1">IF(AND($D87="Serviço",BQ$12&lt;&gt;0,$H87&gt;0,OR(AUTOEVENTO&lt;&gt;"manual",$M87&lt;&gt;$A$15)),
        IF(Import.TipoArredondamento&lt;&gt;"TransfereGOV",
              ROUND(OFFSET($P87,0,BQ$13),15-13*ORÇAMENTO!$AF$7)/$H87*OFFSET(ORÇAMENTO!$X$15,ROW(BQ87)-ROW(BQ$15),0),
              ROUND(ROUND(OFFSET($P87,0,BQ$13),15-13*ORÇAMENTO!$AF$7)*OFFSET(ORÇAMENTO!$W$15,ROW(BQ87)-ROW(BQ$15),0),15-13*ORÇAMENTO!$AF$11)),
         0)</f>
        <v>0</v>
      </c>
      <c r="BS87" s="171">
        <f ca="1">IF(OR($D87&lt;&gt;"Serviço",AND(AUTOEVENTO="Manual",$M87=$A$15)),0,
         IF(OFFSET(CRONOPLE!$F$15,$M87-$A$15,BS$13)=0,10^12,OFFSET(CRONOPLE!$F$15,$M87-$A$15,BS$13)))</f>
        <v>1</v>
      </c>
      <c r="BT87" s="171">
        <f ca="1">IF(OR($D87&lt;&gt;"Serviço",AND(AUTOEVENTO="Manual",$M87=$A$15)),0,
         IF(OFFSET(CRONOPLE!$F$15,$M87-$A$15,BT$13)=0,10^12,OFFSET(CRONOPLE!$F$15,$M87-$A$15,BT$13)))</f>
        <v>2</v>
      </c>
      <c r="BU87" s="171">
        <f ca="1">IF(OR($D87&lt;&gt;"Serviço",AND(AUTOEVENTO="Manual",$M87=$A$15)),0,
         IF(OFFSET(CRONOPLE!$F$15,$M87-$A$15,BU$13)=0,10^12,OFFSET(CRONOPLE!$F$15,$M87-$A$15,BU$13)))</f>
        <v>3</v>
      </c>
      <c r="BV87" s="171">
        <f ca="1">IF(OR($D87&lt;&gt;"Serviço",AND(AUTOEVENTO="Manual",$M87=$A$15)),0,
         IF(OFFSET(CRONOPLE!$F$15,$M87-$A$15,BV$13)=0,10^12,OFFSET(CRONOPLE!$F$15,$M87-$A$15,BV$13)))</f>
        <v>4</v>
      </c>
      <c r="BW87" s="171">
        <f ca="1">IF(OR($D87&lt;&gt;"Serviço",AND(AUTOEVENTO="Manual",$M87=$A$15)),0,
         IF(OFFSET(CRONOPLE!$F$15,$M87-$A$15,BW$13)=0,10^12,OFFSET(CRONOPLE!$F$15,$M87-$A$15,BW$13)))</f>
        <v>5</v>
      </c>
      <c r="BX87" s="171">
        <f ca="1">IF(OR($D87&lt;&gt;"Serviço",AND(AUTOEVENTO="Manual",$M87=$A$15)),0,
         IF(OFFSET(CRONOPLE!$F$15,$M87-$A$15,BX$13)=0,10^12,OFFSET(CRONOPLE!$F$15,$M87-$A$15,BX$13)))</f>
        <v>6</v>
      </c>
      <c r="BY87" s="171">
        <f ca="1">IF(OR($D87&lt;&gt;"Serviço",AND(AUTOEVENTO="Manual",$M87=$A$15)),0,
         IF(OFFSET(CRONOPLE!$F$15,$M87-$A$15,BY$13)=0,10^12,OFFSET(CRONOPLE!$F$15,$M87-$A$15,BY$13)))</f>
        <v>7</v>
      </c>
      <c r="BZ87" s="171">
        <f ca="1">IF(OR($D87&lt;&gt;"Serviço",AND(AUTOEVENTO="Manual",$M87=$A$15)),0,
         IF(OFFSET(CRONOPLE!$F$15,$M87-$A$15,BZ$13)=0,10^12,OFFSET(CRONOPLE!$F$15,$M87-$A$15,BZ$13)))</f>
        <v>8</v>
      </c>
      <c r="CA87" s="171">
        <f ca="1">IF(OR($D87&lt;&gt;"Serviço",AND(AUTOEVENTO="Manual",$M87=$A$15)),0,
         IF(OFFSET(CRONOPLE!$F$15,$M87-$A$15,CA$13)=0,10^12,OFFSET(CRONOPLE!$F$15,$M87-$A$15,CA$13)))</f>
        <v>9</v>
      </c>
      <c r="CB87" s="171">
        <f ca="1">IF(OR($D87&lt;&gt;"Serviço",AND(AUTOEVENTO="Manual",$M87=$A$15)),0,
         IF(OFFSET(CRONOPLE!$F$15,$M87-$A$15,CB$13)=0,10^12,OFFSET(CRONOPLE!$F$15,$M87-$A$15,CB$13)))</f>
        <v>10</v>
      </c>
      <c r="CC87" s="171">
        <f ca="1">IF(OR($D87&lt;&gt;"Serviço",AND(AUTOEVENTO="Manual",$M87=$A$15)),0,
         IF(OFFSET(CRONOPLE!$F$15,$M87-$A$15,CC$13)=0,10^12,OFFSET(CRONOPLE!$F$15,$M87-$A$15,CC$13)))</f>
        <v>11</v>
      </c>
      <c r="CD87" s="171">
        <f ca="1">IF(OR($D87&lt;&gt;"Serviço",AND(AUTOEVENTO="Manual",$M87=$A$15)),0,
         IF(OFFSET(CRONOPLE!$F$15,$M87-$A$15,CD$13)=0,10^12,OFFSET(CRONOPLE!$F$15,$M87-$A$15,CD$13)))</f>
        <v>12</v>
      </c>
      <c r="CE87" s="171">
        <f ca="1">IF(OR($D87&lt;&gt;"Serviço",AND(AUTOEVENTO="Manual",$M87=$A$15)),0,
         IF(OFFSET(CRONOPLE!$F$15,$M87-$A$15,CE$13)=0,10^12,OFFSET(CRONOPLE!$F$15,$M87-$A$15,CE$13)))</f>
        <v>13</v>
      </c>
      <c r="CF87" s="171">
        <f ca="1">IF(OR($D87&lt;&gt;"Serviço",AND(AUTOEVENTO="Manual",$M87=$A$15)),0,
         IF(OFFSET(CRONOPLE!$F$15,$M87-$A$15,CF$13)=0,10^12,OFFSET(CRONOPLE!$F$15,$M87-$A$15,CF$13)))</f>
        <v>14</v>
      </c>
      <c r="CG87" s="171">
        <f ca="1">IF(OR($D87&lt;&gt;"Serviço",AND(AUTOEVENTO="Manual",$M87=$A$15)),0,
         IF(OFFSET(CRONOPLE!$F$15,$M87-$A$15,CG$13)=0,10^12,OFFSET(CRONOPLE!$F$15,$M87-$A$15,CG$13)))</f>
        <v>15</v>
      </c>
      <c r="CH87" s="171">
        <f ca="1">IF(OR($D87&lt;&gt;"Serviço",AND(AUTOEVENTO="Manual",$M87=$A$15)),0,
         IF(OFFSET(CRONOPLE!$F$15,$M87-$A$15,CH$13)=0,10^12,OFFSET(CRONOPLE!$F$15,$M87-$A$15,CH$13)))</f>
        <v>16</v>
      </c>
      <c r="CI87" s="171">
        <f ca="1">IF(OR($D87&lt;&gt;"Serviço",AND(AUTOEVENTO="Manual",$M87=$A$15)),0,
         IF(OFFSET(CRONOPLE!$F$15,$M87-$A$15,CI$13)=0,10^12,OFFSET(CRONOPLE!$F$15,$M87-$A$15,CI$13)))</f>
        <v>17</v>
      </c>
      <c r="CJ87" s="171">
        <f ca="1">IF(OR($D87&lt;&gt;"Serviço",AND(AUTOEVENTO="Manual",$M87=$A$15)),0,
         IF(OFFSET(CRONOPLE!$F$15,$M87-$A$15,CJ$13)=0,10^12,OFFSET(CRONOPLE!$F$15,$M87-$A$15,CJ$13)))</f>
        <v>18</v>
      </c>
      <c r="CK87" s="171">
        <f ca="1">IF(OR($D87&lt;&gt;"Serviço",AND(AUTOEVENTO="Manual",$M87=$A$15)),0,
         IF(OFFSET(CRONOPLE!$F$15,$M87-$A$15,CK$13)=0,10^12,OFFSET(CRONOPLE!$F$15,$M87-$A$15,CK$13)))</f>
        <v>19</v>
      </c>
      <c r="CL87" s="171">
        <f ca="1">IF(OR($D87&lt;&gt;"Serviço",AND(AUTOEVENTO="Manual",$M87=$A$15)),0,
         IF(OFFSET(CRONOPLE!$F$15,$M87-$A$15,CL$13)=0,10^12,OFFSET(CRONOPLE!$F$15,$M87-$A$15,CL$13)))</f>
        <v>20</v>
      </c>
      <c r="CM87" s="171">
        <f ca="1">IF(OR($D87&lt;&gt;"Serviço",AND(AUTOEVENTO="Manual",$M87=$A$15)),0,
         IF(OFFSET(CRONOPLE!$F$15,$M87-$A$15,CM$13)=0,10^12,OFFSET(CRONOPLE!$F$15,$M87-$A$15,CM$13)))</f>
        <v>1000000000000</v>
      </c>
      <c r="CN87" s="171">
        <f ca="1">IF(OR($D87&lt;&gt;"Serviço",AND(AUTOEVENTO="Manual",$M87=$A$15)),0,
         IF(OFFSET(CRONOPLE!$F$15,$M87-$A$15,CN$13)=0,10^12,OFFSET(CRONOPLE!$F$15,$M87-$A$15,CN$13)))</f>
        <v>1000000000000</v>
      </c>
      <c r="CO87" s="171">
        <f ca="1">IF(OR($D87&lt;&gt;"Serviço",AND(AUTOEVENTO="Manual",$M87=$A$15)),0,
         IF(OFFSET(CRONOPLE!$F$15,$M87-$A$15,CO$13)=0,10^12,OFFSET(CRONOPLE!$F$15,$M87-$A$15,CO$13)))</f>
        <v>1000000000000</v>
      </c>
      <c r="CP87" s="171">
        <f ca="1">IF(OR($D87&lt;&gt;"Serviço",AND(AUTOEVENTO="Manual",$M87=$A$15)),0,
         IF(OFFSET(CRONOPLE!$F$15,$M87-$A$15,CP$13)=0,10^12,OFFSET(CRONOPLE!$F$15,$M87-$A$15,CP$13)))</f>
        <v>1000000000000</v>
      </c>
      <c r="CQ87" s="171">
        <f ca="1">IF(OR($D87&lt;&gt;"Serviço",AND(AUTOEVENTO="Manual",$M87=$A$15)),0,
         IF(OFFSET(CRONOPLE!$F$15,$M87-$A$15,CQ$13)=0,10^12,OFFSET(CRONOPLE!$F$15,$M87-$A$15,CQ$13)))</f>
        <v>1000000000000</v>
      </c>
      <c r="CR87" s="171">
        <f ca="1">IF(OR($D87&lt;&gt;"Serviço",AND(AUTOEVENTO="Manual",$M87=$A$15)),0,
         IF(OFFSET(CRONOPLE!$F$15,$M87-$A$15,CR$13)=0,10^12,OFFSET(CRONOPLE!$F$15,$M87-$A$15,CR$13)))</f>
        <v>1000000000000</v>
      </c>
      <c r="CT87" s="172" cm="1">
        <f t="array" aca="1" ref="CT87" ca="1">IF(OR($D87&lt;&gt;"Serviço",AND(AUTOEVENTO="Manual",$M87=$A$15),$M87&gt;(ROW(PLE.lastrow)-ROW(PLE.firstrow))),0,
           IF(OFFSET(PLE!$G$15,$M87-$A$15,CT$13)="",10^12,OFFSET(PLE!$G$15,$M87-$A$15,CT$13)))</f>
        <v>1000000000000</v>
      </c>
      <c r="CU87" s="172" cm="1">
        <f t="array" aca="1" ref="CU87" ca="1">IF(OR($D87&lt;&gt;"Serviço",AND(AUTOEVENTO="Manual",$M87=$A$15),$M87&gt;(ROW(PLE.lastrow)-ROW(PLE.firstrow))),0,
           IF(OFFSET(PLE!$G$15,$M87-$A$15,CU$13)="",10^12,OFFSET(PLE!$G$15,$M87-$A$15,CU$13)))</f>
        <v>1000000000000</v>
      </c>
      <c r="CV87" s="172" cm="1">
        <f t="array" aca="1" ref="CV87" ca="1">IF(OR($D87&lt;&gt;"Serviço",AND(AUTOEVENTO="Manual",$M87=$A$15),$M87&gt;(ROW(PLE.lastrow)-ROW(PLE.firstrow))),0,
           IF(OFFSET(PLE!$G$15,$M87-$A$15,CV$13)="",10^12,OFFSET(PLE!$G$15,$M87-$A$15,CV$13)))</f>
        <v>1000000000000</v>
      </c>
      <c r="CW87" s="172" cm="1">
        <f t="array" aca="1" ref="CW87" ca="1">IF(OR($D87&lt;&gt;"Serviço",AND(AUTOEVENTO="Manual",$M87=$A$15),$M87&gt;(ROW(PLE.lastrow)-ROW(PLE.firstrow))),0,
           IF(OFFSET(PLE!$G$15,$M87-$A$15,CW$13)="",10^12,OFFSET(PLE!$G$15,$M87-$A$15,CW$13)))</f>
        <v>1000000000000</v>
      </c>
      <c r="CX87" s="172" cm="1">
        <f t="array" aca="1" ref="CX87" ca="1">IF(OR($D87&lt;&gt;"Serviço",AND(AUTOEVENTO="Manual",$M87=$A$15),$M87&gt;(ROW(PLE.lastrow)-ROW(PLE.firstrow))),0,
           IF(OFFSET(PLE!$G$15,$M87-$A$15,CX$13)="",10^12,OFFSET(PLE!$G$15,$M87-$A$15,CX$13)))</f>
        <v>1000000000000</v>
      </c>
      <c r="CY87" s="172" cm="1">
        <f t="array" aca="1" ref="CY87" ca="1">IF(OR($D87&lt;&gt;"Serviço",AND(AUTOEVENTO="Manual",$M87=$A$15),$M87&gt;(ROW(PLE.lastrow)-ROW(PLE.firstrow))),0,
           IF(OFFSET(PLE!$G$15,$M87-$A$15,CY$13)="",10^12,OFFSET(PLE!$G$15,$M87-$A$15,CY$13)))</f>
        <v>1000000000000</v>
      </c>
      <c r="CZ87" s="172" cm="1">
        <f t="array" aca="1" ref="CZ87" ca="1">IF(OR($D87&lt;&gt;"Serviço",AND(AUTOEVENTO="Manual",$M87=$A$15),$M87&gt;(ROW(PLE.lastrow)-ROW(PLE.firstrow))),0,
           IF(OFFSET(PLE!$G$15,$M87-$A$15,CZ$13)="",10^12,OFFSET(PLE!$G$15,$M87-$A$15,CZ$13)))</f>
        <v>1000000000000</v>
      </c>
      <c r="DA87" s="172" cm="1">
        <f t="array" aca="1" ref="DA87" ca="1">IF(OR($D87&lt;&gt;"Serviço",AND(AUTOEVENTO="Manual",$M87=$A$15),$M87&gt;(ROW(PLE.lastrow)-ROW(PLE.firstrow))),0,
           IF(OFFSET(PLE!$G$15,$M87-$A$15,DA$13)="",10^12,OFFSET(PLE!$G$15,$M87-$A$15,DA$13)))</f>
        <v>1000000000000</v>
      </c>
      <c r="DB87" s="172" cm="1">
        <f t="array" aca="1" ref="DB87" ca="1">IF(OR($D87&lt;&gt;"Serviço",AND(AUTOEVENTO="Manual",$M87=$A$15),$M87&gt;(ROW(PLE.lastrow)-ROW(PLE.firstrow))),0,
           IF(OFFSET(PLE!$G$15,$M87-$A$15,DB$13)="",10^12,OFFSET(PLE!$G$15,$M87-$A$15,DB$13)))</f>
        <v>1000000000000</v>
      </c>
      <c r="DC87" s="172" cm="1">
        <f t="array" aca="1" ref="DC87" ca="1">IF(OR($D87&lt;&gt;"Serviço",AND(AUTOEVENTO="Manual",$M87=$A$15),$M87&gt;(ROW(PLE.lastrow)-ROW(PLE.firstrow))),0,
           IF(OFFSET(PLE!$G$15,$M87-$A$15,DC$13)="",10^12,OFFSET(PLE!$G$15,$M87-$A$15,DC$13)))</f>
        <v>1000000000000</v>
      </c>
      <c r="DD87" s="172" cm="1">
        <f t="array" aca="1" ref="DD87" ca="1">IF(OR($D87&lt;&gt;"Serviço",AND(AUTOEVENTO="Manual",$M87=$A$15),$M87&gt;(ROW(PLE.lastrow)-ROW(PLE.firstrow))),0,
           IF(OFFSET(PLE!$G$15,$M87-$A$15,DD$13)="",10^12,OFFSET(PLE!$G$15,$M87-$A$15,DD$13)))</f>
        <v>1000000000000</v>
      </c>
      <c r="DE87" s="172" cm="1">
        <f t="array" aca="1" ref="DE87" ca="1">IF(OR($D87&lt;&gt;"Serviço",AND(AUTOEVENTO="Manual",$M87=$A$15),$M87&gt;(ROW(PLE.lastrow)-ROW(PLE.firstrow))),0,
           IF(OFFSET(PLE!$G$15,$M87-$A$15,DE$13)="",10^12,OFFSET(PLE!$G$15,$M87-$A$15,DE$13)))</f>
        <v>1000000000000</v>
      </c>
      <c r="DF87" s="172" cm="1">
        <f t="array" aca="1" ref="DF87" ca="1">IF(OR($D87&lt;&gt;"Serviço",AND(AUTOEVENTO="Manual",$M87=$A$15),$M87&gt;(ROW(PLE.lastrow)-ROW(PLE.firstrow))),0,
           IF(OFFSET(PLE!$G$15,$M87-$A$15,DF$13)="",10^12,OFFSET(PLE!$G$15,$M87-$A$15,DF$13)))</f>
        <v>1000000000000</v>
      </c>
      <c r="DG87" s="172" cm="1">
        <f t="array" aca="1" ref="DG87" ca="1">IF(OR($D87&lt;&gt;"Serviço",AND(AUTOEVENTO="Manual",$M87=$A$15),$M87&gt;(ROW(PLE.lastrow)-ROW(PLE.firstrow))),0,
           IF(OFFSET(PLE!$G$15,$M87-$A$15,DG$13)="",10^12,OFFSET(PLE!$G$15,$M87-$A$15,DG$13)))</f>
        <v>1000000000000</v>
      </c>
      <c r="DH87" s="172" cm="1">
        <f t="array" aca="1" ref="DH87" ca="1">IF(OR($D87&lt;&gt;"Serviço",AND(AUTOEVENTO="Manual",$M87=$A$15),$M87&gt;(ROW(PLE.lastrow)-ROW(PLE.firstrow))),0,
           IF(OFFSET(PLE!$G$15,$M87-$A$15,DH$13)="",10^12,OFFSET(PLE!$G$15,$M87-$A$15,DH$13)))</f>
        <v>1000000000000</v>
      </c>
      <c r="DI87" s="172" cm="1">
        <f t="array" aca="1" ref="DI87" ca="1">IF(OR($D87&lt;&gt;"Serviço",AND(AUTOEVENTO="Manual",$M87=$A$15),$M87&gt;(ROW(PLE.lastrow)-ROW(PLE.firstrow))),0,
           IF(OFFSET(PLE!$G$15,$M87-$A$15,DI$13)="",10^12,OFFSET(PLE!$G$15,$M87-$A$15,DI$13)))</f>
        <v>1000000000000</v>
      </c>
      <c r="DJ87" s="172" cm="1">
        <f t="array" aca="1" ref="DJ87" ca="1">IF(OR($D87&lt;&gt;"Serviço",AND(AUTOEVENTO="Manual",$M87=$A$15),$M87&gt;(ROW(PLE.lastrow)-ROW(PLE.firstrow))),0,
           IF(OFFSET(PLE!$G$15,$M87-$A$15,DJ$13)="",10^12,OFFSET(PLE!$G$15,$M87-$A$15,DJ$13)))</f>
        <v>1000000000000</v>
      </c>
      <c r="DK87" s="172" cm="1">
        <f t="array" aca="1" ref="DK87" ca="1">IF(OR($D87&lt;&gt;"Serviço",AND(AUTOEVENTO="Manual",$M87=$A$15),$M87&gt;(ROW(PLE.lastrow)-ROW(PLE.firstrow))),0,
           IF(OFFSET(PLE!$G$15,$M87-$A$15,DK$13)="",10^12,OFFSET(PLE!$G$15,$M87-$A$15,DK$13)))</f>
        <v>1000000000000</v>
      </c>
      <c r="DL87" s="172" cm="1">
        <f t="array" aca="1" ref="DL87" ca="1">IF(OR($D87&lt;&gt;"Serviço",AND(AUTOEVENTO="Manual",$M87=$A$15),$M87&gt;(ROW(PLE.lastrow)-ROW(PLE.firstrow))),0,
           IF(OFFSET(PLE!$G$15,$M87-$A$15,DL$13)="",10^12,OFFSET(PLE!$G$15,$M87-$A$15,DL$13)))</f>
        <v>1000000000000</v>
      </c>
      <c r="DM87" s="172" cm="1">
        <f t="array" aca="1" ref="DM87" ca="1">IF(OR($D87&lt;&gt;"Serviço",AND(AUTOEVENTO="Manual",$M87=$A$15),$M87&gt;(ROW(PLE.lastrow)-ROW(PLE.firstrow))),0,
           IF(OFFSET(PLE!$G$15,$M87-$A$15,DM$13)="",10^12,OFFSET(PLE!$G$15,$M87-$A$15,DM$13)))</f>
        <v>1000000000000</v>
      </c>
      <c r="DN87" s="172" cm="1">
        <f t="array" aca="1" ref="DN87" ca="1">IF(OR($D87&lt;&gt;"Serviço",AND(AUTOEVENTO="Manual",$M87=$A$15),$M87&gt;(ROW(PLE.lastrow)-ROW(PLE.firstrow))),0,
           IF(OFFSET(PLE!$G$15,$M87-$A$15,DN$13)="",10^12,OFFSET(PLE!$G$15,$M87-$A$15,DN$13)))</f>
        <v>1000000000000</v>
      </c>
      <c r="DO87" s="172" cm="1">
        <f t="array" aca="1" ref="DO87" ca="1">IF(OR($D87&lt;&gt;"Serviço",AND(AUTOEVENTO="Manual",$M87=$A$15),$M87&gt;(ROW(PLE.lastrow)-ROW(PLE.firstrow))),0,
           IF(OFFSET(PLE!$G$15,$M87-$A$15,DO$13)="",10^12,OFFSET(PLE!$G$15,$M87-$A$15,DO$13)))</f>
        <v>1000000000000</v>
      </c>
      <c r="DP87" s="172" cm="1">
        <f t="array" aca="1" ref="DP87" ca="1">IF(OR($D87&lt;&gt;"Serviço",AND(AUTOEVENTO="Manual",$M87=$A$15),$M87&gt;(ROW(PLE.lastrow)-ROW(PLE.firstrow))),0,
           IF(OFFSET(PLE!$G$15,$M87-$A$15,DP$13)="",10^12,OFFSET(PLE!$G$15,$M87-$A$15,DP$13)))</f>
        <v>1000000000000</v>
      </c>
      <c r="DQ87" s="172" cm="1">
        <f t="array" aca="1" ref="DQ87" ca="1">IF(OR($D87&lt;&gt;"Serviço",AND(AUTOEVENTO="Manual",$M87=$A$15),$M87&gt;(ROW(PLE.lastrow)-ROW(PLE.firstrow))),0,
           IF(OFFSET(PLE!$G$15,$M87-$A$15,DQ$13)="",10^12,OFFSET(PLE!$G$15,$M87-$A$15,DQ$13)))</f>
        <v>1000000000000</v>
      </c>
      <c r="DR87" s="172" cm="1">
        <f t="array" aca="1" ref="DR87" ca="1">IF(OR($D87&lt;&gt;"Serviço",AND(AUTOEVENTO="Manual",$M87=$A$15),$M87&gt;(ROW(PLE.lastrow)-ROW(PLE.firstrow))),0,
           IF(OFFSET(PLE!$G$15,$M87-$A$15,DR$13)="",10^12,OFFSET(PLE!$G$15,$M87-$A$15,DR$13)))</f>
        <v>1000000000000</v>
      </c>
      <c r="DS87" s="172" cm="1">
        <f t="array" aca="1" ref="DS87" ca="1">IF(OR($D87&lt;&gt;"Serviço",AND(AUTOEVENTO="Manual",$M87=$A$15),$M87&gt;(ROW(PLE.lastrow)-ROW(PLE.firstrow))),0,
           IF(OFFSET(PLE!$G$15,$M87-$A$15,DS$13)="",10^12,OFFSET(PLE!$G$15,$M87-$A$15,DS$13)))</f>
        <v>1000000000000</v>
      </c>
    </row>
    <row r="88" spans="1:123" ht="51" x14ac:dyDescent="0.2">
      <c r="A88" s="7">
        <f t="shared" ca="1" si="13"/>
        <v>7</v>
      </c>
      <c r="B88" s="7" t="str">
        <f ca="1">OFFSET(ORÇAMENTO!C$15,$L88,0)</f>
        <v>S</v>
      </c>
      <c r="C88" s="7" t="str">
        <f ca="1">OFFSET(ORÇAMENTO!L$15,$L88,0)</f>
        <v/>
      </c>
      <c r="D88" s="116" t="str">
        <f ca="1">OFFSET(ORÇAMENTO!N$15,$L88,0)</f>
        <v>Serviço</v>
      </c>
      <c r="E88" s="117" t="str">
        <f ca="1">OFFSET(ORÇAMENTO!O$15,$L88,0)</f>
        <v>-</v>
      </c>
      <c r="F88" s="163" t="str">
        <f ca="1">OFFSET(ORÇAMENTO!R$15,$L88,0)</f>
        <v>(Código não identificado nas referências)</v>
      </c>
      <c r="G88" s="164" t="str">
        <f ca="1">IF($D88&lt;&gt;"Serviço","",OFFSET(ORÇAMENTO!S$15,$L88,0))</f>
        <v>-</v>
      </c>
      <c r="H88" s="122" cm="1">
        <f t="array" aca="1" ref="H88" ca="1">IF($D88&lt;&gt;"Serviço",0,IF(ACOMPANHAMENTO="BM",ROUND(OFFSET(ORÇAMENTO!AJ$15,$L88,0),15-13*ORÇAMENTO!$AF$7),IF(IFERROR(CÁLCULO.FrentesPreenchidas,0)=0,0,SUM(ROUND(OFFSET($P88,0,1,1,CÁLCULO.FrentesPreenchidas),15-13*ORÇAMENTO!$AF$7)))))</f>
        <v>1600.9999999999995</v>
      </c>
      <c r="I88" s="468" t="s">
        <v>1235</v>
      </c>
      <c r="J88" s="651" t="str" cm="1">
        <f t="array" aca="1" ref="J88" ca="1">IF(OR(B88&lt;&gt;"S",CÁLCULO.FrentesPreenchidas=0),"",IF(AND(ACOMPANHAMENTO="PLE",AUTOEVENTO="Manual",OR(H88&gt;0,ORÇAMENTO!AC88="QUANT."),OR(K88="",M88=0,N88="")),"►E",IF(AND(ACOMPANHAMENTO="PLE",ORÇAMENTO!AC88="QUANT."),"►Q",IF(AND(ACOMPANHAMENTO="PLE",H88&lt;&gt;SUMPRODUCT(($Q$1:$AQ$1=1)*ROUND(Q88:AQ88,15))),"►S",IF(AND(COUNTIF($P$11:$AQ$11,"▼")=0,H88&gt;0,I88=""),"◄M","")))))</f>
        <v/>
      </c>
      <c r="K88" s="652" t="s">
        <v>1255</v>
      </c>
      <c r="L88" s="165">
        <f t="shared" ca="1" si="14"/>
        <v>73</v>
      </c>
      <c r="M88" s="166">
        <f ca="1">IF($D88&lt;&gt;"Serviço","",
          IF(AUTOEVENTO="manual",$A88,
                IF(ISERROR(MATCH($A88,$A$15:OFFSET($A88,-1,0),0)),MAX($M$15:OFFSET(M88,-1,0))+1,
                      INDEX($M$15:OFFSET(M88,-1,0),MATCH($A88,$A$15:OFFSET($A88,-1,0),0)))))</f>
        <v>7</v>
      </c>
      <c r="N88" s="167" t="str">
        <f ca="1">IF($D88&lt;&gt;"Serviço","",
         IF(AUTOEVENTO="Manual",
                IF($A88=0,"&lt;-- defina o número do agrupador",
                       OFFSET(EVENTOS!$D$15,$A88-$A$15,0)),
                OFFSET($F$15,$A88,0)))</f>
        <v>REVESTIMENTOS</v>
      </c>
      <c r="O88" s="168"/>
      <c r="Q88" s="168">
        <v>80.05</v>
      </c>
      <c r="R88" s="169">
        <v>80.05</v>
      </c>
      <c r="S88" s="169">
        <v>80.05</v>
      </c>
      <c r="T88" s="169">
        <v>80.05</v>
      </c>
      <c r="U88" s="169">
        <v>80.05</v>
      </c>
      <c r="V88" s="169">
        <v>80.05</v>
      </c>
      <c r="W88" s="169">
        <v>80.05</v>
      </c>
      <c r="X88" s="169">
        <v>80.05</v>
      </c>
      <c r="Y88" s="169">
        <v>80.05</v>
      </c>
      <c r="Z88" s="170">
        <v>80.05</v>
      </c>
      <c r="AA88" s="169">
        <v>80.05</v>
      </c>
      <c r="AB88" s="169">
        <v>80.05</v>
      </c>
      <c r="AC88" s="169">
        <v>80.05</v>
      </c>
      <c r="AD88" s="169">
        <v>80.05</v>
      </c>
      <c r="AE88" s="169">
        <v>80.05</v>
      </c>
      <c r="AF88" s="169">
        <v>80.05</v>
      </c>
      <c r="AG88" s="169">
        <v>80.05</v>
      </c>
      <c r="AH88" s="170">
        <v>80.05</v>
      </c>
      <c r="AI88" s="169">
        <v>80.05</v>
      </c>
      <c r="AJ88" s="169">
        <v>80.05</v>
      </c>
      <c r="AK88" s="169"/>
      <c r="AL88" s="169"/>
      <c r="AM88" s="169"/>
      <c r="AN88" s="169"/>
      <c r="AO88" s="169"/>
      <c r="AP88" s="170"/>
      <c r="AR88" s="453">
        <f ca="1">IF(AND($D88="Serviço",AR$12&lt;&gt;0,$H88&gt;0,OR(AUTOEVENTO&lt;&gt;"manual",$M88&lt;&gt;$A$15)),
        IF(Import.TipoArredondamento&lt;&gt;"TransfereGOV",
              ROUND(OFFSET($P88,0,AR$13),15-13*ORÇAMENTO!$AF$7)/$H88*OFFSET(ORÇAMENTO!$X$15,ROW(AR88)-ROW(AR$15),0),
              ROUND(ROUND(OFFSET($P88,0,AR$13),15-13*ORÇAMENTO!$AF$7)*OFFSET(ORÇAMENTO!$W$15,ROW(AR88)-ROW(AR$15),0),15-13*ORÇAMENTO!$AF$11)),
         0)</f>
        <v>0</v>
      </c>
      <c r="AS88" s="453">
        <f ca="1">IF(AND($D88="Serviço",AS$12&lt;&gt;0,$H88&gt;0,OR(AUTOEVENTO&lt;&gt;"manual",$M88&lt;&gt;$A$15)),
        IF(Import.TipoArredondamento&lt;&gt;"TransfereGOV",
              ROUND(OFFSET($P88,0,AS$13),15-13*ORÇAMENTO!$AF$7)/$H88*OFFSET(ORÇAMENTO!$X$15,ROW(AS88)-ROW(AS$15),0),
              ROUND(ROUND(OFFSET($P88,0,AS$13),15-13*ORÇAMENTO!$AF$7)*OFFSET(ORÇAMENTO!$W$15,ROW(AS88)-ROW(AS$15),0),15-13*ORÇAMENTO!$AF$11)),
         0)</f>
        <v>0</v>
      </c>
      <c r="AT88" s="453">
        <f ca="1">IF(AND($D88="Serviço",AT$12&lt;&gt;0,$H88&gt;0,OR(AUTOEVENTO&lt;&gt;"manual",$M88&lt;&gt;$A$15)),
        IF(Import.TipoArredondamento&lt;&gt;"TransfereGOV",
              ROUND(OFFSET($P88,0,AT$13),15-13*ORÇAMENTO!$AF$7)/$H88*OFFSET(ORÇAMENTO!$X$15,ROW(AT88)-ROW(AT$15),0),
              ROUND(ROUND(OFFSET($P88,0,AT$13),15-13*ORÇAMENTO!$AF$7)*OFFSET(ORÇAMENTO!$W$15,ROW(AT88)-ROW(AT$15),0),15-13*ORÇAMENTO!$AF$11)),
         0)</f>
        <v>0</v>
      </c>
      <c r="AU88" s="453">
        <f ca="1">IF(AND($D88="Serviço",AU$12&lt;&gt;0,$H88&gt;0,OR(AUTOEVENTO&lt;&gt;"manual",$M88&lt;&gt;$A$15)),
        IF(Import.TipoArredondamento&lt;&gt;"TransfereGOV",
              ROUND(OFFSET($P88,0,AU$13),15-13*ORÇAMENTO!$AF$7)/$H88*OFFSET(ORÇAMENTO!$X$15,ROW(AU88)-ROW(AU$15),0),
              ROUND(ROUND(OFFSET($P88,0,AU$13),15-13*ORÇAMENTO!$AF$7)*OFFSET(ORÇAMENTO!$W$15,ROW(AU88)-ROW(AU$15),0),15-13*ORÇAMENTO!$AF$11)),
         0)</f>
        <v>0</v>
      </c>
      <c r="AV88" s="453">
        <f ca="1">IF(AND($D88="Serviço",AV$12&lt;&gt;0,$H88&gt;0,OR(AUTOEVENTO&lt;&gt;"manual",$M88&lt;&gt;$A$15)),
        IF(Import.TipoArredondamento&lt;&gt;"TransfereGOV",
              ROUND(OFFSET($P88,0,AV$13),15-13*ORÇAMENTO!$AF$7)/$H88*OFFSET(ORÇAMENTO!$X$15,ROW(AV88)-ROW(AV$15),0),
              ROUND(ROUND(OFFSET($P88,0,AV$13),15-13*ORÇAMENTO!$AF$7)*OFFSET(ORÇAMENTO!$W$15,ROW(AV88)-ROW(AV$15),0),15-13*ORÇAMENTO!$AF$11)),
         0)</f>
        <v>0</v>
      </c>
      <c r="AW88" s="453">
        <f ca="1">IF(AND($D88="Serviço",AW$12&lt;&gt;0,$H88&gt;0,OR(AUTOEVENTO&lt;&gt;"manual",$M88&lt;&gt;$A$15)),
        IF(Import.TipoArredondamento&lt;&gt;"TransfereGOV",
              ROUND(OFFSET($P88,0,AW$13),15-13*ORÇAMENTO!$AF$7)/$H88*OFFSET(ORÇAMENTO!$X$15,ROW(AW88)-ROW(AW$15),0),
              ROUND(ROUND(OFFSET($P88,0,AW$13),15-13*ORÇAMENTO!$AF$7)*OFFSET(ORÇAMENTO!$W$15,ROW(AW88)-ROW(AW$15),0),15-13*ORÇAMENTO!$AF$11)),
         0)</f>
        <v>0</v>
      </c>
      <c r="AX88" s="453">
        <f ca="1">IF(AND($D88="Serviço",AX$12&lt;&gt;0,$H88&gt;0,OR(AUTOEVENTO&lt;&gt;"manual",$M88&lt;&gt;$A$15)),
        IF(Import.TipoArredondamento&lt;&gt;"TransfereGOV",
              ROUND(OFFSET($P88,0,AX$13),15-13*ORÇAMENTO!$AF$7)/$H88*OFFSET(ORÇAMENTO!$X$15,ROW(AX88)-ROW(AX$15),0),
              ROUND(ROUND(OFFSET($P88,0,AX$13),15-13*ORÇAMENTO!$AF$7)*OFFSET(ORÇAMENTO!$W$15,ROW(AX88)-ROW(AX$15),0),15-13*ORÇAMENTO!$AF$11)),
         0)</f>
        <v>0</v>
      </c>
      <c r="AY88" s="453">
        <f ca="1">IF(AND($D88="Serviço",AY$12&lt;&gt;0,$H88&gt;0,OR(AUTOEVENTO&lt;&gt;"manual",$M88&lt;&gt;$A$15)),
        IF(Import.TipoArredondamento&lt;&gt;"TransfereGOV",
              ROUND(OFFSET($P88,0,AY$13),15-13*ORÇAMENTO!$AF$7)/$H88*OFFSET(ORÇAMENTO!$X$15,ROW(AY88)-ROW(AY$15),0),
              ROUND(ROUND(OFFSET($P88,0,AY$13),15-13*ORÇAMENTO!$AF$7)*OFFSET(ORÇAMENTO!$W$15,ROW(AY88)-ROW(AY$15),0),15-13*ORÇAMENTO!$AF$11)),
         0)</f>
        <v>0</v>
      </c>
      <c r="AZ88" s="453">
        <f ca="1">IF(AND($D88="Serviço",AZ$12&lt;&gt;0,$H88&gt;0,OR(AUTOEVENTO&lt;&gt;"manual",$M88&lt;&gt;$A$15)),
        IF(Import.TipoArredondamento&lt;&gt;"TransfereGOV",
              ROUND(OFFSET($P88,0,AZ$13),15-13*ORÇAMENTO!$AF$7)/$H88*OFFSET(ORÇAMENTO!$X$15,ROW(AZ88)-ROW(AZ$15),0),
              ROUND(ROUND(OFFSET($P88,0,AZ$13),15-13*ORÇAMENTO!$AF$7)*OFFSET(ORÇAMENTO!$W$15,ROW(AZ88)-ROW(AZ$15),0),15-13*ORÇAMENTO!$AF$11)),
         0)</f>
        <v>0</v>
      </c>
      <c r="BA88" s="453">
        <f ca="1">IF(AND($D88="Serviço",BA$12&lt;&gt;0,$H88&gt;0,OR(AUTOEVENTO&lt;&gt;"manual",$M88&lt;&gt;$A$15)),
        IF(Import.TipoArredondamento&lt;&gt;"TransfereGOV",
              ROUND(OFFSET($P88,0,BA$13),15-13*ORÇAMENTO!$AF$7)/$H88*OFFSET(ORÇAMENTO!$X$15,ROW(BA88)-ROW(BA$15),0),
              ROUND(ROUND(OFFSET($P88,0,BA$13),15-13*ORÇAMENTO!$AF$7)*OFFSET(ORÇAMENTO!$W$15,ROW(BA88)-ROW(BA$15),0),15-13*ORÇAMENTO!$AF$11)),
         0)</f>
        <v>0</v>
      </c>
      <c r="BB88" s="453">
        <f ca="1">IF(AND($D88="Serviço",BB$12&lt;&gt;0,$H88&gt;0,OR(AUTOEVENTO&lt;&gt;"manual",$M88&lt;&gt;$A$15)),
        IF(Import.TipoArredondamento&lt;&gt;"TransfereGOV",
              ROUND(OFFSET($P88,0,BB$13),15-13*ORÇAMENTO!$AF$7)/$H88*OFFSET(ORÇAMENTO!$X$15,ROW(BB88)-ROW(BB$15),0),
              ROUND(ROUND(OFFSET($P88,0,BB$13),15-13*ORÇAMENTO!$AF$7)*OFFSET(ORÇAMENTO!$W$15,ROW(BB88)-ROW(BB$15),0),15-13*ORÇAMENTO!$AF$11)),
         0)</f>
        <v>0</v>
      </c>
      <c r="BC88" s="453">
        <f ca="1">IF(AND($D88="Serviço",BC$12&lt;&gt;0,$H88&gt;0,OR(AUTOEVENTO&lt;&gt;"manual",$M88&lt;&gt;$A$15)),
        IF(Import.TipoArredondamento&lt;&gt;"TransfereGOV",
              ROUND(OFFSET($P88,0,BC$13),15-13*ORÇAMENTO!$AF$7)/$H88*OFFSET(ORÇAMENTO!$X$15,ROW(BC88)-ROW(BC$15),0),
              ROUND(ROUND(OFFSET($P88,0,BC$13),15-13*ORÇAMENTO!$AF$7)*OFFSET(ORÇAMENTO!$W$15,ROW(BC88)-ROW(BC$15),0),15-13*ORÇAMENTO!$AF$11)),
         0)</f>
        <v>0</v>
      </c>
      <c r="BD88" s="453">
        <f ca="1">IF(AND($D88="Serviço",BD$12&lt;&gt;0,$H88&gt;0,OR(AUTOEVENTO&lt;&gt;"manual",$M88&lt;&gt;$A$15)),
        IF(Import.TipoArredondamento&lt;&gt;"TransfereGOV",
              ROUND(OFFSET($P88,0,BD$13),15-13*ORÇAMENTO!$AF$7)/$H88*OFFSET(ORÇAMENTO!$X$15,ROW(BD88)-ROW(BD$15),0),
              ROUND(ROUND(OFFSET($P88,0,BD$13),15-13*ORÇAMENTO!$AF$7)*OFFSET(ORÇAMENTO!$W$15,ROW(BD88)-ROW(BD$15),0),15-13*ORÇAMENTO!$AF$11)),
         0)</f>
        <v>0</v>
      </c>
      <c r="BE88" s="453">
        <f ca="1">IF(AND($D88="Serviço",BE$12&lt;&gt;0,$H88&gt;0,OR(AUTOEVENTO&lt;&gt;"manual",$M88&lt;&gt;$A$15)),
        IF(Import.TipoArredondamento&lt;&gt;"TransfereGOV",
              ROUND(OFFSET($P88,0,BE$13),15-13*ORÇAMENTO!$AF$7)/$H88*OFFSET(ORÇAMENTO!$X$15,ROW(BE88)-ROW(BE$15),0),
              ROUND(ROUND(OFFSET($P88,0,BE$13),15-13*ORÇAMENTO!$AF$7)*OFFSET(ORÇAMENTO!$W$15,ROW(BE88)-ROW(BE$15),0),15-13*ORÇAMENTO!$AF$11)),
         0)</f>
        <v>0</v>
      </c>
      <c r="BF88" s="453">
        <f ca="1">IF(AND($D88="Serviço",BF$12&lt;&gt;0,$H88&gt;0,OR(AUTOEVENTO&lt;&gt;"manual",$M88&lt;&gt;$A$15)),
        IF(Import.TipoArredondamento&lt;&gt;"TransfereGOV",
              ROUND(OFFSET($P88,0,BF$13),15-13*ORÇAMENTO!$AF$7)/$H88*OFFSET(ORÇAMENTO!$X$15,ROW(BF88)-ROW(BF$15),0),
              ROUND(ROUND(OFFSET($P88,0,BF$13),15-13*ORÇAMENTO!$AF$7)*OFFSET(ORÇAMENTO!$W$15,ROW(BF88)-ROW(BF$15),0),15-13*ORÇAMENTO!$AF$11)),
         0)</f>
        <v>0</v>
      </c>
      <c r="BG88" s="453">
        <f ca="1">IF(AND($D88="Serviço",BG$12&lt;&gt;0,$H88&gt;0,OR(AUTOEVENTO&lt;&gt;"manual",$M88&lt;&gt;$A$15)),
        IF(Import.TipoArredondamento&lt;&gt;"TransfereGOV",
              ROUND(OFFSET($P88,0,BG$13),15-13*ORÇAMENTO!$AF$7)/$H88*OFFSET(ORÇAMENTO!$X$15,ROW(BG88)-ROW(BG$15),0),
              ROUND(ROUND(OFFSET($P88,0,BG$13),15-13*ORÇAMENTO!$AF$7)*OFFSET(ORÇAMENTO!$W$15,ROW(BG88)-ROW(BG$15),0),15-13*ORÇAMENTO!$AF$11)),
         0)</f>
        <v>0</v>
      </c>
      <c r="BH88" s="453">
        <f ca="1">IF(AND($D88="Serviço",BH$12&lt;&gt;0,$H88&gt;0,OR(AUTOEVENTO&lt;&gt;"manual",$M88&lt;&gt;$A$15)),
        IF(Import.TipoArredondamento&lt;&gt;"TransfereGOV",
              ROUND(OFFSET($P88,0,BH$13),15-13*ORÇAMENTO!$AF$7)/$H88*OFFSET(ORÇAMENTO!$X$15,ROW(BH88)-ROW(BH$15),0),
              ROUND(ROUND(OFFSET($P88,0,BH$13),15-13*ORÇAMENTO!$AF$7)*OFFSET(ORÇAMENTO!$W$15,ROW(BH88)-ROW(BH$15),0),15-13*ORÇAMENTO!$AF$11)),
         0)</f>
        <v>0</v>
      </c>
      <c r="BI88" s="453">
        <f ca="1">IF(AND($D88="Serviço",BI$12&lt;&gt;0,$H88&gt;0,OR(AUTOEVENTO&lt;&gt;"manual",$M88&lt;&gt;$A$15)),
        IF(Import.TipoArredondamento&lt;&gt;"TransfereGOV",
              ROUND(OFFSET($P88,0,BI$13),15-13*ORÇAMENTO!$AF$7)/$H88*OFFSET(ORÇAMENTO!$X$15,ROW(BI88)-ROW(BI$15),0),
              ROUND(ROUND(OFFSET($P88,0,BI$13),15-13*ORÇAMENTO!$AF$7)*OFFSET(ORÇAMENTO!$W$15,ROW(BI88)-ROW(BI$15),0),15-13*ORÇAMENTO!$AF$11)),
         0)</f>
        <v>0</v>
      </c>
      <c r="BJ88" s="453">
        <f ca="1">IF(AND($D88="Serviço",BJ$12&lt;&gt;0,$H88&gt;0,OR(AUTOEVENTO&lt;&gt;"manual",$M88&lt;&gt;$A$15)),
        IF(Import.TipoArredondamento&lt;&gt;"TransfereGOV",
              ROUND(OFFSET($P88,0,BJ$13),15-13*ORÇAMENTO!$AF$7)/$H88*OFFSET(ORÇAMENTO!$X$15,ROW(BJ88)-ROW(BJ$15),0),
              ROUND(ROUND(OFFSET($P88,0,BJ$13),15-13*ORÇAMENTO!$AF$7)*OFFSET(ORÇAMENTO!$W$15,ROW(BJ88)-ROW(BJ$15),0),15-13*ORÇAMENTO!$AF$11)),
         0)</f>
        <v>0</v>
      </c>
      <c r="BK88" s="453">
        <f ca="1">IF(AND($D88="Serviço",BK$12&lt;&gt;0,$H88&gt;0,OR(AUTOEVENTO&lt;&gt;"manual",$M88&lt;&gt;$A$15)),
        IF(Import.TipoArredondamento&lt;&gt;"TransfereGOV",
              ROUND(OFFSET($P88,0,BK$13),15-13*ORÇAMENTO!$AF$7)/$H88*OFFSET(ORÇAMENTO!$X$15,ROW(BK88)-ROW(BK$15),0),
              ROUND(ROUND(OFFSET($P88,0,BK$13),15-13*ORÇAMENTO!$AF$7)*OFFSET(ORÇAMENTO!$W$15,ROW(BK88)-ROW(BK$15),0),15-13*ORÇAMENTO!$AF$11)),
         0)</f>
        <v>0</v>
      </c>
      <c r="BL88" s="453">
        <f ca="1">IF(AND($D88="Serviço",BL$12&lt;&gt;0,$H88&gt;0,OR(AUTOEVENTO&lt;&gt;"manual",$M88&lt;&gt;$A$15)),
        IF(Import.TipoArredondamento&lt;&gt;"TransfereGOV",
              ROUND(OFFSET($P88,0,BL$13),15-13*ORÇAMENTO!$AF$7)/$H88*OFFSET(ORÇAMENTO!$X$15,ROW(BL88)-ROW(BL$15),0),
              ROUND(ROUND(OFFSET($P88,0,BL$13),15-13*ORÇAMENTO!$AF$7)*OFFSET(ORÇAMENTO!$W$15,ROW(BL88)-ROW(BL$15),0),15-13*ORÇAMENTO!$AF$11)),
         0)</f>
        <v>0</v>
      </c>
      <c r="BM88" s="453">
        <f ca="1">IF(AND($D88="Serviço",BM$12&lt;&gt;0,$H88&gt;0,OR(AUTOEVENTO&lt;&gt;"manual",$M88&lt;&gt;$A$15)),
        IF(Import.TipoArredondamento&lt;&gt;"TransfereGOV",
              ROUND(OFFSET($P88,0,BM$13),15-13*ORÇAMENTO!$AF$7)/$H88*OFFSET(ORÇAMENTO!$X$15,ROW(BM88)-ROW(BM$15),0),
              ROUND(ROUND(OFFSET($P88,0,BM$13),15-13*ORÇAMENTO!$AF$7)*OFFSET(ORÇAMENTO!$W$15,ROW(BM88)-ROW(BM$15),0),15-13*ORÇAMENTO!$AF$11)),
         0)</f>
        <v>0</v>
      </c>
      <c r="BN88" s="453">
        <f ca="1">IF(AND($D88="Serviço",BN$12&lt;&gt;0,$H88&gt;0,OR(AUTOEVENTO&lt;&gt;"manual",$M88&lt;&gt;$A$15)),
        IF(Import.TipoArredondamento&lt;&gt;"TransfereGOV",
              ROUND(OFFSET($P88,0,BN$13),15-13*ORÇAMENTO!$AF$7)/$H88*OFFSET(ORÇAMENTO!$X$15,ROW(BN88)-ROW(BN$15),0),
              ROUND(ROUND(OFFSET($P88,0,BN$13),15-13*ORÇAMENTO!$AF$7)*OFFSET(ORÇAMENTO!$W$15,ROW(BN88)-ROW(BN$15),0),15-13*ORÇAMENTO!$AF$11)),
         0)</f>
        <v>0</v>
      </c>
      <c r="BO88" s="453">
        <f ca="1">IF(AND($D88="Serviço",BO$12&lt;&gt;0,$H88&gt;0,OR(AUTOEVENTO&lt;&gt;"manual",$M88&lt;&gt;$A$15)),
        IF(Import.TipoArredondamento&lt;&gt;"TransfereGOV",
              ROUND(OFFSET($P88,0,BO$13),15-13*ORÇAMENTO!$AF$7)/$H88*OFFSET(ORÇAMENTO!$X$15,ROW(BO88)-ROW(BO$15),0),
              ROUND(ROUND(OFFSET($P88,0,BO$13),15-13*ORÇAMENTO!$AF$7)*OFFSET(ORÇAMENTO!$W$15,ROW(BO88)-ROW(BO$15),0),15-13*ORÇAMENTO!$AF$11)),
         0)</f>
        <v>0</v>
      </c>
      <c r="BP88" s="453">
        <f ca="1">IF(AND($D88="Serviço",BP$12&lt;&gt;0,$H88&gt;0,OR(AUTOEVENTO&lt;&gt;"manual",$M88&lt;&gt;$A$15)),
        IF(Import.TipoArredondamento&lt;&gt;"TransfereGOV",
              ROUND(OFFSET($P88,0,BP$13),15-13*ORÇAMENTO!$AF$7)/$H88*OFFSET(ORÇAMENTO!$X$15,ROW(BP88)-ROW(BP$15),0),
              ROUND(ROUND(OFFSET($P88,0,BP$13),15-13*ORÇAMENTO!$AF$7)*OFFSET(ORÇAMENTO!$W$15,ROW(BP88)-ROW(BP$15),0),15-13*ORÇAMENTO!$AF$11)),
         0)</f>
        <v>0</v>
      </c>
      <c r="BQ88" s="453">
        <f ca="1">IF(AND($D88="Serviço",BQ$12&lt;&gt;0,$H88&gt;0,OR(AUTOEVENTO&lt;&gt;"manual",$M88&lt;&gt;$A$15)),
        IF(Import.TipoArredondamento&lt;&gt;"TransfereGOV",
              ROUND(OFFSET($P88,0,BQ$13),15-13*ORÇAMENTO!$AF$7)/$H88*OFFSET(ORÇAMENTO!$X$15,ROW(BQ88)-ROW(BQ$15),0),
              ROUND(ROUND(OFFSET($P88,0,BQ$13),15-13*ORÇAMENTO!$AF$7)*OFFSET(ORÇAMENTO!$W$15,ROW(BQ88)-ROW(BQ$15),0),15-13*ORÇAMENTO!$AF$11)),
         0)</f>
        <v>0</v>
      </c>
      <c r="BS88" s="171">
        <f ca="1">IF(OR($D88&lt;&gt;"Serviço",AND(AUTOEVENTO="Manual",$M88=$A$15)),0,
         IF(OFFSET(CRONOPLE!$F$15,$M88-$A$15,BS$13)=0,10^12,OFFSET(CRONOPLE!$F$15,$M88-$A$15,BS$13)))</f>
        <v>1</v>
      </c>
      <c r="BT88" s="171">
        <f ca="1">IF(OR($D88&lt;&gt;"Serviço",AND(AUTOEVENTO="Manual",$M88=$A$15)),0,
         IF(OFFSET(CRONOPLE!$F$15,$M88-$A$15,BT$13)=0,10^12,OFFSET(CRONOPLE!$F$15,$M88-$A$15,BT$13)))</f>
        <v>2</v>
      </c>
      <c r="BU88" s="171">
        <f ca="1">IF(OR($D88&lt;&gt;"Serviço",AND(AUTOEVENTO="Manual",$M88=$A$15)),0,
         IF(OFFSET(CRONOPLE!$F$15,$M88-$A$15,BU$13)=0,10^12,OFFSET(CRONOPLE!$F$15,$M88-$A$15,BU$13)))</f>
        <v>3</v>
      </c>
      <c r="BV88" s="171">
        <f ca="1">IF(OR($D88&lt;&gt;"Serviço",AND(AUTOEVENTO="Manual",$M88=$A$15)),0,
         IF(OFFSET(CRONOPLE!$F$15,$M88-$A$15,BV$13)=0,10^12,OFFSET(CRONOPLE!$F$15,$M88-$A$15,BV$13)))</f>
        <v>4</v>
      </c>
      <c r="BW88" s="171">
        <f ca="1">IF(OR($D88&lt;&gt;"Serviço",AND(AUTOEVENTO="Manual",$M88=$A$15)),0,
         IF(OFFSET(CRONOPLE!$F$15,$M88-$A$15,BW$13)=0,10^12,OFFSET(CRONOPLE!$F$15,$M88-$A$15,BW$13)))</f>
        <v>5</v>
      </c>
      <c r="BX88" s="171">
        <f ca="1">IF(OR($D88&lt;&gt;"Serviço",AND(AUTOEVENTO="Manual",$M88=$A$15)),0,
         IF(OFFSET(CRONOPLE!$F$15,$M88-$A$15,BX$13)=0,10^12,OFFSET(CRONOPLE!$F$15,$M88-$A$15,BX$13)))</f>
        <v>6</v>
      </c>
      <c r="BY88" s="171">
        <f ca="1">IF(OR($D88&lt;&gt;"Serviço",AND(AUTOEVENTO="Manual",$M88=$A$15)),0,
         IF(OFFSET(CRONOPLE!$F$15,$M88-$A$15,BY$13)=0,10^12,OFFSET(CRONOPLE!$F$15,$M88-$A$15,BY$13)))</f>
        <v>7</v>
      </c>
      <c r="BZ88" s="171">
        <f ca="1">IF(OR($D88&lt;&gt;"Serviço",AND(AUTOEVENTO="Manual",$M88=$A$15)),0,
         IF(OFFSET(CRONOPLE!$F$15,$M88-$A$15,BZ$13)=0,10^12,OFFSET(CRONOPLE!$F$15,$M88-$A$15,BZ$13)))</f>
        <v>8</v>
      </c>
      <c r="CA88" s="171">
        <f ca="1">IF(OR($D88&lt;&gt;"Serviço",AND(AUTOEVENTO="Manual",$M88=$A$15)),0,
         IF(OFFSET(CRONOPLE!$F$15,$M88-$A$15,CA$13)=0,10^12,OFFSET(CRONOPLE!$F$15,$M88-$A$15,CA$13)))</f>
        <v>9</v>
      </c>
      <c r="CB88" s="171">
        <f ca="1">IF(OR($D88&lt;&gt;"Serviço",AND(AUTOEVENTO="Manual",$M88=$A$15)),0,
         IF(OFFSET(CRONOPLE!$F$15,$M88-$A$15,CB$13)=0,10^12,OFFSET(CRONOPLE!$F$15,$M88-$A$15,CB$13)))</f>
        <v>10</v>
      </c>
      <c r="CC88" s="171">
        <f ca="1">IF(OR($D88&lt;&gt;"Serviço",AND(AUTOEVENTO="Manual",$M88=$A$15)),0,
         IF(OFFSET(CRONOPLE!$F$15,$M88-$A$15,CC$13)=0,10^12,OFFSET(CRONOPLE!$F$15,$M88-$A$15,CC$13)))</f>
        <v>11</v>
      </c>
      <c r="CD88" s="171">
        <f ca="1">IF(OR($D88&lt;&gt;"Serviço",AND(AUTOEVENTO="Manual",$M88=$A$15)),0,
         IF(OFFSET(CRONOPLE!$F$15,$M88-$A$15,CD$13)=0,10^12,OFFSET(CRONOPLE!$F$15,$M88-$A$15,CD$13)))</f>
        <v>12</v>
      </c>
      <c r="CE88" s="171">
        <f ca="1">IF(OR($D88&lt;&gt;"Serviço",AND(AUTOEVENTO="Manual",$M88=$A$15)),0,
         IF(OFFSET(CRONOPLE!$F$15,$M88-$A$15,CE$13)=0,10^12,OFFSET(CRONOPLE!$F$15,$M88-$A$15,CE$13)))</f>
        <v>13</v>
      </c>
      <c r="CF88" s="171">
        <f ca="1">IF(OR($D88&lt;&gt;"Serviço",AND(AUTOEVENTO="Manual",$M88=$A$15)),0,
         IF(OFFSET(CRONOPLE!$F$15,$M88-$A$15,CF$13)=0,10^12,OFFSET(CRONOPLE!$F$15,$M88-$A$15,CF$13)))</f>
        <v>14</v>
      </c>
      <c r="CG88" s="171">
        <f ca="1">IF(OR($D88&lt;&gt;"Serviço",AND(AUTOEVENTO="Manual",$M88=$A$15)),0,
         IF(OFFSET(CRONOPLE!$F$15,$M88-$A$15,CG$13)=0,10^12,OFFSET(CRONOPLE!$F$15,$M88-$A$15,CG$13)))</f>
        <v>15</v>
      </c>
      <c r="CH88" s="171">
        <f ca="1">IF(OR($D88&lt;&gt;"Serviço",AND(AUTOEVENTO="Manual",$M88=$A$15)),0,
         IF(OFFSET(CRONOPLE!$F$15,$M88-$A$15,CH$13)=0,10^12,OFFSET(CRONOPLE!$F$15,$M88-$A$15,CH$13)))</f>
        <v>16</v>
      </c>
      <c r="CI88" s="171">
        <f ca="1">IF(OR($D88&lt;&gt;"Serviço",AND(AUTOEVENTO="Manual",$M88=$A$15)),0,
         IF(OFFSET(CRONOPLE!$F$15,$M88-$A$15,CI$13)=0,10^12,OFFSET(CRONOPLE!$F$15,$M88-$A$15,CI$13)))</f>
        <v>17</v>
      </c>
      <c r="CJ88" s="171">
        <f ca="1">IF(OR($D88&lt;&gt;"Serviço",AND(AUTOEVENTO="Manual",$M88=$A$15)),0,
         IF(OFFSET(CRONOPLE!$F$15,$M88-$A$15,CJ$13)=0,10^12,OFFSET(CRONOPLE!$F$15,$M88-$A$15,CJ$13)))</f>
        <v>18</v>
      </c>
      <c r="CK88" s="171">
        <f ca="1">IF(OR($D88&lt;&gt;"Serviço",AND(AUTOEVENTO="Manual",$M88=$A$15)),0,
         IF(OFFSET(CRONOPLE!$F$15,$M88-$A$15,CK$13)=0,10^12,OFFSET(CRONOPLE!$F$15,$M88-$A$15,CK$13)))</f>
        <v>19</v>
      </c>
      <c r="CL88" s="171">
        <f ca="1">IF(OR($D88&lt;&gt;"Serviço",AND(AUTOEVENTO="Manual",$M88=$A$15)),0,
         IF(OFFSET(CRONOPLE!$F$15,$M88-$A$15,CL$13)=0,10^12,OFFSET(CRONOPLE!$F$15,$M88-$A$15,CL$13)))</f>
        <v>20</v>
      </c>
      <c r="CM88" s="171">
        <f ca="1">IF(OR($D88&lt;&gt;"Serviço",AND(AUTOEVENTO="Manual",$M88=$A$15)),0,
         IF(OFFSET(CRONOPLE!$F$15,$M88-$A$15,CM$13)=0,10^12,OFFSET(CRONOPLE!$F$15,$M88-$A$15,CM$13)))</f>
        <v>1000000000000</v>
      </c>
      <c r="CN88" s="171">
        <f ca="1">IF(OR($D88&lt;&gt;"Serviço",AND(AUTOEVENTO="Manual",$M88=$A$15)),0,
         IF(OFFSET(CRONOPLE!$F$15,$M88-$A$15,CN$13)=0,10^12,OFFSET(CRONOPLE!$F$15,$M88-$A$15,CN$13)))</f>
        <v>1000000000000</v>
      </c>
      <c r="CO88" s="171">
        <f ca="1">IF(OR($D88&lt;&gt;"Serviço",AND(AUTOEVENTO="Manual",$M88=$A$15)),0,
         IF(OFFSET(CRONOPLE!$F$15,$M88-$A$15,CO$13)=0,10^12,OFFSET(CRONOPLE!$F$15,$M88-$A$15,CO$13)))</f>
        <v>1000000000000</v>
      </c>
      <c r="CP88" s="171">
        <f ca="1">IF(OR($D88&lt;&gt;"Serviço",AND(AUTOEVENTO="Manual",$M88=$A$15)),0,
         IF(OFFSET(CRONOPLE!$F$15,$M88-$A$15,CP$13)=0,10^12,OFFSET(CRONOPLE!$F$15,$M88-$A$15,CP$13)))</f>
        <v>1000000000000</v>
      </c>
      <c r="CQ88" s="171">
        <f ca="1">IF(OR($D88&lt;&gt;"Serviço",AND(AUTOEVENTO="Manual",$M88=$A$15)),0,
         IF(OFFSET(CRONOPLE!$F$15,$M88-$A$15,CQ$13)=0,10^12,OFFSET(CRONOPLE!$F$15,$M88-$A$15,CQ$13)))</f>
        <v>1000000000000</v>
      </c>
      <c r="CR88" s="171">
        <f ca="1">IF(OR($D88&lt;&gt;"Serviço",AND(AUTOEVENTO="Manual",$M88=$A$15)),0,
         IF(OFFSET(CRONOPLE!$F$15,$M88-$A$15,CR$13)=0,10^12,OFFSET(CRONOPLE!$F$15,$M88-$A$15,CR$13)))</f>
        <v>1000000000000</v>
      </c>
      <c r="CT88" s="172" cm="1">
        <f t="array" aca="1" ref="CT88" ca="1">IF(OR($D88&lt;&gt;"Serviço",AND(AUTOEVENTO="Manual",$M88=$A$15),$M88&gt;(ROW(PLE.lastrow)-ROW(PLE.firstrow))),0,
           IF(OFFSET(PLE!$G$15,$M88-$A$15,CT$13)="",10^12,OFFSET(PLE!$G$15,$M88-$A$15,CT$13)))</f>
        <v>1000000000000</v>
      </c>
      <c r="CU88" s="172" cm="1">
        <f t="array" aca="1" ref="CU88" ca="1">IF(OR($D88&lt;&gt;"Serviço",AND(AUTOEVENTO="Manual",$M88=$A$15),$M88&gt;(ROW(PLE.lastrow)-ROW(PLE.firstrow))),0,
           IF(OFFSET(PLE!$G$15,$M88-$A$15,CU$13)="",10^12,OFFSET(PLE!$G$15,$M88-$A$15,CU$13)))</f>
        <v>1000000000000</v>
      </c>
      <c r="CV88" s="172" cm="1">
        <f t="array" aca="1" ref="CV88" ca="1">IF(OR($D88&lt;&gt;"Serviço",AND(AUTOEVENTO="Manual",$M88=$A$15),$M88&gt;(ROW(PLE.lastrow)-ROW(PLE.firstrow))),0,
           IF(OFFSET(PLE!$G$15,$M88-$A$15,CV$13)="",10^12,OFFSET(PLE!$G$15,$M88-$A$15,CV$13)))</f>
        <v>1000000000000</v>
      </c>
      <c r="CW88" s="172" cm="1">
        <f t="array" aca="1" ref="CW88" ca="1">IF(OR($D88&lt;&gt;"Serviço",AND(AUTOEVENTO="Manual",$M88=$A$15),$M88&gt;(ROW(PLE.lastrow)-ROW(PLE.firstrow))),0,
           IF(OFFSET(PLE!$G$15,$M88-$A$15,CW$13)="",10^12,OFFSET(PLE!$G$15,$M88-$A$15,CW$13)))</f>
        <v>1000000000000</v>
      </c>
      <c r="CX88" s="172" cm="1">
        <f t="array" aca="1" ref="CX88" ca="1">IF(OR($D88&lt;&gt;"Serviço",AND(AUTOEVENTO="Manual",$M88=$A$15),$M88&gt;(ROW(PLE.lastrow)-ROW(PLE.firstrow))),0,
           IF(OFFSET(PLE!$G$15,$M88-$A$15,CX$13)="",10^12,OFFSET(PLE!$G$15,$M88-$A$15,CX$13)))</f>
        <v>1000000000000</v>
      </c>
      <c r="CY88" s="172" cm="1">
        <f t="array" aca="1" ref="CY88" ca="1">IF(OR($D88&lt;&gt;"Serviço",AND(AUTOEVENTO="Manual",$M88=$A$15),$M88&gt;(ROW(PLE.lastrow)-ROW(PLE.firstrow))),0,
           IF(OFFSET(PLE!$G$15,$M88-$A$15,CY$13)="",10^12,OFFSET(PLE!$G$15,$M88-$A$15,CY$13)))</f>
        <v>1000000000000</v>
      </c>
      <c r="CZ88" s="172" cm="1">
        <f t="array" aca="1" ref="CZ88" ca="1">IF(OR($D88&lt;&gt;"Serviço",AND(AUTOEVENTO="Manual",$M88=$A$15),$M88&gt;(ROW(PLE.lastrow)-ROW(PLE.firstrow))),0,
           IF(OFFSET(PLE!$G$15,$M88-$A$15,CZ$13)="",10^12,OFFSET(PLE!$G$15,$M88-$A$15,CZ$13)))</f>
        <v>1000000000000</v>
      </c>
      <c r="DA88" s="172" cm="1">
        <f t="array" aca="1" ref="DA88" ca="1">IF(OR($D88&lt;&gt;"Serviço",AND(AUTOEVENTO="Manual",$M88=$A$15),$M88&gt;(ROW(PLE.lastrow)-ROW(PLE.firstrow))),0,
           IF(OFFSET(PLE!$G$15,$M88-$A$15,DA$13)="",10^12,OFFSET(PLE!$G$15,$M88-$A$15,DA$13)))</f>
        <v>1000000000000</v>
      </c>
      <c r="DB88" s="172" cm="1">
        <f t="array" aca="1" ref="DB88" ca="1">IF(OR($D88&lt;&gt;"Serviço",AND(AUTOEVENTO="Manual",$M88=$A$15),$M88&gt;(ROW(PLE.lastrow)-ROW(PLE.firstrow))),0,
           IF(OFFSET(PLE!$G$15,$M88-$A$15,DB$13)="",10^12,OFFSET(PLE!$G$15,$M88-$A$15,DB$13)))</f>
        <v>1000000000000</v>
      </c>
      <c r="DC88" s="172" cm="1">
        <f t="array" aca="1" ref="DC88" ca="1">IF(OR($D88&lt;&gt;"Serviço",AND(AUTOEVENTO="Manual",$M88=$A$15),$M88&gt;(ROW(PLE.lastrow)-ROW(PLE.firstrow))),0,
           IF(OFFSET(PLE!$G$15,$M88-$A$15,DC$13)="",10^12,OFFSET(PLE!$G$15,$M88-$A$15,DC$13)))</f>
        <v>1000000000000</v>
      </c>
      <c r="DD88" s="172" cm="1">
        <f t="array" aca="1" ref="DD88" ca="1">IF(OR($D88&lt;&gt;"Serviço",AND(AUTOEVENTO="Manual",$M88=$A$15),$M88&gt;(ROW(PLE.lastrow)-ROW(PLE.firstrow))),0,
           IF(OFFSET(PLE!$G$15,$M88-$A$15,DD$13)="",10^12,OFFSET(PLE!$G$15,$M88-$A$15,DD$13)))</f>
        <v>1000000000000</v>
      </c>
      <c r="DE88" s="172" cm="1">
        <f t="array" aca="1" ref="DE88" ca="1">IF(OR($D88&lt;&gt;"Serviço",AND(AUTOEVENTO="Manual",$M88=$A$15),$M88&gt;(ROW(PLE.lastrow)-ROW(PLE.firstrow))),0,
           IF(OFFSET(PLE!$G$15,$M88-$A$15,DE$13)="",10^12,OFFSET(PLE!$G$15,$M88-$A$15,DE$13)))</f>
        <v>1000000000000</v>
      </c>
      <c r="DF88" s="172" cm="1">
        <f t="array" aca="1" ref="DF88" ca="1">IF(OR($D88&lt;&gt;"Serviço",AND(AUTOEVENTO="Manual",$M88=$A$15),$M88&gt;(ROW(PLE.lastrow)-ROW(PLE.firstrow))),0,
           IF(OFFSET(PLE!$G$15,$M88-$A$15,DF$13)="",10^12,OFFSET(PLE!$G$15,$M88-$A$15,DF$13)))</f>
        <v>1000000000000</v>
      </c>
      <c r="DG88" s="172" cm="1">
        <f t="array" aca="1" ref="DG88" ca="1">IF(OR($D88&lt;&gt;"Serviço",AND(AUTOEVENTO="Manual",$M88=$A$15),$M88&gt;(ROW(PLE.lastrow)-ROW(PLE.firstrow))),0,
           IF(OFFSET(PLE!$G$15,$M88-$A$15,DG$13)="",10^12,OFFSET(PLE!$G$15,$M88-$A$15,DG$13)))</f>
        <v>1000000000000</v>
      </c>
      <c r="DH88" s="172" cm="1">
        <f t="array" aca="1" ref="DH88" ca="1">IF(OR($D88&lt;&gt;"Serviço",AND(AUTOEVENTO="Manual",$M88=$A$15),$M88&gt;(ROW(PLE.lastrow)-ROW(PLE.firstrow))),0,
           IF(OFFSET(PLE!$G$15,$M88-$A$15,DH$13)="",10^12,OFFSET(PLE!$G$15,$M88-$A$15,DH$13)))</f>
        <v>1000000000000</v>
      </c>
      <c r="DI88" s="172" cm="1">
        <f t="array" aca="1" ref="DI88" ca="1">IF(OR($D88&lt;&gt;"Serviço",AND(AUTOEVENTO="Manual",$M88=$A$15),$M88&gt;(ROW(PLE.lastrow)-ROW(PLE.firstrow))),0,
           IF(OFFSET(PLE!$G$15,$M88-$A$15,DI$13)="",10^12,OFFSET(PLE!$G$15,$M88-$A$15,DI$13)))</f>
        <v>1000000000000</v>
      </c>
      <c r="DJ88" s="172" cm="1">
        <f t="array" aca="1" ref="DJ88" ca="1">IF(OR($D88&lt;&gt;"Serviço",AND(AUTOEVENTO="Manual",$M88=$A$15),$M88&gt;(ROW(PLE.lastrow)-ROW(PLE.firstrow))),0,
           IF(OFFSET(PLE!$G$15,$M88-$A$15,DJ$13)="",10^12,OFFSET(PLE!$G$15,$M88-$A$15,DJ$13)))</f>
        <v>1000000000000</v>
      </c>
      <c r="DK88" s="172" cm="1">
        <f t="array" aca="1" ref="DK88" ca="1">IF(OR($D88&lt;&gt;"Serviço",AND(AUTOEVENTO="Manual",$M88=$A$15),$M88&gt;(ROW(PLE.lastrow)-ROW(PLE.firstrow))),0,
           IF(OFFSET(PLE!$G$15,$M88-$A$15,DK$13)="",10^12,OFFSET(PLE!$G$15,$M88-$A$15,DK$13)))</f>
        <v>1000000000000</v>
      </c>
      <c r="DL88" s="172" cm="1">
        <f t="array" aca="1" ref="DL88" ca="1">IF(OR($D88&lt;&gt;"Serviço",AND(AUTOEVENTO="Manual",$M88=$A$15),$M88&gt;(ROW(PLE.lastrow)-ROW(PLE.firstrow))),0,
           IF(OFFSET(PLE!$G$15,$M88-$A$15,DL$13)="",10^12,OFFSET(PLE!$G$15,$M88-$A$15,DL$13)))</f>
        <v>1000000000000</v>
      </c>
      <c r="DM88" s="172" cm="1">
        <f t="array" aca="1" ref="DM88" ca="1">IF(OR($D88&lt;&gt;"Serviço",AND(AUTOEVENTO="Manual",$M88=$A$15),$M88&gt;(ROW(PLE.lastrow)-ROW(PLE.firstrow))),0,
           IF(OFFSET(PLE!$G$15,$M88-$A$15,DM$13)="",10^12,OFFSET(PLE!$G$15,$M88-$A$15,DM$13)))</f>
        <v>1000000000000</v>
      </c>
      <c r="DN88" s="172" cm="1">
        <f t="array" aca="1" ref="DN88" ca="1">IF(OR($D88&lt;&gt;"Serviço",AND(AUTOEVENTO="Manual",$M88=$A$15),$M88&gt;(ROW(PLE.lastrow)-ROW(PLE.firstrow))),0,
           IF(OFFSET(PLE!$G$15,$M88-$A$15,DN$13)="",10^12,OFFSET(PLE!$G$15,$M88-$A$15,DN$13)))</f>
        <v>1000000000000</v>
      </c>
      <c r="DO88" s="172" cm="1">
        <f t="array" aca="1" ref="DO88" ca="1">IF(OR($D88&lt;&gt;"Serviço",AND(AUTOEVENTO="Manual",$M88=$A$15),$M88&gt;(ROW(PLE.lastrow)-ROW(PLE.firstrow))),0,
           IF(OFFSET(PLE!$G$15,$M88-$A$15,DO$13)="",10^12,OFFSET(PLE!$G$15,$M88-$A$15,DO$13)))</f>
        <v>1000000000000</v>
      </c>
      <c r="DP88" s="172" cm="1">
        <f t="array" aca="1" ref="DP88" ca="1">IF(OR($D88&lt;&gt;"Serviço",AND(AUTOEVENTO="Manual",$M88=$A$15),$M88&gt;(ROW(PLE.lastrow)-ROW(PLE.firstrow))),0,
           IF(OFFSET(PLE!$G$15,$M88-$A$15,DP$13)="",10^12,OFFSET(PLE!$G$15,$M88-$A$15,DP$13)))</f>
        <v>1000000000000</v>
      </c>
      <c r="DQ88" s="172" cm="1">
        <f t="array" aca="1" ref="DQ88" ca="1">IF(OR($D88&lt;&gt;"Serviço",AND(AUTOEVENTO="Manual",$M88=$A$15),$M88&gt;(ROW(PLE.lastrow)-ROW(PLE.firstrow))),0,
           IF(OFFSET(PLE!$G$15,$M88-$A$15,DQ$13)="",10^12,OFFSET(PLE!$G$15,$M88-$A$15,DQ$13)))</f>
        <v>1000000000000</v>
      </c>
      <c r="DR88" s="172" cm="1">
        <f t="array" aca="1" ref="DR88" ca="1">IF(OR($D88&lt;&gt;"Serviço",AND(AUTOEVENTO="Manual",$M88=$A$15),$M88&gt;(ROW(PLE.lastrow)-ROW(PLE.firstrow))),0,
           IF(OFFSET(PLE!$G$15,$M88-$A$15,DR$13)="",10^12,OFFSET(PLE!$G$15,$M88-$A$15,DR$13)))</f>
        <v>1000000000000</v>
      </c>
      <c r="DS88" s="172" cm="1">
        <f t="array" aca="1" ref="DS88" ca="1">IF(OR($D88&lt;&gt;"Serviço",AND(AUTOEVENTO="Manual",$M88=$A$15),$M88&gt;(ROW(PLE.lastrow)-ROW(PLE.firstrow))),0,
           IF(OFFSET(PLE!$G$15,$M88-$A$15,DS$13)="",10^12,OFFSET(PLE!$G$15,$M88-$A$15,DS$13)))</f>
        <v>1000000000000</v>
      </c>
    </row>
    <row r="89" spans="1:123" ht="38.25" x14ac:dyDescent="0.2">
      <c r="A89" s="7">
        <f t="shared" ca="1" si="13"/>
        <v>7</v>
      </c>
      <c r="B89" s="7" t="str">
        <f ca="1">OFFSET(ORÇAMENTO!C$15,$L89,0)</f>
        <v>S</v>
      </c>
      <c r="C89" s="7" t="str">
        <f ca="1">OFFSET(ORÇAMENTO!L$15,$L89,0)</f>
        <v/>
      </c>
      <c r="D89" s="116" t="str">
        <f ca="1">OFFSET(ORÇAMENTO!N$15,$L89,0)</f>
        <v>Serviço</v>
      </c>
      <c r="E89" s="117" t="str">
        <f ca="1">OFFSET(ORÇAMENTO!O$15,$L89,0)</f>
        <v>-</v>
      </c>
      <c r="F89" s="163" t="str">
        <f ca="1">OFFSET(ORÇAMENTO!R$15,$L89,0)</f>
        <v>(Código não identificado nas referências)</v>
      </c>
      <c r="G89" s="164" t="str">
        <f ca="1">IF($D89&lt;&gt;"Serviço","",OFFSET(ORÇAMENTO!S$15,$L89,0))</f>
        <v>-</v>
      </c>
      <c r="H89" s="122" cm="1">
        <f t="array" aca="1" ref="H89" ca="1">IF($D89&lt;&gt;"Serviço",0,IF(ACOMPANHAMENTO="BM",ROUND(OFFSET(ORÇAMENTO!AJ$15,$L89,0),15-13*ORÇAMENTO!$AF$7),IF(IFERROR(CÁLCULO.FrentesPreenchidas,0)=0,0,SUM(ROUND(OFFSET($P89,0,1,1,CÁLCULO.FrentesPreenchidas),15-13*ORÇAMENTO!$AF$7)))))</f>
        <v>651.19999999999982</v>
      </c>
      <c r="I89" s="468" t="s">
        <v>1235</v>
      </c>
      <c r="J89" s="651" t="str" cm="1">
        <f t="array" aca="1" ref="J89" ca="1">IF(OR(B89&lt;&gt;"S",CÁLCULO.FrentesPreenchidas=0),"",IF(AND(ACOMPANHAMENTO="PLE",AUTOEVENTO="Manual",OR(H89&gt;0,ORÇAMENTO!AC89="QUANT."),OR(K89="",M89=0,N89="")),"►E",IF(AND(ACOMPANHAMENTO="PLE",ORÇAMENTO!AC89="QUANT."),"►Q",IF(AND(ACOMPANHAMENTO="PLE",H89&lt;&gt;SUMPRODUCT(($Q$1:$AQ$1=1)*ROUND(Q89:AQ89,15))),"►S",IF(AND(COUNTIF($P$11:$AQ$11,"▼")=0,H89&gt;0,I89=""),"◄M","")))))</f>
        <v/>
      </c>
      <c r="K89" s="652" t="s">
        <v>1255</v>
      </c>
      <c r="L89" s="165">
        <f t="shared" ca="1" si="14"/>
        <v>74</v>
      </c>
      <c r="M89" s="166">
        <f ca="1">IF($D89&lt;&gt;"Serviço","",
          IF(AUTOEVENTO="manual",$A89,
                IF(ISERROR(MATCH($A89,$A$15:OFFSET($A89,-1,0),0)),MAX($M$15:OFFSET(M89,-1,0))+1,
                      INDEX($M$15:OFFSET(M89,-1,0),MATCH($A89,$A$15:OFFSET($A89,-1,0),0)))))</f>
        <v>7</v>
      </c>
      <c r="N89" s="167" t="str">
        <f ca="1">IF($D89&lt;&gt;"Serviço","",
         IF(AUTOEVENTO="Manual",
                IF($A89=0,"&lt;-- defina o número do agrupador",
                       OFFSET(EVENTOS!$D$15,$A89-$A$15,0)),
                OFFSET($F$15,$A89,0)))</f>
        <v>REVESTIMENTOS</v>
      </c>
      <c r="O89" s="168"/>
      <c r="Q89" s="168">
        <v>32.56</v>
      </c>
      <c r="R89" s="169">
        <v>32.56</v>
      </c>
      <c r="S89" s="169">
        <v>32.56</v>
      </c>
      <c r="T89" s="169">
        <v>32.56</v>
      </c>
      <c r="U89" s="169">
        <v>32.56</v>
      </c>
      <c r="V89" s="169">
        <v>32.56</v>
      </c>
      <c r="W89" s="169">
        <v>32.56</v>
      </c>
      <c r="X89" s="169">
        <v>32.56</v>
      </c>
      <c r="Y89" s="169">
        <v>32.56</v>
      </c>
      <c r="Z89" s="170">
        <v>32.56</v>
      </c>
      <c r="AA89" s="169">
        <v>32.56</v>
      </c>
      <c r="AB89" s="169">
        <v>32.56</v>
      </c>
      <c r="AC89" s="169">
        <v>32.56</v>
      </c>
      <c r="AD89" s="169">
        <v>32.56</v>
      </c>
      <c r="AE89" s="169">
        <v>32.56</v>
      </c>
      <c r="AF89" s="169">
        <v>32.56</v>
      </c>
      <c r="AG89" s="169">
        <v>32.56</v>
      </c>
      <c r="AH89" s="170">
        <v>32.56</v>
      </c>
      <c r="AI89" s="169">
        <v>32.56</v>
      </c>
      <c r="AJ89" s="169">
        <v>32.56</v>
      </c>
      <c r="AK89" s="169"/>
      <c r="AL89" s="169"/>
      <c r="AM89" s="169"/>
      <c r="AN89" s="169"/>
      <c r="AO89" s="169"/>
      <c r="AP89" s="170"/>
      <c r="AR89" s="453">
        <f ca="1">IF(AND($D89="Serviço",AR$12&lt;&gt;0,$H89&gt;0,OR(AUTOEVENTO&lt;&gt;"manual",$M89&lt;&gt;$A$15)),
        IF(Import.TipoArredondamento&lt;&gt;"TransfereGOV",
              ROUND(OFFSET($P89,0,AR$13),15-13*ORÇAMENTO!$AF$7)/$H89*OFFSET(ORÇAMENTO!$X$15,ROW(AR89)-ROW(AR$15),0),
              ROUND(ROUND(OFFSET($P89,0,AR$13),15-13*ORÇAMENTO!$AF$7)*OFFSET(ORÇAMENTO!$W$15,ROW(AR89)-ROW(AR$15),0),15-13*ORÇAMENTO!$AF$11)),
         0)</f>
        <v>0</v>
      </c>
      <c r="AS89" s="453">
        <f ca="1">IF(AND($D89="Serviço",AS$12&lt;&gt;0,$H89&gt;0,OR(AUTOEVENTO&lt;&gt;"manual",$M89&lt;&gt;$A$15)),
        IF(Import.TipoArredondamento&lt;&gt;"TransfereGOV",
              ROUND(OFFSET($P89,0,AS$13),15-13*ORÇAMENTO!$AF$7)/$H89*OFFSET(ORÇAMENTO!$X$15,ROW(AS89)-ROW(AS$15),0),
              ROUND(ROUND(OFFSET($P89,0,AS$13),15-13*ORÇAMENTO!$AF$7)*OFFSET(ORÇAMENTO!$W$15,ROW(AS89)-ROW(AS$15),0),15-13*ORÇAMENTO!$AF$11)),
         0)</f>
        <v>0</v>
      </c>
      <c r="AT89" s="453">
        <f ca="1">IF(AND($D89="Serviço",AT$12&lt;&gt;0,$H89&gt;0,OR(AUTOEVENTO&lt;&gt;"manual",$M89&lt;&gt;$A$15)),
        IF(Import.TipoArredondamento&lt;&gt;"TransfereGOV",
              ROUND(OFFSET($P89,0,AT$13),15-13*ORÇAMENTO!$AF$7)/$H89*OFFSET(ORÇAMENTO!$X$15,ROW(AT89)-ROW(AT$15),0),
              ROUND(ROUND(OFFSET($P89,0,AT$13),15-13*ORÇAMENTO!$AF$7)*OFFSET(ORÇAMENTO!$W$15,ROW(AT89)-ROW(AT$15),0),15-13*ORÇAMENTO!$AF$11)),
         0)</f>
        <v>0</v>
      </c>
      <c r="AU89" s="453">
        <f ca="1">IF(AND($D89="Serviço",AU$12&lt;&gt;0,$H89&gt;0,OR(AUTOEVENTO&lt;&gt;"manual",$M89&lt;&gt;$A$15)),
        IF(Import.TipoArredondamento&lt;&gt;"TransfereGOV",
              ROUND(OFFSET($P89,0,AU$13),15-13*ORÇAMENTO!$AF$7)/$H89*OFFSET(ORÇAMENTO!$X$15,ROW(AU89)-ROW(AU$15),0),
              ROUND(ROUND(OFFSET($P89,0,AU$13),15-13*ORÇAMENTO!$AF$7)*OFFSET(ORÇAMENTO!$W$15,ROW(AU89)-ROW(AU$15),0),15-13*ORÇAMENTO!$AF$11)),
         0)</f>
        <v>0</v>
      </c>
      <c r="AV89" s="453">
        <f ca="1">IF(AND($D89="Serviço",AV$12&lt;&gt;0,$H89&gt;0,OR(AUTOEVENTO&lt;&gt;"manual",$M89&lt;&gt;$A$15)),
        IF(Import.TipoArredondamento&lt;&gt;"TransfereGOV",
              ROUND(OFFSET($P89,0,AV$13),15-13*ORÇAMENTO!$AF$7)/$H89*OFFSET(ORÇAMENTO!$X$15,ROW(AV89)-ROW(AV$15),0),
              ROUND(ROUND(OFFSET($P89,0,AV$13),15-13*ORÇAMENTO!$AF$7)*OFFSET(ORÇAMENTO!$W$15,ROW(AV89)-ROW(AV$15),0),15-13*ORÇAMENTO!$AF$11)),
         0)</f>
        <v>0</v>
      </c>
      <c r="AW89" s="453">
        <f ca="1">IF(AND($D89="Serviço",AW$12&lt;&gt;0,$H89&gt;0,OR(AUTOEVENTO&lt;&gt;"manual",$M89&lt;&gt;$A$15)),
        IF(Import.TipoArredondamento&lt;&gt;"TransfereGOV",
              ROUND(OFFSET($P89,0,AW$13),15-13*ORÇAMENTO!$AF$7)/$H89*OFFSET(ORÇAMENTO!$X$15,ROW(AW89)-ROW(AW$15),0),
              ROUND(ROUND(OFFSET($P89,0,AW$13),15-13*ORÇAMENTO!$AF$7)*OFFSET(ORÇAMENTO!$W$15,ROW(AW89)-ROW(AW$15),0),15-13*ORÇAMENTO!$AF$11)),
         0)</f>
        <v>0</v>
      </c>
      <c r="AX89" s="453">
        <f ca="1">IF(AND($D89="Serviço",AX$12&lt;&gt;0,$H89&gt;0,OR(AUTOEVENTO&lt;&gt;"manual",$M89&lt;&gt;$A$15)),
        IF(Import.TipoArredondamento&lt;&gt;"TransfereGOV",
              ROUND(OFFSET($P89,0,AX$13),15-13*ORÇAMENTO!$AF$7)/$H89*OFFSET(ORÇAMENTO!$X$15,ROW(AX89)-ROW(AX$15),0),
              ROUND(ROUND(OFFSET($P89,0,AX$13),15-13*ORÇAMENTO!$AF$7)*OFFSET(ORÇAMENTO!$W$15,ROW(AX89)-ROW(AX$15),0),15-13*ORÇAMENTO!$AF$11)),
         0)</f>
        <v>0</v>
      </c>
      <c r="AY89" s="453">
        <f ca="1">IF(AND($D89="Serviço",AY$12&lt;&gt;0,$H89&gt;0,OR(AUTOEVENTO&lt;&gt;"manual",$M89&lt;&gt;$A$15)),
        IF(Import.TipoArredondamento&lt;&gt;"TransfereGOV",
              ROUND(OFFSET($P89,0,AY$13),15-13*ORÇAMENTO!$AF$7)/$H89*OFFSET(ORÇAMENTO!$X$15,ROW(AY89)-ROW(AY$15),0),
              ROUND(ROUND(OFFSET($P89,0,AY$13),15-13*ORÇAMENTO!$AF$7)*OFFSET(ORÇAMENTO!$W$15,ROW(AY89)-ROW(AY$15),0),15-13*ORÇAMENTO!$AF$11)),
         0)</f>
        <v>0</v>
      </c>
      <c r="AZ89" s="453">
        <f ca="1">IF(AND($D89="Serviço",AZ$12&lt;&gt;0,$H89&gt;0,OR(AUTOEVENTO&lt;&gt;"manual",$M89&lt;&gt;$A$15)),
        IF(Import.TipoArredondamento&lt;&gt;"TransfereGOV",
              ROUND(OFFSET($P89,0,AZ$13),15-13*ORÇAMENTO!$AF$7)/$H89*OFFSET(ORÇAMENTO!$X$15,ROW(AZ89)-ROW(AZ$15),0),
              ROUND(ROUND(OFFSET($P89,0,AZ$13),15-13*ORÇAMENTO!$AF$7)*OFFSET(ORÇAMENTO!$W$15,ROW(AZ89)-ROW(AZ$15),0),15-13*ORÇAMENTO!$AF$11)),
         0)</f>
        <v>0</v>
      </c>
      <c r="BA89" s="453">
        <f ca="1">IF(AND($D89="Serviço",BA$12&lt;&gt;0,$H89&gt;0,OR(AUTOEVENTO&lt;&gt;"manual",$M89&lt;&gt;$A$15)),
        IF(Import.TipoArredondamento&lt;&gt;"TransfereGOV",
              ROUND(OFFSET($P89,0,BA$13),15-13*ORÇAMENTO!$AF$7)/$H89*OFFSET(ORÇAMENTO!$X$15,ROW(BA89)-ROW(BA$15),0),
              ROUND(ROUND(OFFSET($P89,0,BA$13),15-13*ORÇAMENTO!$AF$7)*OFFSET(ORÇAMENTO!$W$15,ROW(BA89)-ROW(BA$15),0),15-13*ORÇAMENTO!$AF$11)),
         0)</f>
        <v>0</v>
      </c>
      <c r="BB89" s="453">
        <f ca="1">IF(AND($D89="Serviço",BB$12&lt;&gt;0,$H89&gt;0,OR(AUTOEVENTO&lt;&gt;"manual",$M89&lt;&gt;$A$15)),
        IF(Import.TipoArredondamento&lt;&gt;"TransfereGOV",
              ROUND(OFFSET($P89,0,BB$13),15-13*ORÇAMENTO!$AF$7)/$H89*OFFSET(ORÇAMENTO!$X$15,ROW(BB89)-ROW(BB$15),0),
              ROUND(ROUND(OFFSET($P89,0,BB$13),15-13*ORÇAMENTO!$AF$7)*OFFSET(ORÇAMENTO!$W$15,ROW(BB89)-ROW(BB$15),0),15-13*ORÇAMENTO!$AF$11)),
         0)</f>
        <v>0</v>
      </c>
      <c r="BC89" s="453">
        <f ca="1">IF(AND($D89="Serviço",BC$12&lt;&gt;0,$H89&gt;0,OR(AUTOEVENTO&lt;&gt;"manual",$M89&lt;&gt;$A$15)),
        IF(Import.TipoArredondamento&lt;&gt;"TransfereGOV",
              ROUND(OFFSET($P89,0,BC$13),15-13*ORÇAMENTO!$AF$7)/$H89*OFFSET(ORÇAMENTO!$X$15,ROW(BC89)-ROW(BC$15),0),
              ROUND(ROUND(OFFSET($P89,0,BC$13),15-13*ORÇAMENTO!$AF$7)*OFFSET(ORÇAMENTO!$W$15,ROW(BC89)-ROW(BC$15),0),15-13*ORÇAMENTO!$AF$11)),
         0)</f>
        <v>0</v>
      </c>
      <c r="BD89" s="453">
        <f ca="1">IF(AND($D89="Serviço",BD$12&lt;&gt;0,$H89&gt;0,OR(AUTOEVENTO&lt;&gt;"manual",$M89&lt;&gt;$A$15)),
        IF(Import.TipoArredondamento&lt;&gt;"TransfereGOV",
              ROUND(OFFSET($P89,0,BD$13),15-13*ORÇAMENTO!$AF$7)/$H89*OFFSET(ORÇAMENTO!$X$15,ROW(BD89)-ROW(BD$15),0),
              ROUND(ROUND(OFFSET($P89,0,BD$13),15-13*ORÇAMENTO!$AF$7)*OFFSET(ORÇAMENTO!$W$15,ROW(BD89)-ROW(BD$15),0),15-13*ORÇAMENTO!$AF$11)),
         0)</f>
        <v>0</v>
      </c>
      <c r="BE89" s="453">
        <f ca="1">IF(AND($D89="Serviço",BE$12&lt;&gt;0,$H89&gt;0,OR(AUTOEVENTO&lt;&gt;"manual",$M89&lt;&gt;$A$15)),
        IF(Import.TipoArredondamento&lt;&gt;"TransfereGOV",
              ROUND(OFFSET($P89,0,BE$13),15-13*ORÇAMENTO!$AF$7)/$H89*OFFSET(ORÇAMENTO!$X$15,ROW(BE89)-ROW(BE$15),0),
              ROUND(ROUND(OFFSET($P89,0,BE$13),15-13*ORÇAMENTO!$AF$7)*OFFSET(ORÇAMENTO!$W$15,ROW(BE89)-ROW(BE$15),0),15-13*ORÇAMENTO!$AF$11)),
         0)</f>
        <v>0</v>
      </c>
      <c r="BF89" s="453">
        <f ca="1">IF(AND($D89="Serviço",BF$12&lt;&gt;0,$H89&gt;0,OR(AUTOEVENTO&lt;&gt;"manual",$M89&lt;&gt;$A$15)),
        IF(Import.TipoArredondamento&lt;&gt;"TransfereGOV",
              ROUND(OFFSET($P89,0,BF$13),15-13*ORÇAMENTO!$AF$7)/$H89*OFFSET(ORÇAMENTO!$X$15,ROW(BF89)-ROW(BF$15),0),
              ROUND(ROUND(OFFSET($P89,0,BF$13),15-13*ORÇAMENTO!$AF$7)*OFFSET(ORÇAMENTO!$W$15,ROW(BF89)-ROW(BF$15),0),15-13*ORÇAMENTO!$AF$11)),
         0)</f>
        <v>0</v>
      </c>
      <c r="BG89" s="453">
        <f ca="1">IF(AND($D89="Serviço",BG$12&lt;&gt;0,$H89&gt;0,OR(AUTOEVENTO&lt;&gt;"manual",$M89&lt;&gt;$A$15)),
        IF(Import.TipoArredondamento&lt;&gt;"TransfereGOV",
              ROUND(OFFSET($P89,0,BG$13),15-13*ORÇAMENTO!$AF$7)/$H89*OFFSET(ORÇAMENTO!$X$15,ROW(BG89)-ROW(BG$15),0),
              ROUND(ROUND(OFFSET($P89,0,BG$13),15-13*ORÇAMENTO!$AF$7)*OFFSET(ORÇAMENTO!$W$15,ROW(BG89)-ROW(BG$15),0),15-13*ORÇAMENTO!$AF$11)),
         0)</f>
        <v>0</v>
      </c>
      <c r="BH89" s="453">
        <f ca="1">IF(AND($D89="Serviço",BH$12&lt;&gt;0,$H89&gt;0,OR(AUTOEVENTO&lt;&gt;"manual",$M89&lt;&gt;$A$15)),
        IF(Import.TipoArredondamento&lt;&gt;"TransfereGOV",
              ROUND(OFFSET($P89,0,BH$13),15-13*ORÇAMENTO!$AF$7)/$H89*OFFSET(ORÇAMENTO!$X$15,ROW(BH89)-ROW(BH$15),0),
              ROUND(ROUND(OFFSET($P89,0,BH$13),15-13*ORÇAMENTO!$AF$7)*OFFSET(ORÇAMENTO!$W$15,ROW(BH89)-ROW(BH$15),0),15-13*ORÇAMENTO!$AF$11)),
         0)</f>
        <v>0</v>
      </c>
      <c r="BI89" s="453">
        <f ca="1">IF(AND($D89="Serviço",BI$12&lt;&gt;0,$H89&gt;0,OR(AUTOEVENTO&lt;&gt;"manual",$M89&lt;&gt;$A$15)),
        IF(Import.TipoArredondamento&lt;&gt;"TransfereGOV",
              ROUND(OFFSET($P89,0,BI$13),15-13*ORÇAMENTO!$AF$7)/$H89*OFFSET(ORÇAMENTO!$X$15,ROW(BI89)-ROW(BI$15),0),
              ROUND(ROUND(OFFSET($P89,0,BI$13),15-13*ORÇAMENTO!$AF$7)*OFFSET(ORÇAMENTO!$W$15,ROW(BI89)-ROW(BI$15),0),15-13*ORÇAMENTO!$AF$11)),
         0)</f>
        <v>0</v>
      </c>
      <c r="BJ89" s="453">
        <f ca="1">IF(AND($D89="Serviço",BJ$12&lt;&gt;0,$H89&gt;0,OR(AUTOEVENTO&lt;&gt;"manual",$M89&lt;&gt;$A$15)),
        IF(Import.TipoArredondamento&lt;&gt;"TransfereGOV",
              ROUND(OFFSET($P89,0,BJ$13),15-13*ORÇAMENTO!$AF$7)/$H89*OFFSET(ORÇAMENTO!$X$15,ROW(BJ89)-ROW(BJ$15),0),
              ROUND(ROUND(OFFSET($P89,0,BJ$13),15-13*ORÇAMENTO!$AF$7)*OFFSET(ORÇAMENTO!$W$15,ROW(BJ89)-ROW(BJ$15),0),15-13*ORÇAMENTO!$AF$11)),
         0)</f>
        <v>0</v>
      </c>
      <c r="BK89" s="453">
        <f ca="1">IF(AND($D89="Serviço",BK$12&lt;&gt;0,$H89&gt;0,OR(AUTOEVENTO&lt;&gt;"manual",$M89&lt;&gt;$A$15)),
        IF(Import.TipoArredondamento&lt;&gt;"TransfereGOV",
              ROUND(OFFSET($P89,0,BK$13),15-13*ORÇAMENTO!$AF$7)/$H89*OFFSET(ORÇAMENTO!$X$15,ROW(BK89)-ROW(BK$15),0),
              ROUND(ROUND(OFFSET($P89,0,BK$13),15-13*ORÇAMENTO!$AF$7)*OFFSET(ORÇAMENTO!$W$15,ROW(BK89)-ROW(BK$15),0),15-13*ORÇAMENTO!$AF$11)),
         0)</f>
        <v>0</v>
      </c>
      <c r="BL89" s="453">
        <f ca="1">IF(AND($D89="Serviço",BL$12&lt;&gt;0,$H89&gt;0,OR(AUTOEVENTO&lt;&gt;"manual",$M89&lt;&gt;$A$15)),
        IF(Import.TipoArredondamento&lt;&gt;"TransfereGOV",
              ROUND(OFFSET($P89,0,BL$13),15-13*ORÇAMENTO!$AF$7)/$H89*OFFSET(ORÇAMENTO!$X$15,ROW(BL89)-ROW(BL$15),0),
              ROUND(ROUND(OFFSET($P89,0,BL$13),15-13*ORÇAMENTO!$AF$7)*OFFSET(ORÇAMENTO!$W$15,ROW(BL89)-ROW(BL$15),0),15-13*ORÇAMENTO!$AF$11)),
         0)</f>
        <v>0</v>
      </c>
      <c r="BM89" s="453">
        <f ca="1">IF(AND($D89="Serviço",BM$12&lt;&gt;0,$H89&gt;0,OR(AUTOEVENTO&lt;&gt;"manual",$M89&lt;&gt;$A$15)),
        IF(Import.TipoArredondamento&lt;&gt;"TransfereGOV",
              ROUND(OFFSET($P89,0,BM$13),15-13*ORÇAMENTO!$AF$7)/$H89*OFFSET(ORÇAMENTO!$X$15,ROW(BM89)-ROW(BM$15),0),
              ROUND(ROUND(OFFSET($P89,0,BM$13),15-13*ORÇAMENTO!$AF$7)*OFFSET(ORÇAMENTO!$W$15,ROW(BM89)-ROW(BM$15),0),15-13*ORÇAMENTO!$AF$11)),
         0)</f>
        <v>0</v>
      </c>
      <c r="BN89" s="453">
        <f ca="1">IF(AND($D89="Serviço",BN$12&lt;&gt;0,$H89&gt;0,OR(AUTOEVENTO&lt;&gt;"manual",$M89&lt;&gt;$A$15)),
        IF(Import.TipoArredondamento&lt;&gt;"TransfereGOV",
              ROUND(OFFSET($P89,0,BN$13),15-13*ORÇAMENTO!$AF$7)/$H89*OFFSET(ORÇAMENTO!$X$15,ROW(BN89)-ROW(BN$15),0),
              ROUND(ROUND(OFFSET($P89,0,BN$13),15-13*ORÇAMENTO!$AF$7)*OFFSET(ORÇAMENTO!$W$15,ROW(BN89)-ROW(BN$15),0),15-13*ORÇAMENTO!$AF$11)),
         0)</f>
        <v>0</v>
      </c>
      <c r="BO89" s="453">
        <f ca="1">IF(AND($D89="Serviço",BO$12&lt;&gt;0,$H89&gt;0,OR(AUTOEVENTO&lt;&gt;"manual",$M89&lt;&gt;$A$15)),
        IF(Import.TipoArredondamento&lt;&gt;"TransfereGOV",
              ROUND(OFFSET($P89,0,BO$13),15-13*ORÇAMENTO!$AF$7)/$H89*OFFSET(ORÇAMENTO!$X$15,ROW(BO89)-ROW(BO$15),0),
              ROUND(ROUND(OFFSET($P89,0,BO$13),15-13*ORÇAMENTO!$AF$7)*OFFSET(ORÇAMENTO!$W$15,ROW(BO89)-ROW(BO$15),0),15-13*ORÇAMENTO!$AF$11)),
         0)</f>
        <v>0</v>
      </c>
      <c r="BP89" s="453">
        <f ca="1">IF(AND($D89="Serviço",BP$12&lt;&gt;0,$H89&gt;0,OR(AUTOEVENTO&lt;&gt;"manual",$M89&lt;&gt;$A$15)),
        IF(Import.TipoArredondamento&lt;&gt;"TransfereGOV",
              ROUND(OFFSET($P89,0,BP$13),15-13*ORÇAMENTO!$AF$7)/$H89*OFFSET(ORÇAMENTO!$X$15,ROW(BP89)-ROW(BP$15),0),
              ROUND(ROUND(OFFSET($P89,0,BP$13),15-13*ORÇAMENTO!$AF$7)*OFFSET(ORÇAMENTO!$W$15,ROW(BP89)-ROW(BP$15),0),15-13*ORÇAMENTO!$AF$11)),
         0)</f>
        <v>0</v>
      </c>
      <c r="BQ89" s="453">
        <f ca="1">IF(AND($D89="Serviço",BQ$12&lt;&gt;0,$H89&gt;0,OR(AUTOEVENTO&lt;&gt;"manual",$M89&lt;&gt;$A$15)),
        IF(Import.TipoArredondamento&lt;&gt;"TransfereGOV",
              ROUND(OFFSET($P89,0,BQ$13),15-13*ORÇAMENTO!$AF$7)/$H89*OFFSET(ORÇAMENTO!$X$15,ROW(BQ89)-ROW(BQ$15),0),
              ROUND(ROUND(OFFSET($P89,0,BQ$13),15-13*ORÇAMENTO!$AF$7)*OFFSET(ORÇAMENTO!$W$15,ROW(BQ89)-ROW(BQ$15),0),15-13*ORÇAMENTO!$AF$11)),
         0)</f>
        <v>0</v>
      </c>
      <c r="BS89" s="171">
        <f ca="1">IF(OR($D89&lt;&gt;"Serviço",AND(AUTOEVENTO="Manual",$M89=$A$15)),0,
         IF(OFFSET(CRONOPLE!$F$15,$M89-$A$15,BS$13)=0,10^12,OFFSET(CRONOPLE!$F$15,$M89-$A$15,BS$13)))</f>
        <v>1</v>
      </c>
      <c r="BT89" s="171">
        <f ca="1">IF(OR($D89&lt;&gt;"Serviço",AND(AUTOEVENTO="Manual",$M89=$A$15)),0,
         IF(OFFSET(CRONOPLE!$F$15,$M89-$A$15,BT$13)=0,10^12,OFFSET(CRONOPLE!$F$15,$M89-$A$15,BT$13)))</f>
        <v>2</v>
      </c>
      <c r="BU89" s="171">
        <f ca="1">IF(OR($D89&lt;&gt;"Serviço",AND(AUTOEVENTO="Manual",$M89=$A$15)),0,
         IF(OFFSET(CRONOPLE!$F$15,$M89-$A$15,BU$13)=0,10^12,OFFSET(CRONOPLE!$F$15,$M89-$A$15,BU$13)))</f>
        <v>3</v>
      </c>
      <c r="BV89" s="171">
        <f ca="1">IF(OR($D89&lt;&gt;"Serviço",AND(AUTOEVENTO="Manual",$M89=$A$15)),0,
         IF(OFFSET(CRONOPLE!$F$15,$M89-$A$15,BV$13)=0,10^12,OFFSET(CRONOPLE!$F$15,$M89-$A$15,BV$13)))</f>
        <v>4</v>
      </c>
      <c r="BW89" s="171">
        <f ca="1">IF(OR($D89&lt;&gt;"Serviço",AND(AUTOEVENTO="Manual",$M89=$A$15)),0,
         IF(OFFSET(CRONOPLE!$F$15,$M89-$A$15,BW$13)=0,10^12,OFFSET(CRONOPLE!$F$15,$M89-$A$15,BW$13)))</f>
        <v>5</v>
      </c>
      <c r="BX89" s="171">
        <f ca="1">IF(OR($D89&lt;&gt;"Serviço",AND(AUTOEVENTO="Manual",$M89=$A$15)),0,
         IF(OFFSET(CRONOPLE!$F$15,$M89-$A$15,BX$13)=0,10^12,OFFSET(CRONOPLE!$F$15,$M89-$A$15,BX$13)))</f>
        <v>6</v>
      </c>
      <c r="BY89" s="171">
        <f ca="1">IF(OR($D89&lt;&gt;"Serviço",AND(AUTOEVENTO="Manual",$M89=$A$15)),0,
         IF(OFFSET(CRONOPLE!$F$15,$M89-$A$15,BY$13)=0,10^12,OFFSET(CRONOPLE!$F$15,$M89-$A$15,BY$13)))</f>
        <v>7</v>
      </c>
      <c r="BZ89" s="171">
        <f ca="1">IF(OR($D89&lt;&gt;"Serviço",AND(AUTOEVENTO="Manual",$M89=$A$15)),0,
         IF(OFFSET(CRONOPLE!$F$15,$M89-$A$15,BZ$13)=0,10^12,OFFSET(CRONOPLE!$F$15,$M89-$A$15,BZ$13)))</f>
        <v>8</v>
      </c>
      <c r="CA89" s="171">
        <f ca="1">IF(OR($D89&lt;&gt;"Serviço",AND(AUTOEVENTO="Manual",$M89=$A$15)),0,
         IF(OFFSET(CRONOPLE!$F$15,$M89-$A$15,CA$13)=0,10^12,OFFSET(CRONOPLE!$F$15,$M89-$A$15,CA$13)))</f>
        <v>9</v>
      </c>
      <c r="CB89" s="171">
        <f ca="1">IF(OR($D89&lt;&gt;"Serviço",AND(AUTOEVENTO="Manual",$M89=$A$15)),0,
         IF(OFFSET(CRONOPLE!$F$15,$M89-$A$15,CB$13)=0,10^12,OFFSET(CRONOPLE!$F$15,$M89-$A$15,CB$13)))</f>
        <v>10</v>
      </c>
      <c r="CC89" s="171">
        <f ca="1">IF(OR($D89&lt;&gt;"Serviço",AND(AUTOEVENTO="Manual",$M89=$A$15)),0,
         IF(OFFSET(CRONOPLE!$F$15,$M89-$A$15,CC$13)=0,10^12,OFFSET(CRONOPLE!$F$15,$M89-$A$15,CC$13)))</f>
        <v>11</v>
      </c>
      <c r="CD89" s="171">
        <f ca="1">IF(OR($D89&lt;&gt;"Serviço",AND(AUTOEVENTO="Manual",$M89=$A$15)),0,
         IF(OFFSET(CRONOPLE!$F$15,$M89-$A$15,CD$13)=0,10^12,OFFSET(CRONOPLE!$F$15,$M89-$A$15,CD$13)))</f>
        <v>12</v>
      </c>
      <c r="CE89" s="171">
        <f ca="1">IF(OR($D89&lt;&gt;"Serviço",AND(AUTOEVENTO="Manual",$M89=$A$15)),0,
         IF(OFFSET(CRONOPLE!$F$15,$M89-$A$15,CE$13)=0,10^12,OFFSET(CRONOPLE!$F$15,$M89-$A$15,CE$13)))</f>
        <v>13</v>
      </c>
      <c r="CF89" s="171">
        <f ca="1">IF(OR($D89&lt;&gt;"Serviço",AND(AUTOEVENTO="Manual",$M89=$A$15)),0,
         IF(OFFSET(CRONOPLE!$F$15,$M89-$A$15,CF$13)=0,10^12,OFFSET(CRONOPLE!$F$15,$M89-$A$15,CF$13)))</f>
        <v>14</v>
      </c>
      <c r="CG89" s="171">
        <f ca="1">IF(OR($D89&lt;&gt;"Serviço",AND(AUTOEVENTO="Manual",$M89=$A$15)),0,
         IF(OFFSET(CRONOPLE!$F$15,$M89-$A$15,CG$13)=0,10^12,OFFSET(CRONOPLE!$F$15,$M89-$A$15,CG$13)))</f>
        <v>15</v>
      </c>
      <c r="CH89" s="171">
        <f ca="1">IF(OR($D89&lt;&gt;"Serviço",AND(AUTOEVENTO="Manual",$M89=$A$15)),0,
         IF(OFFSET(CRONOPLE!$F$15,$M89-$A$15,CH$13)=0,10^12,OFFSET(CRONOPLE!$F$15,$M89-$A$15,CH$13)))</f>
        <v>16</v>
      </c>
      <c r="CI89" s="171">
        <f ca="1">IF(OR($D89&lt;&gt;"Serviço",AND(AUTOEVENTO="Manual",$M89=$A$15)),0,
         IF(OFFSET(CRONOPLE!$F$15,$M89-$A$15,CI$13)=0,10^12,OFFSET(CRONOPLE!$F$15,$M89-$A$15,CI$13)))</f>
        <v>17</v>
      </c>
      <c r="CJ89" s="171">
        <f ca="1">IF(OR($D89&lt;&gt;"Serviço",AND(AUTOEVENTO="Manual",$M89=$A$15)),0,
         IF(OFFSET(CRONOPLE!$F$15,$M89-$A$15,CJ$13)=0,10^12,OFFSET(CRONOPLE!$F$15,$M89-$A$15,CJ$13)))</f>
        <v>18</v>
      </c>
      <c r="CK89" s="171">
        <f ca="1">IF(OR($D89&lt;&gt;"Serviço",AND(AUTOEVENTO="Manual",$M89=$A$15)),0,
         IF(OFFSET(CRONOPLE!$F$15,$M89-$A$15,CK$13)=0,10^12,OFFSET(CRONOPLE!$F$15,$M89-$A$15,CK$13)))</f>
        <v>19</v>
      </c>
      <c r="CL89" s="171">
        <f ca="1">IF(OR($D89&lt;&gt;"Serviço",AND(AUTOEVENTO="Manual",$M89=$A$15)),0,
         IF(OFFSET(CRONOPLE!$F$15,$M89-$A$15,CL$13)=0,10^12,OFFSET(CRONOPLE!$F$15,$M89-$A$15,CL$13)))</f>
        <v>20</v>
      </c>
      <c r="CM89" s="171">
        <f ca="1">IF(OR($D89&lt;&gt;"Serviço",AND(AUTOEVENTO="Manual",$M89=$A$15)),0,
         IF(OFFSET(CRONOPLE!$F$15,$M89-$A$15,CM$13)=0,10^12,OFFSET(CRONOPLE!$F$15,$M89-$A$15,CM$13)))</f>
        <v>1000000000000</v>
      </c>
      <c r="CN89" s="171">
        <f ca="1">IF(OR($D89&lt;&gt;"Serviço",AND(AUTOEVENTO="Manual",$M89=$A$15)),0,
         IF(OFFSET(CRONOPLE!$F$15,$M89-$A$15,CN$13)=0,10^12,OFFSET(CRONOPLE!$F$15,$M89-$A$15,CN$13)))</f>
        <v>1000000000000</v>
      </c>
      <c r="CO89" s="171">
        <f ca="1">IF(OR($D89&lt;&gt;"Serviço",AND(AUTOEVENTO="Manual",$M89=$A$15)),0,
         IF(OFFSET(CRONOPLE!$F$15,$M89-$A$15,CO$13)=0,10^12,OFFSET(CRONOPLE!$F$15,$M89-$A$15,CO$13)))</f>
        <v>1000000000000</v>
      </c>
      <c r="CP89" s="171">
        <f ca="1">IF(OR($D89&lt;&gt;"Serviço",AND(AUTOEVENTO="Manual",$M89=$A$15)),0,
         IF(OFFSET(CRONOPLE!$F$15,$M89-$A$15,CP$13)=0,10^12,OFFSET(CRONOPLE!$F$15,$M89-$A$15,CP$13)))</f>
        <v>1000000000000</v>
      </c>
      <c r="CQ89" s="171">
        <f ca="1">IF(OR($D89&lt;&gt;"Serviço",AND(AUTOEVENTO="Manual",$M89=$A$15)),0,
         IF(OFFSET(CRONOPLE!$F$15,$M89-$A$15,CQ$13)=0,10^12,OFFSET(CRONOPLE!$F$15,$M89-$A$15,CQ$13)))</f>
        <v>1000000000000</v>
      </c>
      <c r="CR89" s="171">
        <f ca="1">IF(OR($D89&lt;&gt;"Serviço",AND(AUTOEVENTO="Manual",$M89=$A$15)),0,
         IF(OFFSET(CRONOPLE!$F$15,$M89-$A$15,CR$13)=0,10^12,OFFSET(CRONOPLE!$F$15,$M89-$A$15,CR$13)))</f>
        <v>1000000000000</v>
      </c>
      <c r="CT89" s="172" cm="1">
        <f t="array" aca="1" ref="CT89" ca="1">IF(OR($D89&lt;&gt;"Serviço",AND(AUTOEVENTO="Manual",$M89=$A$15),$M89&gt;(ROW(PLE.lastrow)-ROW(PLE.firstrow))),0,
           IF(OFFSET(PLE!$G$15,$M89-$A$15,CT$13)="",10^12,OFFSET(PLE!$G$15,$M89-$A$15,CT$13)))</f>
        <v>1000000000000</v>
      </c>
      <c r="CU89" s="172" cm="1">
        <f t="array" aca="1" ref="CU89" ca="1">IF(OR($D89&lt;&gt;"Serviço",AND(AUTOEVENTO="Manual",$M89=$A$15),$M89&gt;(ROW(PLE.lastrow)-ROW(PLE.firstrow))),0,
           IF(OFFSET(PLE!$G$15,$M89-$A$15,CU$13)="",10^12,OFFSET(PLE!$G$15,$M89-$A$15,CU$13)))</f>
        <v>1000000000000</v>
      </c>
      <c r="CV89" s="172" cm="1">
        <f t="array" aca="1" ref="CV89" ca="1">IF(OR($D89&lt;&gt;"Serviço",AND(AUTOEVENTO="Manual",$M89=$A$15),$M89&gt;(ROW(PLE.lastrow)-ROW(PLE.firstrow))),0,
           IF(OFFSET(PLE!$G$15,$M89-$A$15,CV$13)="",10^12,OFFSET(PLE!$G$15,$M89-$A$15,CV$13)))</f>
        <v>1000000000000</v>
      </c>
      <c r="CW89" s="172" cm="1">
        <f t="array" aca="1" ref="CW89" ca="1">IF(OR($D89&lt;&gt;"Serviço",AND(AUTOEVENTO="Manual",$M89=$A$15),$M89&gt;(ROW(PLE.lastrow)-ROW(PLE.firstrow))),0,
           IF(OFFSET(PLE!$G$15,$M89-$A$15,CW$13)="",10^12,OFFSET(PLE!$G$15,$M89-$A$15,CW$13)))</f>
        <v>1000000000000</v>
      </c>
      <c r="CX89" s="172" cm="1">
        <f t="array" aca="1" ref="CX89" ca="1">IF(OR($D89&lt;&gt;"Serviço",AND(AUTOEVENTO="Manual",$M89=$A$15),$M89&gt;(ROW(PLE.lastrow)-ROW(PLE.firstrow))),0,
           IF(OFFSET(PLE!$G$15,$M89-$A$15,CX$13)="",10^12,OFFSET(PLE!$G$15,$M89-$A$15,CX$13)))</f>
        <v>1000000000000</v>
      </c>
      <c r="CY89" s="172" cm="1">
        <f t="array" aca="1" ref="CY89" ca="1">IF(OR($D89&lt;&gt;"Serviço",AND(AUTOEVENTO="Manual",$M89=$A$15),$M89&gt;(ROW(PLE.lastrow)-ROW(PLE.firstrow))),0,
           IF(OFFSET(PLE!$G$15,$M89-$A$15,CY$13)="",10^12,OFFSET(PLE!$G$15,$M89-$A$15,CY$13)))</f>
        <v>1000000000000</v>
      </c>
      <c r="CZ89" s="172" cm="1">
        <f t="array" aca="1" ref="CZ89" ca="1">IF(OR($D89&lt;&gt;"Serviço",AND(AUTOEVENTO="Manual",$M89=$A$15),$M89&gt;(ROW(PLE.lastrow)-ROW(PLE.firstrow))),0,
           IF(OFFSET(PLE!$G$15,$M89-$A$15,CZ$13)="",10^12,OFFSET(PLE!$G$15,$M89-$A$15,CZ$13)))</f>
        <v>1000000000000</v>
      </c>
      <c r="DA89" s="172" cm="1">
        <f t="array" aca="1" ref="DA89" ca="1">IF(OR($D89&lt;&gt;"Serviço",AND(AUTOEVENTO="Manual",$M89=$A$15),$M89&gt;(ROW(PLE.lastrow)-ROW(PLE.firstrow))),0,
           IF(OFFSET(PLE!$G$15,$M89-$A$15,DA$13)="",10^12,OFFSET(PLE!$G$15,$M89-$A$15,DA$13)))</f>
        <v>1000000000000</v>
      </c>
      <c r="DB89" s="172" cm="1">
        <f t="array" aca="1" ref="DB89" ca="1">IF(OR($D89&lt;&gt;"Serviço",AND(AUTOEVENTO="Manual",$M89=$A$15),$M89&gt;(ROW(PLE.lastrow)-ROW(PLE.firstrow))),0,
           IF(OFFSET(PLE!$G$15,$M89-$A$15,DB$13)="",10^12,OFFSET(PLE!$G$15,$M89-$A$15,DB$13)))</f>
        <v>1000000000000</v>
      </c>
      <c r="DC89" s="172" cm="1">
        <f t="array" aca="1" ref="DC89" ca="1">IF(OR($D89&lt;&gt;"Serviço",AND(AUTOEVENTO="Manual",$M89=$A$15),$M89&gt;(ROW(PLE.lastrow)-ROW(PLE.firstrow))),0,
           IF(OFFSET(PLE!$G$15,$M89-$A$15,DC$13)="",10^12,OFFSET(PLE!$G$15,$M89-$A$15,DC$13)))</f>
        <v>1000000000000</v>
      </c>
      <c r="DD89" s="172" cm="1">
        <f t="array" aca="1" ref="DD89" ca="1">IF(OR($D89&lt;&gt;"Serviço",AND(AUTOEVENTO="Manual",$M89=$A$15),$M89&gt;(ROW(PLE.lastrow)-ROW(PLE.firstrow))),0,
           IF(OFFSET(PLE!$G$15,$M89-$A$15,DD$13)="",10^12,OFFSET(PLE!$G$15,$M89-$A$15,DD$13)))</f>
        <v>1000000000000</v>
      </c>
      <c r="DE89" s="172" cm="1">
        <f t="array" aca="1" ref="DE89" ca="1">IF(OR($D89&lt;&gt;"Serviço",AND(AUTOEVENTO="Manual",$M89=$A$15),$M89&gt;(ROW(PLE.lastrow)-ROW(PLE.firstrow))),0,
           IF(OFFSET(PLE!$G$15,$M89-$A$15,DE$13)="",10^12,OFFSET(PLE!$G$15,$M89-$A$15,DE$13)))</f>
        <v>1000000000000</v>
      </c>
      <c r="DF89" s="172" cm="1">
        <f t="array" aca="1" ref="DF89" ca="1">IF(OR($D89&lt;&gt;"Serviço",AND(AUTOEVENTO="Manual",$M89=$A$15),$M89&gt;(ROW(PLE.lastrow)-ROW(PLE.firstrow))),0,
           IF(OFFSET(PLE!$G$15,$M89-$A$15,DF$13)="",10^12,OFFSET(PLE!$G$15,$M89-$A$15,DF$13)))</f>
        <v>1000000000000</v>
      </c>
      <c r="DG89" s="172" cm="1">
        <f t="array" aca="1" ref="DG89" ca="1">IF(OR($D89&lt;&gt;"Serviço",AND(AUTOEVENTO="Manual",$M89=$A$15),$M89&gt;(ROW(PLE.lastrow)-ROW(PLE.firstrow))),0,
           IF(OFFSET(PLE!$G$15,$M89-$A$15,DG$13)="",10^12,OFFSET(PLE!$G$15,$M89-$A$15,DG$13)))</f>
        <v>1000000000000</v>
      </c>
      <c r="DH89" s="172" cm="1">
        <f t="array" aca="1" ref="DH89" ca="1">IF(OR($D89&lt;&gt;"Serviço",AND(AUTOEVENTO="Manual",$M89=$A$15),$M89&gt;(ROW(PLE.lastrow)-ROW(PLE.firstrow))),0,
           IF(OFFSET(PLE!$G$15,$M89-$A$15,DH$13)="",10^12,OFFSET(PLE!$G$15,$M89-$A$15,DH$13)))</f>
        <v>1000000000000</v>
      </c>
      <c r="DI89" s="172" cm="1">
        <f t="array" aca="1" ref="DI89" ca="1">IF(OR($D89&lt;&gt;"Serviço",AND(AUTOEVENTO="Manual",$M89=$A$15),$M89&gt;(ROW(PLE.lastrow)-ROW(PLE.firstrow))),0,
           IF(OFFSET(PLE!$G$15,$M89-$A$15,DI$13)="",10^12,OFFSET(PLE!$G$15,$M89-$A$15,DI$13)))</f>
        <v>1000000000000</v>
      </c>
      <c r="DJ89" s="172" cm="1">
        <f t="array" aca="1" ref="DJ89" ca="1">IF(OR($D89&lt;&gt;"Serviço",AND(AUTOEVENTO="Manual",$M89=$A$15),$M89&gt;(ROW(PLE.lastrow)-ROW(PLE.firstrow))),0,
           IF(OFFSET(PLE!$G$15,$M89-$A$15,DJ$13)="",10^12,OFFSET(PLE!$G$15,$M89-$A$15,DJ$13)))</f>
        <v>1000000000000</v>
      </c>
      <c r="DK89" s="172" cm="1">
        <f t="array" aca="1" ref="DK89" ca="1">IF(OR($D89&lt;&gt;"Serviço",AND(AUTOEVENTO="Manual",$M89=$A$15),$M89&gt;(ROW(PLE.lastrow)-ROW(PLE.firstrow))),0,
           IF(OFFSET(PLE!$G$15,$M89-$A$15,DK$13)="",10^12,OFFSET(PLE!$G$15,$M89-$A$15,DK$13)))</f>
        <v>1000000000000</v>
      </c>
      <c r="DL89" s="172" cm="1">
        <f t="array" aca="1" ref="DL89" ca="1">IF(OR($D89&lt;&gt;"Serviço",AND(AUTOEVENTO="Manual",$M89=$A$15),$M89&gt;(ROW(PLE.lastrow)-ROW(PLE.firstrow))),0,
           IF(OFFSET(PLE!$G$15,$M89-$A$15,DL$13)="",10^12,OFFSET(PLE!$G$15,$M89-$A$15,DL$13)))</f>
        <v>1000000000000</v>
      </c>
      <c r="DM89" s="172" cm="1">
        <f t="array" aca="1" ref="DM89" ca="1">IF(OR($D89&lt;&gt;"Serviço",AND(AUTOEVENTO="Manual",$M89=$A$15),$M89&gt;(ROW(PLE.lastrow)-ROW(PLE.firstrow))),0,
           IF(OFFSET(PLE!$G$15,$M89-$A$15,DM$13)="",10^12,OFFSET(PLE!$G$15,$M89-$A$15,DM$13)))</f>
        <v>1000000000000</v>
      </c>
      <c r="DN89" s="172" cm="1">
        <f t="array" aca="1" ref="DN89" ca="1">IF(OR($D89&lt;&gt;"Serviço",AND(AUTOEVENTO="Manual",$M89=$A$15),$M89&gt;(ROW(PLE.lastrow)-ROW(PLE.firstrow))),0,
           IF(OFFSET(PLE!$G$15,$M89-$A$15,DN$13)="",10^12,OFFSET(PLE!$G$15,$M89-$A$15,DN$13)))</f>
        <v>1000000000000</v>
      </c>
      <c r="DO89" s="172" cm="1">
        <f t="array" aca="1" ref="DO89" ca="1">IF(OR($D89&lt;&gt;"Serviço",AND(AUTOEVENTO="Manual",$M89=$A$15),$M89&gt;(ROW(PLE.lastrow)-ROW(PLE.firstrow))),0,
           IF(OFFSET(PLE!$G$15,$M89-$A$15,DO$13)="",10^12,OFFSET(PLE!$G$15,$M89-$A$15,DO$13)))</f>
        <v>1000000000000</v>
      </c>
      <c r="DP89" s="172" cm="1">
        <f t="array" aca="1" ref="DP89" ca="1">IF(OR($D89&lt;&gt;"Serviço",AND(AUTOEVENTO="Manual",$M89=$A$15),$M89&gt;(ROW(PLE.lastrow)-ROW(PLE.firstrow))),0,
           IF(OFFSET(PLE!$G$15,$M89-$A$15,DP$13)="",10^12,OFFSET(PLE!$G$15,$M89-$A$15,DP$13)))</f>
        <v>1000000000000</v>
      </c>
      <c r="DQ89" s="172" cm="1">
        <f t="array" aca="1" ref="DQ89" ca="1">IF(OR($D89&lt;&gt;"Serviço",AND(AUTOEVENTO="Manual",$M89=$A$15),$M89&gt;(ROW(PLE.lastrow)-ROW(PLE.firstrow))),0,
           IF(OFFSET(PLE!$G$15,$M89-$A$15,DQ$13)="",10^12,OFFSET(PLE!$G$15,$M89-$A$15,DQ$13)))</f>
        <v>1000000000000</v>
      </c>
      <c r="DR89" s="172" cm="1">
        <f t="array" aca="1" ref="DR89" ca="1">IF(OR($D89&lt;&gt;"Serviço",AND(AUTOEVENTO="Manual",$M89=$A$15),$M89&gt;(ROW(PLE.lastrow)-ROW(PLE.firstrow))),0,
           IF(OFFSET(PLE!$G$15,$M89-$A$15,DR$13)="",10^12,OFFSET(PLE!$G$15,$M89-$A$15,DR$13)))</f>
        <v>1000000000000</v>
      </c>
      <c r="DS89" s="172" cm="1">
        <f t="array" aca="1" ref="DS89" ca="1">IF(OR($D89&lt;&gt;"Serviço",AND(AUTOEVENTO="Manual",$M89=$A$15),$M89&gt;(ROW(PLE.lastrow)-ROW(PLE.firstrow))),0,
           IF(OFFSET(PLE!$G$15,$M89-$A$15,DS$13)="",10^12,OFFSET(PLE!$G$15,$M89-$A$15,DS$13)))</f>
        <v>1000000000000</v>
      </c>
    </row>
    <row r="90" spans="1:123" ht="38.25" x14ac:dyDescent="0.2">
      <c r="A90" s="7">
        <f t="shared" ca="1" si="13"/>
        <v>7</v>
      </c>
      <c r="B90" s="7" t="str">
        <f ca="1">OFFSET(ORÇAMENTO!C$15,$L90,0)</f>
        <v>S</v>
      </c>
      <c r="C90" s="7" t="str">
        <f ca="1">OFFSET(ORÇAMENTO!L$15,$L90,0)</f>
        <v/>
      </c>
      <c r="D90" s="116" t="str">
        <f ca="1">OFFSET(ORÇAMENTO!N$15,$L90,0)</f>
        <v>Serviço</v>
      </c>
      <c r="E90" s="117" t="str">
        <f ca="1">OFFSET(ORÇAMENTO!O$15,$L90,0)</f>
        <v>-</v>
      </c>
      <c r="F90" s="163" t="str">
        <f ca="1">OFFSET(ORÇAMENTO!R$15,$L90,0)</f>
        <v>(Código não identificado nas referências)</v>
      </c>
      <c r="G90" s="164" t="str">
        <f ca="1">IF($D90&lt;&gt;"Serviço","",OFFSET(ORÇAMENTO!S$15,$L90,0))</f>
        <v>-</v>
      </c>
      <c r="H90" s="122" cm="1">
        <f t="array" aca="1" ref="H90" ca="1">IF($D90&lt;&gt;"Serviço",0,IF(ACOMPANHAMENTO="BM",ROUND(OFFSET(ORÇAMENTO!AJ$15,$L90,0),15-13*ORÇAMENTO!$AF$7),IF(IFERROR(CÁLCULO.FrentesPreenchidas,0)=0,0,SUM(ROUND(OFFSET($P90,0,1,1,CÁLCULO.FrentesPreenchidas),15-13*ORÇAMENTO!$AF$7)))))</f>
        <v>88.799999999999983</v>
      </c>
      <c r="I90" s="468" t="s">
        <v>1235</v>
      </c>
      <c r="J90" s="651" t="str" cm="1">
        <f t="array" aca="1" ref="J90" ca="1">IF(OR(B90&lt;&gt;"S",CÁLCULO.FrentesPreenchidas=0),"",IF(AND(ACOMPANHAMENTO="PLE",AUTOEVENTO="Manual",OR(H90&gt;0,ORÇAMENTO!AC90="QUANT."),OR(K90="",M90=0,N90="")),"►E",IF(AND(ACOMPANHAMENTO="PLE",ORÇAMENTO!AC90="QUANT."),"►Q",IF(AND(ACOMPANHAMENTO="PLE",H90&lt;&gt;SUMPRODUCT(($Q$1:$AQ$1=1)*ROUND(Q90:AQ90,15))),"►S",IF(AND(COUNTIF($P$11:$AQ$11,"▼")=0,H90&gt;0,I90=""),"◄M","")))))</f>
        <v/>
      </c>
      <c r="K90" s="652" t="s">
        <v>1255</v>
      </c>
      <c r="L90" s="165">
        <f t="shared" ca="1" si="14"/>
        <v>75</v>
      </c>
      <c r="M90" s="166">
        <f ca="1">IF($D90&lt;&gt;"Serviço","",
          IF(AUTOEVENTO="manual",$A90,
                IF(ISERROR(MATCH($A90,$A$15:OFFSET($A90,-1,0),0)),MAX($M$15:OFFSET(M90,-1,0))+1,
                      INDEX($M$15:OFFSET(M90,-1,0),MATCH($A90,$A$15:OFFSET($A90,-1,0),0)))))</f>
        <v>7</v>
      </c>
      <c r="N90" s="167" t="str">
        <f ca="1">IF($D90&lt;&gt;"Serviço","",
         IF(AUTOEVENTO="Manual",
                IF($A90=0,"&lt;-- defina o número do agrupador",
                       OFFSET(EVENTOS!$D$15,$A90-$A$15,0)),
                OFFSET($F$15,$A90,0)))</f>
        <v>REVESTIMENTOS</v>
      </c>
      <c r="O90" s="168"/>
      <c r="Q90" s="168">
        <v>4.4400000000000004</v>
      </c>
      <c r="R90" s="169">
        <v>4.4400000000000004</v>
      </c>
      <c r="S90" s="169">
        <v>4.4400000000000004</v>
      </c>
      <c r="T90" s="169">
        <v>4.4400000000000004</v>
      </c>
      <c r="U90" s="169">
        <v>4.4400000000000004</v>
      </c>
      <c r="V90" s="169">
        <v>4.4400000000000004</v>
      </c>
      <c r="W90" s="169">
        <v>4.4400000000000004</v>
      </c>
      <c r="X90" s="169">
        <v>4.4400000000000004</v>
      </c>
      <c r="Y90" s="169">
        <v>4.4400000000000004</v>
      </c>
      <c r="Z90" s="170">
        <v>4.4400000000000004</v>
      </c>
      <c r="AA90" s="169">
        <v>4.4400000000000004</v>
      </c>
      <c r="AB90" s="169">
        <v>4.4400000000000004</v>
      </c>
      <c r="AC90" s="169">
        <v>4.4400000000000004</v>
      </c>
      <c r="AD90" s="169">
        <v>4.4400000000000004</v>
      </c>
      <c r="AE90" s="169">
        <v>4.4400000000000004</v>
      </c>
      <c r="AF90" s="169">
        <v>4.4400000000000004</v>
      </c>
      <c r="AG90" s="169">
        <v>4.4400000000000004</v>
      </c>
      <c r="AH90" s="170">
        <v>4.4400000000000004</v>
      </c>
      <c r="AI90" s="169">
        <v>4.4400000000000004</v>
      </c>
      <c r="AJ90" s="169">
        <v>4.4400000000000004</v>
      </c>
      <c r="AK90" s="169"/>
      <c r="AL90" s="169"/>
      <c r="AM90" s="169"/>
      <c r="AN90" s="169"/>
      <c r="AO90" s="169"/>
      <c r="AP90" s="170"/>
      <c r="AR90" s="453">
        <f ca="1">IF(AND($D90="Serviço",AR$12&lt;&gt;0,$H90&gt;0,OR(AUTOEVENTO&lt;&gt;"manual",$M90&lt;&gt;$A$15)),
        IF(Import.TipoArredondamento&lt;&gt;"TransfereGOV",
              ROUND(OFFSET($P90,0,AR$13),15-13*ORÇAMENTO!$AF$7)/$H90*OFFSET(ORÇAMENTO!$X$15,ROW(AR90)-ROW(AR$15),0),
              ROUND(ROUND(OFFSET($P90,0,AR$13),15-13*ORÇAMENTO!$AF$7)*OFFSET(ORÇAMENTO!$W$15,ROW(AR90)-ROW(AR$15),0),15-13*ORÇAMENTO!$AF$11)),
         0)</f>
        <v>0</v>
      </c>
      <c r="AS90" s="453">
        <f ca="1">IF(AND($D90="Serviço",AS$12&lt;&gt;0,$H90&gt;0,OR(AUTOEVENTO&lt;&gt;"manual",$M90&lt;&gt;$A$15)),
        IF(Import.TipoArredondamento&lt;&gt;"TransfereGOV",
              ROUND(OFFSET($P90,0,AS$13),15-13*ORÇAMENTO!$AF$7)/$H90*OFFSET(ORÇAMENTO!$X$15,ROW(AS90)-ROW(AS$15),0),
              ROUND(ROUND(OFFSET($P90,0,AS$13),15-13*ORÇAMENTO!$AF$7)*OFFSET(ORÇAMENTO!$W$15,ROW(AS90)-ROW(AS$15),0),15-13*ORÇAMENTO!$AF$11)),
         0)</f>
        <v>0</v>
      </c>
      <c r="AT90" s="453">
        <f ca="1">IF(AND($D90="Serviço",AT$12&lt;&gt;0,$H90&gt;0,OR(AUTOEVENTO&lt;&gt;"manual",$M90&lt;&gt;$A$15)),
        IF(Import.TipoArredondamento&lt;&gt;"TransfereGOV",
              ROUND(OFFSET($P90,0,AT$13),15-13*ORÇAMENTO!$AF$7)/$H90*OFFSET(ORÇAMENTO!$X$15,ROW(AT90)-ROW(AT$15),0),
              ROUND(ROUND(OFFSET($P90,0,AT$13),15-13*ORÇAMENTO!$AF$7)*OFFSET(ORÇAMENTO!$W$15,ROW(AT90)-ROW(AT$15),0),15-13*ORÇAMENTO!$AF$11)),
         0)</f>
        <v>0</v>
      </c>
      <c r="AU90" s="453">
        <f ca="1">IF(AND($D90="Serviço",AU$12&lt;&gt;0,$H90&gt;0,OR(AUTOEVENTO&lt;&gt;"manual",$M90&lt;&gt;$A$15)),
        IF(Import.TipoArredondamento&lt;&gt;"TransfereGOV",
              ROUND(OFFSET($P90,0,AU$13),15-13*ORÇAMENTO!$AF$7)/$H90*OFFSET(ORÇAMENTO!$X$15,ROW(AU90)-ROW(AU$15),0),
              ROUND(ROUND(OFFSET($P90,0,AU$13),15-13*ORÇAMENTO!$AF$7)*OFFSET(ORÇAMENTO!$W$15,ROW(AU90)-ROW(AU$15),0),15-13*ORÇAMENTO!$AF$11)),
         0)</f>
        <v>0</v>
      </c>
      <c r="AV90" s="453">
        <f ca="1">IF(AND($D90="Serviço",AV$12&lt;&gt;0,$H90&gt;0,OR(AUTOEVENTO&lt;&gt;"manual",$M90&lt;&gt;$A$15)),
        IF(Import.TipoArredondamento&lt;&gt;"TransfereGOV",
              ROUND(OFFSET($P90,0,AV$13),15-13*ORÇAMENTO!$AF$7)/$H90*OFFSET(ORÇAMENTO!$X$15,ROW(AV90)-ROW(AV$15),0),
              ROUND(ROUND(OFFSET($P90,0,AV$13),15-13*ORÇAMENTO!$AF$7)*OFFSET(ORÇAMENTO!$W$15,ROW(AV90)-ROW(AV$15),0),15-13*ORÇAMENTO!$AF$11)),
         0)</f>
        <v>0</v>
      </c>
      <c r="AW90" s="453">
        <f ca="1">IF(AND($D90="Serviço",AW$12&lt;&gt;0,$H90&gt;0,OR(AUTOEVENTO&lt;&gt;"manual",$M90&lt;&gt;$A$15)),
        IF(Import.TipoArredondamento&lt;&gt;"TransfereGOV",
              ROUND(OFFSET($P90,0,AW$13),15-13*ORÇAMENTO!$AF$7)/$H90*OFFSET(ORÇAMENTO!$X$15,ROW(AW90)-ROW(AW$15),0),
              ROUND(ROUND(OFFSET($P90,0,AW$13),15-13*ORÇAMENTO!$AF$7)*OFFSET(ORÇAMENTO!$W$15,ROW(AW90)-ROW(AW$15),0),15-13*ORÇAMENTO!$AF$11)),
         0)</f>
        <v>0</v>
      </c>
      <c r="AX90" s="453">
        <f ca="1">IF(AND($D90="Serviço",AX$12&lt;&gt;0,$H90&gt;0,OR(AUTOEVENTO&lt;&gt;"manual",$M90&lt;&gt;$A$15)),
        IF(Import.TipoArredondamento&lt;&gt;"TransfereGOV",
              ROUND(OFFSET($P90,0,AX$13),15-13*ORÇAMENTO!$AF$7)/$H90*OFFSET(ORÇAMENTO!$X$15,ROW(AX90)-ROW(AX$15),0),
              ROUND(ROUND(OFFSET($P90,0,AX$13),15-13*ORÇAMENTO!$AF$7)*OFFSET(ORÇAMENTO!$W$15,ROW(AX90)-ROW(AX$15),0),15-13*ORÇAMENTO!$AF$11)),
         0)</f>
        <v>0</v>
      </c>
      <c r="AY90" s="453">
        <f ca="1">IF(AND($D90="Serviço",AY$12&lt;&gt;0,$H90&gt;0,OR(AUTOEVENTO&lt;&gt;"manual",$M90&lt;&gt;$A$15)),
        IF(Import.TipoArredondamento&lt;&gt;"TransfereGOV",
              ROUND(OFFSET($P90,0,AY$13),15-13*ORÇAMENTO!$AF$7)/$H90*OFFSET(ORÇAMENTO!$X$15,ROW(AY90)-ROW(AY$15),0),
              ROUND(ROUND(OFFSET($P90,0,AY$13),15-13*ORÇAMENTO!$AF$7)*OFFSET(ORÇAMENTO!$W$15,ROW(AY90)-ROW(AY$15),0),15-13*ORÇAMENTO!$AF$11)),
         0)</f>
        <v>0</v>
      </c>
      <c r="AZ90" s="453">
        <f ca="1">IF(AND($D90="Serviço",AZ$12&lt;&gt;0,$H90&gt;0,OR(AUTOEVENTO&lt;&gt;"manual",$M90&lt;&gt;$A$15)),
        IF(Import.TipoArredondamento&lt;&gt;"TransfereGOV",
              ROUND(OFFSET($P90,0,AZ$13),15-13*ORÇAMENTO!$AF$7)/$H90*OFFSET(ORÇAMENTO!$X$15,ROW(AZ90)-ROW(AZ$15),0),
              ROUND(ROUND(OFFSET($P90,0,AZ$13),15-13*ORÇAMENTO!$AF$7)*OFFSET(ORÇAMENTO!$W$15,ROW(AZ90)-ROW(AZ$15),0),15-13*ORÇAMENTO!$AF$11)),
         0)</f>
        <v>0</v>
      </c>
      <c r="BA90" s="453">
        <f ca="1">IF(AND($D90="Serviço",BA$12&lt;&gt;0,$H90&gt;0,OR(AUTOEVENTO&lt;&gt;"manual",$M90&lt;&gt;$A$15)),
        IF(Import.TipoArredondamento&lt;&gt;"TransfereGOV",
              ROUND(OFFSET($P90,0,BA$13),15-13*ORÇAMENTO!$AF$7)/$H90*OFFSET(ORÇAMENTO!$X$15,ROW(BA90)-ROW(BA$15),0),
              ROUND(ROUND(OFFSET($P90,0,BA$13),15-13*ORÇAMENTO!$AF$7)*OFFSET(ORÇAMENTO!$W$15,ROW(BA90)-ROW(BA$15),0),15-13*ORÇAMENTO!$AF$11)),
         0)</f>
        <v>0</v>
      </c>
      <c r="BB90" s="453">
        <f ca="1">IF(AND($D90="Serviço",BB$12&lt;&gt;0,$H90&gt;0,OR(AUTOEVENTO&lt;&gt;"manual",$M90&lt;&gt;$A$15)),
        IF(Import.TipoArredondamento&lt;&gt;"TransfereGOV",
              ROUND(OFFSET($P90,0,BB$13),15-13*ORÇAMENTO!$AF$7)/$H90*OFFSET(ORÇAMENTO!$X$15,ROW(BB90)-ROW(BB$15),0),
              ROUND(ROUND(OFFSET($P90,0,BB$13),15-13*ORÇAMENTO!$AF$7)*OFFSET(ORÇAMENTO!$W$15,ROW(BB90)-ROW(BB$15),0),15-13*ORÇAMENTO!$AF$11)),
         0)</f>
        <v>0</v>
      </c>
      <c r="BC90" s="453">
        <f ca="1">IF(AND($D90="Serviço",BC$12&lt;&gt;0,$H90&gt;0,OR(AUTOEVENTO&lt;&gt;"manual",$M90&lt;&gt;$A$15)),
        IF(Import.TipoArredondamento&lt;&gt;"TransfereGOV",
              ROUND(OFFSET($P90,0,BC$13),15-13*ORÇAMENTO!$AF$7)/$H90*OFFSET(ORÇAMENTO!$X$15,ROW(BC90)-ROW(BC$15),0),
              ROUND(ROUND(OFFSET($P90,0,BC$13),15-13*ORÇAMENTO!$AF$7)*OFFSET(ORÇAMENTO!$W$15,ROW(BC90)-ROW(BC$15),0),15-13*ORÇAMENTO!$AF$11)),
         0)</f>
        <v>0</v>
      </c>
      <c r="BD90" s="453">
        <f ca="1">IF(AND($D90="Serviço",BD$12&lt;&gt;0,$H90&gt;0,OR(AUTOEVENTO&lt;&gt;"manual",$M90&lt;&gt;$A$15)),
        IF(Import.TipoArredondamento&lt;&gt;"TransfereGOV",
              ROUND(OFFSET($P90,0,BD$13),15-13*ORÇAMENTO!$AF$7)/$H90*OFFSET(ORÇAMENTO!$X$15,ROW(BD90)-ROW(BD$15),0),
              ROUND(ROUND(OFFSET($P90,0,BD$13),15-13*ORÇAMENTO!$AF$7)*OFFSET(ORÇAMENTO!$W$15,ROW(BD90)-ROW(BD$15),0),15-13*ORÇAMENTO!$AF$11)),
         0)</f>
        <v>0</v>
      </c>
      <c r="BE90" s="453">
        <f ca="1">IF(AND($D90="Serviço",BE$12&lt;&gt;0,$H90&gt;0,OR(AUTOEVENTO&lt;&gt;"manual",$M90&lt;&gt;$A$15)),
        IF(Import.TipoArredondamento&lt;&gt;"TransfereGOV",
              ROUND(OFFSET($P90,0,BE$13),15-13*ORÇAMENTO!$AF$7)/$H90*OFFSET(ORÇAMENTO!$X$15,ROW(BE90)-ROW(BE$15),0),
              ROUND(ROUND(OFFSET($P90,0,BE$13),15-13*ORÇAMENTO!$AF$7)*OFFSET(ORÇAMENTO!$W$15,ROW(BE90)-ROW(BE$15),0),15-13*ORÇAMENTO!$AF$11)),
         0)</f>
        <v>0</v>
      </c>
      <c r="BF90" s="453">
        <f ca="1">IF(AND($D90="Serviço",BF$12&lt;&gt;0,$H90&gt;0,OR(AUTOEVENTO&lt;&gt;"manual",$M90&lt;&gt;$A$15)),
        IF(Import.TipoArredondamento&lt;&gt;"TransfereGOV",
              ROUND(OFFSET($P90,0,BF$13),15-13*ORÇAMENTO!$AF$7)/$H90*OFFSET(ORÇAMENTO!$X$15,ROW(BF90)-ROW(BF$15),0),
              ROUND(ROUND(OFFSET($P90,0,BF$13),15-13*ORÇAMENTO!$AF$7)*OFFSET(ORÇAMENTO!$W$15,ROW(BF90)-ROW(BF$15),0),15-13*ORÇAMENTO!$AF$11)),
         0)</f>
        <v>0</v>
      </c>
      <c r="BG90" s="453">
        <f ca="1">IF(AND($D90="Serviço",BG$12&lt;&gt;0,$H90&gt;0,OR(AUTOEVENTO&lt;&gt;"manual",$M90&lt;&gt;$A$15)),
        IF(Import.TipoArredondamento&lt;&gt;"TransfereGOV",
              ROUND(OFFSET($P90,0,BG$13),15-13*ORÇAMENTO!$AF$7)/$H90*OFFSET(ORÇAMENTO!$X$15,ROW(BG90)-ROW(BG$15),0),
              ROUND(ROUND(OFFSET($P90,0,BG$13),15-13*ORÇAMENTO!$AF$7)*OFFSET(ORÇAMENTO!$W$15,ROW(BG90)-ROW(BG$15),0),15-13*ORÇAMENTO!$AF$11)),
         0)</f>
        <v>0</v>
      </c>
      <c r="BH90" s="453">
        <f ca="1">IF(AND($D90="Serviço",BH$12&lt;&gt;0,$H90&gt;0,OR(AUTOEVENTO&lt;&gt;"manual",$M90&lt;&gt;$A$15)),
        IF(Import.TipoArredondamento&lt;&gt;"TransfereGOV",
              ROUND(OFFSET($P90,0,BH$13),15-13*ORÇAMENTO!$AF$7)/$H90*OFFSET(ORÇAMENTO!$X$15,ROW(BH90)-ROW(BH$15),0),
              ROUND(ROUND(OFFSET($P90,0,BH$13),15-13*ORÇAMENTO!$AF$7)*OFFSET(ORÇAMENTO!$W$15,ROW(BH90)-ROW(BH$15),0),15-13*ORÇAMENTO!$AF$11)),
         0)</f>
        <v>0</v>
      </c>
      <c r="BI90" s="453">
        <f ca="1">IF(AND($D90="Serviço",BI$12&lt;&gt;0,$H90&gt;0,OR(AUTOEVENTO&lt;&gt;"manual",$M90&lt;&gt;$A$15)),
        IF(Import.TipoArredondamento&lt;&gt;"TransfereGOV",
              ROUND(OFFSET($P90,0,BI$13),15-13*ORÇAMENTO!$AF$7)/$H90*OFFSET(ORÇAMENTO!$X$15,ROW(BI90)-ROW(BI$15),0),
              ROUND(ROUND(OFFSET($P90,0,BI$13),15-13*ORÇAMENTO!$AF$7)*OFFSET(ORÇAMENTO!$W$15,ROW(BI90)-ROW(BI$15),0),15-13*ORÇAMENTO!$AF$11)),
         0)</f>
        <v>0</v>
      </c>
      <c r="BJ90" s="453">
        <f ca="1">IF(AND($D90="Serviço",BJ$12&lt;&gt;0,$H90&gt;0,OR(AUTOEVENTO&lt;&gt;"manual",$M90&lt;&gt;$A$15)),
        IF(Import.TipoArredondamento&lt;&gt;"TransfereGOV",
              ROUND(OFFSET($P90,0,BJ$13),15-13*ORÇAMENTO!$AF$7)/$H90*OFFSET(ORÇAMENTO!$X$15,ROW(BJ90)-ROW(BJ$15),0),
              ROUND(ROUND(OFFSET($P90,0,BJ$13),15-13*ORÇAMENTO!$AF$7)*OFFSET(ORÇAMENTO!$W$15,ROW(BJ90)-ROW(BJ$15),0),15-13*ORÇAMENTO!$AF$11)),
         0)</f>
        <v>0</v>
      </c>
      <c r="BK90" s="453">
        <f ca="1">IF(AND($D90="Serviço",BK$12&lt;&gt;0,$H90&gt;0,OR(AUTOEVENTO&lt;&gt;"manual",$M90&lt;&gt;$A$15)),
        IF(Import.TipoArredondamento&lt;&gt;"TransfereGOV",
              ROUND(OFFSET($P90,0,BK$13),15-13*ORÇAMENTO!$AF$7)/$H90*OFFSET(ORÇAMENTO!$X$15,ROW(BK90)-ROW(BK$15),0),
              ROUND(ROUND(OFFSET($P90,0,BK$13),15-13*ORÇAMENTO!$AF$7)*OFFSET(ORÇAMENTO!$W$15,ROW(BK90)-ROW(BK$15),0),15-13*ORÇAMENTO!$AF$11)),
         0)</f>
        <v>0</v>
      </c>
      <c r="BL90" s="453">
        <f ca="1">IF(AND($D90="Serviço",BL$12&lt;&gt;0,$H90&gt;0,OR(AUTOEVENTO&lt;&gt;"manual",$M90&lt;&gt;$A$15)),
        IF(Import.TipoArredondamento&lt;&gt;"TransfereGOV",
              ROUND(OFFSET($P90,0,BL$13),15-13*ORÇAMENTO!$AF$7)/$H90*OFFSET(ORÇAMENTO!$X$15,ROW(BL90)-ROW(BL$15),0),
              ROUND(ROUND(OFFSET($P90,0,BL$13),15-13*ORÇAMENTO!$AF$7)*OFFSET(ORÇAMENTO!$W$15,ROW(BL90)-ROW(BL$15),0),15-13*ORÇAMENTO!$AF$11)),
         0)</f>
        <v>0</v>
      </c>
      <c r="BM90" s="453">
        <f ca="1">IF(AND($D90="Serviço",BM$12&lt;&gt;0,$H90&gt;0,OR(AUTOEVENTO&lt;&gt;"manual",$M90&lt;&gt;$A$15)),
        IF(Import.TipoArredondamento&lt;&gt;"TransfereGOV",
              ROUND(OFFSET($P90,0,BM$13),15-13*ORÇAMENTO!$AF$7)/$H90*OFFSET(ORÇAMENTO!$X$15,ROW(BM90)-ROW(BM$15),0),
              ROUND(ROUND(OFFSET($P90,0,BM$13),15-13*ORÇAMENTO!$AF$7)*OFFSET(ORÇAMENTO!$W$15,ROW(BM90)-ROW(BM$15),0),15-13*ORÇAMENTO!$AF$11)),
         0)</f>
        <v>0</v>
      </c>
      <c r="BN90" s="453">
        <f ca="1">IF(AND($D90="Serviço",BN$12&lt;&gt;0,$H90&gt;0,OR(AUTOEVENTO&lt;&gt;"manual",$M90&lt;&gt;$A$15)),
        IF(Import.TipoArredondamento&lt;&gt;"TransfereGOV",
              ROUND(OFFSET($P90,0,BN$13),15-13*ORÇAMENTO!$AF$7)/$H90*OFFSET(ORÇAMENTO!$X$15,ROW(BN90)-ROW(BN$15),0),
              ROUND(ROUND(OFFSET($P90,0,BN$13),15-13*ORÇAMENTO!$AF$7)*OFFSET(ORÇAMENTO!$W$15,ROW(BN90)-ROW(BN$15),0),15-13*ORÇAMENTO!$AF$11)),
         0)</f>
        <v>0</v>
      </c>
      <c r="BO90" s="453">
        <f ca="1">IF(AND($D90="Serviço",BO$12&lt;&gt;0,$H90&gt;0,OR(AUTOEVENTO&lt;&gt;"manual",$M90&lt;&gt;$A$15)),
        IF(Import.TipoArredondamento&lt;&gt;"TransfereGOV",
              ROUND(OFFSET($P90,0,BO$13),15-13*ORÇAMENTO!$AF$7)/$H90*OFFSET(ORÇAMENTO!$X$15,ROW(BO90)-ROW(BO$15),0),
              ROUND(ROUND(OFFSET($P90,0,BO$13),15-13*ORÇAMENTO!$AF$7)*OFFSET(ORÇAMENTO!$W$15,ROW(BO90)-ROW(BO$15),0),15-13*ORÇAMENTO!$AF$11)),
         0)</f>
        <v>0</v>
      </c>
      <c r="BP90" s="453">
        <f ca="1">IF(AND($D90="Serviço",BP$12&lt;&gt;0,$H90&gt;0,OR(AUTOEVENTO&lt;&gt;"manual",$M90&lt;&gt;$A$15)),
        IF(Import.TipoArredondamento&lt;&gt;"TransfereGOV",
              ROUND(OFFSET($P90,0,BP$13),15-13*ORÇAMENTO!$AF$7)/$H90*OFFSET(ORÇAMENTO!$X$15,ROW(BP90)-ROW(BP$15),0),
              ROUND(ROUND(OFFSET($P90,0,BP$13),15-13*ORÇAMENTO!$AF$7)*OFFSET(ORÇAMENTO!$W$15,ROW(BP90)-ROW(BP$15),0),15-13*ORÇAMENTO!$AF$11)),
         0)</f>
        <v>0</v>
      </c>
      <c r="BQ90" s="453">
        <f ca="1">IF(AND($D90="Serviço",BQ$12&lt;&gt;0,$H90&gt;0,OR(AUTOEVENTO&lt;&gt;"manual",$M90&lt;&gt;$A$15)),
        IF(Import.TipoArredondamento&lt;&gt;"TransfereGOV",
              ROUND(OFFSET($P90,0,BQ$13),15-13*ORÇAMENTO!$AF$7)/$H90*OFFSET(ORÇAMENTO!$X$15,ROW(BQ90)-ROW(BQ$15),0),
              ROUND(ROUND(OFFSET($P90,0,BQ$13),15-13*ORÇAMENTO!$AF$7)*OFFSET(ORÇAMENTO!$W$15,ROW(BQ90)-ROW(BQ$15),0),15-13*ORÇAMENTO!$AF$11)),
         0)</f>
        <v>0</v>
      </c>
      <c r="BS90" s="171">
        <f ca="1">IF(OR($D90&lt;&gt;"Serviço",AND(AUTOEVENTO="Manual",$M90=$A$15)),0,
         IF(OFFSET(CRONOPLE!$F$15,$M90-$A$15,BS$13)=0,10^12,OFFSET(CRONOPLE!$F$15,$M90-$A$15,BS$13)))</f>
        <v>1</v>
      </c>
      <c r="BT90" s="171">
        <f ca="1">IF(OR($D90&lt;&gt;"Serviço",AND(AUTOEVENTO="Manual",$M90=$A$15)),0,
         IF(OFFSET(CRONOPLE!$F$15,$M90-$A$15,BT$13)=0,10^12,OFFSET(CRONOPLE!$F$15,$M90-$A$15,BT$13)))</f>
        <v>2</v>
      </c>
      <c r="BU90" s="171">
        <f ca="1">IF(OR($D90&lt;&gt;"Serviço",AND(AUTOEVENTO="Manual",$M90=$A$15)),0,
         IF(OFFSET(CRONOPLE!$F$15,$M90-$A$15,BU$13)=0,10^12,OFFSET(CRONOPLE!$F$15,$M90-$A$15,BU$13)))</f>
        <v>3</v>
      </c>
      <c r="BV90" s="171">
        <f ca="1">IF(OR($D90&lt;&gt;"Serviço",AND(AUTOEVENTO="Manual",$M90=$A$15)),0,
         IF(OFFSET(CRONOPLE!$F$15,$M90-$A$15,BV$13)=0,10^12,OFFSET(CRONOPLE!$F$15,$M90-$A$15,BV$13)))</f>
        <v>4</v>
      </c>
      <c r="BW90" s="171">
        <f ca="1">IF(OR($D90&lt;&gt;"Serviço",AND(AUTOEVENTO="Manual",$M90=$A$15)),0,
         IF(OFFSET(CRONOPLE!$F$15,$M90-$A$15,BW$13)=0,10^12,OFFSET(CRONOPLE!$F$15,$M90-$A$15,BW$13)))</f>
        <v>5</v>
      </c>
      <c r="BX90" s="171">
        <f ca="1">IF(OR($D90&lt;&gt;"Serviço",AND(AUTOEVENTO="Manual",$M90=$A$15)),0,
         IF(OFFSET(CRONOPLE!$F$15,$M90-$A$15,BX$13)=0,10^12,OFFSET(CRONOPLE!$F$15,$M90-$A$15,BX$13)))</f>
        <v>6</v>
      </c>
      <c r="BY90" s="171">
        <f ca="1">IF(OR($D90&lt;&gt;"Serviço",AND(AUTOEVENTO="Manual",$M90=$A$15)),0,
         IF(OFFSET(CRONOPLE!$F$15,$M90-$A$15,BY$13)=0,10^12,OFFSET(CRONOPLE!$F$15,$M90-$A$15,BY$13)))</f>
        <v>7</v>
      </c>
      <c r="BZ90" s="171">
        <f ca="1">IF(OR($D90&lt;&gt;"Serviço",AND(AUTOEVENTO="Manual",$M90=$A$15)),0,
         IF(OFFSET(CRONOPLE!$F$15,$M90-$A$15,BZ$13)=0,10^12,OFFSET(CRONOPLE!$F$15,$M90-$A$15,BZ$13)))</f>
        <v>8</v>
      </c>
      <c r="CA90" s="171">
        <f ca="1">IF(OR($D90&lt;&gt;"Serviço",AND(AUTOEVENTO="Manual",$M90=$A$15)),0,
         IF(OFFSET(CRONOPLE!$F$15,$M90-$A$15,CA$13)=0,10^12,OFFSET(CRONOPLE!$F$15,$M90-$A$15,CA$13)))</f>
        <v>9</v>
      </c>
      <c r="CB90" s="171">
        <f ca="1">IF(OR($D90&lt;&gt;"Serviço",AND(AUTOEVENTO="Manual",$M90=$A$15)),0,
         IF(OFFSET(CRONOPLE!$F$15,$M90-$A$15,CB$13)=0,10^12,OFFSET(CRONOPLE!$F$15,$M90-$A$15,CB$13)))</f>
        <v>10</v>
      </c>
      <c r="CC90" s="171">
        <f ca="1">IF(OR($D90&lt;&gt;"Serviço",AND(AUTOEVENTO="Manual",$M90=$A$15)),0,
         IF(OFFSET(CRONOPLE!$F$15,$M90-$A$15,CC$13)=0,10^12,OFFSET(CRONOPLE!$F$15,$M90-$A$15,CC$13)))</f>
        <v>11</v>
      </c>
      <c r="CD90" s="171">
        <f ca="1">IF(OR($D90&lt;&gt;"Serviço",AND(AUTOEVENTO="Manual",$M90=$A$15)),0,
         IF(OFFSET(CRONOPLE!$F$15,$M90-$A$15,CD$13)=0,10^12,OFFSET(CRONOPLE!$F$15,$M90-$A$15,CD$13)))</f>
        <v>12</v>
      </c>
      <c r="CE90" s="171">
        <f ca="1">IF(OR($D90&lt;&gt;"Serviço",AND(AUTOEVENTO="Manual",$M90=$A$15)),0,
         IF(OFFSET(CRONOPLE!$F$15,$M90-$A$15,CE$13)=0,10^12,OFFSET(CRONOPLE!$F$15,$M90-$A$15,CE$13)))</f>
        <v>13</v>
      </c>
      <c r="CF90" s="171">
        <f ca="1">IF(OR($D90&lt;&gt;"Serviço",AND(AUTOEVENTO="Manual",$M90=$A$15)),0,
         IF(OFFSET(CRONOPLE!$F$15,$M90-$A$15,CF$13)=0,10^12,OFFSET(CRONOPLE!$F$15,$M90-$A$15,CF$13)))</f>
        <v>14</v>
      </c>
      <c r="CG90" s="171">
        <f ca="1">IF(OR($D90&lt;&gt;"Serviço",AND(AUTOEVENTO="Manual",$M90=$A$15)),0,
         IF(OFFSET(CRONOPLE!$F$15,$M90-$A$15,CG$13)=0,10^12,OFFSET(CRONOPLE!$F$15,$M90-$A$15,CG$13)))</f>
        <v>15</v>
      </c>
      <c r="CH90" s="171">
        <f ca="1">IF(OR($D90&lt;&gt;"Serviço",AND(AUTOEVENTO="Manual",$M90=$A$15)),0,
         IF(OFFSET(CRONOPLE!$F$15,$M90-$A$15,CH$13)=0,10^12,OFFSET(CRONOPLE!$F$15,$M90-$A$15,CH$13)))</f>
        <v>16</v>
      </c>
      <c r="CI90" s="171">
        <f ca="1">IF(OR($D90&lt;&gt;"Serviço",AND(AUTOEVENTO="Manual",$M90=$A$15)),0,
         IF(OFFSET(CRONOPLE!$F$15,$M90-$A$15,CI$13)=0,10^12,OFFSET(CRONOPLE!$F$15,$M90-$A$15,CI$13)))</f>
        <v>17</v>
      </c>
      <c r="CJ90" s="171">
        <f ca="1">IF(OR($D90&lt;&gt;"Serviço",AND(AUTOEVENTO="Manual",$M90=$A$15)),0,
         IF(OFFSET(CRONOPLE!$F$15,$M90-$A$15,CJ$13)=0,10^12,OFFSET(CRONOPLE!$F$15,$M90-$A$15,CJ$13)))</f>
        <v>18</v>
      </c>
      <c r="CK90" s="171">
        <f ca="1">IF(OR($D90&lt;&gt;"Serviço",AND(AUTOEVENTO="Manual",$M90=$A$15)),0,
         IF(OFFSET(CRONOPLE!$F$15,$M90-$A$15,CK$13)=0,10^12,OFFSET(CRONOPLE!$F$15,$M90-$A$15,CK$13)))</f>
        <v>19</v>
      </c>
      <c r="CL90" s="171">
        <f ca="1">IF(OR($D90&lt;&gt;"Serviço",AND(AUTOEVENTO="Manual",$M90=$A$15)),0,
         IF(OFFSET(CRONOPLE!$F$15,$M90-$A$15,CL$13)=0,10^12,OFFSET(CRONOPLE!$F$15,$M90-$A$15,CL$13)))</f>
        <v>20</v>
      </c>
      <c r="CM90" s="171">
        <f ca="1">IF(OR($D90&lt;&gt;"Serviço",AND(AUTOEVENTO="Manual",$M90=$A$15)),0,
         IF(OFFSET(CRONOPLE!$F$15,$M90-$A$15,CM$13)=0,10^12,OFFSET(CRONOPLE!$F$15,$M90-$A$15,CM$13)))</f>
        <v>1000000000000</v>
      </c>
      <c r="CN90" s="171">
        <f ca="1">IF(OR($D90&lt;&gt;"Serviço",AND(AUTOEVENTO="Manual",$M90=$A$15)),0,
         IF(OFFSET(CRONOPLE!$F$15,$M90-$A$15,CN$13)=0,10^12,OFFSET(CRONOPLE!$F$15,$M90-$A$15,CN$13)))</f>
        <v>1000000000000</v>
      </c>
      <c r="CO90" s="171">
        <f ca="1">IF(OR($D90&lt;&gt;"Serviço",AND(AUTOEVENTO="Manual",$M90=$A$15)),0,
         IF(OFFSET(CRONOPLE!$F$15,$M90-$A$15,CO$13)=0,10^12,OFFSET(CRONOPLE!$F$15,$M90-$A$15,CO$13)))</f>
        <v>1000000000000</v>
      </c>
      <c r="CP90" s="171">
        <f ca="1">IF(OR($D90&lt;&gt;"Serviço",AND(AUTOEVENTO="Manual",$M90=$A$15)),0,
         IF(OFFSET(CRONOPLE!$F$15,$M90-$A$15,CP$13)=0,10^12,OFFSET(CRONOPLE!$F$15,$M90-$A$15,CP$13)))</f>
        <v>1000000000000</v>
      </c>
      <c r="CQ90" s="171">
        <f ca="1">IF(OR($D90&lt;&gt;"Serviço",AND(AUTOEVENTO="Manual",$M90=$A$15)),0,
         IF(OFFSET(CRONOPLE!$F$15,$M90-$A$15,CQ$13)=0,10^12,OFFSET(CRONOPLE!$F$15,$M90-$A$15,CQ$13)))</f>
        <v>1000000000000</v>
      </c>
      <c r="CR90" s="171">
        <f ca="1">IF(OR($D90&lt;&gt;"Serviço",AND(AUTOEVENTO="Manual",$M90=$A$15)),0,
         IF(OFFSET(CRONOPLE!$F$15,$M90-$A$15,CR$13)=0,10^12,OFFSET(CRONOPLE!$F$15,$M90-$A$15,CR$13)))</f>
        <v>1000000000000</v>
      </c>
      <c r="CT90" s="172" cm="1">
        <f t="array" aca="1" ref="CT90" ca="1">IF(OR($D90&lt;&gt;"Serviço",AND(AUTOEVENTO="Manual",$M90=$A$15),$M90&gt;(ROW(PLE.lastrow)-ROW(PLE.firstrow))),0,
           IF(OFFSET(PLE!$G$15,$M90-$A$15,CT$13)="",10^12,OFFSET(PLE!$G$15,$M90-$A$15,CT$13)))</f>
        <v>1000000000000</v>
      </c>
      <c r="CU90" s="172" cm="1">
        <f t="array" aca="1" ref="CU90" ca="1">IF(OR($D90&lt;&gt;"Serviço",AND(AUTOEVENTO="Manual",$M90=$A$15),$M90&gt;(ROW(PLE.lastrow)-ROW(PLE.firstrow))),0,
           IF(OFFSET(PLE!$G$15,$M90-$A$15,CU$13)="",10^12,OFFSET(PLE!$G$15,$M90-$A$15,CU$13)))</f>
        <v>1000000000000</v>
      </c>
      <c r="CV90" s="172" cm="1">
        <f t="array" aca="1" ref="CV90" ca="1">IF(OR($D90&lt;&gt;"Serviço",AND(AUTOEVENTO="Manual",$M90=$A$15),$M90&gt;(ROW(PLE.lastrow)-ROW(PLE.firstrow))),0,
           IF(OFFSET(PLE!$G$15,$M90-$A$15,CV$13)="",10^12,OFFSET(PLE!$G$15,$M90-$A$15,CV$13)))</f>
        <v>1000000000000</v>
      </c>
      <c r="CW90" s="172" cm="1">
        <f t="array" aca="1" ref="CW90" ca="1">IF(OR($D90&lt;&gt;"Serviço",AND(AUTOEVENTO="Manual",$M90=$A$15),$M90&gt;(ROW(PLE.lastrow)-ROW(PLE.firstrow))),0,
           IF(OFFSET(PLE!$G$15,$M90-$A$15,CW$13)="",10^12,OFFSET(PLE!$G$15,$M90-$A$15,CW$13)))</f>
        <v>1000000000000</v>
      </c>
      <c r="CX90" s="172" cm="1">
        <f t="array" aca="1" ref="CX90" ca="1">IF(OR($D90&lt;&gt;"Serviço",AND(AUTOEVENTO="Manual",$M90=$A$15),$M90&gt;(ROW(PLE.lastrow)-ROW(PLE.firstrow))),0,
           IF(OFFSET(PLE!$G$15,$M90-$A$15,CX$13)="",10^12,OFFSET(PLE!$G$15,$M90-$A$15,CX$13)))</f>
        <v>1000000000000</v>
      </c>
      <c r="CY90" s="172" cm="1">
        <f t="array" aca="1" ref="CY90" ca="1">IF(OR($D90&lt;&gt;"Serviço",AND(AUTOEVENTO="Manual",$M90=$A$15),$M90&gt;(ROW(PLE.lastrow)-ROW(PLE.firstrow))),0,
           IF(OFFSET(PLE!$G$15,$M90-$A$15,CY$13)="",10^12,OFFSET(PLE!$G$15,$M90-$A$15,CY$13)))</f>
        <v>1000000000000</v>
      </c>
      <c r="CZ90" s="172" cm="1">
        <f t="array" aca="1" ref="CZ90" ca="1">IF(OR($D90&lt;&gt;"Serviço",AND(AUTOEVENTO="Manual",$M90=$A$15),$M90&gt;(ROW(PLE.lastrow)-ROW(PLE.firstrow))),0,
           IF(OFFSET(PLE!$G$15,$M90-$A$15,CZ$13)="",10^12,OFFSET(PLE!$G$15,$M90-$A$15,CZ$13)))</f>
        <v>1000000000000</v>
      </c>
      <c r="DA90" s="172" cm="1">
        <f t="array" aca="1" ref="DA90" ca="1">IF(OR($D90&lt;&gt;"Serviço",AND(AUTOEVENTO="Manual",$M90=$A$15),$M90&gt;(ROW(PLE.lastrow)-ROW(PLE.firstrow))),0,
           IF(OFFSET(PLE!$G$15,$M90-$A$15,DA$13)="",10^12,OFFSET(PLE!$G$15,$M90-$A$15,DA$13)))</f>
        <v>1000000000000</v>
      </c>
      <c r="DB90" s="172" cm="1">
        <f t="array" aca="1" ref="DB90" ca="1">IF(OR($D90&lt;&gt;"Serviço",AND(AUTOEVENTO="Manual",$M90=$A$15),$M90&gt;(ROW(PLE.lastrow)-ROW(PLE.firstrow))),0,
           IF(OFFSET(PLE!$G$15,$M90-$A$15,DB$13)="",10^12,OFFSET(PLE!$G$15,$M90-$A$15,DB$13)))</f>
        <v>1000000000000</v>
      </c>
      <c r="DC90" s="172" cm="1">
        <f t="array" aca="1" ref="DC90" ca="1">IF(OR($D90&lt;&gt;"Serviço",AND(AUTOEVENTO="Manual",$M90=$A$15),$M90&gt;(ROW(PLE.lastrow)-ROW(PLE.firstrow))),0,
           IF(OFFSET(PLE!$G$15,$M90-$A$15,DC$13)="",10^12,OFFSET(PLE!$G$15,$M90-$A$15,DC$13)))</f>
        <v>1000000000000</v>
      </c>
      <c r="DD90" s="172" cm="1">
        <f t="array" aca="1" ref="DD90" ca="1">IF(OR($D90&lt;&gt;"Serviço",AND(AUTOEVENTO="Manual",$M90=$A$15),$M90&gt;(ROW(PLE.lastrow)-ROW(PLE.firstrow))),0,
           IF(OFFSET(PLE!$G$15,$M90-$A$15,DD$13)="",10^12,OFFSET(PLE!$G$15,$M90-$A$15,DD$13)))</f>
        <v>1000000000000</v>
      </c>
      <c r="DE90" s="172" cm="1">
        <f t="array" aca="1" ref="DE90" ca="1">IF(OR($D90&lt;&gt;"Serviço",AND(AUTOEVENTO="Manual",$M90=$A$15),$M90&gt;(ROW(PLE.lastrow)-ROW(PLE.firstrow))),0,
           IF(OFFSET(PLE!$G$15,$M90-$A$15,DE$13)="",10^12,OFFSET(PLE!$G$15,$M90-$A$15,DE$13)))</f>
        <v>1000000000000</v>
      </c>
      <c r="DF90" s="172" cm="1">
        <f t="array" aca="1" ref="DF90" ca="1">IF(OR($D90&lt;&gt;"Serviço",AND(AUTOEVENTO="Manual",$M90=$A$15),$M90&gt;(ROW(PLE.lastrow)-ROW(PLE.firstrow))),0,
           IF(OFFSET(PLE!$G$15,$M90-$A$15,DF$13)="",10^12,OFFSET(PLE!$G$15,$M90-$A$15,DF$13)))</f>
        <v>1000000000000</v>
      </c>
      <c r="DG90" s="172" cm="1">
        <f t="array" aca="1" ref="DG90" ca="1">IF(OR($D90&lt;&gt;"Serviço",AND(AUTOEVENTO="Manual",$M90=$A$15),$M90&gt;(ROW(PLE.lastrow)-ROW(PLE.firstrow))),0,
           IF(OFFSET(PLE!$G$15,$M90-$A$15,DG$13)="",10^12,OFFSET(PLE!$G$15,$M90-$A$15,DG$13)))</f>
        <v>1000000000000</v>
      </c>
      <c r="DH90" s="172" cm="1">
        <f t="array" aca="1" ref="DH90" ca="1">IF(OR($D90&lt;&gt;"Serviço",AND(AUTOEVENTO="Manual",$M90=$A$15),$M90&gt;(ROW(PLE.lastrow)-ROW(PLE.firstrow))),0,
           IF(OFFSET(PLE!$G$15,$M90-$A$15,DH$13)="",10^12,OFFSET(PLE!$G$15,$M90-$A$15,DH$13)))</f>
        <v>1000000000000</v>
      </c>
      <c r="DI90" s="172" cm="1">
        <f t="array" aca="1" ref="DI90" ca="1">IF(OR($D90&lt;&gt;"Serviço",AND(AUTOEVENTO="Manual",$M90=$A$15),$M90&gt;(ROW(PLE.lastrow)-ROW(PLE.firstrow))),0,
           IF(OFFSET(PLE!$G$15,$M90-$A$15,DI$13)="",10^12,OFFSET(PLE!$G$15,$M90-$A$15,DI$13)))</f>
        <v>1000000000000</v>
      </c>
      <c r="DJ90" s="172" cm="1">
        <f t="array" aca="1" ref="DJ90" ca="1">IF(OR($D90&lt;&gt;"Serviço",AND(AUTOEVENTO="Manual",$M90=$A$15),$M90&gt;(ROW(PLE.lastrow)-ROW(PLE.firstrow))),0,
           IF(OFFSET(PLE!$G$15,$M90-$A$15,DJ$13)="",10^12,OFFSET(PLE!$G$15,$M90-$A$15,DJ$13)))</f>
        <v>1000000000000</v>
      </c>
      <c r="DK90" s="172" cm="1">
        <f t="array" aca="1" ref="DK90" ca="1">IF(OR($D90&lt;&gt;"Serviço",AND(AUTOEVENTO="Manual",$M90=$A$15),$M90&gt;(ROW(PLE.lastrow)-ROW(PLE.firstrow))),0,
           IF(OFFSET(PLE!$G$15,$M90-$A$15,DK$13)="",10^12,OFFSET(PLE!$G$15,$M90-$A$15,DK$13)))</f>
        <v>1000000000000</v>
      </c>
      <c r="DL90" s="172" cm="1">
        <f t="array" aca="1" ref="DL90" ca="1">IF(OR($D90&lt;&gt;"Serviço",AND(AUTOEVENTO="Manual",$M90=$A$15),$M90&gt;(ROW(PLE.lastrow)-ROW(PLE.firstrow))),0,
           IF(OFFSET(PLE!$G$15,$M90-$A$15,DL$13)="",10^12,OFFSET(PLE!$G$15,$M90-$A$15,DL$13)))</f>
        <v>1000000000000</v>
      </c>
      <c r="DM90" s="172" cm="1">
        <f t="array" aca="1" ref="DM90" ca="1">IF(OR($D90&lt;&gt;"Serviço",AND(AUTOEVENTO="Manual",$M90=$A$15),$M90&gt;(ROW(PLE.lastrow)-ROW(PLE.firstrow))),0,
           IF(OFFSET(PLE!$G$15,$M90-$A$15,DM$13)="",10^12,OFFSET(PLE!$G$15,$M90-$A$15,DM$13)))</f>
        <v>1000000000000</v>
      </c>
      <c r="DN90" s="172" cm="1">
        <f t="array" aca="1" ref="DN90" ca="1">IF(OR($D90&lt;&gt;"Serviço",AND(AUTOEVENTO="Manual",$M90=$A$15),$M90&gt;(ROW(PLE.lastrow)-ROW(PLE.firstrow))),0,
           IF(OFFSET(PLE!$G$15,$M90-$A$15,DN$13)="",10^12,OFFSET(PLE!$G$15,$M90-$A$15,DN$13)))</f>
        <v>1000000000000</v>
      </c>
      <c r="DO90" s="172" cm="1">
        <f t="array" aca="1" ref="DO90" ca="1">IF(OR($D90&lt;&gt;"Serviço",AND(AUTOEVENTO="Manual",$M90=$A$15),$M90&gt;(ROW(PLE.lastrow)-ROW(PLE.firstrow))),0,
           IF(OFFSET(PLE!$G$15,$M90-$A$15,DO$13)="",10^12,OFFSET(PLE!$G$15,$M90-$A$15,DO$13)))</f>
        <v>1000000000000</v>
      </c>
      <c r="DP90" s="172" cm="1">
        <f t="array" aca="1" ref="DP90" ca="1">IF(OR($D90&lt;&gt;"Serviço",AND(AUTOEVENTO="Manual",$M90=$A$15),$M90&gt;(ROW(PLE.lastrow)-ROW(PLE.firstrow))),0,
           IF(OFFSET(PLE!$G$15,$M90-$A$15,DP$13)="",10^12,OFFSET(PLE!$G$15,$M90-$A$15,DP$13)))</f>
        <v>1000000000000</v>
      </c>
      <c r="DQ90" s="172" cm="1">
        <f t="array" aca="1" ref="DQ90" ca="1">IF(OR($D90&lt;&gt;"Serviço",AND(AUTOEVENTO="Manual",$M90=$A$15),$M90&gt;(ROW(PLE.lastrow)-ROW(PLE.firstrow))),0,
           IF(OFFSET(PLE!$G$15,$M90-$A$15,DQ$13)="",10^12,OFFSET(PLE!$G$15,$M90-$A$15,DQ$13)))</f>
        <v>1000000000000</v>
      </c>
      <c r="DR90" s="172" cm="1">
        <f t="array" aca="1" ref="DR90" ca="1">IF(OR($D90&lt;&gt;"Serviço",AND(AUTOEVENTO="Manual",$M90=$A$15),$M90&gt;(ROW(PLE.lastrow)-ROW(PLE.firstrow))),0,
           IF(OFFSET(PLE!$G$15,$M90-$A$15,DR$13)="",10^12,OFFSET(PLE!$G$15,$M90-$A$15,DR$13)))</f>
        <v>1000000000000</v>
      </c>
      <c r="DS90" s="172" cm="1">
        <f t="array" aca="1" ref="DS90" ca="1">IF(OR($D90&lt;&gt;"Serviço",AND(AUTOEVENTO="Manual",$M90=$A$15),$M90&gt;(ROW(PLE.lastrow)-ROW(PLE.firstrow))),0,
           IF(OFFSET(PLE!$G$15,$M90-$A$15,DS$13)="",10^12,OFFSET(PLE!$G$15,$M90-$A$15,DS$13)))</f>
        <v>1000000000000</v>
      </c>
    </row>
    <row r="91" spans="1:123" ht="12.75" x14ac:dyDescent="0.2">
      <c r="A91" s="7">
        <f t="shared" ca="1" si="13"/>
        <v>0</v>
      </c>
      <c r="B91" s="7">
        <f ca="1">OFFSET(ORÇAMENTO!C$15,$L91,0)</f>
        <v>2</v>
      </c>
      <c r="C91" s="7" t="str">
        <f ca="1">OFFSET(ORÇAMENTO!L$15,$L91,0)</f>
        <v>F</v>
      </c>
      <c r="D91" s="116" t="str">
        <f ca="1">OFFSET(ORÇAMENTO!N$15,$L91,0)</f>
        <v>Nível 2</v>
      </c>
      <c r="E91" s="117" t="str">
        <f ca="1">OFFSET(ORÇAMENTO!O$15,$L91,0)</f>
        <v>7.2.</v>
      </c>
      <c r="F91" s="163" t="str">
        <f ca="1">OFFSET(ORÇAMENTO!R$15,$L91,0)</f>
        <v>REVESTIMENTOS CERÂMICOS</v>
      </c>
      <c r="G91" s="164" t="str">
        <f ca="1">IF($D91&lt;&gt;"Serviço","",OFFSET(ORÇAMENTO!S$15,$L91,0))</f>
        <v/>
      </c>
      <c r="H91" s="122" cm="1">
        <f t="array" aca="1" ref="H91" ca="1">IF($D91&lt;&gt;"Serviço",0,IF(ACOMPANHAMENTO="BM",ROUND(OFFSET(ORÇAMENTO!AJ$15,$L91,0),15-13*ORÇAMENTO!$AF$7),IF(IFERROR(CÁLCULO.FrentesPreenchidas,0)=0,0,SUM(ROUND(OFFSET($P91,0,1,1,CÁLCULO.FrentesPreenchidas),15-13*ORÇAMENTO!$AF$7)))))</f>
        <v>0</v>
      </c>
      <c r="I91" s="468"/>
      <c r="J91" s="651" t="str" cm="1">
        <f t="array" aca="1" ref="J91" ca="1">IF(OR(B91&lt;&gt;"S",CÁLCULO.FrentesPreenchidas=0),"",IF(AND(ACOMPANHAMENTO="PLE",AUTOEVENTO="Manual",OR(H91&gt;0,ORÇAMENTO!AC91="QUANT."),OR(K91="",M91=0,N91="")),"►E",IF(AND(ACOMPANHAMENTO="PLE",ORÇAMENTO!AC91="QUANT."),"►Q",IF(AND(ACOMPANHAMENTO="PLE",H91&lt;&gt;SUMPRODUCT(($Q$1:$AQ$1=1)*ROUND(Q91:AQ91,15))),"►S",IF(AND(COUNTIF($P$11:$AQ$11,"▼")=0,H91&gt;0,I91=""),"◄M","")))))</f>
        <v/>
      </c>
      <c r="K91" s="652"/>
      <c r="L91" s="165">
        <f t="shared" ca="1" si="14"/>
        <v>76</v>
      </c>
      <c r="M91" s="166" t="str">
        <f ca="1">IF($D91&lt;&gt;"Serviço","",
          IF(AUTOEVENTO="manual",$A91,
                IF(ISERROR(MATCH($A91,$A$15:OFFSET($A91,-1,0),0)),MAX($M$15:OFFSET(M91,-1,0))+1,
                      INDEX($M$15:OFFSET(M91,-1,0),MATCH($A91,$A$15:OFFSET($A91,-1,0),0)))))</f>
        <v/>
      </c>
      <c r="N91" s="167" t="str">
        <f ca="1">IF($D91&lt;&gt;"Serviço","",
         IF(AUTOEVENTO="Manual",
                IF($A91=0,"&lt;-- defina o número do agrupador",
                       OFFSET(EVENTOS!$D$15,$A91-$A$15,0)),
                OFFSET($F$15,$A91,0)))</f>
        <v/>
      </c>
      <c r="O91" s="168"/>
      <c r="Q91" s="168"/>
      <c r="R91" s="169"/>
      <c r="S91" s="169"/>
      <c r="T91" s="169"/>
      <c r="U91" s="169"/>
      <c r="V91" s="169"/>
      <c r="W91" s="169"/>
      <c r="X91" s="169"/>
      <c r="Y91" s="169"/>
      <c r="Z91" s="170"/>
      <c r="AA91" s="169"/>
      <c r="AB91" s="169"/>
      <c r="AC91" s="169"/>
      <c r="AD91" s="169"/>
      <c r="AE91" s="169"/>
      <c r="AF91" s="169"/>
      <c r="AG91" s="169"/>
      <c r="AH91" s="170"/>
      <c r="AI91" s="169"/>
      <c r="AJ91" s="169"/>
      <c r="AK91" s="169"/>
      <c r="AL91" s="169"/>
      <c r="AM91" s="169"/>
      <c r="AN91" s="169"/>
      <c r="AO91" s="169"/>
      <c r="AP91" s="170"/>
      <c r="AR91" s="453">
        <f ca="1">IF(AND($D91="Serviço",AR$12&lt;&gt;0,$H91&gt;0,OR(AUTOEVENTO&lt;&gt;"manual",$M91&lt;&gt;$A$15)),
        IF(Import.TipoArredondamento&lt;&gt;"TransfereGOV",
              ROUND(OFFSET($P91,0,AR$13),15-13*ORÇAMENTO!$AF$7)/$H91*OFFSET(ORÇAMENTO!$X$15,ROW(AR91)-ROW(AR$15),0),
              ROUND(ROUND(OFFSET($P91,0,AR$13),15-13*ORÇAMENTO!$AF$7)*OFFSET(ORÇAMENTO!$W$15,ROW(AR91)-ROW(AR$15),0),15-13*ORÇAMENTO!$AF$11)),
         0)</f>
        <v>0</v>
      </c>
      <c r="AS91" s="453">
        <f ca="1">IF(AND($D91="Serviço",AS$12&lt;&gt;0,$H91&gt;0,OR(AUTOEVENTO&lt;&gt;"manual",$M91&lt;&gt;$A$15)),
        IF(Import.TipoArredondamento&lt;&gt;"TransfereGOV",
              ROUND(OFFSET($P91,0,AS$13),15-13*ORÇAMENTO!$AF$7)/$H91*OFFSET(ORÇAMENTO!$X$15,ROW(AS91)-ROW(AS$15),0),
              ROUND(ROUND(OFFSET($P91,0,AS$13),15-13*ORÇAMENTO!$AF$7)*OFFSET(ORÇAMENTO!$W$15,ROW(AS91)-ROW(AS$15),0),15-13*ORÇAMENTO!$AF$11)),
         0)</f>
        <v>0</v>
      </c>
      <c r="AT91" s="453">
        <f ca="1">IF(AND($D91="Serviço",AT$12&lt;&gt;0,$H91&gt;0,OR(AUTOEVENTO&lt;&gt;"manual",$M91&lt;&gt;$A$15)),
        IF(Import.TipoArredondamento&lt;&gt;"TransfereGOV",
              ROUND(OFFSET($P91,0,AT$13),15-13*ORÇAMENTO!$AF$7)/$H91*OFFSET(ORÇAMENTO!$X$15,ROW(AT91)-ROW(AT$15),0),
              ROUND(ROUND(OFFSET($P91,0,AT$13),15-13*ORÇAMENTO!$AF$7)*OFFSET(ORÇAMENTO!$W$15,ROW(AT91)-ROW(AT$15),0),15-13*ORÇAMENTO!$AF$11)),
         0)</f>
        <v>0</v>
      </c>
      <c r="AU91" s="453">
        <f ca="1">IF(AND($D91="Serviço",AU$12&lt;&gt;0,$H91&gt;0,OR(AUTOEVENTO&lt;&gt;"manual",$M91&lt;&gt;$A$15)),
        IF(Import.TipoArredondamento&lt;&gt;"TransfereGOV",
              ROUND(OFFSET($P91,0,AU$13),15-13*ORÇAMENTO!$AF$7)/$H91*OFFSET(ORÇAMENTO!$X$15,ROW(AU91)-ROW(AU$15),0),
              ROUND(ROUND(OFFSET($P91,0,AU$13),15-13*ORÇAMENTO!$AF$7)*OFFSET(ORÇAMENTO!$W$15,ROW(AU91)-ROW(AU$15),0),15-13*ORÇAMENTO!$AF$11)),
         0)</f>
        <v>0</v>
      </c>
      <c r="AV91" s="453">
        <f ca="1">IF(AND($D91="Serviço",AV$12&lt;&gt;0,$H91&gt;0,OR(AUTOEVENTO&lt;&gt;"manual",$M91&lt;&gt;$A$15)),
        IF(Import.TipoArredondamento&lt;&gt;"TransfereGOV",
              ROUND(OFFSET($P91,0,AV$13),15-13*ORÇAMENTO!$AF$7)/$H91*OFFSET(ORÇAMENTO!$X$15,ROW(AV91)-ROW(AV$15),0),
              ROUND(ROUND(OFFSET($P91,0,AV$13),15-13*ORÇAMENTO!$AF$7)*OFFSET(ORÇAMENTO!$W$15,ROW(AV91)-ROW(AV$15),0),15-13*ORÇAMENTO!$AF$11)),
         0)</f>
        <v>0</v>
      </c>
      <c r="AW91" s="453">
        <f ca="1">IF(AND($D91="Serviço",AW$12&lt;&gt;0,$H91&gt;0,OR(AUTOEVENTO&lt;&gt;"manual",$M91&lt;&gt;$A$15)),
        IF(Import.TipoArredondamento&lt;&gt;"TransfereGOV",
              ROUND(OFFSET($P91,0,AW$13),15-13*ORÇAMENTO!$AF$7)/$H91*OFFSET(ORÇAMENTO!$X$15,ROW(AW91)-ROW(AW$15),0),
              ROUND(ROUND(OFFSET($P91,0,AW$13),15-13*ORÇAMENTO!$AF$7)*OFFSET(ORÇAMENTO!$W$15,ROW(AW91)-ROW(AW$15),0),15-13*ORÇAMENTO!$AF$11)),
         0)</f>
        <v>0</v>
      </c>
      <c r="AX91" s="453">
        <f ca="1">IF(AND($D91="Serviço",AX$12&lt;&gt;0,$H91&gt;0,OR(AUTOEVENTO&lt;&gt;"manual",$M91&lt;&gt;$A$15)),
        IF(Import.TipoArredondamento&lt;&gt;"TransfereGOV",
              ROUND(OFFSET($P91,0,AX$13),15-13*ORÇAMENTO!$AF$7)/$H91*OFFSET(ORÇAMENTO!$X$15,ROW(AX91)-ROW(AX$15),0),
              ROUND(ROUND(OFFSET($P91,0,AX$13),15-13*ORÇAMENTO!$AF$7)*OFFSET(ORÇAMENTO!$W$15,ROW(AX91)-ROW(AX$15),0),15-13*ORÇAMENTO!$AF$11)),
         0)</f>
        <v>0</v>
      </c>
      <c r="AY91" s="453">
        <f ca="1">IF(AND($D91="Serviço",AY$12&lt;&gt;0,$H91&gt;0,OR(AUTOEVENTO&lt;&gt;"manual",$M91&lt;&gt;$A$15)),
        IF(Import.TipoArredondamento&lt;&gt;"TransfereGOV",
              ROUND(OFFSET($P91,0,AY$13),15-13*ORÇAMENTO!$AF$7)/$H91*OFFSET(ORÇAMENTO!$X$15,ROW(AY91)-ROW(AY$15),0),
              ROUND(ROUND(OFFSET($P91,0,AY$13),15-13*ORÇAMENTO!$AF$7)*OFFSET(ORÇAMENTO!$W$15,ROW(AY91)-ROW(AY$15),0),15-13*ORÇAMENTO!$AF$11)),
         0)</f>
        <v>0</v>
      </c>
      <c r="AZ91" s="453">
        <f ca="1">IF(AND($D91="Serviço",AZ$12&lt;&gt;0,$H91&gt;0,OR(AUTOEVENTO&lt;&gt;"manual",$M91&lt;&gt;$A$15)),
        IF(Import.TipoArredondamento&lt;&gt;"TransfereGOV",
              ROUND(OFFSET($P91,0,AZ$13),15-13*ORÇAMENTO!$AF$7)/$H91*OFFSET(ORÇAMENTO!$X$15,ROW(AZ91)-ROW(AZ$15),0),
              ROUND(ROUND(OFFSET($P91,0,AZ$13),15-13*ORÇAMENTO!$AF$7)*OFFSET(ORÇAMENTO!$W$15,ROW(AZ91)-ROW(AZ$15),0),15-13*ORÇAMENTO!$AF$11)),
         0)</f>
        <v>0</v>
      </c>
      <c r="BA91" s="453">
        <f ca="1">IF(AND($D91="Serviço",BA$12&lt;&gt;0,$H91&gt;0,OR(AUTOEVENTO&lt;&gt;"manual",$M91&lt;&gt;$A$15)),
        IF(Import.TipoArredondamento&lt;&gt;"TransfereGOV",
              ROUND(OFFSET($P91,0,BA$13),15-13*ORÇAMENTO!$AF$7)/$H91*OFFSET(ORÇAMENTO!$X$15,ROW(BA91)-ROW(BA$15),0),
              ROUND(ROUND(OFFSET($P91,0,BA$13),15-13*ORÇAMENTO!$AF$7)*OFFSET(ORÇAMENTO!$W$15,ROW(BA91)-ROW(BA$15),0),15-13*ORÇAMENTO!$AF$11)),
         0)</f>
        <v>0</v>
      </c>
      <c r="BB91" s="453">
        <f ca="1">IF(AND($D91="Serviço",BB$12&lt;&gt;0,$H91&gt;0,OR(AUTOEVENTO&lt;&gt;"manual",$M91&lt;&gt;$A$15)),
        IF(Import.TipoArredondamento&lt;&gt;"TransfereGOV",
              ROUND(OFFSET($P91,0,BB$13),15-13*ORÇAMENTO!$AF$7)/$H91*OFFSET(ORÇAMENTO!$X$15,ROW(BB91)-ROW(BB$15),0),
              ROUND(ROUND(OFFSET($P91,0,BB$13),15-13*ORÇAMENTO!$AF$7)*OFFSET(ORÇAMENTO!$W$15,ROW(BB91)-ROW(BB$15),0),15-13*ORÇAMENTO!$AF$11)),
         0)</f>
        <v>0</v>
      </c>
      <c r="BC91" s="453">
        <f ca="1">IF(AND($D91="Serviço",BC$12&lt;&gt;0,$H91&gt;0,OR(AUTOEVENTO&lt;&gt;"manual",$M91&lt;&gt;$A$15)),
        IF(Import.TipoArredondamento&lt;&gt;"TransfereGOV",
              ROUND(OFFSET($P91,0,BC$13),15-13*ORÇAMENTO!$AF$7)/$H91*OFFSET(ORÇAMENTO!$X$15,ROW(BC91)-ROW(BC$15),0),
              ROUND(ROUND(OFFSET($P91,0,BC$13),15-13*ORÇAMENTO!$AF$7)*OFFSET(ORÇAMENTO!$W$15,ROW(BC91)-ROW(BC$15),0),15-13*ORÇAMENTO!$AF$11)),
         0)</f>
        <v>0</v>
      </c>
      <c r="BD91" s="453">
        <f ca="1">IF(AND($D91="Serviço",BD$12&lt;&gt;0,$H91&gt;0,OR(AUTOEVENTO&lt;&gt;"manual",$M91&lt;&gt;$A$15)),
        IF(Import.TipoArredondamento&lt;&gt;"TransfereGOV",
              ROUND(OFFSET($P91,0,BD$13),15-13*ORÇAMENTO!$AF$7)/$H91*OFFSET(ORÇAMENTO!$X$15,ROW(BD91)-ROW(BD$15),0),
              ROUND(ROUND(OFFSET($P91,0,BD$13),15-13*ORÇAMENTO!$AF$7)*OFFSET(ORÇAMENTO!$W$15,ROW(BD91)-ROW(BD$15),0),15-13*ORÇAMENTO!$AF$11)),
         0)</f>
        <v>0</v>
      </c>
      <c r="BE91" s="453">
        <f ca="1">IF(AND($D91="Serviço",BE$12&lt;&gt;0,$H91&gt;0,OR(AUTOEVENTO&lt;&gt;"manual",$M91&lt;&gt;$A$15)),
        IF(Import.TipoArredondamento&lt;&gt;"TransfereGOV",
              ROUND(OFFSET($P91,0,BE$13),15-13*ORÇAMENTO!$AF$7)/$H91*OFFSET(ORÇAMENTO!$X$15,ROW(BE91)-ROW(BE$15),0),
              ROUND(ROUND(OFFSET($P91,0,BE$13),15-13*ORÇAMENTO!$AF$7)*OFFSET(ORÇAMENTO!$W$15,ROW(BE91)-ROW(BE$15),0),15-13*ORÇAMENTO!$AF$11)),
         0)</f>
        <v>0</v>
      </c>
      <c r="BF91" s="453">
        <f ca="1">IF(AND($D91="Serviço",BF$12&lt;&gt;0,$H91&gt;0,OR(AUTOEVENTO&lt;&gt;"manual",$M91&lt;&gt;$A$15)),
        IF(Import.TipoArredondamento&lt;&gt;"TransfereGOV",
              ROUND(OFFSET($P91,0,BF$13),15-13*ORÇAMENTO!$AF$7)/$H91*OFFSET(ORÇAMENTO!$X$15,ROW(BF91)-ROW(BF$15),0),
              ROUND(ROUND(OFFSET($P91,0,BF$13),15-13*ORÇAMENTO!$AF$7)*OFFSET(ORÇAMENTO!$W$15,ROW(BF91)-ROW(BF$15),0),15-13*ORÇAMENTO!$AF$11)),
         0)</f>
        <v>0</v>
      </c>
      <c r="BG91" s="453">
        <f ca="1">IF(AND($D91="Serviço",BG$12&lt;&gt;0,$H91&gt;0,OR(AUTOEVENTO&lt;&gt;"manual",$M91&lt;&gt;$A$15)),
        IF(Import.TipoArredondamento&lt;&gt;"TransfereGOV",
              ROUND(OFFSET($P91,0,BG$13),15-13*ORÇAMENTO!$AF$7)/$H91*OFFSET(ORÇAMENTO!$X$15,ROW(BG91)-ROW(BG$15),0),
              ROUND(ROUND(OFFSET($P91,0,BG$13),15-13*ORÇAMENTO!$AF$7)*OFFSET(ORÇAMENTO!$W$15,ROW(BG91)-ROW(BG$15),0),15-13*ORÇAMENTO!$AF$11)),
         0)</f>
        <v>0</v>
      </c>
      <c r="BH91" s="453">
        <f ca="1">IF(AND($D91="Serviço",BH$12&lt;&gt;0,$H91&gt;0,OR(AUTOEVENTO&lt;&gt;"manual",$M91&lt;&gt;$A$15)),
        IF(Import.TipoArredondamento&lt;&gt;"TransfereGOV",
              ROUND(OFFSET($P91,0,BH$13),15-13*ORÇAMENTO!$AF$7)/$H91*OFFSET(ORÇAMENTO!$X$15,ROW(BH91)-ROW(BH$15),0),
              ROUND(ROUND(OFFSET($P91,0,BH$13),15-13*ORÇAMENTO!$AF$7)*OFFSET(ORÇAMENTO!$W$15,ROW(BH91)-ROW(BH$15),0),15-13*ORÇAMENTO!$AF$11)),
         0)</f>
        <v>0</v>
      </c>
      <c r="BI91" s="453">
        <f ca="1">IF(AND($D91="Serviço",BI$12&lt;&gt;0,$H91&gt;0,OR(AUTOEVENTO&lt;&gt;"manual",$M91&lt;&gt;$A$15)),
        IF(Import.TipoArredondamento&lt;&gt;"TransfereGOV",
              ROUND(OFFSET($P91,0,BI$13),15-13*ORÇAMENTO!$AF$7)/$H91*OFFSET(ORÇAMENTO!$X$15,ROW(BI91)-ROW(BI$15),0),
              ROUND(ROUND(OFFSET($P91,0,BI$13),15-13*ORÇAMENTO!$AF$7)*OFFSET(ORÇAMENTO!$W$15,ROW(BI91)-ROW(BI$15),0),15-13*ORÇAMENTO!$AF$11)),
         0)</f>
        <v>0</v>
      </c>
      <c r="BJ91" s="453">
        <f ca="1">IF(AND($D91="Serviço",BJ$12&lt;&gt;0,$H91&gt;0,OR(AUTOEVENTO&lt;&gt;"manual",$M91&lt;&gt;$A$15)),
        IF(Import.TipoArredondamento&lt;&gt;"TransfereGOV",
              ROUND(OFFSET($P91,0,BJ$13),15-13*ORÇAMENTO!$AF$7)/$H91*OFFSET(ORÇAMENTO!$X$15,ROW(BJ91)-ROW(BJ$15),0),
              ROUND(ROUND(OFFSET($P91,0,BJ$13),15-13*ORÇAMENTO!$AF$7)*OFFSET(ORÇAMENTO!$W$15,ROW(BJ91)-ROW(BJ$15),0),15-13*ORÇAMENTO!$AF$11)),
         0)</f>
        <v>0</v>
      </c>
      <c r="BK91" s="453">
        <f ca="1">IF(AND($D91="Serviço",BK$12&lt;&gt;0,$H91&gt;0,OR(AUTOEVENTO&lt;&gt;"manual",$M91&lt;&gt;$A$15)),
        IF(Import.TipoArredondamento&lt;&gt;"TransfereGOV",
              ROUND(OFFSET($P91,0,BK$13),15-13*ORÇAMENTO!$AF$7)/$H91*OFFSET(ORÇAMENTO!$X$15,ROW(BK91)-ROW(BK$15),0),
              ROUND(ROUND(OFFSET($P91,0,BK$13),15-13*ORÇAMENTO!$AF$7)*OFFSET(ORÇAMENTO!$W$15,ROW(BK91)-ROW(BK$15),0),15-13*ORÇAMENTO!$AF$11)),
         0)</f>
        <v>0</v>
      </c>
      <c r="BL91" s="453">
        <f ca="1">IF(AND($D91="Serviço",BL$12&lt;&gt;0,$H91&gt;0,OR(AUTOEVENTO&lt;&gt;"manual",$M91&lt;&gt;$A$15)),
        IF(Import.TipoArredondamento&lt;&gt;"TransfereGOV",
              ROUND(OFFSET($P91,0,BL$13),15-13*ORÇAMENTO!$AF$7)/$H91*OFFSET(ORÇAMENTO!$X$15,ROW(BL91)-ROW(BL$15),0),
              ROUND(ROUND(OFFSET($P91,0,BL$13),15-13*ORÇAMENTO!$AF$7)*OFFSET(ORÇAMENTO!$W$15,ROW(BL91)-ROW(BL$15),0),15-13*ORÇAMENTO!$AF$11)),
         0)</f>
        <v>0</v>
      </c>
      <c r="BM91" s="453">
        <f ca="1">IF(AND($D91="Serviço",BM$12&lt;&gt;0,$H91&gt;0,OR(AUTOEVENTO&lt;&gt;"manual",$M91&lt;&gt;$A$15)),
        IF(Import.TipoArredondamento&lt;&gt;"TransfereGOV",
              ROUND(OFFSET($P91,0,BM$13),15-13*ORÇAMENTO!$AF$7)/$H91*OFFSET(ORÇAMENTO!$X$15,ROW(BM91)-ROW(BM$15),0),
              ROUND(ROUND(OFFSET($P91,0,BM$13),15-13*ORÇAMENTO!$AF$7)*OFFSET(ORÇAMENTO!$W$15,ROW(BM91)-ROW(BM$15),0),15-13*ORÇAMENTO!$AF$11)),
         0)</f>
        <v>0</v>
      </c>
      <c r="BN91" s="453">
        <f ca="1">IF(AND($D91="Serviço",BN$12&lt;&gt;0,$H91&gt;0,OR(AUTOEVENTO&lt;&gt;"manual",$M91&lt;&gt;$A$15)),
        IF(Import.TipoArredondamento&lt;&gt;"TransfereGOV",
              ROUND(OFFSET($P91,0,BN$13),15-13*ORÇAMENTO!$AF$7)/$H91*OFFSET(ORÇAMENTO!$X$15,ROW(BN91)-ROW(BN$15),0),
              ROUND(ROUND(OFFSET($P91,0,BN$13),15-13*ORÇAMENTO!$AF$7)*OFFSET(ORÇAMENTO!$W$15,ROW(BN91)-ROW(BN$15),0),15-13*ORÇAMENTO!$AF$11)),
         0)</f>
        <v>0</v>
      </c>
      <c r="BO91" s="453">
        <f ca="1">IF(AND($D91="Serviço",BO$12&lt;&gt;0,$H91&gt;0,OR(AUTOEVENTO&lt;&gt;"manual",$M91&lt;&gt;$A$15)),
        IF(Import.TipoArredondamento&lt;&gt;"TransfereGOV",
              ROUND(OFFSET($P91,0,BO$13),15-13*ORÇAMENTO!$AF$7)/$H91*OFFSET(ORÇAMENTO!$X$15,ROW(BO91)-ROW(BO$15),0),
              ROUND(ROUND(OFFSET($P91,0,BO$13),15-13*ORÇAMENTO!$AF$7)*OFFSET(ORÇAMENTO!$W$15,ROW(BO91)-ROW(BO$15),0),15-13*ORÇAMENTO!$AF$11)),
         0)</f>
        <v>0</v>
      </c>
      <c r="BP91" s="453">
        <f ca="1">IF(AND($D91="Serviço",BP$12&lt;&gt;0,$H91&gt;0,OR(AUTOEVENTO&lt;&gt;"manual",$M91&lt;&gt;$A$15)),
        IF(Import.TipoArredondamento&lt;&gt;"TransfereGOV",
              ROUND(OFFSET($P91,0,BP$13),15-13*ORÇAMENTO!$AF$7)/$H91*OFFSET(ORÇAMENTO!$X$15,ROW(BP91)-ROW(BP$15),0),
              ROUND(ROUND(OFFSET($P91,0,BP$13),15-13*ORÇAMENTO!$AF$7)*OFFSET(ORÇAMENTO!$W$15,ROW(BP91)-ROW(BP$15),0),15-13*ORÇAMENTO!$AF$11)),
         0)</f>
        <v>0</v>
      </c>
      <c r="BQ91" s="453">
        <f ca="1">IF(AND($D91="Serviço",BQ$12&lt;&gt;0,$H91&gt;0,OR(AUTOEVENTO&lt;&gt;"manual",$M91&lt;&gt;$A$15)),
        IF(Import.TipoArredondamento&lt;&gt;"TransfereGOV",
              ROUND(OFFSET($P91,0,BQ$13),15-13*ORÇAMENTO!$AF$7)/$H91*OFFSET(ORÇAMENTO!$X$15,ROW(BQ91)-ROW(BQ$15),0),
              ROUND(ROUND(OFFSET($P91,0,BQ$13),15-13*ORÇAMENTO!$AF$7)*OFFSET(ORÇAMENTO!$W$15,ROW(BQ91)-ROW(BQ$15),0),15-13*ORÇAMENTO!$AF$11)),
         0)</f>
        <v>0</v>
      </c>
      <c r="BS91" s="171">
        <f ca="1">IF(OR($D91&lt;&gt;"Serviço",AND(AUTOEVENTO="Manual",$M91=$A$15)),0,
         IF(OFFSET(CRONOPLE!$F$15,$M91-$A$15,BS$13)=0,10^12,OFFSET(CRONOPLE!$F$15,$M91-$A$15,BS$13)))</f>
        <v>0</v>
      </c>
      <c r="BT91" s="171">
        <f ca="1">IF(OR($D91&lt;&gt;"Serviço",AND(AUTOEVENTO="Manual",$M91=$A$15)),0,
         IF(OFFSET(CRONOPLE!$F$15,$M91-$A$15,BT$13)=0,10^12,OFFSET(CRONOPLE!$F$15,$M91-$A$15,BT$13)))</f>
        <v>0</v>
      </c>
      <c r="BU91" s="171">
        <f ca="1">IF(OR($D91&lt;&gt;"Serviço",AND(AUTOEVENTO="Manual",$M91=$A$15)),0,
         IF(OFFSET(CRONOPLE!$F$15,$M91-$A$15,BU$13)=0,10^12,OFFSET(CRONOPLE!$F$15,$M91-$A$15,BU$13)))</f>
        <v>0</v>
      </c>
      <c r="BV91" s="171">
        <f ca="1">IF(OR($D91&lt;&gt;"Serviço",AND(AUTOEVENTO="Manual",$M91=$A$15)),0,
         IF(OFFSET(CRONOPLE!$F$15,$M91-$A$15,BV$13)=0,10^12,OFFSET(CRONOPLE!$F$15,$M91-$A$15,BV$13)))</f>
        <v>0</v>
      </c>
      <c r="BW91" s="171">
        <f ca="1">IF(OR($D91&lt;&gt;"Serviço",AND(AUTOEVENTO="Manual",$M91=$A$15)),0,
         IF(OFFSET(CRONOPLE!$F$15,$M91-$A$15,BW$13)=0,10^12,OFFSET(CRONOPLE!$F$15,$M91-$A$15,BW$13)))</f>
        <v>0</v>
      </c>
      <c r="BX91" s="171">
        <f ca="1">IF(OR($D91&lt;&gt;"Serviço",AND(AUTOEVENTO="Manual",$M91=$A$15)),0,
         IF(OFFSET(CRONOPLE!$F$15,$M91-$A$15,BX$13)=0,10^12,OFFSET(CRONOPLE!$F$15,$M91-$A$15,BX$13)))</f>
        <v>0</v>
      </c>
      <c r="BY91" s="171">
        <f ca="1">IF(OR($D91&lt;&gt;"Serviço",AND(AUTOEVENTO="Manual",$M91=$A$15)),0,
         IF(OFFSET(CRONOPLE!$F$15,$M91-$A$15,BY$13)=0,10^12,OFFSET(CRONOPLE!$F$15,$M91-$A$15,BY$13)))</f>
        <v>0</v>
      </c>
      <c r="BZ91" s="171">
        <f ca="1">IF(OR($D91&lt;&gt;"Serviço",AND(AUTOEVENTO="Manual",$M91=$A$15)),0,
         IF(OFFSET(CRONOPLE!$F$15,$M91-$A$15,BZ$13)=0,10^12,OFFSET(CRONOPLE!$F$15,$M91-$A$15,BZ$13)))</f>
        <v>0</v>
      </c>
      <c r="CA91" s="171">
        <f ca="1">IF(OR($D91&lt;&gt;"Serviço",AND(AUTOEVENTO="Manual",$M91=$A$15)),0,
         IF(OFFSET(CRONOPLE!$F$15,$M91-$A$15,CA$13)=0,10^12,OFFSET(CRONOPLE!$F$15,$M91-$A$15,CA$13)))</f>
        <v>0</v>
      </c>
      <c r="CB91" s="171">
        <f ca="1">IF(OR($D91&lt;&gt;"Serviço",AND(AUTOEVENTO="Manual",$M91=$A$15)),0,
         IF(OFFSET(CRONOPLE!$F$15,$M91-$A$15,CB$13)=0,10^12,OFFSET(CRONOPLE!$F$15,$M91-$A$15,CB$13)))</f>
        <v>0</v>
      </c>
      <c r="CC91" s="171">
        <f ca="1">IF(OR($D91&lt;&gt;"Serviço",AND(AUTOEVENTO="Manual",$M91=$A$15)),0,
         IF(OFFSET(CRONOPLE!$F$15,$M91-$A$15,CC$13)=0,10^12,OFFSET(CRONOPLE!$F$15,$M91-$A$15,CC$13)))</f>
        <v>0</v>
      </c>
      <c r="CD91" s="171">
        <f ca="1">IF(OR($D91&lt;&gt;"Serviço",AND(AUTOEVENTO="Manual",$M91=$A$15)),0,
         IF(OFFSET(CRONOPLE!$F$15,$M91-$A$15,CD$13)=0,10^12,OFFSET(CRONOPLE!$F$15,$M91-$A$15,CD$13)))</f>
        <v>0</v>
      </c>
      <c r="CE91" s="171">
        <f ca="1">IF(OR($D91&lt;&gt;"Serviço",AND(AUTOEVENTO="Manual",$M91=$A$15)),0,
         IF(OFFSET(CRONOPLE!$F$15,$M91-$A$15,CE$13)=0,10^12,OFFSET(CRONOPLE!$F$15,$M91-$A$15,CE$13)))</f>
        <v>0</v>
      </c>
      <c r="CF91" s="171">
        <f ca="1">IF(OR($D91&lt;&gt;"Serviço",AND(AUTOEVENTO="Manual",$M91=$A$15)),0,
         IF(OFFSET(CRONOPLE!$F$15,$M91-$A$15,CF$13)=0,10^12,OFFSET(CRONOPLE!$F$15,$M91-$A$15,CF$13)))</f>
        <v>0</v>
      </c>
      <c r="CG91" s="171">
        <f ca="1">IF(OR($D91&lt;&gt;"Serviço",AND(AUTOEVENTO="Manual",$M91=$A$15)),0,
         IF(OFFSET(CRONOPLE!$F$15,$M91-$A$15,CG$13)=0,10^12,OFFSET(CRONOPLE!$F$15,$M91-$A$15,CG$13)))</f>
        <v>0</v>
      </c>
      <c r="CH91" s="171">
        <f ca="1">IF(OR($D91&lt;&gt;"Serviço",AND(AUTOEVENTO="Manual",$M91=$A$15)),0,
         IF(OFFSET(CRONOPLE!$F$15,$M91-$A$15,CH$13)=0,10^12,OFFSET(CRONOPLE!$F$15,$M91-$A$15,CH$13)))</f>
        <v>0</v>
      </c>
      <c r="CI91" s="171">
        <f ca="1">IF(OR($D91&lt;&gt;"Serviço",AND(AUTOEVENTO="Manual",$M91=$A$15)),0,
         IF(OFFSET(CRONOPLE!$F$15,$M91-$A$15,CI$13)=0,10^12,OFFSET(CRONOPLE!$F$15,$M91-$A$15,CI$13)))</f>
        <v>0</v>
      </c>
      <c r="CJ91" s="171">
        <f ca="1">IF(OR($D91&lt;&gt;"Serviço",AND(AUTOEVENTO="Manual",$M91=$A$15)),0,
         IF(OFFSET(CRONOPLE!$F$15,$M91-$A$15,CJ$13)=0,10^12,OFFSET(CRONOPLE!$F$15,$M91-$A$15,CJ$13)))</f>
        <v>0</v>
      </c>
      <c r="CK91" s="171">
        <f ca="1">IF(OR($D91&lt;&gt;"Serviço",AND(AUTOEVENTO="Manual",$M91=$A$15)),0,
         IF(OFFSET(CRONOPLE!$F$15,$M91-$A$15,CK$13)=0,10^12,OFFSET(CRONOPLE!$F$15,$M91-$A$15,CK$13)))</f>
        <v>0</v>
      </c>
      <c r="CL91" s="171">
        <f ca="1">IF(OR($D91&lt;&gt;"Serviço",AND(AUTOEVENTO="Manual",$M91=$A$15)),0,
         IF(OFFSET(CRONOPLE!$F$15,$M91-$A$15,CL$13)=0,10^12,OFFSET(CRONOPLE!$F$15,$M91-$A$15,CL$13)))</f>
        <v>0</v>
      </c>
      <c r="CM91" s="171">
        <f ca="1">IF(OR($D91&lt;&gt;"Serviço",AND(AUTOEVENTO="Manual",$M91=$A$15)),0,
         IF(OFFSET(CRONOPLE!$F$15,$M91-$A$15,CM$13)=0,10^12,OFFSET(CRONOPLE!$F$15,$M91-$A$15,CM$13)))</f>
        <v>0</v>
      </c>
      <c r="CN91" s="171">
        <f ca="1">IF(OR($D91&lt;&gt;"Serviço",AND(AUTOEVENTO="Manual",$M91=$A$15)),0,
         IF(OFFSET(CRONOPLE!$F$15,$M91-$A$15,CN$13)=0,10^12,OFFSET(CRONOPLE!$F$15,$M91-$A$15,CN$13)))</f>
        <v>0</v>
      </c>
      <c r="CO91" s="171">
        <f ca="1">IF(OR($D91&lt;&gt;"Serviço",AND(AUTOEVENTO="Manual",$M91=$A$15)),0,
         IF(OFFSET(CRONOPLE!$F$15,$M91-$A$15,CO$13)=0,10^12,OFFSET(CRONOPLE!$F$15,$M91-$A$15,CO$13)))</f>
        <v>0</v>
      </c>
      <c r="CP91" s="171">
        <f ca="1">IF(OR($D91&lt;&gt;"Serviço",AND(AUTOEVENTO="Manual",$M91=$A$15)),0,
         IF(OFFSET(CRONOPLE!$F$15,$M91-$A$15,CP$13)=0,10^12,OFFSET(CRONOPLE!$F$15,$M91-$A$15,CP$13)))</f>
        <v>0</v>
      </c>
      <c r="CQ91" s="171">
        <f ca="1">IF(OR($D91&lt;&gt;"Serviço",AND(AUTOEVENTO="Manual",$M91=$A$15)),0,
         IF(OFFSET(CRONOPLE!$F$15,$M91-$A$15,CQ$13)=0,10^12,OFFSET(CRONOPLE!$F$15,$M91-$A$15,CQ$13)))</f>
        <v>0</v>
      </c>
      <c r="CR91" s="171">
        <f ca="1">IF(OR($D91&lt;&gt;"Serviço",AND(AUTOEVENTO="Manual",$M91=$A$15)),0,
         IF(OFFSET(CRONOPLE!$F$15,$M91-$A$15,CR$13)=0,10^12,OFFSET(CRONOPLE!$F$15,$M91-$A$15,CR$13)))</f>
        <v>0</v>
      </c>
      <c r="CT91" s="172" cm="1">
        <f t="array" aca="1" ref="CT91" ca="1">IF(OR($D91&lt;&gt;"Serviço",AND(AUTOEVENTO="Manual",$M91=$A$15),$M91&gt;(ROW(PLE.lastrow)-ROW(PLE.firstrow))),0,
           IF(OFFSET(PLE!$G$15,$M91-$A$15,CT$13)="",10^12,OFFSET(PLE!$G$15,$M91-$A$15,CT$13)))</f>
        <v>0</v>
      </c>
      <c r="CU91" s="172" cm="1">
        <f t="array" aca="1" ref="CU91" ca="1">IF(OR($D91&lt;&gt;"Serviço",AND(AUTOEVENTO="Manual",$M91=$A$15),$M91&gt;(ROW(PLE.lastrow)-ROW(PLE.firstrow))),0,
           IF(OFFSET(PLE!$G$15,$M91-$A$15,CU$13)="",10^12,OFFSET(PLE!$G$15,$M91-$A$15,CU$13)))</f>
        <v>0</v>
      </c>
      <c r="CV91" s="172" cm="1">
        <f t="array" aca="1" ref="CV91" ca="1">IF(OR($D91&lt;&gt;"Serviço",AND(AUTOEVENTO="Manual",$M91=$A$15),$M91&gt;(ROW(PLE.lastrow)-ROW(PLE.firstrow))),0,
           IF(OFFSET(PLE!$G$15,$M91-$A$15,CV$13)="",10^12,OFFSET(PLE!$G$15,$M91-$A$15,CV$13)))</f>
        <v>0</v>
      </c>
      <c r="CW91" s="172" cm="1">
        <f t="array" aca="1" ref="CW91" ca="1">IF(OR($D91&lt;&gt;"Serviço",AND(AUTOEVENTO="Manual",$M91=$A$15),$M91&gt;(ROW(PLE.lastrow)-ROW(PLE.firstrow))),0,
           IF(OFFSET(PLE!$G$15,$M91-$A$15,CW$13)="",10^12,OFFSET(PLE!$G$15,$M91-$A$15,CW$13)))</f>
        <v>0</v>
      </c>
      <c r="CX91" s="172" cm="1">
        <f t="array" aca="1" ref="CX91" ca="1">IF(OR($D91&lt;&gt;"Serviço",AND(AUTOEVENTO="Manual",$M91=$A$15),$M91&gt;(ROW(PLE.lastrow)-ROW(PLE.firstrow))),0,
           IF(OFFSET(PLE!$G$15,$M91-$A$15,CX$13)="",10^12,OFFSET(PLE!$G$15,$M91-$A$15,CX$13)))</f>
        <v>0</v>
      </c>
      <c r="CY91" s="172" cm="1">
        <f t="array" aca="1" ref="CY91" ca="1">IF(OR($D91&lt;&gt;"Serviço",AND(AUTOEVENTO="Manual",$M91=$A$15),$M91&gt;(ROW(PLE.lastrow)-ROW(PLE.firstrow))),0,
           IF(OFFSET(PLE!$G$15,$M91-$A$15,CY$13)="",10^12,OFFSET(PLE!$G$15,$M91-$A$15,CY$13)))</f>
        <v>0</v>
      </c>
      <c r="CZ91" s="172" cm="1">
        <f t="array" aca="1" ref="CZ91" ca="1">IF(OR($D91&lt;&gt;"Serviço",AND(AUTOEVENTO="Manual",$M91=$A$15),$M91&gt;(ROW(PLE.lastrow)-ROW(PLE.firstrow))),0,
           IF(OFFSET(PLE!$G$15,$M91-$A$15,CZ$13)="",10^12,OFFSET(PLE!$G$15,$M91-$A$15,CZ$13)))</f>
        <v>0</v>
      </c>
      <c r="DA91" s="172" cm="1">
        <f t="array" aca="1" ref="DA91" ca="1">IF(OR($D91&lt;&gt;"Serviço",AND(AUTOEVENTO="Manual",$M91=$A$15),$M91&gt;(ROW(PLE.lastrow)-ROW(PLE.firstrow))),0,
           IF(OFFSET(PLE!$G$15,$M91-$A$15,DA$13)="",10^12,OFFSET(PLE!$G$15,$M91-$A$15,DA$13)))</f>
        <v>0</v>
      </c>
      <c r="DB91" s="172" cm="1">
        <f t="array" aca="1" ref="DB91" ca="1">IF(OR($D91&lt;&gt;"Serviço",AND(AUTOEVENTO="Manual",$M91=$A$15),$M91&gt;(ROW(PLE.lastrow)-ROW(PLE.firstrow))),0,
           IF(OFFSET(PLE!$G$15,$M91-$A$15,DB$13)="",10^12,OFFSET(PLE!$G$15,$M91-$A$15,DB$13)))</f>
        <v>0</v>
      </c>
      <c r="DC91" s="172" cm="1">
        <f t="array" aca="1" ref="DC91" ca="1">IF(OR($D91&lt;&gt;"Serviço",AND(AUTOEVENTO="Manual",$M91=$A$15),$M91&gt;(ROW(PLE.lastrow)-ROW(PLE.firstrow))),0,
           IF(OFFSET(PLE!$G$15,$M91-$A$15,DC$13)="",10^12,OFFSET(PLE!$G$15,$M91-$A$15,DC$13)))</f>
        <v>0</v>
      </c>
      <c r="DD91" s="172" cm="1">
        <f t="array" aca="1" ref="DD91" ca="1">IF(OR($D91&lt;&gt;"Serviço",AND(AUTOEVENTO="Manual",$M91=$A$15),$M91&gt;(ROW(PLE.lastrow)-ROW(PLE.firstrow))),0,
           IF(OFFSET(PLE!$G$15,$M91-$A$15,DD$13)="",10^12,OFFSET(PLE!$G$15,$M91-$A$15,DD$13)))</f>
        <v>0</v>
      </c>
      <c r="DE91" s="172" cm="1">
        <f t="array" aca="1" ref="DE91" ca="1">IF(OR($D91&lt;&gt;"Serviço",AND(AUTOEVENTO="Manual",$M91=$A$15),$M91&gt;(ROW(PLE.lastrow)-ROW(PLE.firstrow))),0,
           IF(OFFSET(PLE!$G$15,$M91-$A$15,DE$13)="",10^12,OFFSET(PLE!$G$15,$M91-$A$15,DE$13)))</f>
        <v>0</v>
      </c>
      <c r="DF91" s="172" cm="1">
        <f t="array" aca="1" ref="DF91" ca="1">IF(OR($D91&lt;&gt;"Serviço",AND(AUTOEVENTO="Manual",$M91=$A$15),$M91&gt;(ROW(PLE.lastrow)-ROW(PLE.firstrow))),0,
           IF(OFFSET(PLE!$G$15,$M91-$A$15,DF$13)="",10^12,OFFSET(PLE!$G$15,$M91-$A$15,DF$13)))</f>
        <v>0</v>
      </c>
      <c r="DG91" s="172" cm="1">
        <f t="array" aca="1" ref="DG91" ca="1">IF(OR($D91&lt;&gt;"Serviço",AND(AUTOEVENTO="Manual",$M91=$A$15),$M91&gt;(ROW(PLE.lastrow)-ROW(PLE.firstrow))),0,
           IF(OFFSET(PLE!$G$15,$M91-$A$15,DG$13)="",10^12,OFFSET(PLE!$G$15,$M91-$A$15,DG$13)))</f>
        <v>0</v>
      </c>
      <c r="DH91" s="172" cm="1">
        <f t="array" aca="1" ref="DH91" ca="1">IF(OR($D91&lt;&gt;"Serviço",AND(AUTOEVENTO="Manual",$M91=$A$15),$M91&gt;(ROW(PLE.lastrow)-ROW(PLE.firstrow))),0,
           IF(OFFSET(PLE!$G$15,$M91-$A$15,DH$13)="",10^12,OFFSET(PLE!$G$15,$M91-$A$15,DH$13)))</f>
        <v>0</v>
      </c>
      <c r="DI91" s="172" cm="1">
        <f t="array" aca="1" ref="DI91" ca="1">IF(OR($D91&lt;&gt;"Serviço",AND(AUTOEVENTO="Manual",$M91=$A$15),$M91&gt;(ROW(PLE.lastrow)-ROW(PLE.firstrow))),0,
           IF(OFFSET(PLE!$G$15,$M91-$A$15,DI$13)="",10^12,OFFSET(PLE!$G$15,$M91-$A$15,DI$13)))</f>
        <v>0</v>
      </c>
      <c r="DJ91" s="172" cm="1">
        <f t="array" aca="1" ref="DJ91" ca="1">IF(OR($D91&lt;&gt;"Serviço",AND(AUTOEVENTO="Manual",$M91=$A$15),$M91&gt;(ROW(PLE.lastrow)-ROW(PLE.firstrow))),0,
           IF(OFFSET(PLE!$G$15,$M91-$A$15,DJ$13)="",10^12,OFFSET(PLE!$G$15,$M91-$A$15,DJ$13)))</f>
        <v>0</v>
      </c>
      <c r="DK91" s="172" cm="1">
        <f t="array" aca="1" ref="DK91" ca="1">IF(OR($D91&lt;&gt;"Serviço",AND(AUTOEVENTO="Manual",$M91=$A$15),$M91&gt;(ROW(PLE.lastrow)-ROW(PLE.firstrow))),0,
           IF(OFFSET(PLE!$G$15,$M91-$A$15,DK$13)="",10^12,OFFSET(PLE!$G$15,$M91-$A$15,DK$13)))</f>
        <v>0</v>
      </c>
      <c r="DL91" s="172" cm="1">
        <f t="array" aca="1" ref="DL91" ca="1">IF(OR($D91&lt;&gt;"Serviço",AND(AUTOEVENTO="Manual",$M91=$A$15),$M91&gt;(ROW(PLE.lastrow)-ROW(PLE.firstrow))),0,
           IF(OFFSET(PLE!$G$15,$M91-$A$15,DL$13)="",10^12,OFFSET(PLE!$G$15,$M91-$A$15,DL$13)))</f>
        <v>0</v>
      </c>
      <c r="DM91" s="172" cm="1">
        <f t="array" aca="1" ref="DM91" ca="1">IF(OR($D91&lt;&gt;"Serviço",AND(AUTOEVENTO="Manual",$M91=$A$15),$M91&gt;(ROW(PLE.lastrow)-ROW(PLE.firstrow))),0,
           IF(OFFSET(PLE!$G$15,$M91-$A$15,DM$13)="",10^12,OFFSET(PLE!$G$15,$M91-$A$15,DM$13)))</f>
        <v>0</v>
      </c>
      <c r="DN91" s="172" cm="1">
        <f t="array" aca="1" ref="DN91" ca="1">IF(OR($D91&lt;&gt;"Serviço",AND(AUTOEVENTO="Manual",$M91=$A$15),$M91&gt;(ROW(PLE.lastrow)-ROW(PLE.firstrow))),0,
           IF(OFFSET(PLE!$G$15,$M91-$A$15,DN$13)="",10^12,OFFSET(PLE!$G$15,$M91-$A$15,DN$13)))</f>
        <v>0</v>
      </c>
      <c r="DO91" s="172" cm="1">
        <f t="array" aca="1" ref="DO91" ca="1">IF(OR($D91&lt;&gt;"Serviço",AND(AUTOEVENTO="Manual",$M91=$A$15),$M91&gt;(ROW(PLE.lastrow)-ROW(PLE.firstrow))),0,
           IF(OFFSET(PLE!$G$15,$M91-$A$15,DO$13)="",10^12,OFFSET(PLE!$G$15,$M91-$A$15,DO$13)))</f>
        <v>0</v>
      </c>
      <c r="DP91" s="172" cm="1">
        <f t="array" aca="1" ref="DP91" ca="1">IF(OR($D91&lt;&gt;"Serviço",AND(AUTOEVENTO="Manual",$M91=$A$15),$M91&gt;(ROW(PLE.lastrow)-ROW(PLE.firstrow))),0,
           IF(OFFSET(PLE!$G$15,$M91-$A$15,DP$13)="",10^12,OFFSET(PLE!$G$15,$M91-$A$15,DP$13)))</f>
        <v>0</v>
      </c>
      <c r="DQ91" s="172" cm="1">
        <f t="array" aca="1" ref="DQ91" ca="1">IF(OR($D91&lt;&gt;"Serviço",AND(AUTOEVENTO="Manual",$M91=$A$15),$M91&gt;(ROW(PLE.lastrow)-ROW(PLE.firstrow))),0,
           IF(OFFSET(PLE!$G$15,$M91-$A$15,DQ$13)="",10^12,OFFSET(PLE!$G$15,$M91-$A$15,DQ$13)))</f>
        <v>0</v>
      </c>
      <c r="DR91" s="172" cm="1">
        <f t="array" aca="1" ref="DR91" ca="1">IF(OR($D91&lt;&gt;"Serviço",AND(AUTOEVENTO="Manual",$M91=$A$15),$M91&gt;(ROW(PLE.lastrow)-ROW(PLE.firstrow))),0,
           IF(OFFSET(PLE!$G$15,$M91-$A$15,DR$13)="",10^12,OFFSET(PLE!$G$15,$M91-$A$15,DR$13)))</f>
        <v>0</v>
      </c>
      <c r="DS91" s="172" cm="1">
        <f t="array" aca="1" ref="DS91" ca="1">IF(OR($D91&lt;&gt;"Serviço",AND(AUTOEVENTO="Manual",$M91=$A$15),$M91&gt;(ROW(PLE.lastrow)-ROW(PLE.firstrow))),0,
           IF(OFFSET(PLE!$G$15,$M91-$A$15,DS$13)="",10^12,OFFSET(PLE!$G$15,$M91-$A$15,DS$13)))</f>
        <v>0</v>
      </c>
    </row>
    <row r="92" spans="1:123" ht="38.25" x14ac:dyDescent="0.2">
      <c r="A92" s="7">
        <f t="shared" ca="1" si="13"/>
        <v>7</v>
      </c>
      <c r="B92" s="7" t="str">
        <f ca="1">OFFSET(ORÇAMENTO!C$15,$L92,0)</f>
        <v>S</v>
      </c>
      <c r="C92" s="7" t="str">
        <f ca="1">OFFSET(ORÇAMENTO!L$15,$L92,0)</f>
        <v/>
      </c>
      <c r="D92" s="116" t="str">
        <f ca="1">OFFSET(ORÇAMENTO!N$15,$L92,0)</f>
        <v>Serviço</v>
      </c>
      <c r="E92" s="117" t="str">
        <f ca="1">OFFSET(ORÇAMENTO!O$15,$L92,0)</f>
        <v>-</v>
      </c>
      <c r="F92" s="163" t="str">
        <f ca="1">OFFSET(ORÇAMENTO!R$15,$L92,0)</f>
        <v>(Código não identificado nas referências)</v>
      </c>
      <c r="G92" s="164" t="str">
        <f ca="1">IF($D92&lt;&gt;"Serviço","",OFFSET(ORÇAMENTO!S$15,$L92,0))</f>
        <v>-</v>
      </c>
      <c r="H92" s="122" cm="1">
        <f t="array" aca="1" ref="H92" ca="1">IF($D92&lt;&gt;"Serviço",0,IF(ACOMPANHAMENTO="BM",ROUND(OFFSET(ORÇAMENTO!AJ$15,$L92,0),15-13*ORÇAMENTO!$AF$7),IF(IFERROR(CÁLCULO.FrentesPreenchidas,0)=0,0,SUM(ROUND(OFFSET($P92,0,1,1,CÁLCULO.FrentesPreenchidas),15-13*ORÇAMENTO!$AF$7)))))</f>
        <v>392.99999999999989</v>
      </c>
      <c r="I92" s="468" t="s">
        <v>1235</v>
      </c>
      <c r="J92" s="651" t="str" cm="1">
        <f t="array" aca="1" ref="J92" ca="1">IF(OR(B92&lt;&gt;"S",CÁLCULO.FrentesPreenchidas=0),"",IF(AND(ACOMPANHAMENTO="PLE",AUTOEVENTO="Manual",OR(H92&gt;0,ORÇAMENTO!AC92="QUANT."),OR(K92="",M92=0,N92="")),"►E",IF(AND(ACOMPANHAMENTO="PLE",ORÇAMENTO!AC92="QUANT."),"►Q",IF(AND(ACOMPANHAMENTO="PLE",H92&lt;&gt;SUMPRODUCT(($Q$1:$AQ$1=1)*ROUND(Q92:AQ92,15))),"►S",IF(AND(COUNTIF($P$11:$AQ$11,"▼")=0,H92&gt;0,I92=""),"◄M","")))))</f>
        <v/>
      </c>
      <c r="K92" s="652" t="s">
        <v>1255</v>
      </c>
      <c r="L92" s="165">
        <f t="shared" ca="1" si="14"/>
        <v>77</v>
      </c>
      <c r="M92" s="166">
        <f ca="1">IF($D92&lt;&gt;"Serviço","",
          IF(AUTOEVENTO="manual",$A92,
                IF(ISERROR(MATCH($A92,$A$15:OFFSET($A92,-1,0),0)),MAX($M$15:OFFSET(M92,-1,0))+1,
                      INDEX($M$15:OFFSET(M92,-1,0),MATCH($A92,$A$15:OFFSET($A92,-1,0),0)))))</f>
        <v>7</v>
      </c>
      <c r="N92" s="167" t="str">
        <f ca="1">IF($D92&lt;&gt;"Serviço","",
         IF(AUTOEVENTO="Manual",
                IF($A92=0,"&lt;-- defina o número do agrupador",
                       OFFSET(EVENTOS!$D$15,$A92-$A$15,0)),
                OFFSET($F$15,$A92,0)))</f>
        <v>REVESTIMENTOS</v>
      </c>
      <c r="O92" s="168"/>
      <c r="Q92" s="168">
        <v>19.649999999999999</v>
      </c>
      <c r="R92" s="169">
        <v>19.649999999999999</v>
      </c>
      <c r="S92" s="169">
        <v>19.649999999999999</v>
      </c>
      <c r="T92" s="169">
        <v>19.649999999999999</v>
      </c>
      <c r="U92" s="169">
        <v>19.649999999999999</v>
      </c>
      <c r="V92" s="169">
        <v>19.649999999999999</v>
      </c>
      <c r="W92" s="169">
        <v>19.649999999999999</v>
      </c>
      <c r="X92" s="169">
        <v>19.649999999999999</v>
      </c>
      <c r="Y92" s="169">
        <v>19.649999999999999</v>
      </c>
      <c r="Z92" s="170">
        <v>19.649999999999999</v>
      </c>
      <c r="AA92" s="169">
        <v>19.649999999999999</v>
      </c>
      <c r="AB92" s="169">
        <v>19.649999999999999</v>
      </c>
      <c r="AC92" s="169">
        <v>19.649999999999999</v>
      </c>
      <c r="AD92" s="169">
        <v>19.649999999999999</v>
      </c>
      <c r="AE92" s="169">
        <v>19.649999999999999</v>
      </c>
      <c r="AF92" s="169">
        <v>19.649999999999999</v>
      </c>
      <c r="AG92" s="169">
        <v>19.649999999999999</v>
      </c>
      <c r="AH92" s="170">
        <v>19.649999999999999</v>
      </c>
      <c r="AI92" s="169">
        <v>19.649999999999999</v>
      </c>
      <c r="AJ92" s="169">
        <v>19.649999999999999</v>
      </c>
      <c r="AK92" s="169"/>
      <c r="AL92" s="169"/>
      <c r="AM92" s="169"/>
      <c r="AN92" s="169"/>
      <c r="AO92" s="169"/>
      <c r="AP92" s="170"/>
      <c r="AR92" s="453">
        <f ca="1">IF(AND($D92="Serviço",AR$12&lt;&gt;0,$H92&gt;0,OR(AUTOEVENTO&lt;&gt;"manual",$M92&lt;&gt;$A$15)),
        IF(Import.TipoArredondamento&lt;&gt;"TransfereGOV",
              ROUND(OFFSET($P92,0,AR$13),15-13*ORÇAMENTO!$AF$7)/$H92*OFFSET(ORÇAMENTO!$X$15,ROW(AR92)-ROW(AR$15),0),
              ROUND(ROUND(OFFSET($P92,0,AR$13),15-13*ORÇAMENTO!$AF$7)*OFFSET(ORÇAMENTO!$W$15,ROW(AR92)-ROW(AR$15),0),15-13*ORÇAMENTO!$AF$11)),
         0)</f>
        <v>0</v>
      </c>
      <c r="AS92" s="453">
        <f ca="1">IF(AND($D92="Serviço",AS$12&lt;&gt;0,$H92&gt;0,OR(AUTOEVENTO&lt;&gt;"manual",$M92&lt;&gt;$A$15)),
        IF(Import.TipoArredondamento&lt;&gt;"TransfereGOV",
              ROUND(OFFSET($P92,0,AS$13),15-13*ORÇAMENTO!$AF$7)/$H92*OFFSET(ORÇAMENTO!$X$15,ROW(AS92)-ROW(AS$15),0),
              ROUND(ROUND(OFFSET($P92,0,AS$13),15-13*ORÇAMENTO!$AF$7)*OFFSET(ORÇAMENTO!$W$15,ROW(AS92)-ROW(AS$15),0),15-13*ORÇAMENTO!$AF$11)),
         0)</f>
        <v>0</v>
      </c>
      <c r="AT92" s="453">
        <f ca="1">IF(AND($D92="Serviço",AT$12&lt;&gt;0,$H92&gt;0,OR(AUTOEVENTO&lt;&gt;"manual",$M92&lt;&gt;$A$15)),
        IF(Import.TipoArredondamento&lt;&gt;"TransfereGOV",
              ROUND(OFFSET($P92,0,AT$13),15-13*ORÇAMENTO!$AF$7)/$H92*OFFSET(ORÇAMENTO!$X$15,ROW(AT92)-ROW(AT$15),0),
              ROUND(ROUND(OFFSET($P92,0,AT$13),15-13*ORÇAMENTO!$AF$7)*OFFSET(ORÇAMENTO!$W$15,ROW(AT92)-ROW(AT$15),0),15-13*ORÇAMENTO!$AF$11)),
         0)</f>
        <v>0</v>
      </c>
      <c r="AU92" s="453">
        <f ca="1">IF(AND($D92="Serviço",AU$12&lt;&gt;0,$H92&gt;0,OR(AUTOEVENTO&lt;&gt;"manual",$M92&lt;&gt;$A$15)),
        IF(Import.TipoArredondamento&lt;&gt;"TransfereGOV",
              ROUND(OFFSET($P92,0,AU$13),15-13*ORÇAMENTO!$AF$7)/$H92*OFFSET(ORÇAMENTO!$X$15,ROW(AU92)-ROW(AU$15),0),
              ROUND(ROUND(OFFSET($P92,0,AU$13),15-13*ORÇAMENTO!$AF$7)*OFFSET(ORÇAMENTO!$W$15,ROW(AU92)-ROW(AU$15),0),15-13*ORÇAMENTO!$AF$11)),
         0)</f>
        <v>0</v>
      </c>
      <c r="AV92" s="453">
        <f ca="1">IF(AND($D92="Serviço",AV$12&lt;&gt;0,$H92&gt;0,OR(AUTOEVENTO&lt;&gt;"manual",$M92&lt;&gt;$A$15)),
        IF(Import.TipoArredondamento&lt;&gt;"TransfereGOV",
              ROUND(OFFSET($P92,0,AV$13),15-13*ORÇAMENTO!$AF$7)/$H92*OFFSET(ORÇAMENTO!$X$15,ROW(AV92)-ROW(AV$15),0),
              ROUND(ROUND(OFFSET($P92,0,AV$13),15-13*ORÇAMENTO!$AF$7)*OFFSET(ORÇAMENTO!$W$15,ROW(AV92)-ROW(AV$15),0),15-13*ORÇAMENTO!$AF$11)),
         0)</f>
        <v>0</v>
      </c>
      <c r="AW92" s="453">
        <f ca="1">IF(AND($D92="Serviço",AW$12&lt;&gt;0,$H92&gt;0,OR(AUTOEVENTO&lt;&gt;"manual",$M92&lt;&gt;$A$15)),
        IF(Import.TipoArredondamento&lt;&gt;"TransfereGOV",
              ROUND(OFFSET($P92,0,AW$13),15-13*ORÇAMENTO!$AF$7)/$H92*OFFSET(ORÇAMENTO!$X$15,ROW(AW92)-ROW(AW$15),0),
              ROUND(ROUND(OFFSET($P92,0,AW$13),15-13*ORÇAMENTO!$AF$7)*OFFSET(ORÇAMENTO!$W$15,ROW(AW92)-ROW(AW$15),0),15-13*ORÇAMENTO!$AF$11)),
         0)</f>
        <v>0</v>
      </c>
      <c r="AX92" s="453">
        <f ca="1">IF(AND($D92="Serviço",AX$12&lt;&gt;0,$H92&gt;0,OR(AUTOEVENTO&lt;&gt;"manual",$M92&lt;&gt;$A$15)),
        IF(Import.TipoArredondamento&lt;&gt;"TransfereGOV",
              ROUND(OFFSET($P92,0,AX$13),15-13*ORÇAMENTO!$AF$7)/$H92*OFFSET(ORÇAMENTO!$X$15,ROW(AX92)-ROW(AX$15),0),
              ROUND(ROUND(OFFSET($P92,0,AX$13),15-13*ORÇAMENTO!$AF$7)*OFFSET(ORÇAMENTO!$W$15,ROW(AX92)-ROW(AX$15),0),15-13*ORÇAMENTO!$AF$11)),
         0)</f>
        <v>0</v>
      </c>
      <c r="AY92" s="453">
        <f ca="1">IF(AND($D92="Serviço",AY$12&lt;&gt;0,$H92&gt;0,OR(AUTOEVENTO&lt;&gt;"manual",$M92&lt;&gt;$A$15)),
        IF(Import.TipoArredondamento&lt;&gt;"TransfereGOV",
              ROUND(OFFSET($P92,0,AY$13),15-13*ORÇAMENTO!$AF$7)/$H92*OFFSET(ORÇAMENTO!$X$15,ROW(AY92)-ROW(AY$15),0),
              ROUND(ROUND(OFFSET($P92,0,AY$13),15-13*ORÇAMENTO!$AF$7)*OFFSET(ORÇAMENTO!$W$15,ROW(AY92)-ROW(AY$15),0),15-13*ORÇAMENTO!$AF$11)),
         0)</f>
        <v>0</v>
      </c>
      <c r="AZ92" s="453">
        <f ca="1">IF(AND($D92="Serviço",AZ$12&lt;&gt;0,$H92&gt;0,OR(AUTOEVENTO&lt;&gt;"manual",$M92&lt;&gt;$A$15)),
        IF(Import.TipoArredondamento&lt;&gt;"TransfereGOV",
              ROUND(OFFSET($P92,0,AZ$13),15-13*ORÇAMENTO!$AF$7)/$H92*OFFSET(ORÇAMENTO!$X$15,ROW(AZ92)-ROW(AZ$15),0),
              ROUND(ROUND(OFFSET($P92,0,AZ$13),15-13*ORÇAMENTO!$AF$7)*OFFSET(ORÇAMENTO!$W$15,ROW(AZ92)-ROW(AZ$15),0),15-13*ORÇAMENTO!$AF$11)),
         0)</f>
        <v>0</v>
      </c>
      <c r="BA92" s="453">
        <f ca="1">IF(AND($D92="Serviço",BA$12&lt;&gt;0,$H92&gt;0,OR(AUTOEVENTO&lt;&gt;"manual",$M92&lt;&gt;$A$15)),
        IF(Import.TipoArredondamento&lt;&gt;"TransfereGOV",
              ROUND(OFFSET($P92,0,BA$13),15-13*ORÇAMENTO!$AF$7)/$H92*OFFSET(ORÇAMENTO!$X$15,ROW(BA92)-ROW(BA$15),0),
              ROUND(ROUND(OFFSET($P92,0,BA$13),15-13*ORÇAMENTO!$AF$7)*OFFSET(ORÇAMENTO!$W$15,ROW(BA92)-ROW(BA$15),0),15-13*ORÇAMENTO!$AF$11)),
         0)</f>
        <v>0</v>
      </c>
      <c r="BB92" s="453">
        <f ca="1">IF(AND($D92="Serviço",BB$12&lt;&gt;0,$H92&gt;0,OR(AUTOEVENTO&lt;&gt;"manual",$M92&lt;&gt;$A$15)),
        IF(Import.TipoArredondamento&lt;&gt;"TransfereGOV",
              ROUND(OFFSET($P92,0,BB$13),15-13*ORÇAMENTO!$AF$7)/$H92*OFFSET(ORÇAMENTO!$X$15,ROW(BB92)-ROW(BB$15),0),
              ROUND(ROUND(OFFSET($P92,0,BB$13),15-13*ORÇAMENTO!$AF$7)*OFFSET(ORÇAMENTO!$W$15,ROW(BB92)-ROW(BB$15),0),15-13*ORÇAMENTO!$AF$11)),
         0)</f>
        <v>0</v>
      </c>
      <c r="BC92" s="453">
        <f ca="1">IF(AND($D92="Serviço",BC$12&lt;&gt;0,$H92&gt;0,OR(AUTOEVENTO&lt;&gt;"manual",$M92&lt;&gt;$A$15)),
        IF(Import.TipoArredondamento&lt;&gt;"TransfereGOV",
              ROUND(OFFSET($P92,0,BC$13),15-13*ORÇAMENTO!$AF$7)/$H92*OFFSET(ORÇAMENTO!$X$15,ROW(BC92)-ROW(BC$15),0),
              ROUND(ROUND(OFFSET($P92,0,BC$13),15-13*ORÇAMENTO!$AF$7)*OFFSET(ORÇAMENTO!$W$15,ROW(BC92)-ROW(BC$15),0),15-13*ORÇAMENTO!$AF$11)),
         0)</f>
        <v>0</v>
      </c>
      <c r="BD92" s="453">
        <f ca="1">IF(AND($D92="Serviço",BD$12&lt;&gt;0,$H92&gt;0,OR(AUTOEVENTO&lt;&gt;"manual",$M92&lt;&gt;$A$15)),
        IF(Import.TipoArredondamento&lt;&gt;"TransfereGOV",
              ROUND(OFFSET($P92,0,BD$13),15-13*ORÇAMENTO!$AF$7)/$H92*OFFSET(ORÇAMENTO!$X$15,ROW(BD92)-ROW(BD$15),0),
              ROUND(ROUND(OFFSET($P92,0,BD$13),15-13*ORÇAMENTO!$AF$7)*OFFSET(ORÇAMENTO!$W$15,ROW(BD92)-ROW(BD$15),0),15-13*ORÇAMENTO!$AF$11)),
         0)</f>
        <v>0</v>
      </c>
      <c r="BE92" s="453">
        <f ca="1">IF(AND($D92="Serviço",BE$12&lt;&gt;0,$H92&gt;0,OR(AUTOEVENTO&lt;&gt;"manual",$M92&lt;&gt;$A$15)),
        IF(Import.TipoArredondamento&lt;&gt;"TransfereGOV",
              ROUND(OFFSET($P92,0,BE$13),15-13*ORÇAMENTO!$AF$7)/$H92*OFFSET(ORÇAMENTO!$X$15,ROW(BE92)-ROW(BE$15),0),
              ROUND(ROUND(OFFSET($P92,0,BE$13),15-13*ORÇAMENTO!$AF$7)*OFFSET(ORÇAMENTO!$W$15,ROW(BE92)-ROW(BE$15),0),15-13*ORÇAMENTO!$AF$11)),
         0)</f>
        <v>0</v>
      </c>
      <c r="BF92" s="453">
        <f ca="1">IF(AND($D92="Serviço",BF$12&lt;&gt;0,$H92&gt;0,OR(AUTOEVENTO&lt;&gt;"manual",$M92&lt;&gt;$A$15)),
        IF(Import.TipoArredondamento&lt;&gt;"TransfereGOV",
              ROUND(OFFSET($P92,0,BF$13),15-13*ORÇAMENTO!$AF$7)/$H92*OFFSET(ORÇAMENTO!$X$15,ROW(BF92)-ROW(BF$15),0),
              ROUND(ROUND(OFFSET($P92,0,BF$13),15-13*ORÇAMENTO!$AF$7)*OFFSET(ORÇAMENTO!$W$15,ROW(BF92)-ROW(BF$15),0),15-13*ORÇAMENTO!$AF$11)),
         0)</f>
        <v>0</v>
      </c>
      <c r="BG92" s="453">
        <f ca="1">IF(AND($D92="Serviço",BG$12&lt;&gt;0,$H92&gt;0,OR(AUTOEVENTO&lt;&gt;"manual",$M92&lt;&gt;$A$15)),
        IF(Import.TipoArredondamento&lt;&gt;"TransfereGOV",
              ROUND(OFFSET($P92,0,BG$13),15-13*ORÇAMENTO!$AF$7)/$H92*OFFSET(ORÇAMENTO!$X$15,ROW(BG92)-ROW(BG$15),0),
              ROUND(ROUND(OFFSET($P92,0,BG$13),15-13*ORÇAMENTO!$AF$7)*OFFSET(ORÇAMENTO!$W$15,ROW(BG92)-ROW(BG$15),0),15-13*ORÇAMENTO!$AF$11)),
         0)</f>
        <v>0</v>
      </c>
      <c r="BH92" s="453">
        <f ca="1">IF(AND($D92="Serviço",BH$12&lt;&gt;0,$H92&gt;0,OR(AUTOEVENTO&lt;&gt;"manual",$M92&lt;&gt;$A$15)),
        IF(Import.TipoArredondamento&lt;&gt;"TransfereGOV",
              ROUND(OFFSET($P92,0,BH$13),15-13*ORÇAMENTO!$AF$7)/$H92*OFFSET(ORÇAMENTO!$X$15,ROW(BH92)-ROW(BH$15),0),
              ROUND(ROUND(OFFSET($P92,0,BH$13),15-13*ORÇAMENTO!$AF$7)*OFFSET(ORÇAMENTO!$W$15,ROW(BH92)-ROW(BH$15),0),15-13*ORÇAMENTO!$AF$11)),
         0)</f>
        <v>0</v>
      </c>
      <c r="BI92" s="453">
        <f ca="1">IF(AND($D92="Serviço",BI$12&lt;&gt;0,$H92&gt;0,OR(AUTOEVENTO&lt;&gt;"manual",$M92&lt;&gt;$A$15)),
        IF(Import.TipoArredondamento&lt;&gt;"TransfereGOV",
              ROUND(OFFSET($P92,0,BI$13),15-13*ORÇAMENTO!$AF$7)/$H92*OFFSET(ORÇAMENTO!$X$15,ROW(BI92)-ROW(BI$15),0),
              ROUND(ROUND(OFFSET($P92,0,BI$13),15-13*ORÇAMENTO!$AF$7)*OFFSET(ORÇAMENTO!$W$15,ROW(BI92)-ROW(BI$15),0),15-13*ORÇAMENTO!$AF$11)),
         0)</f>
        <v>0</v>
      </c>
      <c r="BJ92" s="453">
        <f ca="1">IF(AND($D92="Serviço",BJ$12&lt;&gt;0,$H92&gt;0,OR(AUTOEVENTO&lt;&gt;"manual",$M92&lt;&gt;$A$15)),
        IF(Import.TipoArredondamento&lt;&gt;"TransfereGOV",
              ROUND(OFFSET($P92,0,BJ$13),15-13*ORÇAMENTO!$AF$7)/$H92*OFFSET(ORÇAMENTO!$X$15,ROW(BJ92)-ROW(BJ$15),0),
              ROUND(ROUND(OFFSET($P92,0,BJ$13),15-13*ORÇAMENTO!$AF$7)*OFFSET(ORÇAMENTO!$W$15,ROW(BJ92)-ROW(BJ$15),0),15-13*ORÇAMENTO!$AF$11)),
         0)</f>
        <v>0</v>
      </c>
      <c r="BK92" s="453">
        <f ca="1">IF(AND($D92="Serviço",BK$12&lt;&gt;0,$H92&gt;0,OR(AUTOEVENTO&lt;&gt;"manual",$M92&lt;&gt;$A$15)),
        IF(Import.TipoArredondamento&lt;&gt;"TransfereGOV",
              ROUND(OFFSET($P92,0,BK$13),15-13*ORÇAMENTO!$AF$7)/$H92*OFFSET(ORÇAMENTO!$X$15,ROW(BK92)-ROW(BK$15),0),
              ROUND(ROUND(OFFSET($P92,0,BK$13),15-13*ORÇAMENTO!$AF$7)*OFFSET(ORÇAMENTO!$W$15,ROW(BK92)-ROW(BK$15),0),15-13*ORÇAMENTO!$AF$11)),
         0)</f>
        <v>0</v>
      </c>
      <c r="BL92" s="453">
        <f ca="1">IF(AND($D92="Serviço",BL$12&lt;&gt;0,$H92&gt;0,OR(AUTOEVENTO&lt;&gt;"manual",$M92&lt;&gt;$A$15)),
        IF(Import.TipoArredondamento&lt;&gt;"TransfereGOV",
              ROUND(OFFSET($P92,0,BL$13),15-13*ORÇAMENTO!$AF$7)/$H92*OFFSET(ORÇAMENTO!$X$15,ROW(BL92)-ROW(BL$15),0),
              ROUND(ROUND(OFFSET($P92,0,BL$13),15-13*ORÇAMENTO!$AF$7)*OFFSET(ORÇAMENTO!$W$15,ROW(BL92)-ROW(BL$15),0),15-13*ORÇAMENTO!$AF$11)),
         0)</f>
        <v>0</v>
      </c>
      <c r="BM92" s="453">
        <f ca="1">IF(AND($D92="Serviço",BM$12&lt;&gt;0,$H92&gt;0,OR(AUTOEVENTO&lt;&gt;"manual",$M92&lt;&gt;$A$15)),
        IF(Import.TipoArredondamento&lt;&gt;"TransfereGOV",
              ROUND(OFFSET($P92,0,BM$13),15-13*ORÇAMENTO!$AF$7)/$H92*OFFSET(ORÇAMENTO!$X$15,ROW(BM92)-ROW(BM$15),0),
              ROUND(ROUND(OFFSET($P92,0,BM$13),15-13*ORÇAMENTO!$AF$7)*OFFSET(ORÇAMENTO!$W$15,ROW(BM92)-ROW(BM$15),0),15-13*ORÇAMENTO!$AF$11)),
         0)</f>
        <v>0</v>
      </c>
      <c r="BN92" s="453">
        <f ca="1">IF(AND($D92="Serviço",BN$12&lt;&gt;0,$H92&gt;0,OR(AUTOEVENTO&lt;&gt;"manual",$M92&lt;&gt;$A$15)),
        IF(Import.TipoArredondamento&lt;&gt;"TransfereGOV",
              ROUND(OFFSET($P92,0,BN$13),15-13*ORÇAMENTO!$AF$7)/$H92*OFFSET(ORÇAMENTO!$X$15,ROW(BN92)-ROW(BN$15),0),
              ROUND(ROUND(OFFSET($P92,0,BN$13),15-13*ORÇAMENTO!$AF$7)*OFFSET(ORÇAMENTO!$W$15,ROW(BN92)-ROW(BN$15),0),15-13*ORÇAMENTO!$AF$11)),
         0)</f>
        <v>0</v>
      </c>
      <c r="BO92" s="453">
        <f ca="1">IF(AND($D92="Serviço",BO$12&lt;&gt;0,$H92&gt;0,OR(AUTOEVENTO&lt;&gt;"manual",$M92&lt;&gt;$A$15)),
        IF(Import.TipoArredondamento&lt;&gt;"TransfereGOV",
              ROUND(OFFSET($P92,0,BO$13),15-13*ORÇAMENTO!$AF$7)/$H92*OFFSET(ORÇAMENTO!$X$15,ROW(BO92)-ROW(BO$15),0),
              ROUND(ROUND(OFFSET($P92,0,BO$13),15-13*ORÇAMENTO!$AF$7)*OFFSET(ORÇAMENTO!$W$15,ROW(BO92)-ROW(BO$15),0),15-13*ORÇAMENTO!$AF$11)),
         0)</f>
        <v>0</v>
      </c>
      <c r="BP92" s="453">
        <f ca="1">IF(AND($D92="Serviço",BP$12&lt;&gt;0,$H92&gt;0,OR(AUTOEVENTO&lt;&gt;"manual",$M92&lt;&gt;$A$15)),
        IF(Import.TipoArredondamento&lt;&gt;"TransfereGOV",
              ROUND(OFFSET($P92,0,BP$13),15-13*ORÇAMENTO!$AF$7)/$H92*OFFSET(ORÇAMENTO!$X$15,ROW(BP92)-ROW(BP$15),0),
              ROUND(ROUND(OFFSET($P92,0,BP$13),15-13*ORÇAMENTO!$AF$7)*OFFSET(ORÇAMENTO!$W$15,ROW(BP92)-ROW(BP$15),0),15-13*ORÇAMENTO!$AF$11)),
         0)</f>
        <v>0</v>
      </c>
      <c r="BQ92" s="453">
        <f ca="1">IF(AND($D92="Serviço",BQ$12&lt;&gt;0,$H92&gt;0,OR(AUTOEVENTO&lt;&gt;"manual",$M92&lt;&gt;$A$15)),
        IF(Import.TipoArredondamento&lt;&gt;"TransfereGOV",
              ROUND(OFFSET($P92,0,BQ$13),15-13*ORÇAMENTO!$AF$7)/$H92*OFFSET(ORÇAMENTO!$X$15,ROW(BQ92)-ROW(BQ$15),0),
              ROUND(ROUND(OFFSET($P92,0,BQ$13),15-13*ORÇAMENTO!$AF$7)*OFFSET(ORÇAMENTO!$W$15,ROW(BQ92)-ROW(BQ$15),0),15-13*ORÇAMENTO!$AF$11)),
         0)</f>
        <v>0</v>
      </c>
      <c r="BS92" s="171">
        <f ca="1">IF(OR($D92&lt;&gt;"Serviço",AND(AUTOEVENTO="Manual",$M92=$A$15)),0,
         IF(OFFSET(CRONOPLE!$F$15,$M92-$A$15,BS$13)=0,10^12,OFFSET(CRONOPLE!$F$15,$M92-$A$15,BS$13)))</f>
        <v>1</v>
      </c>
      <c r="BT92" s="171">
        <f ca="1">IF(OR($D92&lt;&gt;"Serviço",AND(AUTOEVENTO="Manual",$M92=$A$15)),0,
         IF(OFFSET(CRONOPLE!$F$15,$M92-$A$15,BT$13)=0,10^12,OFFSET(CRONOPLE!$F$15,$M92-$A$15,BT$13)))</f>
        <v>2</v>
      </c>
      <c r="BU92" s="171">
        <f ca="1">IF(OR($D92&lt;&gt;"Serviço",AND(AUTOEVENTO="Manual",$M92=$A$15)),0,
         IF(OFFSET(CRONOPLE!$F$15,$M92-$A$15,BU$13)=0,10^12,OFFSET(CRONOPLE!$F$15,$M92-$A$15,BU$13)))</f>
        <v>3</v>
      </c>
      <c r="BV92" s="171">
        <f ca="1">IF(OR($D92&lt;&gt;"Serviço",AND(AUTOEVENTO="Manual",$M92=$A$15)),0,
         IF(OFFSET(CRONOPLE!$F$15,$M92-$A$15,BV$13)=0,10^12,OFFSET(CRONOPLE!$F$15,$M92-$A$15,BV$13)))</f>
        <v>4</v>
      </c>
      <c r="BW92" s="171">
        <f ca="1">IF(OR($D92&lt;&gt;"Serviço",AND(AUTOEVENTO="Manual",$M92=$A$15)),0,
         IF(OFFSET(CRONOPLE!$F$15,$M92-$A$15,BW$13)=0,10^12,OFFSET(CRONOPLE!$F$15,$M92-$A$15,BW$13)))</f>
        <v>5</v>
      </c>
      <c r="BX92" s="171">
        <f ca="1">IF(OR($D92&lt;&gt;"Serviço",AND(AUTOEVENTO="Manual",$M92=$A$15)),0,
         IF(OFFSET(CRONOPLE!$F$15,$M92-$A$15,BX$13)=0,10^12,OFFSET(CRONOPLE!$F$15,$M92-$A$15,BX$13)))</f>
        <v>6</v>
      </c>
      <c r="BY92" s="171">
        <f ca="1">IF(OR($D92&lt;&gt;"Serviço",AND(AUTOEVENTO="Manual",$M92=$A$15)),0,
         IF(OFFSET(CRONOPLE!$F$15,$M92-$A$15,BY$13)=0,10^12,OFFSET(CRONOPLE!$F$15,$M92-$A$15,BY$13)))</f>
        <v>7</v>
      </c>
      <c r="BZ92" s="171">
        <f ca="1">IF(OR($D92&lt;&gt;"Serviço",AND(AUTOEVENTO="Manual",$M92=$A$15)),0,
         IF(OFFSET(CRONOPLE!$F$15,$M92-$A$15,BZ$13)=0,10^12,OFFSET(CRONOPLE!$F$15,$M92-$A$15,BZ$13)))</f>
        <v>8</v>
      </c>
      <c r="CA92" s="171">
        <f ca="1">IF(OR($D92&lt;&gt;"Serviço",AND(AUTOEVENTO="Manual",$M92=$A$15)),0,
         IF(OFFSET(CRONOPLE!$F$15,$M92-$A$15,CA$13)=0,10^12,OFFSET(CRONOPLE!$F$15,$M92-$A$15,CA$13)))</f>
        <v>9</v>
      </c>
      <c r="CB92" s="171">
        <f ca="1">IF(OR($D92&lt;&gt;"Serviço",AND(AUTOEVENTO="Manual",$M92=$A$15)),0,
         IF(OFFSET(CRONOPLE!$F$15,$M92-$A$15,CB$13)=0,10^12,OFFSET(CRONOPLE!$F$15,$M92-$A$15,CB$13)))</f>
        <v>10</v>
      </c>
      <c r="CC92" s="171">
        <f ca="1">IF(OR($D92&lt;&gt;"Serviço",AND(AUTOEVENTO="Manual",$M92=$A$15)),0,
         IF(OFFSET(CRONOPLE!$F$15,$M92-$A$15,CC$13)=0,10^12,OFFSET(CRONOPLE!$F$15,$M92-$A$15,CC$13)))</f>
        <v>11</v>
      </c>
      <c r="CD92" s="171">
        <f ca="1">IF(OR($D92&lt;&gt;"Serviço",AND(AUTOEVENTO="Manual",$M92=$A$15)),0,
         IF(OFFSET(CRONOPLE!$F$15,$M92-$A$15,CD$13)=0,10^12,OFFSET(CRONOPLE!$F$15,$M92-$A$15,CD$13)))</f>
        <v>12</v>
      </c>
      <c r="CE92" s="171">
        <f ca="1">IF(OR($D92&lt;&gt;"Serviço",AND(AUTOEVENTO="Manual",$M92=$A$15)),0,
         IF(OFFSET(CRONOPLE!$F$15,$M92-$A$15,CE$13)=0,10^12,OFFSET(CRONOPLE!$F$15,$M92-$A$15,CE$13)))</f>
        <v>13</v>
      </c>
      <c r="CF92" s="171">
        <f ca="1">IF(OR($D92&lt;&gt;"Serviço",AND(AUTOEVENTO="Manual",$M92=$A$15)),0,
         IF(OFFSET(CRONOPLE!$F$15,$M92-$A$15,CF$13)=0,10^12,OFFSET(CRONOPLE!$F$15,$M92-$A$15,CF$13)))</f>
        <v>14</v>
      </c>
      <c r="CG92" s="171">
        <f ca="1">IF(OR($D92&lt;&gt;"Serviço",AND(AUTOEVENTO="Manual",$M92=$A$15)),0,
         IF(OFFSET(CRONOPLE!$F$15,$M92-$A$15,CG$13)=0,10^12,OFFSET(CRONOPLE!$F$15,$M92-$A$15,CG$13)))</f>
        <v>15</v>
      </c>
      <c r="CH92" s="171">
        <f ca="1">IF(OR($D92&lt;&gt;"Serviço",AND(AUTOEVENTO="Manual",$M92=$A$15)),0,
         IF(OFFSET(CRONOPLE!$F$15,$M92-$A$15,CH$13)=0,10^12,OFFSET(CRONOPLE!$F$15,$M92-$A$15,CH$13)))</f>
        <v>16</v>
      </c>
      <c r="CI92" s="171">
        <f ca="1">IF(OR($D92&lt;&gt;"Serviço",AND(AUTOEVENTO="Manual",$M92=$A$15)),0,
         IF(OFFSET(CRONOPLE!$F$15,$M92-$A$15,CI$13)=0,10^12,OFFSET(CRONOPLE!$F$15,$M92-$A$15,CI$13)))</f>
        <v>17</v>
      </c>
      <c r="CJ92" s="171">
        <f ca="1">IF(OR($D92&lt;&gt;"Serviço",AND(AUTOEVENTO="Manual",$M92=$A$15)),0,
         IF(OFFSET(CRONOPLE!$F$15,$M92-$A$15,CJ$13)=0,10^12,OFFSET(CRONOPLE!$F$15,$M92-$A$15,CJ$13)))</f>
        <v>18</v>
      </c>
      <c r="CK92" s="171">
        <f ca="1">IF(OR($D92&lt;&gt;"Serviço",AND(AUTOEVENTO="Manual",$M92=$A$15)),0,
         IF(OFFSET(CRONOPLE!$F$15,$M92-$A$15,CK$13)=0,10^12,OFFSET(CRONOPLE!$F$15,$M92-$A$15,CK$13)))</f>
        <v>19</v>
      </c>
      <c r="CL92" s="171">
        <f ca="1">IF(OR($D92&lt;&gt;"Serviço",AND(AUTOEVENTO="Manual",$M92=$A$15)),0,
         IF(OFFSET(CRONOPLE!$F$15,$M92-$A$15,CL$13)=0,10^12,OFFSET(CRONOPLE!$F$15,$M92-$A$15,CL$13)))</f>
        <v>20</v>
      </c>
      <c r="CM92" s="171">
        <f ca="1">IF(OR($D92&lt;&gt;"Serviço",AND(AUTOEVENTO="Manual",$M92=$A$15)),0,
         IF(OFFSET(CRONOPLE!$F$15,$M92-$A$15,CM$13)=0,10^12,OFFSET(CRONOPLE!$F$15,$M92-$A$15,CM$13)))</f>
        <v>1000000000000</v>
      </c>
      <c r="CN92" s="171">
        <f ca="1">IF(OR($D92&lt;&gt;"Serviço",AND(AUTOEVENTO="Manual",$M92=$A$15)),0,
         IF(OFFSET(CRONOPLE!$F$15,$M92-$A$15,CN$13)=0,10^12,OFFSET(CRONOPLE!$F$15,$M92-$A$15,CN$13)))</f>
        <v>1000000000000</v>
      </c>
      <c r="CO92" s="171">
        <f ca="1">IF(OR($D92&lt;&gt;"Serviço",AND(AUTOEVENTO="Manual",$M92=$A$15)),0,
         IF(OFFSET(CRONOPLE!$F$15,$M92-$A$15,CO$13)=0,10^12,OFFSET(CRONOPLE!$F$15,$M92-$A$15,CO$13)))</f>
        <v>1000000000000</v>
      </c>
      <c r="CP92" s="171">
        <f ca="1">IF(OR($D92&lt;&gt;"Serviço",AND(AUTOEVENTO="Manual",$M92=$A$15)),0,
         IF(OFFSET(CRONOPLE!$F$15,$M92-$A$15,CP$13)=0,10^12,OFFSET(CRONOPLE!$F$15,$M92-$A$15,CP$13)))</f>
        <v>1000000000000</v>
      </c>
      <c r="CQ92" s="171">
        <f ca="1">IF(OR($D92&lt;&gt;"Serviço",AND(AUTOEVENTO="Manual",$M92=$A$15)),0,
         IF(OFFSET(CRONOPLE!$F$15,$M92-$A$15,CQ$13)=0,10^12,OFFSET(CRONOPLE!$F$15,$M92-$A$15,CQ$13)))</f>
        <v>1000000000000</v>
      </c>
      <c r="CR92" s="171">
        <f ca="1">IF(OR($D92&lt;&gt;"Serviço",AND(AUTOEVENTO="Manual",$M92=$A$15)),0,
         IF(OFFSET(CRONOPLE!$F$15,$M92-$A$15,CR$13)=0,10^12,OFFSET(CRONOPLE!$F$15,$M92-$A$15,CR$13)))</f>
        <v>1000000000000</v>
      </c>
      <c r="CT92" s="172" cm="1">
        <f t="array" aca="1" ref="CT92" ca="1">IF(OR($D92&lt;&gt;"Serviço",AND(AUTOEVENTO="Manual",$M92=$A$15),$M92&gt;(ROW(PLE.lastrow)-ROW(PLE.firstrow))),0,
           IF(OFFSET(PLE!$G$15,$M92-$A$15,CT$13)="",10^12,OFFSET(PLE!$G$15,$M92-$A$15,CT$13)))</f>
        <v>1000000000000</v>
      </c>
      <c r="CU92" s="172" cm="1">
        <f t="array" aca="1" ref="CU92" ca="1">IF(OR($D92&lt;&gt;"Serviço",AND(AUTOEVENTO="Manual",$M92=$A$15),$M92&gt;(ROW(PLE.lastrow)-ROW(PLE.firstrow))),0,
           IF(OFFSET(PLE!$G$15,$M92-$A$15,CU$13)="",10^12,OFFSET(PLE!$G$15,$M92-$A$15,CU$13)))</f>
        <v>1000000000000</v>
      </c>
      <c r="CV92" s="172" cm="1">
        <f t="array" aca="1" ref="CV92" ca="1">IF(OR($D92&lt;&gt;"Serviço",AND(AUTOEVENTO="Manual",$M92=$A$15),$M92&gt;(ROW(PLE.lastrow)-ROW(PLE.firstrow))),0,
           IF(OFFSET(PLE!$G$15,$M92-$A$15,CV$13)="",10^12,OFFSET(PLE!$G$15,$M92-$A$15,CV$13)))</f>
        <v>1000000000000</v>
      </c>
      <c r="CW92" s="172" cm="1">
        <f t="array" aca="1" ref="CW92" ca="1">IF(OR($D92&lt;&gt;"Serviço",AND(AUTOEVENTO="Manual",$M92=$A$15),$M92&gt;(ROW(PLE.lastrow)-ROW(PLE.firstrow))),0,
           IF(OFFSET(PLE!$G$15,$M92-$A$15,CW$13)="",10^12,OFFSET(PLE!$G$15,$M92-$A$15,CW$13)))</f>
        <v>1000000000000</v>
      </c>
      <c r="CX92" s="172" cm="1">
        <f t="array" aca="1" ref="CX92" ca="1">IF(OR($D92&lt;&gt;"Serviço",AND(AUTOEVENTO="Manual",$M92=$A$15),$M92&gt;(ROW(PLE.lastrow)-ROW(PLE.firstrow))),0,
           IF(OFFSET(PLE!$G$15,$M92-$A$15,CX$13)="",10^12,OFFSET(PLE!$G$15,$M92-$A$15,CX$13)))</f>
        <v>1000000000000</v>
      </c>
      <c r="CY92" s="172" cm="1">
        <f t="array" aca="1" ref="CY92" ca="1">IF(OR($D92&lt;&gt;"Serviço",AND(AUTOEVENTO="Manual",$M92=$A$15),$M92&gt;(ROW(PLE.lastrow)-ROW(PLE.firstrow))),0,
           IF(OFFSET(PLE!$G$15,$M92-$A$15,CY$13)="",10^12,OFFSET(PLE!$G$15,$M92-$A$15,CY$13)))</f>
        <v>1000000000000</v>
      </c>
      <c r="CZ92" s="172" cm="1">
        <f t="array" aca="1" ref="CZ92" ca="1">IF(OR($D92&lt;&gt;"Serviço",AND(AUTOEVENTO="Manual",$M92=$A$15),$M92&gt;(ROW(PLE.lastrow)-ROW(PLE.firstrow))),0,
           IF(OFFSET(PLE!$G$15,$M92-$A$15,CZ$13)="",10^12,OFFSET(PLE!$G$15,$M92-$A$15,CZ$13)))</f>
        <v>1000000000000</v>
      </c>
      <c r="DA92" s="172" cm="1">
        <f t="array" aca="1" ref="DA92" ca="1">IF(OR($D92&lt;&gt;"Serviço",AND(AUTOEVENTO="Manual",$M92=$A$15),$M92&gt;(ROW(PLE.lastrow)-ROW(PLE.firstrow))),0,
           IF(OFFSET(PLE!$G$15,$M92-$A$15,DA$13)="",10^12,OFFSET(PLE!$G$15,$M92-$A$15,DA$13)))</f>
        <v>1000000000000</v>
      </c>
      <c r="DB92" s="172" cm="1">
        <f t="array" aca="1" ref="DB92" ca="1">IF(OR($D92&lt;&gt;"Serviço",AND(AUTOEVENTO="Manual",$M92=$A$15),$M92&gt;(ROW(PLE.lastrow)-ROW(PLE.firstrow))),0,
           IF(OFFSET(PLE!$G$15,$M92-$A$15,DB$13)="",10^12,OFFSET(PLE!$G$15,$M92-$A$15,DB$13)))</f>
        <v>1000000000000</v>
      </c>
      <c r="DC92" s="172" cm="1">
        <f t="array" aca="1" ref="DC92" ca="1">IF(OR($D92&lt;&gt;"Serviço",AND(AUTOEVENTO="Manual",$M92=$A$15),$M92&gt;(ROW(PLE.lastrow)-ROW(PLE.firstrow))),0,
           IF(OFFSET(PLE!$G$15,$M92-$A$15,DC$13)="",10^12,OFFSET(PLE!$G$15,$M92-$A$15,DC$13)))</f>
        <v>1000000000000</v>
      </c>
      <c r="DD92" s="172" cm="1">
        <f t="array" aca="1" ref="DD92" ca="1">IF(OR($D92&lt;&gt;"Serviço",AND(AUTOEVENTO="Manual",$M92=$A$15),$M92&gt;(ROW(PLE.lastrow)-ROW(PLE.firstrow))),0,
           IF(OFFSET(PLE!$G$15,$M92-$A$15,DD$13)="",10^12,OFFSET(PLE!$G$15,$M92-$A$15,DD$13)))</f>
        <v>1000000000000</v>
      </c>
      <c r="DE92" s="172" cm="1">
        <f t="array" aca="1" ref="DE92" ca="1">IF(OR($D92&lt;&gt;"Serviço",AND(AUTOEVENTO="Manual",$M92=$A$15),$M92&gt;(ROW(PLE.lastrow)-ROW(PLE.firstrow))),0,
           IF(OFFSET(PLE!$G$15,$M92-$A$15,DE$13)="",10^12,OFFSET(PLE!$G$15,$M92-$A$15,DE$13)))</f>
        <v>1000000000000</v>
      </c>
      <c r="DF92" s="172" cm="1">
        <f t="array" aca="1" ref="DF92" ca="1">IF(OR($D92&lt;&gt;"Serviço",AND(AUTOEVENTO="Manual",$M92=$A$15),$M92&gt;(ROW(PLE.lastrow)-ROW(PLE.firstrow))),0,
           IF(OFFSET(PLE!$G$15,$M92-$A$15,DF$13)="",10^12,OFFSET(PLE!$G$15,$M92-$A$15,DF$13)))</f>
        <v>1000000000000</v>
      </c>
      <c r="DG92" s="172" cm="1">
        <f t="array" aca="1" ref="DG92" ca="1">IF(OR($D92&lt;&gt;"Serviço",AND(AUTOEVENTO="Manual",$M92=$A$15),$M92&gt;(ROW(PLE.lastrow)-ROW(PLE.firstrow))),0,
           IF(OFFSET(PLE!$G$15,$M92-$A$15,DG$13)="",10^12,OFFSET(PLE!$G$15,$M92-$A$15,DG$13)))</f>
        <v>1000000000000</v>
      </c>
      <c r="DH92" s="172" cm="1">
        <f t="array" aca="1" ref="DH92" ca="1">IF(OR($D92&lt;&gt;"Serviço",AND(AUTOEVENTO="Manual",$M92=$A$15),$M92&gt;(ROW(PLE.lastrow)-ROW(PLE.firstrow))),0,
           IF(OFFSET(PLE!$G$15,$M92-$A$15,DH$13)="",10^12,OFFSET(PLE!$G$15,$M92-$A$15,DH$13)))</f>
        <v>1000000000000</v>
      </c>
      <c r="DI92" s="172" cm="1">
        <f t="array" aca="1" ref="DI92" ca="1">IF(OR($D92&lt;&gt;"Serviço",AND(AUTOEVENTO="Manual",$M92=$A$15),$M92&gt;(ROW(PLE.lastrow)-ROW(PLE.firstrow))),0,
           IF(OFFSET(PLE!$G$15,$M92-$A$15,DI$13)="",10^12,OFFSET(PLE!$G$15,$M92-$A$15,DI$13)))</f>
        <v>1000000000000</v>
      </c>
      <c r="DJ92" s="172" cm="1">
        <f t="array" aca="1" ref="DJ92" ca="1">IF(OR($D92&lt;&gt;"Serviço",AND(AUTOEVENTO="Manual",$M92=$A$15),$M92&gt;(ROW(PLE.lastrow)-ROW(PLE.firstrow))),0,
           IF(OFFSET(PLE!$G$15,$M92-$A$15,DJ$13)="",10^12,OFFSET(PLE!$G$15,$M92-$A$15,DJ$13)))</f>
        <v>1000000000000</v>
      </c>
      <c r="DK92" s="172" cm="1">
        <f t="array" aca="1" ref="DK92" ca="1">IF(OR($D92&lt;&gt;"Serviço",AND(AUTOEVENTO="Manual",$M92=$A$15),$M92&gt;(ROW(PLE.lastrow)-ROW(PLE.firstrow))),0,
           IF(OFFSET(PLE!$G$15,$M92-$A$15,DK$13)="",10^12,OFFSET(PLE!$G$15,$M92-$A$15,DK$13)))</f>
        <v>1000000000000</v>
      </c>
      <c r="DL92" s="172" cm="1">
        <f t="array" aca="1" ref="DL92" ca="1">IF(OR($D92&lt;&gt;"Serviço",AND(AUTOEVENTO="Manual",$M92=$A$15),$M92&gt;(ROW(PLE.lastrow)-ROW(PLE.firstrow))),0,
           IF(OFFSET(PLE!$G$15,$M92-$A$15,DL$13)="",10^12,OFFSET(PLE!$G$15,$M92-$A$15,DL$13)))</f>
        <v>1000000000000</v>
      </c>
      <c r="DM92" s="172" cm="1">
        <f t="array" aca="1" ref="DM92" ca="1">IF(OR($D92&lt;&gt;"Serviço",AND(AUTOEVENTO="Manual",$M92=$A$15),$M92&gt;(ROW(PLE.lastrow)-ROW(PLE.firstrow))),0,
           IF(OFFSET(PLE!$G$15,$M92-$A$15,DM$13)="",10^12,OFFSET(PLE!$G$15,$M92-$A$15,DM$13)))</f>
        <v>1000000000000</v>
      </c>
      <c r="DN92" s="172" cm="1">
        <f t="array" aca="1" ref="DN92" ca="1">IF(OR($D92&lt;&gt;"Serviço",AND(AUTOEVENTO="Manual",$M92=$A$15),$M92&gt;(ROW(PLE.lastrow)-ROW(PLE.firstrow))),0,
           IF(OFFSET(PLE!$G$15,$M92-$A$15,DN$13)="",10^12,OFFSET(PLE!$G$15,$M92-$A$15,DN$13)))</f>
        <v>1000000000000</v>
      </c>
      <c r="DO92" s="172" cm="1">
        <f t="array" aca="1" ref="DO92" ca="1">IF(OR($D92&lt;&gt;"Serviço",AND(AUTOEVENTO="Manual",$M92=$A$15),$M92&gt;(ROW(PLE.lastrow)-ROW(PLE.firstrow))),0,
           IF(OFFSET(PLE!$G$15,$M92-$A$15,DO$13)="",10^12,OFFSET(PLE!$G$15,$M92-$A$15,DO$13)))</f>
        <v>1000000000000</v>
      </c>
      <c r="DP92" s="172" cm="1">
        <f t="array" aca="1" ref="DP92" ca="1">IF(OR($D92&lt;&gt;"Serviço",AND(AUTOEVENTO="Manual",$M92=$A$15),$M92&gt;(ROW(PLE.lastrow)-ROW(PLE.firstrow))),0,
           IF(OFFSET(PLE!$G$15,$M92-$A$15,DP$13)="",10^12,OFFSET(PLE!$G$15,$M92-$A$15,DP$13)))</f>
        <v>1000000000000</v>
      </c>
      <c r="DQ92" s="172" cm="1">
        <f t="array" aca="1" ref="DQ92" ca="1">IF(OR($D92&lt;&gt;"Serviço",AND(AUTOEVENTO="Manual",$M92=$A$15),$M92&gt;(ROW(PLE.lastrow)-ROW(PLE.firstrow))),0,
           IF(OFFSET(PLE!$G$15,$M92-$A$15,DQ$13)="",10^12,OFFSET(PLE!$G$15,$M92-$A$15,DQ$13)))</f>
        <v>1000000000000</v>
      </c>
      <c r="DR92" s="172" cm="1">
        <f t="array" aca="1" ref="DR92" ca="1">IF(OR($D92&lt;&gt;"Serviço",AND(AUTOEVENTO="Manual",$M92=$A$15),$M92&gt;(ROW(PLE.lastrow)-ROW(PLE.firstrow))),0,
           IF(OFFSET(PLE!$G$15,$M92-$A$15,DR$13)="",10^12,OFFSET(PLE!$G$15,$M92-$A$15,DR$13)))</f>
        <v>1000000000000</v>
      </c>
      <c r="DS92" s="172" cm="1">
        <f t="array" aca="1" ref="DS92" ca="1">IF(OR($D92&lt;&gt;"Serviço",AND(AUTOEVENTO="Manual",$M92=$A$15),$M92&gt;(ROW(PLE.lastrow)-ROW(PLE.firstrow))),0,
           IF(OFFSET(PLE!$G$15,$M92-$A$15,DS$13)="",10^12,OFFSET(PLE!$G$15,$M92-$A$15,DS$13)))</f>
        <v>1000000000000</v>
      </c>
    </row>
    <row r="93" spans="1:123" ht="38.25" x14ac:dyDescent="0.2">
      <c r="A93" s="7">
        <f t="shared" ca="1" si="13"/>
        <v>7</v>
      </c>
      <c r="B93" s="7" t="str">
        <f ca="1">OFFSET(ORÇAMENTO!C$15,$L93,0)</f>
        <v>S</v>
      </c>
      <c r="C93" s="7" t="str">
        <f ca="1">OFFSET(ORÇAMENTO!L$15,$L93,0)</f>
        <v/>
      </c>
      <c r="D93" s="116" t="str">
        <f ca="1">OFFSET(ORÇAMENTO!N$15,$L93,0)</f>
        <v>Serviço</v>
      </c>
      <c r="E93" s="117" t="str">
        <f ca="1">OFFSET(ORÇAMENTO!O$15,$L93,0)</f>
        <v>-</v>
      </c>
      <c r="F93" s="163" t="str">
        <f ca="1">OFFSET(ORÇAMENTO!R$15,$L93,0)</f>
        <v>(Código não identificado nas referências)</v>
      </c>
      <c r="G93" s="164" t="str">
        <f ca="1">IF($D93&lt;&gt;"Serviço","",OFFSET(ORÇAMENTO!S$15,$L93,0))</f>
        <v>-</v>
      </c>
      <c r="H93" s="122" cm="1">
        <f t="array" aca="1" ref="H93" ca="1">IF($D93&lt;&gt;"Serviço",0,IF(ACOMPANHAMENTO="BM",ROUND(OFFSET(ORÇAMENTO!AJ$15,$L93,0),15-13*ORÇAMENTO!$AF$7),IF(IFERROR(CÁLCULO.FrentesPreenchidas,0)=0,0,SUM(ROUND(OFFSET($P93,0,1,1,CÁLCULO.FrentesPreenchidas),15-13*ORÇAMENTO!$AF$7)))))</f>
        <v>76.80000000000004</v>
      </c>
      <c r="I93" s="468" t="s">
        <v>1235</v>
      </c>
      <c r="J93" s="651" t="str" cm="1">
        <f t="array" aca="1" ref="J93" ca="1">IF(OR(B93&lt;&gt;"S",CÁLCULO.FrentesPreenchidas=0),"",IF(AND(ACOMPANHAMENTO="PLE",AUTOEVENTO="Manual",OR(H93&gt;0,ORÇAMENTO!AC93="QUANT."),OR(K93="",M93=0,N93="")),"►E",IF(AND(ACOMPANHAMENTO="PLE",ORÇAMENTO!AC93="QUANT."),"►Q",IF(AND(ACOMPANHAMENTO="PLE",H93&lt;&gt;SUMPRODUCT(($Q$1:$AQ$1=1)*ROUND(Q93:AQ93,15))),"►S",IF(AND(COUNTIF($P$11:$AQ$11,"▼")=0,H93&gt;0,I93=""),"◄M","")))))</f>
        <v/>
      </c>
      <c r="K93" s="652" t="s">
        <v>1255</v>
      </c>
      <c r="L93" s="165">
        <f t="shared" ca="1" si="14"/>
        <v>78</v>
      </c>
      <c r="M93" s="166">
        <f ca="1">IF($D93&lt;&gt;"Serviço","",
          IF(AUTOEVENTO="manual",$A93,
                IF(ISERROR(MATCH($A93,$A$15:OFFSET($A93,-1,0),0)),MAX($M$15:OFFSET(M93,-1,0))+1,
                      INDEX($M$15:OFFSET(M93,-1,0),MATCH($A93,$A$15:OFFSET($A93,-1,0),0)))))</f>
        <v>7</v>
      </c>
      <c r="N93" s="167" t="str">
        <f ca="1">IF($D93&lt;&gt;"Serviço","",
         IF(AUTOEVENTO="Manual",
                IF($A93=0,"&lt;-- defina o número do agrupador",
                       OFFSET(EVENTOS!$D$15,$A93-$A$15,0)),
                OFFSET($F$15,$A93,0)))</f>
        <v>REVESTIMENTOS</v>
      </c>
      <c r="O93" s="168"/>
      <c r="Q93" s="168">
        <v>3.84</v>
      </c>
      <c r="R93" s="169">
        <v>3.84</v>
      </c>
      <c r="S93" s="169">
        <v>3.84</v>
      </c>
      <c r="T93" s="169">
        <v>3.84</v>
      </c>
      <c r="U93" s="169">
        <v>3.84</v>
      </c>
      <c r="V93" s="169">
        <v>3.84</v>
      </c>
      <c r="W93" s="169">
        <v>3.84</v>
      </c>
      <c r="X93" s="169">
        <v>3.84</v>
      </c>
      <c r="Y93" s="169">
        <v>3.84</v>
      </c>
      <c r="Z93" s="170">
        <v>3.84</v>
      </c>
      <c r="AA93" s="169">
        <v>3.84</v>
      </c>
      <c r="AB93" s="169">
        <v>3.84</v>
      </c>
      <c r="AC93" s="169">
        <v>3.84</v>
      </c>
      <c r="AD93" s="169">
        <v>3.84</v>
      </c>
      <c r="AE93" s="169">
        <v>3.84</v>
      </c>
      <c r="AF93" s="169">
        <v>3.84</v>
      </c>
      <c r="AG93" s="169">
        <v>3.84</v>
      </c>
      <c r="AH93" s="170">
        <v>3.84</v>
      </c>
      <c r="AI93" s="169">
        <v>3.84</v>
      </c>
      <c r="AJ93" s="169">
        <v>3.84</v>
      </c>
      <c r="AK93" s="169"/>
      <c r="AL93" s="169"/>
      <c r="AM93" s="169"/>
      <c r="AN93" s="169"/>
      <c r="AO93" s="169"/>
      <c r="AP93" s="170"/>
      <c r="AR93" s="453">
        <f ca="1">IF(AND($D93="Serviço",AR$12&lt;&gt;0,$H93&gt;0,OR(AUTOEVENTO&lt;&gt;"manual",$M93&lt;&gt;$A$15)),
        IF(Import.TipoArredondamento&lt;&gt;"TransfereGOV",
              ROUND(OFFSET($P93,0,AR$13),15-13*ORÇAMENTO!$AF$7)/$H93*OFFSET(ORÇAMENTO!$X$15,ROW(AR93)-ROW(AR$15),0),
              ROUND(ROUND(OFFSET($P93,0,AR$13),15-13*ORÇAMENTO!$AF$7)*OFFSET(ORÇAMENTO!$W$15,ROW(AR93)-ROW(AR$15),0),15-13*ORÇAMENTO!$AF$11)),
         0)</f>
        <v>0</v>
      </c>
      <c r="AS93" s="453">
        <f ca="1">IF(AND($D93="Serviço",AS$12&lt;&gt;0,$H93&gt;0,OR(AUTOEVENTO&lt;&gt;"manual",$M93&lt;&gt;$A$15)),
        IF(Import.TipoArredondamento&lt;&gt;"TransfereGOV",
              ROUND(OFFSET($P93,0,AS$13),15-13*ORÇAMENTO!$AF$7)/$H93*OFFSET(ORÇAMENTO!$X$15,ROW(AS93)-ROW(AS$15),0),
              ROUND(ROUND(OFFSET($P93,0,AS$13),15-13*ORÇAMENTO!$AF$7)*OFFSET(ORÇAMENTO!$W$15,ROW(AS93)-ROW(AS$15),0),15-13*ORÇAMENTO!$AF$11)),
         0)</f>
        <v>0</v>
      </c>
      <c r="AT93" s="453">
        <f ca="1">IF(AND($D93="Serviço",AT$12&lt;&gt;0,$H93&gt;0,OR(AUTOEVENTO&lt;&gt;"manual",$M93&lt;&gt;$A$15)),
        IF(Import.TipoArredondamento&lt;&gt;"TransfereGOV",
              ROUND(OFFSET($P93,0,AT$13),15-13*ORÇAMENTO!$AF$7)/$H93*OFFSET(ORÇAMENTO!$X$15,ROW(AT93)-ROW(AT$15),0),
              ROUND(ROUND(OFFSET($P93,0,AT$13),15-13*ORÇAMENTO!$AF$7)*OFFSET(ORÇAMENTO!$W$15,ROW(AT93)-ROW(AT$15),0),15-13*ORÇAMENTO!$AF$11)),
         0)</f>
        <v>0</v>
      </c>
      <c r="AU93" s="453">
        <f ca="1">IF(AND($D93="Serviço",AU$12&lt;&gt;0,$H93&gt;0,OR(AUTOEVENTO&lt;&gt;"manual",$M93&lt;&gt;$A$15)),
        IF(Import.TipoArredondamento&lt;&gt;"TransfereGOV",
              ROUND(OFFSET($P93,0,AU$13),15-13*ORÇAMENTO!$AF$7)/$H93*OFFSET(ORÇAMENTO!$X$15,ROW(AU93)-ROW(AU$15),0),
              ROUND(ROUND(OFFSET($P93,0,AU$13),15-13*ORÇAMENTO!$AF$7)*OFFSET(ORÇAMENTO!$W$15,ROW(AU93)-ROW(AU$15),0),15-13*ORÇAMENTO!$AF$11)),
         0)</f>
        <v>0</v>
      </c>
      <c r="AV93" s="453">
        <f ca="1">IF(AND($D93="Serviço",AV$12&lt;&gt;0,$H93&gt;0,OR(AUTOEVENTO&lt;&gt;"manual",$M93&lt;&gt;$A$15)),
        IF(Import.TipoArredondamento&lt;&gt;"TransfereGOV",
              ROUND(OFFSET($P93,0,AV$13),15-13*ORÇAMENTO!$AF$7)/$H93*OFFSET(ORÇAMENTO!$X$15,ROW(AV93)-ROW(AV$15),0),
              ROUND(ROUND(OFFSET($P93,0,AV$13),15-13*ORÇAMENTO!$AF$7)*OFFSET(ORÇAMENTO!$W$15,ROW(AV93)-ROW(AV$15),0),15-13*ORÇAMENTO!$AF$11)),
         0)</f>
        <v>0</v>
      </c>
      <c r="AW93" s="453">
        <f ca="1">IF(AND($D93="Serviço",AW$12&lt;&gt;0,$H93&gt;0,OR(AUTOEVENTO&lt;&gt;"manual",$M93&lt;&gt;$A$15)),
        IF(Import.TipoArredondamento&lt;&gt;"TransfereGOV",
              ROUND(OFFSET($P93,0,AW$13),15-13*ORÇAMENTO!$AF$7)/$H93*OFFSET(ORÇAMENTO!$X$15,ROW(AW93)-ROW(AW$15),0),
              ROUND(ROUND(OFFSET($P93,0,AW$13),15-13*ORÇAMENTO!$AF$7)*OFFSET(ORÇAMENTO!$W$15,ROW(AW93)-ROW(AW$15),0),15-13*ORÇAMENTO!$AF$11)),
         0)</f>
        <v>0</v>
      </c>
      <c r="AX93" s="453">
        <f ca="1">IF(AND($D93="Serviço",AX$12&lt;&gt;0,$H93&gt;0,OR(AUTOEVENTO&lt;&gt;"manual",$M93&lt;&gt;$A$15)),
        IF(Import.TipoArredondamento&lt;&gt;"TransfereGOV",
              ROUND(OFFSET($P93,0,AX$13),15-13*ORÇAMENTO!$AF$7)/$H93*OFFSET(ORÇAMENTO!$X$15,ROW(AX93)-ROW(AX$15),0),
              ROUND(ROUND(OFFSET($P93,0,AX$13),15-13*ORÇAMENTO!$AF$7)*OFFSET(ORÇAMENTO!$W$15,ROW(AX93)-ROW(AX$15),0),15-13*ORÇAMENTO!$AF$11)),
         0)</f>
        <v>0</v>
      </c>
      <c r="AY93" s="453">
        <f ca="1">IF(AND($D93="Serviço",AY$12&lt;&gt;0,$H93&gt;0,OR(AUTOEVENTO&lt;&gt;"manual",$M93&lt;&gt;$A$15)),
        IF(Import.TipoArredondamento&lt;&gt;"TransfereGOV",
              ROUND(OFFSET($P93,0,AY$13),15-13*ORÇAMENTO!$AF$7)/$H93*OFFSET(ORÇAMENTO!$X$15,ROW(AY93)-ROW(AY$15),0),
              ROUND(ROUND(OFFSET($P93,0,AY$13),15-13*ORÇAMENTO!$AF$7)*OFFSET(ORÇAMENTO!$W$15,ROW(AY93)-ROW(AY$15),0),15-13*ORÇAMENTO!$AF$11)),
         0)</f>
        <v>0</v>
      </c>
      <c r="AZ93" s="453">
        <f ca="1">IF(AND($D93="Serviço",AZ$12&lt;&gt;0,$H93&gt;0,OR(AUTOEVENTO&lt;&gt;"manual",$M93&lt;&gt;$A$15)),
        IF(Import.TipoArredondamento&lt;&gt;"TransfereGOV",
              ROUND(OFFSET($P93,0,AZ$13),15-13*ORÇAMENTO!$AF$7)/$H93*OFFSET(ORÇAMENTO!$X$15,ROW(AZ93)-ROW(AZ$15),0),
              ROUND(ROUND(OFFSET($P93,0,AZ$13),15-13*ORÇAMENTO!$AF$7)*OFFSET(ORÇAMENTO!$W$15,ROW(AZ93)-ROW(AZ$15),0),15-13*ORÇAMENTO!$AF$11)),
         0)</f>
        <v>0</v>
      </c>
      <c r="BA93" s="453">
        <f ca="1">IF(AND($D93="Serviço",BA$12&lt;&gt;0,$H93&gt;0,OR(AUTOEVENTO&lt;&gt;"manual",$M93&lt;&gt;$A$15)),
        IF(Import.TipoArredondamento&lt;&gt;"TransfereGOV",
              ROUND(OFFSET($P93,0,BA$13),15-13*ORÇAMENTO!$AF$7)/$H93*OFFSET(ORÇAMENTO!$X$15,ROW(BA93)-ROW(BA$15),0),
              ROUND(ROUND(OFFSET($P93,0,BA$13),15-13*ORÇAMENTO!$AF$7)*OFFSET(ORÇAMENTO!$W$15,ROW(BA93)-ROW(BA$15),0),15-13*ORÇAMENTO!$AF$11)),
         0)</f>
        <v>0</v>
      </c>
      <c r="BB93" s="453">
        <f ca="1">IF(AND($D93="Serviço",BB$12&lt;&gt;0,$H93&gt;0,OR(AUTOEVENTO&lt;&gt;"manual",$M93&lt;&gt;$A$15)),
        IF(Import.TipoArredondamento&lt;&gt;"TransfereGOV",
              ROUND(OFFSET($P93,0,BB$13),15-13*ORÇAMENTO!$AF$7)/$H93*OFFSET(ORÇAMENTO!$X$15,ROW(BB93)-ROW(BB$15),0),
              ROUND(ROUND(OFFSET($P93,0,BB$13),15-13*ORÇAMENTO!$AF$7)*OFFSET(ORÇAMENTO!$W$15,ROW(BB93)-ROW(BB$15),0),15-13*ORÇAMENTO!$AF$11)),
         0)</f>
        <v>0</v>
      </c>
      <c r="BC93" s="453">
        <f ca="1">IF(AND($D93="Serviço",BC$12&lt;&gt;0,$H93&gt;0,OR(AUTOEVENTO&lt;&gt;"manual",$M93&lt;&gt;$A$15)),
        IF(Import.TipoArredondamento&lt;&gt;"TransfereGOV",
              ROUND(OFFSET($P93,0,BC$13),15-13*ORÇAMENTO!$AF$7)/$H93*OFFSET(ORÇAMENTO!$X$15,ROW(BC93)-ROW(BC$15),0),
              ROUND(ROUND(OFFSET($P93,0,BC$13),15-13*ORÇAMENTO!$AF$7)*OFFSET(ORÇAMENTO!$W$15,ROW(BC93)-ROW(BC$15),0),15-13*ORÇAMENTO!$AF$11)),
         0)</f>
        <v>0</v>
      </c>
      <c r="BD93" s="453">
        <f ca="1">IF(AND($D93="Serviço",BD$12&lt;&gt;0,$H93&gt;0,OR(AUTOEVENTO&lt;&gt;"manual",$M93&lt;&gt;$A$15)),
        IF(Import.TipoArredondamento&lt;&gt;"TransfereGOV",
              ROUND(OFFSET($P93,0,BD$13),15-13*ORÇAMENTO!$AF$7)/$H93*OFFSET(ORÇAMENTO!$X$15,ROW(BD93)-ROW(BD$15),0),
              ROUND(ROUND(OFFSET($P93,0,BD$13),15-13*ORÇAMENTO!$AF$7)*OFFSET(ORÇAMENTO!$W$15,ROW(BD93)-ROW(BD$15),0),15-13*ORÇAMENTO!$AF$11)),
         0)</f>
        <v>0</v>
      </c>
      <c r="BE93" s="453">
        <f ca="1">IF(AND($D93="Serviço",BE$12&lt;&gt;0,$H93&gt;0,OR(AUTOEVENTO&lt;&gt;"manual",$M93&lt;&gt;$A$15)),
        IF(Import.TipoArredondamento&lt;&gt;"TransfereGOV",
              ROUND(OFFSET($P93,0,BE$13),15-13*ORÇAMENTO!$AF$7)/$H93*OFFSET(ORÇAMENTO!$X$15,ROW(BE93)-ROW(BE$15),0),
              ROUND(ROUND(OFFSET($P93,0,BE$13),15-13*ORÇAMENTO!$AF$7)*OFFSET(ORÇAMENTO!$W$15,ROW(BE93)-ROW(BE$15),0),15-13*ORÇAMENTO!$AF$11)),
         0)</f>
        <v>0</v>
      </c>
      <c r="BF93" s="453">
        <f ca="1">IF(AND($D93="Serviço",BF$12&lt;&gt;0,$H93&gt;0,OR(AUTOEVENTO&lt;&gt;"manual",$M93&lt;&gt;$A$15)),
        IF(Import.TipoArredondamento&lt;&gt;"TransfereGOV",
              ROUND(OFFSET($P93,0,BF$13),15-13*ORÇAMENTO!$AF$7)/$H93*OFFSET(ORÇAMENTO!$X$15,ROW(BF93)-ROW(BF$15),0),
              ROUND(ROUND(OFFSET($P93,0,BF$13),15-13*ORÇAMENTO!$AF$7)*OFFSET(ORÇAMENTO!$W$15,ROW(BF93)-ROW(BF$15),0),15-13*ORÇAMENTO!$AF$11)),
         0)</f>
        <v>0</v>
      </c>
      <c r="BG93" s="453">
        <f ca="1">IF(AND($D93="Serviço",BG$12&lt;&gt;0,$H93&gt;0,OR(AUTOEVENTO&lt;&gt;"manual",$M93&lt;&gt;$A$15)),
        IF(Import.TipoArredondamento&lt;&gt;"TransfereGOV",
              ROUND(OFFSET($P93,0,BG$13),15-13*ORÇAMENTO!$AF$7)/$H93*OFFSET(ORÇAMENTO!$X$15,ROW(BG93)-ROW(BG$15),0),
              ROUND(ROUND(OFFSET($P93,0,BG$13),15-13*ORÇAMENTO!$AF$7)*OFFSET(ORÇAMENTO!$W$15,ROW(BG93)-ROW(BG$15),0),15-13*ORÇAMENTO!$AF$11)),
         0)</f>
        <v>0</v>
      </c>
      <c r="BH93" s="453">
        <f ca="1">IF(AND($D93="Serviço",BH$12&lt;&gt;0,$H93&gt;0,OR(AUTOEVENTO&lt;&gt;"manual",$M93&lt;&gt;$A$15)),
        IF(Import.TipoArredondamento&lt;&gt;"TransfereGOV",
              ROUND(OFFSET($P93,0,BH$13),15-13*ORÇAMENTO!$AF$7)/$H93*OFFSET(ORÇAMENTO!$X$15,ROW(BH93)-ROW(BH$15),0),
              ROUND(ROUND(OFFSET($P93,0,BH$13),15-13*ORÇAMENTO!$AF$7)*OFFSET(ORÇAMENTO!$W$15,ROW(BH93)-ROW(BH$15),0),15-13*ORÇAMENTO!$AF$11)),
         0)</f>
        <v>0</v>
      </c>
      <c r="BI93" s="453">
        <f ca="1">IF(AND($D93="Serviço",BI$12&lt;&gt;0,$H93&gt;0,OR(AUTOEVENTO&lt;&gt;"manual",$M93&lt;&gt;$A$15)),
        IF(Import.TipoArredondamento&lt;&gt;"TransfereGOV",
              ROUND(OFFSET($P93,0,BI$13),15-13*ORÇAMENTO!$AF$7)/$H93*OFFSET(ORÇAMENTO!$X$15,ROW(BI93)-ROW(BI$15),0),
              ROUND(ROUND(OFFSET($P93,0,BI$13),15-13*ORÇAMENTO!$AF$7)*OFFSET(ORÇAMENTO!$W$15,ROW(BI93)-ROW(BI$15),0),15-13*ORÇAMENTO!$AF$11)),
         0)</f>
        <v>0</v>
      </c>
      <c r="BJ93" s="453">
        <f ca="1">IF(AND($D93="Serviço",BJ$12&lt;&gt;0,$H93&gt;0,OR(AUTOEVENTO&lt;&gt;"manual",$M93&lt;&gt;$A$15)),
        IF(Import.TipoArredondamento&lt;&gt;"TransfereGOV",
              ROUND(OFFSET($P93,0,BJ$13),15-13*ORÇAMENTO!$AF$7)/$H93*OFFSET(ORÇAMENTO!$X$15,ROW(BJ93)-ROW(BJ$15),0),
              ROUND(ROUND(OFFSET($P93,0,BJ$13),15-13*ORÇAMENTO!$AF$7)*OFFSET(ORÇAMENTO!$W$15,ROW(BJ93)-ROW(BJ$15),0),15-13*ORÇAMENTO!$AF$11)),
         0)</f>
        <v>0</v>
      </c>
      <c r="BK93" s="453">
        <f ca="1">IF(AND($D93="Serviço",BK$12&lt;&gt;0,$H93&gt;0,OR(AUTOEVENTO&lt;&gt;"manual",$M93&lt;&gt;$A$15)),
        IF(Import.TipoArredondamento&lt;&gt;"TransfereGOV",
              ROUND(OFFSET($P93,0,BK$13),15-13*ORÇAMENTO!$AF$7)/$H93*OFFSET(ORÇAMENTO!$X$15,ROW(BK93)-ROW(BK$15),0),
              ROUND(ROUND(OFFSET($P93,0,BK$13),15-13*ORÇAMENTO!$AF$7)*OFFSET(ORÇAMENTO!$W$15,ROW(BK93)-ROW(BK$15),0),15-13*ORÇAMENTO!$AF$11)),
         0)</f>
        <v>0</v>
      </c>
      <c r="BL93" s="453">
        <f ca="1">IF(AND($D93="Serviço",BL$12&lt;&gt;0,$H93&gt;0,OR(AUTOEVENTO&lt;&gt;"manual",$M93&lt;&gt;$A$15)),
        IF(Import.TipoArredondamento&lt;&gt;"TransfereGOV",
              ROUND(OFFSET($P93,0,BL$13),15-13*ORÇAMENTO!$AF$7)/$H93*OFFSET(ORÇAMENTO!$X$15,ROW(BL93)-ROW(BL$15),0),
              ROUND(ROUND(OFFSET($P93,0,BL$13),15-13*ORÇAMENTO!$AF$7)*OFFSET(ORÇAMENTO!$W$15,ROW(BL93)-ROW(BL$15),0),15-13*ORÇAMENTO!$AF$11)),
         0)</f>
        <v>0</v>
      </c>
      <c r="BM93" s="453">
        <f ca="1">IF(AND($D93="Serviço",BM$12&lt;&gt;0,$H93&gt;0,OR(AUTOEVENTO&lt;&gt;"manual",$M93&lt;&gt;$A$15)),
        IF(Import.TipoArredondamento&lt;&gt;"TransfereGOV",
              ROUND(OFFSET($P93,0,BM$13),15-13*ORÇAMENTO!$AF$7)/$H93*OFFSET(ORÇAMENTO!$X$15,ROW(BM93)-ROW(BM$15),0),
              ROUND(ROUND(OFFSET($P93,0,BM$13),15-13*ORÇAMENTO!$AF$7)*OFFSET(ORÇAMENTO!$W$15,ROW(BM93)-ROW(BM$15),0),15-13*ORÇAMENTO!$AF$11)),
         0)</f>
        <v>0</v>
      </c>
      <c r="BN93" s="453">
        <f ca="1">IF(AND($D93="Serviço",BN$12&lt;&gt;0,$H93&gt;0,OR(AUTOEVENTO&lt;&gt;"manual",$M93&lt;&gt;$A$15)),
        IF(Import.TipoArredondamento&lt;&gt;"TransfereGOV",
              ROUND(OFFSET($P93,0,BN$13),15-13*ORÇAMENTO!$AF$7)/$H93*OFFSET(ORÇAMENTO!$X$15,ROW(BN93)-ROW(BN$15),0),
              ROUND(ROUND(OFFSET($P93,0,BN$13),15-13*ORÇAMENTO!$AF$7)*OFFSET(ORÇAMENTO!$W$15,ROW(BN93)-ROW(BN$15),0),15-13*ORÇAMENTO!$AF$11)),
         0)</f>
        <v>0</v>
      </c>
      <c r="BO93" s="453">
        <f ca="1">IF(AND($D93="Serviço",BO$12&lt;&gt;0,$H93&gt;0,OR(AUTOEVENTO&lt;&gt;"manual",$M93&lt;&gt;$A$15)),
        IF(Import.TipoArredondamento&lt;&gt;"TransfereGOV",
              ROUND(OFFSET($P93,0,BO$13),15-13*ORÇAMENTO!$AF$7)/$H93*OFFSET(ORÇAMENTO!$X$15,ROW(BO93)-ROW(BO$15),0),
              ROUND(ROUND(OFFSET($P93,0,BO$13),15-13*ORÇAMENTO!$AF$7)*OFFSET(ORÇAMENTO!$W$15,ROW(BO93)-ROW(BO$15),0),15-13*ORÇAMENTO!$AF$11)),
         0)</f>
        <v>0</v>
      </c>
      <c r="BP93" s="453">
        <f ca="1">IF(AND($D93="Serviço",BP$12&lt;&gt;0,$H93&gt;0,OR(AUTOEVENTO&lt;&gt;"manual",$M93&lt;&gt;$A$15)),
        IF(Import.TipoArredondamento&lt;&gt;"TransfereGOV",
              ROUND(OFFSET($P93,0,BP$13),15-13*ORÇAMENTO!$AF$7)/$H93*OFFSET(ORÇAMENTO!$X$15,ROW(BP93)-ROW(BP$15),0),
              ROUND(ROUND(OFFSET($P93,0,BP$13),15-13*ORÇAMENTO!$AF$7)*OFFSET(ORÇAMENTO!$W$15,ROW(BP93)-ROW(BP$15),0),15-13*ORÇAMENTO!$AF$11)),
         0)</f>
        <v>0</v>
      </c>
      <c r="BQ93" s="453">
        <f ca="1">IF(AND($D93="Serviço",BQ$12&lt;&gt;0,$H93&gt;0,OR(AUTOEVENTO&lt;&gt;"manual",$M93&lt;&gt;$A$15)),
        IF(Import.TipoArredondamento&lt;&gt;"TransfereGOV",
              ROUND(OFFSET($P93,0,BQ$13),15-13*ORÇAMENTO!$AF$7)/$H93*OFFSET(ORÇAMENTO!$X$15,ROW(BQ93)-ROW(BQ$15),0),
              ROUND(ROUND(OFFSET($P93,0,BQ$13),15-13*ORÇAMENTO!$AF$7)*OFFSET(ORÇAMENTO!$W$15,ROW(BQ93)-ROW(BQ$15),0),15-13*ORÇAMENTO!$AF$11)),
         0)</f>
        <v>0</v>
      </c>
      <c r="BS93" s="171">
        <f ca="1">IF(OR($D93&lt;&gt;"Serviço",AND(AUTOEVENTO="Manual",$M93=$A$15)),0,
         IF(OFFSET(CRONOPLE!$F$15,$M93-$A$15,BS$13)=0,10^12,OFFSET(CRONOPLE!$F$15,$M93-$A$15,BS$13)))</f>
        <v>1</v>
      </c>
      <c r="BT93" s="171">
        <f ca="1">IF(OR($D93&lt;&gt;"Serviço",AND(AUTOEVENTO="Manual",$M93=$A$15)),0,
         IF(OFFSET(CRONOPLE!$F$15,$M93-$A$15,BT$13)=0,10^12,OFFSET(CRONOPLE!$F$15,$M93-$A$15,BT$13)))</f>
        <v>2</v>
      </c>
      <c r="BU93" s="171">
        <f ca="1">IF(OR($D93&lt;&gt;"Serviço",AND(AUTOEVENTO="Manual",$M93=$A$15)),0,
         IF(OFFSET(CRONOPLE!$F$15,$M93-$A$15,BU$13)=0,10^12,OFFSET(CRONOPLE!$F$15,$M93-$A$15,BU$13)))</f>
        <v>3</v>
      </c>
      <c r="BV93" s="171">
        <f ca="1">IF(OR($D93&lt;&gt;"Serviço",AND(AUTOEVENTO="Manual",$M93=$A$15)),0,
         IF(OFFSET(CRONOPLE!$F$15,$M93-$A$15,BV$13)=0,10^12,OFFSET(CRONOPLE!$F$15,$M93-$A$15,BV$13)))</f>
        <v>4</v>
      </c>
      <c r="BW93" s="171">
        <f ca="1">IF(OR($D93&lt;&gt;"Serviço",AND(AUTOEVENTO="Manual",$M93=$A$15)),0,
         IF(OFFSET(CRONOPLE!$F$15,$M93-$A$15,BW$13)=0,10^12,OFFSET(CRONOPLE!$F$15,$M93-$A$15,BW$13)))</f>
        <v>5</v>
      </c>
      <c r="BX93" s="171">
        <f ca="1">IF(OR($D93&lt;&gt;"Serviço",AND(AUTOEVENTO="Manual",$M93=$A$15)),0,
         IF(OFFSET(CRONOPLE!$F$15,$M93-$A$15,BX$13)=0,10^12,OFFSET(CRONOPLE!$F$15,$M93-$A$15,BX$13)))</f>
        <v>6</v>
      </c>
      <c r="BY93" s="171">
        <f ca="1">IF(OR($D93&lt;&gt;"Serviço",AND(AUTOEVENTO="Manual",$M93=$A$15)),0,
         IF(OFFSET(CRONOPLE!$F$15,$M93-$A$15,BY$13)=0,10^12,OFFSET(CRONOPLE!$F$15,$M93-$A$15,BY$13)))</f>
        <v>7</v>
      </c>
      <c r="BZ93" s="171">
        <f ca="1">IF(OR($D93&lt;&gt;"Serviço",AND(AUTOEVENTO="Manual",$M93=$A$15)),0,
         IF(OFFSET(CRONOPLE!$F$15,$M93-$A$15,BZ$13)=0,10^12,OFFSET(CRONOPLE!$F$15,$M93-$A$15,BZ$13)))</f>
        <v>8</v>
      </c>
      <c r="CA93" s="171">
        <f ca="1">IF(OR($D93&lt;&gt;"Serviço",AND(AUTOEVENTO="Manual",$M93=$A$15)),0,
         IF(OFFSET(CRONOPLE!$F$15,$M93-$A$15,CA$13)=0,10^12,OFFSET(CRONOPLE!$F$15,$M93-$A$15,CA$13)))</f>
        <v>9</v>
      </c>
      <c r="CB93" s="171">
        <f ca="1">IF(OR($D93&lt;&gt;"Serviço",AND(AUTOEVENTO="Manual",$M93=$A$15)),0,
         IF(OFFSET(CRONOPLE!$F$15,$M93-$A$15,CB$13)=0,10^12,OFFSET(CRONOPLE!$F$15,$M93-$A$15,CB$13)))</f>
        <v>10</v>
      </c>
      <c r="CC93" s="171">
        <f ca="1">IF(OR($D93&lt;&gt;"Serviço",AND(AUTOEVENTO="Manual",$M93=$A$15)),0,
         IF(OFFSET(CRONOPLE!$F$15,$M93-$A$15,CC$13)=0,10^12,OFFSET(CRONOPLE!$F$15,$M93-$A$15,CC$13)))</f>
        <v>11</v>
      </c>
      <c r="CD93" s="171">
        <f ca="1">IF(OR($D93&lt;&gt;"Serviço",AND(AUTOEVENTO="Manual",$M93=$A$15)),0,
         IF(OFFSET(CRONOPLE!$F$15,$M93-$A$15,CD$13)=0,10^12,OFFSET(CRONOPLE!$F$15,$M93-$A$15,CD$13)))</f>
        <v>12</v>
      </c>
      <c r="CE93" s="171">
        <f ca="1">IF(OR($D93&lt;&gt;"Serviço",AND(AUTOEVENTO="Manual",$M93=$A$15)),0,
         IF(OFFSET(CRONOPLE!$F$15,$M93-$A$15,CE$13)=0,10^12,OFFSET(CRONOPLE!$F$15,$M93-$A$15,CE$13)))</f>
        <v>13</v>
      </c>
      <c r="CF93" s="171">
        <f ca="1">IF(OR($D93&lt;&gt;"Serviço",AND(AUTOEVENTO="Manual",$M93=$A$15)),0,
         IF(OFFSET(CRONOPLE!$F$15,$M93-$A$15,CF$13)=0,10^12,OFFSET(CRONOPLE!$F$15,$M93-$A$15,CF$13)))</f>
        <v>14</v>
      </c>
      <c r="CG93" s="171">
        <f ca="1">IF(OR($D93&lt;&gt;"Serviço",AND(AUTOEVENTO="Manual",$M93=$A$15)),0,
         IF(OFFSET(CRONOPLE!$F$15,$M93-$A$15,CG$13)=0,10^12,OFFSET(CRONOPLE!$F$15,$M93-$A$15,CG$13)))</f>
        <v>15</v>
      </c>
      <c r="CH93" s="171">
        <f ca="1">IF(OR($D93&lt;&gt;"Serviço",AND(AUTOEVENTO="Manual",$M93=$A$15)),0,
         IF(OFFSET(CRONOPLE!$F$15,$M93-$A$15,CH$13)=0,10^12,OFFSET(CRONOPLE!$F$15,$M93-$A$15,CH$13)))</f>
        <v>16</v>
      </c>
      <c r="CI93" s="171">
        <f ca="1">IF(OR($D93&lt;&gt;"Serviço",AND(AUTOEVENTO="Manual",$M93=$A$15)),0,
         IF(OFFSET(CRONOPLE!$F$15,$M93-$A$15,CI$13)=0,10^12,OFFSET(CRONOPLE!$F$15,$M93-$A$15,CI$13)))</f>
        <v>17</v>
      </c>
      <c r="CJ93" s="171">
        <f ca="1">IF(OR($D93&lt;&gt;"Serviço",AND(AUTOEVENTO="Manual",$M93=$A$15)),0,
         IF(OFFSET(CRONOPLE!$F$15,$M93-$A$15,CJ$13)=0,10^12,OFFSET(CRONOPLE!$F$15,$M93-$A$15,CJ$13)))</f>
        <v>18</v>
      </c>
      <c r="CK93" s="171">
        <f ca="1">IF(OR($D93&lt;&gt;"Serviço",AND(AUTOEVENTO="Manual",$M93=$A$15)),0,
         IF(OFFSET(CRONOPLE!$F$15,$M93-$A$15,CK$13)=0,10^12,OFFSET(CRONOPLE!$F$15,$M93-$A$15,CK$13)))</f>
        <v>19</v>
      </c>
      <c r="CL93" s="171">
        <f ca="1">IF(OR($D93&lt;&gt;"Serviço",AND(AUTOEVENTO="Manual",$M93=$A$15)),0,
         IF(OFFSET(CRONOPLE!$F$15,$M93-$A$15,CL$13)=0,10^12,OFFSET(CRONOPLE!$F$15,$M93-$A$15,CL$13)))</f>
        <v>20</v>
      </c>
      <c r="CM93" s="171">
        <f ca="1">IF(OR($D93&lt;&gt;"Serviço",AND(AUTOEVENTO="Manual",$M93=$A$15)),0,
         IF(OFFSET(CRONOPLE!$F$15,$M93-$A$15,CM$13)=0,10^12,OFFSET(CRONOPLE!$F$15,$M93-$A$15,CM$13)))</f>
        <v>1000000000000</v>
      </c>
      <c r="CN93" s="171">
        <f ca="1">IF(OR($D93&lt;&gt;"Serviço",AND(AUTOEVENTO="Manual",$M93=$A$15)),0,
         IF(OFFSET(CRONOPLE!$F$15,$M93-$A$15,CN$13)=0,10^12,OFFSET(CRONOPLE!$F$15,$M93-$A$15,CN$13)))</f>
        <v>1000000000000</v>
      </c>
      <c r="CO93" s="171">
        <f ca="1">IF(OR($D93&lt;&gt;"Serviço",AND(AUTOEVENTO="Manual",$M93=$A$15)),0,
         IF(OFFSET(CRONOPLE!$F$15,$M93-$A$15,CO$13)=0,10^12,OFFSET(CRONOPLE!$F$15,$M93-$A$15,CO$13)))</f>
        <v>1000000000000</v>
      </c>
      <c r="CP93" s="171">
        <f ca="1">IF(OR($D93&lt;&gt;"Serviço",AND(AUTOEVENTO="Manual",$M93=$A$15)),0,
         IF(OFFSET(CRONOPLE!$F$15,$M93-$A$15,CP$13)=0,10^12,OFFSET(CRONOPLE!$F$15,$M93-$A$15,CP$13)))</f>
        <v>1000000000000</v>
      </c>
      <c r="CQ93" s="171">
        <f ca="1">IF(OR($D93&lt;&gt;"Serviço",AND(AUTOEVENTO="Manual",$M93=$A$15)),0,
         IF(OFFSET(CRONOPLE!$F$15,$M93-$A$15,CQ$13)=0,10^12,OFFSET(CRONOPLE!$F$15,$M93-$A$15,CQ$13)))</f>
        <v>1000000000000</v>
      </c>
      <c r="CR93" s="171">
        <f ca="1">IF(OR($D93&lt;&gt;"Serviço",AND(AUTOEVENTO="Manual",$M93=$A$15)),0,
         IF(OFFSET(CRONOPLE!$F$15,$M93-$A$15,CR$13)=0,10^12,OFFSET(CRONOPLE!$F$15,$M93-$A$15,CR$13)))</f>
        <v>1000000000000</v>
      </c>
      <c r="CT93" s="172" cm="1">
        <f t="array" aca="1" ref="CT93" ca="1">IF(OR($D93&lt;&gt;"Serviço",AND(AUTOEVENTO="Manual",$M93=$A$15),$M93&gt;(ROW(PLE.lastrow)-ROW(PLE.firstrow))),0,
           IF(OFFSET(PLE!$G$15,$M93-$A$15,CT$13)="",10^12,OFFSET(PLE!$G$15,$M93-$A$15,CT$13)))</f>
        <v>1000000000000</v>
      </c>
      <c r="CU93" s="172" cm="1">
        <f t="array" aca="1" ref="CU93" ca="1">IF(OR($D93&lt;&gt;"Serviço",AND(AUTOEVENTO="Manual",$M93=$A$15),$M93&gt;(ROW(PLE.lastrow)-ROW(PLE.firstrow))),0,
           IF(OFFSET(PLE!$G$15,$M93-$A$15,CU$13)="",10^12,OFFSET(PLE!$G$15,$M93-$A$15,CU$13)))</f>
        <v>1000000000000</v>
      </c>
      <c r="CV93" s="172" cm="1">
        <f t="array" aca="1" ref="CV93" ca="1">IF(OR($D93&lt;&gt;"Serviço",AND(AUTOEVENTO="Manual",$M93=$A$15),$M93&gt;(ROW(PLE.lastrow)-ROW(PLE.firstrow))),0,
           IF(OFFSET(PLE!$G$15,$M93-$A$15,CV$13)="",10^12,OFFSET(PLE!$G$15,$M93-$A$15,CV$13)))</f>
        <v>1000000000000</v>
      </c>
      <c r="CW93" s="172" cm="1">
        <f t="array" aca="1" ref="CW93" ca="1">IF(OR($D93&lt;&gt;"Serviço",AND(AUTOEVENTO="Manual",$M93=$A$15),$M93&gt;(ROW(PLE.lastrow)-ROW(PLE.firstrow))),0,
           IF(OFFSET(PLE!$G$15,$M93-$A$15,CW$13)="",10^12,OFFSET(PLE!$G$15,$M93-$A$15,CW$13)))</f>
        <v>1000000000000</v>
      </c>
      <c r="CX93" s="172" cm="1">
        <f t="array" aca="1" ref="CX93" ca="1">IF(OR($D93&lt;&gt;"Serviço",AND(AUTOEVENTO="Manual",$M93=$A$15),$M93&gt;(ROW(PLE.lastrow)-ROW(PLE.firstrow))),0,
           IF(OFFSET(PLE!$G$15,$M93-$A$15,CX$13)="",10^12,OFFSET(PLE!$G$15,$M93-$A$15,CX$13)))</f>
        <v>1000000000000</v>
      </c>
      <c r="CY93" s="172" cm="1">
        <f t="array" aca="1" ref="CY93" ca="1">IF(OR($D93&lt;&gt;"Serviço",AND(AUTOEVENTO="Manual",$M93=$A$15),$M93&gt;(ROW(PLE.lastrow)-ROW(PLE.firstrow))),0,
           IF(OFFSET(PLE!$G$15,$M93-$A$15,CY$13)="",10^12,OFFSET(PLE!$G$15,$M93-$A$15,CY$13)))</f>
        <v>1000000000000</v>
      </c>
      <c r="CZ93" s="172" cm="1">
        <f t="array" aca="1" ref="CZ93" ca="1">IF(OR($D93&lt;&gt;"Serviço",AND(AUTOEVENTO="Manual",$M93=$A$15),$M93&gt;(ROW(PLE.lastrow)-ROW(PLE.firstrow))),0,
           IF(OFFSET(PLE!$G$15,$M93-$A$15,CZ$13)="",10^12,OFFSET(PLE!$G$15,$M93-$A$15,CZ$13)))</f>
        <v>1000000000000</v>
      </c>
      <c r="DA93" s="172" cm="1">
        <f t="array" aca="1" ref="DA93" ca="1">IF(OR($D93&lt;&gt;"Serviço",AND(AUTOEVENTO="Manual",$M93=$A$15),$M93&gt;(ROW(PLE.lastrow)-ROW(PLE.firstrow))),0,
           IF(OFFSET(PLE!$G$15,$M93-$A$15,DA$13)="",10^12,OFFSET(PLE!$G$15,$M93-$A$15,DA$13)))</f>
        <v>1000000000000</v>
      </c>
      <c r="DB93" s="172" cm="1">
        <f t="array" aca="1" ref="DB93" ca="1">IF(OR($D93&lt;&gt;"Serviço",AND(AUTOEVENTO="Manual",$M93=$A$15),$M93&gt;(ROW(PLE.lastrow)-ROW(PLE.firstrow))),0,
           IF(OFFSET(PLE!$G$15,$M93-$A$15,DB$13)="",10^12,OFFSET(PLE!$G$15,$M93-$A$15,DB$13)))</f>
        <v>1000000000000</v>
      </c>
      <c r="DC93" s="172" cm="1">
        <f t="array" aca="1" ref="DC93" ca="1">IF(OR($D93&lt;&gt;"Serviço",AND(AUTOEVENTO="Manual",$M93=$A$15),$M93&gt;(ROW(PLE.lastrow)-ROW(PLE.firstrow))),0,
           IF(OFFSET(PLE!$G$15,$M93-$A$15,DC$13)="",10^12,OFFSET(PLE!$G$15,$M93-$A$15,DC$13)))</f>
        <v>1000000000000</v>
      </c>
      <c r="DD93" s="172" cm="1">
        <f t="array" aca="1" ref="DD93" ca="1">IF(OR($D93&lt;&gt;"Serviço",AND(AUTOEVENTO="Manual",$M93=$A$15),$M93&gt;(ROW(PLE.lastrow)-ROW(PLE.firstrow))),0,
           IF(OFFSET(PLE!$G$15,$M93-$A$15,DD$13)="",10^12,OFFSET(PLE!$G$15,$M93-$A$15,DD$13)))</f>
        <v>1000000000000</v>
      </c>
      <c r="DE93" s="172" cm="1">
        <f t="array" aca="1" ref="DE93" ca="1">IF(OR($D93&lt;&gt;"Serviço",AND(AUTOEVENTO="Manual",$M93=$A$15),$M93&gt;(ROW(PLE.lastrow)-ROW(PLE.firstrow))),0,
           IF(OFFSET(PLE!$G$15,$M93-$A$15,DE$13)="",10^12,OFFSET(PLE!$G$15,$M93-$A$15,DE$13)))</f>
        <v>1000000000000</v>
      </c>
      <c r="DF93" s="172" cm="1">
        <f t="array" aca="1" ref="DF93" ca="1">IF(OR($D93&lt;&gt;"Serviço",AND(AUTOEVENTO="Manual",$M93=$A$15),$M93&gt;(ROW(PLE.lastrow)-ROW(PLE.firstrow))),0,
           IF(OFFSET(PLE!$G$15,$M93-$A$15,DF$13)="",10^12,OFFSET(PLE!$G$15,$M93-$A$15,DF$13)))</f>
        <v>1000000000000</v>
      </c>
      <c r="DG93" s="172" cm="1">
        <f t="array" aca="1" ref="DG93" ca="1">IF(OR($D93&lt;&gt;"Serviço",AND(AUTOEVENTO="Manual",$M93=$A$15),$M93&gt;(ROW(PLE.lastrow)-ROW(PLE.firstrow))),0,
           IF(OFFSET(PLE!$G$15,$M93-$A$15,DG$13)="",10^12,OFFSET(PLE!$G$15,$M93-$A$15,DG$13)))</f>
        <v>1000000000000</v>
      </c>
      <c r="DH93" s="172" cm="1">
        <f t="array" aca="1" ref="DH93" ca="1">IF(OR($D93&lt;&gt;"Serviço",AND(AUTOEVENTO="Manual",$M93=$A$15),$M93&gt;(ROW(PLE.lastrow)-ROW(PLE.firstrow))),0,
           IF(OFFSET(PLE!$G$15,$M93-$A$15,DH$13)="",10^12,OFFSET(PLE!$G$15,$M93-$A$15,DH$13)))</f>
        <v>1000000000000</v>
      </c>
      <c r="DI93" s="172" cm="1">
        <f t="array" aca="1" ref="DI93" ca="1">IF(OR($D93&lt;&gt;"Serviço",AND(AUTOEVENTO="Manual",$M93=$A$15),$M93&gt;(ROW(PLE.lastrow)-ROW(PLE.firstrow))),0,
           IF(OFFSET(PLE!$G$15,$M93-$A$15,DI$13)="",10^12,OFFSET(PLE!$G$15,$M93-$A$15,DI$13)))</f>
        <v>1000000000000</v>
      </c>
      <c r="DJ93" s="172" cm="1">
        <f t="array" aca="1" ref="DJ93" ca="1">IF(OR($D93&lt;&gt;"Serviço",AND(AUTOEVENTO="Manual",$M93=$A$15),$M93&gt;(ROW(PLE.lastrow)-ROW(PLE.firstrow))),0,
           IF(OFFSET(PLE!$G$15,$M93-$A$15,DJ$13)="",10^12,OFFSET(PLE!$G$15,$M93-$A$15,DJ$13)))</f>
        <v>1000000000000</v>
      </c>
      <c r="DK93" s="172" cm="1">
        <f t="array" aca="1" ref="DK93" ca="1">IF(OR($D93&lt;&gt;"Serviço",AND(AUTOEVENTO="Manual",$M93=$A$15),$M93&gt;(ROW(PLE.lastrow)-ROW(PLE.firstrow))),0,
           IF(OFFSET(PLE!$G$15,$M93-$A$15,DK$13)="",10^12,OFFSET(PLE!$G$15,$M93-$A$15,DK$13)))</f>
        <v>1000000000000</v>
      </c>
      <c r="DL93" s="172" cm="1">
        <f t="array" aca="1" ref="DL93" ca="1">IF(OR($D93&lt;&gt;"Serviço",AND(AUTOEVENTO="Manual",$M93=$A$15),$M93&gt;(ROW(PLE.lastrow)-ROW(PLE.firstrow))),0,
           IF(OFFSET(PLE!$G$15,$M93-$A$15,DL$13)="",10^12,OFFSET(PLE!$G$15,$M93-$A$15,DL$13)))</f>
        <v>1000000000000</v>
      </c>
      <c r="DM93" s="172" cm="1">
        <f t="array" aca="1" ref="DM93" ca="1">IF(OR($D93&lt;&gt;"Serviço",AND(AUTOEVENTO="Manual",$M93=$A$15),$M93&gt;(ROW(PLE.lastrow)-ROW(PLE.firstrow))),0,
           IF(OFFSET(PLE!$G$15,$M93-$A$15,DM$13)="",10^12,OFFSET(PLE!$G$15,$M93-$A$15,DM$13)))</f>
        <v>1000000000000</v>
      </c>
      <c r="DN93" s="172" cm="1">
        <f t="array" aca="1" ref="DN93" ca="1">IF(OR($D93&lt;&gt;"Serviço",AND(AUTOEVENTO="Manual",$M93=$A$15),$M93&gt;(ROW(PLE.lastrow)-ROW(PLE.firstrow))),0,
           IF(OFFSET(PLE!$G$15,$M93-$A$15,DN$13)="",10^12,OFFSET(PLE!$G$15,$M93-$A$15,DN$13)))</f>
        <v>1000000000000</v>
      </c>
      <c r="DO93" s="172" cm="1">
        <f t="array" aca="1" ref="DO93" ca="1">IF(OR($D93&lt;&gt;"Serviço",AND(AUTOEVENTO="Manual",$M93=$A$15),$M93&gt;(ROW(PLE.lastrow)-ROW(PLE.firstrow))),0,
           IF(OFFSET(PLE!$G$15,$M93-$A$15,DO$13)="",10^12,OFFSET(PLE!$G$15,$M93-$A$15,DO$13)))</f>
        <v>1000000000000</v>
      </c>
      <c r="DP93" s="172" cm="1">
        <f t="array" aca="1" ref="DP93" ca="1">IF(OR($D93&lt;&gt;"Serviço",AND(AUTOEVENTO="Manual",$M93=$A$15),$M93&gt;(ROW(PLE.lastrow)-ROW(PLE.firstrow))),0,
           IF(OFFSET(PLE!$G$15,$M93-$A$15,DP$13)="",10^12,OFFSET(PLE!$G$15,$M93-$A$15,DP$13)))</f>
        <v>1000000000000</v>
      </c>
      <c r="DQ93" s="172" cm="1">
        <f t="array" aca="1" ref="DQ93" ca="1">IF(OR($D93&lt;&gt;"Serviço",AND(AUTOEVENTO="Manual",$M93=$A$15),$M93&gt;(ROW(PLE.lastrow)-ROW(PLE.firstrow))),0,
           IF(OFFSET(PLE!$G$15,$M93-$A$15,DQ$13)="",10^12,OFFSET(PLE!$G$15,$M93-$A$15,DQ$13)))</f>
        <v>1000000000000</v>
      </c>
      <c r="DR93" s="172" cm="1">
        <f t="array" aca="1" ref="DR93" ca="1">IF(OR($D93&lt;&gt;"Serviço",AND(AUTOEVENTO="Manual",$M93=$A$15),$M93&gt;(ROW(PLE.lastrow)-ROW(PLE.firstrow))),0,
           IF(OFFSET(PLE!$G$15,$M93-$A$15,DR$13)="",10^12,OFFSET(PLE!$G$15,$M93-$A$15,DR$13)))</f>
        <v>1000000000000</v>
      </c>
      <c r="DS93" s="172" cm="1">
        <f t="array" aca="1" ref="DS93" ca="1">IF(OR($D93&lt;&gt;"Serviço",AND(AUTOEVENTO="Manual",$M93=$A$15),$M93&gt;(ROW(PLE.lastrow)-ROW(PLE.firstrow))),0,
           IF(OFFSET(PLE!$G$15,$M93-$A$15,DS$13)="",10^12,OFFSET(PLE!$G$15,$M93-$A$15,DS$13)))</f>
        <v>1000000000000</v>
      </c>
    </row>
    <row r="94" spans="1:123" ht="12.75" x14ac:dyDescent="0.2">
      <c r="A94" s="7">
        <f t="shared" ca="1" si="13"/>
        <v>0</v>
      </c>
      <c r="B94" s="7">
        <f ca="1">OFFSET(ORÇAMENTO!C$15,$L94,0)</f>
        <v>2</v>
      </c>
      <c r="C94" s="7" t="str">
        <f ca="1">OFFSET(ORÇAMENTO!L$15,$L94,0)</f>
        <v>F</v>
      </c>
      <c r="D94" s="116" t="str">
        <f ca="1">OFFSET(ORÇAMENTO!N$15,$L94,0)</f>
        <v>Nível 2</v>
      </c>
      <c r="E94" s="117" t="str">
        <f ca="1">OFFSET(ORÇAMENTO!O$15,$L94,0)</f>
        <v>7.3.</v>
      </c>
      <c r="F94" s="163" t="str">
        <f ca="1">OFFSET(ORÇAMENTO!R$15,$L94,0)</f>
        <v>REVESTIMENTOS EXTERNOS</v>
      </c>
      <c r="G94" s="164" t="str">
        <f ca="1">IF($D94&lt;&gt;"Serviço","",OFFSET(ORÇAMENTO!S$15,$L94,0))</f>
        <v/>
      </c>
      <c r="H94" s="122" cm="1">
        <f t="array" aca="1" ref="H94" ca="1">IF($D94&lt;&gt;"Serviço",0,IF(ACOMPANHAMENTO="BM",ROUND(OFFSET(ORÇAMENTO!AJ$15,$L94,0),15-13*ORÇAMENTO!$AF$7),IF(IFERROR(CÁLCULO.FrentesPreenchidas,0)=0,0,SUM(ROUND(OFFSET($P94,0,1,1,CÁLCULO.FrentesPreenchidas),15-13*ORÇAMENTO!$AF$7)))))</f>
        <v>0</v>
      </c>
      <c r="I94" s="468"/>
      <c r="J94" s="651" t="str" cm="1">
        <f t="array" aca="1" ref="J94" ca="1">IF(OR(B94&lt;&gt;"S",CÁLCULO.FrentesPreenchidas=0),"",IF(AND(ACOMPANHAMENTO="PLE",AUTOEVENTO="Manual",OR(H94&gt;0,ORÇAMENTO!AC94="QUANT."),OR(K94="",M94=0,N94="")),"►E",IF(AND(ACOMPANHAMENTO="PLE",ORÇAMENTO!AC94="QUANT."),"►Q",IF(AND(ACOMPANHAMENTO="PLE",H94&lt;&gt;SUMPRODUCT(($Q$1:$AQ$1=1)*ROUND(Q94:AQ94,15))),"►S",IF(AND(COUNTIF($P$11:$AQ$11,"▼")=0,H94&gt;0,I94=""),"◄M","")))))</f>
        <v/>
      </c>
      <c r="K94" s="652"/>
      <c r="L94" s="165">
        <f t="shared" ca="1" si="14"/>
        <v>79</v>
      </c>
      <c r="M94" s="166" t="str">
        <f ca="1">IF($D94&lt;&gt;"Serviço","",
          IF(AUTOEVENTO="manual",$A94,
                IF(ISERROR(MATCH($A94,$A$15:OFFSET($A94,-1,0),0)),MAX($M$15:OFFSET(M94,-1,0))+1,
                      INDEX($M$15:OFFSET(M94,-1,0),MATCH($A94,$A$15:OFFSET($A94,-1,0),0)))))</f>
        <v/>
      </c>
      <c r="N94" s="167" t="str">
        <f ca="1">IF($D94&lt;&gt;"Serviço","",
         IF(AUTOEVENTO="Manual",
                IF($A94=0,"&lt;-- defina o número do agrupador",
                       OFFSET(EVENTOS!$D$15,$A94-$A$15,0)),
                OFFSET($F$15,$A94,0)))</f>
        <v/>
      </c>
      <c r="O94" s="168"/>
      <c r="Q94" s="168"/>
      <c r="R94" s="169"/>
      <c r="S94" s="169"/>
      <c r="T94" s="169"/>
      <c r="U94" s="169"/>
      <c r="V94" s="169"/>
      <c r="W94" s="169"/>
      <c r="X94" s="169"/>
      <c r="Y94" s="169"/>
      <c r="Z94" s="170"/>
      <c r="AA94" s="169"/>
      <c r="AB94" s="169"/>
      <c r="AC94" s="169"/>
      <c r="AD94" s="169"/>
      <c r="AE94" s="169"/>
      <c r="AF94" s="169"/>
      <c r="AG94" s="169"/>
      <c r="AH94" s="170"/>
      <c r="AI94" s="169"/>
      <c r="AJ94" s="169"/>
      <c r="AK94" s="169"/>
      <c r="AL94" s="169"/>
      <c r="AM94" s="169"/>
      <c r="AN94" s="169"/>
      <c r="AO94" s="169"/>
      <c r="AP94" s="170"/>
      <c r="AR94" s="453">
        <f ca="1">IF(AND($D94="Serviço",AR$12&lt;&gt;0,$H94&gt;0,OR(AUTOEVENTO&lt;&gt;"manual",$M94&lt;&gt;$A$15)),
        IF(Import.TipoArredondamento&lt;&gt;"TransfereGOV",
              ROUND(OFFSET($P94,0,AR$13),15-13*ORÇAMENTO!$AF$7)/$H94*OFFSET(ORÇAMENTO!$X$15,ROW(AR94)-ROW(AR$15),0),
              ROUND(ROUND(OFFSET($P94,0,AR$13),15-13*ORÇAMENTO!$AF$7)*OFFSET(ORÇAMENTO!$W$15,ROW(AR94)-ROW(AR$15),0),15-13*ORÇAMENTO!$AF$11)),
         0)</f>
        <v>0</v>
      </c>
      <c r="AS94" s="453">
        <f ca="1">IF(AND($D94="Serviço",AS$12&lt;&gt;0,$H94&gt;0,OR(AUTOEVENTO&lt;&gt;"manual",$M94&lt;&gt;$A$15)),
        IF(Import.TipoArredondamento&lt;&gt;"TransfereGOV",
              ROUND(OFFSET($P94,0,AS$13),15-13*ORÇAMENTO!$AF$7)/$H94*OFFSET(ORÇAMENTO!$X$15,ROW(AS94)-ROW(AS$15),0),
              ROUND(ROUND(OFFSET($P94,0,AS$13),15-13*ORÇAMENTO!$AF$7)*OFFSET(ORÇAMENTO!$W$15,ROW(AS94)-ROW(AS$15),0),15-13*ORÇAMENTO!$AF$11)),
         0)</f>
        <v>0</v>
      </c>
      <c r="AT94" s="453">
        <f ca="1">IF(AND($D94="Serviço",AT$12&lt;&gt;0,$H94&gt;0,OR(AUTOEVENTO&lt;&gt;"manual",$M94&lt;&gt;$A$15)),
        IF(Import.TipoArredondamento&lt;&gt;"TransfereGOV",
              ROUND(OFFSET($P94,0,AT$13),15-13*ORÇAMENTO!$AF$7)/$H94*OFFSET(ORÇAMENTO!$X$15,ROW(AT94)-ROW(AT$15),0),
              ROUND(ROUND(OFFSET($P94,0,AT$13),15-13*ORÇAMENTO!$AF$7)*OFFSET(ORÇAMENTO!$W$15,ROW(AT94)-ROW(AT$15),0),15-13*ORÇAMENTO!$AF$11)),
         0)</f>
        <v>0</v>
      </c>
      <c r="AU94" s="453">
        <f ca="1">IF(AND($D94="Serviço",AU$12&lt;&gt;0,$H94&gt;0,OR(AUTOEVENTO&lt;&gt;"manual",$M94&lt;&gt;$A$15)),
        IF(Import.TipoArredondamento&lt;&gt;"TransfereGOV",
              ROUND(OFFSET($P94,0,AU$13),15-13*ORÇAMENTO!$AF$7)/$H94*OFFSET(ORÇAMENTO!$X$15,ROW(AU94)-ROW(AU$15),0),
              ROUND(ROUND(OFFSET($P94,0,AU$13),15-13*ORÇAMENTO!$AF$7)*OFFSET(ORÇAMENTO!$W$15,ROW(AU94)-ROW(AU$15),0),15-13*ORÇAMENTO!$AF$11)),
         0)</f>
        <v>0</v>
      </c>
      <c r="AV94" s="453">
        <f ca="1">IF(AND($D94="Serviço",AV$12&lt;&gt;0,$H94&gt;0,OR(AUTOEVENTO&lt;&gt;"manual",$M94&lt;&gt;$A$15)),
        IF(Import.TipoArredondamento&lt;&gt;"TransfereGOV",
              ROUND(OFFSET($P94,0,AV$13),15-13*ORÇAMENTO!$AF$7)/$H94*OFFSET(ORÇAMENTO!$X$15,ROW(AV94)-ROW(AV$15),0),
              ROUND(ROUND(OFFSET($P94,0,AV$13),15-13*ORÇAMENTO!$AF$7)*OFFSET(ORÇAMENTO!$W$15,ROW(AV94)-ROW(AV$15),0),15-13*ORÇAMENTO!$AF$11)),
         0)</f>
        <v>0</v>
      </c>
      <c r="AW94" s="453">
        <f ca="1">IF(AND($D94="Serviço",AW$12&lt;&gt;0,$H94&gt;0,OR(AUTOEVENTO&lt;&gt;"manual",$M94&lt;&gt;$A$15)),
        IF(Import.TipoArredondamento&lt;&gt;"TransfereGOV",
              ROUND(OFFSET($P94,0,AW$13),15-13*ORÇAMENTO!$AF$7)/$H94*OFFSET(ORÇAMENTO!$X$15,ROW(AW94)-ROW(AW$15),0),
              ROUND(ROUND(OFFSET($P94,0,AW$13),15-13*ORÇAMENTO!$AF$7)*OFFSET(ORÇAMENTO!$W$15,ROW(AW94)-ROW(AW$15),0),15-13*ORÇAMENTO!$AF$11)),
         0)</f>
        <v>0</v>
      </c>
      <c r="AX94" s="453">
        <f ca="1">IF(AND($D94="Serviço",AX$12&lt;&gt;0,$H94&gt;0,OR(AUTOEVENTO&lt;&gt;"manual",$M94&lt;&gt;$A$15)),
        IF(Import.TipoArredondamento&lt;&gt;"TransfereGOV",
              ROUND(OFFSET($P94,0,AX$13),15-13*ORÇAMENTO!$AF$7)/$H94*OFFSET(ORÇAMENTO!$X$15,ROW(AX94)-ROW(AX$15),0),
              ROUND(ROUND(OFFSET($P94,0,AX$13),15-13*ORÇAMENTO!$AF$7)*OFFSET(ORÇAMENTO!$W$15,ROW(AX94)-ROW(AX$15),0),15-13*ORÇAMENTO!$AF$11)),
         0)</f>
        <v>0</v>
      </c>
      <c r="AY94" s="453">
        <f ca="1">IF(AND($D94="Serviço",AY$12&lt;&gt;0,$H94&gt;0,OR(AUTOEVENTO&lt;&gt;"manual",$M94&lt;&gt;$A$15)),
        IF(Import.TipoArredondamento&lt;&gt;"TransfereGOV",
              ROUND(OFFSET($P94,0,AY$13),15-13*ORÇAMENTO!$AF$7)/$H94*OFFSET(ORÇAMENTO!$X$15,ROW(AY94)-ROW(AY$15),0),
              ROUND(ROUND(OFFSET($P94,0,AY$13),15-13*ORÇAMENTO!$AF$7)*OFFSET(ORÇAMENTO!$W$15,ROW(AY94)-ROW(AY$15),0),15-13*ORÇAMENTO!$AF$11)),
         0)</f>
        <v>0</v>
      </c>
      <c r="AZ94" s="453">
        <f ca="1">IF(AND($D94="Serviço",AZ$12&lt;&gt;0,$H94&gt;0,OR(AUTOEVENTO&lt;&gt;"manual",$M94&lt;&gt;$A$15)),
        IF(Import.TipoArredondamento&lt;&gt;"TransfereGOV",
              ROUND(OFFSET($P94,0,AZ$13),15-13*ORÇAMENTO!$AF$7)/$H94*OFFSET(ORÇAMENTO!$X$15,ROW(AZ94)-ROW(AZ$15),0),
              ROUND(ROUND(OFFSET($P94,0,AZ$13),15-13*ORÇAMENTO!$AF$7)*OFFSET(ORÇAMENTO!$W$15,ROW(AZ94)-ROW(AZ$15),0),15-13*ORÇAMENTO!$AF$11)),
         0)</f>
        <v>0</v>
      </c>
      <c r="BA94" s="453">
        <f ca="1">IF(AND($D94="Serviço",BA$12&lt;&gt;0,$H94&gt;0,OR(AUTOEVENTO&lt;&gt;"manual",$M94&lt;&gt;$A$15)),
        IF(Import.TipoArredondamento&lt;&gt;"TransfereGOV",
              ROUND(OFFSET($P94,0,BA$13),15-13*ORÇAMENTO!$AF$7)/$H94*OFFSET(ORÇAMENTO!$X$15,ROW(BA94)-ROW(BA$15),0),
              ROUND(ROUND(OFFSET($P94,0,BA$13),15-13*ORÇAMENTO!$AF$7)*OFFSET(ORÇAMENTO!$W$15,ROW(BA94)-ROW(BA$15),0),15-13*ORÇAMENTO!$AF$11)),
         0)</f>
        <v>0</v>
      </c>
      <c r="BB94" s="453">
        <f ca="1">IF(AND($D94="Serviço",BB$12&lt;&gt;0,$H94&gt;0,OR(AUTOEVENTO&lt;&gt;"manual",$M94&lt;&gt;$A$15)),
        IF(Import.TipoArredondamento&lt;&gt;"TransfereGOV",
              ROUND(OFFSET($P94,0,BB$13),15-13*ORÇAMENTO!$AF$7)/$H94*OFFSET(ORÇAMENTO!$X$15,ROW(BB94)-ROW(BB$15),0),
              ROUND(ROUND(OFFSET($P94,0,BB$13),15-13*ORÇAMENTO!$AF$7)*OFFSET(ORÇAMENTO!$W$15,ROW(BB94)-ROW(BB$15),0),15-13*ORÇAMENTO!$AF$11)),
         0)</f>
        <v>0</v>
      </c>
      <c r="BC94" s="453">
        <f ca="1">IF(AND($D94="Serviço",BC$12&lt;&gt;0,$H94&gt;0,OR(AUTOEVENTO&lt;&gt;"manual",$M94&lt;&gt;$A$15)),
        IF(Import.TipoArredondamento&lt;&gt;"TransfereGOV",
              ROUND(OFFSET($P94,0,BC$13),15-13*ORÇAMENTO!$AF$7)/$H94*OFFSET(ORÇAMENTO!$X$15,ROW(BC94)-ROW(BC$15),0),
              ROUND(ROUND(OFFSET($P94,0,BC$13),15-13*ORÇAMENTO!$AF$7)*OFFSET(ORÇAMENTO!$W$15,ROW(BC94)-ROW(BC$15),0),15-13*ORÇAMENTO!$AF$11)),
         0)</f>
        <v>0</v>
      </c>
      <c r="BD94" s="453">
        <f ca="1">IF(AND($D94="Serviço",BD$12&lt;&gt;0,$H94&gt;0,OR(AUTOEVENTO&lt;&gt;"manual",$M94&lt;&gt;$A$15)),
        IF(Import.TipoArredondamento&lt;&gt;"TransfereGOV",
              ROUND(OFFSET($P94,0,BD$13),15-13*ORÇAMENTO!$AF$7)/$H94*OFFSET(ORÇAMENTO!$X$15,ROW(BD94)-ROW(BD$15),0),
              ROUND(ROUND(OFFSET($P94,0,BD$13),15-13*ORÇAMENTO!$AF$7)*OFFSET(ORÇAMENTO!$W$15,ROW(BD94)-ROW(BD$15),0),15-13*ORÇAMENTO!$AF$11)),
         0)</f>
        <v>0</v>
      </c>
      <c r="BE94" s="453">
        <f ca="1">IF(AND($D94="Serviço",BE$12&lt;&gt;0,$H94&gt;0,OR(AUTOEVENTO&lt;&gt;"manual",$M94&lt;&gt;$A$15)),
        IF(Import.TipoArredondamento&lt;&gt;"TransfereGOV",
              ROUND(OFFSET($P94,0,BE$13),15-13*ORÇAMENTO!$AF$7)/$H94*OFFSET(ORÇAMENTO!$X$15,ROW(BE94)-ROW(BE$15),0),
              ROUND(ROUND(OFFSET($P94,0,BE$13),15-13*ORÇAMENTO!$AF$7)*OFFSET(ORÇAMENTO!$W$15,ROW(BE94)-ROW(BE$15),0),15-13*ORÇAMENTO!$AF$11)),
         0)</f>
        <v>0</v>
      </c>
      <c r="BF94" s="453">
        <f ca="1">IF(AND($D94="Serviço",BF$12&lt;&gt;0,$H94&gt;0,OR(AUTOEVENTO&lt;&gt;"manual",$M94&lt;&gt;$A$15)),
        IF(Import.TipoArredondamento&lt;&gt;"TransfereGOV",
              ROUND(OFFSET($P94,0,BF$13),15-13*ORÇAMENTO!$AF$7)/$H94*OFFSET(ORÇAMENTO!$X$15,ROW(BF94)-ROW(BF$15),0),
              ROUND(ROUND(OFFSET($P94,0,BF$13),15-13*ORÇAMENTO!$AF$7)*OFFSET(ORÇAMENTO!$W$15,ROW(BF94)-ROW(BF$15),0),15-13*ORÇAMENTO!$AF$11)),
         0)</f>
        <v>0</v>
      </c>
      <c r="BG94" s="453">
        <f ca="1">IF(AND($D94="Serviço",BG$12&lt;&gt;0,$H94&gt;0,OR(AUTOEVENTO&lt;&gt;"manual",$M94&lt;&gt;$A$15)),
        IF(Import.TipoArredondamento&lt;&gt;"TransfereGOV",
              ROUND(OFFSET($P94,0,BG$13),15-13*ORÇAMENTO!$AF$7)/$H94*OFFSET(ORÇAMENTO!$X$15,ROW(BG94)-ROW(BG$15),0),
              ROUND(ROUND(OFFSET($P94,0,BG$13),15-13*ORÇAMENTO!$AF$7)*OFFSET(ORÇAMENTO!$W$15,ROW(BG94)-ROW(BG$15),0),15-13*ORÇAMENTO!$AF$11)),
         0)</f>
        <v>0</v>
      </c>
      <c r="BH94" s="453">
        <f ca="1">IF(AND($D94="Serviço",BH$12&lt;&gt;0,$H94&gt;0,OR(AUTOEVENTO&lt;&gt;"manual",$M94&lt;&gt;$A$15)),
        IF(Import.TipoArredondamento&lt;&gt;"TransfereGOV",
              ROUND(OFFSET($P94,0,BH$13),15-13*ORÇAMENTO!$AF$7)/$H94*OFFSET(ORÇAMENTO!$X$15,ROW(BH94)-ROW(BH$15),0),
              ROUND(ROUND(OFFSET($P94,0,BH$13),15-13*ORÇAMENTO!$AF$7)*OFFSET(ORÇAMENTO!$W$15,ROW(BH94)-ROW(BH$15),0),15-13*ORÇAMENTO!$AF$11)),
         0)</f>
        <v>0</v>
      </c>
      <c r="BI94" s="453">
        <f ca="1">IF(AND($D94="Serviço",BI$12&lt;&gt;0,$H94&gt;0,OR(AUTOEVENTO&lt;&gt;"manual",$M94&lt;&gt;$A$15)),
        IF(Import.TipoArredondamento&lt;&gt;"TransfereGOV",
              ROUND(OFFSET($P94,0,BI$13),15-13*ORÇAMENTO!$AF$7)/$H94*OFFSET(ORÇAMENTO!$X$15,ROW(BI94)-ROW(BI$15),0),
              ROUND(ROUND(OFFSET($P94,0,BI$13),15-13*ORÇAMENTO!$AF$7)*OFFSET(ORÇAMENTO!$W$15,ROW(BI94)-ROW(BI$15),0),15-13*ORÇAMENTO!$AF$11)),
         0)</f>
        <v>0</v>
      </c>
      <c r="BJ94" s="453">
        <f ca="1">IF(AND($D94="Serviço",BJ$12&lt;&gt;0,$H94&gt;0,OR(AUTOEVENTO&lt;&gt;"manual",$M94&lt;&gt;$A$15)),
        IF(Import.TipoArredondamento&lt;&gt;"TransfereGOV",
              ROUND(OFFSET($P94,0,BJ$13),15-13*ORÇAMENTO!$AF$7)/$H94*OFFSET(ORÇAMENTO!$X$15,ROW(BJ94)-ROW(BJ$15),0),
              ROUND(ROUND(OFFSET($P94,0,BJ$13),15-13*ORÇAMENTO!$AF$7)*OFFSET(ORÇAMENTO!$W$15,ROW(BJ94)-ROW(BJ$15),0),15-13*ORÇAMENTO!$AF$11)),
         0)</f>
        <v>0</v>
      </c>
      <c r="BK94" s="453">
        <f ca="1">IF(AND($D94="Serviço",BK$12&lt;&gt;0,$H94&gt;0,OR(AUTOEVENTO&lt;&gt;"manual",$M94&lt;&gt;$A$15)),
        IF(Import.TipoArredondamento&lt;&gt;"TransfereGOV",
              ROUND(OFFSET($P94,0,BK$13),15-13*ORÇAMENTO!$AF$7)/$H94*OFFSET(ORÇAMENTO!$X$15,ROW(BK94)-ROW(BK$15),0),
              ROUND(ROUND(OFFSET($P94,0,BK$13),15-13*ORÇAMENTO!$AF$7)*OFFSET(ORÇAMENTO!$W$15,ROW(BK94)-ROW(BK$15),0),15-13*ORÇAMENTO!$AF$11)),
         0)</f>
        <v>0</v>
      </c>
      <c r="BL94" s="453">
        <f ca="1">IF(AND($D94="Serviço",BL$12&lt;&gt;0,$H94&gt;0,OR(AUTOEVENTO&lt;&gt;"manual",$M94&lt;&gt;$A$15)),
        IF(Import.TipoArredondamento&lt;&gt;"TransfereGOV",
              ROUND(OFFSET($P94,0,BL$13),15-13*ORÇAMENTO!$AF$7)/$H94*OFFSET(ORÇAMENTO!$X$15,ROW(BL94)-ROW(BL$15),0),
              ROUND(ROUND(OFFSET($P94,0,BL$13),15-13*ORÇAMENTO!$AF$7)*OFFSET(ORÇAMENTO!$W$15,ROW(BL94)-ROW(BL$15),0),15-13*ORÇAMENTO!$AF$11)),
         0)</f>
        <v>0</v>
      </c>
      <c r="BM94" s="453">
        <f ca="1">IF(AND($D94="Serviço",BM$12&lt;&gt;0,$H94&gt;0,OR(AUTOEVENTO&lt;&gt;"manual",$M94&lt;&gt;$A$15)),
        IF(Import.TipoArredondamento&lt;&gt;"TransfereGOV",
              ROUND(OFFSET($P94,0,BM$13),15-13*ORÇAMENTO!$AF$7)/$H94*OFFSET(ORÇAMENTO!$X$15,ROW(BM94)-ROW(BM$15),0),
              ROUND(ROUND(OFFSET($P94,0,BM$13),15-13*ORÇAMENTO!$AF$7)*OFFSET(ORÇAMENTO!$W$15,ROW(BM94)-ROW(BM$15),0),15-13*ORÇAMENTO!$AF$11)),
         0)</f>
        <v>0</v>
      </c>
      <c r="BN94" s="453">
        <f ca="1">IF(AND($D94="Serviço",BN$12&lt;&gt;0,$H94&gt;0,OR(AUTOEVENTO&lt;&gt;"manual",$M94&lt;&gt;$A$15)),
        IF(Import.TipoArredondamento&lt;&gt;"TransfereGOV",
              ROUND(OFFSET($P94,0,BN$13),15-13*ORÇAMENTO!$AF$7)/$H94*OFFSET(ORÇAMENTO!$X$15,ROW(BN94)-ROW(BN$15),0),
              ROUND(ROUND(OFFSET($P94,0,BN$13),15-13*ORÇAMENTO!$AF$7)*OFFSET(ORÇAMENTO!$W$15,ROW(BN94)-ROW(BN$15),0),15-13*ORÇAMENTO!$AF$11)),
         0)</f>
        <v>0</v>
      </c>
      <c r="BO94" s="453">
        <f ca="1">IF(AND($D94="Serviço",BO$12&lt;&gt;0,$H94&gt;0,OR(AUTOEVENTO&lt;&gt;"manual",$M94&lt;&gt;$A$15)),
        IF(Import.TipoArredondamento&lt;&gt;"TransfereGOV",
              ROUND(OFFSET($P94,0,BO$13),15-13*ORÇAMENTO!$AF$7)/$H94*OFFSET(ORÇAMENTO!$X$15,ROW(BO94)-ROW(BO$15),0),
              ROUND(ROUND(OFFSET($P94,0,BO$13),15-13*ORÇAMENTO!$AF$7)*OFFSET(ORÇAMENTO!$W$15,ROW(BO94)-ROW(BO$15),0),15-13*ORÇAMENTO!$AF$11)),
         0)</f>
        <v>0</v>
      </c>
      <c r="BP94" s="453">
        <f ca="1">IF(AND($D94="Serviço",BP$12&lt;&gt;0,$H94&gt;0,OR(AUTOEVENTO&lt;&gt;"manual",$M94&lt;&gt;$A$15)),
        IF(Import.TipoArredondamento&lt;&gt;"TransfereGOV",
              ROUND(OFFSET($P94,0,BP$13),15-13*ORÇAMENTO!$AF$7)/$H94*OFFSET(ORÇAMENTO!$X$15,ROW(BP94)-ROW(BP$15),0),
              ROUND(ROUND(OFFSET($P94,0,BP$13),15-13*ORÇAMENTO!$AF$7)*OFFSET(ORÇAMENTO!$W$15,ROW(BP94)-ROW(BP$15),0),15-13*ORÇAMENTO!$AF$11)),
         0)</f>
        <v>0</v>
      </c>
      <c r="BQ94" s="453">
        <f ca="1">IF(AND($D94="Serviço",BQ$12&lt;&gt;0,$H94&gt;0,OR(AUTOEVENTO&lt;&gt;"manual",$M94&lt;&gt;$A$15)),
        IF(Import.TipoArredondamento&lt;&gt;"TransfereGOV",
              ROUND(OFFSET($P94,0,BQ$13),15-13*ORÇAMENTO!$AF$7)/$H94*OFFSET(ORÇAMENTO!$X$15,ROW(BQ94)-ROW(BQ$15),0),
              ROUND(ROUND(OFFSET($P94,0,BQ$13),15-13*ORÇAMENTO!$AF$7)*OFFSET(ORÇAMENTO!$W$15,ROW(BQ94)-ROW(BQ$15),0),15-13*ORÇAMENTO!$AF$11)),
         0)</f>
        <v>0</v>
      </c>
      <c r="BS94" s="171">
        <f ca="1">IF(OR($D94&lt;&gt;"Serviço",AND(AUTOEVENTO="Manual",$M94=$A$15)),0,
         IF(OFFSET(CRONOPLE!$F$15,$M94-$A$15,BS$13)=0,10^12,OFFSET(CRONOPLE!$F$15,$M94-$A$15,BS$13)))</f>
        <v>0</v>
      </c>
      <c r="BT94" s="171">
        <f ca="1">IF(OR($D94&lt;&gt;"Serviço",AND(AUTOEVENTO="Manual",$M94=$A$15)),0,
         IF(OFFSET(CRONOPLE!$F$15,$M94-$A$15,BT$13)=0,10^12,OFFSET(CRONOPLE!$F$15,$M94-$A$15,BT$13)))</f>
        <v>0</v>
      </c>
      <c r="BU94" s="171">
        <f ca="1">IF(OR($D94&lt;&gt;"Serviço",AND(AUTOEVENTO="Manual",$M94=$A$15)),0,
         IF(OFFSET(CRONOPLE!$F$15,$M94-$A$15,BU$13)=0,10^12,OFFSET(CRONOPLE!$F$15,$M94-$A$15,BU$13)))</f>
        <v>0</v>
      </c>
      <c r="BV94" s="171">
        <f ca="1">IF(OR($D94&lt;&gt;"Serviço",AND(AUTOEVENTO="Manual",$M94=$A$15)),0,
         IF(OFFSET(CRONOPLE!$F$15,$M94-$A$15,BV$13)=0,10^12,OFFSET(CRONOPLE!$F$15,$M94-$A$15,BV$13)))</f>
        <v>0</v>
      </c>
      <c r="BW94" s="171">
        <f ca="1">IF(OR($D94&lt;&gt;"Serviço",AND(AUTOEVENTO="Manual",$M94=$A$15)),0,
         IF(OFFSET(CRONOPLE!$F$15,$M94-$A$15,BW$13)=0,10^12,OFFSET(CRONOPLE!$F$15,$M94-$A$15,BW$13)))</f>
        <v>0</v>
      </c>
      <c r="BX94" s="171">
        <f ca="1">IF(OR($D94&lt;&gt;"Serviço",AND(AUTOEVENTO="Manual",$M94=$A$15)),0,
         IF(OFFSET(CRONOPLE!$F$15,$M94-$A$15,BX$13)=0,10^12,OFFSET(CRONOPLE!$F$15,$M94-$A$15,BX$13)))</f>
        <v>0</v>
      </c>
      <c r="BY94" s="171">
        <f ca="1">IF(OR($D94&lt;&gt;"Serviço",AND(AUTOEVENTO="Manual",$M94=$A$15)),0,
         IF(OFFSET(CRONOPLE!$F$15,$M94-$A$15,BY$13)=0,10^12,OFFSET(CRONOPLE!$F$15,$M94-$A$15,BY$13)))</f>
        <v>0</v>
      </c>
      <c r="BZ94" s="171">
        <f ca="1">IF(OR($D94&lt;&gt;"Serviço",AND(AUTOEVENTO="Manual",$M94=$A$15)),0,
         IF(OFFSET(CRONOPLE!$F$15,$M94-$A$15,BZ$13)=0,10^12,OFFSET(CRONOPLE!$F$15,$M94-$A$15,BZ$13)))</f>
        <v>0</v>
      </c>
      <c r="CA94" s="171">
        <f ca="1">IF(OR($D94&lt;&gt;"Serviço",AND(AUTOEVENTO="Manual",$M94=$A$15)),0,
         IF(OFFSET(CRONOPLE!$F$15,$M94-$A$15,CA$13)=0,10^12,OFFSET(CRONOPLE!$F$15,$M94-$A$15,CA$13)))</f>
        <v>0</v>
      </c>
      <c r="CB94" s="171">
        <f ca="1">IF(OR($D94&lt;&gt;"Serviço",AND(AUTOEVENTO="Manual",$M94=$A$15)),0,
         IF(OFFSET(CRONOPLE!$F$15,$M94-$A$15,CB$13)=0,10^12,OFFSET(CRONOPLE!$F$15,$M94-$A$15,CB$13)))</f>
        <v>0</v>
      </c>
      <c r="CC94" s="171">
        <f ca="1">IF(OR($D94&lt;&gt;"Serviço",AND(AUTOEVENTO="Manual",$M94=$A$15)),0,
         IF(OFFSET(CRONOPLE!$F$15,$M94-$A$15,CC$13)=0,10^12,OFFSET(CRONOPLE!$F$15,$M94-$A$15,CC$13)))</f>
        <v>0</v>
      </c>
      <c r="CD94" s="171">
        <f ca="1">IF(OR($D94&lt;&gt;"Serviço",AND(AUTOEVENTO="Manual",$M94=$A$15)),0,
         IF(OFFSET(CRONOPLE!$F$15,$M94-$A$15,CD$13)=0,10^12,OFFSET(CRONOPLE!$F$15,$M94-$A$15,CD$13)))</f>
        <v>0</v>
      </c>
      <c r="CE94" s="171">
        <f ca="1">IF(OR($D94&lt;&gt;"Serviço",AND(AUTOEVENTO="Manual",$M94=$A$15)),0,
         IF(OFFSET(CRONOPLE!$F$15,$M94-$A$15,CE$13)=0,10^12,OFFSET(CRONOPLE!$F$15,$M94-$A$15,CE$13)))</f>
        <v>0</v>
      </c>
      <c r="CF94" s="171">
        <f ca="1">IF(OR($D94&lt;&gt;"Serviço",AND(AUTOEVENTO="Manual",$M94=$A$15)),0,
         IF(OFFSET(CRONOPLE!$F$15,$M94-$A$15,CF$13)=0,10^12,OFFSET(CRONOPLE!$F$15,$M94-$A$15,CF$13)))</f>
        <v>0</v>
      </c>
      <c r="CG94" s="171">
        <f ca="1">IF(OR($D94&lt;&gt;"Serviço",AND(AUTOEVENTO="Manual",$M94=$A$15)),0,
         IF(OFFSET(CRONOPLE!$F$15,$M94-$A$15,CG$13)=0,10^12,OFFSET(CRONOPLE!$F$15,$M94-$A$15,CG$13)))</f>
        <v>0</v>
      </c>
      <c r="CH94" s="171">
        <f ca="1">IF(OR($D94&lt;&gt;"Serviço",AND(AUTOEVENTO="Manual",$M94=$A$15)),0,
         IF(OFFSET(CRONOPLE!$F$15,$M94-$A$15,CH$13)=0,10^12,OFFSET(CRONOPLE!$F$15,$M94-$A$15,CH$13)))</f>
        <v>0</v>
      </c>
      <c r="CI94" s="171">
        <f ca="1">IF(OR($D94&lt;&gt;"Serviço",AND(AUTOEVENTO="Manual",$M94=$A$15)),0,
         IF(OFFSET(CRONOPLE!$F$15,$M94-$A$15,CI$13)=0,10^12,OFFSET(CRONOPLE!$F$15,$M94-$A$15,CI$13)))</f>
        <v>0</v>
      </c>
      <c r="CJ94" s="171">
        <f ca="1">IF(OR($D94&lt;&gt;"Serviço",AND(AUTOEVENTO="Manual",$M94=$A$15)),0,
         IF(OFFSET(CRONOPLE!$F$15,$M94-$A$15,CJ$13)=0,10^12,OFFSET(CRONOPLE!$F$15,$M94-$A$15,CJ$13)))</f>
        <v>0</v>
      </c>
      <c r="CK94" s="171">
        <f ca="1">IF(OR($D94&lt;&gt;"Serviço",AND(AUTOEVENTO="Manual",$M94=$A$15)),0,
         IF(OFFSET(CRONOPLE!$F$15,$M94-$A$15,CK$13)=0,10^12,OFFSET(CRONOPLE!$F$15,$M94-$A$15,CK$13)))</f>
        <v>0</v>
      </c>
      <c r="CL94" s="171">
        <f ca="1">IF(OR($D94&lt;&gt;"Serviço",AND(AUTOEVENTO="Manual",$M94=$A$15)),0,
         IF(OFFSET(CRONOPLE!$F$15,$M94-$A$15,CL$13)=0,10^12,OFFSET(CRONOPLE!$F$15,$M94-$A$15,CL$13)))</f>
        <v>0</v>
      </c>
      <c r="CM94" s="171">
        <f ca="1">IF(OR($D94&lt;&gt;"Serviço",AND(AUTOEVENTO="Manual",$M94=$A$15)),0,
         IF(OFFSET(CRONOPLE!$F$15,$M94-$A$15,CM$13)=0,10^12,OFFSET(CRONOPLE!$F$15,$M94-$A$15,CM$13)))</f>
        <v>0</v>
      </c>
      <c r="CN94" s="171">
        <f ca="1">IF(OR($D94&lt;&gt;"Serviço",AND(AUTOEVENTO="Manual",$M94=$A$15)),0,
         IF(OFFSET(CRONOPLE!$F$15,$M94-$A$15,CN$13)=0,10^12,OFFSET(CRONOPLE!$F$15,$M94-$A$15,CN$13)))</f>
        <v>0</v>
      </c>
      <c r="CO94" s="171">
        <f ca="1">IF(OR($D94&lt;&gt;"Serviço",AND(AUTOEVENTO="Manual",$M94=$A$15)),0,
         IF(OFFSET(CRONOPLE!$F$15,$M94-$A$15,CO$13)=0,10^12,OFFSET(CRONOPLE!$F$15,$M94-$A$15,CO$13)))</f>
        <v>0</v>
      </c>
      <c r="CP94" s="171">
        <f ca="1">IF(OR($D94&lt;&gt;"Serviço",AND(AUTOEVENTO="Manual",$M94=$A$15)),0,
         IF(OFFSET(CRONOPLE!$F$15,$M94-$A$15,CP$13)=0,10^12,OFFSET(CRONOPLE!$F$15,$M94-$A$15,CP$13)))</f>
        <v>0</v>
      </c>
      <c r="CQ94" s="171">
        <f ca="1">IF(OR($D94&lt;&gt;"Serviço",AND(AUTOEVENTO="Manual",$M94=$A$15)),0,
         IF(OFFSET(CRONOPLE!$F$15,$M94-$A$15,CQ$13)=0,10^12,OFFSET(CRONOPLE!$F$15,$M94-$A$15,CQ$13)))</f>
        <v>0</v>
      </c>
      <c r="CR94" s="171">
        <f ca="1">IF(OR($D94&lt;&gt;"Serviço",AND(AUTOEVENTO="Manual",$M94=$A$15)),0,
         IF(OFFSET(CRONOPLE!$F$15,$M94-$A$15,CR$13)=0,10^12,OFFSET(CRONOPLE!$F$15,$M94-$A$15,CR$13)))</f>
        <v>0</v>
      </c>
      <c r="CT94" s="172" cm="1">
        <f t="array" aca="1" ref="CT94" ca="1">IF(OR($D94&lt;&gt;"Serviço",AND(AUTOEVENTO="Manual",$M94=$A$15),$M94&gt;(ROW(PLE.lastrow)-ROW(PLE.firstrow))),0,
           IF(OFFSET(PLE!$G$15,$M94-$A$15,CT$13)="",10^12,OFFSET(PLE!$G$15,$M94-$A$15,CT$13)))</f>
        <v>0</v>
      </c>
      <c r="CU94" s="172" cm="1">
        <f t="array" aca="1" ref="CU94" ca="1">IF(OR($D94&lt;&gt;"Serviço",AND(AUTOEVENTO="Manual",$M94=$A$15),$M94&gt;(ROW(PLE.lastrow)-ROW(PLE.firstrow))),0,
           IF(OFFSET(PLE!$G$15,$M94-$A$15,CU$13)="",10^12,OFFSET(PLE!$G$15,$M94-$A$15,CU$13)))</f>
        <v>0</v>
      </c>
      <c r="CV94" s="172" cm="1">
        <f t="array" aca="1" ref="CV94" ca="1">IF(OR($D94&lt;&gt;"Serviço",AND(AUTOEVENTO="Manual",$M94=$A$15),$M94&gt;(ROW(PLE.lastrow)-ROW(PLE.firstrow))),0,
           IF(OFFSET(PLE!$G$15,$M94-$A$15,CV$13)="",10^12,OFFSET(PLE!$G$15,$M94-$A$15,CV$13)))</f>
        <v>0</v>
      </c>
      <c r="CW94" s="172" cm="1">
        <f t="array" aca="1" ref="CW94" ca="1">IF(OR($D94&lt;&gt;"Serviço",AND(AUTOEVENTO="Manual",$M94=$A$15),$M94&gt;(ROW(PLE.lastrow)-ROW(PLE.firstrow))),0,
           IF(OFFSET(PLE!$G$15,$M94-$A$15,CW$13)="",10^12,OFFSET(PLE!$G$15,$M94-$A$15,CW$13)))</f>
        <v>0</v>
      </c>
      <c r="CX94" s="172" cm="1">
        <f t="array" aca="1" ref="CX94" ca="1">IF(OR($D94&lt;&gt;"Serviço",AND(AUTOEVENTO="Manual",$M94=$A$15),$M94&gt;(ROW(PLE.lastrow)-ROW(PLE.firstrow))),0,
           IF(OFFSET(PLE!$G$15,$M94-$A$15,CX$13)="",10^12,OFFSET(PLE!$G$15,$M94-$A$15,CX$13)))</f>
        <v>0</v>
      </c>
      <c r="CY94" s="172" cm="1">
        <f t="array" aca="1" ref="CY94" ca="1">IF(OR($D94&lt;&gt;"Serviço",AND(AUTOEVENTO="Manual",$M94=$A$15),$M94&gt;(ROW(PLE.lastrow)-ROW(PLE.firstrow))),0,
           IF(OFFSET(PLE!$G$15,$M94-$A$15,CY$13)="",10^12,OFFSET(PLE!$G$15,$M94-$A$15,CY$13)))</f>
        <v>0</v>
      </c>
      <c r="CZ94" s="172" cm="1">
        <f t="array" aca="1" ref="CZ94" ca="1">IF(OR($D94&lt;&gt;"Serviço",AND(AUTOEVENTO="Manual",$M94=$A$15),$M94&gt;(ROW(PLE.lastrow)-ROW(PLE.firstrow))),0,
           IF(OFFSET(PLE!$G$15,$M94-$A$15,CZ$13)="",10^12,OFFSET(PLE!$G$15,$M94-$A$15,CZ$13)))</f>
        <v>0</v>
      </c>
      <c r="DA94" s="172" cm="1">
        <f t="array" aca="1" ref="DA94" ca="1">IF(OR($D94&lt;&gt;"Serviço",AND(AUTOEVENTO="Manual",$M94=$A$15),$M94&gt;(ROW(PLE.lastrow)-ROW(PLE.firstrow))),0,
           IF(OFFSET(PLE!$G$15,$M94-$A$15,DA$13)="",10^12,OFFSET(PLE!$G$15,$M94-$A$15,DA$13)))</f>
        <v>0</v>
      </c>
      <c r="DB94" s="172" cm="1">
        <f t="array" aca="1" ref="DB94" ca="1">IF(OR($D94&lt;&gt;"Serviço",AND(AUTOEVENTO="Manual",$M94=$A$15),$M94&gt;(ROW(PLE.lastrow)-ROW(PLE.firstrow))),0,
           IF(OFFSET(PLE!$G$15,$M94-$A$15,DB$13)="",10^12,OFFSET(PLE!$G$15,$M94-$A$15,DB$13)))</f>
        <v>0</v>
      </c>
      <c r="DC94" s="172" cm="1">
        <f t="array" aca="1" ref="DC94" ca="1">IF(OR($D94&lt;&gt;"Serviço",AND(AUTOEVENTO="Manual",$M94=$A$15),$M94&gt;(ROW(PLE.lastrow)-ROW(PLE.firstrow))),0,
           IF(OFFSET(PLE!$G$15,$M94-$A$15,DC$13)="",10^12,OFFSET(PLE!$G$15,$M94-$A$15,DC$13)))</f>
        <v>0</v>
      </c>
      <c r="DD94" s="172" cm="1">
        <f t="array" aca="1" ref="DD94" ca="1">IF(OR($D94&lt;&gt;"Serviço",AND(AUTOEVENTO="Manual",$M94=$A$15),$M94&gt;(ROW(PLE.lastrow)-ROW(PLE.firstrow))),0,
           IF(OFFSET(PLE!$G$15,$M94-$A$15,DD$13)="",10^12,OFFSET(PLE!$G$15,$M94-$A$15,DD$13)))</f>
        <v>0</v>
      </c>
      <c r="DE94" s="172" cm="1">
        <f t="array" aca="1" ref="DE94" ca="1">IF(OR($D94&lt;&gt;"Serviço",AND(AUTOEVENTO="Manual",$M94=$A$15),$M94&gt;(ROW(PLE.lastrow)-ROW(PLE.firstrow))),0,
           IF(OFFSET(PLE!$G$15,$M94-$A$15,DE$13)="",10^12,OFFSET(PLE!$G$15,$M94-$A$15,DE$13)))</f>
        <v>0</v>
      </c>
      <c r="DF94" s="172" cm="1">
        <f t="array" aca="1" ref="DF94" ca="1">IF(OR($D94&lt;&gt;"Serviço",AND(AUTOEVENTO="Manual",$M94=$A$15),$M94&gt;(ROW(PLE.lastrow)-ROW(PLE.firstrow))),0,
           IF(OFFSET(PLE!$G$15,$M94-$A$15,DF$13)="",10^12,OFFSET(PLE!$G$15,$M94-$A$15,DF$13)))</f>
        <v>0</v>
      </c>
      <c r="DG94" s="172" cm="1">
        <f t="array" aca="1" ref="DG94" ca="1">IF(OR($D94&lt;&gt;"Serviço",AND(AUTOEVENTO="Manual",$M94=$A$15),$M94&gt;(ROW(PLE.lastrow)-ROW(PLE.firstrow))),0,
           IF(OFFSET(PLE!$G$15,$M94-$A$15,DG$13)="",10^12,OFFSET(PLE!$G$15,$M94-$A$15,DG$13)))</f>
        <v>0</v>
      </c>
      <c r="DH94" s="172" cm="1">
        <f t="array" aca="1" ref="DH94" ca="1">IF(OR($D94&lt;&gt;"Serviço",AND(AUTOEVENTO="Manual",$M94=$A$15),$M94&gt;(ROW(PLE.lastrow)-ROW(PLE.firstrow))),0,
           IF(OFFSET(PLE!$G$15,$M94-$A$15,DH$13)="",10^12,OFFSET(PLE!$G$15,$M94-$A$15,DH$13)))</f>
        <v>0</v>
      </c>
      <c r="DI94" s="172" cm="1">
        <f t="array" aca="1" ref="DI94" ca="1">IF(OR($D94&lt;&gt;"Serviço",AND(AUTOEVENTO="Manual",$M94=$A$15),$M94&gt;(ROW(PLE.lastrow)-ROW(PLE.firstrow))),0,
           IF(OFFSET(PLE!$G$15,$M94-$A$15,DI$13)="",10^12,OFFSET(PLE!$G$15,$M94-$A$15,DI$13)))</f>
        <v>0</v>
      </c>
      <c r="DJ94" s="172" cm="1">
        <f t="array" aca="1" ref="DJ94" ca="1">IF(OR($D94&lt;&gt;"Serviço",AND(AUTOEVENTO="Manual",$M94=$A$15),$M94&gt;(ROW(PLE.lastrow)-ROW(PLE.firstrow))),0,
           IF(OFFSET(PLE!$G$15,$M94-$A$15,DJ$13)="",10^12,OFFSET(PLE!$G$15,$M94-$A$15,DJ$13)))</f>
        <v>0</v>
      </c>
      <c r="DK94" s="172" cm="1">
        <f t="array" aca="1" ref="DK94" ca="1">IF(OR($D94&lt;&gt;"Serviço",AND(AUTOEVENTO="Manual",$M94=$A$15),$M94&gt;(ROW(PLE.lastrow)-ROW(PLE.firstrow))),0,
           IF(OFFSET(PLE!$G$15,$M94-$A$15,DK$13)="",10^12,OFFSET(PLE!$G$15,$M94-$A$15,DK$13)))</f>
        <v>0</v>
      </c>
      <c r="DL94" s="172" cm="1">
        <f t="array" aca="1" ref="DL94" ca="1">IF(OR($D94&lt;&gt;"Serviço",AND(AUTOEVENTO="Manual",$M94=$A$15),$M94&gt;(ROW(PLE.lastrow)-ROW(PLE.firstrow))),0,
           IF(OFFSET(PLE!$G$15,$M94-$A$15,DL$13)="",10^12,OFFSET(PLE!$G$15,$M94-$A$15,DL$13)))</f>
        <v>0</v>
      </c>
      <c r="DM94" s="172" cm="1">
        <f t="array" aca="1" ref="DM94" ca="1">IF(OR($D94&lt;&gt;"Serviço",AND(AUTOEVENTO="Manual",$M94=$A$15),$M94&gt;(ROW(PLE.lastrow)-ROW(PLE.firstrow))),0,
           IF(OFFSET(PLE!$G$15,$M94-$A$15,DM$13)="",10^12,OFFSET(PLE!$G$15,$M94-$A$15,DM$13)))</f>
        <v>0</v>
      </c>
      <c r="DN94" s="172" cm="1">
        <f t="array" aca="1" ref="DN94" ca="1">IF(OR($D94&lt;&gt;"Serviço",AND(AUTOEVENTO="Manual",$M94=$A$15),$M94&gt;(ROW(PLE.lastrow)-ROW(PLE.firstrow))),0,
           IF(OFFSET(PLE!$G$15,$M94-$A$15,DN$13)="",10^12,OFFSET(PLE!$G$15,$M94-$A$15,DN$13)))</f>
        <v>0</v>
      </c>
      <c r="DO94" s="172" cm="1">
        <f t="array" aca="1" ref="DO94" ca="1">IF(OR($D94&lt;&gt;"Serviço",AND(AUTOEVENTO="Manual",$M94=$A$15),$M94&gt;(ROW(PLE.lastrow)-ROW(PLE.firstrow))),0,
           IF(OFFSET(PLE!$G$15,$M94-$A$15,DO$13)="",10^12,OFFSET(PLE!$G$15,$M94-$A$15,DO$13)))</f>
        <v>0</v>
      </c>
      <c r="DP94" s="172" cm="1">
        <f t="array" aca="1" ref="DP94" ca="1">IF(OR($D94&lt;&gt;"Serviço",AND(AUTOEVENTO="Manual",$M94=$A$15),$M94&gt;(ROW(PLE.lastrow)-ROW(PLE.firstrow))),0,
           IF(OFFSET(PLE!$G$15,$M94-$A$15,DP$13)="",10^12,OFFSET(PLE!$G$15,$M94-$A$15,DP$13)))</f>
        <v>0</v>
      </c>
      <c r="DQ94" s="172" cm="1">
        <f t="array" aca="1" ref="DQ94" ca="1">IF(OR($D94&lt;&gt;"Serviço",AND(AUTOEVENTO="Manual",$M94=$A$15),$M94&gt;(ROW(PLE.lastrow)-ROW(PLE.firstrow))),0,
           IF(OFFSET(PLE!$G$15,$M94-$A$15,DQ$13)="",10^12,OFFSET(PLE!$G$15,$M94-$A$15,DQ$13)))</f>
        <v>0</v>
      </c>
      <c r="DR94" s="172" cm="1">
        <f t="array" aca="1" ref="DR94" ca="1">IF(OR($D94&lt;&gt;"Serviço",AND(AUTOEVENTO="Manual",$M94=$A$15),$M94&gt;(ROW(PLE.lastrow)-ROW(PLE.firstrow))),0,
           IF(OFFSET(PLE!$G$15,$M94-$A$15,DR$13)="",10^12,OFFSET(PLE!$G$15,$M94-$A$15,DR$13)))</f>
        <v>0</v>
      </c>
      <c r="DS94" s="172" cm="1">
        <f t="array" aca="1" ref="DS94" ca="1">IF(OR($D94&lt;&gt;"Serviço",AND(AUTOEVENTO="Manual",$M94=$A$15),$M94&gt;(ROW(PLE.lastrow)-ROW(PLE.firstrow))),0,
           IF(OFFSET(PLE!$G$15,$M94-$A$15,DS$13)="",10^12,OFFSET(PLE!$G$15,$M94-$A$15,DS$13)))</f>
        <v>0</v>
      </c>
    </row>
    <row r="95" spans="1:123" ht="51" x14ac:dyDescent="0.2">
      <c r="A95" s="7">
        <f t="shared" ca="1" si="13"/>
        <v>7</v>
      </c>
      <c r="B95" s="7" t="str">
        <f ca="1">OFFSET(ORÇAMENTO!C$15,$L95,0)</f>
        <v>S</v>
      </c>
      <c r="C95" s="7" t="str">
        <f ca="1">OFFSET(ORÇAMENTO!L$15,$L95,0)</f>
        <v/>
      </c>
      <c r="D95" s="116" t="str">
        <f ca="1">OFFSET(ORÇAMENTO!N$15,$L95,0)</f>
        <v>Serviço</v>
      </c>
      <c r="E95" s="117" t="str">
        <f ca="1">OFFSET(ORÇAMENTO!O$15,$L95,0)</f>
        <v>-</v>
      </c>
      <c r="F95" s="163" t="str">
        <f ca="1">OFFSET(ORÇAMENTO!R$15,$L95,0)</f>
        <v>(Código não identificado nas referências)</v>
      </c>
      <c r="G95" s="164" t="str">
        <f ca="1">IF($D95&lt;&gt;"Serviço","",OFFSET(ORÇAMENTO!S$15,$L95,0))</f>
        <v>-</v>
      </c>
      <c r="H95" s="122" cm="1">
        <f t="array" aca="1" ref="H95" ca="1">IF($D95&lt;&gt;"Serviço",0,IF(ACOMPANHAMENTO="BM",ROUND(OFFSET(ORÇAMENTO!AJ$15,$L95,0),15-13*ORÇAMENTO!$AF$7),IF(IFERROR(CÁLCULO.FrentesPreenchidas,0)=0,0,SUM(ROUND(OFFSET($P95,0,1,1,CÁLCULO.FrentesPreenchidas),15-13*ORÇAMENTO!$AF$7)))))</f>
        <v>607.00000000000023</v>
      </c>
      <c r="I95" s="468" t="s">
        <v>1235</v>
      </c>
      <c r="J95" s="651" t="str" cm="1">
        <f t="array" aca="1" ref="J95" ca="1">IF(OR(B95&lt;&gt;"S",CÁLCULO.FrentesPreenchidas=0),"",IF(AND(ACOMPANHAMENTO="PLE",AUTOEVENTO="Manual",OR(H95&gt;0,ORÇAMENTO!AC95="QUANT."),OR(K95="",M95=0,N95="")),"►E",IF(AND(ACOMPANHAMENTO="PLE",ORÇAMENTO!AC95="QUANT."),"►Q",IF(AND(ACOMPANHAMENTO="PLE",H95&lt;&gt;SUMPRODUCT(($Q$1:$AQ$1=1)*ROUND(Q95:AQ95,15))),"►S",IF(AND(COUNTIF($P$11:$AQ$11,"▼")=0,H95&gt;0,I95=""),"◄M","")))))</f>
        <v/>
      </c>
      <c r="K95" s="652" t="s">
        <v>1255</v>
      </c>
      <c r="L95" s="165">
        <f t="shared" ca="1" si="14"/>
        <v>80</v>
      </c>
      <c r="M95" s="166">
        <f ca="1">IF($D95&lt;&gt;"Serviço","",
          IF(AUTOEVENTO="manual",$A95,
                IF(ISERROR(MATCH($A95,$A$15:OFFSET($A95,-1,0),0)),MAX($M$15:OFFSET(M95,-1,0))+1,
                      INDEX($M$15:OFFSET(M95,-1,0),MATCH($A95,$A$15:OFFSET($A95,-1,0),0)))))</f>
        <v>7</v>
      </c>
      <c r="N95" s="167" t="str">
        <f ca="1">IF($D95&lt;&gt;"Serviço","",
         IF(AUTOEVENTO="Manual",
                IF($A95=0,"&lt;-- defina o número do agrupador",
                       OFFSET(EVENTOS!$D$15,$A95-$A$15,0)),
                OFFSET($F$15,$A95,0)))</f>
        <v>REVESTIMENTOS</v>
      </c>
      <c r="O95" s="168"/>
      <c r="Q95" s="168">
        <v>30.35</v>
      </c>
      <c r="R95" s="169">
        <v>30.35</v>
      </c>
      <c r="S95" s="169">
        <v>30.35</v>
      </c>
      <c r="T95" s="169">
        <v>30.35</v>
      </c>
      <c r="U95" s="169">
        <v>30.35</v>
      </c>
      <c r="V95" s="169">
        <v>30.35</v>
      </c>
      <c r="W95" s="169">
        <v>30.35</v>
      </c>
      <c r="X95" s="169">
        <v>30.35</v>
      </c>
      <c r="Y95" s="169">
        <v>30.35</v>
      </c>
      <c r="Z95" s="170">
        <v>30.35</v>
      </c>
      <c r="AA95" s="169">
        <v>30.35</v>
      </c>
      <c r="AB95" s="169">
        <v>30.35</v>
      </c>
      <c r="AC95" s="169">
        <v>30.35</v>
      </c>
      <c r="AD95" s="169">
        <v>30.35</v>
      </c>
      <c r="AE95" s="169">
        <v>30.35</v>
      </c>
      <c r="AF95" s="169">
        <v>30.35</v>
      </c>
      <c r="AG95" s="169">
        <v>30.35</v>
      </c>
      <c r="AH95" s="170">
        <v>30.35</v>
      </c>
      <c r="AI95" s="169">
        <v>30.35</v>
      </c>
      <c r="AJ95" s="169">
        <v>30.35</v>
      </c>
      <c r="AK95" s="169"/>
      <c r="AL95" s="169"/>
      <c r="AM95" s="169"/>
      <c r="AN95" s="169"/>
      <c r="AO95" s="169"/>
      <c r="AP95" s="170"/>
      <c r="AR95" s="453">
        <f ca="1">IF(AND($D95="Serviço",AR$12&lt;&gt;0,$H95&gt;0,OR(AUTOEVENTO&lt;&gt;"manual",$M95&lt;&gt;$A$15)),
        IF(Import.TipoArredondamento&lt;&gt;"TransfereGOV",
              ROUND(OFFSET($P95,0,AR$13),15-13*ORÇAMENTO!$AF$7)/$H95*OFFSET(ORÇAMENTO!$X$15,ROW(AR95)-ROW(AR$15),0),
              ROUND(ROUND(OFFSET($P95,0,AR$13),15-13*ORÇAMENTO!$AF$7)*OFFSET(ORÇAMENTO!$W$15,ROW(AR95)-ROW(AR$15),0),15-13*ORÇAMENTO!$AF$11)),
         0)</f>
        <v>0</v>
      </c>
      <c r="AS95" s="453">
        <f ca="1">IF(AND($D95="Serviço",AS$12&lt;&gt;0,$H95&gt;0,OR(AUTOEVENTO&lt;&gt;"manual",$M95&lt;&gt;$A$15)),
        IF(Import.TipoArredondamento&lt;&gt;"TransfereGOV",
              ROUND(OFFSET($P95,0,AS$13),15-13*ORÇAMENTO!$AF$7)/$H95*OFFSET(ORÇAMENTO!$X$15,ROW(AS95)-ROW(AS$15),0),
              ROUND(ROUND(OFFSET($P95,0,AS$13),15-13*ORÇAMENTO!$AF$7)*OFFSET(ORÇAMENTO!$W$15,ROW(AS95)-ROW(AS$15),0),15-13*ORÇAMENTO!$AF$11)),
         0)</f>
        <v>0</v>
      </c>
      <c r="AT95" s="453">
        <f ca="1">IF(AND($D95="Serviço",AT$12&lt;&gt;0,$H95&gt;0,OR(AUTOEVENTO&lt;&gt;"manual",$M95&lt;&gt;$A$15)),
        IF(Import.TipoArredondamento&lt;&gt;"TransfereGOV",
              ROUND(OFFSET($P95,0,AT$13),15-13*ORÇAMENTO!$AF$7)/$H95*OFFSET(ORÇAMENTO!$X$15,ROW(AT95)-ROW(AT$15),0),
              ROUND(ROUND(OFFSET($P95,0,AT$13),15-13*ORÇAMENTO!$AF$7)*OFFSET(ORÇAMENTO!$W$15,ROW(AT95)-ROW(AT$15),0),15-13*ORÇAMENTO!$AF$11)),
         0)</f>
        <v>0</v>
      </c>
      <c r="AU95" s="453">
        <f ca="1">IF(AND($D95="Serviço",AU$12&lt;&gt;0,$H95&gt;0,OR(AUTOEVENTO&lt;&gt;"manual",$M95&lt;&gt;$A$15)),
        IF(Import.TipoArredondamento&lt;&gt;"TransfereGOV",
              ROUND(OFFSET($P95,0,AU$13),15-13*ORÇAMENTO!$AF$7)/$H95*OFFSET(ORÇAMENTO!$X$15,ROW(AU95)-ROW(AU$15),0),
              ROUND(ROUND(OFFSET($P95,0,AU$13),15-13*ORÇAMENTO!$AF$7)*OFFSET(ORÇAMENTO!$W$15,ROW(AU95)-ROW(AU$15),0),15-13*ORÇAMENTO!$AF$11)),
         0)</f>
        <v>0</v>
      </c>
      <c r="AV95" s="453">
        <f ca="1">IF(AND($D95="Serviço",AV$12&lt;&gt;0,$H95&gt;0,OR(AUTOEVENTO&lt;&gt;"manual",$M95&lt;&gt;$A$15)),
        IF(Import.TipoArredondamento&lt;&gt;"TransfereGOV",
              ROUND(OFFSET($P95,0,AV$13),15-13*ORÇAMENTO!$AF$7)/$H95*OFFSET(ORÇAMENTO!$X$15,ROW(AV95)-ROW(AV$15),0),
              ROUND(ROUND(OFFSET($P95,0,AV$13),15-13*ORÇAMENTO!$AF$7)*OFFSET(ORÇAMENTO!$W$15,ROW(AV95)-ROW(AV$15),0),15-13*ORÇAMENTO!$AF$11)),
         0)</f>
        <v>0</v>
      </c>
      <c r="AW95" s="453">
        <f ca="1">IF(AND($D95="Serviço",AW$12&lt;&gt;0,$H95&gt;0,OR(AUTOEVENTO&lt;&gt;"manual",$M95&lt;&gt;$A$15)),
        IF(Import.TipoArredondamento&lt;&gt;"TransfereGOV",
              ROUND(OFFSET($P95,0,AW$13),15-13*ORÇAMENTO!$AF$7)/$H95*OFFSET(ORÇAMENTO!$X$15,ROW(AW95)-ROW(AW$15),0),
              ROUND(ROUND(OFFSET($P95,0,AW$13),15-13*ORÇAMENTO!$AF$7)*OFFSET(ORÇAMENTO!$W$15,ROW(AW95)-ROW(AW$15),0),15-13*ORÇAMENTO!$AF$11)),
         0)</f>
        <v>0</v>
      </c>
      <c r="AX95" s="453">
        <f ca="1">IF(AND($D95="Serviço",AX$12&lt;&gt;0,$H95&gt;0,OR(AUTOEVENTO&lt;&gt;"manual",$M95&lt;&gt;$A$15)),
        IF(Import.TipoArredondamento&lt;&gt;"TransfereGOV",
              ROUND(OFFSET($P95,0,AX$13),15-13*ORÇAMENTO!$AF$7)/$H95*OFFSET(ORÇAMENTO!$X$15,ROW(AX95)-ROW(AX$15),0),
              ROUND(ROUND(OFFSET($P95,0,AX$13),15-13*ORÇAMENTO!$AF$7)*OFFSET(ORÇAMENTO!$W$15,ROW(AX95)-ROW(AX$15),0),15-13*ORÇAMENTO!$AF$11)),
         0)</f>
        <v>0</v>
      </c>
      <c r="AY95" s="453">
        <f ca="1">IF(AND($D95="Serviço",AY$12&lt;&gt;0,$H95&gt;0,OR(AUTOEVENTO&lt;&gt;"manual",$M95&lt;&gt;$A$15)),
        IF(Import.TipoArredondamento&lt;&gt;"TransfereGOV",
              ROUND(OFFSET($P95,0,AY$13),15-13*ORÇAMENTO!$AF$7)/$H95*OFFSET(ORÇAMENTO!$X$15,ROW(AY95)-ROW(AY$15),0),
              ROUND(ROUND(OFFSET($P95,0,AY$13),15-13*ORÇAMENTO!$AF$7)*OFFSET(ORÇAMENTO!$W$15,ROW(AY95)-ROW(AY$15),0),15-13*ORÇAMENTO!$AF$11)),
         0)</f>
        <v>0</v>
      </c>
      <c r="AZ95" s="453">
        <f ca="1">IF(AND($D95="Serviço",AZ$12&lt;&gt;0,$H95&gt;0,OR(AUTOEVENTO&lt;&gt;"manual",$M95&lt;&gt;$A$15)),
        IF(Import.TipoArredondamento&lt;&gt;"TransfereGOV",
              ROUND(OFFSET($P95,0,AZ$13),15-13*ORÇAMENTO!$AF$7)/$H95*OFFSET(ORÇAMENTO!$X$15,ROW(AZ95)-ROW(AZ$15),0),
              ROUND(ROUND(OFFSET($P95,0,AZ$13),15-13*ORÇAMENTO!$AF$7)*OFFSET(ORÇAMENTO!$W$15,ROW(AZ95)-ROW(AZ$15),0),15-13*ORÇAMENTO!$AF$11)),
         0)</f>
        <v>0</v>
      </c>
      <c r="BA95" s="453">
        <f ca="1">IF(AND($D95="Serviço",BA$12&lt;&gt;0,$H95&gt;0,OR(AUTOEVENTO&lt;&gt;"manual",$M95&lt;&gt;$A$15)),
        IF(Import.TipoArredondamento&lt;&gt;"TransfereGOV",
              ROUND(OFFSET($P95,0,BA$13),15-13*ORÇAMENTO!$AF$7)/$H95*OFFSET(ORÇAMENTO!$X$15,ROW(BA95)-ROW(BA$15),0),
              ROUND(ROUND(OFFSET($P95,0,BA$13),15-13*ORÇAMENTO!$AF$7)*OFFSET(ORÇAMENTO!$W$15,ROW(BA95)-ROW(BA$15),0),15-13*ORÇAMENTO!$AF$11)),
         0)</f>
        <v>0</v>
      </c>
      <c r="BB95" s="453">
        <f ca="1">IF(AND($D95="Serviço",BB$12&lt;&gt;0,$H95&gt;0,OR(AUTOEVENTO&lt;&gt;"manual",$M95&lt;&gt;$A$15)),
        IF(Import.TipoArredondamento&lt;&gt;"TransfereGOV",
              ROUND(OFFSET($P95,0,BB$13),15-13*ORÇAMENTO!$AF$7)/$H95*OFFSET(ORÇAMENTO!$X$15,ROW(BB95)-ROW(BB$15),0),
              ROUND(ROUND(OFFSET($P95,0,BB$13),15-13*ORÇAMENTO!$AF$7)*OFFSET(ORÇAMENTO!$W$15,ROW(BB95)-ROW(BB$15),0),15-13*ORÇAMENTO!$AF$11)),
         0)</f>
        <v>0</v>
      </c>
      <c r="BC95" s="453">
        <f ca="1">IF(AND($D95="Serviço",BC$12&lt;&gt;0,$H95&gt;0,OR(AUTOEVENTO&lt;&gt;"manual",$M95&lt;&gt;$A$15)),
        IF(Import.TipoArredondamento&lt;&gt;"TransfereGOV",
              ROUND(OFFSET($P95,0,BC$13),15-13*ORÇAMENTO!$AF$7)/$H95*OFFSET(ORÇAMENTO!$X$15,ROW(BC95)-ROW(BC$15),0),
              ROUND(ROUND(OFFSET($P95,0,BC$13),15-13*ORÇAMENTO!$AF$7)*OFFSET(ORÇAMENTO!$W$15,ROW(BC95)-ROW(BC$15),0),15-13*ORÇAMENTO!$AF$11)),
         0)</f>
        <v>0</v>
      </c>
      <c r="BD95" s="453">
        <f ca="1">IF(AND($D95="Serviço",BD$12&lt;&gt;0,$H95&gt;0,OR(AUTOEVENTO&lt;&gt;"manual",$M95&lt;&gt;$A$15)),
        IF(Import.TipoArredondamento&lt;&gt;"TransfereGOV",
              ROUND(OFFSET($P95,0,BD$13),15-13*ORÇAMENTO!$AF$7)/$H95*OFFSET(ORÇAMENTO!$X$15,ROW(BD95)-ROW(BD$15),0),
              ROUND(ROUND(OFFSET($P95,0,BD$13),15-13*ORÇAMENTO!$AF$7)*OFFSET(ORÇAMENTO!$W$15,ROW(BD95)-ROW(BD$15),0),15-13*ORÇAMENTO!$AF$11)),
         0)</f>
        <v>0</v>
      </c>
      <c r="BE95" s="453">
        <f ca="1">IF(AND($D95="Serviço",BE$12&lt;&gt;0,$H95&gt;0,OR(AUTOEVENTO&lt;&gt;"manual",$M95&lt;&gt;$A$15)),
        IF(Import.TipoArredondamento&lt;&gt;"TransfereGOV",
              ROUND(OFFSET($P95,0,BE$13),15-13*ORÇAMENTO!$AF$7)/$H95*OFFSET(ORÇAMENTO!$X$15,ROW(BE95)-ROW(BE$15),0),
              ROUND(ROUND(OFFSET($P95,0,BE$13),15-13*ORÇAMENTO!$AF$7)*OFFSET(ORÇAMENTO!$W$15,ROW(BE95)-ROW(BE$15),0),15-13*ORÇAMENTO!$AF$11)),
         0)</f>
        <v>0</v>
      </c>
      <c r="BF95" s="453">
        <f ca="1">IF(AND($D95="Serviço",BF$12&lt;&gt;0,$H95&gt;0,OR(AUTOEVENTO&lt;&gt;"manual",$M95&lt;&gt;$A$15)),
        IF(Import.TipoArredondamento&lt;&gt;"TransfereGOV",
              ROUND(OFFSET($P95,0,BF$13),15-13*ORÇAMENTO!$AF$7)/$H95*OFFSET(ORÇAMENTO!$X$15,ROW(BF95)-ROW(BF$15),0),
              ROUND(ROUND(OFFSET($P95,0,BF$13),15-13*ORÇAMENTO!$AF$7)*OFFSET(ORÇAMENTO!$W$15,ROW(BF95)-ROW(BF$15),0),15-13*ORÇAMENTO!$AF$11)),
         0)</f>
        <v>0</v>
      </c>
      <c r="BG95" s="453">
        <f ca="1">IF(AND($D95="Serviço",BG$12&lt;&gt;0,$H95&gt;0,OR(AUTOEVENTO&lt;&gt;"manual",$M95&lt;&gt;$A$15)),
        IF(Import.TipoArredondamento&lt;&gt;"TransfereGOV",
              ROUND(OFFSET($P95,0,BG$13),15-13*ORÇAMENTO!$AF$7)/$H95*OFFSET(ORÇAMENTO!$X$15,ROW(BG95)-ROW(BG$15),0),
              ROUND(ROUND(OFFSET($P95,0,BG$13),15-13*ORÇAMENTO!$AF$7)*OFFSET(ORÇAMENTO!$W$15,ROW(BG95)-ROW(BG$15),0),15-13*ORÇAMENTO!$AF$11)),
         0)</f>
        <v>0</v>
      </c>
      <c r="BH95" s="453">
        <f ca="1">IF(AND($D95="Serviço",BH$12&lt;&gt;0,$H95&gt;0,OR(AUTOEVENTO&lt;&gt;"manual",$M95&lt;&gt;$A$15)),
        IF(Import.TipoArredondamento&lt;&gt;"TransfereGOV",
              ROUND(OFFSET($P95,0,BH$13),15-13*ORÇAMENTO!$AF$7)/$H95*OFFSET(ORÇAMENTO!$X$15,ROW(BH95)-ROW(BH$15),0),
              ROUND(ROUND(OFFSET($P95,0,BH$13),15-13*ORÇAMENTO!$AF$7)*OFFSET(ORÇAMENTO!$W$15,ROW(BH95)-ROW(BH$15),0),15-13*ORÇAMENTO!$AF$11)),
         0)</f>
        <v>0</v>
      </c>
      <c r="BI95" s="453">
        <f ca="1">IF(AND($D95="Serviço",BI$12&lt;&gt;0,$H95&gt;0,OR(AUTOEVENTO&lt;&gt;"manual",$M95&lt;&gt;$A$15)),
        IF(Import.TipoArredondamento&lt;&gt;"TransfereGOV",
              ROUND(OFFSET($P95,0,BI$13),15-13*ORÇAMENTO!$AF$7)/$H95*OFFSET(ORÇAMENTO!$X$15,ROW(BI95)-ROW(BI$15),0),
              ROUND(ROUND(OFFSET($P95,0,BI$13),15-13*ORÇAMENTO!$AF$7)*OFFSET(ORÇAMENTO!$W$15,ROW(BI95)-ROW(BI$15),0),15-13*ORÇAMENTO!$AF$11)),
         0)</f>
        <v>0</v>
      </c>
      <c r="BJ95" s="453">
        <f ca="1">IF(AND($D95="Serviço",BJ$12&lt;&gt;0,$H95&gt;0,OR(AUTOEVENTO&lt;&gt;"manual",$M95&lt;&gt;$A$15)),
        IF(Import.TipoArredondamento&lt;&gt;"TransfereGOV",
              ROUND(OFFSET($P95,0,BJ$13),15-13*ORÇAMENTO!$AF$7)/$H95*OFFSET(ORÇAMENTO!$X$15,ROW(BJ95)-ROW(BJ$15),0),
              ROUND(ROUND(OFFSET($P95,0,BJ$13),15-13*ORÇAMENTO!$AF$7)*OFFSET(ORÇAMENTO!$W$15,ROW(BJ95)-ROW(BJ$15),0),15-13*ORÇAMENTO!$AF$11)),
         0)</f>
        <v>0</v>
      </c>
      <c r="BK95" s="453">
        <f ca="1">IF(AND($D95="Serviço",BK$12&lt;&gt;0,$H95&gt;0,OR(AUTOEVENTO&lt;&gt;"manual",$M95&lt;&gt;$A$15)),
        IF(Import.TipoArredondamento&lt;&gt;"TransfereGOV",
              ROUND(OFFSET($P95,0,BK$13),15-13*ORÇAMENTO!$AF$7)/$H95*OFFSET(ORÇAMENTO!$X$15,ROW(BK95)-ROW(BK$15),0),
              ROUND(ROUND(OFFSET($P95,0,BK$13),15-13*ORÇAMENTO!$AF$7)*OFFSET(ORÇAMENTO!$W$15,ROW(BK95)-ROW(BK$15),0),15-13*ORÇAMENTO!$AF$11)),
         0)</f>
        <v>0</v>
      </c>
      <c r="BL95" s="453">
        <f ca="1">IF(AND($D95="Serviço",BL$12&lt;&gt;0,$H95&gt;0,OR(AUTOEVENTO&lt;&gt;"manual",$M95&lt;&gt;$A$15)),
        IF(Import.TipoArredondamento&lt;&gt;"TransfereGOV",
              ROUND(OFFSET($P95,0,BL$13),15-13*ORÇAMENTO!$AF$7)/$H95*OFFSET(ORÇAMENTO!$X$15,ROW(BL95)-ROW(BL$15),0),
              ROUND(ROUND(OFFSET($P95,0,BL$13),15-13*ORÇAMENTO!$AF$7)*OFFSET(ORÇAMENTO!$W$15,ROW(BL95)-ROW(BL$15),0),15-13*ORÇAMENTO!$AF$11)),
         0)</f>
        <v>0</v>
      </c>
      <c r="BM95" s="453">
        <f ca="1">IF(AND($D95="Serviço",BM$12&lt;&gt;0,$H95&gt;0,OR(AUTOEVENTO&lt;&gt;"manual",$M95&lt;&gt;$A$15)),
        IF(Import.TipoArredondamento&lt;&gt;"TransfereGOV",
              ROUND(OFFSET($P95,0,BM$13),15-13*ORÇAMENTO!$AF$7)/$H95*OFFSET(ORÇAMENTO!$X$15,ROW(BM95)-ROW(BM$15),0),
              ROUND(ROUND(OFFSET($P95,0,BM$13),15-13*ORÇAMENTO!$AF$7)*OFFSET(ORÇAMENTO!$W$15,ROW(BM95)-ROW(BM$15),0),15-13*ORÇAMENTO!$AF$11)),
         0)</f>
        <v>0</v>
      </c>
      <c r="BN95" s="453">
        <f ca="1">IF(AND($D95="Serviço",BN$12&lt;&gt;0,$H95&gt;0,OR(AUTOEVENTO&lt;&gt;"manual",$M95&lt;&gt;$A$15)),
        IF(Import.TipoArredondamento&lt;&gt;"TransfereGOV",
              ROUND(OFFSET($P95,0,BN$13),15-13*ORÇAMENTO!$AF$7)/$H95*OFFSET(ORÇAMENTO!$X$15,ROW(BN95)-ROW(BN$15),0),
              ROUND(ROUND(OFFSET($P95,0,BN$13),15-13*ORÇAMENTO!$AF$7)*OFFSET(ORÇAMENTO!$W$15,ROW(BN95)-ROW(BN$15),0),15-13*ORÇAMENTO!$AF$11)),
         0)</f>
        <v>0</v>
      </c>
      <c r="BO95" s="453">
        <f ca="1">IF(AND($D95="Serviço",BO$12&lt;&gt;0,$H95&gt;0,OR(AUTOEVENTO&lt;&gt;"manual",$M95&lt;&gt;$A$15)),
        IF(Import.TipoArredondamento&lt;&gt;"TransfereGOV",
              ROUND(OFFSET($P95,0,BO$13),15-13*ORÇAMENTO!$AF$7)/$H95*OFFSET(ORÇAMENTO!$X$15,ROW(BO95)-ROW(BO$15),0),
              ROUND(ROUND(OFFSET($P95,0,BO$13),15-13*ORÇAMENTO!$AF$7)*OFFSET(ORÇAMENTO!$W$15,ROW(BO95)-ROW(BO$15),0),15-13*ORÇAMENTO!$AF$11)),
         0)</f>
        <v>0</v>
      </c>
      <c r="BP95" s="453">
        <f ca="1">IF(AND($D95="Serviço",BP$12&lt;&gt;0,$H95&gt;0,OR(AUTOEVENTO&lt;&gt;"manual",$M95&lt;&gt;$A$15)),
        IF(Import.TipoArredondamento&lt;&gt;"TransfereGOV",
              ROUND(OFFSET($P95,0,BP$13),15-13*ORÇAMENTO!$AF$7)/$H95*OFFSET(ORÇAMENTO!$X$15,ROW(BP95)-ROW(BP$15),0),
              ROUND(ROUND(OFFSET($P95,0,BP$13),15-13*ORÇAMENTO!$AF$7)*OFFSET(ORÇAMENTO!$W$15,ROW(BP95)-ROW(BP$15),0),15-13*ORÇAMENTO!$AF$11)),
         0)</f>
        <v>0</v>
      </c>
      <c r="BQ95" s="453">
        <f ca="1">IF(AND($D95="Serviço",BQ$12&lt;&gt;0,$H95&gt;0,OR(AUTOEVENTO&lt;&gt;"manual",$M95&lt;&gt;$A$15)),
        IF(Import.TipoArredondamento&lt;&gt;"TransfereGOV",
              ROUND(OFFSET($P95,0,BQ$13),15-13*ORÇAMENTO!$AF$7)/$H95*OFFSET(ORÇAMENTO!$X$15,ROW(BQ95)-ROW(BQ$15),0),
              ROUND(ROUND(OFFSET($P95,0,BQ$13),15-13*ORÇAMENTO!$AF$7)*OFFSET(ORÇAMENTO!$W$15,ROW(BQ95)-ROW(BQ$15),0),15-13*ORÇAMENTO!$AF$11)),
         0)</f>
        <v>0</v>
      </c>
      <c r="BS95" s="171">
        <f ca="1">IF(OR($D95&lt;&gt;"Serviço",AND(AUTOEVENTO="Manual",$M95=$A$15)),0,
         IF(OFFSET(CRONOPLE!$F$15,$M95-$A$15,BS$13)=0,10^12,OFFSET(CRONOPLE!$F$15,$M95-$A$15,BS$13)))</f>
        <v>1</v>
      </c>
      <c r="BT95" s="171">
        <f ca="1">IF(OR($D95&lt;&gt;"Serviço",AND(AUTOEVENTO="Manual",$M95=$A$15)),0,
         IF(OFFSET(CRONOPLE!$F$15,$M95-$A$15,BT$13)=0,10^12,OFFSET(CRONOPLE!$F$15,$M95-$A$15,BT$13)))</f>
        <v>2</v>
      </c>
      <c r="BU95" s="171">
        <f ca="1">IF(OR($D95&lt;&gt;"Serviço",AND(AUTOEVENTO="Manual",$M95=$A$15)),0,
         IF(OFFSET(CRONOPLE!$F$15,$M95-$A$15,BU$13)=0,10^12,OFFSET(CRONOPLE!$F$15,$M95-$A$15,BU$13)))</f>
        <v>3</v>
      </c>
      <c r="BV95" s="171">
        <f ca="1">IF(OR($D95&lt;&gt;"Serviço",AND(AUTOEVENTO="Manual",$M95=$A$15)),0,
         IF(OFFSET(CRONOPLE!$F$15,$M95-$A$15,BV$13)=0,10^12,OFFSET(CRONOPLE!$F$15,$M95-$A$15,BV$13)))</f>
        <v>4</v>
      </c>
      <c r="BW95" s="171">
        <f ca="1">IF(OR($D95&lt;&gt;"Serviço",AND(AUTOEVENTO="Manual",$M95=$A$15)),0,
         IF(OFFSET(CRONOPLE!$F$15,$M95-$A$15,BW$13)=0,10^12,OFFSET(CRONOPLE!$F$15,$M95-$A$15,BW$13)))</f>
        <v>5</v>
      </c>
      <c r="BX95" s="171">
        <f ca="1">IF(OR($D95&lt;&gt;"Serviço",AND(AUTOEVENTO="Manual",$M95=$A$15)),0,
         IF(OFFSET(CRONOPLE!$F$15,$M95-$A$15,BX$13)=0,10^12,OFFSET(CRONOPLE!$F$15,$M95-$A$15,BX$13)))</f>
        <v>6</v>
      </c>
      <c r="BY95" s="171">
        <f ca="1">IF(OR($D95&lt;&gt;"Serviço",AND(AUTOEVENTO="Manual",$M95=$A$15)),0,
         IF(OFFSET(CRONOPLE!$F$15,$M95-$A$15,BY$13)=0,10^12,OFFSET(CRONOPLE!$F$15,$M95-$A$15,BY$13)))</f>
        <v>7</v>
      </c>
      <c r="BZ95" s="171">
        <f ca="1">IF(OR($D95&lt;&gt;"Serviço",AND(AUTOEVENTO="Manual",$M95=$A$15)),0,
         IF(OFFSET(CRONOPLE!$F$15,$M95-$A$15,BZ$13)=0,10^12,OFFSET(CRONOPLE!$F$15,$M95-$A$15,BZ$13)))</f>
        <v>8</v>
      </c>
      <c r="CA95" s="171">
        <f ca="1">IF(OR($D95&lt;&gt;"Serviço",AND(AUTOEVENTO="Manual",$M95=$A$15)),0,
         IF(OFFSET(CRONOPLE!$F$15,$M95-$A$15,CA$13)=0,10^12,OFFSET(CRONOPLE!$F$15,$M95-$A$15,CA$13)))</f>
        <v>9</v>
      </c>
      <c r="CB95" s="171">
        <f ca="1">IF(OR($D95&lt;&gt;"Serviço",AND(AUTOEVENTO="Manual",$M95=$A$15)),0,
         IF(OFFSET(CRONOPLE!$F$15,$M95-$A$15,CB$13)=0,10^12,OFFSET(CRONOPLE!$F$15,$M95-$A$15,CB$13)))</f>
        <v>10</v>
      </c>
      <c r="CC95" s="171">
        <f ca="1">IF(OR($D95&lt;&gt;"Serviço",AND(AUTOEVENTO="Manual",$M95=$A$15)),0,
         IF(OFFSET(CRONOPLE!$F$15,$M95-$A$15,CC$13)=0,10^12,OFFSET(CRONOPLE!$F$15,$M95-$A$15,CC$13)))</f>
        <v>11</v>
      </c>
      <c r="CD95" s="171">
        <f ca="1">IF(OR($D95&lt;&gt;"Serviço",AND(AUTOEVENTO="Manual",$M95=$A$15)),0,
         IF(OFFSET(CRONOPLE!$F$15,$M95-$A$15,CD$13)=0,10^12,OFFSET(CRONOPLE!$F$15,$M95-$A$15,CD$13)))</f>
        <v>12</v>
      </c>
      <c r="CE95" s="171">
        <f ca="1">IF(OR($D95&lt;&gt;"Serviço",AND(AUTOEVENTO="Manual",$M95=$A$15)),0,
         IF(OFFSET(CRONOPLE!$F$15,$M95-$A$15,CE$13)=0,10^12,OFFSET(CRONOPLE!$F$15,$M95-$A$15,CE$13)))</f>
        <v>13</v>
      </c>
      <c r="CF95" s="171">
        <f ca="1">IF(OR($D95&lt;&gt;"Serviço",AND(AUTOEVENTO="Manual",$M95=$A$15)),0,
         IF(OFFSET(CRONOPLE!$F$15,$M95-$A$15,CF$13)=0,10^12,OFFSET(CRONOPLE!$F$15,$M95-$A$15,CF$13)))</f>
        <v>14</v>
      </c>
      <c r="CG95" s="171">
        <f ca="1">IF(OR($D95&lt;&gt;"Serviço",AND(AUTOEVENTO="Manual",$M95=$A$15)),0,
         IF(OFFSET(CRONOPLE!$F$15,$M95-$A$15,CG$13)=0,10^12,OFFSET(CRONOPLE!$F$15,$M95-$A$15,CG$13)))</f>
        <v>15</v>
      </c>
      <c r="CH95" s="171">
        <f ca="1">IF(OR($D95&lt;&gt;"Serviço",AND(AUTOEVENTO="Manual",$M95=$A$15)),0,
         IF(OFFSET(CRONOPLE!$F$15,$M95-$A$15,CH$13)=0,10^12,OFFSET(CRONOPLE!$F$15,$M95-$A$15,CH$13)))</f>
        <v>16</v>
      </c>
      <c r="CI95" s="171">
        <f ca="1">IF(OR($D95&lt;&gt;"Serviço",AND(AUTOEVENTO="Manual",$M95=$A$15)),0,
         IF(OFFSET(CRONOPLE!$F$15,$M95-$A$15,CI$13)=0,10^12,OFFSET(CRONOPLE!$F$15,$M95-$A$15,CI$13)))</f>
        <v>17</v>
      </c>
      <c r="CJ95" s="171">
        <f ca="1">IF(OR($D95&lt;&gt;"Serviço",AND(AUTOEVENTO="Manual",$M95=$A$15)),0,
         IF(OFFSET(CRONOPLE!$F$15,$M95-$A$15,CJ$13)=0,10^12,OFFSET(CRONOPLE!$F$15,$M95-$A$15,CJ$13)))</f>
        <v>18</v>
      </c>
      <c r="CK95" s="171">
        <f ca="1">IF(OR($D95&lt;&gt;"Serviço",AND(AUTOEVENTO="Manual",$M95=$A$15)),0,
         IF(OFFSET(CRONOPLE!$F$15,$M95-$A$15,CK$13)=0,10^12,OFFSET(CRONOPLE!$F$15,$M95-$A$15,CK$13)))</f>
        <v>19</v>
      </c>
      <c r="CL95" s="171">
        <f ca="1">IF(OR($D95&lt;&gt;"Serviço",AND(AUTOEVENTO="Manual",$M95=$A$15)),0,
         IF(OFFSET(CRONOPLE!$F$15,$M95-$A$15,CL$13)=0,10^12,OFFSET(CRONOPLE!$F$15,$M95-$A$15,CL$13)))</f>
        <v>20</v>
      </c>
      <c r="CM95" s="171">
        <f ca="1">IF(OR($D95&lt;&gt;"Serviço",AND(AUTOEVENTO="Manual",$M95=$A$15)),0,
         IF(OFFSET(CRONOPLE!$F$15,$M95-$A$15,CM$13)=0,10^12,OFFSET(CRONOPLE!$F$15,$M95-$A$15,CM$13)))</f>
        <v>1000000000000</v>
      </c>
      <c r="CN95" s="171">
        <f ca="1">IF(OR($D95&lt;&gt;"Serviço",AND(AUTOEVENTO="Manual",$M95=$A$15)),0,
         IF(OFFSET(CRONOPLE!$F$15,$M95-$A$15,CN$13)=0,10^12,OFFSET(CRONOPLE!$F$15,$M95-$A$15,CN$13)))</f>
        <v>1000000000000</v>
      </c>
      <c r="CO95" s="171">
        <f ca="1">IF(OR($D95&lt;&gt;"Serviço",AND(AUTOEVENTO="Manual",$M95=$A$15)),0,
         IF(OFFSET(CRONOPLE!$F$15,$M95-$A$15,CO$13)=0,10^12,OFFSET(CRONOPLE!$F$15,$M95-$A$15,CO$13)))</f>
        <v>1000000000000</v>
      </c>
      <c r="CP95" s="171">
        <f ca="1">IF(OR($D95&lt;&gt;"Serviço",AND(AUTOEVENTO="Manual",$M95=$A$15)),0,
         IF(OFFSET(CRONOPLE!$F$15,$M95-$A$15,CP$13)=0,10^12,OFFSET(CRONOPLE!$F$15,$M95-$A$15,CP$13)))</f>
        <v>1000000000000</v>
      </c>
      <c r="CQ95" s="171">
        <f ca="1">IF(OR($D95&lt;&gt;"Serviço",AND(AUTOEVENTO="Manual",$M95=$A$15)),0,
         IF(OFFSET(CRONOPLE!$F$15,$M95-$A$15,CQ$13)=0,10^12,OFFSET(CRONOPLE!$F$15,$M95-$A$15,CQ$13)))</f>
        <v>1000000000000</v>
      </c>
      <c r="CR95" s="171">
        <f ca="1">IF(OR($D95&lt;&gt;"Serviço",AND(AUTOEVENTO="Manual",$M95=$A$15)),0,
         IF(OFFSET(CRONOPLE!$F$15,$M95-$A$15,CR$13)=0,10^12,OFFSET(CRONOPLE!$F$15,$M95-$A$15,CR$13)))</f>
        <v>1000000000000</v>
      </c>
      <c r="CT95" s="172" cm="1">
        <f t="array" aca="1" ref="CT95" ca="1">IF(OR($D95&lt;&gt;"Serviço",AND(AUTOEVENTO="Manual",$M95=$A$15),$M95&gt;(ROW(PLE.lastrow)-ROW(PLE.firstrow))),0,
           IF(OFFSET(PLE!$G$15,$M95-$A$15,CT$13)="",10^12,OFFSET(PLE!$G$15,$M95-$A$15,CT$13)))</f>
        <v>1000000000000</v>
      </c>
      <c r="CU95" s="172" cm="1">
        <f t="array" aca="1" ref="CU95" ca="1">IF(OR($D95&lt;&gt;"Serviço",AND(AUTOEVENTO="Manual",$M95=$A$15),$M95&gt;(ROW(PLE.lastrow)-ROW(PLE.firstrow))),0,
           IF(OFFSET(PLE!$G$15,$M95-$A$15,CU$13)="",10^12,OFFSET(PLE!$G$15,$M95-$A$15,CU$13)))</f>
        <v>1000000000000</v>
      </c>
      <c r="CV95" s="172" cm="1">
        <f t="array" aca="1" ref="CV95" ca="1">IF(OR($D95&lt;&gt;"Serviço",AND(AUTOEVENTO="Manual",$M95=$A$15),$M95&gt;(ROW(PLE.lastrow)-ROW(PLE.firstrow))),0,
           IF(OFFSET(PLE!$G$15,$M95-$A$15,CV$13)="",10^12,OFFSET(PLE!$G$15,$M95-$A$15,CV$13)))</f>
        <v>1000000000000</v>
      </c>
      <c r="CW95" s="172" cm="1">
        <f t="array" aca="1" ref="CW95" ca="1">IF(OR($D95&lt;&gt;"Serviço",AND(AUTOEVENTO="Manual",$M95=$A$15),$M95&gt;(ROW(PLE.lastrow)-ROW(PLE.firstrow))),0,
           IF(OFFSET(PLE!$G$15,$M95-$A$15,CW$13)="",10^12,OFFSET(PLE!$G$15,$M95-$A$15,CW$13)))</f>
        <v>1000000000000</v>
      </c>
      <c r="CX95" s="172" cm="1">
        <f t="array" aca="1" ref="CX95" ca="1">IF(OR($D95&lt;&gt;"Serviço",AND(AUTOEVENTO="Manual",$M95=$A$15),$M95&gt;(ROW(PLE.lastrow)-ROW(PLE.firstrow))),0,
           IF(OFFSET(PLE!$G$15,$M95-$A$15,CX$13)="",10^12,OFFSET(PLE!$G$15,$M95-$A$15,CX$13)))</f>
        <v>1000000000000</v>
      </c>
      <c r="CY95" s="172" cm="1">
        <f t="array" aca="1" ref="CY95" ca="1">IF(OR($D95&lt;&gt;"Serviço",AND(AUTOEVENTO="Manual",$M95=$A$15),$M95&gt;(ROW(PLE.lastrow)-ROW(PLE.firstrow))),0,
           IF(OFFSET(PLE!$G$15,$M95-$A$15,CY$13)="",10^12,OFFSET(PLE!$G$15,$M95-$A$15,CY$13)))</f>
        <v>1000000000000</v>
      </c>
      <c r="CZ95" s="172" cm="1">
        <f t="array" aca="1" ref="CZ95" ca="1">IF(OR($D95&lt;&gt;"Serviço",AND(AUTOEVENTO="Manual",$M95=$A$15),$M95&gt;(ROW(PLE.lastrow)-ROW(PLE.firstrow))),0,
           IF(OFFSET(PLE!$G$15,$M95-$A$15,CZ$13)="",10^12,OFFSET(PLE!$G$15,$M95-$A$15,CZ$13)))</f>
        <v>1000000000000</v>
      </c>
      <c r="DA95" s="172" cm="1">
        <f t="array" aca="1" ref="DA95" ca="1">IF(OR($D95&lt;&gt;"Serviço",AND(AUTOEVENTO="Manual",$M95=$A$15),$M95&gt;(ROW(PLE.lastrow)-ROW(PLE.firstrow))),0,
           IF(OFFSET(PLE!$G$15,$M95-$A$15,DA$13)="",10^12,OFFSET(PLE!$G$15,$M95-$A$15,DA$13)))</f>
        <v>1000000000000</v>
      </c>
      <c r="DB95" s="172" cm="1">
        <f t="array" aca="1" ref="DB95" ca="1">IF(OR($D95&lt;&gt;"Serviço",AND(AUTOEVENTO="Manual",$M95=$A$15),$M95&gt;(ROW(PLE.lastrow)-ROW(PLE.firstrow))),0,
           IF(OFFSET(PLE!$G$15,$M95-$A$15,DB$13)="",10^12,OFFSET(PLE!$G$15,$M95-$A$15,DB$13)))</f>
        <v>1000000000000</v>
      </c>
      <c r="DC95" s="172" cm="1">
        <f t="array" aca="1" ref="DC95" ca="1">IF(OR($D95&lt;&gt;"Serviço",AND(AUTOEVENTO="Manual",$M95=$A$15),$M95&gt;(ROW(PLE.lastrow)-ROW(PLE.firstrow))),0,
           IF(OFFSET(PLE!$G$15,$M95-$A$15,DC$13)="",10^12,OFFSET(PLE!$G$15,$M95-$A$15,DC$13)))</f>
        <v>1000000000000</v>
      </c>
      <c r="DD95" s="172" cm="1">
        <f t="array" aca="1" ref="DD95" ca="1">IF(OR($D95&lt;&gt;"Serviço",AND(AUTOEVENTO="Manual",$M95=$A$15),$M95&gt;(ROW(PLE.lastrow)-ROW(PLE.firstrow))),0,
           IF(OFFSET(PLE!$G$15,$M95-$A$15,DD$13)="",10^12,OFFSET(PLE!$G$15,$M95-$A$15,DD$13)))</f>
        <v>1000000000000</v>
      </c>
      <c r="DE95" s="172" cm="1">
        <f t="array" aca="1" ref="DE95" ca="1">IF(OR($D95&lt;&gt;"Serviço",AND(AUTOEVENTO="Manual",$M95=$A$15),$M95&gt;(ROW(PLE.lastrow)-ROW(PLE.firstrow))),0,
           IF(OFFSET(PLE!$G$15,$M95-$A$15,DE$13)="",10^12,OFFSET(PLE!$G$15,$M95-$A$15,DE$13)))</f>
        <v>1000000000000</v>
      </c>
      <c r="DF95" s="172" cm="1">
        <f t="array" aca="1" ref="DF95" ca="1">IF(OR($D95&lt;&gt;"Serviço",AND(AUTOEVENTO="Manual",$M95=$A$15),$M95&gt;(ROW(PLE.lastrow)-ROW(PLE.firstrow))),0,
           IF(OFFSET(PLE!$G$15,$M95-$A$15,DF$13)="",10^12,OFFSET(PLE!$G$15,$M95-$A$15,DF$13)))</f>
        <v>1000000000000</v>
      </c>
      <c r="DG95" s="172" cm="1">
        <f t="array" aca="1" ref="DG95" ca="1">IF(OR($D95&lt;&gt;"Serviço",AND(AUTOEVENTO="Manual",$M95=$A$15),$M95&gt;(ROW(PLE.lastrow)-ROW(PLE.firstrow))),0,
           IF(OFFSET(PLE!$G$15,$M95-$A$15,DG$13)="",10^12,OFFSET(PLE!$G$15,$M95-$A$15,DG$13)))</f>
        <v>1000000000000</v>
      </c>
      <c r="DH95" s="172" cm="1">
        <f t="array" aca="1" ref="DH95" ca="1">IF(OR($D95&lt;&gt;"Serviço",AND(AUTOEVENTO="Manual",$M95=$A$15),$M95&gt;(ROW(PLE.lastrow)-ROW(PLE.firstrow))),0,
           IF(OFFSET(PLE!$G$15,$M95-$A$15,DH$13)="",10^12,OFFSET(PLE!$G$15,$M95-$A$15,DH$13)))</f>
        <v>1000000000000</v>
      </c>
      <c r="DI95" s="172" cm="1">
        <f t="array" aca="1" ref="DI95" ca="1">IF(OR($D95&lt;&gt;"Serviço",AND(AUTOEVENTO="Manual",$M95=$A$15),$M95&gt;(ROW(PLE.lastrow)-ROW(PLE.firstrow))),0,
           IF(OFFSET(PLE!$G$15,$M95-$A$15,DI$13)="",10^12,OFFSET(PLE!$G$15,$M95-$A$15,DI$13)))</f>
        <v>1000000000000</v>
      </c>
      <c r="DJ95" s="172" cm="1">
        <f t="array" aca="1" ref="DJ95" ca="1">IF(OR($D95&lt;&gt;"Serviço",AND(AUTOEVENTO="Manual",$M95=$A$15),$M95&gt;(ROW(PLE.lastrow)-ROW(PLE.firstrow))),0,
           IF(OFFSET(PLE!$G$15,$M95-$A$15,DJ$13)="",10^12,OFFSET(PLE!$G$15,$M95-$A$15,DJ$13)))</f>
        <v>1000000000000</v>
      </c>
      <c r="DK95" s="172" cm="1">
        <f t="array" aca="1" ref="DK95" ca="1">IF(OR($D95&lt;&gt;"Serviço",AND(AUTOEVENTO="Manual",$M95=$A$15),$M95&gt;(ROW(PLE.lastrow)-ROW(PLE.firstrow))),0,
           IF(OFFSET(PLE!$G$15,$M95-$A$15,DK$13)="",10^12,OFFSET(PLE!$G$15,$M95-$A$15,DK$13)))</f>
        <v>1000000000000</v>
      </c>
      <c r="DL95" s="172" cm="1">
        <f t="array" aca="1" ref="DL95" ca="1">IF(OR($D95&lt;&gt;"Serviço",AND(AUTOEVENTO="Manual",$M95=$A$15),$M95&gt;(ROW(PLE.lastrow)-ROW(PLE.firstrow))),0,
           IF(OFFSET(PLE!$G$15,$M95-$A$15,DL$13)="",10^12,OFFSET(PLE!$G$15,$M95-$A$15,DL$13)))</f>
        <v>1000000000000</v>
      </c>
      <c r="DM95" s="172" cm="1">
        <f t="array" aca="1" ref="DM95" ca="1">IF(OR($D95&lt;&gt;"Serviço",AND(AUTOEVENTO="Manual",$M95=$A$15),$M95&gt;(ROW(PLE.lastrow)-ROW(PLE.firstrow))),0,
           IF(OFFSET(PLE!$G$15,$M95-$A$15,DM$13)="",10^12,OFFSET(PLE!$G$15,$M95-$A$15,DM$13)))</f>
        <v>1000000000000</v>
      </c>
      <c r="DN95" s="172" cm="1">
        <f t="array" aca="1" ref="DN95" ca="1">IF(OR($D95&lt;&gt;"Serviço",AND(AUTOEVENTO="Manual",$M95=$A$15),$M95&gt;(ROW(PLE.lastrow)-ROW(PLE.firstrow))),0,
           IF(OFFSET(PLE!$G$15,$M95-$A$15,DN$13)="",10^12,OFFSET(PLE!$G$15,$M95-$A$15,DN$13)))</f>
        <v>1000000000000</v>
      </c>
      <c r="DO95" s="172" cm="1">
        <f t="array" aca="1" ref="DO95" ca="1">IF(OR($D95&lt;&gt;"Serviço",AND(AUTOEVENTO="Manual",$M95=$A$15),$M95&gt;(ROW(PLE.lastrow)-ROW(PLE.firstrow))),0,
           IF(OFFSET(PLE!$G$15,$M95-$A$15,DO$13)="",10^12,OFFSET(PLE!$G$15,$M95-$A$15,DO$13)))</f>
        <v>1000000000000</v>
      </c>
      <c r="DP95" s="172" cm="1">
        <f t="array" aca="1" ref="DP95" ca="1">IF(OR($D95&lt;&gt;"Serviço",AND(AUTOEVENTO="Manual",$M95=$A$15),$M95&gt;(ROW(PLE.lastrow)-ROW(PLE.firstrow))),0,
           IF(OFFSET(PLE!$G$15,$M95-$A$15,DP$13)="",10^12,OFFSET(PLE!$G$15,$M95-$A$15,DP$13)))</f>
        <v>1000000000000</v>
      </c>
      <c r="DQ95" s="172" cm="1">
        <f t="array" aca="1" ref="DQ95" ca="1">IF(OR($D95&lt;&gt;"Serviço",AND(AUTOEVENTO="Manual",$M95=$A$15),$M95&gt;(ROW(PLE.lastrow)-ROW(PLE.firstrow))),0,
           IF(OFFSET(PLE!$G$15,$M95-$A$15,DQ$13)="",10^12,OFFSET(PLE!$G$15,$M95-$A$15,DQ$13)))</f>
        <v>1000000000000</v>
      </c>
      <c r="DR95" s="172" cm="1">
        <f t="array" aca="1" ref="DR95" ca="1">IF(OR($D95&lt;&gt;"Serviço",AND(AUTOEVENTO="Manual",$M95=$A$15),$M95&gt;(ROW(PLE.lastrow)-ROW(PLE.firstrow))),0,
           IF(OFFSET(PLE!$G$15,$M95-$A$15,DR$13)="",10^12,OFFSET(PLE!$G$15,$M95-$A$15,DR$13)))</f>
        <v>1000000000000</v>
      </c>
      <c r="DS95" s="172" cm="1">
        <f t="array" aca="1" ref="DS95" ca="1">IF(OR($D95&lt;&gt;"Serviço",AND(AUTOEVENTO="Manual",$M95=$A$15),$M95&gt;(ROW(PLE.lastrow)-ROW(PLE.firstrow))),0,
           IF(OFFSET(PLE!$G$15,$M95-$A$15,DS$13)="",10^12,OFFSET(PLE!$G$15,$M95-$A$15,DS$13)))</f>
        <v>1000000000000</v>
      </c>
    </row>
    <row r="96" spans="1:123" ht="51" x14ac:dyDescent="0.2">
      <c r="A96" s="7">
        <f t="shared" ca="1" si="13"/>
        <v>7</v>
      </c>
      <c r="B96" s="7" t="str">
        <f ca="1">OFFSET(ORÇAMENTO!C$15,$L96,0)</f>
        <v>S</v>
      </c>
      <c r="C96" s="7" t="str">
        <f ca="1">OFFSET(ORÇAMENTO!L$15,$L96,0)</f>
        <v/>
      </c>
      <c r="D96" s="116" t="str">
        <f ca="1">OFFSET(ORÇAMENTO!N$15,$L96,0)</f>
        <v>Serviço</v>
      </c>
      <c r="E96" s="117" t="str">
        <f ca="1">OFFSET(ORÇAMENTO!O$15,$L96,0)</f>
        <v>-</v>
      </c>
      <c r="F96" s="163" t="str">
        <f ca="1">OFFSET(ORÇAMENTO!R$15,$L96,0)</f>
        <v>(Código não identificado nas referências)</v>
      </c>
      <c r="G96" s="164" t="str">
        <f ca="1">IF($D96&lt;&gt;"Serviço","",OFFSET(ORÇAMENTO!S$15,$L96,0))</f>
        <v>-</v>
      </c>
      <c r="H96" s="122" cm="1">
        <f t="array" aca="1" ref="H96" ca="1">IF($D96&lt;&gt;"Serviço",0,IF(ACOMPANHAMENTO="BM",ROUND(OFFSET(ORÇAMENTO!AJ$15,$L96,0),15-13*ORÇAMENTO!$AF$7),IF(IFERROR(CÁLCULO.FrentesPreenchidas,0)=0,0,SUM(ROUND(OFFSET($P96,0,1,1,CÁLCULO.FrentesPreenchidas),15-13*ORÇAMENTO!$AF$7)))))</f>
        <v>609</v>
      </c>
      <c r="I96" s="468" t="s">
        <v>1235</v>
      </c>
      <c r="J96" s="651" t="str" cm="1">
        <f t="array" aca="1" ref="J96" ca="1">IF(OR(B96&lt;&gt;"S",CÁLCULO.FrentesPreenchidas=0),"",IF(AND(ACOMPANHAMENTO="PLE",AUTOEVENTO="Manual",OR(H96&gt;0,ORÇAMENTO!AC96="QUANT."),OR(K96="",M96=0,N96="")),"►E",IF(AND(ACOMPANHAMENTO="PLE",ORÇAMENTO!AC96="QUANT."),"►Q",IF(AND(ACOMPANHAMENTO="PLE",H96&lt;&gt;SUMPRODUCT(($Q$1:$AQ$1=1)*ROUND(Q96:AQ96,15))),"►S",IF(AND(COUNTIF($P$11:$AQ$11,"▼")=0,H96&gt;0,I96=""),"◄M","")))))</f>
        <v/>
      </c>
      <c r="K96" s="652" t="s">
        <v>1255</v>
      </c>
      <c r="L96" s="165">
        <f t="shared" ca="1" si="14"/>
        <v>81</v>
      </c>
      <c r="M96" s="166">
        <f ca="1">IF($D96&lt;&gt;"Serviço","",
          IF(AUTOEVENTO="manual",$A96,
                IF(ISERROR(MATCH($A96,$A$15:OFFSET($A96,-1,0),0)),MAX($M$15:OFFSET(M96,-1,0))+1,
                      INDEX($M$15:OFFSET(M96,-1,0),MATCH($A96,$A$15:OFFSET($A96,-1,0),0)))))</f>
        <v>7</v>
      </c>
      <c r="N96" s="167" t="str">
        <f ca="1">IF($D96&lt;&gt;"Serviço","",
         IF(AUTOEVENTO="Manual",
                IF($A96=0,"&lt;-- defina o número do agrupador",
                       OFFSET(EVENTOS!$D$15,$A96-$A$15,0)),
                OFFSET($F$15,$A96,0)))</f>
        <v>REVESTIMENTOS</v>
      </c>
      <c r="O96" s="168"/>
      <c r="Q96" s="168">
        <v>30.45</v>
      </c>
      <c r="R96" s="169">
        <v>30.45</v>
      </c>
      <c r="S96" s="169">
        <v>30.45</v>
      </c>
      <c r="T96" s="169">
        <v>30.45</v>
      </c>
      <c r="U96" s="169">
        <v>30.45</v>
      </c>
      <c r="V96" s="169">
        <v>30.45</v>
      </c>
      <c r="W96" s="169">
        <v>30.45</v>
      </c>
      <c r="X96" s="169">
        <v>30.45</v>
      </c>
      <c r="Y96" s="169">
        <v>30.45</v>
      </c>
      <c r="Z96" s="170">
        <v>30.45</v>
      </c>
      <c r="AA96" s="169">
        <v>30.45</v>
      </c>
      <c r="AB96" s="169">
        <v>30.45</v>
      </c>
      <c r="AC96" s="169">
        <v>30.45</v>
      </c>
      <c r="AD96" s="169">
        <v>30.45</v>
      </c>
      <c r="AE96" s="169">
        <v>30.45</v>
      </c>
      <c r="AF96" s="169">
        <v>30.45</v>
      </c>
      <c r="AG96" s="169">
        <v>30.45</v>
      </c>
      <c r="AH96" s="170">
        <v>30.45</v>
      </c>
      <c r="AI96" s="169">
        <v>30.45</v>
      </c>
      <c r="AJ96" s="169">
        <v>30.45</v>
      </c>
      <c r="AK96" s="169"/>
      <c r="AL96" s="169"/>
      <c r="AM96" s="169"/>
      <c r="AN96" s="169"/>
      <c r="AO96" s="169"/>
      <c r="AP96" s="170"/>
      <c r="AR96" s="453">
        <f ca="1">IF(AND($D96="Serviço",AR$12&lt;&gt;0,$H96&gt;0,OR(AUTOEVENTO&lt;&gt;"manual",$M96&lt;&gt;$A$15)),
        IF(Import.TipoArredondamento&lt;&gt;"TransfereGOV",
              ROUND(OFFSET($P96,0,AR$13),15-13*ORÇAMENTO!$AF$7)/$H96*OFFSET(ORÇAMENTO!$X$15,ROW(AR96)-ROW(AR$15),0),
              ROUND(ROUND(OFFSET($P96,0,AR$13),15-13*ORÇAMENTO!$AF$7)*OFFSET(ORÇAMENTO!$W$15,ROW(AR96)-ROW(AR$15),0),15-13*ORÇAMENTO!$AF$11)),
         0)</f>
        <v>0</v>
      </c>
      <c r="AS96" s="453">
        <f ca="1">IF(AND($D96="Serviço",AS$12&lt;&gt;0,$H96&gt;0,OR(AUTOEVENTO&lt;&gt;"manual",$M96&lt;&gt;$A$15)),
        IF(Import.TipoArredondamento&lt;&gt;"TransfereGOV",
              ROUND(OFFSET($P96,0,AS$13),15-13*ORÇAMENTO!$AF$7)/$H96*OFFSET(ORÇAMENTO!$X$15,ROW(AS96)-ROW(AS$15),0),
              ROUND(ROUND(OFFSET($P96,0,AS$13),15-13*ORÇAMENTO!$AF$7)*OFFSET(ORÇAMENTO!$W$15,ROW(AS96)-ROW(AS$15),0),15-13*ORÇAMENTO!$AF$11)),
         0)</f>
        <v>0</v>
      </c>
      <c r="AT96" s="453">
        <f ca="1">IF(AND($D96="Serviço",AT$12&lt;&gt;0,$H96&gt;0,OR(AUTOEVENTO&lt;&gt;"manual",$M96&lt;&gt;$A$15)),
        IF(Import.TipoArredondamento&lt;&gt;"TransfereGOV",
              ROUND(OFFSET($P96,0,AT$13),15-13*ORÇAMENTO!$AF$7)/$H96*OFFSET(ORÇAMENTO!$X$15,ROW(AT96)-ROW(AT$15),0),
              ROUND(ROUND(OFFSET($P96,0,AT$13),15-13*ORÇAMENTO!$AF$7)*OFFSET(ORÇAMENTO!$W$15,ROW(AT96)-ROW(AT$15),0),15-13*ORÇAMENTO!$AF$11)),
         0)</f>
        <v>0</v>
      </c>
      <c r="AU96" s="453">
        <f ca="1">IF(AND($D96="Serviço",AU$12&lt;&gt;0,$H96&gt;0,OR(AUTOEVENTO&lt;&gt;"manual",$M96&lt;&gt;$A$15)),
        IF(Import.TipoArredondamento&lt;&gt;"TransfereGOV",
              ROUND(OFFSET($P96,0,AU$13),15-13*ORÇAMENTO!$AF$7)/$H96*OFFSET(ORÇAMENTO!$X$15,ROW(AU96)-ROW(AU$15),0),
              ROUND(ROUND(OFFSET($P96,0,AU$13),15-13*ORÇAMENTO!$AF$7)*OFFSET(ORÇAMENTO!$W$15,ROW(AU96)-ROW(AU$15),0),15-13*ORÇAMENTO!$AF$11)),
         0)</f>
        <v>0</v>
      </c>
      <c r="AV96" s="453">
        <f ca="1">IF(AND($D96="Serviço",AV$12&lt;&gt;0,$H96&gt;0,OR(AUTOEVENTO&lt;&gt;"manual",$M96&lt;&gt;$A$15)),
        IF(Import.TipoArredondamento&lt;&gt;"TransfereGOV",
              ROUND(OFFSET($P96,0,AV$13),15-13*ORÇAMENTO!$AF$7)/$H96*OFFSET(ORÇAMENTO!$X$15,ROW(AV96)-ROW(AV$15),0),
              ROUND(ROUND(OFFSET($P96,0,AV$13),15-13*ORÇAMENTO!$AF$7)*OFFSET(ORÇAMENTO!$W$15,ROW(AV96)-ROW(AV$15),0),15-13*ORÇAMENTO!$AF$11)),
         0)</f>
        <v>0</v>
      </c>
      <c r="AW96" s="453">
        <f ca="1">IF(AND($D96="Serviço",AW$12&lt;&gt;0,$H96&gt;0,OR(AUTOEVENTO&lt;&gt;"manual",$M96&lt;&gt;$A$15)),
        IF(Import.TipoArredondamento&lt;&gt;"TransfereGOV",
              ROUND(OFFSET($P96,0,AW$13),15-13*ORÇAMENTO!$AF$7)/$H96*OFFSET(ORÇAMENTO!$X$15,ROW(AW96)-ROW(AW$15),0),
              ROUND(ROUND(OFFSET($P96,0,AW$13),15-13*ORÇAMENTO!$AF$7)*OFFSET(ORÇAMENTO!$W$15,ROW(AW96)-ROW(AW$15),0),15-13*ORÇAMENTO!$AF$11)),
         0)</f>
        <v>0</v>
      </c>
      <c r="AX96" s="453">
        <f ca="1">IF(AND($D96="Serviço",AX$12&lt;&gt;0,$H96&gt;0,OR(AUTOEVENTO&lt;&gt;"manual",$M96&lt;&gt;$A$15)),
        IF(Import.TipoArredondamento&lt;&gt;"TransfereGOV",
              ROUND(OFFSET($P96,0,AX$13),15-13*ORÇAMENTO!$AF$7)/$H96*OFFSET(ORÇAMENTO!$X$15,ROW(AX96)-ROW(AX$15),0),
              ROUND(ROUND(OFFSET($P96,0,AX$13),15-13*ORÇAMENTO!$AF$7)*OFFSET(ORÇAMENTO!$W$15,ROW(AX96)-ROW(AX$15),0),15-13*ORÇAMENTO!$AF$11)),
         0)</f>
        <v>0</v>
      </c>
      <c r="AY96" s="453">
        <f ca="1">IF(AND($D96="Serviço",AY$12&lt;&gt;0,$H96&gt;0,OR(AUTOEVENTO&lt;&gt;"manual",$M96&lt;&gt;$A$15)),
        IF(Import.TipoArredondamento&lt;&gt;"TransfereGOV",
              ROUND(OFFSET($P96,0,AY$13),15-13*ORÇAMENTO!$AF$7)/$H96*OFFSET(ORÇAMENTO!$X$15,ROW(AY96)-ROW(AY$15),0),
              ROUND(ROUND(OFFSET($P96,0,AY$13),15-13*ORÇAMENTO!$AF$7)*OFFSET(ORÇAMENTO!$W$15,ROW(AY96)-ROW(AY$15),0),15-13*ORÇAMENTO!$AF$11)),
         0)</f>
        <v>0</v>
      </c>
      <c r="AZ96" s="453">
        <f ca="1">IF(AND($D96="Serviço",AZ$12&lt;&gt;0,$H96&gt;0,OR(AUTOEVENTO&lt;&gt;"manual",$M96&lt;&gt;$A$15)),
        IF(Import.TipoArredondamento&lt;&gt;"TransfereGOV",
              ROUND(OFFSET($P96,0,AZ$13),15-13*ORÇAMENTO!$AF$7)/$H96*OFFSET(ORÇAMENTO!$X$15,ROW(AZ96)-ROW(AZ$15),0),
              ROUND(ROUND(OFFSET($P96,0,AZ$13),15-13*ORÇAMENTO!$AF$7)*OFFSET(ORÇAMENTO!$W$15,ROW(AZ96)-ROW(AZ$15),0),15-13*ORÇAMENTO!$AF$11)),
         0)</f>
        <v>0</v>
      </c>
      <c r="BA96" s="453">
        <f ca="1">IF(AND($D96="Serviço",BA$12&lt;&gt;0,$H96&gt;0,OR(AUTOEVENTO&lt;&gt;"manual",$M96&lt;&gt;$A$15)),
        IF(Import.TipoArredondamento&lt;&gt;"TransfereGOV",
              ROUND(OFFSET($P96,0,BA$13),15-13*ORÇAMENTO!$AF$7)/$H96*OFFSET(ORÇAMENTO!$X$15,ROW(BA96)-ROW(BA$15),0),
              ROUND(ROUND(OFFSET($P96,0,BA$13),15-13*ORÇAMENTO!$AF$7)*OFFSET(ORÇAMENTO!$W$15,ROW(BA96)-ROW(BA$15),0),15-13*ORÇAMENTO!$AF$11)),
         0)</f>
        <v>0</v>
      </c>
      <c r="BB96" s="453">
        <f ca="1">IF(AND($D96="Serviço",BB$12&lt;&gt;0,$H96&gt;0,OR(AUTOEVENTO&lt;&gt;"manual",$M96&lt;&gt;$A$15)),
        IF(Import.TipoArredondamento&lt;&gt;"TransfereGOV",
              ROUND(OFFSET($P96,0,BB$13),15-13*ORÇAMENTO!$AF$7)/$H96*OFFSET(ORÇAMENTO!$X$15,ROW(BB96)-ROW(BB$15),0),
              ROUND(ROUND(OFFSET($P96,0,BB$13),15-13*ORÇAMENTO!$AF$7)*OFFSET(ORÇAMENTO!$W$15,ROW(BB96)-ROW(BB$15),0),15-13*ORÇAMENTO!$AF$11)),
         0)</f>
        <v>0</v>
      </c>
      <c r="BC96" s="453">
        <f ca="1">IF(AND($D96="Serviço",BC$12&lt;&gt;0,$H96&gt;0,OR(AUTOEVENTO&lt;&gt;"manual",$M96&lt;&gt;$A$15)),
        IF(Import.TipoArredondamento&lt;&gt;"TransfereGOV",
              ROUND(OFFSET($P96,0,BC$13),15-13*ORÇAMENTO!$AF$7)/$H96*OFFSET(ORÇAMENTO!$X$15,ROW(BC96)-ROW(BC$15),0),
              ROUND(ROUND(OFFSET($P96,0,BC$13),15-13*ORÇAMENTO!$AF$7)*OFFSET(ORÇAMENTO!$W$15,ROW(BC96)-ROW(BC$15),0),15-13*ORÇAMENTO!$AF$11)),
         0)</f>
        <v>0</v>
      </c>
      <c r="BD96" s="453">
        <f ca="1">IF(AND($D96="Serviço",BD$12&lt;&gt;0,$H96&gt;0,OR(AUTOEVENTO&lt;&gt;"manual",$M96&lt;&gt;$A$15)),
        IF(Import.TipoArredondamento&lt;&gt;"TransfereGOV",
              ROUND(OFFSET($P96,0,BD$13),15-13*ORÇAMENTO!$AF$7)/$H96*OFFSET(ORÇAMENTO!$X$15,ROW(BD96)-ROW(BD$15),0),
              ROUND(ROUND(OFFSET($P96,0,BD$13),15-13*ORÇAMENTO!$AF$7)*OFFSET(ORÇAMENTO!$W$15,ROW(BD96)-ROW(BD$15),0),15-13*ORÇAMENTO!$AF$11)),
         0)</f>
        <v>0</v>
      </c>
      <c r="BE96" s="453">
        <f ca="1">IF(AND($D96="Serviço",BE$12&lt;&gt;0,$H96&gt;0,OR(AUTOEVENTO&lt;&gt;"manual",$M96&lt;&gt;$A$15)),
        IF(Import.TipoArredondamento&lt;&gt;"TransfereGOV",
              ROUND(OFFSET($P96,0,BE$13),15-13*ORÇAMENTO!$AF$7)/$H96*OFFSET(ORÇAMENTO!$X$15,ROW(BE96)-ROW(BE$15),0),
              ROUND(ROUND(OFFSET($P96,0,BE$13),15-13*ORÇAMENTO!$AF$7)*OFFSET(ORÇAMENTO!$W$15,ROW(BE96)-ROW(BE$15),0),15-13*ORÇAMENTO!$AF$11)),
         0)</f>
        <v>0</v>
      </c>
      <c r="BF96" s="453">
        <f ca="1">IF(AND($D96="Serviço",BF$12&lt;&gt;0,$H96&gt;0,OR(AUTOEVENTO&lt;&gt;"manual",$M96&lt;&gt;$A$15)),
        IF(Import.TipoArredondamento&lt;&gt;"TransfereGOV",
              ROUND(OFFSET($P96,0,BF$13),15-13*ORÇAMENTO!$AF$7)/$H96*OFFSET(ORÇAMENTO!$X$15,ROW(BF96)-ROW(BF$15),0),
              ROUND(ROUND(OFFSET($P96,0,BF$13),15-13*ORÇAMENTO!$AF$7)*OFFSET(ORÇAMENTO!$W$15,ROW(BF96)-ROW(BF$15),0),15-13*ORÇAMENTO!$AF$11)),
         0)</f>
        <v>0</v>
      </c>
      <c r="BG96" s="453">
        <f ca="1">IF(AND($D96="Serviço",BG$12&lt;&gt;0,$H96&gt;0,OR(AUTOEVENTO&lt;&gt;"manual",$M96&lt;&gt;$A$15)),
        IF(Import.TipoArredondamento&lt;&gt;"TransfereGOV",
              ROUND(OFFSET($P96,0,BG$13),15-13*ORÇAMENTO!$AF$7)/$H96*OFFSET(ORÇAMENTO!$X$15,ROW(BG96)-ROW(BG$15),0),
              ROUND(ROUND(OFFSET($P96,0,BG$13),15-13*ORÇAMENTO!$AF$7)*OFFSET(ORÇAMENTO!$W$15,ROW(BG96)-ROW(BG$15),0),15-13*ORÇAMENTO!$AF$11)),
         0)</f>
        <v>0</v>
      </c>
      <c r="BH96" s="453">
        <f ca="1">IF(AND($D96="Serviço",BH$12&lt;&gt;0,$H96&gt;0,OR(AUTOEVENTO&lt;&gt;"manual",$M96&lt;&gt;$A$15)),
        IF(Import.TipoArredondamento&lt;&gt;"TransfereGOV",
              ROUND(OFFSET($P96,0,BH$13),15-13*ORÇAMENTO!$AF$7)/$H96*OFFSET(ORÇAMENTO!$X$15,ROW(BH96)-ROW(BH$15),0),
              ROUND(ROUND(OFFSET($P96,0,BH$13),15-13*ORÇAMENTO!$AF$7)*OFFSET(ORÇAMENTO!$W$15,ROW(BH96)-ROW(BH$15),0),15-13*ORÇAMENTO!$AF$11)),
         0)</f>
        <v>0</v>
      </c>
      <c r="BI96" s="453">
        <f ca="1">IF(AND($D96="Serviço",BI$12&lt;&gt;0,$H96&gt;0,OR(AUTOEVENTO&lt;&gt;"manual",$M96&lt;&gt;$A$15)),
        IF(Import.TipoArredondamento&lt;&gt;"TransfereGOV",
              ROUND(OFFSET($P96,0,BI$13),15-13*ORÇAMENTO!$AF$7)/$H96*OFFSET(ORÇAMENTO!$X$15,ROW(BI96)-ROW(BI$15),0),
              ROUND(ROUND(OFFSET($P96,0,BI$13),15-13*ORÇAMENTO!$AF$7)*OFFSET(ORÇAMENTO!$W$15,ROW(BI96)-ROW(BI$15),0),15-13*ORÇAMENTO!$AF$11)),
         0)</f>
        <v>0</v>
      </c>
      <c r="BJ96" s="453">
        <f ca="1">IF(AND($D96="Serviço",BJ$12&lt;&gt;0,$H96&gt;0,OR(AUTOEVENTO&lt;&gt;"manual",$M96&lt;&gt;$A$15)),
        IF(Import.TipoArredondamento&lt;&gt;"TransfereGOV",
              ROUND(OFFSET($P96,0,BJ$13),15-13*ORÇAMENTO!$AF$7)/$H96*OFFSET(ORÇAMENTO!$X$15,ROW(BJ96)-ROW(BJ$15),0),
              ROUND(ROUND(OFFSET($P96,0,BJ$13),15-13*ORÇAMENTO!$AF$7)*OFFSET(ORÇAMENTO!$W$15,ROW(BJ96)-ROW(BJ$15),0),15-13*ORÇAMENTO!$AF$11)),
         0)</f>
        <v>0</v>
      </c>
      <c r="BK96" s="453">
        <f ca="1">IF(AND($D96="Serviço",BK$12&lt;&gt;0,$H96&gt;0,OR(AUTOEVENTO&lt;&gt;"manual",$M96&lt;&gt;$A$15)),
        IF(Import.TipoArredondamento&lt;&gt;"TransfereGOV",
              ROUND(OFFSET($P96,0,BK$13),15-13*ORÇAMENTO!$AF$7)/$H96*OFFSET(ORÇAMENTO!$X$15,ROW(BK96)-ROW(BK$15),0),
              ROUND(ROUND(OFFSET($P96,0,BK$13),15-13*ORÇAMENTO!$AF$7)*OFFSET(ORÇAMENTO!$W$15,ROW(BK96)-ROW(BK$15),0),15-13*ORÇAMENTO!$AF$11)),
         0)</f>
        <v>0</v>
      </c>
      <c r="BL96" s="453">
        <f ca="1">IF(AND($D96="Serviço",BL$12&lt;&gt;0,$H96&gt;0,OR(AUTOEVENTO&lt;&gt;"manual",$M96&lt;&gt;$A$15)),
        IF(Import.TipoArredondamento&lt;&gt;"TransfereGOV",
              ROUND(OFFSET($P96,0,BL$13),15-13*ORÇAMENTO!$AF$7)/$H96*OFFSET(ORÇAMENTO!$X$15,ROW(BL96)-ROW(BL$15),0),
              ROUND(ROUND(OFFSET($P96,0,BL$13),15-13*ORÇAMENTO!$AF$7)*OFFSET(ORÇAMENTO!$W$15,ROW(BL96)-ROW(BL$15),0),15-13*ORÇAMENTO!$AF$11)),
         0)</f>
        <v>0</v>
      </c>
      <c r="BM96" s="453">
        <f ca="1">IF(AND($D96="Serviço",BM$12&lt;&gt;0,$H96&gt;0,OR(AUTOEVENTO&lt;&gt;"manual",$M96&lt;&gt;$A$15)),
        IF(Import.TipoArredondamento&lt;&gt;"TransfereGOV",
              ROUND(OFFSET($P96,0,BM$13),15-13*ORÇAMENTO!$AF$7)/$H96*OFFSET(ORÇAMENTO!$X$15,ROW(BM96)-ROW(BM$15),0),
              ROUND(ROUND(OFFSET($P96,0,BM$13),15-13*ORÇAMENTO!$AF$7)*OFFSET(ORÇAMENTO!$W$15,ROW(BM96)-ROW(BM$15),0),15-13*ORÇAMENTO!$AF$11)),
         0)</f>
        <v>0</v>
      </c>
      <c r="BN96" s="453">
        <f ca="1">IF(AND($D96="Serviço",BN$12&lt;&gt;0,$H96&gt;0,OR(AUTOEVENTO&lt;&gt;"manual",$M96&lt;&gt;$A$15)),
        IF(Import.TipoArredondamento&lt;&gt;"TransfereGOV",
              ROUND(OFFSET($P96,0,BN$13),15-13*ORÇAMENTO!$AF$7)/$H96*OFFSET(ORÇAMENTO!$X$15,ROW(BN96)-ROW(BN$15),0),
              ROUND(ROUND(OFFSET($P96,0,BN$13),15-13*ORÇAMENTO!$AF$7)*OFFSET(ORÇAMENTO!$W$15,ROW(BN96)-ROW(BN$15),0),15-13*ORÇAMENTO!$AF$11)),
         0)</f>
        <v>0</v>
      </c>
      <c r="BO96" s="453">
        <f ca="1">IF(AND($D96="Serviço",BO$12&lt;&gt;0,$H96&gt;0,OR(AUTOEVENTO&lt;&gt;"manual",$M96&lt;&gt;$A$15)),
        IF(Import.TipoArredondamento&lt;&gt;"TransfereGOV",
              ROUND(OFFSET($P96,0,BO$13),15-13*ORÇAMENTO!$AF$7)/$H96*OFFSET(ORÇAMENTO!$X$15,ROW(BO96)-ROW(BO$15),0),
              ROUND(ROUND(OFFSET($P96,0,BO$13),15-13*ORÇAMENTO!$AF$7)*OFFSET(ORÇAMENTO!$W$15,ROW(BO96)-ROW(BO$15),0),15-13*ORÇAMENTO!$AF$11)),
         0)</f>
        <v>0</v>
      </c>
      <c r="BP96" s="453">
        <f ca="1">IF(AND($D96="Serviço",BP$12&lt;&gt;0,$H96&gt;0,OR(AUTOEVENTO&lt;&gt;"manual",$M96&lt;&gt;$A$15)),
        IF(Import.TipoArredondamento&lt;&gt;"TransfereGOV",
              ROUND(OFFSET($P96,0,BP$13),15-13*ORÇAMENTO!$AF$7)/$H96*OFFSET(ORÇAMENTO!$X$15,ROW(BP96)-ROW(BP$15),0),
              ROUND(ROUND(OFFSET($P96,0,BP$13),15-13*ORÇAMENTO!$AF$7)*OFFSET(ORÇAMENTO!$W$15,ROW(BP96)-ROW(BP$15),0),15-13*ORÇAMENTO!$AF$11)),
         0)</f>
        <v>0</v>
      </c>
      <c r="BQ96" s="453">
        <f ca="1">IF(AND($D96="Serviço",BQ$12&lt;&gt;0,$H96&gt;0,OR(AUTOEVENTO&lt;&gt;"manual",$M96&lt;&gt;$A$15)),
        IF(Import.TipoArredondamento&lt;&gt;"TransfereGOV",
              ROUND(OFFSET($P96,0,BQ$13),15-13*ORÇAMENTO!$AF$7)/$H96*OFFSET(ORÇAMENTO!$X$15,ROW(BQ96)-ROW(BQ$15),0),
              ROUND(ROUND(OFFSET($P96,0,BQ$13),15-13*ORÇAMENTO!$AF$7)*OFFSET(ORÇAMENTO!$W$15,ROW(BQ96)-ROW(BQ$15),0),15-13*ORÇAMENTO!$AF$11)),
         0)</f>
        <v>0</v>
      </c>
      <c r="BS96" s="171">
        <f ca="1">IF(OR($D96&lt;&gt;"Serviço",AND(AUTOEVENTO="Manual",$M96=$A$15)),0,
         IF(OFFSET(CRONOPLE!$F$15,$M96-$A$15,BS$13)=0,10^12,OFFSET(CRONOPLE!$F$15,$M96-$A$15,BS$13)))</f>
        <v>1</v>
      </c>
      <c r="BT96" s="171">
        <f ca="1">IF(OR($D96&lt;&gt;"Serviço",AND(AUTOEVENTO="Manual",$M96=$A$15)),0,
         IF(OFFSET(CRONOPLE!$F$15,$M96-$A$15,BT$13)=0,10^12,OFFSET(CRONOPLE!$F$15,$M96-$A$15,BT$13)))</f>
        <v>2</v>
      </c>
      <c r="BU96" s="171">
        <f ca="1">IF(OR($D96&lt;&gt;"Serviço",AND(AUTOEVENTO="Manual",$M96=$A$15)),0,
         IF(OFFSET(CRONOPLE!$F$15,$M96-$A$15,BU$13)=0,10^12,OFFSET(CRONOPLE!$F$15,$M96-$A$15,BU$13)))</f>
        <v>3</v>
      </c>
      <c r="BV96" s="171">
        <f ca="1">IF(OR($D96&lt;&gt;"Serviço",AND(AUTOEVENTO="Manual",$M96=$A$15)),0,
         IF(OFFSET(CRONOPLE!$F$15,$M96-$A$15,BV$13)=0,10^12,OFFSET(CRONOPLE!$F$15,$M96-$A$15,BV$13)))</f>
        <v>4</v>
      </c>
      <c r="BW96" s="171">
        <f ca="1">IF(OR($D96&lt;&gt;"Serviço",AND(AUTOEVENTO="Manual",$M96=$A$15)),0,
         IF(OFFSET(CRONOPLE!$F$15,$M96-$A$15,BW$13)=0,10^12,OFFSET(CRONOPLE!$F$15,$M96-$A$15,BW$13)))</f>
        <v>5</v>
      </c>
      <c r="BX96" s="171">
        <f ca="1">IF(OR($D96&lt;&gt;"Serviço",AND(AUTOEVENTO="Manual",$M96=$A$15)),0,
         IF(OFFSET(CRONOPLE!$F$15,$M96-$A$15,BX$13)=0,10^12,OFFSET(CRONOPLE!$F$15,$M96-$A$15,BX$13)))</f>
        <v>6</v>
      </c>
      <c r="BY96" s="171">
        <f ca="1">IF(OR($D96&lt;&gt;"Serviço",AND(AUTOEVENTO="Manual",$M96=$A$15)),0,
         IF(OFFSET(CRONOPLE!$F$15,$M96-$A$15,BY$13)=0,10^12,OFFSET(CRONOPLE!$F$15,$M96-$A$15,BY$13)))</f>
        <v>7</v>
      </c>
      <c r="BZ96" s="171">
        <f ca="1">IF(OR($D96&lt;&gt;"Serviço",AND(AUTOEVENTO="Manual",$M96=$A$15)),0,
         IF(OFFSET(CRONOPLE!$F$15,$M96-$A$15,BZ$13)=0,10^12,OFFSET(CRONOPLE!$F$15,$M96-$A$15,BZ$13)))</f>
        <v>8</v>
      </c>
      <c r="CA96" s="171">
        <f ca="1">IF(OR($D96&lt;&gt;"Serviço",AND(AUTOEVENTO="Manual",$M96=$A$15)),0,
         IF(OFFSET(CRONOPLE!$F$15,$M96-$A$15,CA$13)=0,10^12,OFFSET(CRONOPLE!$F$15,$M96-$A$15,CA$13)))</f>
        <v>9</v>
      </c>
      <c r="CB96" s="171">
        <f ca="1">IF(OR($D96&lt;&gt;"Serviço",AND(AUTOEVENTO="Manual",$M96=$A$15)),0,
         IF(OFFSET(CRONOPLE!$F$15,$M96-$A$15,CB$13)=0,10^12,OFFSET(CRONOPLE!$F$15,$M96-$A$15,CB$13)))</f>
        <v>10</v>
      </c>
      <c r="CC96" s="171">
        <f ca="1">IF(OR($D96&lt;&gt;"Serviço",AND(AUTOEVENTO="Manual",$M96=$A$15)),0,
         IF(OFFSET(CRONOPLE!$F$15,$M96-$A$15,CC$13)=0,10^12,OFFSET(CRONOPLE!$F$15,$M96-$A$15,CC$13)))</f>
        <v>11</v>
      </c>
      <c r="CD96" s="171">
        <f ca="1">IF(OR($D96&lt;&gt;"Serviço",AND(AUTOEVENTO="Manual",$M96=$A$15)),0,
         IF(OFFSET(CRONOPLE!$F$15,$M96-$A$15,CD$13)=0,10^12,OFFSET(CRONOPLE!$F$15,$M96-$A$15,CD$13)))</f>
        <v>12</v>
      </c>
      <c r="CE96" s="171">
        <f ca="1">IF(OR($D96&lt;&gt;"Serviço",AND(AUTOEVENTO="Manual",$M96=$A$15)),0,
         IF(OFFSET(CRONOPLE!$F$15,$M96-$A$15,CE$13)=0,10^12,OFFSET(CRONOPLE!$F$15,$M96-$A$15,CE$13)))</f>
        <v>13</v>
      </c>
      <c r="CF96" s="171">
        <f ca="1">IF(OR($D96&lt;&gt;"Serviço",AND(AUTOEVENTO="Manual",$M96=$A$15)),0,
         IF(OFFSET(CRONOPLE!$F$15,$M96-$A$15,CF$13)=0,10^12,OFFSET(CRONOPLE!$F$15,$M96-$A$15,CF$13)))</f>
        <v>14</v>
      </c>
      <c r="CG96" s="171">
        <f ca="1">IF(OR($D96&lt;&gt;"Serviço",AND(AUTOEVENTO="Manual",$M96=$A$15)),0,
         IF(OFFSET(CRONOPLE!$F$15,$M96-$A$15,CG$13)=0,10^12,OFFSET(CRONOPLE!$F$15,$M96-$A$15,CG$13)))</f>
        <v>15</v>
      </c>
      <c r="CH96" s="171">
        <f ca="1">IF(OR($D96&lt;&gt;"Serviço",AND(AUTOEVENTO="Manual",$M96=$A$15)),0,
         IF(OFFSET(CRONOPLE!$F$15,$M96-$A$15,CH$13)=0,10^12,OFFSET(CRONOPLE!$F$15,$M96-$A$15,CH$13)))</f>
        <v>16</v>
      </c>
      <c r="CI96" s="171">
        <f ca="1">IF(OR($D96&lt;&gt;"Serviço",AND(AUTOEVENTO="Manual",$M96=$A$15)),0,
         IF(OFFSET(CRONOPLE!$F$15,$M96-$A$15,CI$13)=0,10^12,OFFSET(CRONOPLE!$F$15,$M96-$A$15,CI$13)))</f>
        <v>17</v>
      </c>
      <c r="CJ96" s="171">
        <f ca="1">IF(OR($D96&lt;&gt;"Serviço",AND(AUTOEVENTO="Manual",$M96=$A$15)),0,
         IF(OFFSET(CRONOPLE!$F$15,$M96-$A$15,CJ$13)=0,10^12,OFFSET(CRONOPLE!$F$15,$M96-$A$15,CJ$13)))</f>
        <v>18</v>
      </c>
      <c r="CK96" s="171">
        <f ca="1">IF(OR($D96&lt;&gt;"Serviço",AND(AUTOEVENTO="Manual",$M96=$A$15)),0,
         IF(OFFSET(CRONOPLE!$F$15,$M96-$A$15,CK$13)=0,10^12,OFFSET(CRONOPLE!$F$15,$M96-$A$15,CK$13)))</f>
        <v>19</v>
      </c>
      <c r="CL96" s="171">
        <f ca="1">IF(OR($D96&lt;&gt;"Serviço",AND(AUTOEVENTO="Manual",$M96=$A$15)),0,
         IF(OFFSET(CRONOPLE!$F$15,$M96-$A$15,CL$13)=0,10^12,OFFSET(CRONOPLE!$F$15,$M96-$A$15,CL$13)))</f>
        <v>20</v>
      </c>
      <c r="CM96" s="171">
        <f ca="1">IF(OR($D96&lt;&gt;"Serviço",AND(AUTOEVENTO="Manual",$M96=$A$15)),0,
         IF(OFFSET(CRONOPLE!$F$15,$M96-$A$15,CM$13)=0,10^12,OFFSET(CRONOPLE!$F$15,$M96-$A$15,CM$13)))</f>
        <v>1000000000000</v>
      </c>
      <c r="CN96" s="171">
        <f ca="1">IF(OR($D96&lt;&gt;"Serviço",AND(AUTOEVENTO="Manual",$M96=$A$15)),0,
         IF(OFFSET(CRONOPLE!$F$15,$M96-$A$15,CN$13)=0,10^12,OFFSET(CRONOPLE!$F$15,$M96-$A$15,CN$13)))</f>
        <v>1000000000000</v>
      </c>
      <c r="CO96" s="171">
        <f ca="1">IF(OR($D96&lt;&gt;"Serviço",AND(AUTOEVENTO="Manual",$M96=$A$15)),0,
         IF(OFFSET(CRONOPLE!$F$15,$M96-$A$15,CO$13)=0,10^12,OFFSET(CRONOPLE!$F$15,$M96-$A$15,CO$13)))</f>
        <v>1000000000000</v>
      </c>
      <c r="CP96" s="171">
        <f ca="1">IF(OR($D96&lt;&gt;"Serviço",AND(AUTOEVENTO="Manual",$M96=$A$15)),0,
         IF(OFFSET(CRONOPLE!$F$15,$M96-$A$15,CP$13)=0,10^12,OFFSET(CRONOPLE!$F$15,$M96-$A$15,CP$13)))</f>
        <v>1000000000000</v>
      </c>
      <c r="CQ96" s="171">
        <f ca="1">IF(OR($D96&lt;&gt;"Serviço",AND(AUTOEVENTO="Manual",$M96=$A$15)),0,
         IF(OFFSET(CRONOPLE!$F$15,$M96-$A$15,CQ$13)=0,10^12,OFFSET(CRONOPLE!$F$15,$M96-$A$15,CQ$13)))</f>
        <v>1000000000000</v>
      </c>
      <c r="CR96" s="171">
        <f ca="1">IF(OR($D96&lt;&gt;"Serviço",AND(AUTOEVENTO="Manual",$M96=$A$15)),0,
         IF(OFFSET(CRONOPLE!$F$15,$M96-$A$15,CR$13)=0,10^12,OFFSET(CRONOPLE!$F$15,$M96-$A$15,CR$13)))</f>
        <v>1000000000000</v>
      </c>
      <c r="CT96" s="172" cm="1">
        <f t="array" aca="1" ref="CT96" ca="1">IF(OR($D96&lt;&gt;"Serviço",AND(AUTOEVENTO="Manual",$M96=$A$15),$M96&gt;(ROW(PLE.lastrow)-ROW(PLE.firstrow))),0,
           IF(OFFSET(PLE!$G$15,$M96-$A$15,CT$13)="",10^12,OFFSET(PLE!$G$15,$M96-$A$15,CT$13)))</f>
        <v>1000000000000</v>
      </c>
      <c r="CU96" s="172" cm="1">
        <f t="array" aca="1" ref="CU96" ca="1">IF(OR($D96&lt;&gt;"Serviço",AND(AUTOEVENTO="Manual",$M96=$A$15),$M96&gt;(ROW(PLE.lastrow)-ROW(PLE.firstrow))),0,
           IF(OFFSET(PLE!$G$15,$M96-$A$15,CU$13)="",10^12,OFFSET(PLE!$G$15,$M96-$A$15,CU$13)))</f>
        <v>1000000000000</v>
      </c>
      <c r="CV96" s="172" cm="1">
        <f t="array" aca="1" ref="CV96" ca="1">IF(OR($D96&lt;&gt;"Serviço",AND(AUTOEVENTO="Manual",$M96=$A$15),$M96&gt;(ROW(PLE.lastrow)-ROW(PLE.firstrow))),0,
           IF(OFFSET(PLE!$G$15,$M96-$A$15,CV$13)="",10^12,OFFSET(PLE!$G$15,$M96-$A$15,CV$13)))</f>
        <v>1000000000000</v>
      </c>
      <c r="CW96" s="172" cm="1">
        <f t="array" aca="1" ref="CW96" ca="1">IF(OR($D96&lt;&gt;"Serviço",AND(AUTOEVENTO="Manual",$M96=$A$15),$M96&gt;(ROW(PLE.lastrow)-ROW(PLE.firstrow))),0,
           IF(OFFSET(PLE!$G$15,$M96-$A$15,CW$13)="",10^12,OFFSET(PLE!$G$15,$M96-$A$15,CW$13)))</f>
        <v>1000000000000</v>
      </c>
      <c r="CX96" s="172" cm="1">
        <f t="array" aca="1" ref="CX96" ca="1">IF(OR($D96&lt;&gt;"Serviço",AND(AUTOEVENTO="Manual",$M96=$A$15),$M96&gt;(ROW(PLE.lastrow)-ROW(PLE.firstrow))),0,
           IF(OFFSET(PLE!$G$15,$M96-$A$15,CX$13)="",10^12,OFFSET(PLE!$G$15,$M96-$A$15,CX$13)))</f>
        <v>1000000000000</v>
      </c>
      <c r="CY96" s="172" cm="1">
        <f t="array" aca="1" ref="CY96" ca="1">IF(OR($D96&lt;&gt;"Serviço",AND(AUTOEVENTO="Manual",$M96=$A$15),$M96&gt;(ROW(PLE.lastrow)-ROW(PLE.firstrow))),0,
           IF(OFFSET(PLE!$G$15,$M96-$A$15,CY$13)="",10^12,OFFSET(PLE!$G$15,$M96-$A$15,CY$13)))</f>
        <v>1000000000000</v>
      </c>
      <c r="CZ96" s="172" cm="1">
        <f t="array" aca="1" ref="CZ96" ca="1">IF(OR($D96&lt;&gt;"Serviço",AND(AUTOEVENTO="Manual",$M96=$A$15),$M96&gt;(ROW(PLE.lastrow)-ROW(PLE.firstrow))),0,
           IF(OFFSET(PLE!$G$15,$M96-$A$15,CZ$13)="",10^12,OFFSET(PLE!$G$15,$M96-$A$15,CZ$13)))</f>
        <v>1000000000000</v>
      </c>
      <c r="DA96" s="172" cm="1">
        <f t="array" aca="1" ref="DA96" ca="1">IF(OR($D96&lt;&gt;"Serviço",AND(AUTOEVENTO="Manual",$M96=$A$15),$M96&gt;(ROW(PLE.lastrow)-ROW(PLE.firstrow))),0,
           IF(OFFSET(PLE!$G$15,$M96-$A$15,DA$13)="",10^12,OFFSET(PLE!$G$15,$M96-$A$15,DA$13)))</f>
        <v>1000000000000</v>
      </c>
      <c r="DB96" s="172" cm="1">
        <f t="array" aca="1" ref="DB96" ca="1">IF(OR($D96&lt;&gt;"Serviço",AND(AUTOEVENTO="Manual",$M96=$A$15),$M96&gt;(ROW(PLE.lastrow)-ROW(PLE.firstrow))),0,
           IF(OFFSET(PLE!$G$15,$M96-$A$15,DB$13)="",10^12,OFFSET(PLE!$G$15,$M96-$A$15,DB$13)))</f>
        <v>1000000000000</v>
      </c>
      <c r="DC96" s="172" cm="1">
        <f t="array" aca="1" ref="DC96" ca="1">IF(OR($D96&lt;&gt;"Serviço",AND(AUTOEVENTO="Manual",$M96=$A$15),$M96&gt;(ROW(PLE.lastrow)-ROW(PLE.firstrow))),0,
           IF(OFFSET(PLE!$G$15,$M96-$A$15,DC$13)="",10^12,OFFSET(PLE!$G$15,$M96-$A$15,DC$13)))</f>
        <v>1000000000000</v>
      </c>
      <c r="DD96" s="172" cm="1">
        <f t="array" aca="1" ref="DD96" ca="1">IF(OR($D96&lt;&gt;"Serviço",AND(AUTOEVENTO="Manual",$M96=$A$15),$M96&gt;(ROW(PLE.lastrow)-ROW(PLE.firstrow))),0,
           IF(OFFSET(PLE!$G$15,$M96-$A$15,DD$13)="",10^12,OFFSET(PLE!$G$15,$M96-$A$15,DD$13)))</f>
        <v>1000000000000</v>
      </c>
      <c r="DE96" s="172" cm="1">
        <f t="array" aca="1" ref="DE96" ca="1">IF(OR($D96&lt;&gt;"Serviço",AND(AUTOEVENTO="Manual",$M96=$A$15),$M96&gt;(ROW(PLE.lastrow)-ROW(PLE.firstrow))),0,
           IF(OFFSET(PLE!$G$15,$M96-$A$15,DE$13)="",10^12,OFFSET(PLE!$G$15,$M96-$A$15,DE$13)))</f>
        <v>1000000000000</v>
      </c>
      <c r="DF96" s="172" cm="1">
        <f t="array" aca="1" ref="DF96" ca="1">IF(OR($D96&lt;&gt;"Serviço",AND(AUTOEVENTO="Manual",$M96=$A$15),$M96&gt;(ROW(PLE.lastrow)-ROW(PLE.firstrow))),0,
           IF(OFFSET(PLE!$G$15,$M96-$A$15,DF$13)="",10^12,OFFSET(PLE!$G$15,$M96-$A$15,DF$13)))</f>
        <v>1000000000000</v>
      </c>
      <c r="DG96" s="172" cm="1">
        <f t="array" aca="1" ref="DG96" ca="1">IF(OR($D96&lt;&gt;"Serviço",AND(AUTOEVENTO="Manual",$M96=$A$15),$M96&gt;(ROW(PLE.lastrow)-ROW(PLE.firstrow))),0,
           IF(OFFSET(PLE!$G$15,$M96-$A$15,DG$13)="",10^12,OFFSET(PLE!$G$15,$M96-$A$15,DG$13)))</f>
        <v>1000000000000</v>
      </c>
      <c r="DH96" s="172" cm="1">
        <f t="array" aca="1" ref="DH96" ca="1">IF(OR($D96&lt;&gt;"Serviço",AND(AUTOEVENTO="Manual",$M96=$A$15),$M96&gt;(ROW(PLE.lastrow)-ROW(PLE.firstrow))),0,
           IF(OFFSET(PLE!$G$15,$M96-$A$15,DH$13)="",10^12,OFFSET(PLE!$G$15,$M96-$A$15,DH$13)))</f>
        <v>1000000000000</v>
      </c>
      <c r="DI96" s="172" cm="1">
        <f t="array" aca="1" ref="DI96" ca="1">IF(OR($D96&lt;&gt;"Serviço",AND(AUTOEVENTO="Manual",$M96=$A$15),$M96&gt;(ROW(PLE.lastrow)-ROW(PLE.firstrow))),0,
           IF(OFFSET(PLE!$G$15,$M96-$A$15,DI$13)="",10^12,OFFSET(PLE!$G$15,$M96-$A$15,DI$13)))</f>
        <v>1000000000000</v>
      </c>
      <c r="DJ96" s="172" cm="1">
        <f t="array" aca="1" ref="DJ96" ca="1">IF(OR($D96&lt;&gt;"Serviço",AND(AUTOEVENTO="Manual",$M96=$A$15),$M96&gt;(ROW(PLE.lastrow)-ROW(PLE.firstrow))),0,
           IF(OFFSET(PLE!$G$15,$M96-$A$15,DJ$13)="",10^12,OFFSET(PLE!$G$15,$M96-$A$15,DJ$13)))</f>
        <v>1000000000000</v>
      </c>
      <c r="DK96" s="172" cm="1">
        <f t="array" aca="1" ref="DK96" ca="1">IF(OR($D96&lt;&gt;"Serviço",AND(AUTOEVENTO="Manual",$M96=$A$15),$M96&gt;(ROW(PLE.lastrow)-ROW(PLE.firstrow))),0,
           IF(OFFSET(PLE!$G$15,$M96-$A$15,DK$13)="",10^12,OFFSET(PLE!$G$15,$M96-$A$15,DK$13)))</f>
        <v>1000000000000</v>
      </c>
      <c r="DL96" s="172" cm="1">
        <f t="array" aca="1" ref="DL96" ca="1">IF(OR($D96&lt;&gt;"Serviço",AND(AUTOEVENTO="Manual",$M96=$A$15),$M96&gt;(ROW(PLE.lastrow)-ROW(PLE.firstrow))),0,
           IF(OFFSET(PLE!$G$15,$M96-$A$15,DL$13)="",10^12,OFFSET(PLE!$G$15,$M96-$A$15,DL$13)))</f>
        <v>1000000000000</v>
      </c>
      <c r="DM96" s="172" cm="1">
        <f t="array" aca="1" ref="DM96" ca="1">IF(OR($D96&lt;&gt;"Serviço",AND(AUTOEVENTO="Manual",$M96=$A$15),$M96&gt;(ROW(PLE.lastrow)-ROW(PLE.firstrow))),0,
           IF(OFFSET(PLE!$G$15,$M96-$A$15,DM$13)="",10^12,OFFSET(PLE!$G$15,$M96-$A$15,DM$13)))</f>
        <v>1000000000000</v>
      </c>
      <c r="DN96" s="172" cm="1">
        <f t="array" aca="1" ref="DN96" ca="1">IF(OR($D96&lt;&gt;"Serviço",AND(AUTOEVENTO="Manual",$M96=$A$15),$M96&gt;(ROW(PLE.lastrow)-ROW(PLE.firstrow))),0,
           IF(OFFSET(PLE!$G$15,$M96-$A$15,DN$13)="",10^12,OFFSET(PLE!$G$15,$M96-$A$15,DN$13)))</f>
        <v>1000000000000</v>
      </c>
      <c r="DO96" s="172" cm="1">
        <f t="array" aca="1" ref="DO96" ca="1">IF(OR($D96&lt;&gt;"Serviço",AND(AUTOEVENTO="Manual",$M96=$A$15),$M96&gt;(ROW(PLE.lastrow)-ROW(PLE.firstrow))),0,
           IF(OFFSET(PLE!$G$15,$M96-$A$15,DO$13)="",10^12,OFFSET(PLE!$G$15,$M96-$A$15,DO$13)))</f>
        <v>1000000000000</v>
      </c>
      <c r="DP96" s="172" cm="1">
        <f t="array" aca="1" ref="DP96" ca="1">IF(OR($D96&lt;&gt;"Serviço",AND(AUTOEVENTO="Manual",$M96=$A$15),$M96&gt;(ROW(PLE.lastrow)-ROW(PLE.firstrow))),0,
           IF(OFFSET(PLE!$G$15,$M96-$A$15,DP$13)="",10^12,OFFSET(PLE!$G$15,$M96-$A$15,DP$13)))</f>
        <v>1000000000000</v>
      </c>
      <c r="DQ96" s="172" cm="1">
        <f t="array" aca="1" ref="DQ96" ca="1">IF(OR($D96&lt;&gt;"Serviço",AND(AUTOEVENTO="Manual",$M96=$A$15),$M96&gt;(ROW(PLE.lastrow)-ROW(PLE.firstrow))),0,
           IF(OFFSET(PLE!$G$15,$M96-$A$15,DQ$13)="",10^12,OFFSET(PLE!$G$15,$M96-$A$15,DQ$13)))</f>
        <v>1000000000000</v>
      </c>
      <c r="DR96" s="172" cm="1">
        <f t="array" aca="1" ref="DR96" ca="1">IF(OR($D96&lt;&gt;"Serviço",AND(AUTOEVENTO="Manual",$M96=$A$15),$M96&gt;(ROW(PLE.lastrow)-ROW(PLE.firstrow))),0,
           IF(OFFSET(PLE!$G$15,$M96-$A$15,DR$13)="",10^12,OFFSET(PLE!$G$15,$M96-$A$15,DR$13)))</f>
        <v>1000000000000</v>
      </c>
      <c r="DS96" s="172" cm="1">
        <f t="array" aca="1" ref="DS96" ca="1">IF(OR($D96&lt;&gt;"Serviço",AND(AUTOEVENTO="Manual",$M96=$A$15),$M96&gt;(ROW(PLE.lastrow)-ROW(PLE.firstrow))),0,
           IF(OFFSET(PLE!$G$15,$M96-$A$15,DS$13)="",10^12,OFFSET(PLE!$G$15,$M96-$A$15,DS$13)))</f>
        <v>1000000000000</v>
      </c>
    </row>
    <row r="97" spans="1:123" ht="51" x14ac:dyDescent="0.2">
      <c r="A97" s="7">
        <f t="shared" ca="1" si="13"/>
        <v>7</v>
      </c>
      <c r="B97" s="7" t="str">
        <f ca="1">OFFSET(ORÇAMENTO!C$15,$L97,0)</f>
        <v>S</v>
      </c>
      <c r="C97" s="7" t="str">
        <f ca="1">OFFSET(ORÇAMENTO!L$15,$L97,0)</f>
        <v/>
      </c>
      <c r="D97" s="116" t="str">
        <f ca="1">OFFSET(ORÇAMENTO!N$15,$L97,0)</f>
        <v>Serviço</v>
      </c>
      <c r="E97" s="117" t="str">
        <f ca="1">OFFSET(ORÇAMENTO!O$15,$L97,0)</f>
        <v>-</v>
      </c>
      <c r="F97" s="163" t="str">
        <f ca="1">OFFSET(ORÇAMENTO!R$15,$L97,0)</f>
        <v>(Código não identificado nas referências)</v>
      </c>
      <c r="G97" s="164" t="str">
        <f ca="1">IF($D97&lt;&gt;"Serviço","",OFFSET(ORÇAMENTO!S$15,$L97,0))</f>
        <v>-</v>
      </c>
      <c r="H97" s="122" cm="1">
        <f t="array" aca="1" ref="H97" ca="1">IF($D97&lt;&gt;"Serviço",0,IF(ACOMPANHAMENTO="BM",ROUND(OFFSET(ORÇAMENTO!AJ$15,$L97,0),15-13*ORÇAMENTO!$AF$7),IF(IFERROR(CÁLCULO.FrentesPreenchidas,0)=0,0,SUM(ROUND(OFFSET($P97,0,1,1,CÁLCULO.FrentesPreenchidas),15-13*ORÇAMENTO!$AF$7)))))</f>
        <v>609</v>
      </c>
      <c r="I97" s="468" t="s">
        <v>1235</v>
      </c>
      <c r="J97" s="651" t="str" cm="1">
        <f t="array" aca="1" ref="J97" ca="1">IF(OR(B97&lt;&gt;"S",CÁLCULO.FrentesPreenchidas=0),"",IF(AND(ACOMPANHAMENTO="PLE",AUTOEVENTO="Manual",OR(H97&gt;0,ORÇAMENTO!AC97="QUANT."),OR(K97="",M97=0,N97="")),"►E",IF(AND(ACOMPANHAMENTO="PLE",ORÇAMENTO!AC97="QUANT."),"►Q",IF(AND(ACOMPANHAMENTO="PLE",H97&lt;&gt;SUMPRODUCT(($Q$1:$AQ$1=1)*ROUND(Q97:AQ97,15))),"►S",IF(AND(COUNTIF($P$11:$AQ$11,"▼")=0,H97&gt;0,I97=""),"◄M","")))))</f>
        <v/>
      </c>
      <c r="K97" s="652" t="s">
        <v>1255</v>
      </c>
      <c r="L97" s="165">
        <f t="shared" ca="1" si="14"/>
        <v>82</v>
      </c>
      <c r="M97" s="166">
        <f ca="1">IF($D97&lt;&gt;"Serviço","",
          IF(AUTOEVENTO="manual",$A97,
                IF(ISERROR(MATCH($A97,$A$15:OFFSET($A97,-1,0),0)),MAX($M$15:OFFSET(M97,-1,0))+1,
                      INDEX($M$15:OFFSET(M97,-1,0),MATCH($A97,$A$15:OFFSET($A97,-1,0),0)))))</f>
        <v>7</v>
      </c>
      <c r="N97" s="167" t="str">
        <f ca="1">IF($D97&lt;&gt;"Serviço","",
         IF(AUTOEVENTO="Manual",
                IF($A97=0,"&lt;-- defina o número do agrupador",
                       OFFSET(EVENTOS!$D$15,$A97-$A$15,0)),
                OFFSET($F$15,$A97,0)))</f>
        <v>REVESTIMENTOS</v>
      </c>
      <c r="O97" s="168"/>
      <c r="Q97" s="168">
        <v>30.45</v>
      </c>
      <c r="R97" s="169">
        <v>30.45</v>
      </c>
      <c r="S97" s="169">
        <v>30.45</v>
      </c>
      <c r="T97" s="169">
        <v>30.45</v>
      </c>
      <c r="U97" s="169">
        <v>30.45</v>
      </c>
      <c r="V97" s="169">
        <v>30.45</v>
      </c>
      <c r="W97" s="169">
        <v>30.45</v>
      </c>
      <c r="X97" s="169">
        <v>30.45</v>
      </c>
      <c r="Y97" s="169">
        <v>30.45</v>
      </c>
      <c r="Z97" s="170">
        <v>30.45</v>
      </c>
      <c r="AA97" s="169">
        <v>30.45</v>
      </c>
      <c r="AB97" s="169">
        <v>30.45</v>
      </c>
      <c r="AC97" s="169">
        <v>30.45</v>
      </c>
      <c r="AD97" s="169">
        <v>30.45</v>
      </c>
      <c r="AE97" s="169">
        <v>30.45</v>
      </c>
      <c r="AF97" s="169">
        <v>30.45</v>
      </c>
      <c r="AG97" s="169">
        <v>30.45</v>
      </c>
      <c r="AH97" s="170">
        <v>30.45</v>
      </c>
      <c r="AI97" s="169">
        <v>30.45</v>
      </c>
      <c r="AJ97" s="169">
        <v>30.45</v>
      </c>
      <c r="AK97" s="169"/>
      <c r="AL97" s="169"/>
      <c r="AM97" s="169"/>
      <c r="AN97" s="169"/>
      <c r="AO97" s="169"/>
      <c r="AP97" s="170"/>
      <c r="AR97" s="453">
        <f ca="1">IF(AND($D97="Serviço",AR$12&lt;&gt;0,$H97&gt;0,OR(AUTOEVENTO&lt;&gt;"manual",$M97&lt;&gt;$A$15)),
        IF(Import.TipoArredondamento&lt;&gt;"TransfereGOV",
              ROUND(OFFSET($P97,0,AR$13),15-13*ORÇAMENTO!$AF$7)/$H97*OFFSET(ORÇAMENTO!$X$15,ROW(AR97)-ROW(AR$15),0),
              ROUND(ROUND(OFFSET($P97,0,AR$13),15-13*ORÇAMENTO!$AF$7)*OFFSET(ORÇAMENTO!$W$15,ROW(AR97)-ROW(AR$15),0),15-13*ORÇAMENTO!$AF$11)),
         0)</f>
        <v>0</v>
      </c>
      <c r="AS97" s="453">
        <f ca="1">IF(AND($D97="Serviço",AS$12&lt;&gt;0,$H97&gt;0,OR(AUTOEVENTO&lt;&gt;"manual",$M97&lt;&gt;$A$15)),
        IF(Import.TipoArredondamento&lt;&gt;"TransfereGOV",
              ROUND(OFFSET($P97,0,AS$13),15-13*ORÇAMENTO!$AF$7)/$H97*OFFSET(ORÇAMENTO!$X$15,ROW(AS97)-ROW(AS$15),0),
              ROUND(ROUND(OFFSET($P97,0,AS$13),15-13*ORÇAMENTO!$AF$7)*OFFSET(ORÇAMENTO!$W$15,ROW(AS97)-ROW(AS$15),0),15-13*ORÇAMENTO!$AF$11)),
         0)</f>
        <v>0</v>
      </c>
      <c r="AT97" s="453">
        <f ca="1">IF(AND($D97="Serviço",AT$12&lt;&gt;0,$H97&gt;0,OR(AUTOEVENTO&lt;&gt;"manual",$M97&lt;&gt;$A$15)),
        IF(Import.TipoArredondamento&lt;&gt;"TransfereGOV",
              ROUND(OFFSET($P97,0,AT$13),15-13*ORÇAMENTO!$AF$7)/$H97*OFFSET(ORÇAMENTO!$X$15,ROW(AT97)-ROW(AT$15),0),
              ROUND(ROUND(OFFSET($P97,0,AT$13),15-13*ORÇAMENTO!$AF$7)*OFFSET(ORÇAMENTO!$W$15,ROW(AT97)-ROW(AT$15),0),15-13*ORÇAMENTO!$AF$11)),
         0)</f>
        <v>0</v>
      </c>
      <c r="AU97" s="453">
        <f ca="1">IF(AND($D97="Serviço",AU$12&lt;&gt;0,$H97&gt;0,OR(AUTOEVENTO&lt;&gt;"manual",$M97&lt;&gt;$A$15)),
        IF(Import.TipoArredondamento&lt;&gt;"TransfereGOV",
              ROUND(OFFSET($P97,0,AU$13),15-13*ORÇAMENTO!$AF$7)/$H97*OFFSET(ORÇAMENTO!$X$15,ROW(AU97)-ROW(AU$15),0),
              ROUND(ROUND(OFFSET($P97,0,AU$13),15-13*ORÇAMENTO!$AF$7)*OFFSET(ORÇAMENTO!$W$15,ROW(AU97)-ROW(AU$15),0),15-13*ORÇAMENTO!$AF$11)),
         0)</f>
        <v>0</v>
      </c>
      <c r="AV97" s="453">
        <f ca="1">IF(AND($D97="Serviço",AV$12&lt;&gt;0,$H97&gt;0,OR(AUTOEVENTO&lt;&gt;"manual",$M97&lt;&gt;$A$15)),
        IF(Import.TipoArredondamento&lt;&gt;"TransfereGOV",
              ROUND(OFFSET($P97,0,AV$13),15-13*ORÇAMENTO!$AF$7)/$H97*OFFSET(ORÇAMENTO!$X$15,ROW(AV97)-ROW(AV$15),0),
              ROUND(ROUND(OFFSET($P97,0,AV$13),15-13*ORÇAMENTO!$AF$7)*OFFSET(ORÇAMENTO!$W$15,ROW(AV97)-ROW(AV$15),0),15-13*ORÇAMENTO!$AF$11)),
         0)</f>
        <v>0</v>
      </c>
      <c r="AW97" s="453">
        <f ca="1">IF(AND($D97="Serviço",AW$12&lt;&gt;0,$H97&gt;0,OR(AUTOEVENTO&lt;&gt;"manual",$M97&lt;&gt;$A$15)),
        IF(Import.TipoArredondamento&lt;&gt;"TransfereGOV",
              ROUND(OFFSET($P97,0,AW$13),15-13*ORÇAMENTO!$AF$7)/$H97*OFFSET(ORÇAMENTO!$X$15,ROW(AW97)-ROW(AW$15),0),
              ROUND(ROUND(OFFSET($P97,0,AW$13),15-13*ORÇAMENTO!$AF$7)*OFFSET(ORÇAMENTO!$W$15,ROW(AW97)-ROW(AW$15),0),15-13*ORÇAMENTO!$AF$11)),
         0)</f>
        <v>0</v>
      </c>
      <c r="AX97" s="453">
        <f ca="1">IF(AND($D97="Serviço",AX$12&lt;&gt;0,$H97&gt;0,OR(AUTOEVENTO&lt;&gt;"manual",$M97&lt;&gt;$A$15)),
        IF(Import.TipoArredondamento&lt;&gt;"TransfereGOV",
              ROUND(OFFSET($P97,0,AX$13),15-13*ORÇAMENTO!$AF$7)/$H97*OFFSET(ORÇAMENTO!$X$15,ROW(AX97)-ROW(AX$15),0),
              ROUND(ROUND(OFFSET($P97,0,AX$13),15-13*ORÇAMENTO!$AF$7)*OFFSET(ORÇAMENTO!$W$15,ROW(AX97)-ROW(AX$15),0),15-13*ORÇAMENTO!$AF$11)),
         0)</f>
        <v>0</v>
      </c>
      <c r="AY97" s="453">
        <f ca="1">IF(AND($D97="Serviço",AY$12&lt;&gt;0,$H97&gt;0,OR(AUTOEVENTO&lt;&gt;"manual",$M97&lt;&gt;$A$15)),
        IF(Import.TipoArredondamento&lt;&gt;"TransfereGOV",
              ROUND(OFFSET($P97,0,AY$13),15-13*ORÇAMENTO!$AF$7)/$H97*OFFSET(ORÇAMENTO!$X$15,ROW(AY97)-ROW(AY$15),0),
              ROUND(ROUND(OFFSET($P97,0,AY$13),15-13*ORÇAMENTO!$AF$7)*OFFSET(ORÇAMENTO!$W$15,ROW(AY97)-ROW(AY$15),0),15-13*ORÇAMENTO!$AF$11)),
         0)</f>
        <v>0</v>
      </c>
      <c r="AZ97" s="453">
        <f ca="1">IF(AND($D97="Serviço",AZ$12&lt;&gt;0,$H97&gt;0,OR(AUTOEVENTO&lt;&gt;"manual",$M97&lt;&gt;$A$15)),
        IF(Import.TipoArredondamento&lt;&gt;"TransfereGOV",
              ROUND(OFFSET($P97,0,AZ$13),15-13*ORÇAMENTO!$AF$7)/$H97*OFFSET(ORÇAMENTO!$X$15,ROW(AZ97)-ROW(AZ$15),0),
              ROUND(ROUND(OFFSET($P97,0,AZ$13),15-13*ORÇAMENTO!$AF$7)*OFFSET(ORÇAMENTO!$W$15,ROW(AZ97)-ROW(AZ$15),0),15-13*ORÇAMENTO!$AF$11)),
         0)</f>
        <v>0</v>
      </c>
      <c r="BA97" s="453">
        <f ca="1">IF(AND($D97="Serviço",BA$12&lt;&gt;0,$H97&gt;0,OR(AUTOEVENTO&lt;&gt;"manual",$M97&lt;&gt;$A$15)),
        IF(Import.TipoArredondamento&lt;&gt;"TransfereGOV",
              ROUND(OFFSET($P97,0,BA$13),15-13*ORÇAMENTO!$AF$7)/$H97*OFFSET(ORÇAMENTO!$X$15,ROW(BA97)-ROW(BA$15),0),
              ROUND(ROUND(OFFSET($P97,0,BA$13),15-13*ORÇAMENTO!$AF$7)*OFFSET(ORÇAMENTO!$W$15,ROW(BA97)-ROW(BA$15),0),15-13*ORÇAMENTO!$AF$11)),
         0)</f>
        <v>0</v>
      </c>
      <c r="BB97" s="453">
        <f ca="1">IF(AND($D97="Serviço",BB$12&lt;&gt;0,$H97&gt;0,OR(AUTOEVENTO&lt;&gt;"manual",$M97&lt;&gt;$A$15)),
        IF(Import.TipoArredondamento&lt;&gt;"TransfereGOV",
              ROUND(OFFSET($P97,0,BB$13),15-13*ORÇAMENTO!$AF$7)/$H97*OFFSET(ORÇAMENTO!$X$15,ROW(BB97)-ROW(BB$15),0),
              ROUND(ROUND(OFFSET($P97,0,BB$13),15-13*ORÇAMENTO!$AF$7)*OFFSET(ORÇAMENTO!$W$15,ROW(BB97)-ROW(BB$15),0),15-13*ORÇAMENTO!$AF$11)),
         0)</f>
        <v>0</v>
      </c>
      <c r="BC97" s="453">
        <f ca="1">IF(AND($D97="Serviço",BC$12&lt;&gt;0,$H97&gt;0,OR(AUTOEVENTO&lt;&gt;"manual",$M97&lt;&gt;$A$15)),
        IF(Import.TipoArredondamento&lt;&gt;"TransfereGOV",
              ROUND(OFFSET($P97,0,BC$13),15-13*ORÇAMENTO!$AF$7)/$H97*OFFSET(ORÇAMENTO!$X$15,ROW(BC97)-ROW(BC$15),0),
              ROUND(ROUND(OFFSET($P97,0,BC$13),15-13*ORÇAMENTO!$AF$7)*OFFSET(ORÇAMENTO!$W$15,ROW(BC97)-ROW(BC$15),0),15-13*ORÇAMENTO!$AF$11)),
         0)</f>
        <v>0</v>
      </c>
      <c r="BD97" s="453">
        <f ca="1">IF(AND($D97="Serviço",BD$12&lt;&gt;0,$H97&gt;0,OR(AUTOEVENTO&lt;&gt;"manual",$M97&lt;&gt;$A$15)),
        IF(Import.TipoArredondamento&lt;&gt;"TransfereGOV",
              ROUND(OFFSET($P97,0,BD$13),15-13*ORÇAMENTO!$AF$7)/$H97*OFFSET(ORÇAMENTO!$X$15,ROW(BD97)-ROW(BD$15),0),
              ROUND(ROUND(OFFSET($P97,0,BD$13),15-13*ORÇAMENTO!$AF$7)*OFFSET(ORÇAMENTO!$W$15,ROW(BD97)-ROW(BD$15),0),15-13*ORÇAMENTO!$AF$11)),
         0)</f>
        <v>0</v>
      </c>
      <c r="BE97" s="453">
        <f ca="1">IF(AND($D97="Serviço",BE$12&lt;&gt;0,$H97&gt;0,OR(AUTOEVENTO&lt;&gt;"manual",$M97&lt;&gt;$A$15)),
        IF(Import.TipoArredondamento&lt;&gt;"TransfereGOV",
              ROUND(OFFSET($P97,0,BE$13),15-13*ORÇAMENTO!$AF$7)/$H97*OFFSET(ORÇAMENTO!$X$15,ROW(BE97)-ROW(BE$15),0),
              ROUND(ROUND(OFFSET($P97,0,BE$13),15-13*ORÇAMENTO!$AF$7)*OFFSET(ORÇAMENTO!$W$15,ROW(BE97)-ROW(BE$15),0),15-13*ORÇAMENTO!$AF$11)),
         0)</f>
        <v>0</v>
      </c>
      <c r="BF97" s="453">
        <f ca="1">IF(AND($D97="Serviço",BF$12&lt;&gt;0,$H97&gt;0,OR(AUTOEVENTO&lt;&gt;"manual",$M97&lt;&gt;$A$15)),
        IF(Import.TipoArredondamento&lt;&gt;"TransfereGOV",
              ROUND(OFFSET($P97,0,BF$13),15-13*ORÇAMENTO!$AF$7)/$H97*OFFSET(ORÇAMENTO!$X$15,ROW(BF97)-ROW(BF$15),0),
              ROUND(ROUND(OFFSET($P97,0,BF$13),15-13*ORÇAMENTO!$AF$7)*OFFSET(ORÇAMENTO!$W$15,ROW(BF97)-ROW(BF$15),0),15-13*ORÇAMENTO!$AF$11)),
         0)</f>
        <v>0</v>
      </c>
      <c r="BG97" s="453">
        <f ca="1">IF(AND($D97="Serviço",BG$12&lt;&gt;0,$H97&gt;0,OR(AUTOEVENTO&lt;&gt;"manual",$M97&lt;&gt;$A$15)),
        IF(Import.TipoArredondamento&lt;&gt;"TransfereGOV",
              ROUND(OFFSET($P97,0,BG$13),15-13*ORÇAMENTO!$AF$7)/$H97*OFFSET(ORÇAMENTO!$X$15,ROW(BG97)-ROW(BG$15),0),
              ROUND(ROUND(OFFSET($P97,0,BG$13),15-13*ORÇAMENTO!$AF$7)*OFFSET(ORÇAMENTO!$W$15,ROW(BG97)-ROW(BG$15),0),15-13*ORÇAMENTO!$AF$11)),
         0)</f>
        <v>0</v>
      </c>
      <c r="BH97" s="453">
        <f ca="1">IF(AND($D97="Serviço",BH$12&lt;&gt;0,$H97&gt;0,OR(AUTOEVENTO&lt;&gt;"manual",$M97&lt;&gt;$A$15)),
        IF(Import.TipoArredondamento&lt;&gt;"TransfereGOV",
              ROUND(OFFSET($P97,0,BH$13),15-13*ORÇAMENTO!$AF$7)/$H97*OFFSET(ORÇAMENTO!$X$15,ROW(BH97)-ROW(BH$15),0),
              ROUND(ROUND(OFFSET($P97,0,BH$13),15-13*ORÇAMENTO!$AF$7)*OFFSET(ORÇAMENTO!$W$15,ROW(BH97)-ROW(BH$15),0),15-13*ORÇAMENTO!$AF$11)),
         0)</f>
        <v>0</v>
      </c>
      <c r="BI97" s="453">
        <f ca="1">IF(AND($D97="Serviço",BI$12&lt;&gt;0,$H97&gt;0,OR(AUTOEVENTO&lt;&gt;"manual",$M97&lt;&gt;$A$15)),
        IF(Import.TipoArredondamento&lt;&gt;"TransfereGOV",
              ROUND(OFFSET($P97,0,BI$13),15-13*ORÇAMENTO!$AF$7)/$H97*OFFSET(ORÇAMENTO!$X$15,ROW(BI97)-ROW(BI$15),0),
              ROUND(ROUND(OFFSET($P97,0,BI$13),15-13*ORÇAMENTO!$AF$7)*OFFSET(ORÇAMENTO!$W$15,ROW(BI97)-ROW(BI$15),0),15-13*ORÇAMENTO!$AF$11)),
         0)</f>
        <v>0</v>
      </c>
      <c r="BJ97" s="453">
        <f ca="1">IF(AND($D97="Serviço",BJ$12&lt;&gt;0,$H97&gt;0,OR(AUTOEVENTO&lt;&gt;"manual",$M97&lt;&gt;$A$15)),
        IF(Import.TipoArredondamento&lt;&gt;"TransfereGOV",
              ROUND(OFFSET($P97,0,BJ$13),15-13*ORÇAMENTO!$AF$7)/$H97*OFFSET(ORÇAMENTO!$X$15,ROW(BJ97)-ROW(BJ$15),0),
              ROUND(ROUND(OFFSET($P97,0,BJ$13),15-13*ORÇAMENTO!$AF$7)*OFFSET(ORÇAMENTO!$W$15,ROW(BJ97)-ROW(BJ$15),0),15-13*ORÇAMENTO!$AF$11)),
         0)</f>
        <v>0</v>
      </c>
      <c r="BK97" s="453">
        <f ca="1">IF(AND($D97="Serviço",BK$12&lt;&gt;0,$H97&gt;0,OR(AUTOEVENTO&lt;&gt;"manual",$M97&lt;&gt;$A$15)),
        IF(Import.TipoArredondamento&lt;&gt;"TransfereGOV",
              ROUND(OFFSET($P97,0,BK$13),15-13*ORÇAMENTO!$AF$7)/$H97*OFFSET(ORÇAMENTO!$X$15,ROW(BK97)-ROW(BK$15),0),
              ROUND(ROUND(OFFSET($P97,0,BK$13),15-13*ORÇAMENTO!$AF$7)*OFFSET(ORÇAMENTO!$W$15,ROW(BK97)-ROW(BK$15),0),15-13*ORÇAMENTO!$AF$11)),
         0)</f>
        <v>0</v>
      </c>
      <c r="BL97" s="453">
        <f ca="1">IF(AND($D97="Serviço",BL$12&lt;&gt;0,$H97&gt;0,OR(AUTOEVENTO&lt;&gt;"manual",$M97&lt;&gt;$A$15)),
        IF(Import.TipoArredondamento&lt;&gt;"TransfereGOV",
              ROUND(OFFSET($P97,0,BL$13),15-13*ORÇAMENTO!$AF$7)/$H97*OFFSET(ORÇAMENTO!$X$15,ROW(BL97)-ROW(BL$15),0),
              ROUND(ROUND(OFFSET($P97,0,BL$13),15-13*ORÇAMENTO!$AF$7)*OFFSET(ORÇAMENTO!$W$15,ROW(BL97)-ROW(BL$15),0),15-13*ORÇAMENTO!$AF$11)),
         0)</f>
        <v>0</v>
      </c>
      <c r="BM97" s="453">
        <f ca="1">IF(AND($D97="Serviço",BM$12&lt;&gt;0,$H97&gt;0,OR(AUTOEVENTO&lt;&gt;"manual",$M97&lt;&gt;$A$15)),
        IF(Import.TipoArredondamento&lt;&gt;"TransfereGOV",
              ROUND(OFFSET($P97,0,BM$13),15-13*ORÇAMENTO!$AF$7)/$H97*OFFSET(ORÇAMENTO!$X$15,ROW(BM97)-ROW(BM$15),0),
              ROUND(ROUND(OFFSET($P97,0,BM$13),15-13*ORÇAMENTO!$AF$7)*OFFSET(ORÇAMENTO!$W$15,ROW(BM97)-ROW(BM$15),0),15-13*ORÇAMENTO!$AF$11)),
         0)</f>
        <v>0</v>
      </c>
      <c r="BN97" s="453">
        <f ca="1">IF(AND($D97="Serviço",BN$12&lt;&gt;0,$H97&gt;0,OR(AUTOEVENTO&lt;&gt;"manual",$M97&lt;&gt;$A$15)),
        IF(Import.TipoArredondamento&lt;&gt;"TransfereGOV",
              ROUND(OFFSET($P97,0,BN$13),15-13*ORÇAMENTO!$AF$7)/$H97*OFFSET(ORÇAMENTO!$X$15,ROW(BN97)-ROW(BN$15),0),
              ROUND(ROUND(OFFSET($P97,0,BN$13),15-13*ORÇAMENTO!$AF$7)*OFFSET(ORÇAMENTO!$W$15,ROW(BN97)-ROW(BN$15),0),15-13*ORÇAMENTO!$AF$11)),
         0)</f>
        <v>0</v>
      </c>
      <c r="BO97" s="453">
        <f ca="1">IF(AND($D97="Serviço",BO$12&lt;&gt;0,$H97&gt;0,OR(AUTOEVENTO&lt;&gt;"manual",$M97&lt;&gt;$A$15)),
        IF(Import.TipoArredondamento&lt;&gt;"TransfereGOV",
              ROUND(OFFSET($P97,0,BO$13),15-13*ORÇAMENTO!$AF$7)/$H97*OFFSET(ORÇAMENTO!$X$15,ROW(BO97)-ROW(BO$15),0),
              ROUND(ROUND(OFFSET($P97,0,BO$13),15-13*ORÇAMENTO!$AF$7)*OFFSET(ORÇAMENTO!$W$15,ROW(BO97)-ROW(BO$15),0),15-13*ORÇAMENTO!$AF$11)),
         0)</f>
        <v>0</v>
      </c>
      <c r="BP97" s="453">
        <f ca="1">IF(AND($D97="Serviço",BP$12&lt;&gt;0,$H97&gt;0,OR(AUTOEVENTO&lt;&gt;"manual",$M97&lt;&gt;$A$15)),
        IF(Import.TipoArredondamento&lt;&gt;"TransfereGOV",
              ROUND(OFFSET($P97,0,BP$13),15-13*ORÇAMENTO!$AF$7)/$H97*OFFSET(ORÇAMENTO!$X$15,ROW(BP97)-ROW(BP$15),0),
              ROUND(ROUND(OFFSET($P97,0,BP$13),15-13*ORÇAMENTO!$AF$7)*OFFSET(ORÇAMENTO!$W$15,ROW(BP97)-ROW(BP$15),0),15-13*ORÇAMENTO!$AF$11)),
         0)</f>
        <v>0</v>
      </c>
      <c r="BQ97" s="453">
        <f ca="1">IF(AND($D97="Serviço",BQ$12&lt;&gt;0,$H97&gt;0,OR(AUTOEVENTO&lt;&gt;"manual",$M97&lt;&gt;$A$15)),
        IF(Import.TipoArredondamento&lt;&gt;"TransfereGOV",
              ROUND(OFFSET($P97,0,BQ$13),15-13*ORÇAMENTO!$AF$7)/$H97*OFFSET(ORÇAMENTO!$X$15,ROW(BQ97)-ROW(BQ$15),0),
              ROUND(ROUND(OFFSET($P97,0,BQ$13),15-13*ORÇAMENTO!$AF$7)*OFFSET(ORÇAMENTO!$W$15,ROW(BQ97)-ROW(BQ$15),0),15-13*ORÇAMENTO!$AF$11)),
         0)</f>
        <v>0</v>
      </c>
      <c r="BS97" s="171">
        <f ca="1">IF(OR($D97&lt;&gt;"Serviço",AND(AUTOEVENTO="Manual",$M97=$A$15)),0,
         IF(OFFSET(CRONOPLE!$F$15,$M97-$A$15,BS$13)=0,10^12,OFFSET(CRONOPLE!$F$15,$M97-$A$15,BS$13)))</f>
        <v>1</v>
      </c>
      <c r="BT97" s="171">
        <f ca="1">IF(OR($D97&lt;&gt;"Serviço",AND(AUTOEVENTO="Manual",$M97=$A$15)),0,
         IF(OFFSET(CRONOPLE!$F$15,$M97-$A$15,BT$13)=0,10^12,OFFSET(CRONOPLE!$F$15,$M97-$A$15,BT$13)))</f>
        <v>2</v>
      </c>
      <c r="BU97" s="171">
        <f ca="1">IF(OR($D97&lt;&gt;"Serviço",AND(AUTOEVENTO="Manual",$M97=$A$15)),0,
         IF(OFFSET(CRONOPLE!$F$15,$M97-$A$15,BU$13)=0,10^12,OFFSET(CRONOPLE!$F$15,$M97-$A$15,BU$13)))</f>
        <v>3</v>
      </c>
      <c r="BV97" s="171">
        <f ca="1">IF(OR($D97&lt;&gt;"Serviço",AND(AUTOEVENTO="Manual",$M97=$A$15)),0,
         IF(OFFSET(CRONOPLE!$F$15,$M97-$A$15,BV$13)=0,10^12,OFFSET(CRONOPLE!$F$15,$M97-$A$15,BV$13)))</f>
        <v>4</v>
      </c>
      <c r="BW97" s="171">
        <f ca="1">IF(OR($D97&lt;&gt;"Serviço",AND(AUTOEVENTO="Manual",$M97=$A$15)),0,
         IF(OFFSET(CRONOPLE!$F$15,$M97-$A$15,BW$13)=0,10^12,OFFSET(CRONOPLE!$F$15,$M97-$A$15,BW$13)))</f>
        <v>5</v>
      </c>
      <c r="BX97" s="171">
        <f ca="1">IF(OR($D97&lt;&gt;"Serviço",AND(AUTOEVENTO="Manual",$M97=$A$15)),0,
         IF(OFFSET(CRONOPLE!$F$15,$M97-$A$15,BX$13)=0,10^12,OFFSET(CRONOPLE!$F$15,$M97-$A$15,BX$13)))</f>
        <v>6</v>
      </c>
      <c r="BY97" s="171">
        <f ca="1">IF(OR($D97&lt;&gt;"Serviço",AND(AUTOEVENTO="Manual",$M97=$A$15)),0,
         IF(OFFSET(CRONOPLE!$F$15,$M97-$A$15,BY$13)=0,10^12,OFFSET(CRONOPLE!$F$15,$M97-$A$15,BY$13)))</f>
        <v>7</v>
      </c>
      <c r="BZ97" s="171">
        <f ca="1">IF(OR($D97&lt;&gt;"Serviço",AND(AUTOEVENTO="Manual",$M97=$A$15)),0,
         IF(OFFSET(CRONOPLE!$F$15,$M97-$A$15,BZ$13)=0,10^12,OFFSET(CRONOPLE!$F$15,$M97-$A$15,BZ$13)))</f>
        <v>8</v>
      </c>
      <c r="CA97" s="171">
        <f ca="1">IF(OR($D97&lt;&gt;"Serviço",AND(AUTOEVENTO="Manual",$M97=$A$15)),0,
         IF(OFFSET(CRONOPLE!$F$15,$M97-$A$15,CA$13)=0,10^12,OFFSET(CRONOPLE!$F$15,$M97-$A$15,CA$13)))</f>
        <v>9</v>
      </c>
      <c r="CB97" s="171">
        <f ca="1">IF(OR($D97&lt;&gt;"Serviço",AND(AUTOEVENTO="Manual",$M97=$A$15)),0,
         IF(OFFSET(CRONOPLE!$F$15,$M97-$A$15,CB$13)=0,10^12,OFFSET(CRONOPLE!$F$15,$M97-$A$15,CB$13)))</f>
        <v>10</v>
      </c>
      <c r="CC97" s="171">
        <f ca="1">IF(OR($D97&lt;&gt;"Serviço",AND(AUTOEVENTO="Manual",$M97=$A$15)),0,
         IF(OFFSET(CRONOPLE!$F$15,$M97-$A$15,CC$13)=0,10^12,OFFSET(CRONOPLE!$F$15,$M97-$A$15,CC$13)))</f>
        <v>11</v>
      </c>
      <c r="CD97" s="171">
        <f ca="1">IF(OR($D97&lt;&gt;"Serviço",AND(AUTOEVENTO="Manual",$M97=$A$15)),0,
         IF(OFFSET(CRONOPLE!$F$15,$M97-$A$15,CD$13)=0,10^12,OFFSET(CRONOPLE!$F$15,$M97-$A$15,CD$13)))</f>
        <v>12</v>
      </c>
      <c r="CE97" s="171">
        <f ca="1">IF(OR($D97&lt;&gt;"Serviço",AND(AUTOEVENTO="Manual",$M97=$A$15)),0,
         IF(OFFSET(CRONOPLE!$F$15,$M97-$A$15,CE$13)=0,10^12,OFFSET(CRONOPLE!$F$15,$M97-$A$15,CE$13)))</f>
        <v>13</v>
      </c>
      <c r="CF97" s="171">
        <f ca="1">IF(OR($D97&lt;&gt;"Serviço",AND(AUTOEVENTO="Manual",$M97=$A$15)),0,
         IF(OFFSET(CRONOPLE!$F$15,$M97-$A$15,CF$13)=0,10^12,OFFSET(CRONOPLE!$F$15,$M97-$A$15,CF$13)))</f>
        <v>14</v>
      </c>
      <c r="CG97" s="171">
        <f ca="1">IF(OR($D97&lt;&gt;"Serviço",AND(AUTOEVENTO="Manual",$M97=$A$15)),0,
         IF(OFFSET(CRONOPLE!$F$15,$M97-$A$15,CG$13)=0,10^12,OFFSET(CRONOPLE!$F$15,$M97-$A$15,CG$13)))</f>
        <v>15</v>
      </c>
      <c r="CH97" s="171">
        <f ca="1">IF(OR($D97&lt;&gt;"Serviço",AND(AUTOEVENTO="Manual",$M97=$A$15)),0,
         IF(OFFSET(CRONOPLE!$F$15,$M97-$A$15,CH$13)=0,10^12,OFFSET(CRONOPLE!$F$15,$M97-$A$15,CH$13)))</f>
        <v>16</v>
      </c>
      <c r="CI97" s="171">
        <f ca="1">IF(OR($D97&lt;&gt;"Serviço",AND(AUTOEVENTO="Manual",$M97=$A$15)),0,
         IF(OFFSET(CRONOPLE!$F$15,$M97-$A$15,CI$13)=0,10^12,OFFSET(CRONOPLE!$F$15,$M97-$A$15,CI$13)))</f>
        <v>17</v>
      </c>
      <c r="CJ97" s="171">
        <f ca="1">IF(OR($D97&lt;&gt;"Serviço",AND(AUTOEVENTO="Manual",$M97=$A$15)),0,
         IF(OFFSET(CRONOPLE!$F$15,$M97-$A$15,CJ$13)=0,10^12,OFFSET(CRONOPLE!$F$15,$M97-$A$15,CJ$13)))</f>
        <v>18</v>
      </c>
      <c r="CK97" s="171">
        <f ca="1">IF(OR($D97&lt;&gt;"Serviço",AND(AUTOEVENTO="Manual",$M97=$A$15)),0,
         IF(OFFSET(CRONOPLE!$F$15,$M97-$A$15,CK$13)=0,10^12,OFFSET(CRONOPLE!$F$15,$M97-$A$15,CK$13)))</f>
        <v>19</v>
      </c>
      <c r="CL97" s="171">
        <f ca="1">IF(OR($D97&lt;&gt;"Serviço",AND(AUTOEVENTO="Manual",$M97=$A$15)),0,
         IF(OFFSET(CRONOPLE!$F$15,$M97-$A$15,CL$13)=0,10^12,OFFSET(CRONOPLE!$F$15,$M97-$A$15,CL$13)))</f>
        <v>20</v>
      </c>
      <c r="CM97" s="171">
        <f ca="1">IF(OR($D97&lt;&gt;"Serviço",AND(AUTOEVENTO="Manual",$M97=$A$15)),0,
         IF(OFFSET(CRONOPLE!$F$15,$M97-$A$15,CM$13)=0,10^12,OFFSET(CRONOPLE!$F$15,$M97-$A$15,CM$13)))</f>
        <v>1000000000000</v>
      </c>
      <c r="CN97" s="171">
        <f ca="1">IF(OR($D97&lt;&gt;"Serviço",AND(AUTOEVENTO="Manual",$M97=$A$15)),0,
         IF(OFFSET(CRONOPLE!$F$15,$M97-$A$15,CN$13)=0,10^12,OFFSET(CRONOPLE!$F$15,$M97-$A$15,CN$13)))</f>
        <v>1000000000000</v>
      </c>
      <c r="CO97" s="171">
        <f ca="1">IF(OR($D97&lt;&gt;"Serviço",AND(AUTOEVENTO="Manual",$M97=$A$15)),0,
         IF(OFFSET(CRONOPLE!$F$15,$M97-$A$15,CO$13)=0,10^12,OFFSET(CRONOPLE!$F$15,$M97-$A$15,CO$13)))</f>
        <v>1000000000000</v>
      </c>
      <c r="CP97" s="171">
        <f ca="1">IF(OR($D97&lt;&gt;"Serviço",AND(AUTOEVENTO="Manual",$M97=$A$15)),0,
         IF(OFFSET(CRONOPLE!$F$15,$M97-$A$15,CP$13)=0,10^12,OFFSET(CRONOPLE!$F$15,$M97-$A$15,CP$13)))</f>
        <v>1000000000000</v>
      </c>
      <c r="CQ97" s="171">
        <f ca="1">IF(OR($D97&lt;&gt;"Serviço",AND(AUTOEVENTO="Manual",$M97=$A$15)),0,
         IF(OFFSET(CRONOPLE!$F$15,$M97-$A$15,CQ$13)=0,10^12,OFFSET(CRONOPLE!$F$15,$M97-$A$15,CQ$13)))</f>
        <v>1000000000000</v>
      </c>
      <c r="CR97" s="171">
        <f ca="1">IF(OR($D97&lt;&gt;"Serviço",AND(AUTOEVENTO="Manual",$M97=$A$15)),0,
         IF(OFFSET(CRONOPLE!$F$15,$M97-$A$15,CR$13)=0,10^12,OFFSET(CRONOPLE!$F$15,$M97-$A$15,CR$13)))</f>
        <v>1000000000000</v>
      </c>
      <c r="CT97" s="172" cm="1">
        <f t="array" aca="1" ref="CT97" ca="1">IF(OR($D97&lt;&gt;"Serviço",AND(AUTOEVENTO="Manual",$M97=$A$15),$M97&gt;(ROW(PLE.lastrow)-ROW(PLE.firstrow))),0,
           IF(OFFSET(PLE!$G$15,$M97-$A$15,CT$13)="",10^12,OFFSET(PLE!$G$15,$M97-$A$15,CT$13)))</f>
        <v>1000000000000</v>
      </c>
      <c r="CU97" s="172" cm="1">
        <f t="array" aca="1" ref="CU97" ca="1">IF(OR($D97&lt;&gt;"Serviço",AND(AUTOEVENTO="Manual",$M97=$A$15),$M97&gt;(ROW(PLE.lastrow)-ROW(PLE.firstrow))),0,
           IF(OFFSET(PLE!$G$15,$M97-$A$15,CU$13)="",10^12,OFFSET(PLE!$G$15,$M97-$A$15,CU$13)))</f>
        <v>1000000000000</v>
      </c>
      <c r="CV97" s="172" cm="1">
        <f t="array" aca="1" ref="CV97" ca="1">IF(OR($D97&lt;&gt;"Serviço",AND(AUTOEVENTO="Manual",$M97=$A$15),$M97&gt;(ROW(PLE.lastrow)-ROW(PLE.firstrow))),0,
           IF(OFFSET(PLE!$G$15,$M97-$A$15,CV$13)="",10^12,OFFSET(PLE!$G$15,$M97-$A$15,CV$13)))</f>
        <v>1000000000000</v>
      </c>
      <c r="CW97" s="172" cm="1">
        <f t="array" aca="1" ref="CW97" ca="1">IF(OR($D97&lt;&gt;"Serviço",AND(AUTOEVENTO="Manual",$M97=$A$15),$M97&gt;(ROW(PLE.lastrow)-ROW(PLE.firstrow))),0,
           IF(OFFSET(PLE!$G$15,$M97-$A$15,CW$13)="",10^12,OFFSET(PLE!$G$15,$M97-$A$15,CW$13)))</f>
        <v>1000000000000</v>
      </c>
      <c r="CX97" s="172" cm="1">
        <f t="array" aca="1" ref="CX97" ca="1">IF(OR($D97&lt;&gt;"Serviço",AND(AUTOEVENTO="Manual",$M97=$A$15),$M97&gt;(ROW(PLE.lastrow)-ROW(PLE.firstrow))),0,
           IF(OFFSET(PLE!$G$15,$M97-$A$15,CX$13)="",10^12,OFFSET(PLE!$G$15,$M97-$A$15,CX$13)))</f>
        <v>1000000000000</v>
      </c>
      <c r="CY97" s="172" cm="1">
        <f t="array" aca="1" ref="CY97" ca="1">IF(OR($D97&lt;&gt;"Serviço",AND(AUTOEVENTO="Manual",$M97=$A$15),$M97&gt;(ROW(PLE.lastrow)-ROW(PLE.firstrow))),0,
           IF(OFFSET(PLE!$G$15,$M97-$A$15,CY$13)="",10^12,OFFSET(PLE!$G$15,$M97-$A$15,CY$13)))</f>
        <v>1000000000000</v>
      </c>
      <c r="CZ97" s="172" cm="1">
        <f t="array" aca="1" ref="CZ97" ca="1">IF(OR($D97&lt;&gt;"Serviço",AND(AUTOEVENTO="Manual",$M97=$A$15),$M97&gt;(ROW(PLE.lastrow)-ROW(PLE.firstrow))),0,
           IF(OFFSET(PLE!$G$15,$M97-$A$15,CZ$13)="",10^12,OFFSET(PLE!$G$15,$M97-$A$15,CZ$13)))</f>
        <v>1000000000000</v>
      </c>
      <c r="DA97" s="172" cm="1">
        <f t="array" aca="1" ref="DA97" ca="1">IF(OR($D97&lt;&gt;"Serviço",AND(AUTOEVENTO="Manual",$M97=$A$15),$M97&gt;(ROW(PLE.lastrow)-ROW(PLE.firstrow))),0,
           IF(OFFSET(PLE!$G$15,$M97-$A$15,DA$13)="",10^12,OFFSET(PLE!$G$15,$M97-$A$15,DA$13)))</f>
        <v>1000000000000</v>
      </c>
      <c r="DB97" s="172" cm="1">
        <f t="array" aca="1" ref="DB97" ca="1">IF(OR($D97&lt;&gt;"Serviço",AND(AUTOEVENTO="Manual",$M97=$A$15),$M97&gt;(ROW(PLE.lastrow)-ROW(PLE.firstrow))),0,
           IF(OFFSET(PLE!$G$15,$M97-$A$15,DB$13)="",10^12,OFFSET(PLE!$G$15,$M97-$A$15,DB$13)))</f>
        <v>1000000000000</v>
      </c>
      <c r="DC97" s="172" cm="1">
        <f t="array" aca="1" ref="DC97" ca="1">IF(OR($D97&lt;&gt;"Serviço",AND(AUTOEVENTO="Manual",$M97=$A$15),$M97&gt;(ROW(PLE.lastrow)-ROW(PLE.firstrow))),0,
           IF(OFFSET(PLE!$G$15,$M97-$A$15,DC$13)="",10^12,OFFSET(PLE!$G$15,$M97-$A$15,DC$13)))</f>
        <v>1000000000000</v>
      </c>
      <c r="DD97" s="172" cm="1">
        <f t="array" aca="1" ref="DD97" ca="1">IF(OR($D97&lt;&gt;"Serviço",AND(AUTOEVENTO="Manual",$M97=$A$15),$M97&gt;(ROW(PLE.lastrow)-ROW(PLE.firstrow))),0,
           IF(OFFSET(PLE!$G$15,$M97-$A$15,DD$13)="",10^12,OFFSET(PLE!$G$15,$M97-$A$15,DD$13)))</f>
        <v>1000000000000</v>
      </c>
      <c r="DE97" s="172" cm="1">
        <f t="array" aca="1" ref="DE97" ca="1">IF(OR($D97&lt;&gt;"Serviço",AND(AUTOEVENTO="Manual",$M97=$A$15),$M97&gt;(ROW(PLE.lastrow)-ROW(PLE.firstrow))),0,
           IF(OFFSET(PLE!$G$15,$M97-$A$15,DE$13)="",10^12,OFFSET(PLE!$G$15,$M97-$A$15,DE$13)))</f>
        <v>1000000000000</v>
      </c>
      <c r="DF97" s="172" cm="1">
        <f t="array" aca="1" ref="DF97" ca="1">IF(OR($D97&lt;&gt;"Serviço",AND(AUTOEVENTO="Manual",$M97=$A$15),$M97&gt;(ROW(PLE.lastrow)-ROW(PLE.firstrow))),0,
           IF(OFFSET(PLE!$G$15,$M97-$A$15,DF$13)="",10^12,OFFSET(PLE!$G$15,$M97-$A$15,DF$13)))</f>
        <v>1000000000000</v>
      </c>
      <c r="DG97" s="172" cm="1">
        <f t="array" aca="1" ref="DG97" ca="1">IF(OR($D97&lt;&gt;"Serviço",AND(AUTOEVENTO="Manual",$M97=$A$15),$M97&gt;(ROW(PLE.lastrow)-ROW(PLE.firstrow))),0,
           IF(OFFSET(PLE!$G$15,$M97-$A$15,DG$13)="",10^12,OFFSET(PLE!$G$15,$M97-$A$15,DG$13)))</f>
        <v>1000000000000</v>
      </c>
      <c r="DH97" s="172" cm="1">
        <f t="array" aca="1" ref="DH97" ca="1">IF(OR($D97&lt;&gt;"Serviço",AND(AUTOEVENTO="Manual",$M97=$A$15),$M97&gt;(ROW(PLE.lastrow)-ROW(PLE.firstrow))),0,
           IF(OFFSET(PLE!$G$15,$M97-$A$15,DH$13)="",10^12,OFFSET(PLE!$G$15,$M97-$A$15,DH$13)))</f>
        <v>1000000000000</v>
      </c>
      <c r="DI97" s="172" cm="1">
        <f t="array" aca="1" ref="DI97" ca="1">IF(OR($D97&lt;&gt;"Serviço",AND(AUTOEVENTO="Manual",$M97=$A$15),$M97&gt;(ROW(PLE.lastrow)-ROW(PLE.firstrow))),0,
           IF(OFFSET(PLE!$G$15,$M97-$A$15,DI$13)="",10^12,OFFSET(PLE!$G$15,$M97-$A$15,DI$13)))</f>
        <v>1000000000000</v>
      </c>
      <c r="DJ97" s="172" cm="1">
        <f t="array" aca="1" ref="DJ97" ca="1">IF(OR($D97&lt;&gt;"Serviço",AND(AUTOEVENTO="Manual",$M97=$A$15),$M97&gt;(ROW(PLE.lastrow)-ROW(PLE.firstrow))),0,
           IF(OFFSET(PLE!$G$15,$M97-$A$15,DJ$13)="",10^12,OFFSET(PLE!$G$15,$M97-$A$15,DJ$13)))</f>
        <v>1000000000000</v>
      </c>
      <c r="DK97" s="172" cm="1">
        <f t="array" aca="1" ref="DK97" ca="1">IF(OR($D97&lt;&gt;"Serviço",AND(AUTOEVENTO="Manual",$M97=$A$15),$M97&gt;(ROW(PLE.lastrow)-ROW(PLE.firstrow))),0,
           IF(OFFSET(PLE!$G$15,$M97-$A$15,DK$13)="",10^12,OFFSET(PLE!$G$15,$M97-$A$15,DK$13)))</f>
        <v>1000000000000</v>
      </c>
      <c r="DL97" s="172" cm="1">
        <f t="array" aca="1" ref="DL97" ca="1">IF(OR($D97&lt;&gt;"Serviço",AND(AUTOEVENTO="Manual",$M97=$A$15),$M97&gt;(ROW(PLE.lastrow)-ROW(PLE.firstrow))),0,
           IF(OFFSET(PLE!$G$15,$M97-$A$15,DL$13)="",10^12,OFFSET(PLE!$G$15,$M97-$A$15,DL$13)))</f>
        <v>1000000000000</v>
      </c>
      <c r="DM97" s="172" cm="1">
        <f t="array" aca="1" ref="DM97" ca="1">IF(OR($D97&lt;&gt;"Serviço",AND(AUTOEVENTO="Manual",$M97=$A$15),$M97&gt;(ROW(PLE.lastrow)-ROW(PLE.firstrow))),0,
           IF(OFFSET(PLE!$G$15,$M97-$A$15,DM$13)="",10^12,OFFSET(PLE!$G$15,$M97-$A$15,DM$13)))</f>
        <v>1000000000000</v>
      </c>
      <c r="DN97" s="172" cm="1">
        <f t="array" aca="1" ref="DN97" ca="1">IF(OR($D97&lt;&gt;"Serviço",AND(AUTOEVENTO="Manual",$M97=$A$15),$M97&gt;(ROW(PLE.lastrow)-ROW(PLE.firstrow))),0,
           IF(OFFSET(PLE!$G$15,$M97-$A$15,DN$13)="",10^12,OFFSET(PLE!$G$15,$M97-$A$15,DN$13)))</f>
        <v>1000000000000</v>
      </c>
      <c r="DO97" s="172" cm="1">
        <f t="array" aca="1" ref="DO97" ca="1">IF(OR($D97&lt;&gt;"Serviço",AND(AUTOEVENTO="Manual",$M97=$A$15),$M97&gt;(ROW(PLE.lastrow)-ROW(PLE.firstrow))),0,
           IF(OFFSET(PLE!$G$15,$M97-$A$15,DO$13)="",10^12,OFFSET(PLE!$G$15,$M97-$A$15,DO$13)))</f>
        <v>1000000000000</v>
      </c>
      <c r="DP97" s="172" cm="1">
        <f t="array" aca="1" ref="DP97" ca="1">IF(OR($D97&lt;&gt;"Serviço",AND(AUTOEVENTO="Manual",$M97=$A$15),$M97&gt;(ROW(PLE.lastrow)-ROW(PLE.firstrow))),0,
           IF(OFFSET(PLE!$G$15,$M97-$A$15,DP$13)="",10^12,OFFSET(PLE!$G$15,$M97-$A$15,DP$13)))</f>
        <v>1000000000000</v>
      </c>
      <c r="DQ97" s="172" cm="1">
        <f t="array" aca="1" ref="DQ97" ca="1">IF(OR($D97&lt;&gt;"Serviço",AND(AUTOEVENTO="Manual",$M97=$A$15),$M97&gt;(ROW(PLE.lastrow)-ROW(PLE.firstrow))),0,
           IF(OFFSET(PLE!$G$15,$M97-$A$15,DQ$13)="",10^12,OFFSET(PLE!$G$15,$M97-$A$15,DQ$13)))</f>
        <v>1000000000000</v>
      </c>
      <c r="DR97" s="172" cm="1">
        <f t="array" aca="1" ref="DR97" ca="1">IF(OR($D97&lt;&gt;"Serviço",AND(AUTOEVENTO="Manual",$M97=$A$15),$M97&gt;(ROW(PLE.lastrow)-ROW(PLE.firstrow))),0,
           IF(OFFSET(PLE!$G$15,$M97-$A$15,DR$13)="",10^12,OFFSET(PLE!$G$15,$M97-$A$15,DR$13)))</f>
        <v>1000000000000</v>
      </c>
      <c r="DS97" s="172" cm="1">
        <f t="array" aca="1" ref="DS97" ca="1">IF(OR($D97&lt;&gt;"Serviço",AND(AUTOEVENTO="Manual",$M97=$A$15),$M97&gt;(ROW(PLE.lastrow)-ROW(PLE.firstrow))),0,
           IF(OFFSET(PLE!$G$15,$M97-$A$15,DS$13)="",10^12,OFFSET(PLE!$G$15,$M97-$A$15,DS$13)))</f>
        <v>1000000000000</v>
      </c>
    </row>
    <row r="98" spans="1:123" ht="51" x14ac:dyDescent="0.2">
      <c r="A98" s="7">
        <f t="shared" ca="1" si="13"/>
        <v>7</v>
      </c>
      <c r="B98" s="7" t="str">
        <f ca="1">OFFSET(ORÇAMENTO!C$15,$L98,0)</f>
        <v>S</v>
      </c>
      <c r="C98" s="7" t="str">
        <f ca="1">OFFSET(ORÇAMENTO!L$15,$L98,0)</f>
        <v/>
      </c>
      <c r="D98" s="116" t="str">
        <f ca="1">OFFSET(ORÇAMENTO!N$15,$L98,0)</f>
        <v>Serviço</v>
      </c>
      <c r="E98" s="117" t="str">
        <f ca="1">OFFSET(ORÇAMENTO!O$15,$L98,0)</f>
        <v>-</v>
      </c>
      <c r="F98" s="163" t="str">
        <f ca="1">OFFSET(ORÇAMENTO!R$15,$L98,0)</f>
        <v>(Código não identificado nas referências)</v>
      </c>
      <c r="G98" s="164" t="str">
        <f ca="1">IF($D98&lt;&gt;"Serviço","",OFFSET(ORÇAMENTO!S$15,$L98,0))</f>
        <v>-</v>
      </c>
      <c r="H98" s="122" cm="1">
        <f t="array" aca="1" ref="H98" ca="1">IF($D98&lt;&gt;"Serviço",0,IF(ACOMPANHAMENTO="BM",ROUND(OFFSET(ORÇAMENTO!AJ$15,$L98,0),15-13*ORÇAMENTO!$AF$7),IF(IFERROR(CÁLCULO.FrentesPreenchidas,0)=0,0,SUM(ROUND(OFFSET($P98,0,1,1,CÁLCULO.FrentesPreenchidas),15-13*ORÇAMENTO!$AF$7)))))</f>
        <v>607.00000000000023</v>
      </c>
      <c r="I98" s="468" t="s">
        <v>1235</v>
      </c>
      <c r="J98" s="651" t="str" cm="1">
        <f t="array" aca="1" ref="J98" ca="1">IF(OR(B98&lt;&gt;"S",CÁLCULO.FrentesPreenchidas=0),"",IF(AND(ACOMPANHAMENTO="PLE",AUTOEVENTO="Manual",OR(H98&gt;0,ORÇAMENTO!AC98="QUANT."),OR(K98="",M98=0,N98="")),"►E",IF(AND(ACOMPANHAMENTO="PLE",ORÇAMENTO!AC98="QUANT."),"►Q",IF(AND(ACOMPANHAMENTO="PLE",H98&lt;&gt;SUMPRODUCT(($Q$1:$AQ$1=1)*ROUND(Q98:AQ98,15))),"►S",IF(AND(COUNTIF($P$11:$AQ$11,"▼")=0,H98&gt;0,I98=""),"◄M","")))))</f>
        <v/>
      </c>
      <c r="K98" s="652" t="s">
        <v>1255</v>
      </c>
      <c r="L98" s="165">
        <f t="shared" ca="1" si="14"/>
        <v>83</v>
      </c>
      <c r="M98" s="166">
        <f ca="1">IF($D98&lt;&gt;"Serviço","",
          IF(AUTOEVENTO="manual",$A98,
                IF(ISERROR(MATCH($A98,$A$15:OFFSET($A98,-1,0),0)),MAX($M$15:OFFSET(M98,-1,0))+1,
                      INDEX($M$15:OFFSET(M98,-1,0),MATCH($A98,$A$15:OFFSET($A98,-1,0),0)))))</f>
        <v>7</v>
      </c>
      <c r="N98" s="167" t="str">
        <f ca="1">IF($D98&lt;&gt;"Serviço","",
         IF(AUTOEVENTO="Manual",
                IF($A98=0,"&lt;-- defina o número do agrupador",
                       OFFSET(EVENTOS!$D$15,$A98-$A$15,0)),
                OFFSET($F$15,$A98,0)))</f>
        <v>REVESTIMENTOS</v>
      </c>
      <c r="O98" s="168"/>
      <c r="Q98" s="168">
        <v>30.35</v>
      </c>
      <c r="R98" s="169">
        <v>30.35</v>
      </c>
      <c r="S98" s="169">
        <v>30.35</v>
      </c>
      <c r="T98" s="169">
        <v>30.35</v>
      </c>
      <c r="U98" s="169">
        <v>30.35</v>
      </c>
      <c r="V98" s="169">
        <v>30.35</v>
      </c>
      <c r="W98" s="169">
        <v>30.35</v>
      </c>
      <c r="X98" s="169">
        <v>30.35</v>
      </c>
      <c r="Y98" s="169">
        <v>30.35</v>
      </c>
      <c r="Z98" s="170">
        <v>30.35</v>
      </c>
      <c r="AA98" s="169">
        <v>30.35</v>
      </c>
      <c r="AB98" s="169">
        <v>30.35</v>
      </c>
      <c r="AC98" s="169">
        <v>30.35</v>
      </c>
      <c r="AD98" s="169">
        <v>30.35</v>
      </c>
      <c r="AE98" s="169">
        <v>30.35</v>
      </c>
      <c r="AF98" s="169">
        <v>30.35</v>
      </c>
      <c r="AG98" s="169">
        <v>30.35</v>
      </c>
      <c r="AH98" s="170">
        <v>30.35</v>
      </c>
      <c r="AI98" s="169">
        <v>30.35</v>
      </c>
      <c r="AJ98" s="169">
        <v>30.35</v>
      </c>
      <c r="AK98" s="169"/>
      <c r="AL98" s="169"/>
      <c r="AM98" s="169"/>
      <c r="AN98" s="169"/>
      <c r="AO98" s="169"/>
      <c r="AP98" s="170"/>
      <c r="AR98" s="453">
        <f ca="1">IF(AND($D98="Serviço",AR$12&lt;&gt;0,$H98&gt;0,OR(AUTOEVENTO&lt;&gt;"manual",$M98&lt;&gt;$A$15)),
        IF(Import.TipoArredondamento&lt;&gt;"TransfereGOV",
              ROUND(OFFSET($P98,0,AR$13),15-13*ORÇAMENTO!$AF$7)/$H98*OFFSET(ORÇAMENTO!$X$15,ROW(AR98)-ROW(AR$15),0),
              ROUND(ROUND(OFFSET($P98,0,AR$13),15-13*ORÇAMENTO!$AF$7)*OFFSET(ORÇAMENTO!$W$15,ROW(AR98)-ROW(AR$15),0),15-13*ORÇAMENTO!$AF$11)),
         0)</f>
        <v>0</v>
      </c>
      <c r="AS98" s="453">
        <f ca="1">IF(AND($D98="Serviço",AS$12&lt;&gt;0,$H98&gt;0,OR(AUTOEVENTO&lt;&gt;"manual",$M98&lt;&gt;$A$15)),
        IF(Import.TipoArredondamento&lt;&gt;"TransfereGOV",
              ROUND(OFFSET($P98,0,AS$13),15-13*ORÇAMENTO!$AF$7)/$H98*OFFSET(ORÇAMENTO!$X$15,ROW(AS98)-ROW(AS$15),0),
              ROUND(ROUND(OFFSET($P98,0,AS$13),15-13*ORÇAMENTO!$AF$7)*OFFSET(ORÇAMENTO!$W$15,ROW(AS98)-ROW(AS$15),0),15-13*ORÇAMENTO!$AF$11)),
         0)</f>
        <v>0</v>
      </c>
      <c r="AT98" s="453">
        <f ca="1">IF(AND($D98="Serviço",AT$12&lt;&gt;0,$H98&gt;0,OR(AUTOEVENTO&lt;&gt;"manual",$M98&lt;&gt;$A$15)),
        IF(Import.TipoArredondamento&lt;&gt;"TransfereGOV",
              ROUND(OFFSET($P98,0,AT$13),15-13*ORÇAMENTO!$AF$7)/$H98*OFFSET(ORÇAMENTO!$X$15,ROW(AT98)-ROW(AT$15),0),
              ROUND(ROUND(OFFSET($P98,0,AT$13),15-13*ORÇAMENTO!$AF$7)*OFFSET(ORÇAMENTO!$W$15,ROW(AT98)-ROW(AT$15),0),15-13*ORÇAMENTO!$AF$11)),
         0)</f>
        <v>0</v>
      </c>
      <c r="AU98" s="453">
        <f ca="1">IF(AND($D98="Serviço",AU$12&lt;&gt;0,$H98&gt;0,OR(AUTOEVENTO&lt;&gt;"manual",$M98&lt;&gt;$A$15)),
        IF(Import.TipoArredondamento&lt;&gt;"TransfereGOV",
              ROUND(OFFSET($P98,0,AU$13),15-13*ORÇAMENTO!$AF$7)/$H98*OFFSET(ORÇAMENTO!$X$15,ROW(AU98)-ROW(AU$15),0),
              ROUND(ROUND(OFFSET($P98,0,AU$13),15-13*ORÇAMENTO!$AF$7)*OFFSET(ORÇAMENTO!$W$15,ROW(AU98)-ROW(AU$15),0),15-13*ORÇAMENTO!$AF$11)),
         0)</f>
        <v>0</v>
      </c>
      <c r="AV98" s="453">
        <f ca="1">IF(AND($D98="Serviço",AV$12&lt;&gt;0,$H98&gt;0,OR(AUTOEVENTO&lt;&gt;"manual",$M98&lt;&gt;$A$15)),
        IF(Import.TipoArredondamento&lt;&gt;"TransfereGOV",
              ROUND(OFFSET($P98,0,AV$13),15-13*ORÇAMENTO!$AF$7)/$H98*OFFSET(ORÇAMENTO!$X$15,ROW(AV98)-ROW(AV$15),0),
              ROUND(ROUND(OFFSET($P98,0,AV$13),15-13*ORÇAMENTO!$AF$7)*OFFSET(ORÇAMENTO!$W$15,ROW(AV98)-ROW(AV$15),0),15-13*ORÇAMENTO!$AF$11)),
         0)</f>
        <v>0</v>
      </c>
      <c r="AW98" s="453">
        <f ca="1">IF(AND($D98="Serviço",AW$12&lt;&gt;0,$H98&gt;0,OR(AUTOEVENTO&lt;&gt;"manual",$M98&lt;&gt;$A$15)),
        IF(Import.TipoArredondamento&lt;&gt;"TransfereGOV",
              ROUND(OFFSET($P98,0,AW$13),15-13*ORÇAMENTO!$AF$7)/$H98*OFFSET(ORÇAMENTO!$X$15,ROW(AW98)-ROW(AW$15),0),
              ROUND(ROUND(OFFSET($P98,0,AW$13),15-13*ORÇAMENTO!$AF$7)*OFFSET(ORÇAMENTO!$W$15,ROW(AW98)-ROW(AW$15),0),15-13*ORÇAMENTO!$AF$11)),
         0)</f>
        <v>0</v>
      </c>
      <c r="AX98" s="453">
        <f ca="1">IF(AND($D98="Serviço",AX$12&lt;&gt;0,$H98&gt;0,OR(AUTOEVENTO&lt;&gt;"manual",$M98&lt;&gt;$A$15)),
        IF(Import.TipoArredondamento&lt;&gt;"TransfereGOV",
              ROUND(OFFSET($P98,0,AX$13),15-13*ORÇAMENTO!$AF$7)/$H98*OFFSET(ORÇAMENTO!$X$15,ROW(AX98)-ROW(AX$15),0),
              ROUND(ROUND(OFFSET($P98,0,AX$13),15-13*ORÇAMENTO!$AF$7)*OFFSET(ORÇAMENTO!$W$15,ROW(AX98)-ROW(AX$15),0),15-13*ORÇAMENTO!$AF$11)),
         0)</f>
        <v>0</v>
      </c>
      <c r="AY98" s="453">
        <f ca="1">IF(AND($D98="Serviço",AY$12&lt;&gt;0,$H98&gt;0,OR(AUTOEVENTO&lt;&gt;"manual",$M98&lt;&gt;$A$15)),
        IF(Import.TipoArredondamento&lt;&gt;"TransfereGOV",
              ROUND(OFFSET($P98,0,AY$13),15-13*ORÇAMENTO!$AF$7)/$H98*OFFSET(ORÇAMENTO!$X$15,ROW(AY98)-ROW(AY$15),0),
              ROUND(ROUND(OFFSET($P98,0,AY$13),15-13*ORÇAMENTO!$AF$7)*OFFSET(ORÇAMENTO!$W$15,ROW(AY98)-ROW(AY$15),0),15-13*ORÇAMENTO!$AF$11)),
         0)</f>
        <v>0</v>
      </c>
      <c r="AZ98" s="453">
        <f ca="1">IF(AND($D98="Serviço",AZ$12&lt;&gt;0,$H98&gt;0,OR(AUTOEVENTO&lt;&gt;"manual",$M98&lt;&gt;$A$15)),
        IF(Import.TipoArredondamento&lt;&gt;"TransfereGOV",
              ROUND(OFFSET($P98,0,AZ$13),15-13*ORÇAMENTO!$AF$7)/$H98*OFFSET(ORÇAMENTO!$X$15,ROW(AZ98)-ROW(AZ$15),0),
              ROUND(ROUND(OFFSET($P98,0,AZ$13),15-13*ORÇAMENTO!$AF$7)*OFFSET(ORÇAMENTO!$W$15,ROW(AZ98)-ROW(AZ$15),0),15-13*ORÇAMENTO!$AF$11)),
         0)</f>
        <v>0</v>
      </c>
      <c r="BA98" s="453">
        <f ca="1">IF(AND($D98="Serviço",BA$12&lt;&gt;0,$H98&gt;0,OR(AUTOEVENTO&lt;&gt;"manual",$M98&lt;&gt;$A$15)),
        IF(Import.TipoArredondamento&lt;&gt;"TransfereGOV",
              ROUND(OFFSET($P98,0,BA$13),15-13*ORÇAMENTO!$AF$7)/$H98*OFFSET(ORÇAMENTO!$X$15,ROW(BA98)-ROW(BA$15),0),
              ROUND(ROUND(OFFSET($P98,0,BA$13),15-13*ORÇAMENTO!$AF$7)*OFFSET(ORÇAMENTO!$W$15,ROW(BA98)-ROW(BA$15),0),15-13*ORÇAMENTO!$AF$11)),
         0)</f>
        <v>0</v>
      </c>
      <c r="BB98" s="453">
        <f ca="1">IF(AND($D98="Serviço",BB$12&lt;&gt;0,$H98&gt;0,OR(AUTOEVENTO&lt;&gt;"manual",$M98&lt;&gt;$A$15)),
        IF(Import.TipoArredondamento&lt;&gt;"TransfereGOV",
              ROUND(OFFSET($P98,0,BB$13),15-13*ORÇAMENTO!$AF$7)/$H98*OFFSET(ORÇAMENTO!$X$15,ROW(BB98)-ROW(BB$15),0),
              ROUND(ROUND(OFFSET($P98,0,BB$13),15-13*ORÇAMENTO!$AF$7)*OFFSET(ORÇAMENTO!$W$15,ROW(BB98)-ROW(BB$15),0),15-13*ORÇAMENTO!$AF$11)),
         0)</f>
        <v>0</v>
      </c>
      <c r="BC98" s="453">
        <f ca="1">IF(AND($D98="Serviço",BC$12&lt;&gt;0,$H98&gt;0,OR(AUTOEVENTO&lt;&gt;"manual",$M98&lt;&gt;$A$15)),
        IF(Import.TipoArredondamento&lt;&gt;"TransfereGOV",
              ROUND(OFFSET($P98,0,BC$13),15-13*ORÇAMENTO!$AF$7)/$H98*OFFSET(ORÇAMENTO!$X$15,ROW(BC98)-ROW(BC$15),0),
              ROUND(ROUND(OFFSET($P98,0,BC$13),15-13*ORÇAMENTO!$AF$7)*OFFSET(ORÇAMENTO!$W$15,ROW(BC98)-ROW(BC$15),0),15-13*ORÇAMENTO!$AF$11)),
         0)</f>
        <v>0</v>
      </c>
      <c r="BD98" s="453">
        <f ca="1">IF(AND($D98="Serviço",BD$12&lt;&gt;0,$H98&gt;0,OR(AUTOEVENTO&lt;&gt;"manual",$M98&lt;&gt;$A$15)),
        IF(Import.TipoArredondamento&lt;&gt;"TransfereGOV",
              ROUND(OFFSET($P98,0,BD$13),15-13*ORÇAMENTO!$AF$7)/$H98*OFFSET(ORÇAMENTO!$X$15,ROW(BD98)-ROW(BD$15),0),
              ROUND(ROUND(OFFSET($P98,0,BD$13),15-13*ORÇAMENTO!$AF$7)*OFFSET(ORÇAMENTO!$W$15,ROW(BD98)-ROW(BD$15),0),15-13*ORÇAMENTO!$AF$11)),
         0)</f>
        <v>0</v>
      </c>
      <c r="BE98" s="453">
        <f ca="1">IF(AND($D98="Serviço",BE$12&lt;&gt;0,$H98&gt;0,OR(AUTOEVENTO&lt;&gt;"manual",$M98&lt;&gt;$A$15)),
        IF(Import.TipoArredondamento&lt;&gt;"TransfereGOV",
              ROUND(OFFSET($P98,0,BE$13),15-13*ORÇAMENTO!$AF$7)/$H98*OFFSET(ORÇAMENTO!$X$15,ROW(BE98)-ROW(BE$15),0),
              ROUND(ROUND(OFFSET($P98,0,BE$13),15-13*ORÇAMENTO!$AF$7)*OFFSET(ORÇAMENTO!$W$15,ROW(BE98)-ROW(BE$15),0),15-13*ORÇAMENTO!$AF$11)),
         0)</f>
        <v>0</v>
      </c>
      <c r="BF98" s="453">
        <f ca="1">IF(AND($D98="Serviço",BF$12&lt;&gt;0,$H98&gt;0,OR(AUTOEVENTO&lt;&gt;"manual",$M98&lt;&gt;$A$15)),
        IF(Import.TipoArredondamento&lt;&gt;"TransfereGOV",
              ROUND(OFFSET($P98,0,BF$13),15-13*ORÇAMENTO!$AF$7)/$H98*OFFSET(ORÇAMENTO!$X$15,ROW(BF98)-ROW(BF$15),0),
              ROUND(ROUND(OFFSET($P98,0,BF$13),15-13*ORÇAMENTO!$AF$7)*OFFSET(ORÇAMENTO!$W$15,ROW(BF98)-ROW(BF$15),0),15-13*ORÇAMENTO!$AF$11)),
         0)</f>
        <v>0</v>
      </c>
      <c r="BG98" s="453">
        <f ca="1">IF(AND($D98="Serviço",BG$12&lt;&gt;0,$H98&gt;0,OR(AUTOEVENTO&lt;&gt;"manual",$M98&lt;&gt;$A$15)),
        IF(Import.TipoArredondamento&lt;&gt;"TransfereGOV",
              ROUND(OFFSET($P98,0,BG$13),15-13*ORÇAMENTO!$AF$7)/$H98*OFFSET(ORÇAMENTO!$X$15,ROW(BG98)-ROW(BG$15),0),
              ROUND(ROUND(OFFSET($P98,0,BG$13),15-13*ORÇAMENTO!$AF$7)*OFFSET(ORÇAMENTO!$W$15,ROW(BG98)-ROW(BG$15),0),15-13*ORÇAMENTO!$AF$11)),
         0)</f>
        <v>0</v>
      </c>
      <c r="BH98" s="453">
        <f ca="1">IF(AND($D98="Serviço",BH$12&lt;&gt;0,$H98&gt;0,OR(AUTOEVENTO&lt;&gt;"manual",$M98&lt;&gt;$A$15)),
        IF(Import.TipoArredondamento&lt;&gt;"TransfereGOV",
              ROUND(OFFSET($P98,0,BH$13),15-13*ORÇAMENTO!$AF$7)/$H98*OFFSET(ORÇAMENTO!$X$15,ROW(BH98)-ROW(BH$15),0),
              ROUND(ROUND(OFFSET($P98,0,BH$13),15-13*ORÇAMENTO!$AF$7)*OFFSET(ORÇAMENTO!$W$15,ROW(BH98)-ROW(BH$15),0),15-13*ORÇAMENTO!$AF$11)),
         0)</f>
        <v>0</v>
      </c>
      <c r="BI98" s="453">
        <f ca="1">IF(AND($D98="Serviço",BI$12&lt;&gt;0,$H98&gt;0,OR(AUTOEVENTO&lt;&gt;"manual",$M98&lt;&gt;$A$15)),
        IF(Import.TipoArredondamento&lt;&gt;"TransfereGOV",
              ROUND(OFFSET($P98,0,BI$13),15-13*ORÇAMENTO!$AF$7)/$H98*OFFSET(ORÇAMENTO!$X$15,ROW(BI98)-ROW(BI$15),0),
              ROUND(ROUND(OFFSET($P98,0,BI$13),15-13*ORÇAMENTO!$AF$7)*OFFSET(ORÇAMENTO!$W$15,ROW(BI98)-ROW(BI$15),0),15-13*ORÇAMENTO!$AF$11)),
         0)</f>
        <v>0</v>
      </c>
      <c r="BJ98" s="453">
        <f ca="1">IF(AND($D98="Serviço",BJ$12&lt;&gt;0,$H98&gt;0,OR(AUTOEVENTO&lt;&gt;"manual",$M98&lt;&gt;$A$15)),
        IF(Import.TipoArredondamento&lt;&gt;"TransfereGOV",
              ROUND(OFFSET($P98,0,BJ$13),15-13*ORÇAMENTO!$AF$7)/$H98*OFFSET(ORÇAMENTO!$X$15,ROW(BJ98)-ROW(BJ$15),0),
              ROUND(ROUND(OFFSET($P98,0,BJ$13),15-13*ORÇAMENTO!$AF$7)*OFFSET(ORÇAMENTO!$W$15,ROW(BJ98)-ROW(BJ$15),0),15-13*ORÇAMENTO!$AF$11)),
         0)</f>
        <v>0</v>
      </c>
      <c r="BK98" s="453">
        <f ca="1">IF(AND($D98="Serviço",BK$12&lt;&gt;0,$H98&gt;0,OR(AUTOEVENTO&lt;&gt;"manual",$M98&lt;&gt;$A$15)),
        IF(Import.TipoArredondamento&lt;&gt;"TransfereGOV",
              ROUND(OFFSET($P98,0,BK$13),15-13*ORÇAMENTO!$AF$7)/$H98*OFFSET(ORÇAMENTO!$X$15,ROW(BK98)-ROW(BK$15),0),
              ROUND(ROUND(OFFSET($P98,0,BK$13),15-13*ORÇAMENTO!$AF$7)*OFFSET(ORÇAMENTO!$W$15,ROW(BK98)-ROW(BK$15),0),15-13*ORÇAMENTO!$AF$11)),
         0)</f>
        <v>0</v>
      </c>
      <c r="BL98" s="453">
        <f ca="1">IF(AND($D98="Serviço",BL$12&lt;&gt;0,$H98&gt;0,OR(AUTOEVENTO&lt;&gt;"manual",$M98&lt;&gt;$A$15)),
        IF(Import.TipoArredondamento&lt;&gt;"TransfereGOV",
              ROUND(OFFSET($P98,0,BL$13),15-13*ORÇAMENTO!$AF$7)/$H98*OFFSET(ORÇAMENTO!$X$15,ROW(BL98)-ROW(BL$15),0),
              ROUND(ROUND(OFFSET($P98,0,BL$13),15-13*ORÇAMENTO!$AF$7)*OFFSET(ORÇAMENTO!$W$15,ROW(BL98)-ROW(BL$15),0),15-13*ORÇAMENTO!$AF$11)),
         0)</f>
        <v>0</v>
      </c>
      <c r="BM98" s="453">
        <f ca="1">IF(AND($D98="Serviço",BM$12&lt;&gt;0,$H98&gt;0,OR(AUTOEVENTO&lt;&gt;"manual",$M98&lt;&gt;$A$15)),
        IF(Import.TipoArredondamento&lt;&gt;"TransfereGOV",
              ROUND(OFFSET($P98,0,BM$13),15-13*ORÇAMENTO!$AF$7)/$H98*OFFSET(ORÇAMENTO!$X$15,ROW(BM98)-ROW(BM$15),0),
              ROUND(ROUND(OFFSET($P98,0,BM$13),15-13*ORÇAMENTO!$AF$7)*OFFSET(ORÇAMENTO!$W$15,ROW(BM98)-ROW(BM$15),0),15-13*ORÇAMENTO!$AF$11)),
         0)</f>
        <v>0</v>
      </c>
      <c r="BN98" s="453">
        <f ca="1">IF(AND($D98="Serviço",BN$12&lt;&gt;0,$H98&gt;0,OR(AUTOEVENTO&lt;&gt;"manual",$M98&lt;&gt;$A$15)),
        IF(Import.TipoArredondamento&lt;&gt;"TransfereGOV",
              ROUND(OFFSET($P98,0,BN$13),15-13*ORÇAMENTO!$AF$7)/$H98*OFFSET(ORÇAMENTO!$X$15,ROW(BN98)-ROW(BN$15),0),
              ROUND(ROUND(OFFSET($P98,0,BN$13),15-13*ORÇAMENTO!$AF$7)*OFFSET(ORÇAMENTO!$W$15,ROW(BN98)-ROW(BN$15),0),15-13*ORÇAMENTO!$AF$11)),
         0)</f>
        <v>0</v>
      </c>
      <c r="BO98" s="453">
        <f ca="1">IF(AND($D98="Serviço",BO$12&lt;&gt;0,$H98&gt;0,OR(AUTOEVENTO&lt;&gt;"manual",$M98&lt;&gt;$A$15)),
        IF(Import.TipoArredondamento&lt;&gt;"TransfereGOV",
              ROUND(OFFSET($P98,0,BO$13),15-13*ORÇAMENTO!$AF$7)/$H98*OFFSET(ORÇAMENTO!$X$15,ROW(BO98)-ROW(BO$15),0),
              ROUND(ROUND(OFFSET($P98,0,BO$13),15-13*ORÇAMENTO!$AF$7)*OFFSET(ORÇAMENTO!$W$15,ROW(BO98)-ROW(BO$15),0),15-13*ORÇAMENTO!$AF$11)),
         0)</f>
        <v>0</v>
      </c>
      <c r="BP98" s="453">
        <f ca="1">IF(AND($D98="Serviço",BP$12&lt;&gt;0,$H98&gt;0,OR(AUTOEVENTO&lt;&gt;"manual",$M98&lt;&gt;$A$15)),
        IF(Import.TipoArredondamento&lt;&gt;"TransfereGOV",
              ROUND(OFFSET($P98,0,BP$13),15-13*ORÇAMENTO!$AF$7)/$H98*OFFSET(ORÇAMENTO!$X$15,ROW(BP98)-ROW(BP$15),0),
              ROUND(ROUND(OFFSET($P98,0,BP$13),15-13*ORÇAMENTO!$AF$7)*OFFSET(ORÇAMENTO!$W$15,ROW(BP98)-ROW(BP$15),0),15-13*ORÇAMENTO!$AF$11)),
         0)</f>
        <v>0</v>
      </c>
      <c r="BQ98" s="453">
        <f ca="1">IF(AND($D98="Serviço",BQ$12&lt;&gt;0,$H98&gt;0,OR(AUTOEVENTO&lt;&gt;"manual",$M98&lt;&gt;$A$15)),
        IF(Import.TipoArredondamento&lt;&gt;"TransfereGOV",
              ROUND(OFFSET($P98,0,BQ$13),15-13*ORÇAMENTO!$AF$7)/$H98*OFFSET(ORÇAMENTO!$X$15,ROW(BQ98)-ROW(BQ$15),0),
              ROUND(ROUND(OFFSET($P98,0,BQ$13),15-13*ORÇAMENTO!$AF$7)*OFFSET(ORÇAMENTO!$W$15,ROW(BQ98)-ROW(BQ$15),0),15-13*ORÇAMENTO!$AF$11)),
         0)</f>
        <v>0</v>
      </c>
      <c r="BS98" s="171">
        <f ca="1">IF(OR($D98&lt;&gt;"Serviço",AND(AUTOEVENTO="Manual",$M98=$A$15)),0,
         IF(OFFSET(CRONOPLE!$F$15,$M98-$A$15,BS$13)=0,10^12,OFFSET(CRONOPLE!$F$15,$M98-$A$15,BS$13)))</f>
        <v>1</v>
      </c>
      <c r="BT98" s="171">
        <f ca="1">IF(OR($D98&lt;&gt;"Serviço",AND(AUTOEVENTO="Manual",$M98=$A$15)),0,
         IF(OFFSET(CRONOPLE!$F$15,$M98-$A$15,BT$13)=0,10^12,OFFSET(CRONOPLE!$F$15,$M98-$A$15,BT$13)))</f>
        <v>2</v>
      </c>
      <c r="BU98" s="171">
        <f ca="1">IF(OR($D98&lt;&gt;"Serviço",AND(AUTOEVENTO="Manual",$M98=$A$15)),0,
         IF(OFFSET(CRONOPLE!$F$15,$M98-$A$15,BU$13)=0,10^12,OFFSET(CRONOPLE!$F$15,$M98-$A$15,BU$13)))</f>
        <v>3</v>
      </c>
      <c r="BV98" s="171">
        <f ca="1">IF(OR($D98&lt;&gt;"Serviço",AND(AUTOEVENTO="Manual",$M98=$A$15)),0,
         IF(OFFSET(CRONOPLE!$F$15,$M98-$A$15,BV$13)=0,10^12,OFFSET(CRONOPLE!$F$15,$M98-$A$15,BV$13)))</f>
        <v>4</v>
      </c>
      <c r="BW98" s="171">
        <f ca="1">IF(OR($D98&lt;&gt;"Serviço",AND(AUTOEVENTO="Manual",$M98=$A$15)),0,
         IF(OFFSET(CRONOPLE!$F$15,$M98-$A$15,BW$13)=0,10^12,OFFSET(CRONOPLE!$F$15,$M98-$A$15,BW$13)))</f>
        <v>5</v>
      </c>
      <c r="BX98" s="171">
        <f ca="1">IF(OR($D98&lt;&gt;"Serviço",AND(AUTOEVENTO="Manual",$M98=$A$15)),0,
         IF(OFFSET(CRONOPLE!$F$15,$M98-$A$15,BX$13)=0,10^12,OFFSET(CRONOPLE!$F$15,$M98-$A$15,BX$13)))</f>
        <v>6</v>
      </c>
      <c r="BY98" s="171">
        <f ca="1">IF(OR($D98&lt;&gt;"Serviço",AND(AUTOEVENTO="Manual",$M98=$A$15)),0,
         IF(OFFSET(CRONOPLE!$F$15,$M98-$A$15,BY$13)=0,10^12,OFFSET(CRONOPLE!$F$15,$M98-$A$15,BY$13)))</f>
        <v>7</v>
      </c>
      <c r="BZ98" s="171">
        <f ca="1">IF(OR($D98&lt;&gt;"Serviço",AND(AUTOEVENTO="Manual",$M98=$A$15)),0,
         IF(OFFSET(CRONOPLE!$F$15,$M98-$A$15,BZ$13)=0,10^12,OFFSET(CRONOPLE!$F$15,$M98-$A$15,BZ$13)))</f>
        <v>8</v>
      </c>
      <c r="CA98" s="171">
        <f ca="1">IF(OR($D98&lt;&gt;"Serviço",AND(AUTOEVENTO="Manual",$M98=$A$15)),0,
         IF(OFFSET(CRONOPLE!$F$15,$M98-$A$15,CA$13)=0,10^12,OFFSET(CRONOPLE!$F$15,$M98-$A$15,CA$13)))</f>
        <v>9</v>
      </c>
      <c r="CB98" s="171">
        <f ca="1">IF(OR($D98&lt;&gt;"Serviço",AND(AUTOEVENTO="Manual",$M98=$A$15)),0,
         IF(OFFSET(CRONOPLE!$F$15,$M98-$A$15,CB$13)=0,10^12,OFFSET(CRONOPLE!$F$15,$M98-$A$15,CB$13)))</f>
        <v>10</v>
      </c>
      <c r="CC98" s="171">
        <f ca="1">IF(OR($D98&lt;&gt;"Serviço",AND(AUTOEVENTO="Manual",$M98=$A$15)),0,
         IF(OFFSET(CRONOPLE!$F$15,$M98-$A$15,CC$13)=0,10^12,OFFSET(CRONOPLE!$F$15,$M98-$A$15,CC$13)))</f>
        <v>11</v>
      </c>
      <c r="CD98" s="171">
        <f ca="1">IF(OR($D98&lt;&gt;"Serviço",AND(AUTOEVENTO="Manual",$M98=$A$15)),0,
         IF(OFFSET(CRONOPLE!$F$15,$M98-$A$15,CD$13)=0,10^12,OFFSET(CRONOPLE!$F$15,$M98-$A$15,CD$13)))</f>
        <v>12</v>
      </c>
      <c r="CE98" s="171">
        <f ca="1">IF(OR($D98&lt;&gt;"Serviço",AND(AUTOEVENTO="Manual",$M98=$A$15)),0,
         IF(OFFSET(CRONOPLE!$F$15,$M98-$A$15,CE$13)=0,10^12,OFFSET(CRONOPLE!$F$15,$M98-$A$15,CE$13)))</f>
        <v>13</v>
      </c>
      <c r="CF98" s="171">
        <f ca="1">IF(OR($D98&lt;&gt;"Serviço",AND(AUTOEVENTO="Manual",$M98=$A$15)),0,
         IF(OFFSET(CRONOPLE!$F$15,$M98-$A$15,CF$13)=0,10^12,OFFSET(CRONOPLE!$F$15,$M98-$A$15,CF$13)))</f>
        <v>14</v>
      </c>
      <c r="CG98" s="171">
        <f ca="1">IF(OR($D98&lt;&gt;"Serviço",AND(AUTOEVENTO="Manual",$M98=$A$15)),0,
         IF(OFFSET(CRONOPLE!$F$15,$M98-$A$15,CG$13)=0,10^12,OFFSET(CRONOPLE!$F$15,$M98-$A$15,CG$13)))</f>
        <v>15</v>
      </c>
      <c r="CH98" s="171">
        <f ca="1">IF(OR($D98&lt;&gt;"Serviço",AND(AUTOEVENTO="Manual",$M98=$A$15)),0,
         IF(OFFSET(CRONOPLE!$F$15,$M98-$A$15,CH$13)=0,10^12,OFFSET(CRONOPLE!$F$15,$M98-$A$15,CH$13)))</f>
        <v>16</v>
      </c>
      <c r="CI98" s="171">
        <f ca="1">IF(OR($D98&lt;&gt;"Serviço",AND(AUTOEVENTO="Manual",$M98=$A$15)),0,
         IF(OFFSET(CRONOPLE!$F$15,$M98-$A$15,CI$13)=0,10^12,OFFSET(CRONOPLE!$F$15,$M98-$A$15,CI$13)))</f>
        <v>17</v>
      </c>
      <c r="CJ98" s="171">
        <f ca="1">IF(OR($D98&lt;&gt;"Serviço",AND(AUTOEVENTO="Manual",$M98=$A$15)),0,
         IF(OFFSET(CRONOPLE!$F$15,$M98-$A$15,CJ$13)=0,10^12,OFFSET(CRONOPLE!$F$15,$M98-$A$15,CJ$13)))</f>
        <v>18</v>
      </c>
      <c r="CK98" s="171">
        <f ca="1">IF(OR($D98&lt;&gt;"Serviço",AND(AUTOEVENTO="Manual",$M98=$A$15)),0,
         IF(OFFSET(CRONOPLE!$F$15,$M98-$A$15,CK$13)=0,10^12,OFFSET(CRONOPLE!$F$15,$M98-$A$15,CK$13)))</f>
        <v>19</v>
      </c>
      <c r="CL98" s="171">
        <f ca="1">IF(OR($D98&lt;&gt;"Serviço",AND(AUTOEVENTO="Manual",$M98=$A$15)),0,
         IF(OFFSET(CRONOPLE!$F$15,$M98-$A$15,CL$13)=0,10^12,OFFSET(CRONOPLE!$F$15,$M98-$A$15,CL$13)))</f>
        <v>20</v>
      </c>
      <c r="CM98" s="171">
        <f ca="1">IF(OR($D98&lt;&gt;"Serviço",AND(AUTOEVENTO="Manual",$M98=$A$15)),0,
         IF(OFFSET(CRONOPLE!$F$15,$M98-$A$15,CM$13)=0,10^12,OFFSET(CRONOPLE!$F$15,$M98-$A$15,CM$13)))</f>
        <v>1000000000000</v>
      </c>
      <c r="CN98" s="171">
        <f ca="1">IF(OR($D98&lt;&gt;"Serviço",AND(AUTOEVENTO="Manual",$M98=$A$15)),0,
         IF(OFFSET(CRONOPLE!$F$15,$M98-$A$15,CN$13)=0,10^12,OFFSET(CRONOPLE!$F$15,$M98-$A$15,CN$13)))</f>
        <v>1000000000000</v>
      </c>
      <c r="CO98" s="171">
        <f ca="1">IF(OR($D98&lt;&gt;"Serviço",AND(AUTOEVENTO="Manual",$M98=$A$15)),0,
         IF(OFFSET(CRONOPLE!$F$15,$M98-$A$15,CO$13)=0,10^12,OFFSET(CRONOPLE!$F$15,$M98-$A$15,CO$13)))</f>
        <v>1000000000000</v>
      </c>
      <c r="CP98" s="171">
        <f ca="1">IF(OR($D98&lt;&gt;"Serviço",AND(AUTOEVENTO="Manual",$M98=$A$15)),0,
         IF(OFFSET(CRONOPLE!$F$15,$M98-$A$15,CP$13)=0,10^12,OFFSET(CRONOPLE!$F$15,$M98-$A$15,CP$13)))</f>
        <v>1000000000000</v>
      </c>
      <c r="CQ98" s="171">
        <f ca="1">IF(OR($D98&lt;&gt;"Serviço",AND(AUTOEVENTO="Manual",$M98=$A$15)),0,
         IF(OFFSET(CRONOPLE!$F$15,$M98-$A$15,CQ$13)=0,10^12,OFFSET(CRONOPLE!$F$15,$M98-$A$15,CQ$13)))</f>
        <v>1000000000000</v>
      </c>
      <c r="CR98" s="171">
        <f ca="1">IF(OR($D98&lt;&gt;"Serviço",AND(AUTOEVENTO="Manual",$M98=$A$15)),0,
         IF(OFFSET(CRONOPLE!$F$15,$M98-$A$15,CR$13)=0,10^12,OFFSET(CRONOPLE!$F$15,$M98-$A$15,CR$13)))</f>
        <v>1000000000000</v>
      </c>
      <c r="CT98" s="172" cm="1">
        <f t="array" aca="1" ref="CT98" ca="1">IF(OR($D98&lt;&gt;"Serviço",AND(AUTOEVENTO="Manual",$M98=$A$15),$M98&gt;(ROW(PLE.lastrow)-ROW(PLE.firstrow))),0,
           IF(OFFSET(PLE!$G$15,$M98-$A$15,CT$13)="",10^12,OFFSET(PLE!$G$15,$M98-$A$15,CT$13)))</f>
        <v>1000000000000</v>
      </c>
      <c r="CU98" s="172" cm="1">
        <f t="array" aca="1" ref="CU98" ca="1">IF(OR($D98&lt;&gt;"Serviço",AND(AUTOEVENTO="Manual",$M98=$A$15),$M98&gt;(ROW(PLE.lastrow)-ROW(PLE.firstrow))),0,
           IF(OFFSET(PLE!$G$15,$M98-$A$15,CU$13)="",10^12,OFFSET(PLE!$G$15,$M98-$A$15,CU$13)))</f>
        <v>1000000000000</v>
      </c>
      <c r="CV98" s="172" cm="1">
        <f t="array" aca="1" ref="CV98" ca="1">IF(OR($D98&lt;&gt;"Serviço",AND(AUTOEVENTO="Manual",$M98=$A$15),$M98&gt;(ROW(PLE.lastrow)-ROW(PLE.firstrow))),0,
           IF(OFFSET(PLE!$G$15,$M98-$A$15,CV$13)="",10^12,OFFSET(PLE!$G$15,$M98-$A$15,CV$13)))</f>
        <v>1000000000000</v>
      </c>
      <c r="CW98" s="172" cm="1">
        <f t="array" aca="1" ref="CW98" ca="1">IF(OR($D98&lt;&gt;"Serviço",AND(AUTOEVENTO="Manual",$M98=$A$15),$M98&gt;(ROW(PLE.lastrow)-ROW(PLE.firstrow))),0,
           IF(OFFSET(PLE!$G$15,$M98-$A$15,CW$13)="",10^12,OFFSET(PLE!$G$15,$M98-$A$15,CW$13)))</f>
        <v>1000000000000</v>
      </c>
      <c r="CX98" s="172" cm="1">
        <f t="array" aca="1" ref="CX98" ca="1">IF(OR($D98&lt;&gt;"Serviço",AND(AUTOEVENTO="Manual",$M98=$A$15),$M98&gt;(ROW(PLE.lastrow)-ROW(PLE.firstrow))),0,
           IF(OFFSET(PLE!$G$15,$M98-$A$15,CX$13)="",10^12,OFFSET(PLE!$G$15,$M98-$A$15,CX$13)))</f>
        <v>1000000000000</v>
      </c>
      <c r="CY98" s="172" cm="1">
        <f t="array" aca="1" ref="CY98" ca="1">IF(OR($D98&lt;&gt;"Serviço",AND(AUTOEVENTO="Manual",$M98=$A$15),$M98&gt;(ROW(PLE.lastrow)-ROW(PLE.firstrow))),0,
           IF(OFFSET(PLE!$G$15,$M98-$A$15,CY$13)="",10^12,OFFSET(PLE!$G$15,$M98-$A$15,CY$13)))</f>
        <v>1000000000000</v>
      </c>
      <c r="CZ98" s="172" cm="1">
        <f t="array" aca="1" ref="CZ98" ca="1">IF(OR($D98&lt;&gt;"Serviço",AND(AUTOEVENTO="Manual",$M98=$A$15),$M98&gt;(ROW(PLE.lastrow)-ROW(PLE.firstrow))),0,
           IF(OFFSET(PLE!$G$15,$M98-$A$15,CZ$13)="",10^12,OFFSET(PLE!$G$15,$M98-$A$15,CZ$13)))</f>
        <v>1000000000000</v>
      </c>
      <c r="DA98" s="172" cm="1">
        <f t="array" aca="1" ref="DA98" ca="1">IF(OR($D98&lt;&gt;"Serviço",AND(AUTOEVENTO="Manual",$M98=$A$15),$M98&gt;(ROW(PLE.lastrow)-ROW(PLE.firstrow))),0,
           IF(OFFSET(PLE!$G$15,$M98-$A$15,DA$13)="",10^12,OFFSET(PLE!$G$15,$M98-$A$15,DA$13)))</f>
        <v>1000000000000</v>
      </c>
      <c r="DB98" s="172" cm="1">
        <f t="array" aca="1" ref="DB98" ca="1">IF(OR($D98&lt;&gt;"Serviço",AND(AUTOEVENTO="Manual",$M98=$A$15),$M98&gt;(ROW(PLE.lastrow)-ROW(PLE.firstrow))),0,
           IF(OFFSET(PLE!$G$15,$M98-$A$15,DB$13)="",10^12,OFFSET(PLE!$G$15,$M98-$A$15,DB$13)))</f>
        <v>1000000000000</v>
      </c>
      <c r="DC98" s="172" cm="1">
        <f t="array" aca="1" ref="DC98" ca="1">IF(OR($D98&lt;&gt;"Serviço",AND(AUTOEVENTO="Manual",$M98=$A$15),$M98&gt;(ROW(PLE.lastrow)-ROW(PLE.firstrow))),0,
           IF(OFFSET(PLE!$G$15,$M98-$A$15,DC$13)="",10^12,OFFSET(PLE!$G$15,$M98-$A$15,DC$13)))</f>
        <v>1000000000000</v>
      </c>
      <c r="DD98" s="172" cm="1">
        <f t="array" aca="1" ref="DD98" ca="1">IF(OR($D98&lt;&gt;"Serviço",AND(AUTOEVENTO="Manual",$M98=$A$15),$M98&gt;(ROW(PLE.lastrow)-ROW(PLE.firstrow))),0,
           IF(OFFSET(PLE!$G$15,$M98-$A$15,DD$13)="",10^12,OFFSET(PLE!$G$15,$M98-$A$15,DD$13)))</f>
        <v>1000000000000</v>
      </c>
      <c r="DE98" s="172" cm="1">
        <f t="array" aca="1" ref="DE98" ca="1">IF(OR($D98&lt;&gt;"Serviço",AND(AUTOEVENTO="Manual",$M98=$A$15),$M98&gt;(ROW(PLE.lastrow)-ROW(PLE.firstrow))),0,
           IF(OFFSET(PLE!$G$15,$M98-$A$15,DE$13)="",10^12,OFFSET(PLE!$G$15,$M98-$A$15,DE$13)))</f>
        <v>1000000000000</v>
      </c>
      <c r="DF98" s="172" cm="1">
        <f t="array" aca="1" ref="DF98" ca="1">IF(OR($D98&lt;&gt;"Serviço",AND(AUTOEVENTO="Manual",$M98=$A$15),$M98&gt;(ROW(PLE.lastrow)-ROW(PLE.firstrow))),0,
           IF(OFFSET(PLE!$G$15,$M98-$A$15,DF$13)="",10^12,OFFSET(PLE!$G$15,$M98-$A$15,DF$13)))</f>
        <v>1000000000000</v>
      </c>
      <c r="DG98" s="172" cm="1">
        <f t="array" aca="1" ref="DG98" ca="1">IF(OR($D98&lt;&gt;"Serviço",AND(AUTOEVENTO="Manual",$M98=$A$15),$M98&gt;(ROW(PLE.lastrow)-ROW(PLE.firstrow))),0,
           IF(OFFSET(PLE!$G$15,$M98-$A$15,DG$13)="",10^12,OFFSET(PLE!$G$15,$M98-$A$15,DG$13)))</f>
        <v>1000000000000</v>
      </c>
      <c r="DH98" s="172" cm="1">
        <f t="array" aca="1" ref="DH98" ca="1">IF(OR($D98&lt;&gt;"Serviço",AND(AUTOEVENTO="Manual",$M98=$A$15),$M98&gt;(ROW(PLE.lastrow)-ROW(PLE.firstrow))),0,
           IF(OFFSET(PLE!$G$15,$M98-$A$15,DH$13)="",10^12,OFFSET(PLE!$G$15,$M98-$A$15,DH$13)))</f>
        <v>1000000000000</v>
      </c>
      <c r="DI98" s="172" cm="1">
        <f t="array" aca="1" ref="DI98" ca="1">IF(OR($D98&lt;&gt;"Serviço",AND(AUTOEVENTO="Manual",$M98=$A$15),$M98&gt;(ROW(PLE.lastrow)-ROW(PLE.firstrow))),0,
           IF(OFFSET(PLE!$G$15,$M98-$A$15,DI$13)="",10^12,OFFSET(PLE!$G$15,$M98-$A$15,DI$13)))</f>
        <v>1000000000000</v>
      </c>
      <c r="DJ98" s="172" cm="1">
        <f t="array" aca="1" ref="DJ98" ca="1">IF(OR($D98&lt;&gt;"Serviço",AND(AUTOEVENTO="Manual",$M98=$A$15),$M98&gt;(ROW(PLE.lastrow)-ROW(PLE.firstrow))),0,
           IF(OFFSET(PLE!$G$15,$M98-$A$15,DJ$13)="",10^12,OFFSET(PLE!$G$15,$M98-$A$15,DJ$13)))</f>
        <v>1000000000000</v>
      </c>
      <c r="DK98" s="172" cm="1">
        <f t="array" aca="1" ref="DK98" ca="1">IF(OR($D98&lt;&gt;"Serviço",AND(AUTOEVENTO="Manual",$M98=$A$15),$M98&gt;(ROW(PLE.lastrow)-ROW(PLE.firstrow))),0,
           IF(OFFSET(PLE!$G$15,$M98-$A$15,DK$13)="",10^12,OFFSET(PLE!$G$15,$M98-$A$15,DK$13)))</f>
        <v>1000000000000</v>
      </c>
      <c r="DL98" s="172" cm="1">
        <f t="array" aca="1" ref="DL98" ca="1">IF(OR($D98&lt;&gt;"Serviço",AND(AUTOEVENTO="Manual",$M98=$A$15),$M98&gt;(ROW(PLE.lastrow)-ROW(PLE.firstrow))),0,
           IF(OFFSET(PLE!$G$15,$M98-$A$15,DL$13)="",10^12,OFFSET(PLE!$G$15,$M98-$A$15,DL$13)))</f>
        <v>1000000000000</v>
      </c>
      <c r="DM98" s="172" cm="1">
        <f t="array" aca="1" ref="DM98" ca="1">IF(OR($D98&lt;&gt;"Serviço",AND(AUTOEVENTO="Manual",$M98=$A$15),$M98&gt;(ROW(PLE.lastrow)-ROW(PLE.firstrow))),0,
           IF(OFFSET(PLE!$G$15,$M98-$A$15,DM$13)="",10^12,OFFSET(PLE!$G$15,$M98-$A$15,DM$13)))</f>
        <v>1000000000000</v>
      </c>
      <c r="DN98" s="172" cm="1">
        <f t="array" aca="1" ref="DN98" ca="1">IF(OR($D98&lt;&gt;"Serviço",AND(AUTOEVENTO="Manual",$M98=$A$15),$M98&gt;(ROW(PLE.lastrow)-ROW(PLE.firstrow))),0,
           IF(OFFSET(PLE!$G$15,$M98-$A$15,DN$13)="",10^12,OFFSET(PLE!$G$15,$M98-$A$15,DN$13)))</f>
        <v>1000000000000</v>
      </c>
      <c r="DO98" s="172" cm="1">
        <f t="array" aca="1" ref="DO98" ca="1">IF(OR($D98&lt;&gt;"Serviço",AND(AUTOEVENTO="Manual",$M98=$A$15),$M98&gt;(ROW(PLE.lastrow)-ROW(PLE.firstrow))),0,
           IF(OFFSET(PLE!$G$15,$M98-$A$15,DO$13)="",10^12,OFFSET(PLE!$G$15,$M98-$A$15,DO$13)))</f>
        <v>1000000000000</v>
      </c>
      <c r="DP98" s="172" cm="1">
        <f t="array" aca="1" ref="DP98" ca="1">IF(OR($D98&lt;&gt;"Serviço",AND(AUTOEVENTO="Manual",$M98=$A$15),$M98&gt;(ROW(PLE.lastrow)-ROW(PLE.firstrow))),0,
           IF(OFFSET(PLE!$G$15,$M98-$A$15,DP$13)="",10^12,OFFSET(PLE!$G$15,$M98-$A$15,DP$13)))</f>
        <v>1000000000000</v>
      </c>
      <c r="DQ98" s="172" cm="1">
        <f t="array" aca="1" ref="DQ98" ca="1">IF(OR($D98&lt;&gt;"Serviço",AND(AUTOEVENTO="Manual",$M98=$A$15),$M98&gt;(ROW(PLE.lastrow)-ROW(PLE.firstrow))),0,
           IF(OFFSET(PLE!$G$15,$M98-$A$15,DQ$13)="",10^12,OFFSET(PLE!$G$15,$M98-$A$15,DQ$13)))</f>
        <v>1000000000000</v>
      </c>
      <c r="DR98" s="172" cm="1">
        <f t="array" aca="1" ref="DR98" ca="1">IF(OR($D98&lt;&gt;"Serviço",AND(AUTOEVENTO="Manual",$M98=$A$15),$M98&gt;(ROW(PLE.lastrow)-ROW(PLE.firstrow))),0,
           IF(OFFSET(PLE!$G$15,$M98-$A$15,DR$13)="",10^12,OFFSET(PLE!$G$15,$M98-$A$15,DR$13)))</f>
        <v>1000000000000</v>
      </c>
      <c r="DS98" s="172" cm="1">
        <f t="array" aca="1" ref="DS98" ca="1">IF(OR($D98&lt;&gt;"Serviço",AND(AUTOEVENTO="Manual",$M98=$A$15),$M98&gt;(ROW(PLE.lastrow)-ROW(PLE.firstrow))),0,
           IF(OFFSET(PLE!$G$15,$M98-$A$15,DS$13)="",10^12,OFFSET(PLE!$G$15,$M98-$A$15,DS$13)))</f>
        <v>1000000000000</v>
      </c>
    </row>
    <row r="99" spans="1:123" ht="12.75" x14ac:dyDescent="0.2">
      <c r="A99" s="7">
        <f t="shared" ca="1" si="13"/>
        <v>0</v>
      </c>
      <c r="B99" s="7">
        <f ca="1">OFFSET(ORÇAMENTO!C$15,$L99,0)</f>
        <v>2</v>
      </c>
      <c r="C99" s="7" t="str">
        <f ca="1">OFFSET(ORÇAMENTO!L$15,$L99,0)</f>
        <v>F</v>
      </c>
      <c r="D99" s="116" t="str">
        <f ca="1">OFFSET(ORÇAMENTO!N$15,$L99,0)</f>
        <v>Nível 2</v>
      </c>
      <c r="E99" s="117" t="str">
        <f ca="1">OFFSET(ORÇAMENTO!O$15,$L99,0)</f>
        <v>7.4.</v>
      </c>
      <c r="F99" s="163" t="str">
        <f ca="1">OFFSET(ORÇAMENTO!R$15,$L99,0)</f>
        <v>FORROS</v>
      </c>
      <c r="G99" s="164" t="str">
        <f ca="1">IF($D99&lt;&gt;"Serviço","",OFFSET(ORÇAMENTO!S$15,$L99,0))</f>
        <v/>
      </c>
      <c r="H99" s="122" cm="1">
        <f t="array" aca="1" ref="H99" ca="1">IF($D99&lt;&gt;"Serviço",0,IF(ACOMPANHAMENTO="BM",ROUND(OFFSET(ORÇAMENTO!AJ$15,$L99,0),15-13*ORÇAMENTO!$AF$7),IF(IFERROR(CÁLCULO.FrentesPreenchidas,0)=0,0,SUM(ROUND(OFFSET($P99,0,1,1,CÁLCULO.FrentesPreenchidas),15-13*ORÇAMENTO!$AF$7)))))</f>
        <v>0</v>
      </c>
      <c r="I99" s="468"/>
      <c r="J99" s="651" t="str" cm="1">
        <f t="array" aca="1" ref="J99" ca="1">IF(OR(B99&lt;&gt;"S",CÁLCULO.FrentesPreenchidas=0),"",IF(AND(ACOMPANHAMENTO="PLE",AUTOEVENTO="Manual",OR(H99&gt;0,ORÇAMENTO!AC99="QUANT."),OR(K99="",M99=0,N99="")),"►E",IF(AND(ACOMPANHAMENTO="PLE",ORÇAMENTO!AC99="QUANT."),"►Q",IF(AND(ACOMPANHAMENTO="PLE",H99&lt;&gt;SUMPRODUCT(($Q$1:$AQ$1=1)*ROUND(Q99:AQ99,15))),"►S",IF(AND(COUNTIF($P$11:$AQ$11,"▼")=0,H99&gt;0,I99=""),"◄M","")))))</f>
        <v/>
      </c>
      <c r="K99" s="652"/>
      <c r="L99" s="165">
        <f t="shared" ca="1" si="14"/>
        <v>84</v>
      </c>
      <c r="M99" s="166" t="str">
        <f ca="1">IF($D99&lt;&gt;"Serviço","",
          IF(AUTOEVENTO="manual",$A99,
                IF(ISERROR(MATCH($A99,$A$15:OFFSET($A99,-1,0),0)),MAX($M$15:OFFSET(M99,-1,0))+1,
                      INDEX($M$15:OFFSET(M99,-1,0),MATCH($A99,$A$15:OFFSET($A99,-1,0),0)))))</f>
        <v/>
      </c>
      <c r="N99" s="167" t="str">
        <f ca="1">IF($D99&lt;&gt;"Serviço","",
         IF(AUTOEVENTO="Manual",
                IF($A99=0,"&lt;-- defina o número do agrupador",
                       OFFSET(EVENTOS!$D$15,$A99-$A$15,0)),
                OFFSET($F$15,$A99,0)))</f>
        <v/>
      </c>
      <c r="O99" s="168"/>
      <c r="Q99" s="168"/>
      <c r="R99" s="169"/>
      <c r="S99" s="169"/>
      <c r="T99" s="169"/>
      <c r="U99" s="169"/>
      <c r="V99" s="169"/>
      <c r="W99" s="169"/>
      <c r="X99" s="169"/>
      <c r="Y99" s="169"/>
      <c r="Z99" s="170"/>
      <c r="AA99" s="169"/>
      <c r="AB99" s="169"/>
      <c r="AC99" s="169"/>
      <c r="AD99" s="169"/>
      <c r="AE99" s="169"/>
      <c r="AF99" s="169"/>
      <c r="AG99" s="169"/>
      <c r="AH99" s="170"/>
      <c r="AI99" s="169"/>
      <c r="AJ99" s="169"/>
      <c r="AK99" s="169"/>
      <c r="AL99" s="169"/>
      <c r="AM99" s="169"/>
      <c r="AN99" s="169"/>
      <c r="AO99" s="169"/>
      <c r="AP99" s="170"/>
      <c r="AR99" s="453">
        <f ca="1">IF(AND($D99="Serviço",AR$12&lt;&gt;0,$H99&gt;0,OR(AUTOEVENTO&lt;&gt;"manual",$M99&lt;&gt;$A$15)),
        IF(Import.TipoArredondamento&lt;&gt;"TransfereGOV",
              ROUND(OFFSET($P99,0,AR$13),15-13*ORÇAMENTO!$AF$7)/$H99*OFFSET(ORÇAMENTO!$X$15,ROW(AR99)-ROW(AR$15),0),
              ROUND(ROUND(OFFSET($P99,0,AR$13),15-13*ORÇAMENTO!$AF$7)*OFFSET(ORÇAMENTO!$W$15,ROW(AR99)-ROW(AR$15),0),15-13*ORÇAMENTO!$AF$11)),
         0)</f>
        <v>0</v>
      </c>
      <c r="AS99" s="453">
        <f ca="1">IF(AND($D99="Serviço",AS$12&lt;&gt;0,$H99&gt;0,OR(AUTOEVENTO&lt;&gt;"manual",$M99&lt;&gt;$A$15)),
        IF(Import.TipoArredondamento&lt;&gt;"TransfereGOV",
              ROUND(OFFSET($P99,0,AS$13),15-13*ORÇAMENTO!$AF$7)/$H99*OFFSET(ORÇAMENTO!$X$15,ROW(AS99)-ROW(AS$15),0),
              ROUND(ROUND(OFFSET($P99,0,AS$13),15-13*ORÇAMENTO!$AF$7)*OFFSET(ORÇAMENTO!$W$15,ROW(AS99)-ROW(AS$15),0),15-13*ORÇAMENTO!$AF$11)),
         0)</f>
        <v>0</v>
      </c>
      <c r="AT99" s="453">
        <f ca="1">IF(AND($D99="Serviço",AT$12&lt;&gt;0,$H99&gt;0,OR(AUTOEVENTO&lt;&gt;"manual",$M99&lt;&gt;$A$15)),
        IF(Import.TipoArredondamento&lt;&gt;"TransfereGOV",
              ROUND(OFFSET($P99,0,AT$13),15-13*ORÇAMENTO!$AF$7)/$H99*OFFSET(ORÇAMENTO!$X$15,ROW(AT99)-ROW(AT$15),0),
              ROUND(ROUND(OFFSET($P99,0,AT$13),15-13*ORÇAMENTO!$AF$7)*OFFSET(ORÇAMENTO!$W$15,ROW(AT99)-ROW(AT$15),0),15-13*ORÇAMENTO!$AF$11)),
         0)</f>
        <v>0</v>
      </c>
      <c r="AU99" s="453">
        <f ca="1">IF(AND($D99="Serviço",AU$12&lt;&gt;0,$H99&gt;0,OR(AUTOEVENTO&lt;&gt;"manual",$M99&lt;&gt;$A$15)),
        IF(Import.TipoArredondamento&lt;&gt;"TransfereGOV",
              ROUND(OFFSET($P99,0,AU$13),15-13*ORÇAMENTO!$AF$7)/$H99*OFFSET(ORÇAMENTO!$X$15,ROW(AU99)-ROW(AU$15),0),
              ROUND(ROUND(OFFSET($P99,0,AU$13),15-13*ORÇAMENTO!$AF$7)*OFFSET(ORÇAMENTO!$W$15,ROW(AU99)-ROW(AU$15),0),15-13*ORÇAMENTO!$AF$11)),
         0)</f>
        <v>0</v>
      </c>
      <c r="AV99" s="453">
        <f ca="1">IF(AND($D99="Serviço",AV$12&lt;&gt;0,$H99&gt;0,OR(AUTOEVENTO&lt;&gt;"manual",$M99&lt;&gt;$A$15)),
        IF(Import.TipoArredondamento&lt;&gt;"TransfereGOV",
              ROUND(OFFSET($P99,0,AV$13),15-13*ORÇAMENTO!$AF$7)/$H99*OFFSET(ORÇAMENTO!$X$15,ROW(AV99)-ROW(AV$15),0),
              ROUND(ROUND(OFFSET($P99,0,AV$13),15-13*ORÇAMENTO!$AF$7)*OFFSET(ORÇAMENTO!$W$15,ROW(AV99)-ROW(AV$15),0),15-13*ORÇAMENTO!$AF$11)),
         0)</f>
        <v>0</v>
      </c>
      <c r="AW99" s="453">
        <f ca="1">IF(AND($D99="Serviço",AW$12&lt;&gt;0,$H99&gt;0,OR(AUTOEVENTO&lt;&gt;"manual",$M99&lt;&gt;$A$15)),
        IF(Import.TipoArredondamento&lt;&gt;"TransfereGOV",
              ROUND(OFFSET($P99,0,AW$13),15-13*ORÇAMENTO!$AF$7)/$H99*OFFSET(ORÇAMENTO!$X$15,ROW(AW99)-ROW(AW$15),0),
              ROUND(ROUND(OFFSET($P99,0,AW$13),15-13*ORÇAMENTO!$AF$7)*OFFSET(ORÇAMENTO!$W$15,ROW(AW99)-ROW(AW$15),0),15-13*ORÇAMENTO!$AF$11)),
         0)</f>
        <v>0</v>
      </c>
      <c r="AX99" s="453">
        <f ca="1">IF(AND($D99="Serviço",AX$12&lt;&gt;0,$H99&gt;0,OR(AUTOEVENTO&lt;&gt;"manual",$M99&lt;&gt;$A$15)),
        IF(Import.TipoArredondamento&lt;&gt;"TransfereGOV",
              ROUND(OFFSET($P99,0,AX$13),15-13*ORÇAMENTO!$AF$7)/$H99*OFFSET(ORÇAMENTO!$X$15,ROW(AX99)-ROW(AX$15),0),
              ROUND(ROUND(OFFSET($P99,0,AX$13),15-13*ORÇAMENTO!$AF$7)*OFFSET(ORÇAMENTO!$W$15,ROW(AX99)-ROW(AX$15),0),15-13*ORÇAMENTO!$AF$11)),
         0)</f>
        <v>0</v>
      </c>
      <c r="AY99" s="453">
        <f ca="1">IF(AND($D99="Serviço",AY$12&lt;&gt;0,$H99&gt;0,OR(AUTOEVENTO&lt;&gt;"manual",$M99&lt;&gt;$A$15)),
        IF(Import.TipoArredondamento&lt;&gt;"TransfereGOV",
              ROUND(OFFSET($P99,0,AY$13),15-13*ORÇAMENTO!$AF$7)/$H99*OFFSET(ORÇAMENTO!$X$15,ROW(AY99)-ROW(AY$15),0),
              ROUND(ROUND(OFFSET($P99,0,AY$13),15-13*ORÇAMENTO!$AF$7)*OFFSET(ORÇAMENTO!$W$15,ROW(AY99)-ROW(AY$15),0),15-13*ORÇAMENTO!$AF$11)),
         0)</f>
        <v>0</v>
      </c>
      <c r="AZ99" s="453">
        <f ca="1">IF(AND($D99="Serviço",AZ$12&lt;&gt;0,$H99&gt;0,OR(AUTOEVENTO&lt;&gt;"manual",$M99&lt;&gt;$A$15)),
        IF(Import.TipoArredondamento&lt;&gt;"TransfereGOV",
              ROUND(OFFSET($P99,0,AZ$13),15-13*ORÇAMENTO!$AF$7)/$H99*OFFSET(ORÇAMENTO!$X$15,ROW(AZ99)-ROW(AZ$15),0),
              ROUND(ROUND(OFFSET($P99,0,AZ$13),15-13*ORÇAMENTO!$AF$7)*OFFSET(ORÇAMENTO!$W$15,ROW(AZ99)-ROW(AZ$15),0),15-13*ORÇAMENTO!$AF$11)),
         0)</f>
        <v>0</v>
      </c>
      <c r="BA99" s="453">
        <f ca="1">IF(AND($D99="Serviço",BA$12&lt;&gt;0,$H99&gt;0,OR(AUTOEVENTO&lt;&gt;"manual",$M99&lt;&gt;$A$15)),
        IF(Import.TipoArredondamento&lt;&gt;"TransfereGOV",
              ROUND(OFFSET($P99,0,BA$13),15-13*ORÇAMENTO!$AF$7)/$H99*OFFSET(ORÇAMENTO!$X$15,ROW(BA99)-ROW(BA$15),0),
              ROUND(ROUND(OFFSET($P99,0,BA$13),15-13*ORÇAMENTO!$AF$7)*OFFSET(ORÇAMENTO!$W$15,ROW(BA99)-ROW(BA$15),0),15-13*ORÇAMENTO!$AF$11)),
         0)</f>
        <v>0</v>
      </c>
      <c r="BB99" s="453">
        <f ca="1">IF(AND($D99="Serviço",BB$12&lt;&gt;0,$H99&gt;0,OR(AUTOEVENTO&lt;&gt;"manual",$M99&lt;&gt;$A$15)),
        IF(Import.TipoArredondamento&lt;&gt;"TransfereGOV",
              ROUND(OFFSET($P99,0,BB$13),15-13*ORÇAMENTO!$AF$7)/$H99*OFFSET(ORÇAMENTO!$X$15,ROW(BB99)-ROW(BB$15),0),
              ROUND(ROUND(OFFSET($P99,0,BB$13),15-13*ORÇAMENTO!$AF$7)*OFFSET(ORÇAMENTO!$W$15,ROW(BB99)-ROW(BB$15),0),15-13*ORÇAMENTO!$AF$11)),
         0)</f>
        <v>0</v>
      </c>
      <c r="BC99" s="453">
        <f ca="1">IF(AND($D99="Serviço",BC$12&lt;&gt;0,$H99&gt;0,OR(AUTOEVENTO&lt;&gt;"manual",$M99&lt;&gt;$A$15)),
        IF(Import.TipoArredondamento&lt;&gt;"TransfereGOV",
              ROUND(OFFSET($P99,0,BC$13),15-13*ORÇAMENTO!$AF$7)/$H99*OFFSET(ORÇAMENTO!$X$15,ROW(BC99)-ROW(BC$15),0),
              ROUND(ROUND(OFFSET($P99,0,BC$13),15-13*ORÇAMENTO!$AF$7)*OFFSET(ORÇAMENTO!$W$15,ROW(BC99)-ROW(BC$15),0),15-13*ORÇAMENTO!$AF$11)),
         0)</f>
        <v>0</v>
      </c>
      <c r="BD99" s="453">
        <f ca="1">IF(AND($D99="Serviço",BD$12&lt;&gt;0,$H99&gt;0,OR(AUTOEVENTO&lt;&gt;"manual",$M99&lt;&gt;$A$15)),
        IF(Import.TipoArredondamento&lt;&gt;"TransfereGOV",
              ROUND(OFFSET($P99,0,BD$13),15-13*ORÇAMENTO!$AF$7)/$H99*OFFSET(ORÇAMENTO!$X$15,ROW(BD99)-ROW(BD$15),0),
              ROUND(ROUND(OFFSET($P99,0,BD$13),15-13*ORÇAMENTO!$AF$7)*OFFSET(ORÇAMENTO!$W$15,ROW(BD99)-ROW(BD$15),0),15-13*ORÇAMENTO!$AF$11)),
         0)</f>
        <v>0</v>
      </c>
      <c r="BE99" s="453">
        <f ca="1">IF(AND($D99="Serviço",BE$12&lt;&gt;0,$H99&gt;0,OR(AUTOEVENTO&lt;&gt;"manual",$M99&lt;&gt;$A$15)),
        IF(Import.TipoArredondamento&lt;&gt;"TransfereGOV",
              ROUND(OFFSET($P99,0,BE$13),15-13*ORÇAMENTO!$AF$7)/$H99*OFFSET(ORÇAMENTO!$X$15,ROW(BE99)-ROW(BE$15),0),
              ROUND(ROUND(OFFSET($P99,0,BE$13),15-13*ORÇAMENTO!$AF$7)*OFFSET(ORÇAMENTO!$W$15,ROW(BE99)-ROW(BE$15),0),15-13*ORÇAMENTO!$AF$11)),
         0)</f>
        <v>0</v>
      </c>
      <c r="BF99" s="453">
        <f ca="1">IF(AND($D99="Serviço",BF$12&lt;&gt;0,$H99&gt;0,OR(AUTOEVENTO&lt;&gt;"manual",$M99&lt;&gt;$A$15)),
        IF(Import.TipoArredondamento&lt;&gt;"TransfereGOV",
              ROUND(OFFSET($P99,0,BF$13),15-13*ORÇAMENTO!$AF$7)/$H99*OFFSET(ORÇAMENTO!$X$15,ROW(BF99)-ROW(BF$15),0),
              ROUND(ROUND(OFFSET($P99,0,BF$13),15-13*ORÇAMENTO!$AF$7)*OFFSET(ORÇAMENTO!$W$15,ROW(BF99)-ROW(BF$15),0),15-13*ORÇAMENTO!$AF$11)),
         0)</f>
        <v>0</v>
      </c>
      <c r="BG99" s="453">
        <f ca="1">IF(AND($D99="Serviço",BG$12&lt;&gt;0,$H99&gt;0,OR(AUTOEVENTO&lt;&gt;"manual",$M99&lt;&gt;$A$15)),
        IF(Import.TipoArredondamento&lt;&gt;"TransfereGOV",
              ROUND(OFFSET($P99,0,BG$13),15-13*ORÇAMENTO!$AF$7)/$H99*OFFSET(ORÇAMENTO!$X$15,ROW(BG99)-ROW(BG$15),0),
              ROUND(ROUND(OFFSET($P99,0,BG$13),15-13*ORÇAMENTO!$AF$7)*OFFSET(ORÇAMENTO!$W$15,ROW(BG99)-ROW(BG$15),0),15-13*ORÇAMENTO!$AF$11)),
         0)</f>
        <v>0</v>
      </c>
      <c r="BH99" s="453">
        <f ca="1">IF(AND($D99="Serviço",BH$12&lt;&gt;0,$H99&gt;0,OR(AUTOEVENTO&lt;&gt;"manual",$M99&lt;&gt;$A$15)),
        IF(Import.TipoArredondamento&lt;&gt;"TransfereGOV",
              ROUND(OFFSET($P99,0,BH$13),15-13*ORÇAMENTO!$AF$7)/$H99*OFFSET(ORÇAMENTO!$X$15,ROW(BH99)-ROW(BH$15),0),
              ROUND(ROUND(OFFSET($P99,0,BH$13),15-13*ORÇAMENTO!$AF$7)*OFFSET(ORÇAMENTO!$W$15,ROW(BH99)-ROW(BH$15),0),15-13*ORÇAMENTO!$AF$11)),
         0)</f>
        <v>0</v>
      </c>
      <c r="BI99" s="453">
        <f ca="1">IF(AND($D99="Serviço",BI$12&lt;&gt;0,$H99&gt;0,OR(AUTOEVENTO&lt;&gt;"manual",$M99&lt;&gt;$A$15)),
        IF(Import.TipoArredondamento&lt;&gt;"TransfereGOV",
              ROUND(OFFSET($P99,0,BI$13),15-13*ORÇAMENTO!$AF$7)/$H99*OFFSET(ORÇAMENTO!$X$15,ROW(BI99)-ROW(BI$15),0),
              ROUND(ROUND(OFFSET($P99,0,BI$13),15-13*ORÇAMENTO!$AF$7)*OFFSET(ORÇAMENTO!$W$15,ROW(BI99)-ROW(BI$15),0),15-13*ORÇAMENTO!$AF$11)),
         0)</f>
        <v>0</v>
      </c>
      <c r="BJ99" s="453">
        <f ca="1">IF(AND($D99="Serviço",BJ$12&lt;&gt;0,$H99&gt;0,OR(AUTOEVENTO&lt;&gt;"manual",$M99&lt;&gt;$A$15)),
        IF(Import.TipoArredondamento&lt;&gt;"TransfereGOV",
              ROUND(OFFSET($P99,0,BJ$13),15-13*ORÇAMENTO!$AF$7)/$H99*OFFSET(ORÇAMENTO!$X$15,ROW(BJ99)-ROW(BJ$15),0),
              ROUND(ROUND(OFFSET($P99,0,BJ$13),15-13*ORÇAMENTO!$AF$7)*OFFSET(ORÇAMENTO!$W$15,ROW(BJ99)-ROW(BJ$15),0),15-13*ORÇAMENTO!$AF$11)),
         0)</f>
        <v>0</v>
      </c>
      <c r="BK99" s="453">
        <f ca="1">IF(AND($D99="Serviço",BK$12&lt;&gt;0,$H99&gt;0,OR(AUTOEVENTO&lt;&gt;"manual",$M99&lt;&gt;$A$15)),
        IF(Import.TipoArredondamento&lt;&gt;"TransfereGOV",
              ROUND(OFFSET($P99,0,BK$13),15-13*ORÇAMENTO!$AF$7)/$H99*OFFSET(ORÇAMENTO!$X$15,ROW(BK99)-ROW(BK$15),0),
              ROUND(ROUND(OFFSET($P99,0,BK$13),15-13*ORÇAMENTO!$AF$7)*OFFSET(ORÇAMENTO!$W$15,ROW(BK99)-ROW(BK$15),0),15-13*ORÇAMENTO!$AF$11)),
         0)</f>
        <v>0</v>
      </c>
      <c r="BL99" s="453">
        <f ca="1">IF(AND($D99="Serviço",BL$12&lt;&gt;0,$H99&gt;0,OR(AUTOEVENTO&lt;&gt;"manual",$M99&lt;&gt;$A$15)),
        IF(Import.TipoArredondamento&lt;&gt;"TransfereGOV",
              ROUND(OFFSET($P99,0,BL$13),15-13*ORÇAMENTO!$AF$7)/$H99*OFFSET(ORÇAMENTO!$X$15,ROW(BL99)-ROW(BL$15),0),
              ROUND(ROUND(OFFSET($P99,0,BL$13),15-13*ORÇAMENTO!$AF$7)*OFFSET(ORÇAMENTO!$W$15,ROW(BL99)-ROW(BL$15),0),15-13*ORÇAMENTO!$AF$11)),
         0)</f>
        <v>0</v>
      </c>
      <c r="BM99" s="453">
        <f ca="1">IF(AND($D99="Serviço",BM$12&lt;&gt;0,$H99&gt;0,OR(AUTOEVENTO&lt;&gt;"manual",$M99&lt;&gt;$A$15)),
        IF(Import.TipoArredondamento&lt;&gt;"TransfereGOV",
              ROUND(OFFSET($P99,0,BM$13),15-13*ORÇAMENTO!$AF$7)/$H99*OFFSET(ORÇAMENTO!$X$15,ROW(BM99)-ROW(BM$15),0),
              ROUND(ROUND(OFFSET($P99,0,BM$13),15-13*ORÇAMENTO!$AF$7)*OFFSET(ORÇAMENTO!$W$15,ROW(BM99)-ROW(BM$15),0),15-13*ORÇAMENTO!$AF$11)),
         0)</f>
        <v>0</v>
      </c>
      <c r="BN99" s="453">
        <f ca="1">IF(AND($D99="Serviço",BN$12&lt;&gt;0,$H99&gt;0,OR(AUTOEVENTO&lt;&gt;"manual",$M99&lt;&gt;$A$15)),
        IF(Import.TipoArredondamento&lt;&gt;"TransfereGOV",
              ROUND(OFFSET($P99,0,BN$13),15-13*ORÇAMENTO!$AF$7)/$H99*OFFSET(ORÇAMENTO!$X$15,ROW(BN99)-ROW(BN$15),0),
              ROUND(ROUND(OFFSET($P99,0,BN$13),15-13*ORÇAMENTO!$AF$7)*OFFSET(ORÇAMENTO!$W$15,ROW(BN99)-ROW(BN$15),0),15-13*ORÇAMENTO!$AF$11)),
         0)</f>
        <v>0</v>
      </c>
      <c r="BO99" s="453">
        <f ca="1">IF(AND($D99="Serviço",BO$12&lt;&gt;0,$H99&gt;0,OR(AUTOEVENTO&lt;&gt;"manual",$M99&lt;&gt;$A$15)),
        IF(Import.TipoArredondamento&lt;&gt;"TransfereGOV",
              ROUND(OFFSET($P99,0,BO$13),15-13*ORÇAMENTO!$AF$7)/$H99*OFFSET(ORÇAMENTO!$X$15,ROW(BO99)-ROW(BO$15),0),
              ROUND(ROUND(OFFSET($P99,0,BO$13),15-13*ORÇAMENTO!$AF$7)*OFFSET(ORÇAMENTO!$W$15,ROW(BO99)-ROW(BO$15),0),15-13*ORÇAMENTO!$AF$11)),
         0)</f>
        <v>0</v>
      </c>
      <c r="BP99" s="453">
        <f ca="1">IF(AND($D99="Serviço",BP$12&lt;&gt;0,$H99&gt;0,OR(AUTOEVENTO&lt;&gt;"manual",$M99&lt;&gt;$A$15)),
        IF(Import.TipoArredondamento&lt;&gt;"TransfereGOV",
              ROUND(OFFSET($P99,0,BP$13),15-13*ORÇAMENTO!$AF$7)/$H99*OFFSET(ORÇAMENTO!$X$15,ROW(BP99)-ROW(BP$15),0),
              ROUND(ROUND(OFFSET($P99,0,BP$13),15-13*ORÇAMENTO!$AF$7)*OFFSET(ORÇAMENTO!$W$15,ROW(BP99)-ROW(BP$15),0),15-13*ORÇAMENTO!$AF$11)),
         0)</f>
        <v>0</v>
      </c>
      <c r="BQ99" s="453">
        <f ca="1">IF(AND($D99="Serviço",BQ$12&lt;&gt;0,$H99&gt;0,OR(AUTOEVENTO&lt;&gt;"manual",$M99&lt;&gt;$A$15)),
        IF(Import.TipoArredondamento&lt;&gt;"TransfereGOV",
              ROUND(OFFSET($P99,0,BQ$13),15-13*ORÇAMENTO!$AF$7)/$H99*OFFSET(ORÇAMENTO!$X$15,ROW(BQ99)-ROW(BQ$15),0),
              ROUND(ROUND(OFFSET($P99,0,BQ$13),15-13*ORÇAMENTO!$AF$7)*OFFSET(ORÇAMENTO!$W$15,ROW(BQ99)-ROW(BQ$15),0),15-13*ORÇAMENTO!$AF$11)),
         0)</f>
        <v>0</v>
      </c>
      <c r="BS99" s="171">
        <f ca="1">IF(OR($D99&lt;&gt;"Serviço",AND(AUTOEVENTO="Manual",$M99=$A$15)),0,
         IF(OFFSET(CRONOPLE!$F$15,$M99-$A$15,BS$13)=0,10^12,OFFSET(CRONOPLE!$F$15,$M99-$A$15,BS$13)))</f>
        <v>0</v>
      </c>
      <c r="BT99" s="171">
        <f ca="1">IF(OR($D99&lt;&gt;"Serviço",AND(AUTOEVENTO="Manual",$M99=$A$15)),0,
         IF(OFFSET(CRONOPLE!$F$15,$M99-$A$15,BT$13)=0,10^12,OFFSET(CRONOPLE!$F$15,$M99-$A$15,BT$13)))</f>
        <v>0</v>
      </c>
      <c r="BU99" s="171">
        <f ca="1">IF(OR($D99&lt;&gt;"Serviço",AND(AUTOEVENTO="Manual",$M99=$A$15)),0,
         IF(OFFSET(CRONOPLE!$F$15,$M99-$A$15,BU$13)=0,10^12,OFFSET(CRONOPLE!$F$15,$M99-$A$15,BU$13)))</f>
        <v>0</v>
      </c>
      <c r="BV99" s="171">
        <f ca="1">IF(OR($D99&lt;&gt;"Serviço",AND(AUTOEVENTO="Manual",$M99=$A$15)),0,
         IF(OFFSET(CRONOPLE!$F$15,$M99-$A$15,BV$13)=0,10^12,OFFSET(CRONOPLE!$F$15,$M99-$A$15,BV$13)))</f>
        <v>0</v>
      </c>
      <c r="BW99" s="171">
        <f ca="1">IF(OR($D99&lt;&gt;"Serviço",AND(AUTOEVENTO="Manual",$M99=$A$15)),0,
         IF(OFFSET(CRONOPLE!$F$15,$M99-$A$15,BW$13)=0,10^12,OFFSET(CRONOPLE!$F$15,$M99-$A$15,BW$13)))</f>
        <v>0</v>
      </c>
      <c r="BX99" s="171">
        <f ca="1">IF(OR($D99&lt;&gt;"Serviço",AND(AUTOEVENTO="Manual",$M99=$A$15)),0,
         IF(OFFSET(CRONOPLE!$F$15,$M99-$A$15,BX$13)=0,10^12,OFFSET(CRONOPLE!$F$15,$M99-$A$15,BX$13)))</f>
        <v>0</v>
      </c>
      <c r="BY99" s="171">
        <f ca="1">IF(OR($D99&lt;&gt;"Serviço",AND(AUTOEVENTO="Manual",$M99=$A$15)),0,
         IF(OFFSET(CRONOPLE!$F$15,$M99-$A$15,BY$13)=0,10^12,OFFSET(CRONOPLE!$F$15,$M99-$A$15,BY$13)))</f>
        <v>0</v>
      </c>
      <c r="BZ99" s="171">
        <f ca="1">IF(OR($D99&lt;&gt;"Serviço",AND(AUTOEVENTO="Manual",$M99=$A$15)),0,
         IF(OFFSET(CRONOPLE!$F$15,$M99-$A$15,BZ$13)=0,10^12,OFFSET(CRONOPLE!$F$15,$M99-$A$15,BZ$13)))</f>
        <v>0</v>
      </c>
      <c r="CA99" s="171">
        <f ca="1">IF(OR($D99&lt;&gt;"Serviço",AND(AUTOEVENTO="Manual",$M99=$A$15)),0,
         IF(OFFSET(CRONOPLE!$F$15,$M99-$A$15,CA$13)=0,10^12,OFFSET(CRONOPLE!$F$15,$M99-$A$15,CA$13)))</f>
        <v>0</v>
      </c>
      <c r="CB99" s="171">
        <f ca="1">IF(OR($D99&lt;&gt;"Serviço",AND(AUTOEVENTO="Manual",$M99=$A$15)),0,
         IF(OFFSET(CRONOPLE!$F$15,$M99-$A$15,CB$13)=0,10^12,OFFSET(CRONOPLE!$F$15,$M99-$A$15,CB$13)))</f>
        <v>0</v>
      </c>
      <c r="CC99" s="171">
        <f ca="1">IF(OR($D99&lt;&gt;"Serviço",AND(AUTOEVENTO="Manual",$M99=$A$15)),0,
         IF(OFFSET(CRONOPLE!$F$15,$M99-$A$15,CC$13)=0,10^12,OFFSET(CRONOPLE!$F$15,$M99-$A$15,CC$13)))</f>
        <v>0</v>
      </c>
      <c r="CD99" s="171">
        <f ca="1">IF(OR($D99&lt;&gt;"Serviço",AND(AUTOEVENTO="Manual",$M99=$A$15)),0,
         IF(OFFSET(CRONOPLE!$F$15,$M99-$A$15,CD$13)=0,10^12,OFFSET(CRONOPLE!$F$15,$M99-$A$15,CD$13)))</f>
        <v>0</v>
      </c>
      <c r="CE99" s="171">
        <f ca="1">IF(OR($D99&lt;&gt;"Serviço",AND(AUTOEVENTO="Manual",$M99=$A$15)),0,
         IF(OFFSET(CRONOPLE!$F$15,$M99-$A$15,CE$13)=0,10^12,OFFSET(CRONOPLE!$F$15,$M99-$A$15,CE$13)))</f>
        <v>0</v>
      </c>
      <c r="CF99" s="171">
        <f ca="1">IF(OR($D99&lt;&gt;"Serviço",AND(AUTOEVENTO="Manual",$M99=$A$15)),0,
         IF(OFFSET(CRONOPLE!$F$15,$M99-$A$15,CF$13)=0,10^12,OFFSET(CRONOPLE!$F$15,$M99-$A$15,CF$13)))</f>
        <v>0</v>
      </c>
      <c r="CG99" s="171">
        <f ca="1">IF(OR($D99&lt;&gt;"Serviço",AND(AUTOEVENTO="Manual",$M99=$A$15)),0,
         IF(OFFSET(CRONOPLE!$F$15,$M99-$A$15,CG$13)=0,10^12,OFFSET(CRONOPLE!$F$15,$M99-$A$15,CG$13)))</f>
        <v>0</v>
      </c>
      <c r="CH99" s="171">
        <f ca="1">IF(OR($D99&lt;&gt;"Serviço",AND(AUTOEVENTO="Manual",$M99=$A$15)),0,
         IF(OFFSET(CRONOPLE!$F$15,$M99-$A$15,CH$13)=0,10^12,OFFSET(CRONOPLE!$F$15,$M99-$A$15,CH$13)))</f>
        <v>0</v>
      </c>
      <c r="CI99" s="171">
        <f ca="1">IF(OR($D99&lt;&gt;"Serviço",AND(AUTOEVENTO="Manual",$M99=$A$15)),0,
         IF(OFFSET(CRONOPLE!$F$15,$M99-$A$15,CI$13)=0,10^12,OFFSET(CRONOPLE!$F$15,$M99-$A$15,CI$13)))</f>
        <v>0</v>
      </c>
      <c r="CJ99" s="171">
        <f ca="1">IF(OR($D99&lt;&gt;"Serviço",AND(AUTOEVENTO="Manual",$M99=$A$15)),0,
         IF(OFFSET(CRONOPLE!$F$15,$M99-$A$15,CJ$13)=0,10^12,OFFSET(CRONOPLE!$F$15,$M99-$A$15,CJ$13)))</f>
        <v>0</v>
      </c>
      <c r="CK99" s="171">
        <f ca="1">IF(OR($D99&lt;&gt;"Serviço",AND(AUTOEVENTO="Manual",$M99=$A$15)),0,
         IF(OFFSET(CRONOPLE!$F$15,$M99-$A$15,CK$13)=0,10^12,OFFSET(CRONOPLE!$F$15,$M99-$A$15,CK$13)))</f>
        <v>0</v>
      </c>
      <c r="CL99" s="171">
        <f ca="1">IF(OR($D99&lt;&gt;"Serviço",AND(AUTOEVENTO="Manual",$M99=$A$15)),0,
         IF(OFFSET(CRONOPLE!$F$15,$M99-$A$15,CL$13)=0,10^12,OFFSET(CRONOPLE!$F$15,$M99-$A$15,CL$13)))</f>
        <v>0</v>
      </c>
      <c r="CM99" s="171">
        <f ca="1">IF(OR($D99&lt;&gt;"Serviço",AND(AUTOEVENTO="Manual",$M99=$A$15)),0,
         IF(OFFSET(CRONOPLE!$F$15,$M99-$A$15,CM$13)=0,10^12,OFFSET(CRONOPLE!$F$15,$M99-$A$15,CM$13)))</f>
        <v>0</v>
      </c>
      <c r="CN99" s="171">
        <f ca="1">IF(OR($D99&lt;&gt;"Serviço",AND(AUTOEVENTO="Manual",$M99=$A$15)),0,
         IF(OFFSET(CRONOPLE!$F$15,$M99-$A$15,CN$13)=0,10^12,OFFSET(CRONOPLE!$F$15,$M99-$A$15,CN$13)))</f>
        <v>0</v>
      </c>
      <c r="CO99" s="171">
        <f ca="1">IF(OR($D99&lt;&gt;"Serviço",AND(AUTOEVENTO="Manual",$M99=$A$15)),0,
         IF(OFFSET(CRONOPLE!$F$15,$M99-$A$15,CO$13)=0,10^12,OFFSET(CRONOPLE!$F$15,$M99-$A$15,CO$13)))</f>
        <v>0</v>
      </c>
      <c r="CP99" s="171">
        <f ca="1">IF(OR($D99&lt;&gt;"Serviço",AND(AUTOEVENTO="Manual",$M99=$A$15)),0,
         IF(OFFSET(CRONOPLE!$F$15,$M99-$A$15,CP$13)=0,10^12,OFFSET(CRONOPLE!$F$15,$M99-$A$15,CP$13)))</f>
        <v>0</v>
      </c>
      <c r="CQ99" s="171">
        <f ca="1">IF(OR($D99&lt;&gt;"Serviço",AND(AUTOEVENTO="Manual",$M99=$A$15)),0,
         IF(OFFSET(CRONOPLE!$F$15,$M99-$A$15,CQ$13)=0,10^12,OFFSET(CRONOPLE!$F$15,$M99-$A$15,CQ$13)))</f>
        <v>0</v>
      </c>
      <c r="CR99" s="171">
        <f ca="1">IF(OR($D99&lt;&gt;"Serviço",AND(AUTOEVENTO="Manual",$M99=$A$15)),0,
         IF(OFFSET(CRONOPLE!$F$15,$M99-$A$15,CR$13)=0,10^12,OFFSET(CRONOPLE!$F$15,$M99-$A$15,CR$13)))</f>
        <v>0</v>
      </c>
      <c r="CT99" s="172" cm="1">
        <f t="array" aca="1" ref="CT99" ca="1">IF(OR($D99&lt;&gt;"Serviço",AND(AUTOEVENTO="Manual",$M99=$A$15),$M99&gt;(ROW(PLE.lastrow)-ROW(PLE.firstrow))),0,
           IF(OFFSET(PLE!$G$15,$M99-$A$15,CT$13)="",10^12,OFFSET(PLE!$G$15,$M99-$A$15,CT$13)))</f>
        <v>0</v>
      </c>
      <c r="CU99" s="172" cm="1">
        <f t="array" aca="1" ref="CU99" ca="1">IF(OR($D99&lt;&gt;"Serviço",AND(AUTOEVENTO="Manual",$M99=$A$15),$M99&gt;(ROW(PLE.lastrow)-ROW(PLE.firstrow))),0,
           IF(OFFSET(PLE!$G$15,$M99-$A$15,CU$13)="",10^12,OFFSET(PLE!$G$15,$M99-$A$15,CU$13)))</f>
        <v>0</v>
      </c>
      <c r="CV99" s="172" cm="1">
        <f t="array" aca="1" ref="CV99" ca="1">IF(OR($D99&lt;&gt;"Serviço",AND(AUTOEVENTO="Manual",$M99=$A$15),$M99&gt;(ROW(PLE.lastrow)-ROW(PLE.firstrow))),0,
           IF(OFFSET(PLE!$G$15,$M99-$A$15,CV$13)="",10^12,OFFSET(PLE!$G$15,$M99-$A$15,CV$13)))</f>
        <v>0</v>
      </c>
      <c r="CW99" s="172" cm="1">
        <f t="array" aca="1" ref="CW99" ca="1">IF(OR($D99&lt;&gt;"Serviço",AND(AUTOEVENTO="Manual",$M99=$A$15),$M99&gt;(ROW(PLE.lastrow)-ROW(PLE.firstrow))),0,
           IF(OFFSET(PLE!$G$15,$M99-$A$15,CW$13)="",10^12,OFFSET(PLE!$G$15,$M99-$A$15,CW$13)))</f>
        <v>0</v>
      </c>
      <c r="CX99" s="172" cm="1">
        <f t="array" aca="1" ref="CX99" ca="1">IF(OR($D99&lt;&gt;"Serviço",AND(AUTOEVENTO="Manual",$M99=$A$15),$M99&gt;(ROW(PLE.lastrow)-ROW(PLE.firstrow))),0,
           IF(OFFSET(PLE!$G$15,$M99-$A$15,CX$13)="",10^12,OFFSET(PLE!$G$15,$M99-$A$15,CX$13)))</f>
        <v>0</v>
      </c>
      <c r="CY99" s="172" cm="1">
        <f t="array" aca="1" ref="CY99" ca="1">IF(OR($D99&lt;&gt;"Serviço",AND(AUTOEVENTO="Manual",$M99=$A$15),$M99&gt;(ROW(PLE.lastrow)-ROW(PLE.firstrow))),0,
           IF(OFFSET(PLE!$G$15,$M99-$A$15,CY$13)="",10^12,OFFSET(PLE!$G$15,$M99-$A$15,CY$13)))</f>
        <v>0</v>
      </c>
      <c r="CZ99" s="172" cm="1">
        <f t="array" aca="1" ref="CZ99" ca="1">IF(OR($D99&lt;&gt;"Serviço",AND(AUTOEVENTO="Manual",$M99=$A$15),$M99&gt;(ROW(PLE.lastrow)-ROW(PLE.firstrow))),0,
           IF(OFFSET(PLE!$G$15,$M99-$A$15,CZ$13)="",10^12,OFFSET(PLE!$G$15,$M99-$A$15,CZ$13)))</f>
        <v>0</v>
      </c>
      <c r="DA99" s="172" cm="1">
        <f t="array" aca="1" ref="DA99" ca="1">IF(OR($D99&lt;&gt;"Serviço",AND(AUTOEVENTO="Manual",$M99=$A$15),$M99&gt;(ROW(PLE.lastrow)-ROW(PLE.firstrow))),0,
           IF(OFFSET(PLE!$G$15,$M99-$A$15,DA$13)="",10^12,OFFSET(PLE!$G$15,$M99-$A$15,DA$13)))</f>
        <v>0</v>
      </c>
      <c r="DB99" s="172" cm="1">
        <f t="array" aca="1" ref="DB99" ca="1">IF(OR($D99&lt;&gt;"Serviço",AND(AUTOEVENTO="Manual",$M99=$A$15),$M99&gt;(ROW(PLE.lastrow)-ROW(PLE.firstrow))),0,
           IF(OFFSET(PLE!$G$15,$M99-$A$15,DB$13)="",10^12,OFFSET(PLE!$G$15,$M99-$A$15,DB$13)))</f>
        <v>0</v>
      </c>
      <c r="DC99" s="172" cm="1">
        <f t="array" aca="1" ref="DC99" ca="1">IF(OR($D99&lt;&gt;"Serviço",AND(AUTOEVENTO="Manual",$M99=$A$15),$M99&gt;(ROW(PLE.lastrow)-ROW(PLE.firstrow))),0,
           IF(OFFSET(PLE!$G$15,$M99-$A$15,DC$13)="",10^12,OFFSET(PLE!$G$15,$M99-$A$15,DC$13)))</f>
        <v>0</v>
      </c>
      <c r="DD99" s="172" cm="1">
        <f t="array" aca="1" ref="DD99" ca="1">IF(OR($D99&lt;&gt;"Serviço",AND(AUTOEVENTO="Manual",$M99=$A$15),$M99&gt;(ROW(PLE.lastrow)-ROW(PLE.firstrow))),0,
           IF(OFFSET(PLE!$G$15,$M99-$A$15,DD$13)="",10^12,OFFSET(PLE!$G$15,$M99-$A$15,DD$13)))</f>
        <v>0</v>
      </c>
      <c r="DE99" s="172" cm="1">
        <f t="array" aca="1" ref="DE99" ca="1">IF(OR($D99&lt;&gt;"Serviço",AND(AUTOEVENTO="Manual",$M99=$A$15),$M99&gt;(ROW(PLE.lastrow)-ROW(PLE.firstrow))),0,
           IF(OFFSET(PLE!$G$15,$M99-$A$15,DE$13)="",10^12,OFFSET(PLE!$G$15,$M99-$A$15,DE$13)))</f>
        <v>0</v>
      </c>
      <c r="DF99" s="172" cm="1">
        <f t="array" aca="1" ref="DF99" ca="1">IF(OR($D99&lt;&gt;"Serviço",AND(AUTOEVENTO="Manual",$M99=$A$15),$M99&gt;(ROW(PLE.lastrow)-ROW(PLE.firstrow))),0,
           IF(OFFSET(PLE!$G$15,$M99-$A$15,DF$13)="",10^12,OFFSET(PLE!$G$15,$M99-$A$15,DF$13)))</f>
        <v>0</v>
      </c>
      <c r="DG99" s="172" cm="1">
        <f t="array" aca="1" ref="DG99" ca="1">IF(OR($D99&lt;&gt;"Serviço",AND(AUTOEVENTO="Manual",$M99=$A$15),$M99&gt;(ROW(PLE.lastrow)-ROW(PLE.firstrow))),0,
           IF(OFFSET(PLE!$G$15,$M99-$A$15,DG$13)="",10^12,OFFSET(PLE!$G$15,$M99-$A$15,DG$13)))</f>
        <v>0</v>
      </c>
      <c r="DH99" s="172" cm="1">
        <f t="array" aca="1" ref="DH99" ca="1">IF(OR($D99&lt;&gt;"Serviço",AND(AUTOEVENTO="Manual",$M99=$A$15),$M99&gt;(ROW(PLE.lastrow)-ROW(PLE.firstrow))),0,
           IF(OFFSET(PLE!$G$15,$M99-$A$15,DH$13)="",10^12,OFFSET(PLE!$G$15,$M99-$A$15,DH$13)))</f>
        <v>0</v>
      </c>
      <c r="DI99" s="172" cm="1">
        <f t="array" aca="1" ref="DI99" ca="1">IF(OR($D99&lt;&gt;"Serviço",AND(AUTOEVENTO="Manual",$M99=$A$15),$M99&gt;(ROW(PLE.lastrow)-ROW(PLE.firstrow))),0,
           IF(OFFSET(PLE!$G$15,$M99-$A$15,DI$13)="",10^12,OFFSET(PLE!$G$15,$M99-$A$15,DI$13)))</f>
        <v>0</v>
      </c>
      <c r="DJ99" s="172" cm="1">
        <f t="array" aca="1" ref="DJ99" ca="1">IF(OR($D99&lt;&gt;"Serviço",AND(AUTOEVENTO="Manual",$M99=$A$15),$M99&gt;(ROW(PLE.lastrow)-ROW(PLE.firstrow))),0,
           IF(OFFSET(PLE!$G$15,$M99-$A$15,DJ$13)="",10^12,OFFSET(PLE!$G$15,$M99-$A$15,DJ$13)))</f>
        <v>0</v>
      </c>
      <c r="DK99" s="172" cm="1">
        <f t="array" aca="1" ref="DK99" ca="1">IF(OR($D99&lt;&gt;"Serviço",AND(AUTOEVENTO="Manual",$M99=$A$15),$M99&gt;(ROW(PLE.lastrow)-ROW(PLE.firstrow))),0,
           IF(OFFSET(PLE!$G$15,$M99-$A$15,DK$13)="",10^12,OFFSET(PLE!$G$15,$M99-$A$15,DK$13)))</f>
        <v>0</v>
      </c>
      <c r="DL99" s="172" cm="1">
        <f t="array" aca="1" ref="DL99" ca="1">IF(OR($D99&lt;&gt;"Serviço",AND(AUTOEVENTO="Manual",$M99=$A$15),$M99&gt;(ROW(PLE.lastrow)-ROW(PLE.firstrow))),0,
           IF(OFFSET(PLE!$G$15,$M99-$A$15,DL$13)="",10^12,OFFSET(PLE!$G$15,$M99-$A$15,DL$13)))</f>
        <v>0</v>
      </c>
      <c r="DM99" s="172" cm="1">
        <f t="array" aca="1" ref="DM99" ca="1">IF(OR($D99&lt;&gt;"Serviço",AND(AUTOEVENTO="Manual",$M99=$A$15),$M99&gt;(ROW(PLE.lastrow)-ROW(PLE.firstrow))),0,
           IF(OFFSET(PLE!$G$15,$M99-$A$15,DM$13)="",10^12,OFFSET(PLE!$G$15,$M99-$A$15,DM$13)))</f>
        <v>0</v>
      </c>
      <c r="DN99" s="172" cm="1">
        <f t="array" aca="1" ref="DN99" ca="1">IF(OR($D99&lt;&gt;"Serviço",AND(AUTOEVENTO="Manual",$M99=$A$15),$M99&gt;(ROW(PLE.lastrow)-ROW(PLE.firstrow))),0,
           IF(OFFSET(PLE!$G$15,$M99-$A$15,DN$13)="",10^12,OFFSET(PLE!$G$15,$M99-$A$15,DN$13)))</f>
        <v>0</v>
      </c>
      <c r="DO99" s="172" cm="1">
        <f t="array" aca="1" ref="DO99" ca="1">IF(OR($D99&lt;&gt;"Serviço",AND(AUTOEVENTO="Manual",$M99=$A$15),$M99&gt;(ROW(PLE.lastrow)-ROW(PLE.firstrow))),0,
           IF(OFFSET(PLE!$G$15,$M99-$A$15,DO$13)="",10^12,OFFSET(PLE!$G$15,$M99-$A$15,DO$13)))</f>
        <v>0</v>
      </c>
      <c r="DP99" s="172" cm="1">
        <f t="array" aca="1" ref="DP99" ca="1">IF(OR($D99&lt;&gt;"Serviço",AND(AUTOEVENTO="Manual",$M99=$A$15),$M99&gt;(ROW(PLE.lastrow)-ROW(PLE.firstrow))),0,
           IF(OFFSET(PLE!$G$15,$M99-$A$15,DP$13)="",10^12,OFFSET(PLE!$G$15,$M99-$A$15,DP$13)))</f>
        <v>0</v>
      </c>
      <c r="DQ99" s="172" cm="1">
        <f t="array" aca="1" ref="DQ99" ca="1">IF(OR($D99&lt;&gt;"Serviço",AND(AUTOEVENTO="Manual",$M99=$A$15),$M99&gt;(ROW(PLE.lastrow)-ROW(PLE.firstrow))),0,
           IF(OFFSET(PLE!$G$15,$M99-$A$15,DQ$13)="",10^12,OFFSET(PLE!$G$15,$M99-$A$15,DQ$13)))</f>
        <v>0</v>
      </c>
      <c r="DR99" s="172" cm="1">
        <f t="array" aca="1" ref="DR99" ca="1">IF(OR($D99&lt;&gt;"Serviço",AND(AUTOEVENTO="Manual",$M99=$A$15),$M99&gt;(ROW(PLE.lastrow)-ROW(PLE.firstrow))),0,
           IF(OFFSET(PLE!$G$15,$M99-$A$15,DR$13)="",10^12,OFFSET(PLE!$G$15,$M99-$A$15,DR$13)))</f>
        <v>0</v>
      </c>
      <c r="DS99" s="172" cm="1">
        <f t="array" aca="1" ref="DS99" ca="1">IF(OR($D99&lt;&gt;"Serviço",AND(AUTOEVENTO="Manual",$M99=$A$15),$M99&gt;(ROW(PLE.lastrow)-ROW(PLE.firstrow))),0,
           IF(OFFSET(PLE!$G$15,$M99-$A$15,DS$13)="",10^12,OFFSET(PLE!$G$15,$M99-$A$15,DS$13)))</f>
        <v>0</v>
      </c>
    </row>
    <row r="100" spans="1:123" ht="38.25" x14ac:dyDescent="0.2">
      <c r="A100" s="7">
        <f t="shared" ca="1" si="13"/>
        <v>7</v>
      </c>
      <c r="B100" s="7" t="str">
        <f ca="1">OFFSET(ORÇAMENTO!C$15,$L100,0)</f>
        <v>S</v>
      </c>
      <c r="C100" s="7" t="str">
        <f ca="1">OFFSET(ORÇAMENTO!L$15,$L100,0)</f>
        <v/>
      </c>
      <c r="D100" s="116" t="str">
        <f ca="1">OFFSET(ORÇAMENTO!N$15,$L100,0)</f>
        <v>Serviço</v>
      </c>
      <c r="E100" s="117" t="str">
        <f ca="1">OFFSET(ORÇAMENTO!O$15,$L100,0)</f>
        <v>-</v>
      </c>
      <c r="F100" s="163" t="str">
        <f ca="1">OFFSET(ORÇAMENTO!R$15,$L100,0)</f>
        <v>(Código não identificado nas referências)</v>
      </c>
      <c r="G100" s="164" t="str">
        <f ca="1">IF($D100&lt;&gt;"Serviço","",OFFSET(ORÇAMENTO!S$15,$L100,0))</f>
        <v>-</v>
      </c>
      <c r="H100" s="122" cm="1">
        <f t="array" aca="1" ref="H100" ca="1">IF($D100&lt;&gt;"Serviço",0,IF(ACOMPANHAMENTO="BM",ROUND(OFFSET(ORÇAMENTO!AJ$15,$L100,0),15-13*ORÇAMENTO!$AF$7),IF(IFERROR(CÁLCULO.FrentesPreenchidas,0)=0,0,SUM(ROUND(OFFSET($P100,0,1,1,CÁLCULO.FrentesPreenchidas),15-13*ORÇAMENTO!$AF$7)))))</f>
        <v>717.99999999999977</v>
      </c>
      <c r="I100" s="468" t="s">
        <v>1235</v>
      </c>
      <c r="J100" s="651" t="str" cm="1">
        <f t="array" aca="1" ref="J100" ca="1">IF(OR(B100&lt;&gt;"S",CÁLCULO.FrentesPreenchidas=0),"",IF(AND(ACOMPANHAMENTO="PLE",AUTOEVENTO="Manual",OR(H100&gt;0,ORÇAMENTO!AC100="QUANT."),OR(K100="",M100=0,N100="")),"►E",IF(AND(ACOMPANHAMENTO="PLE",ORÇAMENTO!AC100="QUANT."),"►Q",IF(AND(ACOMPANHAMENTO="PLE",H100&lt;&gt;SUMPRODUCT(($Q$1:$AQ$1=1)*ROUND(Q100:AQ100,15))),"►S",IF(AND(COUNTIF($P$11:$AQ$11,"▼")=0,H100&gt;0,I100=""),"◄M","")))))</f>
        <v/>
      </c>
      <c r="K100" s="652" t="s">
        <v>1255</v>
      </c>
      <c r="L100" s="165">
        <f t="shared" ca="1" si="14"/>
        <v>85</v>
      </c>
      <c r="M100" s="166">
        <f ca="1">IF($D100&lt;&gt;"Serviço","",
          IF(AUTOEVENTO="manual",$A100,
                IF(ISERROR(MATCH($A100,$A$15:OFFSET($A100,-1,0),0)),MAX($M$15:OFFSET(M100,-1,0))+1,
                      INDEX($M$15:OFFSET(M100,-1,0),MATCH($A100,$A$15:OFFSET($A100,-1,0),0)))))</f>
        <v>7</v>
      </c>
      <c r="N100" s="167" t="str">
        <f ca="1">IF($D100&lt;&gt;"Serviço","",
         IF(AUTOEVENTO="Manual",
                IF($A100=0,"&lt;-- defina o número do agrupador",
                       OFFSET(EVENTOS!$D$15,$A100-$A$15,0)),
                OFFSET($F$15,$A100,0)))</f>
        <v>REVESTIMENTOS</v>
      </c>
      <c r="O100" s="168"/>
      <c r="Q100" s="168">
        <v>35.900000000000006</v>
      </c>
      <c r="R100" s="169">
        <v>35.900000000000006</v>
      </c>
      <c r="S100" s="169">
        <v>35.900000000000006</v>
      </c>
      <c r="T100" s="169">
        <v>35.900000000000006</v>
      </c>
      <c r="U100" s="169">
        <v>35.900000000000006</v>
      </c>
      <c r="V100" s="169">
        <v>35.900000000000006</v>
      </c>
      <c r="W100" s="169">
        <v>35.900000000000006</v>
      </c>
      <c r="X100" s="169">
        <v>35.900000000000006</v>
      </c>
      <c r="Y100" s="169">
        <v>35.900000000000006</v>
      </c>
      <c r="Z100" s="170">
        <v>35.900000000000006</v>
      </c>
      <c r="AA100" s="169">
        <v>35.900000000000006</v>
      </c>
      <c r="AB100" s="169">
        <v>35.900000000000006</v>
      </c>
      <c r="AC100" s="169">
        <v>35.900000000000006</v>
      </c>
      <c r="AD100" s="169">
        <v>35.900000000000006</v>
      </c>
      <c r="AE100" s="169">
        <v>35.900000000000006</v>
      </c>
      <c r="AF100" s="169">
        <v>35.900000000000006</v>
      </c>
      <c r="AG100" s="169">
        <v>35.900000000000006</v>
      </c>
      <c r="AH100" s="170">
        <v>35.900000000000006</v>
      </c>
      <c r="AI100" s="169">
        <v>35.900000000000006</v>
      </c>
      <c r="AJ100" s="169">
        <v>35.900000000000006</v>
      </c>
      <c r="AK100" s="169"/>
      <c r="AL100" s="169"/>
      <c r="AM100" s="169"/>
      <c r="AN100" s="169"/>
      <c r="AO100" s="169"/>
      <c r="AP100" s="170"/>
      <c r="AR100" s="453">
        <f ca="1">IF(AND($D100="Serviço",AR$12&lt;&gt;0,$H100&gt;0,OR(AUTOEVENTO&lt;&gt;"manual",$M100&lt;&gt;$A$15)),
        IF(Import.TipoArredondamento&lt;&gt;"TransfereGOV",
              ROUND(OFFSET($P100,0,AR$13),15-13*ORÇAMENTO!$AF$7)/$H100*OFFSET(ORÇAMENTO!$X$15,ROW(AR100)-ROW(AR$15),0),
              ROUND(ROUND(OFFSET($P100,0,AR$13),15-13*ORÇAMENTO!$AF$7)*OFFSET(ORÇAMENTO!$W$15,ROW(AR100)-ROW(AR$15),0),15-13*ORÇAMENTO!$AF$11)),
         0)</f>
        <v>0</v>
      </c>
      <c r="AS100" s="453">
        <f ca="1">IF(AND($D100="Serviço",AS$12&lt;&gt;0,$H100&gt;0,OR(AUTOEVENTO&lt;&gt;"manual",$M100&lt;&gt;$A$15)),
        IF(Import.TipoArredondamento&lt;&gt;"TransfereGOV",
              ROUND(OFFSET($P100,0,AS$13),15-13*ORÇAMENTO!$AF$7)/$H100*OFFSET(ORÇAMENTO!$X$15,ROW(AS100)-ROW(AS$15),0),
              ROUND(ROUND(OFFSET($P100,0,AS$13),15-13*ORÇAMENTO!$AF$7)*OFFSET(ORÇAMENTO!$W$15,ROW(AS100)-ROW(AS$15),0),15-13*ORÇAMENTO!$AF$11)),
         0)</f>
        <v>0</v>
      </c>
      <c r="AT100" s="453">
        <f ca="1">IF(AND($D100="Serviço",AT$12&lt;&gt;0,$H100&gt;0,OR(AUTOEVENTO&lt;&gt;"manual",$M100&lt;&gt;$A$15)),
        IF(Import.TipoArredondamento&lt;&gt;"TransfereGOV",
              ROUND(OFFSET($P100,0,AT$13),15-13*ORÇAMENTO!$AF$7)/$H100*OFFSET(ORÇAMENTO!$X$15,ROW(AT100)-ROW(AT$15),0),
              ROUND(ROUND(OFFSET($P100,0,AT$13),15-13*ORÇAMENTO!$AF$7)*OFFSET(ORÇAMENTO!$W$15,ROW(AT100)-ROW(AT$15),0),15-13*ORÇAMENTO!$AF$11)),
         0)</f>
        <v>0</v>
      </c>
      <c r="AU100" s="453">
        <f ca="1">IF(AND($D100="Serviço",AU$12&lt;&gt;0,$H100&gt;0,OR(AUTOEVENTO&lt;&gt;"manual",$M100&lt;&gt;$A$15)),
        IF(Import.TipoArredondamento&lt;&gt;"TransfereGOV",
              ROUND(OFFSET($P100,0,AU$13),15-13*ORÇAMENTO!$AF$7)/$H100*OFFSET(ORÇAMENTO!$X$15,ROW(AU100)-ROW(AU$15),0),
              ROUND(ROUND(OFFSET($P100,0,AU$13),15-13*ORÇAMENTO!$AF$7)*OFFSET(ORÇAMENTO!$W$15,ROW(AU100)-ROW(AU$15),0),15-13*ORÇAMENTO!$AF$11)),
         0)</f>
        <v>0</v>
      </c>
      <c r="AV100" s="453">
        <f ca="1">IF(AND($D100="Serviço",AV$12&lt;&gt;0,$H100&gt;0,OR(AUTOEVENTO&lt;&gt;"manual",$M100&lt;&gt;$A$15)),
        IF(Import.TipoArredondamento&lt;&gt;"TransfereGOV",
              ROUND(OFFSET($P100,0,AV$13),15-13*ORÇAMENTO!$AF$7)/$H100*OFFSET(ORÇAMENTO!$X$15,ROW(AV100)-ROW(AV$15),0),
              ROUND(ROUND(OFFSET($P100,0,AV$13),15-13*ORÇAMENTO!$AF$7)*OFFSET(ORÇAMENTO!$W$15,ROW(AV100)-ROW(AV$15),0),15-13*ORÇAMENTO!$AF$11)),
         0)</f>
        <v>0</v>
      </c>
      <c r="AW100" s="453">
        <f ca="1">IF(AND($D100="Serviço",AW$12&lt;&gt;0,$H100&gt;0,OR(AUTOEVENTO&lt;&gt;"manual",$M100&lt;&gt;$A$15)),
        IF(Import.TipoArredondamento&lt;&gt;"TransfereGOV",
              ROUND(OFFSET($P100,0,AW$13),15-13*ORÇAMENTO!$AF$7)/$H100*OFFSET(ORÇAMENTO!$X$15,ROW(AW100)-ROW(AW$15),0),
              ROUND(ROUND(OFFSET($P100,0,AW$13),15-13*ORÇAMENTO!$AF$7)*OFFSET(ORÇAMENTO!$W$15,ROW(AW100)-ROW(AW$15),0),15-13*ORÇAMENTO!$AF$11)),
         0)</f>
        <v>0</v>
      </c>
      <c r="AX100" s="453">
        <f ca="1">IF(AND($D100="Serviço",AX$12&lt;&gt;0,$H100&gt;0,OR(AUTOEVENTO&lt;&gt;"manual",$M100&lt;&gt;$A$15)),
        IF(Import.TipoArredondamento&lt;&gt;"TransfereGOV",
              ROUND(OFFSET($P100,0,AX$13),15-13*ORÇAMENTO!$AF$7)/$H100*OFFSET(ORÇAMENTO!$X$15,ROW(AX100)-ROW(AX$15),0),
              ROUND(ROUND(OFFSET($P100,0,AX$13),15-13*ORÇAMENTO!$AF$7)*OFFSET(ORÇAMENTO!$W$15,ROW(AX100)-ROW(AX$15),0),15-13*ORÇAMENTO!$AF$11)),
         0)</f>
        <v>0</v>
      </c>
      <c r="AY100" s="453">
        <f ca="1">IF(AND($D100="Serviço",AY$12&lt;&gt;0,$H100&gt;0,OR(AUTOEVENTO&lt;&gt;"manual",$M100&lt;&gt;$A$15)),
        IF(Import.TipoArredondamento&lt;&gt;"TransfereGOV",
              ROUND(OFFSET($P100,0,AY$13),15-13*ORÇAMENTO!$AF$7)/$H100*OFFSET(ORÇAMENTO!$X$15,ROW(AY100)-ROW(AY$15),0),
              ROUND(ROUND(OFFSET($P100,0,AY$13),15-13*ORÇAMENTO!$AF$7)*OFFSET(ORÇAMENTO!$W$15,ROW(AY100)-ROW(AY$15),0),15-13*ORÇAMENTO!$AF$11)),
         0)</f>
        <v>0</v>
      </c>
      <c r="AZ100" s="453">
        <f ca="1">IF(AND($D100="Serviço",AZ$12&lt;&gt;0,$H100&gt;0,OR(AUTOEVENTO&lt;&gt;"manual",$M100&lt;&gt;$A$15)),
        IF(Import.TipoArredondamento&lt;&gt;"TransfereGOV",
              ROUND(OFFSET($P100,0,AZ$13),15-13*ORÇAMENTO!$AF$7)/$H100*OFFSET(ORÇAMENTO!$X$15,ROW(AZ100)-ROW(AZ$15),0),
              ROUND(ROUND(OFFSET($P100,0,AZ$13),15-13*ORÇAMENTO!$AF$7)*OFFSET(ORÇAMENTO!$W$15,ROW(AZ100)-ROW(AZ$15),0),15-13*ORÇAMENTO!$AF$11)),
         0)</f>
        <v>0</v>
      </c>
      <c r="BA100" s="453">
        <f ca="1">IF(AND($D100="Serviço",BA$12&lt;&gt;0,$H100&gt;0,OR(AUTOEVENTO&lt;&gt;"manual",$M100&lt;&gt;$A$15)),
        IF(Import.TipoArredondamento&lt;&gt;"TransfereGOV",
              ROUND(OFFSET($P100,0,BA$13),15-13*ORÇAMENTO!$AF$7)/$H100*OFFSET(ORÇAMENTO!$X$15,ROW(BA100)-ROW(BA$15),0),
              ROUND(ROUND(OFFSET($P100,0,BA$13),15-13*ORÇAMENTO!$AF$7)*OFFSET(ORÇAMENTO!$W$15,ROW(BA100)-ROW(BA$15),0),15-13*ORÇAMENTO!$AF$11)),
         0)</f>
        <v>0</v>
      </c>
      <c r="BB100" s="453">
        <f ca="1">IF(AND($D100="Serviço",BB$12&lt;&gt;0,$H100&gt;0,OR(AUTOEVENTO&lt;&gt;"manual",$M100&lt;&gt;$A$15)),
        IF(Import.TipoArredondamento&lt;&gt;"TransfereGOV",
              ROUND(OFFSET($P100,0,BB$13),15-13*ORÇAMENTO!$AF$7)/$H100*OFFSET(ORÇAMENTO!$X$15,ROW(BB100)-ROW(BB$15),0),
              ROUND(ROUND(OFFSET($P100,0,BB$13),15-13*ORÇAMENTO!$AF$7)*OFFSET(ORÇAMENTO!$W$15,ROW(BB100)-ROW(BB$15),0),15-13*ORÇAMENTO!$AF$11)),
         0)</f>
        <v>0</v>
      </c>
      <c r="BC100" s="453">
        <f ca="1">IF(AND($D100="Serviço",BC$12&lt;&gt;0,$H100&gt;0,OR(AUTOEVENTO&lt;&gt;"manual",$M100&lt;&gt;$A$15)),
        IF(Import.TipoArredondamento&lt;&gt;"TransfereGOV",
              ROUND(OFFSET($P100,0,BC$13),15-13*ORÇAMENTO!$AF$7)/$H100*OFFSET(ORÇAMENTO!$X$15,ROW(BC100)-ROW(BC$15),0),
              ROUND(ROUND(OFFSET($P100,0,BC$13),15-13*ORÇAMENTO!$AF$7)*OFFSET(ORÇAMENTO!$W$15,ROW(BC100)-ROW(BC$15),0),15-13*ORÇAMENTO!$AF$11)),
         0)</f>
        <v>0</v>
      </c>
      <c r="BD100" s="453">
        <f ca="1">IF(AND($D100="Serviço",BD$12&lt;&gt;0,$H100&gt;0,OR(AUTOEVENTO&lt;&gt;"manual",$M100&lt;&gt;$A$15)),
        IF(Import.TipoArredondamento&lt;&gt;"TransfereGOV",
              ROUND(OFFSET($P100,0,BD$13),15-13*ORÇAMENTO!$AF$7)/$H100*OFFSET(ORÇAMENTO!$X$15,ROW(BD100)-ROW(BD$15),0),
              ROUND(ROUND(OFFSET($P100,0,BD$13),15-13*ORÇAMENTO!$AF$7)*OFFSET(ORÇAMENTO!$W$15,ROW(BD100)-ROW(BD$15),0),15-13*ORÇAMENTO!$AF$11)),
         0)</f>
        <v>0</v>
      </c>
      <c r="BE100" s="453">
        <f ca="1">IF(AND($D100="Serviço",BE$12&lt;&gt;0,$H100&gt;0,OR(AUTOEVENTO&lt;&gt;"manual",$M100&lt;&gt;$A$15)),
        IF(Import.TipoArredondamento&lt;&gt;"TransfereGOV",
              ROUND(OFFSET($P100,0,BE$13),15-13*ORÇAMENTO!$AF$7)/$H100*OFFSET(ORÇAMENTO!$X$15,ROW(BE100)-ROW(BE$15),0),
              ROUND(ROUND(OFFSET($P100,0,BE$13),15-13*ORÇAMENTO!$AF$7)*OFFSET(ORÇAMENTO!$W$15,ROW(BE100)-ROW(BE$15),0),15-13*ORÇAMENTO!$AF$11)),
         0)</f>
        <v>0</v>
      </c>
      <c r="BF100" s="453">
        <f ca="1">IF(AND($D100="Serviço",BF$12&lt;&gt;0,$H100&gt;0,OR(AUTOEVENTO&lt;&gt;"manual",$M100&lt;&gt;$A$15)),
        IF(Import.TipoArredondamento&lt;&gt;"TransfereGOV",
              ROUND(OFFSET($P100,0,BF$13),15-13*ORÇAMENTO!$AF$7)/$H100*OFFSET(ORÇAMENTO!$X$15,ROW(BF100)-ROW(BF$15),0),
              ROUND(ROUND(OFFSET($P100,0,BF$13),15-13*ORÇAMENTO!$AF$7)*OFFSET(ORÇAMENTO!$W$15,ROW(BF100)-ROW(BF$15),0),15-13*ORÇAMENTO!$AF$11)),
         0)</f>
        <v>0</v>
      </c>
      <c r="BG100" s="453">
        <f ca="1">IF(AND($D100="Serviço",BG$12&lt;&gt;0,$H100&gt;0,OR(AUTOEVENTO&lt;&gt;"manual",$M100&lt;&gt;$A$15)),
        IF(Import.TipoArredondamento&lt;&gt;"TransfereGOV",
              ROUND(OFFSET($P100,0,BG$13),15-13*ORÇAMENTO!$AF$7)/$H100*OFFSET(ORÇAMENTO!$X$15,ROW(BG100)-ROW(BG$15),0),
              ROUND(ROUND(OFFSET($P100,0,BG$13),15-13*ORÇAMENTO!$AF$7)*OFFSET(ORÇAMENTO!$W$15,ROW(BG100)-ROW(BG$15),0),15-13*ORÇAMENTO!$AF$11)),
         0)</f>
        <v>0</v>
      </c>
      <c r="BH100" s="453">
        <f ca="1">IF(AND($D100="Serviço",BH$12&lt;&gt;0,$H100&gt;0,OR(AUTOEVENTO&lt;&gt;"manual",$M100&lt;&gt;$A$15)),
        IF(Import.TipoArredondamento&lt;&gt;"TransfereGOV",
              ROUND(OFFSET($P100,0,BH$13),15-13*ORÇAMENTO!$AF$7)/$H100*OFFSET(ORÇAMENTO!$X$15,ROW(BH100)-ROW(BH$15),0),
              ROUND(ROUND(OFFSET($P100,0,BH$13),15-13*ORÇAMENTO!$AF$7)*OFFSET(ORÇAMENTO!$W$15,ROW(BH100)-ROW(BH$15),0),15-13*ORÇAMENTO!$AF$11)),
         0)</f>
        <v>0</v>
      </c>
      <c r="BI100" s="453">
        <f ca="1">IF(AND($D100="Serviço",BI$12&lt;&gt;0,$H100&gt;0,OR(AUTOEVENTO&lt;&gt;"manual",$M100&lt;&gt;$A$15)),
        IF(Import.TipoArredondamento&lt;&gt;"TransfereGOV",
              ROUND(OFFSET($P100,0,BI$13),15-13*ORÇAMENTO!$AF$7)/$H100*OFFSET(ORÇAMENTO!$X$15,ROW(BI100)-ROW(BI$15),0),
              ROUND(ROUND(OFFSET($P100,0,BI$13),15-13*ORÇAMENTO!$AF$7)*OFFSET(ORÇAMENTO!$W$15,ROW(BI100)-ROW(BI$15),0),15-13*ORÇAMENTO!$AF$11)),
         0)</f>
        <v>0</v>
      </c>
      <c r="BJ100" s="453">
        <f ca="1">IF(AND($D100="Serviço",BJ$12&lt;&gt;0,$H100&gt;0,OR(AUTOEVENTO&lt;&gt;"manual",$M100&lt;&gt;$A$15)),
        IF(Import.TipoArredondamento&lt;&gt;"TransfereGOV",
              ROUND(OFFSET($P100,0,BJ$13),15-13*ORÇAMENTO!$AF$7)/$H100*OFFSET(ORÇAMENTO!$X$15,ROW(BJ100)-ROW(BJ$15),0),
              ROUND(ROUND(OFFSET($P100,0,BJ$13),15-13*ORÇAMENTO!$AF$7)*OFFSET(ORÇAMENTO!$W$15,ROW(BJ100)-ROW(BJ$15),0),15-13*ORÇAMENTO!$AF$11)),
         0)</f>
        <v>0</v>
      </c>
      <c r="BK100" s="453">
        <f ca="1">IF(AND($D100="Serviço",BK$12&lt;&gt;0,$H100&gt;0,OR(AUTOEVENTO&lt;&gt;"manual",$M100&lt;&gt;$A$15)),
        IF(Import.TipoArredondamento&lt;&gt;"TransfereGOV",
              ROUND(OFFSET($P100,0,BK$13),15-13*ORÇAMENTO!$AF$7)/$H100*OFFSET(ORÇAMENTO!$X$15,ROW(BK100)-ROW(BK$15),0),
              ROUND(ROUND(OFFSET($P100,0,BK$13),15-13*ORÇAMENTO!$AF$7)*OFFSET(ORÇAMENTO!$W$15,ROW(BK100)-ROW(BK$15),0),15-13*ORÇAMENTO!$AF$11)),
         0)</f>
        <v>0</v>
      </c>
      <c r="BL100" s="453">
        <f ca="1">IF(AND($D100="Serviço",BL$12&lt;&gt;0,$H100&gt;0,OR(AUTOEVENTO&lt;&gt;"manual",$M100&lt;&gt;$A$15)),
        IF(Import.TipoArredondamento&lt;&gt;"TransfereGOV",
              ROUND(OFFSET($P100,0,BL$13),15-13*ORÇAMENTO!$AF$7)/$H100*OFFSET(ORÇAMENTO!$X$15,ROW(BL100)-ROW(BL$15),0),
              ROUND(ROUND(OFFSET($P100,0,BL$13),15-13*ORÇAMENTO!$AF$7)*OFFSET(ORÇAMENTO!$W$15,ROW(BL100)-ROW(BL$15),0),15-13*ORÇAMENTO!$AF$11)),
         0)</f>
        <v>0</v>
      </c>
      <c r="BM100" s="453">
        <f ca="1">IF(AND($D100="Serviço",BM$12&lt;&gt;0,$H100&gt;0,OR(AUTOEVENTO&lt;&gt;"manual",$M100&lt;&gt;$A$15)),
        IF(Import.TipoArredondamento&lt;&gt;"TransfereGOV",
              ROUND(OFFSET($P100,0,BM$13),15-13*ORÇAMENTO!$AF$7)/$H100*OFFSET(ORÇAMENTO!$X$15,ROW(BM100)-ROW(BM$15),0),
              ROUND(ROUND(OFFSET($P100,0,BM$13),15-13*ORÇAMENTO!$AF$7)*OFFSET(ORÇAMENTO!$W$15,ROW(BM100)-ROW(BM$15),0),15-13*ORÇAMENTO!$AF$11)),
         0)</f>
        <v>0</v>
      </c>
      <c r="BN100" s="453">
        <f ca="1">IF(AND($D100="Serviço",BN$12&lt;&gt;0,$H100&gt;0,OR(AUTOEVENTO&lt;&gt;"manual",$M100&lt;&gt;$A$15)),
        IF(Import.TipoArredondamento&lt;&gt;"TransfereGOV",
              ROUND(OFFSET($P100,0,BN$13),15-13*ORÇAMENTO!$AF$7)/$H100*OFFSET(ORÇAMENTO!$X$15,ROW(BN100)-ROW(BN$15),0),
              ROUND(ROUND(OFFSET($P100,0,BN$13),15-13*ORÇAMENTO!$AF$7)*OFFSET(ORÇAMENTO!$W$15,ROW(BN100)-ROW(BN$15),0),15-13*ORÇAMENTO!$AF$11)),
         0)</f>
        <v>0</v>
      </c>
      <c r="BO100" s="453">
        <f ca="1">IF(AND($D100="Serviço",BO$12&lt;&gt;0,$H100&gt;0,OR(AUTOEVENTO&lt;&gt;"manual",$M100&lt;&gt;$A$15)),
        IF(Import.TipoArredondamento&lt;&gt;"TransfereGOV",
              ROUND(OFFSET($P100,0,BO$13),15-13*ORÇAMENTO!$AF$7)/$H100*OFFSET(ORÇAMENTO!$X$15,ROW(BO100)-ROW(BO$15),0),
              ROUND(ROUND(OFFSET($P100,0,BO$13),15-13*ORÇAMENTO!$AF$7)*OFFSET(ORÇAMENTO!$W$15,ROW(BO100)-ROW(BO$15),0),15-13*ORÇAMENTO!$AF$11)),
         0)</f>
        <v>0</v>
      </c>
      <c r="BP100" s="453">
        <f ca="1">IF(AND($D100="Serviço",BP$12&lt;&gt;0,$H100&gt;0,OR(AUTOEVENTO&lt;&gt;"manual",$M100&lt;&gt;$A$15)),
        IF(Import.TipoArredondamento&lt;&gt;"TransfereGOV",
              ROUND(OFFSET($P100,0,BP$13),15-13*ORÇAMENTO!$AF$7)/$H100*OFFSET(ORÇAMENTO!$X$15,ROW(BP100)-ROW(BP$15),0),
              ROUND(ROUND(OFFSET($P100,0,BP$13),15-13*ORÇAMENTO!$AF$7)*OFFSET(ORÇAMENTO!$W$15,ROW(BP100)-ROW(BP$15),0),15-13*ORÇAMENTO!$AF$11)),
         0)</f>
        <v>0</v>
      </c>
      <c r="BQ100" s="453">
        <f ca="1">IF(AND($D100="Serviço",BQ$12&lt;&gt;0,$H100&gt;0,OR(AUTOEVENTO&lt;&gt;"manual",$M100&lt;&gt;$A$15)),
        IF(Import.TipoArredondamento&lt;&gt;"TransfereGOV",
              ROUND(OFFSET($P100,0,BQ$13),15-13*ORÇAMENTO!$AF$7)/$H100*OFFSET(ORÇAMENTO!$X$15,ROW(BQ100)-ROW(BQ$15),0),
              ROUND(ROUND(OFFSET($P100,0,BQ$13),15-13*ORÇAMENTO!$AF$7)*OFFSET(ORÇAMENTO!$W$15,ROW(BQ100)-ROW(BQ$15),0),15-13*ORÇAMENTO!$AF$11)),
         0)</f>
        <v>0</v>
      </c>
      <c r="BS100" s="171">
        <f ca="1">IF(OR($D100&lt;&gt;"Serviço",AND(AUTOEVENTO="Manual",$M100=$A$15)),0,
         IF(OFFSET(CRONOPLE!$F$15,$M100-$A$15,BS$13)=0,10^12,OFFSET(CRONOPLE!$F$15,$M100-$A$15,BS$13)))</f>
        <v>1</v>
      </c>
      <c r="BT100" s="171">
        <f ca="1">IF(OR($D100&lt;&gt;"Serviço",AND(AUTOEVENTO="Manual",$M100=$A$15)),0,
         IF(OFFSET(CRONOPLE!$F$15,$M100-$A$15,BT$13)=0,10^12,OFFSET(CRONOPLE!$F$15,$M100-$A$15,BT$13)))</f>
        <v>2</v>
      </c>
      <c r="BU100" s="171">
        <f ca="1">IF(OR($D100&lt;&gt;"Serviço",AND(AUTOEVENTO="Manual",$M100=$A$15)),0,
         IF(OFFSET(CRONOPLE!$F$15,$M100-$A$15,BU$13)=0,10^12,OFFSET(CRONOPLE!$F$15,$M100-$A$15,BU$13)))</f>
        <v>3</v>
      </c>
      <c r="BV100" s="171">
        <f ca="1">IF(OR($D100&lt;&gt;"Serviço",AND(AUTOEVENTO="Manual",$M100=$A$15)),0,
         IF(OFFSET(CRONOPLE!$F$15,$M100-$A$15,BV$13)=0,10^12,OFFSET(CRONOPLE!$F$15,$M100-$A$15,BV$13)))</f>
        <v>4</v>
      </c>
      <c r="BW100" s="171">
        <f ca="1">IF(OR($D100&lt;&gt;"Serviço",AND(AUTOEVENTO="Manual",$M100=$A$15)),0,
         IF(OFFSET(CRONOPLE!$F$15,$M100-$A$15,BW$13)=0,10^12,OFFSET(CRONOPLE!$F$15,$M100-$A$15,BW$13)))</f>
        <v>5</v>
      </c>
      <c r="BX100" s="171">
        <f ca="1">IF(OR($D100&lt;&gt;"Serviço",AND(AUTOEVENTO="Manual",$M100=$A$15)),0,
         IF(OFFSET(CRONOPLE!$F$15,$M100-$A$15,BX$13)=0,10^12,OFFSET(CRONOPLE!$F$15,$M100-$A$15,BX$13)))</f>
        <v>6</v>
      </c>
      <c r="BY100" s="171">
        <f ca="1">IF(OR($D100&lt;&gt;"Serviço",AND(AUTOEVENTO="Manual",$M100=$A$15)),0,
         IF(OFFSET(CRONOPLE!$F$15,$M100-$A$15,BY$13)=0,10^12,OFFSET(CRONOPLE!$F$15,$M100-$A$15,BY$13)))</f>
        <v>7</v>
      </c>
      <c r="BZ100" s="171">
        <f ca="1">IF(OR($D100&lt;&gt;"Serviço",AND(AUTOEVENTO="Manual",$M100=$A$15)),0,
         IF(OFFSET(CRONOPLE!$F$15,$M100-$A$15,BZ$13)=0,10^12,OFFSET(CRONOPLE!$F$15,$M100-$A$15,BZ$13)))</f>
        <v>8</v>
      </c>
      <c r="CA100" s="171">
        <f ca="1">IF(OR($D100&lt;&gt;"Serviço",AND(AUTOEVENTO="Manual",$M100=$A$15)),0,
         IF(OFFSET(CRONOPLE!$F$15,$M100-$A$15,CA$13)=0,10^12,OFFSET(CRONOPLE!$F$15,$M100-$A$15,CA$13)))</f>
        <v>9</v>
      </c>
      <c r="CB100" s="171">
        <f ca="1">IF(OR($D100&lt;&gt;"Serviço",AND(AUTOEVENTO="Manual",$M100=$A$15)),0,
         IF(OFFSET(CRONOPLE!$F$15,$M100-$A$15,CB$13)=0,10^12,OFFSET(CRONOPLE!$F$15,$M100-$A$15,CB$13)))</f>
        <v>10</v>
      </c>
      <c r="CC100" s="171">
        <f ca="1">IF(OR($D100&lt;&gt;"Serviço",AND(AUTOEVENTO="Manual",$M100=$A$15)),0,
         IF(OFFSET(CRONOPLE!$F$15,$M100-$A$15,CC$13)=0,10^12,OFFSET(CRONOPLE!$F$15,$M100-$A$15,CC$13)))</f>
        <v>11</v>
      </c>
      <c r="CD100" s="171">
        <f ca="1">IF(OR($D100&lt;&gt;"Serviço",AND(AUTOEVENTO="Manual",$M100=$A$15)),0,
         IF(OFFSET(CRONOPLE!$F$15,$M100-$A$15,CD$13)=0,10^12,OFFSET(CRONOPLE!$F$15,$M100-$A$15,CD$13)))</f>
        <v>12</v>
      </c>
      <c r="CE100" s="171">
        <f ca="1">IF(OR($D100&lt;&gt;"Serviço",AND(AUTOEVENTO="Manual",$M100=$A$15)),0,
         IF(OFFSET(CRONOPLE!$F$15,$M100-$A$15,CE$13)=0,10^12,OFFSET(CRONOPLE!$F$15,$M100-$A$15,CE$13)))</f>
        <v>13</v>
      </c>
      <c r="CF100" s="171">
        <f ca="1">IF(OR($D100&lt;&gt;"Serviço",AND(AUTOEVENTO="Manual",$M100=$A$15)),0,
         IF(OFFSET(CRONOPLE!$F$15,$M100-$A$15,CF$13)=0,10^12,OFFSET(CRONOPLE!$F$15,$M100-$A$15,CF$13)))</f>
        <v>14</v>
      </c>
      <c r="CG100" s="171">
        <f ca="1">IF(OR($D100&lt;&gt;"Serviço",AND(AUTOEVENTO="Manual",$M100=$A$15)),0,
         IF(OFFSET(CRONOPLE!$F$15,$M100-$A$15,CG$13)=0,10^12,OFFSET(CRONOPLE!$F$15,$M100-$A$15,CG$13)))</f>
        <v>15</v>
      </c>
      <c r="CH100" s="171">
        <f ca="1">IF(OR($D100&lt;&gt;"Serviço",AND(AUTOEVENTO="Manual",$M100=$A$15)),0,
         IF(OFFSET(CRONOPLE!$F$15,$M100-$A$15,CH$13)=0,10^12,OFFSET(CRONOPLE!$F$15,$M100-$A$15,CH$13)))</f>
        <v>16</v>
      </c>
      <c r="CI100" s="171">
        <f ca="1">IF(OR($D100&lt;&gt;"Serviço",AND(AUTOEVENTO="Manual",$M100=$A$15)),0,
         IF(OFFSET(CRONOPLE!$F$15,$M100-$A$15,CI$13)=0,10^12,OFFSET(CRONOPLE!$F$15,$M100-$A$15,CI$13)))</f>
        <v>17</v>
      </c>
      <c r="CJ100" s="171">
        <f ca="1">IF(OR($D100&lt;&gt;"Serviço",AND(AUTOEVENTO="Manual",$M100=$A$15)),0,
         IF(OFFSET(CRONOPLE!$F$15,$M100-$A$15,CJ$13)=0,10^12,OFFSET(CRONOPLE!$F$15,$M100-$A$15,CJ$13)))</f>
        <v>18</v>
      </c>
      <c r="CK100" s="171">
        <f ca="1">IF(OR($D100&lt;&gt;"Serviço",AND(AUTOEVENTO="Manual",$M100=$A$15)),0,
         IF(OFFSET(CRONOPLE!$F$15,$M100-$A$15,CK$13)=0,10^12,OFFSET(CRONOPLE!$F$15,$M100-$A$15,CK$13)))</f>
        <v>19</v>
      </c>
      <c r="CL100" s="171">
        <f ca="1">IF(OR($D100&lt;&gt;"Serviço",AND(AUTOEVENTO="Manual",$M100=$A$15)),0,
         IF(OFFSET(CRONOPLE!$F$15,$M100-$A$15,CL$13)=0,10^12,OFFSET(CRONOPLE!$F$15,$M100-$A$15,CL$13)))</f>
        <v>20</v>
      </c>
      <c r="CM100" s="171">
        <f ca="1">IF(OR($D100&lt;&gt;"Serviço",AND(AUTOEVENTO="Manual",$M100=$A$15)),0,
         IF(OFFSET(CRONOPLE!$F$15,$M100-$A$15,CM$13)=0,10^12,OFFSET(CRONOPLE!$F$15,$M100-$A$15,CM$13)))</f>
        <v>1000000000000</v>
      </c>
      <c r="CN100" s="171">
        <f ca="1">IF(OR($D100&lt;&gt;"Serviço",AND(AUTOEVENTO="Manual",$M100=$A$15)),0,
         IF(OFFSET(CRONOPLE!$F$15,$M100-$A$15,CN$13)=0,10^12,OFFSET(CRONOPLE!$F$15,$M100-$A$15,CN$13)))</f>
        <v>1000000000000</v>
      </c>
      <c r="CO100" s="171">
        <f ca="1">IF(OR($D100&lt;&gt;"Serviço",AND(AUTOEVENTO="Manual",$M100=$A$15)),0,
         IF(OFFSET(CRONOPLE!$F$15,$M100-$A$15,CO$13)=0,10^12,OFFSET(CRONOPLE!$F$15,$M100-$A$15,CO$13)))</f>
        <v>1000000000000</v>
      </c>
      <c r="CP100" s="171">
        <f ca="1">IF(OR($D100&lt;&gt;"Serviço",AND(AUTOEVENTO="Manual",$M100=$A$15)),0,
         IF(OFFSET(CRONOPLE!$F$15,$M100-$A$15,CP$13)=0,10^12,OFFSET(CRONOPLE!$F$15,$M100-$A$15,CP$13)))</f>
        <v>1000000000000</v>
      </c>
      <c r="CQ100" s="171">
        <f ca="1">IF(OR($D100&lt;&gt;"Serviço",AND(AUTOEVENTO="Manual",$M100=$A$15)),0,
         IF(OFFSET(CRONOPLE!$F$15,$M100-$A$15,CQ$13)=0,10^12,OFFSET(CRONOPLE!$F$15,$M100-$A$15,CQ$13)))</f>
        <v>1000000000000</v>
      </c>
      <c r="CR100" s="171">
        <f ca="1">IF(OR($D100&lt;&gt;"Serviço",AND(AUTOEVENTO="Manual",$M100=$A$15)),0,
         IF(OFFSET(CRONOPLE!$F$15,$M100-$A$15,CR$13)=0,10^12,OFFSET(CRONOPLE!$F$15,$M100-$A$15,CR$13)))</f>
        <v>1000000000000</v>
      </c>
      <c r="CT100" s="172" cm="1">
        <f t="array" aca="1" ref="CT100" ca="1">IF(OR($D100&lt;&gt;"Serviço",AND(AUTOEVENTO="Manual",$M100=$A$15),$M100&gt;(ROW(PLE.lastrow)-ROW(PLE.firstrow))),0,
           IF(OFFSET(PLE!$G$15,$M100-$A$15,CT$13)="",10^12,OFFSET(PLE!$G$15,$M100-$A$15,CT$13)))</f>
        <v>1000000000000</v>
      </c>
      <c r="CU100" s="172" cm="1">
        <f t="array" aca="1" ref="CU100" ca="1">IF(OR($D100&lt;&gt;"Serviço",AND(AUTOEVENTO="Manual",$M100=$A$15),$M100&gt;(ROW(PLE.lastrow)-ROW(PLE.firstrow))),0,
           IF(OFFSET(PLE!$G$15,$M100-$A$15,CU$13)="",10^12,OFFSET(PLE!$G$15,$M100-$A$15,CU$13)))</f>
        <v>1000000000000</v>
      </c>
      <c r="CV100" s="172" cm="1">
        <f t="array" aca="1" ref="CV100" ca="1">IF(OR($D100&lt;&gt;"Serviço",AND(AUTOEVENTO="Manual",$M100=$A$15),$M100&gt;(ROW(PLE.lastrow)-ROW(PLE.firstrow))),0,
           IF(OFFSET(PLE!$G$15,$M100-$A$15,CV$13)="",10^12,OFFSET(PLE!$G$15,$M100-$A$15,CV$13)))</f>
        <v>1000000000000</v>
      </c>
      <c r="CW100" s="172" cm="1">
        <f t="array" aca="1" ref="CW100" ca="1">IF(OR($D100&lt;&gt;"Serviço",AND(AUTOEVENTO="Manual",$M100=$A$15),$M100&gt;(ROW(PLE.lastrow)-ROW(PLE.firstrow))),0,
           IF(OFFSET(PLE!$G$15,$M100-$A$15,CW$13)="",10^12,OFFSET(PLE!$G$15,$M100-$A$15,CW$13)))</f>
        <v>1000000000000</v>
      </c>
      <c r="CX100" s="172" cm="1">
        <f t="array" aca="1" ref="CX100" ca="1">IF(OR($D100&lt;&gt;"Serviço",AND(AUTOEVENTO="Manual",$M100=$A$15),$M100&gt;(ROW(PLE.lastrow)-ROW(PLE.firstrow))),0,
           IF(OFFSET(PLE!$G$15,$M100-$A$15,CX$13)="",10^12,OFFSET(PLE!$G$15,$M100-$A$15,CX$13)))</f>
        <v>1000000000000</v>
      </c>
      <c r="CY100" s="172" cm="1">
        <f t="array" aca="1" ref="CY100" ca="1">IF(OR($D100&lt;&gt;"Serviço",AND(AUTOEVENTO="Manual",$M100=$A$15),$M100&gt;(ROW(PLE.lastrow)-ROW(PLE.firstrow))),0,
           IF(OFFSET(PLE!$G$15,$M100-$A$15,CY$13)="",10^12,OFFSET(PLE!$G$15,$M100-$A$15,CY$13)))</f>
        <v>1000000000000</v>
      </c>
      <c r="CZ100" s="172" cm="1">
        <f t="array" aca="1" ref="CZ100" ca="1">IF(OR($D100&lt;&gt;"Serviço",AND(AUTOEVENTO="Manual",$M100=$A$15),$M100&gt;(ROW(PLE.lastrow)-ROW(PLE.firstrow))),0,
           IF(OFFSET(PLE!$G$15,$M100-$A$15,CZ$13)="",10^12,OFFSET(PLE!$G$15,$M100-$A$15,CZ$13)))</f>
        <v>1000000000000</v>
      </c>
      <c r="DA100" s="172" cm="1">
        <f t="array" aca="1" ref="DA100" ca="1">IF(OR($D100&lt;&gt;"Serviço",AND(AUTOEVENTO="Manual",$M100=$A$15),$M100&gt;(ROW(PLE.lastrow)-ROW(PLE.firstrow))),0,
           IF(OFFSET(PLE!$G$15,$M100-$A$15,DA$13)="",10^12,OFFSET(PLE!$G$15,$M100-$A$15,DA$13)))</f>
        <v>1000000000000</v>
      </c>
      <c r="DB100" s="172" cm="1">
        <f t="array" aca="1" ref="DB100" ca="1">IF(OR($D100&lt;&gt;"Serviço",AND(AUTOEVENTO="Manual",$M100=$A$15),$M100&gt;(ROW(PLE.lastrow)-ROW(PLE.firstrow))),0,
           IF(OFFSET(PLE!$G$15,$M100-$A$15,DB$13)="",10^12,OFFSET(PLE!$G$15,$M100-$A$15,DB$13)))</f>
        <v>1000000000000</v>
      </c>
      <c r="DC100" s="172" cm="1">
        <f t="array" aca="1" ref="DC100" ca="1">IF(OR($D100&lt;&gt;"Serviço",AND(AUTOEVENTO="Manual",$M100=$A$15),$M100&gt;(ROW(PLE.lastrow)-ROW(PLE.firstrow))),0,
           IF(OFFSET(PLE!$G$15,$M100-$A$15,DC$13)="",10^12,OFFSET(PLE!$G$15,$M100-$A$15,DC$13)))</f>
        <v>1000000000000</v>
      </c>
      <c r="DD100" s="172" cm="1">
        <f t="array" aca="1" ref="DD100" ca="1">IF(OR($D100&lt;&gt;"Serviço",AND(AUTOEVENTO="Manual",$M100=$A$15),$M100&gt;(ROW(PLE.lastrow)-ROW(PLE.firstrow))),0,
           IF(OFFSET(PLE!$G$15,$M100-$A$15,DD$13)="",10^12,OFFSET(PLE!$G$15,$M100-$A$15,DD$13)))</f>
        <v>1000000000000</v>
      </c>
      <c r="DE100" s="172" cm="1">
        <f t="array" aca="1" ref="DE100" ca="1">IF(OR($D100&lt;&gt;"Serviço",AND(AUTOEVENTO="Manual",$M100=$A$15),$M100&gt;(ROW(PLE.lastrow)-ROW(PLE.firstrow))),0,
           IF(OFFSET(PLE!$G$15,$M100-$A$15,DE$13)="",10^12,OFFSET(PLE!$G$15,$M100-$A$15,DE$13)))</f>
        <v>1000000000000</v>
      </c>
      <c r="DF100" s="172" cm="1">
        <f t="array" aca="1" ref="DF100" ca="1">IF(OR($D100&lt;&gt;"Serviço",AND(AUTOEVENTO="Manual",$M100=$A$15),$M100&gt;(ROW(PLE.lastrow)-ROW(PLE.firstrow))),0,
           IF(OFFSET(PLE!$G$15,$M100-$A$15,DF$13)="",10^12,OFFSET(PLE!$G$15,$M100-$A$15,DF$13)))</f>
        <v>1000000000000</v>
      </c>
      <c r="DG100" s="172" cm="1">
        <f t="array" aca="1" ref="DG100" ca="1">IF(OR($D100&lt;&gt;"Serviço",AND(AUTOEVENTO="Manual",$M100=$A$15),$M100&gt;(ROW(PLE.lastrow)-ROW(PLE.firstrow))),0,
           IF(OFFSET(PLE!$G$15,$M100-$A$15,DG$13)="",10^12,OFFSET(PLE!$G$15,$M100-$A$15,DG$13)))</f>
        <v>1000000000000</v>
      </c>
      <c r="DH100" s="172" cm="1">
        <f t="array" aca="1" ref="DH100" ca="1">IF(OR($D100&lt;&gt;"Serviço",AND(AUTOEVENTO="Manual",$M100=$A$15),$M100&gt;(ROW(PLE.lastrow)-ROW(PLE.firstrow))),0,
           IF(OFFSET(PLE!$G$15,$M100-$A$15,DH$13)="",10^12,OFFSET(PLE!$G$15,$M100-$A$15,DH$13)))</f>
        <v>1000000000000</v>
      </c>
      <c r="DI100" s="172" cm="1">
        <f t="array" aca="1" ref="DI100" ca="1">IF(OR($D100&lt;&gt;"Serviço",AND(AUTOEVENTO="Manual",$M100=$A$15),$M100&gt;(ROW(PLE.lastrow)-ROW(PLE.firstrow))),0,
           IF(OFFSET(PLE!$G$15,$M100-$A$15,DI$13)="",10^12,OFFSET(PLE!$G$15,$M100-$A$15,DI$13)))</f>
        <v>1000000000000</v>
      </c>
      <c r="DJ100" s="172" cm="1">
        <f t="array" aca="1" ref="DJ100" ca="1">IF(OR($D100&lt;&gt;"Serviço",AND(AUTOEVENTO="Manual",$M100=$A$15),$M100&gt;(ROW(PLE.lastrow)-ROW(PLE.firstrow))),0,
           IF(OFFSET(PLE!$G$15,$M100-$A$15,DJ$13)="",10^12,OFFSET(PLE!$G$15,$M100-$A$15,DJ$13)))</f>
        <v>1000000000000</v>
      </c>
      <c r="DK100" s="172" cm="1">
        <f t="array" aca="1" ref="DK100" ca="1">IF(OR($D100&lt;&gt;"Serviço",AND(AUTOEVENTO="Manual",$M100=$A$15),$M100&gt;(ROW(PLE.lastrow)-ROW(PLE.firstrow))),0,
           IF(OFFSET(PLE!$G$15,$M100-$A$15,DK$13)="",10^12,OFFSET(PLE!$G$15,$M100-$A$15,DK$13)))</f>
        <v>1000000000000</v>
      </c>
      <c r="DL100" s="172" cm="1">
        <f t="array" aca="1" ref="DL100" ca="1">IF(OR($D100&lt;&gt;"Serviço",AND(AUTOEVENTO="Manual",$M100=$A$15),$M100&gt;(ROW(PLE.lastrow)-ROW(PLE.firstrow))),0,
           IF(OFFSET(PLE!$G$15,$M100-$A$15,DL$13)="",10^12,OFFSET(PLE!$G$15,$M100-$A$15,DL$13)))</f>
        <v>1000000000000</v>
      </c>
      <c r="DM100" s="172" cm="1">
        <f t="array" aca="1" ref="DM100" ca="1">IF(OR($D100&lt;&gt;"Serviço",AND(AUTOEVENTO="Manual",$M100=$A$15),$M100&gt;(ROW(PLE.lastrow)-ROW(PLE.firstrow))),0,
           IF(OFFSET(PLE!$G$15,$M100-$A$15,DM$13)="",10^12,OFFSET(PLE!$G$15,$M100-$A$15,DM$13)))</f>
        <v>1000000000000</v>
      </c>
      <c r="DN100" s="172" cm="1">
        <f t="array" aca="1" ref="DN100" ca="1">IF(OR($D100&lt;&gt;"Serviço",AND(AUTOEVENTO="Manual",$M100=$A$15),$M100&gt;(ROW(PLE.lastrow)-ROW(PLE.firstrow))),0,
           IF(OFFSET(PLE!$G$15,$M100-$A$15,DN$13)="",10^12,OFFSET(PLE!$G$15,$M100-$A$15,DN$13)))</f>
        <v>1000000000000</v>
      </c>
      <c r="DO100" s="172" cm="1">
        <f t="array" aca="1" ref="DO100" ca="1">IF(OR($D100&lt;&gt;"Serviço",AND(AUTOEVENTO="Manual",$M100=$A$15),$M100&gt;(ROW(PLE.lastrow)-ROW(PLE.firstrow))),0,
           IF(OFFSET(PLE!$G$15,$M100-$A$15,DO$13)="",10^12,OFFSET(PLE!$G$15,$M100-$A$15,DO$13)))</f>
        <v>1000000000000</v>
      </c>
      <c r="DP100" s="172" cm="1">
        <f t="array" aca="1" ref="DP100" ca="1">IF(OR($D100&lt;&gt;"Serviço",AND(AUTOEVENTO="Manual",$M100=$A$15),$M100&gt;(ROW(PLE.lastrow)-ROW(PLE.firstrow))),0,
           IF(OFFSET(PLE!$G$15,$M100-$A$15,DP$13)="",10^12,OFFSET(PLE!$G$15,$M100-$A$15,DP$13)))</f>
        <v>1000000000000</v>
      </c>
      <c r="DQ100" s="172" cm="1">
        <f t="array" aca="1" ref="DQ100" ca="1">IF(OR($D100&lt;&gt;"Serviço",AND(AUTOEVENTO="Manual",$M100=$A$15),$M100&gt;(ROW(PLE.lastrow)-ROW(PLE.firstrow))),0,
           IF(OFFSET(PLE!$G$15,$M100-$A$15,DQ$13)="",10^12,OFFSET(PLE!$G$15,$M100-$A$15,DQ$13)))</f>
        <v>1000000000000</v>
      </c>
      <c r="DR100" s="172" cm="1">
        <f t="array" aca="1" ref="DR100" ca="1">IF(OR($D100&lt;&gt;"Serviço",AND(AUTOEVENTO="Manual",$M100=$A$15),$M100&gt;(ROW(PLE.lastrow)-ROW(PLE.firstrow))),0,
           IF(OFFSET(PLE!$G$15,$M100-$A$15,DR$13)="",10^12,OFFSET(PLE!$G$15,$M100-$A$15,DR$13)))</f>
        <v>1000000000000</v>
      </c>
      <c r="DS100" s="172" cm="1">
        <f t="array" aca="1" ref="DS100" ca="1">IF(OR($D100&lt;&gt;"Serviço",AND(AUTOEVENTO="Manual",$M100=$A$15),$M100&gt;(ROW(PLE.lastrow)-ROW(PLE.firstrow))),0,
           IF(OFFSET(PLE!$G$15,$M100-$A$15,DS$13)="",10^12,OFFSET(PLE!$G$15,$M100-$A$15,DS$13)))</f>
        <v>1000000000000</v>
      </c>
    </row>
    <row r="101" spans="1:123" ht="12.75" x14ac:dyDescent="0.2">
      <c r="A101" s="7">
        <f t="shared" ca="1" si="13"/>
        <v>0</v>
      </c>
      <c r="B101" s="7">
        <f ca="1">OFFSET(ORÇAMENTO!C$15,$L101,0)</f>
        <v>2</v>
      </c>
      <c r="C101" s="7" t="str">
        <f ca="1">OFFSET(ORÇAMENTO!L$15,$L101,0)</f>
        <v>F</v>
      </c>
      <c r="D101" s="116" t="str">
        <f ca="1">OFFSET(ORÇAMENTO!N$15,$L101,0)</f>
        <v>Nível 2</v>
      </c>
      <c r="E101" s="117" t="str">
        <f ca="1">OFFSET(ORÇAMENTO!O$15,$L101,0)</f>
        <v>7.5.</v>
      </c>
      <c r="F101" s="163" t="str">
        <f ca="1">OFFSET(ORÇAMENTO!R$15,$L101,0)</f>
        <v>PINTURA</v>
      </c>
      <c r="G101" s="164" t="str">
        <f ca="1">IF($D101&lt;&gt;"Serviço","",OFFSET(ORÇAMENTO!S$15,$L101,0))</f>
        <v/>
      </c>
      <c r="H101" s="122" cm="1">
        <f t="array" aca="1" ref="H101" ca="1">IF($D101&lt;&gt;"Serviço",0,IF(ACOMPANHAMENTO="BM",ROUND(OFFSET(ORÇAMENTO!AJ$15,$L101,0),15-13*ORÇAMENTO!$AF$7),IF(IFERROR(CÁLCULO.FrentesPreenchidas,0)=0,0,SUM(ROUND(OFFSET($P101,0,1,1,CÁLCULO.FrentesPreenchidas),15-13*ORÇAMENTO!$AF$7)))))</f>
        <v>0</v>
      </c>
      <c r="I101" s="468"/>
      <c r="J101" s="651" t="str" cm="1">
        <f t="array" aca="1" ref="J101" ca="1">IF(OR(B101&lt;&gt;"S",CÁLCULO.FrentesPreenchidas=0),"",IF(AND(ACOMPANHAMENTO="PLE",AUTOEVENTO="Manual",OR(H101&gt;0,ORÇAMENTO!AC101="QUANT."),OR(K101="",M101=0,N101="")),"►E",IF(AND(ACOMPANHAMENTO="PLE",ORÇAMENTO!AC101="QUANT."),"►Q",IF(AND(ACOMPANHAMENTO="PLE",H101&lt;&gt;SUMPRODUCT(($Q$1:$AQ$1=1)*ROUND(Q101:AQ101,15))),"►S",IF(AND(COUNTIF($P$11:$AQ$11,"▼")=0,H101&gt;0,I101=""),"◄M","")))))</f>
        <v/>
      </c>
      <c r="K101" s="652"/>
      <c r="L101" s="165">
        <f t="shared" ca="1" si="14"/>
        <v>86</v>
      </c>
      <c r="M101" s="166" t="str">
        <f ca="1">IF($D101&lt;&gt;"Serviço","",
          IF(AUTOEVENTO="manual",$A101,
                IF(ISERROR(MATCH($A101,$A$15:OFFSET($A101,-1,0),0)),MAX($M$15:OFFSET(M101,-1,0))+1,
                      INDEX($M$15:OFFSET(M101,-1,0),MATCH($A101,$A$15:OFFSET($A101,-1,0),0)))))</f>
        <v/>
      </c>
      <c r="N101" s="167" t="str">
        <f ca="1">IF($D101&lt;&gt;"Serviço","",
         IF(AUTOEVENTO="Manual",
                IF($A101=0,"&lt;-- defina o número do agrupador",
                       OFFSET(EVENTOS!$D$15,$A101-$A$15,0)),
                OFFSET($F$15,$A101,0)))</f>
        <v/>
      </c>
      <c r="O101" s="168"/>
      <c r="Q101" s="168"/>
      <c r="R101" s="169"/>
      <c r="S101" s="169"/>
      <c r="T101" s="169"/>
      <c r="U101" s="169"/>
      <c r="V101" s="169"/>
      <c r="W101" s="169"/>
      <c r="X101" s="169"/>
      <c r="Y101" s="169"/>
      <c r="Z101" s="170"/>
      <c r="AA101" s="169"/>
      <c r="AB101" s="169"/>
      <c r="AC101" s="169"/>
      <c r="AD101" s="169"/>
      <c r="AE101" s="169"/>
      <c r="AF101" s="169"/>
      <c r="AG101" s="169"/>
      <c r="AH101" s="170"/>
      <c r="AI101" s="169"/>
      <c r="AJ101" s="169"/>
      <c r="AK101" s="169"/>
      <c r="AL101" s="169"/>
      <c r="AM101" s="169"/>
      <c r="AN101" s="169"/>
      <c r="AO101" s="169"/>
      <c r="AP101" s="170"/>
      <c r="AR101" s="453">
        <f ca="1">IF(AND($D101="Serviço",AR$12&lt;&gt;0,$H101&gt;0,OR(AUTOEVENTO&lt;&gt;"manual",$M101&lt;&gt;$A$15)),
        IF(Import.TipoArredondamento&lt;&gt;"TransfereGOV",
              ROUND(OFFSET($P101,0,AR$13),15-13*ORÇAMENTO!$AF$7)/$H101*OFFSET(ORÇAMENTO!$X$15,ROW(AR101)-ROW(AR$15),0),
              ROUND(ROUND(OFFSET($P101,0,AR$13),15-13*ORÇAMENTO!$AF$7)*OFFSET(ORÇAMENTO!$W$15,ROW(AR101)-ROW(AR$15),0),15-13*ORÇAMENTO!$AF$11)),
         0)</f>
        <v>0</v>
      </c>
      <c r="AS101" s="453">
        <f ca="1">IF(AND($D101="Serviço",AS$12&lt;&gt;0,$H101&gt;0,OR(AUTOEVENTO&lt;&gt;"manual",$M101&lt;&gt;$A$15)),
        IF(Import.TipoArredondamento&lt;&gt;"TransfereGOV",
              ROUND(OFFSET($P101,0,AS$13),15-13*ORÇAMENTO!$AF$7)/$H101*OFFSET(ORÇAMENTO!$X$15,ROW(AS101)-ROW(AS$15),0),
              ROUND(ROUND(OFFSET($P101,0,AS$13),15-13*ORÇAMENTO!$AF$7)*OFFSET(ORÇAMENTO!$W$15,ROW(AS101)-ROW(AS$15),0),15-13*ORÇAMENTO!$AF$11)),
         0)</f>
        <v>0</v>
      </c>
      <c r="AT101" s="453">
        <f ca="1">IF(AND($D101="Serviço",AT$12&lt;&gt;0,$H101&gt;0,OR(AUTOEVENTO&lt;&gt;"manual",$M101&lt;&gt;$A$15)),
        IF(Import.TipoArredondamento&lt;&gt;"TransfereGOV",
              ROUND(OFFSET($P101,0,AT$13),15-13*ORÇAMENTO!$AF$7)/$H101*OFFSET(ORÇAMENTO!$X$15,ROW(AT101)-ROW(AT$15),0),
              ROUND(ROUND(OFFSET($P101,0,AT$13),15-13*ORÇAMENTO!$AF$7)*OFFSET(ORÇAMENTO!$W$15,ROW(AT101)-ROW(AT$15),0),15-13*ORÇAMENTO!$AF$11)),
         0)</f>
        <v>0</v>
      </c>
      <c r="AU101" s="453">
        <f ca="1">IF(AND($D101="Serviço",AU$12&lt;&gt;0,$H101&gt;0,OR(AUTOEVENTO&lt;&gt;"manual",$M101&lt;&gt;$A$15)),
        IF(Import.TipoArredondamento&lt;&gt;"TransfereGOV",
              ROUND(OFFSET($P101,0,AU$13),15-13*ORÇAMENTO!$AF$7)/$H101*OFFSET(ORÇAMENTO!$X$15,ROW(AU101)-ROW(AU$15),0),
              ROUND(ROUND(OFFSET($P101,0,AU$13),15-13*ORÇAMENTO!$AF$7)*OFFSET(ORÇAMENTO!$W$15,ROW(AU101)-ROW(AU$15),0),15-13*ORÇAMENTO!$AF$11)),
         0)</f>
        <v>0</v>
      </c>
      <c r="AV101" s="453">
        <f ca="1">IF(AND($D101="Serviço",AV$12&lt;&gt;0,$H101&gt;0,OR(AUTOEVENTO&lt;&gt;"manual",$M101&lt;&gt;$A$15)),
        IF(Import.TipoArredondamento&lt;&gt;"TransfereGOV",
              ROUND(OFFSET($P101,0,AV$13),15-13*ORÇAMENTO!$AF$7)/$H101*OFFSET(ORÇAMENTO!$X$15,ROW(AV101)-ROW(AV$15),0),
              ROUND(ROUND(OFFSET($P101,0,AV$13),15-13*ORÇAMENTO!$AF$7)*OFFSET(ORÇAMENTO!$W$15,ROW(AV101)-ROW(AV$15),0),15-13*ORÇAMENTO!$AF$11)),
         0)</f>
        <v>0</v>
      </c>
      <c r="AW101" s="453">
        <f ca="1">IF(AND($D101="Serviço",AW$12&lt;&gt;0,$H101&gt;0,OR(AUTOEVENTO&lt;&gt;"manual",$M101&lt;&gt;$A$15)),
        IF(Import.TipoArredondamento&lt;&gt;"TransfereGOV",
              ROUND(OFFSET($P101,0,AW$13),15-13*ORÇAMENTO!$AF$7)/$H101*OFFSET(ORÇAMENTO!$X$15,ROW(AW101)-ROW(AW$15),0),
              ROUND(ROUND(OFFSET($P101,0,AW$13),15-13*ORÇAMENTO!$AF$7)*OFFSET(ORÇAMENTO!$W$15,ROW(AW101)-ROW(AW$15),0),15-13*ORÇAMENTO!$AF$11)),
         0)</f>
        <v>0</v>
      </c>
      <c r="AX101" s="453">
        <f ca="1">IF(AND($D101="Serviço",AX$12&lt;&gt;0,$H101&gt;0,OR(AUTOEVENTO&lt;&gt;"manual",$M101&lt;&gt;$A$15)),
        IF(Import.TipoArredondamento&lt;&gt;"TransfereGOV",
              ROUND(OFFSET($P101,0,AX$13),15-13*ORÇAMENTO!$AF$7)/$H101*OFFSET(ORÇAMENTO!$X$15,ROW(AX101)-ROW(AX$15),0),
              ROUND(ROUND(OFFSET($P101,0,AX$13),15-13*ORÇAMENTO!$AF$7)*OFFSET(ORÇAMENTO!$W$15,ROW(AX101)-ROW(AX$15),0),15-13*ORÇAMENTO!$AF$11)),
         0)</f>
        <v>0</v>
      </c>
      <c r="AY101" s="453">
        <f ca="1">IF(AND($D101="Serviço",AY$12&lt;&gt;0,$H101&gt;0,OR(AUTOEVENTO&lt;&gt;"manual",$M101&lt;&gt;$A$15)),
        IF(Import.TipoArredondamento&lt;&gt;"TransfereGOV",
              ROUND(OFFSET($P101,0,AY$13),15-13*ORÇAMENTO!$AF$7)/$H101*OFFSET(ORÇAMENTO!$X$15,ROW(AY101)-ROW(AY$15),0),
              ROUND(ROUND(OFFSET($P101,0,AY$13),15-13*ORÇAMENTO!$AF$7)*OFFSET(ORÇAMENTO!$W$15,ROW(AY101)-ROW(AY$15),0),15-13*ORÇAMENTO!$AF$11)),
         0)</f>
        <v>0</v>
      </c>
      <c r="AZ101" s="453">
        <f ca="1">IF(AND($D101="Serviço",AZ$12&lt;&gt;0,$H101&gt;0,OR(AUTOEVENTO&lt;&gt;"manual",$M101&lt;&gt;$A$15)),
        IF(Import.TipoArredondamento&lt;&gt;"TransfereGOV",
              ROUND(OFFSET($P101,0,AZ$13),15-13*ORÇAMENTO!$AF$7)/$H101*OFFSET(ORÇAMENTO!$X$15,ROW(AZ101)-ROW(AZ$15),0),
              ROUND(ROUND(OFFSET($P101,0,AZ$13),15-13*ORÇAMENTO!$AF$7)*OFFSET(ORÇAMENTO!$W$15,ROW(AZ101)-ROW(AZ$15),0),15-13*ORÇAMENTO!$AF$11)),
         0)</f>
        <v>0</v>
      </c>
      <c r="BA101" s="453">
        <f ca="1">IF(AND($D101="Serviço",BA$12&lt;&gt;0,$H101&gt;0,OR(AUTOEVENTO&lt;&gt;"manual",$M101&lt;&gt;$A$15)),
        IF(Import.TipoArredondamento&lt;&gt;"TransfereGOV",
              ROUND(OFFSET($P101,0,BA$13),15-13*ORÇAMENTO!$AF$7)/$H101*OFFSET(ORÇAMENTO!$X$15,ROW(BA101)-ROW(BA$15),0),
              ROUND(ROUND(OFFSET($P101,0,BA$13),15-13*ORÇAMENTO!$AF$7)*OFFSET(ORÇAMENTO!$W$15,ROW(BA101)-ROW(BA$15),0),15-13*ORÇAMENTO!$AF$11)),
         0)</f>
        <v>0</v>
      </c>
      <c r="BB101" s="453">
        <f ca="1">IF(AND($D101="Serviço",BB$12&lt;&gt;0,$H101&gt;0,OR(AUTOEVENTO&lt;&gt;"manual",$M101&lt;&gt;$A$15)),
        IF(Import.TipoArredondamento&lt;&gt;"TransfereGOV",
              ROUND(OFFSET($P101,0,BB$13),15-13*ORÇAMENTO!$AF$7)/$H101*OFFSET(ORÇAMENTO!$X$15,ROW(BB101)-ROW(BB$15),0),
              ROUND(ROUND(OFFSET($P101,0,BB$13),15-13*ORÇAMENTO!$AF$7)*OFFSET(ORÇAMENTO!$W$15,ROW(BB101)-ROW(BB$15),0),15-13*ORÇAMENTO!$AF$11)),
         0)</f>
        <v>0</v>
      </c>
      <c r="BC101" s="453">
        <f ca="1">IF(AND($D101="Serviço",BC$12&lt;&gt;0,$H101&gt;0,OR(AUTOEVENTO&lt;&gt;"manual",$M101&lt;&gt;$A$15)),
        IF(Import.TipoArredondamento&lt;&gt;"TransfereGOV",
              ROUND(OFFSET($P101,0,BC$13),15-13*ORÇAMENTO!$AF$7)/$H101*OFFSET(ORÇAMENTO!$X$15,ROW(BC101)-ROW(BC$15),0),
              ROUND(ROUND(OFFSET($P101,0,BC$13),15-13*ORÇAMENTO!$AF$7)*OFFSET(ORÇAMENTO!$W$15,ROW(BC101)-ROW(BC$15),0),15-13*ORÇAMENTO!$AF$11)),
         0)</f>
        <v>0</v>
      </c>
      <c r="BD101" s="453">
        <f ca="1">IF(AND($D101="Serviço",BD$12&lt;&gt;0,$H101&gt;0,OR(AUTOEVENTO&lt;&gt;"manual",$M101&lt;&gt;$A$15)),
        IF(Import.TipoArredondamento&lt;&gt;"TransfereGOV",
              ROUND(OFFSET($P101,0,BD$13),15-13*ORÇAMENTO!$AF$7)/$H101*OFFSET(ORÇAMENTO!$X$15,ROW(BD101)-ROW(BD$15),0),
              ROUND(ROUND(OFFSET($P101,0,BD$13),15-13*ORÇAMENTO!$AF$7)*OFFSET(ORÇAMENTO!$W$15,ROW(BD101)-ROW(BD$15),0),15-13*ORÇAMENTO!$AF$11)),
         0)</f>
        <v>0</v>
      </c>
      <c r="BE101" s="453">
        <f ca="1">IF(AND($D101="Serviço",BE$12&lt;&gt;0,$H101&gt;0,OR(AUTOEVENTO&lt;&gt;"manual",$M101&lt;&gt;$A$15)),
        IF(Import.TipoArredondamento&lt;&gt;"TransfereGOV",
              ROUND(OFFSET($P101,0,BE$13),15-13*ORÇAMENTO!$AF$7)/$H101*OFFSET(ORÇAMENTO!$X$15,ROW(BE101)-ROW(BE$15),0),
              ROUND(ROUND(OFFSET($P101,0,BE$13),15-13*ORÇAMENTO!$AF$7)*OFFSET(ORÇAMENTO!$W$15,ROW(BE101)-ROW(BE$15),0),15-13*ORÇAMENTO!$AF$11)),
         0)</f>
        <v>0</v>
      </c>
      <c r="BF101" s="453">
        <f ca="1">IF(AND($D101="Serviço",BF$12&lt;&gt;0,$H101&gt;0,OR(AUTOEVENTO&lt;&gt;"manual",$M101&lt;&gt;$A$15)),
        IF(Import.TipoArredondamento&lt;&gt;"TransfereGOV",
              ROUND(OFFSET($P101,0,BF$13),15-13*ORÇAMENTO!$AF$7)/$H101*OFFSET(ORÇAMENTO!$X$15,ROW(BF101)-ROW(BF$15),0),
              ROUND(ROUND(OFFSET($P101,0,BF$13),15-13*ORÇAMENTO!$AF$7)*OFFSET(ORÇAMENTO!$W$15,ROW(BF101)-ROW(BF$15),0),15-13*ORÇAMENTO!$AF$11)),
         0)</f>
        <v>0</v>
      </c>
      <c r="BG101" s="453">
        <f ca="1">IF(AND($D101="Serviço",BG$12&lt;&gt;0,$H101&gt;0,OR(AUTOEVENTO&lt;&gt;"manual",$M101&lt;&gt;$A$15)),
        IF(Import.TipoArredondamento&lt;&gt;"TransfereGOV",
              ROUND(OFFSET($P101,0,BG$13),15-13*ORÇAMENTO!$AF$7)/$H101*OFFSET(ORÇAMENTO!$X$15,ROW(BG101)-ROW(BG$15),0),
              ROUND(ROUND(OFFSET($P101,0,BG$13),15-13*ORÇAMENTO!$AF$7)*OFFSET(ORÇAMENTO!$W$15,ROW(BG101)-ROW(BG$15),0),15-13*ORÇAMENTO!$AF$11)),
         0)</f>
        <v>0</v>
      </c>
      <c r="BH101" s="453">
        <f ca="1">IF(AND($D101="Serviço",BH$12&lt;&gt;0,$H101&gt;0,OR(AUTOEVENTO&lt;&gt;"manual",$M101&lt;&gt;$A$15)),
        IF(Import.TipoArredondamento&lt;&gt;"TransfereGOV",
              ROUND(OFFSET($P101,0,BH$13),15-13*ORÇAMENTO!$AF$7)/$H101*OFFSET(ORÇAMENTO!$X$15,ROW(BH101)-ROW(BH$15),0),
              ROUND(ROUND(OFFSET($P101,0,BH$13),15-13*ORÇAMENTO!$AF$7)*OFFSET(ORÇAMENTO!$W$15,ROW(BH101)-ROW(BH$15),0),15-13*ORÇAMENTO!$AF$11)),
         0)</f>
        <v>0</v>
      </c>
      <c r="BI101" s="453">
        <f ca="1">IF(AND($D101="Serviço",BI$12&lt;&gt;0,$H101&gt;0,OR(AUTOEVENTO&lt;&gt;"manual",$M101&lt;&gt;$A$15)),
        IF(Import.TipoArredondamento&lt;&gt;"TransfereGOV",
              ROUND(OFFSET($P101,0,BI$13),15-13*ORÇAMENTO!$AF$7)/$H101*OFFSET(ORÇAMENTO!$X$15,ROW(BI101)-ROW(BI$15),0),
              ROUND(ROUND(OFFSET($P101,0,BI$13),15-13*ORÇAMENTO!$AF$7)*OFFSET(ORÇAMENTO!$W$15,ROW(BI101)-ROW(BI$15),0),15-13*ORÇAMENTO!$AF$11)),
         0)</f>
        <v>0</v>
      </c>
      <c r="BJ101" s="453">
        <f ca="1">IF(AND($D101="Serviço",BJ$12&lt;&gt;0,$H101&gt;0,OR(AUTOEVENTO&lt;&gt;"manual",$M101&lt;&gt;$A$15)),
        IF(Import.TipoArredondamento&lt;&gt;"TransfereGOV",
              ROUND(OFFSET($P101,0,BJ$13),15-13*ORÇAMENTO!$AF$7)/$H101*OFFSET(ORÇAMENTO!$X$15,ROW(BJ101)-ROW(BJ$15),0),
              ROUND(ROUND(OFFSET($P101,0,BJ$13),15-13*ORÇAMENTO!$AF$7)*OFFSET(ORÇAMENTO!$W$15,ROW(BJ101)-ROW(BJ$15),0),15-13*ORÇAMENTO!$AF$11)),
         0)</f>
        <v>0</v>
      </c>
      <c r="BK101" s="453">
        <f ca="1">IF(AND($D101="Serviço",BK$12&lt;&gt;0,$H101&gt;0,OR(AUTOEVENTO&lt;&gt;"manual",$M101&lt;&gt;$A$15)),
        IF(Import.TipoArredondamento&lt;&gt;"TransfereGOV",
              ROUND(OFFSET($P101,0,BK$13),15-13*ORÇAMENTO!$AF$7)/$H101*OFFSET(ORÇAMENTO!$X$15,ROW(BK101)-ROW(BK$15),0),
              ROUND(ROUND(OFFSET($P101,0,BK$13),15-13*ORÇAMENTO!$AF$7)*OFFSET(ORÇAMENTO!$W$15,ROW(BK101)-ROW(BK$15),0),15-13*ORÇAMENTO!$AF$11)),
         0)</f>
        <v>0</v>
      </c>
      <c r="BL101" s="453">
        <f ca="1">IF(AND($D101="Serviço",BL$12&lt;&gt;0,$H101&gt;0,OR(AUTOEVENTO&lt;&gt;"manual",$M101&lt;&gt;$A$15)),
        IF(Import.TipoArredondamento&lt;&gt;"TransfereGOV",
              ROUND(OFFSET($P101,0,BL$13),15-13*ORÇAMENTO!$AF$7)/$H101*OFFSET(ORÇAMENTO!$X$15,ROW(BL101)-ROW(BL$15),0),
              ROUND(ROUND(OFFSET($P101,0,BL$13),15-13*ORÇAMENTO!$AF$7)*OFFSET(ORÇAMENTO!$W$15,ROW(BL101)-ROW(BL$15),0),15-13*ORÇAMENTO!$AF$11)),
         0)</f>
        <v>0</v>
      </c>
      <c r="BM101" s="453">
        <f ca="1">IF(AND($D101="Serviço",BM$12&lt;&gt;0,$H101&gt;0,OR(AUTOEVENTO&lt;&gt;"manual",$M101&lt;&gt;$A$15)),
        IF(Import.TipoArredondamento&lt;&gt;"TransfereGOV",
              ROUND(OFFSET($P101,0,BM$13),15-13*ORÇAMENTO!$AF$7)/$H101*OFFSET(ORÇAMENTO!$X$15,ROW(BM101)-ROW(BM$15),0),
              ROUND(ROUND(OFFSET($P101,0,BM$13),15-13*ORÇAMENTO!$AF$7)*OFFSET(ORÇAMENTO!$W$15,ROW(BM101)-ROW(BM$15),0),15-13*ORÇAMENTO!$AF$11)),
         0)</f>
        <v>0</v>
      </c>
      <c r="BN101" s="453">
        <f ca="1">IF(AND($D101="Serviço",BN$12&lt;&gt;0,$H101&gt;0,OR(AUTOEVENTO&lt;&gt;"manual",$M101&lt;&gt;$A$15)),
        IF(Import.TipoArredondamento&lt;&gt;"TransfereGOV",
              ROUND(OFFSET($P101,0,BN$13),15-13*ORÇAMENTO!$AF$7)/$H101*OFFSET(ORÇAMENTO!$X$15,ROW(BN101)-ROW(BN$15),0),
              ROUND(ROUND(OFFSET($P101,0,BN$13),15-13*ORÇAMENTO!$AF$7)*OFFSET(ORÇAMENTO!$W$15,ROW(BN101)-ROW(BN$15),0),15-13*ORÇAMENTO!$AF$11)),
         0)</f>
        <v>0</v>
      </c>
      <c r="BO101" s="453">
        <f ca="1">IF(AND($D101="Serviço",BO$12&lt;&gt;0,$H101&gt;0,OR(AUTOEVENTO&lt;&gt;"manual",$M101&lt;&gt;$A$15)),
        IF(Import.TipoArredondamento&lt;&gt;"TransfereGOV",
              ROUND(OFFSET($P101,0,BO$13),15-13*ORÇAMENTO!$AF$7)/$H101*OFFSET(ORÇAMENTO!$X$15,ROW(BO101)-ROW(BO$15),0),
              ROUND(ROUND(OFFSET($P101,0,BO$13),15-13*ORÇAMENTO!$AF$7)*OFFSET(ORÇAMENTO!$W$15,ROW(BO101)-ROW(BO$15),0),15-13*ORÇAMENTO!$AF$11)),
         0)</f>
        <v>0</v>
      </c>
      <c r="BP101" s="453">
        <f ca="1">IF(AND($D101="Serviço",BP$12&lt;&gt;0,$H101&gt;0,OR(AUTOEVENTO&lt;&gt;"manual",$M101&lt;&gt;$A$15)),
        IF(Import.TipoArredondamento&lt;&gt;"TransfereGOV",
              ROUND(OFFSET($P101,0,BP$13),15-13*ORÇAMENTO!$AF$7)/$H101*OFFSET(ORÇAMENTO!$X$15,ROW(BP101)-ROW(BP$15),0),
              ROUND(ROUND(OFFSET($P101,0,BP$13),15-13*ORÇAMENTO!$AF$7)*OFFSET(ORÇAMENTO!$W$15,ROW(BP101)-ROW(BP$15),0),15-13*ORÇAMENTO!$AF$11)),
         0)</f>
        <v>0</v>
      </c>
      <c r="BQ101" s="453">
        <f ca="1">IF(AND($D101="Serviço",BQ$12&lt;&gt;0,$H101&gt;0,OR(AUTOEVENTO&lt;&gt;"manual",$M101&lt;&gt;$A$15)),
        IF(Import.TipoArredondamento&lt;&gt;"TransfereGOV",
              ROUND(OFFSET($P101,0,BQ$13),15-13*ORÇAMENTO!$AF$7)/$H101*OFFSET(ORÇAMENTO!$X$15,ROW(BQ101)-ROW(BQ$15),0),
              ROUND(ROUND(OFFSET($P101,0,BQ$13),15-13*ORÇAMENTO!$AF$7)*OFFSET(ORÇAMENTO!$W$15,ROW(BQ101)-ROW(BQ$15),0),15-13*ORÇAMENTO!$AF$11)),
         0)</f>
        <v>0</v>
      </c>
      <c r="BS101" s="171">
        <f ca="1">IF(OR($D101&lt;&gt;"Serviço",AND(AUTOEVENTO="Manual",$M101=$A$15)),0,
         IF(OFFSET(CRONOPLE!$F$15,$M101-$A$15,BS$13)=0,10^12,OFFSET(CRONOPLE!$F$15,$M101-$A$15,BS$13)))</f>
        <v>0</v>
      </c>
      <c r="BT101" s="171">
        <f ca="1">IF(OR($D101&lt;&gt;"Serviço",AND(AUTOEVENTO="Manual",$M101=$A$15)),0,
         IF(OFFSET(CRONOPLE!$F$15,$M101-$A$15,BT$13)=0,10^12,OFFSET(CRONOPLE!$F$15,$M101-$A$15,BT$13)))</f>
        <v>0</v>
      </c>
      <c r="BU101" s="171">
        <f ca="1">IF(OR($D101&lt;&gt;"Serviço",AND(AUTOEVENTO="Manual",$M101=$A$15)),0,
         IF(OFFSET(CRONOPLE!$F$15,$M101-$A$15,BU$13)=0,10^12,OFFSET(CRONOPLE!$F$15,$M101-$A$15,BU$13)))</f>
        <v>0</v>
      </c>
      <c r="BV101" s="171">
        <f ca="1">IF(OR($D101&lt;&gt;"Serviço",AND(AUTOEVENTO="Manual",$M101=$A$15)),0,
         IF(OFFSET(CRONOPLE!$F$15,$M101-$A$15,BV$13)=0,10^12,OFFSET(CRONOPLE!$F$15,$M101-$A$15,BV$13)))</f>
        <v>0</v>
      </c>
      <c r="BW101" s="171">
        <f ca="1">IF(OR($D101&lt;&gt;"Serviço",AND(AUTOEVENTO="Manual",$M101=$A$15)),0,
         IF(OFFSET(CRONOPLE!$F$15,$M101-$A$15,BW$13)=0,10^12,OFFSET(CRONOPLE!$F$15,$M101-$A$15,BW$13)))</f>
        <v>0</v>
      </c>
      <c r="BX101" s="171">
        <f ca="1">IF(OR($D101&lt;&gt;"Serviço",AND(AUTOEVENTO="Manual",$M101=$A$15)),0,
         IF(OFFSET(CRONOPLE!$F$15,$M101-$A$15,BX$13)=0,10^12,OFFSET(CRONOPLE!$F$15,$M101-$A$15,BX$13)))</f>
        <v>0</v>
      </c>
      <c r="BY101" s="171">
        <f ca="1">IF(OR($D101&lt;&gt;"Serviço",AND(AUTOEVENTO="Manual",$M101=$A$15)),0,
         IF(OFFSET(CRONOPLE!$F$15,$M101-$A$15,BY$13)=0,10^12,OFFSET(CRONOPLE!$F$15,$M101-$A$15,BY$13)))</f>
        <v>0</v>
      </c>
      <c r="BZ101" s="171">
        <f ca="1">IF(OR($D101&lt;&gt;"Serviço",AND(AUTOEVENTO="Manual",$M101=$A$15)),0,
         IF(OFFSET(CRONOPLE!$F$15,$M101-$A$15,BZ$13)=0,10^12,OFFSET(CRONOPLE!$F$15,$M101-$A$15,BZ$13)))</f>
        <v>0</v>
      </c>
      <c r="CA101" s="171">
        <f ca="1">IF(OR($D101&lt;&gt;"Serviço",AND(AUTOEVENTO="Manual",$M101=$A$15)),0,
         IF(OFFSET(CRONOPLE!$F$15,$M101-$A$15,CA$13)=0,10^12,OFFSET(CRONOPLE!$F$15,$M101-$A$15,CA$13)))</f>
        <v>0</v>
      </c>
      <c r="CB101" s="171">
        <f ca="1">IF(OR($D101&lt;&gt;"Serviço",AND(AUTOEVENTO="Manual",$M101=$A$15)),0,
         IF(OFFSET(CRONOPLE!$F$15,$M101-$A$15,CB$13)=0,10^12,OFFSET(CRONOPLE!$F$15,$M101-$A$15,CB$13)))</f>
        <v>0</v>
      </c>
      <c r="CC101" s="171">
        <f ca="1">IF(OR($D101&lt;&gt;"Serviço",AND(AUTOEVENTO="Manual",$M101=$A$15)),0,
         IF(OFFSET(CRONOPLE!$F$15,$M101-$A$15,CC$13)=0,10^12,OFFSET(CRONOPLE!$F$15,$M101-$A$15,CC$13)))</f>
        <v>0</v>
      </c>
      <c r="CD101" s="171">
        <f ca="1">IF(OR($D101&lt;&gt;"Serviço",AND(AUTOEVENTO="Manual",$M101=$A$15)),0,
         IF(OFFSET(CRONOPLE!$F$15,$M101-$A$15,CD$13)=0,10^12,OFFSET(CRONOPLE!$F$15,$M101-$A$15,CD$13)))</f>
        <v>0</v>
      </c>
      <c r="CE101" s="171">
        <f ca="1">IF(OR($D101&lt;&gt;"Serviço",AND(AUTOEVENTO="Manual",$M101=$A$15)),0,
         IF(OFFSET(CRONOPLE!$F$15,$M101-$A$15,CE$13)=0,10^12,OFFSET(CRONOPLE!$F$15,$M101-$A$15,CE$13)))</f>
        <v>0</v>
      </c>
      <c r="CF101" s="171">
        <f ca="1">IF(OR($D101&lt;&gt;"Serviço",AND(AUTOEVENTO="Manual",$M101=$A$15)),0,
         IF(OFFSET(CRONOPLE!$F$15,$M101-$A$15,CF$13)=0,10^12,OFFSET(CRONOPLE!$F$15,$M101-$A$15,CF$13)))</f>
        <v>0</v>
      </c>
      <c r="CG101" s="171">
        <f ca="1">IF(OR($D101&lt;&gt;"Serviço",AND(AUTOEVENTO="Manual",$M101=$A$15)),0,
         IF(OFFSET(CRONOPLE!$F$15,$M101-$A$15,CG$13)=0,10^12,OFFSET(CRONOPLE!$F$15,$M101-$A$15,CG$13)))</f>
        <v>0</v>
      </c>
      <c r="CH101" s="171">
        <f ca="1">IF(OR($D101&lt;&gt;"Serviço",AND(AUTOEVENTO="Manual",$M101=$A$15)),0,
         IF(OFFSET(CRONOPLE!$F$15,$M101-$A$15,CH$13)=0,10^12,OFFSET(CRONOPLE!$F$15,$M101-$A$15,CH$13)))</f>
        <v>0</v>
      </c>
      <c r="CI101" s="171">
        <f ca="1">IF(OR($D101&lt;&gt;"Serviço",AND(AUTOEVENTO="Manual",$M101=$A$15)),0,
         IF(OFFSET(CRONOPLE!$F$15,$M101-$A$15,CI$13)=0,10^12,OFFSET(CRONOPLE!$F$15,$M101-$A$15,CI$13)))</f>
        <v>0</v>
      </c>
      <c r="CJ101" s="171">
        <f ca="1">IF(OR($D101&lt;&gt;"Serviço",AND(AUTOEVENTO="Manual",$M101=$A$15)),0,
         IF(OFFSET(CRONOPLE!$F$15,$M101-$A$15,CJ$13)=0,10^12,OFFSET(CRONOPLE!$F$15,$M101-$A$15,CJ$13)))</f>
        <v>0</v>
      </c>
      <c r="CK101" s="171">
        <f ca="1">IF(OR($D101&lt;&gt;"Serviço",AND(AUTOEVENTO="Manual",$M101=$A$15)),0,
         IF(OFFSET(CRONOPLE!$F$15,$M101-$A$15,CK$13)=0,10^12,OFFSET(CRONOPLE!$F$15,$M101-$A$15,CK$13)))</f>
        <v>0</v>
      </c>
      <c r="CL101" s="171">
        <f ca="1">IF(OR($D101&lt;&gt;"Serviço",AND(AUTOEVENTO="Manual",$M101=$A$15)),0,
         IF(OFFSET(CRONOPLE!$F$15,$M101-$A$15,CL$13)=0,10^12,OFFSET(CRONOPLE!$F$15,$M101-$A$15,CL$13)))</f>
        <v>0</v>
      </c>
      <c r="CM101" s="171">
        <f ca="1">IF(OR($D101&lt;&gt;"Serviço",AND(AUTOEVENTO="Manual",$M101=$A$15)),0,
         IF(OFFSET(CRONOPLE!$F$15,$M101-$A$15,CM$13)=0,10^12,OFFSET(CRONOPLE!$F$15,$M101-$A$15,CM$13)))</f>
        <v>0</v>
      </c>
      <c r="CN101" s="171">
        <f ca="1">IF(OR($D101&lt;&gt;"Serviço",AND(AUTOEVENTO="Manual",$M101=$A$15)),0,
         IF(OFFSET(CRONOPLE!$F$15,$M101-$A$15,CN$13)=0,10^12,OFFSET(CRONOPLE!$F$15,$M101-$A$15,CN$13)))</f>
        <v>0</v>
      </c>
      <c r="CO101" s="171">
        <f ca="1">IF(OR($D101&lt;&gt;"Serviço",AND(AUTOEVENTO="Manual",$M101=$A$15)),0,
         IF(OFFSET(CRONOPLE!$F$15,$M101-$A$15,CO$13)=0,10^12,OFFSET(CRONOPLE!$F$15,$M101-$A$15,CO$13)))</f>
        <v>0</v>
      </c>
      <c r="CP101" s="171">
        <f ca="1">IF(OR($D101&lt;&gt;"Serviço",AND(AUTOEVENTO="Manual",$M101=$A$15)),0,
         IF(OFFSET(CRONOPLE!$F$15,$M101-$A$15,CP$13)=0,10^12,OFFSET(CRONOPLE!$F$15,$M101-$A$15,CP$13)))</f>
        <v>0</v>
      </c>
      <c r="CQ101" s="171">
        <f ca="1">IF(OR($D101&lt;&gt;"Serviço",AND(AUTOEVENTO="Manual",$M101=$A$15)),0,
         IF(OFFSET(CRONOPLE!$F$15,$M101-$A$15,CQ$13)=0,10^12,OFFSET(CRONOPLE!$F$15,$M101-$A$15,CQ$13)))</f>
        <v>0</v>
      </c>
      <c r="CR101" s="171">
        <f ca="1">IF(OR($D101&lt;&gt;"Serviço",AND(AUTOEVENTO="Manual",$M101=$A$15)),0,
         IF(OFFSET(CRONOPLE!$F$15,$M101-$A$15,CR$13)=0,10^12,OFFSET(CRONOPLE!$F$15,$M101-$A$15,CR$13)))</f>
        <v>0</v>
      </c>
      <c r="CT101" s="172" cm="1">
        <f t="array" aca="1" ref="CT101" ca="1">IF(OR($D101&lt;&gt;"Serviço",AND(AUTOEVENTO="Manual",$M101=$A$15),$M101&gt;(ROW(PLE.lastrow)-ROW(PLE.firstrow))),0,
           IF(OFFSET(PLE!$G$15,$M101-$A$15,CT$13)="",10^12,OFFSET(PLE!$G$15,$M101-$A$15,CT$13)))</f>
        <v>0</v>
      </c>
      <c r="CU101" s="172" cm="1">
        <f t="array" aca="1" ref="CU101" ca="1">IF(OR($D101&lt;&gt;"Serviço",AND(AUTOEVENTO="Manual",$M101=$A$15),$M101&gt;(ROW(PLE.lastrow)-ROW(PLE.firstrow))),0,
           IF(OFFSET(PLE!$G$15,$M101-$A$15,CU$13)="",10^12,OFFSET(PLE!$G$15,$M101-$A$15,CU$13)))</f>
        <v>0</v>
      </c>
      <c r="CV101" s="172" cm="1">
        <f t="array" aca="1" ref="CV101" ca="1">IF(OR($D101&lt;&gt;"Serviço",AND(AUTOEVENTO="Manual",$M101=$A$15),$M101&gt;(ROW(PLE.lastrow)-ROW(PLE.firstrow))),0,
           IF(OFFSET(PLE!$G$15,$M101-$A$15,CV$13)="",10^12,OFFSET(PLE!$G$15,$M101-$A$15,CV$13)))</f>
        <v>0</v>
      </c>
      <c r="CW101" s="172" cm="1">
        <f t="array" aca="1" ref="CW101" ca="1">IF(OR($D101&lt;&gt;"Serviço",AND(AUTOEVENTO="Manual",$M101=$A$15),$M101&gt;(ROW(PLE.lastrow)-ROW(PLE.firstrow))),0,
           IF(OFFSET(PLE!$G$15,$M101-$A$15,CW$13)="",10^12,OFFSET(PLE!$G$15,$M101-$A$15,CW$13)))</f>
        <v>0</v>
      </c>
      <c r="CX101" s="172" cm="1">
        <f t="array" aca="1" ref="CX101" ca="1">IF(OR($D101&lt;&gt;"Serviço",AND(AUTOEVENTO="Manual",$M101=$A$15),$M101&gt;(ROW(PLE.lastrow)-ROW(PLE.firstrow))),0,
           IF(OFFSET(PLE!$G$15,$M101-$A$15,CX$13)="",10^12,OFFSET(PLE!$G$15,$M101-$A$15,CX$13)))</f>
        <v>0</v>
      </c>
      <c r="CY101" s="172" cm="1">
        <f t="array" aca="1" ref="CY101" ca="1">IF(OR($D101&lt;&gt;"Serviço",AND(AUTOEVENTO="Manual",$M101=$A$15),$M101&gt;(ROW(PLE.lastrow)-ROW(PLE.firstrow))),0,
           IF(OFFSET(PLE!$G$15,$M101-$A$15,CY$13)="",10^12,OFFSET(PLE!$G$15,$M101-$A$15,CY$13)))</f>
        <v>0</v>
      </c>
      <c r="CZ101" s="172" cm="1">
        <f t="array" aca="1" ref="CZ101" ca="1">IF(OR($D101&lt;&gt;"Serviço",AND(AUTOEVENTO="Manual",$M101=$A$15),$M101&gt;(ROW(PLE.lastrow)-ROW(PLE.firstrow))),0,
           IF(OFFSET(PLE!$G$15,$M101-$A$15,CZ$13)="",10^12,OFFSET(PLE!$G$15,$M101-$A$15,CZ$13)))</f>
        <v>0</v>
      </c>
      <c r="DA101" s="172" cm="1">
        <f t="array" aca="1" ref="DA101" ca="1">IF(OR($D101&lt;&gt;"Serviço",AND(AUTOEVENTO="Manual",$M101=$A$15),$M101&gt;(ROW(PLE.lastrow)-ROW(PLE.firstrow))),0,
           IF(OFFSET(PLE!$G$15,$M101-$A$15,DA$13)="",10^12,OFFSET(PLE!$G$15,$M101-$A$15,DA$13)))</f>
        <v>0</v>
      </c>
      <c r="DB101" s="172" cm="1">
        <f t="array" aca="1" ref="DB101" ca="1">IF(OR($D101&lt;&gt;"Serviço",AND(AUTOEVENTO="Manual",$M101=$A$15),$M101&gt;(ROW(PLE.lastrow)-ROW(PLE.firstrow))),0,
           IF(OFFSET(PLE!$G$15,$M101-$A$15,DB$13)="",10^12,OFFSET(PLE!$G$15,$M101-$A$15,DB$13)))</f>
        <v>0</v>
      </c>
      <c r="DC101" s="172" cm="1">
        <f t="array" aca="1" ref="DC101" ca="1">IF(OR($D101&lt;&gt;"Serviço",AND(AUTOEVENTO="Manual",$M101=$A$15),$M101&gt;(ROW(PLE.lastrow)-ROW(PLE.firstrow))),0,
           IF(OFFSET(PLE!$G$15,$M101-$A$15,DC$13)="",10^12,OFFSET(PLE!$G$15,$M101-$A$15,DC$13)))</f>
        <v>0</v>
      </c>
      <c r="DD101" s="172" cm="1">
        <f t="array" aca="1" ref="DD101" ca="1">IF(OR($D101&lt;&gt;"Serviço",AND(AUTOEVENTO="Manual",$M101=$A$15),$M101&gt;(ROW(PLE.lastrow)-ROW(PLE.firstrow))),0,
           IF(OFFSET(PLE!$G$15,$M101-$A$15,DD$13)="",10^12,OFFSET(PLE!$G$15,$M101-$A$15,DD$13)))</f>
        <v>0</v>
      </c>
      <c r="DE101" s="172" cm="1">
        <f t="array" aca="1" ref="DE101" ca="1">IF(OR($D101&lt;&gt;"Serviço",AND(AUTOEVENTO="Manual",$M101=$A$15),$M101&gt;(ROW(PLE.lastrow)-ROW(PLE.firstrow))),0,
           IF(OFFSET(PLE!$G$15,$M101-$A$15,DE$13)="",10^12,OFFSET(PLE!$G$15,$M101-$A$15,DE$13)))</f>
        <v>0</v>
      </c>
      <c r="DF101" s="172" cm="1">
        <f t="array" aca="1" ref="DF101" ca="1">IF(OR($D101&lt;&gt;"Serviço",AND(AUTOEVENTO="Manual",$M101=$A$15),$M101&gt;(ROW(PLE.lastrow)-ROW(PLE.firstrow))),0,
           IF(OFFSET(PLE!$G$15,$M101-$A$15,DF$13)="",10^12,OFFSET(PLE!$G$15,$M101-$A$15,DF$13)))</f>
        <v>0</v>
      </c>
      <c r="DG101" s="172" cm="1">
        <f t="array" aca="1" ref="DG101" ca="1">IF(OR($D101&lt;&gt;"Serviço",AND(AUTOEVENTO="Manual",$M101=$A$15),$M101&gt;(ROW(PLE.lastrow)-ROW(PLE.firstrow))),0,
           IF(OFFSET(PLE!$G$15,$M101-$A$15,DG$13)="",10^12,OFFSET(PLE!$G$15,$M101-$A$15,DG$13)))</f>
        <v>0</v>
      </c>
      <c r="DH101" s="172" cm="1">
        <f t="array" aca="1" ref="DH101" ca="1">IF(OR($D101&lt;&gt;"Serviço",AND(AUTOEVENTO="Manual",$M101=$A$15),$M101&gt;(ROW(PLE.lastrow)-ROW(PLE.firstrow))),0,
           IF(OFFSET(PLE!$G$15,$M101-$A$15,DH$13)="",10^12,OFFSET(PLE!$G$15,$M101-$A$15,DH$13)))</f>
        <v>0</v>
      </c>
      <c r="DI101" s="172" cm="1">
        <f t="array" aca="1" ref="DI101" ca="1">IF(OR($D101&lt;&gt;"Serviço",AND(AUTOEVENTO="Manual",$M101=$A$15),$M101&gt;(ROW(PLE.lastrow)-ROW(PLE.firstrow))),0,
           IF(OFFSET(PLE!$G$15,$M101-$A$15,DI$13)="",10^12,OFFSET(PLE!$G$15,$M101-$A$15,DI$13)))</f>
        <v>0</v>
      </c>
      <c r="DJ101" s="172" cm="1">
        <f t="array" aca="1" ref="DJ101" ca="1">IF(OR($D101&lt;&gt;"Serviço",AND(AUTOEVENTO="Manual",$M101=$A$15),$M101&gt;(ROW(PLE.lastrow)-ROW(PLE.firstrow))),0,
           IF(OFFSET(PLE!$G$15,$M101-$A$15,DJ$13)="",10^12,OFFSET(PLE!$G$15,$M101-$A$15,DJ$13)))</f>
        <v>0</v>
      </c>
      <c r="DK101" s="172" cm="1">
        <f t="array" aca="1" ref="DK101" ca="1">IF(OR($D101&lt;&gt;"Serviço",AND(AUTOEVENTO="Manual",$M101=$A$15),$M101&gt;(ROW(PLE.lastrow)-ROW(PLE.firstrow))),0,
           IF(OFFSET(PLE!$G$15,$M101-$A$15,DK$13)="",10^12,OFFSET(PLE!$G$15,$M101-$A$15,DK$13)))</f>
        <v>0</v>
      </c>
      <c r="DL101" s="172" cm="1">
        <f t="array" aca="1" ref="DL101" ca="1">IF(OR($D101&lt;&gt;"Serviço",AND(AUTOEVENTO="Manual",$M101=$A$15),$M101&gt;(ROW(PLE.lastrow)-ROW(PLE.firstrow))),0,
           IF(OFFSET(PLE!$G$15,$M101-$A$15,DL$13)="",10^12,OFFSET(PLE!$G$15,$M101-$A$15,DL$13)))</f>
        <v>0</v>
      </c>
      <c r="DM101" s="172" cm="1">
        <f t="array" aca="1" ref="DM101" ca="1">IF(OR($D101&lt;&gt;"Serviço",AND(AUTOEVENTO="Manual",$M101=$A$15),$M101&gt;(ROW(PLE.lastrow)-ROW(PLE.firstrow))),0,
           IF(OFFSET(PLE!$G$15,$M101-$A$15,DM$13)="",10^12,OFFSET(PLE!$G$15,$M101-$A$15,DM$13)))</f>
        <v>0</v>
      </c>
      <c r="DN101" s="172" cm="1">
        <f t="array" aca="1" ref="DN101" ca="1">IF(OR($D101&lt;&gt;"Serviço",AND(AUTOEVENTO="Manual",$M101=$A$15),$M101&gt;(ROW(PLE.lastrow)-ROW(PLE.firstrow))),0,
           IF(OFFSET(PLE!$G$15,$M101-$A$15,DN$13)="",10^12,OFFSET(PLE!$G$15,$M101-$A$15,DN$13)))</f>
        <v>0</v>
      </c>
      <c r="DO101" s="172" cm="1">
        <f t="array" aca="1" ref="DO101" ca="1">IF(OR($D101&lt;&gt;"Serviço",AND(AUTOEVENTO="Manual",$M101=$A$15),$M101&gt;(ROW(PLE.lastrow)-ROW(PLE.firstrow))),0,
           IF(OFFSET(PLE!$G$15,$M101-$A$15,DO$13)="",10^12,OFFSET(PLE!$G$15,$M101-$A$15,DO$13)))</f>
        <v>0</v>
      </c>
      <c r="DP101" s="172" cm="1">
        <f t="array" aca="1" ref="DP101" ca="1">IF(OR($D101&lt;&gt;"Serviço",AND(AUTOEVENTO="Manual",$M101=$A$15),$M101&gt;(ROW(PLE.lastrow)-ROW(PLE.firstrow))),0,
           IF(OFFSET(PLE!$G$15,$M101-$A$15,DP$13)="",10^12,OFFSET(PLE!$G$15,$M101-$A$15,DP$13)))</f>
        <v>0</v>
      </c>
      <c r="DQ101" s="172" cm="1">
        <f t="array" aca="1" ref="DQ101" ca="1">IF(OR($D101&lt;&gt;"Serviço",AND(AUTOEVENTO="Manual",$M101=$A$15),$M101&gt;(ROW(PLE.lastrow)-ROW(PLE.firstrow))),0,
           IF(OFFSET(PLE!$G$15,$M101-$A$15,DQ$13)="",10^12,OFFSET(PLE!$G$15,$M101-$A$15,DQ$13)))</f>
        <v>0</v>
      </c>
      <c r="DR101" s="172" cm="1">
        <f t="array" aca="1" ref="DR101" ca="1">IF(OR($D101&lt;&gt;"Serviço",AND(AUTOEVENTO="Manual",$M101=$A$15),$M101&gt;(ROW(PLE.lastrow)-ROW(PLE.firstrow))),0,
           IF(OFFSET(PLE!$G$15,$M101-$A$15,DR$13)="",10^12,OFFSET(PLE!$G$15,$M101-$A$15,DR$13)))</f>
        <v>0</v>
      </c>
      <c r="DS101" s="172" cm="1">
        <f t="array" aca="1" ref="DS101" ca="1">IF(OR($D101&lt;&gt;"Serviço",AND(AUTOEVENTO="Manual",$M101=$A$15),$M101&gt;(ROW(PLE.lastrow)-ROW(PLE.firstrow))),0,
           IF(OFFSET(PLE!$G$15,$M101-$A$15,DS$13)="",10^12,OFFSET(PLE!$G$15,$M101-$A$15,DS$13)))</f>
        <v>0</v>
      </c>
    </row>
    <row r="102" spans="1:123" ht="12.75" x14ac:dyDescent="0.2">
      <c r="A102" s="7">
        <f t="shared" ca="1" si="13"/>
        <v>0</v>
      </c>
      <c r="B102" s="7">
        <f ca="1">OFFSET(ORÇAMENTO!C$15,$L102,0)</f>
        <v>3</v>
      </c>
      <c r="C102" s="7" t="str">
        <f ca="1">OFFSET(ORÇAMENTO!L$15,$L102,0)</f>
        <v>F</v>
      </c>
      <c r="D102" s="116" t="str">
        <f ca="1">OFFSET(ORÇAMENTO!N$15,$L102,0)</f>
        <v>Nível 3</v>
      </c>
      <c r="E102" s="117" t="str">
        <f ca="1">OFFSET(ORÇAMENTO!O$15,$L102,0)</f>
        <v>7.5.1.</v>
      </c>
      <c r="F102" s="163" t="str">
        <f ca="1">OFFSET(ORÇAMENTO!R$15,$L102,0)</f>
        <v>PINTURAS INTERNAS</v>
      </c>
      <c r="G102" s="164" t="str">
        <f ca="1">IF($D102&lt;&gt;"Serviço","",OFFSET(ORÇAMENTO!S$15,$L102,0))</f>
        <v/>
      </c>
      <c r="H102" s="122" cm="1">
        <f t="array" aca="1" ref="H102" ca="1">IF($D102&lt;&gt;"Serviço",0,IF(ACOMPANHAMENTO="BM",ROUND(OFFSET(ORÇAMENTO!AJ$15,$L102,0),15-13*ORÇAMENTO!$AF$7),IF(IFERROR(CÁLCULO.FrentesPreenchidas,0)=0,0,SUM(ROUND(OFFSET($P102,0,1,1,CÁLCULO.FrentesPreenchidas),15-13*ORÇAMENTO!$AF$7)))))</f>
        <v>0</v>
      </c>
      <c r="I102" s="468"/>
      <c r="J102" s="651" t="str" cm="1">
        <f t="array" aca="1" ref="J102" ca="1">IF(OR(B102&lt;&gt;"S",CÁLCULO.FrentesPreenchidas=0),"",IF(AND(ACOMPANHAMENTO="PLE",AUTOEVENTO="Manual",OR(H102&gt;0,ORÇAMENTO!AC102="QUANT."),OR(K102="",M102=0,N102="")),"►E",IF(AND(ACOMPANHAMENTO="PLE",ORÇAMENTO!AC102="QUANT."),"►Q",IF(AND(ACOMPANHAMENTO="PLE",H102&lt;&gt;SUMPRODUCT(($Q$1:$AQ$1=1)*ROUND(Q102:AQ102,15))),"►S",IF(AND(COUNTIF($P$11:$AQ$11,"▼")=0,H102&gt;0,I102=""),"◄M","")))))</f>
        <v/>
      </c>
      <c r="K102" s="652"/>
      <c r="L102" s="165">
        <f t="shared" ca="1" si="14"/>
        <v>87</v>
      </c>
      <c r="M102" s="166" t="str">
        <f ca="1">IF($D102&lt;&gt;"Serviço","",
          IF(AUTOEVENTO="manual",$A102,
                IF(ISERROR(MATCH($A102,$A$15:OFFSET($A102,-1,0),0)),MAX($M$15:OFFSET(M102,-1,0))+1,
                      INDEX($M$15:OFFSET(M102,-1,0),MATCH($A102,$A$15:OFFSET($A102,-1,0),0)))))</f>
        <v/>
      </c>
      <c r="N102" s="167" t="str">
        <f ca="1">IF($D102&lt;&gt;"Serviço","",
         IF(AUTOEVENTO="Manual",
                IF($A102=0,"&lt;-- defina o número do agrupador",
                       OFFSET(EVENTOS!$D$15,$A102-$A$15,0)),
                OFFSET($F$15,$A102,0)))</f>
        <v/>
      </c>
      <c r="O102" s="168"/>
      <c r="Q102" s="168"/>
      <c r="R102" s="169"/>
      <c r="S102" s="169"/>
      <c r="T102" s="169"/>
      <c r="U102" s="169"/>
      <c r="V102" s="169"/>
      <c r="W102" s="169"/>
      <c r="X102" s="169"/>
      <c r="Y102" s="169"/>
      <c r="Z102" s="170"/>
      <c r="AA102" s="169"/>
      <c r="AB102" s="169"/>
      <c r="AC102" s="169"/>
      <c r="AD102" s="169"/>
      <c r="AE102" s="169"/>
      <c r="AF102" s="169"/>
      <c r="AG102" s="169"/>
      <c r="AH102" s="170"/>
      <c r="AI102" s="169"/>
      <c r="AJ102" s="169"/>
      <c r="AK102" s="169"/>
      <c r="AL102" s="169"/>
      <c r="AM102" s="169"/>
      <c r="AN102" s="169"/>
      <c r="AO102" s="169"/>
      <c r="AP102" s="170"/>
      <c r="AR102" s="453">
        <f ca="1">IF(AND($D102="Serviço",AR$12&lt;&gt;0,$H102&gt;0,OR(AUTOEVENTO&lt;&gt;"manual",$M102&lt;&gt;$A$15)),
        IF(Import.TipoArredondamento&lt;&gt;"TransfereGOV",
              ROUND(OFFSET($P102,0,AR$13),15-13*ORÇAMENTO!$AF$7)/$H102*OFFSET(ORÇAMENTO!$X$15,ROW(AR102)-ROW(AR$15),0),
              ROUND(ROUND(OFFSET($P102,0,AR$13),15-13*ORÇAMENTO!$AF$7)*OFFSET(ORÇAMENTO!$W$15,ROW(AR102)-ROW(AR$15),0),15-13*ORÇAMENTO!$AF$11)),
         0)</f>
        <v>0</v>
      </c>
      <c r="AS102" s="453">
        <f ca="1">IF(AND($D102="Serviço",AS$12&lt;&gt;0,$H102&gt;0,OR(AUTOEVENTO&lt;&gt;"manual",$M102&lt;&gt;$A$15)),
        IF(Import.TipoArredondamento&lt;&gt;"TransfereGOV",
              ROUND(OFFSET($P102,0,AS$13),15-13*ORÇAMENTO!$AF$7)/$H102*OFFSET(ORÇAMENTO!$X$15,ROW(AS102)-ROW(AS$15),0),
              ROUND(ROUND(OFFSET($P102,0,AS$13),15-13*ORÇAMENTO!$AF$7)*OFFSET(ORÇAMENTO!$W$15,ROW(AS102)-ROW(AS$15),0),15-13*ORÇAMENTO!$AF$11)),
         0)</f>
        <v>0</v>
      </c>
      <c r="AT102" s="453">
        <f ca="1">IF(AND($D102="Serviço",AT$12&lt;&gt;0,$H102&gt;0,OR(AUTOEVENTO&lt;&gt;"manual",$M102&lt;&gt;$A$15)),
        IF(Import.TipoArredondamento&lt;&gt;"TransfereGOV",
              ROUND(OFFSET($P102,0,AT$13),15-13*ORÇAMENTO!$AF$7)/$H102*OFFSET(ORÇAMENTO!$X$15,ROW(AT102)-ROW(AT$15),0),
              ROUND(ROUND(OFFSET($P102,0,AT$13),15-13*ORÇAMENTO!$AF$7)*OFFSET(ORÇAMENTO!$W$15,ROW(AT102)-ROW(AT$15),0),15-13*ORÇAMENTO!$AF$11)),
         0)</f>
        <v>0</v>
      </c>
      <c r="AU102" s="453">
        <f ca="1">IF(AND($D102="Serviço",AU$12&lt;&gt;0,$H102&gt;0,OR(AUTOEVENTO&lt;&gt;"manual",$M102&lt;&gt;$A$15)),
        IF(Import.TipoArredondamento&lt;&gt;"TransfereGOV",
              ROUND(OFFSET($P102,0,AU$13),15-13*ORÇAMENTO!$AF$7)/$H102*OFFSET(ORÇAMENTO!$X$15,ROW(AU102)-ROW(AU$15),0),
              ROUND(ROUND(OFFSET($P102,0,AU$13),15-13*ORÇAMENTO!$AF$7)*OFFSET(ORÇAMENTO!$W$15,ROW(AU102)-ROW(AU$15),0),15-13*ORÇAMENTO!$AF$11)),
         0)</f>
        <v>0</v>
      </c>
      <c r="AV102" s="453">
        <f ca="1">IF(AND($D102="Serviço",AV$12&lt;&gt;0,$H102&gt;0,OR(AUTOEVENTO&lt;&gt;"manual",$M102&lt;&gt;$A$15)),
        IF(Import.TipoArredondamento&lt;&gt;"TransfereGOV",
              ROUND(OFFSET($P102,0,AV$13),15-13*ORÇAMENTO!$AF$7)/$H102*OFFSET(ORÇAMENTO!$X$15,ROW(AV102)-ROW(AV$15),0),
              ROUND(ROUND(OFFSET($P102,0,AV$13),15-13*ORÇAMENTO!$AF$7)*OFFSET(ORÇAMENTO!$W$15,ROW(AV102)-ROW(AV$15),0),15-13*ORÇAMENTO!$AF$11)),
         0)</f>
        <v>0</v>
      </c>
      <c r="AW102" s="453">
        <f ca="1">IF(AND($D102="Serviço",AW$12&lt;&gt;0,$H102&gt;0,OR(AUTOEVENTO&lt;&gt;"manual",$M102&lt;&gt;$A$15)),
        IF(Import.TipoArredondamento&lt;&gt;"TransfereGOV",
              ROUND(OFFSET($P102,0,AW$13),15-13*ORÇAMENTO!$AF$7)/$H102*OFFSET(ORÇAMENTO!$X$15,ROW(AW102)-ROW(AW$15),0),
              ROUND(ROUND(OFFSET($P102,0,AW$13),15-13*ORÇAMENTO!$AF$7)*OFFSET(ORÇAMENTO!$W$15,ROW(AW102)-ROW(AW$15),0),15-13*ORÇAMENTO!$AF$11)),
         0)</f>
        <v>0</v>
      </c>
      <c r="AX102" s="453">
        <f ca="1">IF(AND($D102="Serviço",AX$12&lt;&gt;0,$H102&gt;0,OR(AUTOEVENTO&lt;&gt;"manual",$M102&lt;&gt;$A$15)),
        IF(Import.TipoArredondamento&lt;&gt;"TransfereGOV",
              ROUND(OFFSET($P102,0,AX$13),15-13*ORÇAMENTO!$AF$7)/$H102*OFFSET(ORÇAMENTO!$X$15,ROW(AX102)-ROW(AX$15),0),
              ROUND(ROUND(OFFSET($P102,0,AX$13),15-13*ORÇAMENTO!$AF$7)*OFFSET(ORÇAMENTO!$W$15,ROW(AX102)-ROW(AX$15),0),15-13*ORÇAMENTO!$AF$11)),
         0)</f>
        <v>0</v>
      </c>
      <c r="AY102" s="453">
        <f ca="1">IF(AND($D102="Serviço",AY$12&lt;&gt;0,$H102&gt;0,OR(AUTOEVENTO&lt;&gt;"manual",$M102&lt;&gt;$A$15)),
        IF(Import.TipoArredondamento&lt;&gt;"TransfereGOV",
              ROUND(OFFSET($P102,0,AY$13),15-13*ORÇAMENTO!$AF$7)/$H102*OFFSET(ORÇAMENTO!$X$15,ROW(AY102)-ROW(AY$15),0),
              ROUND(ROUND(OFFSET($P102,0,AY$13),15-13*ORÇAMENTO!$AF$7)*OFFSET(ORÇAMENTO!$W$15,ROW(AY102)-ROW(AY$15),0),15-13*ORÇAMENTO!$AF$11)),
         0)</f>
        <v>0</v>
      </c>
      <c r="AZ102" s="453">
        <f ca="1">IF(AND($D102="Serviço",AZ$12&lt;&gt;0,$H102&gt;0,OR(AUTOEVENTO&lt;&gt;"manual",$M102&lt;&gt;$A$15)),
        IF(Import.TipoArredondamento&lt;&gt;"TransfereGOV",
              ROUND(OFFSET($P102,0,AZ$13),15-13*ORÇAMENTO!$AF$7)/$H102*OFFSET(ORÇAMENTO!$X$15,ROW(AZ102)-ROW(AZ$15),0),
              ROUND(ROUND(OFFSET($P102,0,AZ$13),15-13*ORÇAMENTO!$AF$7)*OFFSET(ORÇAMENTO!$W$15,ROW(AZ102)-ROW(AZ$15),0),15-13*ORÇAMENTO!$AF$11)),
         0)</f>
        <v>0</v>
      </c>
      <c r="BA102" s="453">
        <f ca="1">IF(AND($D102="Serviço",BA$12&lt;&gt;0,$H102&gt;0,OR(AUTOEVENTO&lt;&gt;"manual",$M102&lt;&gt;$A$15)),
        IF(Import.TipoArredondamento&lt;&gt;"TransfereGOV",
              ROUND(OFFSET($P102,0,BA$13),15-13*ORÇAMENTO!$AF$7)/$H102*OFFSET(ORÇAMENTO!$X$15,ROW(BA102)-ROW(BA$15),0),
              ROUND(ROUND(OFFSET($P102,0,BA$13),15-13*ORÇAMENTO!$AF$7)*OFFSET(ORÇAMENTO!$W$15,ROW(BA102)-ROW(BA$15),0),15-13*ORÇAMENTO!$AF$11)),
         0)</f>
        <v>0</v>
      </c>
      <c r="BB102" s="453">
        <f ca="1">IF(AND($D102="Serviço",BB$12&lt;&gt;0,$H102&gt;0,OR(AUTOEVENTO&lt;&gt;"manual",$M102&lt;&gt;$A$15)),
        IF(Import.TipoArredondamento&lt;&gt;"TransfereGOV",
              ROUND(OFFSET($P102,0,BB$13),15-13*ORÇAMENTO!$AF$7)/$H102*OFFSET(ORÇAMENTO!$X$15,ROW(BB102)-ROW(BB$15),0),
              ROUND(ROUND(OFFSET($P102,0,BB$13),15-13*ORÇAMENTO!$AF$7)*OFFSET(ORÇAMENTO!$W$15,ROW(BB102)-ROW(BB$15),0),15-13*ORÇAMENTO!$AF$11)),
         0)</f>
        <v>0</v>
      </c>
      <c r="BC102" s="453">
        <f ca="1">IF(AND($D102="Serviço",BC$12&lt;&gt;0,$H102&gt;0,OR(AUTOEVENTO&lt;&gt;"manual",$M102&lt;&gt;$A$15)),
        IF(Import.TipoArredondamento&lt;&gt;"TransfereGOV",
              ROUND(OFFSET($P102,0,BC$13),15-13*ORÇAMENTO!$AF$7)/$H102*OFFSET(ORÇAMENTO!$X$15,ROW(BC102)-ROW(BC$15),0),
              ROUND(ROUND(OFFSET($P102,0,BC$13),15-13*ORÇAMENTO!$AF$7)*OFFSET(ORÇAMENTO!$W$15,ROW(BC102)-ROW(BC$15),0),15-13*ORÇAMENTO!$AF$11)),
         0)</f>
        <v>0</v>
      </c>
      <c r="BD102" s="453">
        <f ca="1">IF(AND($D102="Serviço",BD$12&lt;&gt;0,$H102&gt;0,OR(AUTOEVENTO&lt;&gt;"manual",$M102&lt;&gt;$A$15)),
        IF(Import.TipoArredondamento&lt;&gt;"TransfereGOV",
              ROUND(OFFSET($P102,0,BD$13),15-13*ORÇAMENTO!$AF$7)/$H102*OFFSET(ORÇAMENTO!$X$15,ROW(BD102)-ROW(BD$15),0),
              ROUND(ROUND(OFFSET($P102,0,BD$13),15-13*ORÇAMENTO!$AF$7)*OFFSET(ORÇAMENTO!$W$15,ROW(BD102)-ROW(BD$15),0),15-13*ORÇAMENTO!$AF$11)),
         0)</f>
        <v>0</v>
      </c>
      <c r="BE102" s="453">
        <f ca="1">IF(AND($D102="Serviço",BE$12&lt;&gt;0,$H102&gt;0,OR(AUTOEVENTO&lt;&gt;"manual",$M102&lt;&gt;$A$15)),
        IF(Import.TipoArredondamento&lt;&gt;"TransfereGOV",
              ROUND(OFFSET($P102,0,BE$13),15-13*ORÇAMENTO!$AF$7)/$H102*OFFSET(ORÇAMENTO!$X$15,ROW(BE102)-ROW(BE$15),0),
              ROUND(ROUND(OFFSET($P102,0,BE$13),15-13*ORÇAMENTO!$AF$7)*OFFSET(ORÇAMENTO!$W$15,ROW(BE102)-ROW(BE$15),0),15-13*ORÇAMENTO!$AF$11)),
         0)</f>
        <v>0</v>
      </c>
      <c r="BF102" s="453">
        <f ca="1">IF(AND($D102="Serviço",BF$12&lt;&gt;0,$H102&gt;0,OR(AUTOEVENTO&lt;&gt;"manual",$M102&lt;&gt;$A$15)),
        IF(Import.TipoArredondamento&lt;&gt;"TransfereGOV",
              ROUND(OFFSET($P102,0,BF$13),15-13*ORÇAMENTO!$AF$7)/$H102*OFFSET(ORÇAMENTO!$X$15,ROW(BF102)-ROW(BF$15),0),
              ROUND(ROUND(OFFSET($P102,0,BF$13),15-13*ORÇAMENTO!$AF$7)*OFFSET(ORÇAMENTO!$W$15,ROW(BF102)-ROW(BF$15),0),15-13*ORÇAMENTO!$AF$11)),
         0)</f>
        <v>0</v>
      </c>
      <c r="BG102" s="453">
        <f ca="1">IF(AND($D102="Serviço",BG$12&lt;&gt;0,$H102&gt;0,OR(AUTOEVENTO&lt;&gt;"manual",$M102&lt;&gt;$A$15)),
        IF(Import.TipoArredondamento&lt;&gt;"TransfereGOV",
              ROUND(OFFSET($P102,0,BG$13),15-13*ORÇAMENTO!$AF$7)/$H102*OFFSET(ORÇAMENTO!$X$15,ROW(BG102)-ROW(BG$15),0),
              ROUND(ROUND(OFFSET($P102,0,BG$13),15-13*ORÇAMENTO!$AF$7)*OFFSET(ORÇAMENTO!$W$15,ROW(BG102)-ROW(BG$15),0),15-13*ORÇAMENTO!$AF$11)),
         0)</f>
        <v>0</v>
      </c>
      <c r="BH102" s="453">
        <f ca="1">IF(AND($D102="Serviço",BH$12&lt;&gt;0,$H102&gt;0,OR(AUTOEVENTO&lt;&gt;"manual",$M102&lt;&gt;$A$15)),
        IF(Import.TipoArredondamento&lt;&gt;"TransfereGOV",
              ROUND(OFFSET($P102,0,BH$13),15-13*ORÇAMENTO!$AF$7)/$H102*OFFSET(ORÇAMENTO!$X$15,ROW(BH102)-ROW(BH$15),0),
              ROUND(ROUND(OFFSET($P102,0,BH$13),15-13*ORÇAMENTO!$AF$7)*OFFSET(ORÇAMENTO!$W$15,ROW(BH102)-ROW(BH$15),0),15-13*ORÇAMENTO!$AF$11)),
         0)</f>
        <v>0</v>
      </c>
      <c r="BI102" s="453">
        <f ca="1">IF(AND($D102="Serviço",BI$12&lt;&gt;0,$H102&gt;0,OR(AUTOEVENTO&lt;&gt;"manual",$M102&lt;&gt;$A$15)),
        IF(Import.TipoArredondamento&lt;&gt;"TransfereGOV",
              ROUND(OFFSET($P102,0,BI$13),15-13*ORÇAMENTO!$AF$7)/$H102*OFFSET(ORÇAMENTO!$X$15,ROW(BI102)-ROW(BI$15),0),
              ROUND(ROUND(OFFSET($P102,0,BI$13),15-13*ORÇAMENTO!$AF$7)*OFFSET(ORÇAMENTO!$W$15,ROW(BI102)-ROW(BI$15),0),15-13*ORÇAMENTO!$AF$11)),
         0)</f>
        <v>0</v>
      </c>
      <c r="BJ102" s="453">
        <f ca="1">IF(AND($D102="Serviço",BJ$12&lt;&gt;0,$H102&gt;0,OR(AUTOEVENTO&lt;&gt;"manual",$M102&lt;&gt;$A$15)),
        IF(Import.TipoArredondamento&lt;&gt;"TransfereGOV",
              ROUND(OFFSET($P102,0,BJ$13),15-13*ORÇAMENTO!$AF$7)/$H102*OFFSET(ORÇAMENTO!$X$15,ROW(BJ102)-ROW(BJ$15),0),
              ROUND(ROUND(OFFSET($P102,0,BJ$13),15-13*ORÇAMENTO!$AF$7)*OFFSET(ORÇAMENTO!$W$15,ROW(BJ102)-ROW(BJ$15),0),15-13*ORÇAMENTO!$AF$11)),
         0)</f>
        <v>0</v>
      </c>
      <c r="BK102" s="453">
        <f ca="1">IF(AND($D102="Serviço",BK$12&lt;&gt;0,$H102&gt;0,OR(AUTOEVENTO&lt;&gt;"manual",$M102&lt;&gt;$A$15)),
        IF(Import.TipoArredondamento&lt;&gt;"TransfereGOV",
              ROUND(OFFSET($P102,0,BK$13),15-13*ORÇAMENTO!$AF$7)/$H102*OFFSET(ORÇAMENTO!$X$15,ROW(BK102)-ROW(BK$15),0),
              ROUND(ROUND(OFFSET($P102,0,BK$13),15-13*ORÇAMENTO!$AF$7)*OFFSET(ORÇAMENTO!$W$15,ROW(BK102)-ROW(BK$15),0),15-13*ORÇAMENTO!$AF$11)),
         0)</f>
        <v>0</v>
      </c>
      <c r="BL102" s="453">
        <f ca="1">IF(AND($D102="Serviço",BL$12&lt;&gt;0,$H102&gt;0,OR(AUTOEVENTO&lt;&gt;"manual",$M102&lt;&gt;$A$15)),
        IF(Import.TipoArredondamento&lt;&gt;"TransfereGOV",
              ROUND(OFFSET($P102,0,BL$13),15-13*ORÇAMENTO!$AF$7)/$H102*OFFSET(ORÇAMENTO!$X$15,ROW(BL102)-ROW(BL$15),0),
              ROUND(ROUND(OFFSET($P102,0,BL$13),15-13*ORÇAMENTO!$AF$7)*OFFSET(ORÇAMENTO!$W$15,ROW(BL102)-ROW(BL$15),0),15-13*ORÇAMENTO!$AF$11)),
         0)</f>
        <v>0</v>
      </c>
      <c r="BM102" s="453">
        <f ca="1">IF(AND($D102="Serviço",BM$12&lt;&gt;0,$H102&gt;0,OR(AUTOEVENTO&lt;&gt;"manual",$M102&lt;&gt;$A$15)),
        IF(Import.TipoArredondamento&lt;&gt;"TransfereGOV",
              ROUND(OFFSET($P102,0,BM$13),15-13*ORÇAMENTO!$AF$7)/$H102*OFFSET(ORÇAMENTO!$X$15,ROW(BM102)-ROW(BM$15),0),
              ROUND(ROUND(OFFSET($P102,0,BM$13),15-13*ORÇAMENTO!$AF$7)*OFFSET(ORÇAMENTO!$W$15,ROW(BM102)-ROW(BM$15),0),15-13*ORÇAMENTO!$AF$11)),
         0)</f>
        <v>0</v>
      </c>
      <c r="BN102" s="453">
        <f ca="1">IF(AND($D102="Serviço",BN$12&lt;&gt;0,$H102&gt;0,OR(AUTOEVENTO&lt;&gt;"manual",$M102&lt;&gt;$A$15)),
        IF(Import.TipoArredondamento&lt;&gt;"TransfereGOV",
              ROUND(OFFSET($P102,0,BN$13),15-13*ORÇAMENTO!$AF$7)/$H102*OFFSET(ORÇAMENTO!$X$15,ROW(BN102)-ROW(BN$15),0),
              ROUND(ROUND(OFFSET($P102,0,BN$13),15-13*ORÇAMENTO!$AF$7)*OFFSET(ORÇAMENTO!$W$15,ROW(BN102)-ROW(BN$15),0),15-13*ORÇAMENTO!$AF$11)),
         0)</f>
        <v>0</v>
      </c>
      <c r="BO102" s="453">
        <f ca="1">IF(AND($D102="Serviço",BO$12&lt;&gt;0,$H102&gt;0,OR(AUTOEVENTO&lt;&gt;"manual",$M102&lt;&gt;$A$15)),
        IF(Import.TipoArredondamento&lt;&gt;"TransfereGOV",
              ROUND(OFFSET($P102,0,BO$13),15-13*ORÇAMENTO!$AF$7)/$H102*OFFSET(ORÇAMENTO!$X$15,ROW(BO102)-ROW(BO$15),0),
              ROUND(ROUND(OFFSET($P102,0,BO$13),15-13*ORÇAMENTO!$AF$7)*OFFSET(ORÇAMENTO!$W$15,ROW(BO102)-ROW(BO$15),0),15-13*ORÇAMENTO!$AF$11)),
         0)</f>
        <v>0</v>
      </c>
      <c r="BP102" s="453">
        <f ca="1">IF(AND($D102="Serviço",BP$12&lt;&gt;0,$H102&gt;0,OR(AUTOEVENTO&lt;&gt;"manual",$M102&lt;&gt;$A$15)),
        IF(Import.TipoArredondamento&lt;&gt;"TransfereGOV",
              ROUND(OFFSET($P102,0,BP$13),15-13*ORÇAMENTO!$AF$7)/$H102*OFFSET(ORÇAMENTO!$X$15,ROW(BP102)-ROW(BP$15),0),
              ROUND(ROUND(OFFSET($P102,0,BP$13),15-13*ORÇAMENTO!$AF$7)*OFFSET(ORÇAMENTO!$W$15,ROW(BP102)-ROW(BP$15),0),15-13*ORÇAMENTO!$AF$11)),
         0)</f>
        <v>0</v>
      </c>
      <c r="BQ102" s="453">
        <f ca="1">IF(AND($D102="Serviço",BQ$12&lt;&gt;0,$H102&gt;0,OR(AUTOEVENTO&lt;&gt;"manual",$M102&lt;&gt;$A$15)),
        IF(Import.TipoArredondamento&lt;&gt;"TransfereGOV",
              ROUND(OFFSET($P102,0,BQ$13),15-13*ORÇAMENTO!$AF$7)/$H102*OFFSET(ORÇAMENTO!$X$15,ROW(BQ102)-ROW(BQ$15),0),
              ROUND(ROUND(OFFSET($P102,0,BQ$13),15-13*ORÇAMENTO!$AF$7)*OFFSET(ORÇAMENTO!$W$15,ROW(BQ102)-ROW(BQ$15),0),15-13*ORÇAMENTO!$AF$11)),
         0)</f>
        <v>0</v>
      </c>
      <c r="BS102" s="171">
        <f ca="1">IF(OR($D102&lt;&gt;"Serviço",AND(AUTOEVENTO="Manual",$M102=$A$15)),0,
         IF(OFFSET(CRONOPLE!$F$15,$M102-$A$15,BS$13)=0,10^12,OFFSET(CRONOPLE!$F$15,$M102-$A$15,BS$13)))</f>
        <v>0</v>
      </c>
      <c r="BT102" s="171">
        <f ca="1">IF(OR($D102&lt;&gt;"Serviço",AND(AUTOEVENTO="Manual",$M102=$A$15)),0,
         IF(OFFSET(CRONOPLE!$F$15,$M102-$A$15,BT$13)=0,10^12,OFFSET(CRONOPLE!$F$15,$M102-$A$15,BT$13)))</f>
        <v>0</v>
      </c>
      <c r="BU102" s="171">
        <f ca="1">IF(OR($D102&lt;&gt;"Serviço",AND(AUTOEVENTO="Manual",$M102=$A$15)),0,
         IF(OFFSET(CRONOPLE!$F$15,$M102-$A$15,BU$13)=0,10^12,OFFSET(CRONOPLE!$F$15,$M102-$A$15,BU$13)))</f>
        <v>0</v>
      </c>
      <c r="BV102" s="171">
        <f ca="1">IF(OR($D102&lt;&gt;"Serviço",AND(AUTOEVENTO="Manual",$M102=$A$15)),0,
         IF(OFFSET(CRONOPLE!$F$15,$M102-$A$15,BV$13)=0,10^12,OFFSET(CRONOPLE!$F$15,$M102-$A$15,BV$13)))</f>
        <v>0</v>
      </c>
      <c r="BW102" s="171">
        <f ca="1">IF(OR($D102&lt;&gt;"Serviço",AND(AUTOEVENTO="Manual",$M102=$A$15)),0,
         IF(OFFSET(CRONOPLE!$F$15,$M102-$A$15,BW$13)=0,10^12,OFFSET(CRONOPLE!$F$15,$M102-$A$15,BW$13)))</f>
        <v>0</v>
      </c>
      <c r="BX102" s="171">
        <f ca="1">IF(OR($D102&lt;&gt;"Serviço",AND(AUTOEVENTO="Manual",$M102=$A$15)),0,
         IF(OFFSET(CRONOPLE!$F$15,$M102-$A$15,BX$13)=0,10^12,OFFSET(CRONOPLE!$F$15,$M102-$A$15,BX$13)))</f>
        <v>0</v>
      </c>
      <c r="BY102" s="171">
        <f ca="1">IF(OR($D102&lt;&gt;"Serviço",AND(AUTOEVENTO="Manual",$M102=$A$15)),0,
         IF(OFFSET(CRONOPLE!$F$15,$M102-$A$15,BY$13)=0,10^12,OFFSET(CRONOPLE!$F$15,$M102-$A$15,BY$13)))</f>
        <v>0</v>
      </c>
      <c r="BZ102" s="171">
        <f ca="1">IF(OR($D102&lt;&gt;"Serviço",AND(AUTOEVENTO="Manual",$M102=$A$15)),0,
         IF(OFFSET(CRONOPLE!$F$15,$M102-$A$15,BZ$13)=0,10^12,OFFSET(CRONOPLE!$F$15,$M102-$A$15,BZ$13)))</f>
        <v>0</v>
      </c>
      <c r="CA102" s="171">
        <f ca="1">IF(OR($D102&lt;&gt;"Serviço",AND(AUTOEVENTO="Manual",$M102=$A$15)),0,
         IF(OFFSET(CRONOPLE!$F$15,$M102-$A$15,CA$13)=0,10^12,OFFSET(CRONOPLE!$F$15,$M102-$A$15,CA$13)))</f>
        <v>0</v>
      </c>
      <c r="CB102" s="171">
        <f ca="1">IF(OR($D102&lt;&gt;"Serviço",AND(AUTOEVENTO="Manual",$M102=$A$15)),0,
         IF(OFFSET(CRONOPLE!$F$15,$M102-$A$15,CB$13)=0,10^12,OFFSET(CRONOPLE!$F$15,$M102-$A$15,CB$13)))</f>
        <v>0</v>
      </c>
      <c r="CC102" s="171">
        <f ca="1">IF(OR($D102&lt;&gt;"Serviço",AND(AUTOEVENTO="Manual",$M102=$A$15)),0,
         IF(OFFSET(CRONOPLE!$F$15,$M102-$A$15,CC$13)=0,10^12,OFFSET(CRONOPLE!$F$15,$M102-$A$15,CC$13)))</f>
        <v>0</v>
      </c>
      <c r="CD102" s="171">
        <f ca="1">IF(OR($D102&lt;&gt;"Serviço",AND(AUTOEVENTO="Manual",$M102=$A$15)),0,
         IF(OFFSET(CRONOPLE!$F$15,$M102-$A$15,CD$13)=0,10^12,OFFSET(CRONOPLE!$F$15,$M102-$A$15,CD$13)))</f>
        <v>0</v>
      </c>
      <c r="CE102" s="171">
        <f ca="1">IF(OR($D102&lt;&gt;"Serviço",AND(AUTOEVENTO="Manual",$M102=$A$15)),0,
         IF(OFFSET(CRONOPLE!$F$15,$M102-$A$15,CE$13)=0,10^12,OFFSET(CRONOPLE!$F$15,$M102-$A$15,CE$13)))</f>
        <v>0</v>
      </c>
      <c r="CF102" s="171">
        <f ca="1">IF(OR($D102&lt;&gt;"Serviço",AND(AUTOEVENTO="Manual",$M102=$A$15)),0,
         IF(OFFSET(CRONOPLE!$F$15,$M102-$A$15,CF$13)=0,10^12,OFFSET(CRONOPLE!$F$15,$M102-$A$15,CF$13)))</f>
        <v>0</v>
      </c>
      <c r="CG102" s="171">
        <f ca="1">IF(OR($D102&lt;&gt;"Serviço",AND(AUTOEVENTO="Manual",$M102=$A$15)),0,
         IF(OFFSET(CRONOPLE!$F$15,$M102-$A$15,CG$13)=0,10^12,OFFSET(CRONOPLE!$F$15,$M102-$A$15,CG$13)))</f>
        <v>0</v>
      </c>
      <c r="CH102" s="171">
        <f ca="1">IF(OR($D102&lt;&gt;"Serviço",AND(AUTOEVENTO="Manual",$M102=$A$15)),0,
         IF(OFFSET(CRONOPLE!$F$15,$M102-$A$15,CH$13)=0,10^12,OFFSET(CRONOPLE!$F$15,$M102-$A$15,CH$13)))</f>
        <v>0</v>
      </c>
      <c r="CI102" s="171">
        <f ca="1">IF(OR($D102&lt;&gt;"Serviço",AND(AUTOEVENTO="Manual",$M102=$A$15)),0,
         IF(OFFSET(CRONOPLE!$F$15,$M102-$A$15,CI$13)=0,10^12,OFFSET(CRONOPLE!$F$15,$M102-$A$15,CI$13)))</f>
        <v>0</v>
      </c>
      <c r="CJ102" s="171">
        <f ca="1">IF(OR($D102&lt;&gt;"Serviço",AND(AUTOEVENTO="Manual",$M102=$A$15)),0,
         IF(OFFSET(CRONOPLE!$F$15,$M102-$A$15,CJ$13)=0,10^12,OFFSET(CRONOPLE!$F$15,$M102-$A$15,CJ$13)))</f>
        <v>0</v>
      </c>
      <c r="CK102" s="171">
        <f ca="1">IF(OR($D102&lt;&gt;"Serviço",AND(AUTOEVENTO="Manual",$M102=$A$15)),0,
         IF(OFFSET(CRONOPLE!$F$15,$M102-$A$15,CK$13)=0,10^12,OFFSET(CRONOPLE!$F$15,$M102-$A$15,CK$13)))</f>
        <v>0</v>
      </c>
      <c r="CL102" s="171">
        <f ca="1">IF(OR($D102&lt;&gt;"Serviço",AND(AUTOEVENTO="Manual",$M102=$A$15)),0,
         IF(OFFSET(CRONOPLE!$F$15,$M102-$A$15,CL$13)=0,10^12,OFFSET(CRONOPLE!$F$15,$M102-$A$15,CL$13)))</f>
        <v>0</v>
      </c>
      <c r="CM102" s="171">
        <f ca="1">IF(OR($D102&lt;&gt;"Serviço",AND(AUTOEVENTO="Manual",$M102=$A$15)),0,
         IF(OFFSET(CRONOPLE!$F$15,$M102-$A$15,CM$13)=0,10^12,OFFSET(CRONOPLE!$F$15,$M102-$A$15,CM$13)))</f>
        <v>0</v>
      </c>
      <c r="CN102" s="171">
        <f ca="1">IF(OR($D102&lt;&gt;"Serviço",AND(AUTOEVENTO="Manual",$M102=$A$15)),0,
         IF(OFFSET(CRONOPLE!$F$15,$M102-$A$15,CN$13)=0,10^12,OFFSET(CRONOPLE!$F$15,$M102-$A$15,CN$13)))</f>
        <v>0</v>
      </c>
      <c r="CO102" s="171">
        <f ca="1">IF(OR($D102&lt;&gt;"Serviço",AND(AUTOEVENTO="Manual",$M102=$A$15)),0,
         IF(OFFSET(CRONOPLE!$F$15,$M102-$A$15,CO$13)=0,10^12,OFFSET(CRONOPLE!$F$15,$M102-$A$15,CO$13)))</f>
        <v>0</v>
      </c>
      <c r="CP102" s="171">
        <f ca="1">IF(OR($D102&lt;&gt;"Serviço",AND(AUTOEVENTO="Manual",$M102=$A$15)),0,
         IF(OFFSET(CRONOPLE!$F$15,$M102-$A$15,CP$13)=0,10^12,OFFSET(CRONOPLE!$F$15,$M102-$A$15,CP$13)))</f>
        <v>0</v>
      </c>
      <c r="CQ102" s="171">
        <f ca="1">IF(OR($D102&lt;&gt;"Serviço",AND(AUTOEVENTO="Manual",$M102=$A$15)),0,
         IF(OFFSET(CRONOPLE!$F$15,$M102-$A$15,CQ$13)=0,10^12,OFFSET(CRONOPLE!$F$15,$M102-$A$15,CQ$13)))</f>
        <v>0</v>
      </c>
      <c r="CR102" s="171">
        <f ca="1">IF(OR($D102&lt;&gt;"Serviço",AND(AUTOEVENTO="Manual",$M102=$A$15)),0,
         IF(OFFSET(CRONOPLE!$F$15,$M102-$A$15,CR$13)=0,10^12,OFFSET(CRONOPLE!$F$15,$M102-$A$15,CR$13)))</f>
        <v>0</v>
      </c>
      <c r="CT102" s="172" cm="1">
        <f t="array" aca="1" ref="CT102" ca="1">IF(OR($D102&lt;&gt;"Serviço",AND(AUTOEVENTO="Manual",$M102=$A$15),$M102&gt;(ROW(PLE.lastrow)-ROW(PLE.firstrow))),0,
           IF(OFFSET(PLE!$G$15,$M102-$A$15,CT$13)="",10^12,OFFSET(PLE!$G$15,$M102-$A$15,CT$13)))</f>
        <v>0</v>
      </c>
      <c r="CU102" s="172" cm="1">
        <f t="array" aca="1" ref="CU102" ca="1">IF(OR($D102&lt;&gt;"Serviço",AND(AUTOEVENTO="Manual",$M102=$A$15),$M102&gt;(ROW(PLE.lastrow)-ROW(PLE.firstrow))),0,
           IF(OFFSET(PLE!$G$15,$M102-$A$15,CU$13)="",10^12,OFFSET(PLE!$G$15,$M102-$A$15,CU$13)))</f>
        <v>0</v>
      </c>
      <c r="CV102" s="172" cm="1">
        <f t="array" aca="1" ref="CV102" ca="1">IF(OR($D102&lt;&gt;"Serviço",AND(AUTOEVENTO="Manual",$M102=$A$15),$M102&gt;(ROW(PLE.lastrow)-ROW(PLE.firstrow))),0,
           IF(OFFSET(PLE!$G$15,$M102-$A$15,CV$13)="",10^12,OFFSET(PLE!$G$15,$M102-$A$15,CV$13)))</f>
        <v>0</v>
      </c>
      <c r="CW102" s="172" cm="1">
        <f t="array" aca="1" ref="CW102" ca="1">IF(OR($D102&lt;&gt;"Serviço",AND(AUTOEVENTO="Manual",$M102=$A$15),$M102&gt;(ROW(PLE.lastrow)-ROW(PLE.firstrow))),0,
           IF(OFFSET(PLE!$G$15,$M102-$A$15,CW$13)="",10^12,OFFSET(PLE!$G$15,$M102-$A$15,CW$13)))</f>
        <v>0</v>
      </c>
      <c r="CX102" s="172" cm="1">
        <f t="array" aca="1" ref="CX102" ca="1">IF(OR($D102&lt;&gt;"Serviço",AND(AUTOEVENTO="Manual",$M102=$A$15),$M102&gt;(ROW(PLE.lastrow)-ROW(PLE.firstrow))),0,
           IF(OFFSET(PLE!$G$15,$M102-$A$15,CX$13)="",10^12,OFFSET(PLE!$G$15,$M102-$A$15,CX$13)))</f>
        <v>0</v>
      </c>
      <c r="CY102" s="172" cm="1">
        <f t="array" aca="1" ref="CY102" ca="1">IF(OR($D102&lt;&gt;"Serviço",AND(AUTOEVENTO="Manual",$M102=$A$15),$M102&gt;(ROW(PLE.lastrow)-ROW(PLE.firstrow))),0,
           IF(OFFSET(PLE!$G$15,$M102-$A$15,CY$13)="",10^12,OFFSET(PLE!$G$15,$M102-$A$15,CY$13)))</f>
        <v>0</v>
      </c>
      <c r="CZ102" s="172" cm="1">
        <f t="array" aca="1" ref="CZ102" ca="1">IF(OR($D102&lt;&gt;"Serviço",AND(AUTOEVENTO="Manual",$M102=$A$15),$M102&gt;(ROW(PLE.lastrow)-ROW(PLE.firstrow))),0,
           IF(OFFSET(PLE!$G$15,$M102-$A$15,CZ$13)="",10^12,OFFSET(PLE!$G$15,$M102-$A$15,CZ$13)))</f>
        <v>0</v>
      </c>
      <c r="DA102" s="172" cm="1">
        <f t="array" aca="1" ref="DA102" ca="1">IF(OR($D102&lt;&gt;"Serviço",AND(AUTOEVENTO="Manual",$M102=$A$15),$M102&gt;(ROW(PLE.lastrow)-ROW(PLE.firstrow))),0,
           IF(OFFSET(PLE!$G$15,$M102-$A$15,DA$13)="",10^12,OFFSET(PLE!$G$15,$M102-$A$15,DA$13)))</f>
        <v>0</v>
      </c>
      <c r="DB102" s="172" cm="1">
        <f t="array" aca="1" ref="DB102" ca="1">IF(OR($D102&lt;&gt;"Serviço",AND(AUTOEVENTO="Manual",$M102=$A$15),$M102&gt;(ROW(PLE.lastrow)-ROW(PLE.firstrow))),0,
           IF(OFFSET(PLE!$G$15,$M102-$A$15,DB$13)="",10^12,OFFSET(PLE!$G$15,$M102-$A$15,DB$13)))</f>
        <v>0</v>
      </c>
      <c r="DC102" s="172" cm="1">
        <f t="array" aca="1" ref="DC102" ca="1">IF(OR($D102&lt;&gt;"Serviço",AND(AUTOEVENTO="Manual",$M102=$A$15),$M102&gt;(ROW(PLE.lastrow)-ROW(PLE.firstrow))),0,
           IF(OFFSET(PLE!$G$15,$M102-$A$15,DC$13)="",10^12,OFFSET(PLE!$G$15,$M102-$A$15,DC$13)))</f>
        <v>0</v>
      </c>
      <c r="DD102" s="172" cm="1">
        <f t="array" aca="1" ref="DD102" ca="1">IF(OR($D102&lt;&gt;"Serviço",AND(AUTOEVENTO="Manual",$M102=$A$15),$M102&gt;(ROW(PLE.lastrow)-ROW(PLE.firstrow))),0,
           IF(OFFSET(PLE!$G$15,$M102-$A$15,DD$13)="",10^12,OFFSET(PLE!$G$15,$M102-$A$15,DD$13)))</f>
        <v>0</v>
      </c>
      <c r="DE102" s="172" cm="1">
        <f t="array" aca="1" ref="DE102" ca="1">IF(OR($D102&lt;&gt;"Serviço",AND(AUTOEVENTO="Manual",$M102=$A$15),$M102&gt;(ROW(PLE.lastrow)-ROW(PLE.firstrow))),0,
           IF(OFFSET(PLE!$G$15,$M102-$A$15,DE$13)="",10^12,OFFSET(PLE!$G$15,$M102-$A$15,DE$13)))</f>
        <v>0</v>
      </c>
      <c r="DF102" s="172" cm="1">
        <f t="array" aca="1" ref="DF102" ca="1">IF(OR($D102&lt;&gt;"Serviço",AND(AUTOEVENTO="Manual",$M102=$A$15),$M102&gt;(ROW(PLE.lastrow)-ROW(PLE.firstrow))),0,
           IF(OFFSET(PLE!$G$15,$M102-$A$15,DF$13)="",10^12,OFFSET(PLE!$G$15,$M102-$A$15,DF$13)))</f>
        <v>0</v>
      </c>
      <c r="DG102" s="172" cm="1">
        <f t="array" aca="1" ref="DG102" ca="1">IF(OR($D102&lt;&gt;"Serviço",AND(AUTOEVENTO="Manual",$M102=$A$15),$M102&gt;(ROW(PLE.lastrow)-ROW(PLE.firstrow))),0,
           IF(OFFSET(PLE!$G$15,$M102-$A$15,DG$13)="",10^12,OFFSET(PLE!$G$15,$M102-$A$15,DG$13)))</f>
        <v>0</v>
      </c>
      <c r="DH102" s="172" cm="1">
        <f t="array" aca="1" ref="DH102" ca="1">IF(OR($D102&lt;&gt;"Serviço",AND(AUTOEVENTO="Manual",$M102=$A$15),$M102&gt;(ROW(PLE.lastrow)-ROW(PLE.firstrow))),0,
           IF(OFFSET(PLE!$G$15,$M102-$A$15,DH$13)="",10^12,OFFSET(PLE!$G$15,$M102-$A$15,DH$13)))</f>
        <v>0</v>
      </c>
      <c r="DI102" s="172" cm="1">
        <f t="array" aca="1" ref="DI102" ca="1">IF(OR($D102&lt;&gt;"Serviço",AND(AUTOEVENTO="Manual",$M102=$A$15),$M102&gt;(ROW(PLE.lastrow)-ROW(PLE.firstrow))),0,
           IF(OFFSET(PLE!$G$15,$M102-$A$15,DI$13)="",10^12,OFFSET(PLE!$G$15,$M102-$A$15,DI$13)))</f>
        <v>0</v>
      </c>
      <c r="DJ102" s="172" cm="1">
        <f t="array" aca="1" ref="DJ102" ca="1">IF(OR($D102&lt;&gt;"Serviço",AND(AUTOEVENTO="Manual",$M102=$A$15),$M102&gt;(ROW(PLE.lastrow)-ROW(PLE.firstrow))),0,
           IF(OFFSET(PLE!$G$15,$M102-$A$15,DJ$13)="",10^12,OFFSET(PLE!$G$15,$M102-$A$15,DJ$13)))</f>
        <v>0</v>
      </c>
      <c r="DK102" s="172" cm="1">
        <f t="array" aca="1" ref="DK102" ca="1">IF(OR($D102&lt;&gt;"Serviço",AND(AUTOEVENTO="Manual",$M102=$A$15),$M102&gt;(ROW(PLE.lastrow)-ROW(PLE.firstrow))),0,
           IF(OFFSET(PLE!$G$15,$M102-$A$15,DK$13)="",10^12,OFFSET(PLE!$G$15,$M102-$A$15,DK$13)))</f>
        <v>0</v>
      </c>
      <c r="DL102" s="172" cm="1">
        <f t="array" aca="1" ref="DL102" ca="1">IF(OR($D102&lt;&gt;"Serviço",AND(AUTOEVENTO="Manual",$M102=$A$15),$M102&gt;(ROW(PLE.lastrow)-ROW(PLE.firstrow))),0,
           IF(OFFSET(PLE!$G$15,$M102-$A$15,DL$13)="",10^12,OFFSET(PLE!$G$15,$M102-$A$15,DL$13)))</f>
        <v>0</v>
      </c>
      <c r="DM102" s="172" cm="1">
        <f t="array" aca="1" ref="DM102" ca="1">IF(OR($D102&lt;&gt;"Serviço",AND(AUTOEVENTO="Manual",$M102=$A$15),$M102&gt;(ROW(PLE.lastrow)-ROW(PLE.firstrow))),0,
           IF(OFFSET(PLE!$G$15,$M102-$A$15,DM$13)="",10^12,OFFSET(PLE!$G$15,$M102-$A$15,DM$13)))</f>
        <v>0</v>
      </c>
      <c r="DN102" s="172" cm="1">
        <f t="array" aca="1" ref="DN102" ca="1">IF(OR($D102&lt;&gt;"Serviço",AND(AUTOEVENTO="Manual",$M102=$A$15),$M102&gt;(ROW(PLE.lastrow)-ROW(PLE.firstrow))),0,
           IF(OFFSET(PLE!$G$15,$M102-$A$15,DN$13)="",10^12,OFFSET(PLE!$G$15,$M102-$A$15,DN$13)))</f>
        <v>0</v>
      </c>
      <c r="DO102" s="172" cm="1">
        <f t="array" aca="1" ref="DO102" ca="1">IF(OR($D102&lt;&gt;"Serviço",AND(AUTOEVENTO="Manual",$M102=$A$15),$M102&gt;(ROW(PLE.lastrow)-ROW(PLE.firstrow))),0,
           IF(OFFSET(PLE!$G$15,$M102-$A$15,DO$13)="",10^12,OFFSET(PLE!$G$15,$M102-$A$15,DO$13)))</f>
        <v>0</v>
      </c>
      <c r="DP102" s="172" cm="1">
        <f t="array" aca="1" ref="DP102" ca="1">IF(OR($D102&lt;&gt;"Serviço",AND(AUTOEVENTO="Manual",$M102=$A$15),$M102&gt;(ROW(PLE.lastrow)-ROW(PLE.firstrow))),0,
           IF(OFFSET(PLE!$G$15,$M102-$A$15,DP$13)="",10^12,OFFSET(PLE!$G$15,$M102-$A$15,DP$13)))</f>
        <v>0</v>
      </c>
      <c r="DQ102" s="172" cm="1">
        <f t="array" aca="1" ref="DQ102" ca="1">IF(OR($D102&lt;&gt;"Serviço",AND(AUTOEVENTO="Manual",$M102=$A$15),$M102&gt;(ROW(PLE.lastrow)-ROW(PLE.firstrow))),0,
           IF(OFFSET(PLE!$G$15,$M102-$A$15,DQ$13)="",10^12,OFFSET(PLE!$G$15,$M102-$A$15,DQ$13)))</f>
        <v>0</v>
      </c>
      <c r="DR102" s="172" cm="1">
        <f t="array" aca="1" ref="DR102" ca="1">IF(OR($D102&lt;&gt;"Serviço",AND(AUTOEVENTO="Manual",$M102=$A$15),$M102&gt;(ROW(PLE.lastrow)-ROW(PLE.firstrow))),0,
           IF(OFFSET(PLE!$G$15,$M102-$A$15,DR$13)="",10^12,OFFSET(PLE!$G$15,$M102-$A$15,DR$13)))</f>
        <v>0</v>
      </c>
      <c r="DS102" s="172" cm="1">
        <f t="array" aca="1" ref="DS102" ca="1">IF(OR($D102&lt;&gt;"Serviço",AND(AUTOEVENTO="Manual",$M102=$A$15),$M102&gt;(ROW(PLE.lastrow)-ROW(PLE.firstrow))),0,
           IF(OFFSET(PLE!$G$15,$M102-$A$15,DS$13)="",10^12,OFFSET(PLE!$G$15,$M102-$A$15,DS$13)))</f>
        <v>0</v>
      </c>
    </row>
    <row r="103" spans="1:123" ht="25.5" x14ac:dyDescent="0.2">
      <c r="A103" s="7">
        <f t="shared" ca="1" si="13"/>
        <v>7</v>
      </c>
      <c r="B103" s="7" t="str">
        <f ca="1">OFFSET(ORÇAMENTO!C$15,$L103,0)</f>
        <v>S</v>
      </c>
      <c r="C103" s="7" t="str">
        <f ca="1">OFFSET(ORÇAMENTO!L$15,$L103,0)</f>
        <v/>
      </c>
      <c r="D103" s="116" t="str">
        <f ca="1">OFFSET(ORÇAMENTO!N$15,$L103,0)</f>
        <v>Serviço</v>
      </c>
      <c r="E103" s="117" t="str">
        <f ca="1">OFFSET(ORÇAMENTO!O$15,$L103,0)</f>
        <v>-</v>
      </c>
      <c r="F103" s="163" t="str">
        <f ca="1">OFFSET(ORÇAMENTO!R$15,$L103,0)</f>
        <v>(Código não identificado nas referências)</v>
      </c>
      <c r="G103" s="164" t="str">
        <f ca="1">IF($D103&lt;&gt;"Serviço","",OFFSET(ORÇAMENTO!S$15,$L103,0))</f>
        <v>-</v>
      </c>
      <c r="H103" s="122" cm="1">
        <f t="array" aca="1" ref="H103" ca="1">IF($D103&lt;&gt;"Serviço",0,IF(ACOMPANHAMENTO="BM",ROUND(OFFSET(ORÇAMENTO!AJ$15,$L103,0),15-13*ORÇAMENTO!$AF$7),IF(IFERROR(CÁLCULO.FrentesPreenchidas,0)=0,0,SUM(ROUND(OFFSET($P103,0,1,1,CÁLCULO.FrentesPreenchidas),15-13*ORÇAMENTO!$AF$7)))))</f>
        <v>2252.1999999999994</v>
      </c>
      <c r="I103" s="468" t="s">
        <v>1235</v>
      </c>
      <c r="J103" s="651" t="str" cm="1">
        <f t="array" aca="1" ref="J103" ca="1">IF(OR(B103&lt;&gt;"S",CÁLCULO.FrentesPreenchidas=0),"",IF(AND(ACOMPANHAMENTO="PLE",AUTOEVENTO="Manual",OR(H103&gt;0,ORÇAMENTO!AC103="QUANT."),OR(K103="",M103=0,N103="")),"►E",IF(AND(ACOMPANHAMENTO="PLE",ORÇAMENTO!AC103="QUANT."),"►Q",IF(AND(ACOMPANHAMENTO="PLE",H103&lt;&gt;SUMPRODUCT(($Q$1:$AQ$1=1)*ROUND(Q103:AQ103,15))),"►S",IF(AND(COUNTIF($P$11:$AQ$11,"▼")=0,H103&gt;0,I103=""),"◄M","")))))</f>
        <v/>
      </c>
      <c r="K103" s="652" t="s">
        <v>1255</v>
      </c>
      <c r="L103" s="165">
        <f t="shared" ca="1" si="14"/>
        <v>88</v>
      </c>
      <c r="M103" s="166">
        <f ca="1">IF($D103&lt;&gt;"Serviço","",
          IF(AUTOEVENTO="manual",$A103,
                IF(ISERROR(MATCH($A103,$A$15:OFFSET($A103,-1,0),0)),MAX($M$15:OFFSET(M103,-1,0))+1,
                      INDEX($M$15:OFFSET(M103,-1,0),MATCH($A103,$A$15:OFFSET($A103,-1,0),0)))))</f>
        <v>7</v>
      </c>
      <c r="N103" s="167" t="str">
        <f ca="1">IF($D103&lt;&gt;"Serviço","",
         IF(AUTOEVENTO="Manual",
                IF($A103=0,"&lt;-- defina o número do agrupador",
                       OFFSET(EVENTOS!$D$15,$A103-$A$15,0)),
                OFFSET($F$15,$A103,0)))</f>
        <v>REVESTIMENTOS</v>
      </c>
      <c r="O103" s="168"/>
      <c r="Q103" s="168">
        <v>112.61</v>
      </c>
      <c r="R103" s="169">
        <v>112.61</v>
      </c>
      <c r="S103" s="169">
        <v>112.61</v>
      </c>
      <c r="T103" s="169">
        <v>112.61</v>
      </c>
      <c r="U103" s="169">
        <v>112.61</v>
      </c>
      <c r="V103" s="169">
        <v>112.61</v>
      </c>
      <c r="W103" s="169">
        <v>112.61</v>
      </c>
      <c r="X103" s="169">
        <v>112.61</v>
      </c>
      <c r="Y103" s="169">
        <v>112.61</v>
      </c>
      <c r="Z103" s="170">
        <v>112.61</v>
      </c>
      <c r="AA103" s="169">
        <v>112.61</v>
      </c>
      <c r="AB103" s="169">
        <v>112.61</v>
      </c>
      <c r="AC103" s="169">
        <v>112.61</v>
      </c>
      <c r="AD103" s="169">
        <v>112.61</v>
      </c>
      <c r="AE103" s="169">
        <v>112.61</v>
      </c>
      <c r="AF103" s="169">
        <v>112.61</v>
      </c>
      <c r="AG103" s="169">
        <v>112.61</v>
      </c>
      <c r="AH103" s="170">
        <v>112.61</v>
      </c>
      <c r="AI103" s="169">
        <v>112.61</v>
      </c>
      <c r="AJ103" s="169">
        <v>112.61</v>
      </c>
      <c r="AK103" s="169"/>
      <c r="AL103" s="169"/>
      <c r="AM103" s="169"/>
      <c r="AN103" s="169"/>
      <c r="AO103" s="169"/>
      <c r="AP103" s="170"/>
      <c r="AR103" s="453">
        <f ca="1">IF(AND($D103="Serviço",AR$12&lt;&gt;0,$H103&gt;0,OR(AUTOEVENTO&lt;&gt;"manual",$M103&lt;&gt;$A$15)),
        IF(Import.TipoArredondamento&lt;&gt;"TransfereGOV",
              ROUND(OFFSET($P103,0,AR$13),15-13*ORÇAMENTO!$AF$7)/$H103*OFFSET(ORÇAMENTO!$X$15,ROW(AR103)-ROW(AR$15),0),
              ROUND(ROUND(OFFSET($P103,0,AR$13),15-13*ORÇAMENTO!$AF$7)*OFFSET(ORÇAMENTO!$W$15,ROW(AR103)-ROW(AR$15),0),15-13*ORÇAMENTO!$AF$11)),
         0)</f>
        <v>0</v>
      </c>
      <c r="AS103" s="453">
        <f ca="1">IF(AND($D103="Serviço",AS$12&lt;&gt;0,$H103&gt;0,OR(AUTOEVENTO&lt;&gt;"manual",$M103&lt;&gt;$A$15)),
        IF(Import.TipoArredondamento&lt;&gt;"TransfereGOV",
              ROUND(OFFSET($P103,0,AS$13),15-13*ORÇAMENTO!$AF$7)/$H103*OFFSET(ORÇAMENTO!$X$15,ROW(AS103)-ROW(AS$15),0),
              ROUND(ROUND(OFFSET($P103,0,AS$13),15-13*ORÇAMENTO!$AF$7)*OFFSET(ORÇAMENTO!$W$15,ROW(AS103)-ROW(AS$15),0),15-13*ORÇAMENTO!$AF$11)),
         0)</f>
        <v>0</v>
      </c>
      <c r="AT103" s="453">
        <f ca="1">IF(AND($D103="Serviço",AT$12&lt;&gt;0,$H103&gt;0,OR(AUTOEVENTO&lt;&gt;"manual",$M103&lt;&gt;$A$15)),
        IF(Import.TipoArredondamento&lt;&gt;"TransfereGOV",
              ROUND(OFFSET($P103,0,AT$13),15-13*ORÇAMENTO!$AF$7)/$H103*OFFSET(ORÇAMENTO!$X$15,ROW(AT103)-ROW(AT$15),0),
              ROUND(ROUND(OFFSET($P103,0,AT$13),15-13*ORÇAMENTO!$AF$7)*OFFSET(ORÇAMENTO!$W$15,ROW(AT103)-ROW(AT$15),0),15-13*ORÇAMENTO!$AF$11)),
         0)</f>
        <v>0</v>
      </c>
      <c r="AU103" s="453">
        <f ca="1">IF(AND($D103="Serviço",AU$12&lt;&gt;0,$H103&gt;0,OR(AUTOEVENTO&lt;&gt;"manual",$M103&lt;&gt;$A$15)),
        IF(Import.TipoArredondamento&lt;&gt;"TransfereGOV",
              ROUND(OFFSET($P103,0,AU$13),15-13*ORÇAMENTO!$AF$7)/$H103*OFFSET(ORÇAMENTO!$X$15,ROW(AU103)-ROW(AU$15),0),
              ROUND(ROUND(OFFSET($P103,0,AU$13),15-13*ORÇAMENTO!$AF$7)*OFFSET(ORÇAMENTO!$W$15,ROW(AU103)-ROW(AU$15),0),15-13*ORÇAMENTO!$AF$11)),
         0)</f>
        <v>0</v>
      </c>
      <c r="AV103" s="453">
        <f ca="1">IF(AND($D103="Serviço",AV$12&lt;&gt;0,$H103&gt;0,OR(AUTOEVENTO&lt;&gt;"manual",$M103&lt;&gt;$A$15)),
        IF(Import.TipoArredondamento&lt;&gt;"TransfereGOV",
              ROUND(OFFSET($P103,0,AV$13),15-13*ORÇAMENTO!$AF$7)/$H103*OFFSET(ORÇAMENTO!$X$15,ROW(AV103)-ROW(AV$15),0),
              ROUND(ROUND(OFFSET($P103,0,AV$13),15-13*ORÇAMENTO!$AF$7)*OFFSET(ORÇAMENTO!$W$15,ROW(AV103)-ROW(AV$15),0),15-13*ORÇAMENTO!$AF$11)),
         0)</f>
        <v>0</v>
      </c>
      <c r="AW103" s="453">
        <f ca="1">IF(AND($D103="Serviço",AW$12&lt;&gt;0,$H103&gt;0,OR(AUTOEVENTO&lt;&gt;"manual",$M103&lt;&gt;$A$15)),
        IF(Import.TipoArredondamento&lt;&gt;"TransfereGOV",
              ROUND(OFFSET($P103,0,AW$13),15-13*ORÇAMENTO!$AF$7)/$H103*OFFSET(ORÇAMENTO!$X$15,ROW(AW103)-ROW(AW$15),0),
              ROUND(ROUND(OFFSET($P103,0,AW$13),15-13*ORÇAMENTO!$AF$7)*OFFSET(ORÇAMENTO!$W$15,ROW(AW103)-ROW(AW$15),0),15-13*ORÇAMENTO!$AF$11)),
         0)</f>
        <v>0</v>
      </c>
      <c r="AX103" s="453">
        <f ca="1">IF(AND($D103="Serviço",AX$12&lt;&gt;0,$H103&gt;0,OR(AUTOEVENTO&lt;&gt;"manual",$M103&lt;&gt;$A$15)),
        IF(Import.TipoArredondamento&lt;&gt;"TransfereGOV",
              ROUND(OFFSET($P103,0,AX$13),15-13*ORÇAMENTO!$AF$7)/$H103*OFFSET(ORÇAMENTO!$X$15,ROW(AX103)-ROW(AX$15),0),
              ROUND(ROUND(OFFSET($P103,0,AX$13),15-13*ORÇAMENTO!$AF$7)*OFFSET(ORÇAMENTO!$W$15,ROW(AX103)-ROW(AX$15),0),15-13*ORÇAMENTO!$AF$11)),
         0)</f>
        <v>0</v>
      </c>
      <c r="AY103" s="453">
        <f ca="1">IF(AND($D103="Serviço",AY$12&lt;&gt;0,$H103&gt;0,OR(AUTOEVENTO&lt;&gt;"manual",$M103&lt;&gt;$A$15)),
        IF(Import.TipoArredondamento&lt;&gt;"TransfereGOV",
              ROUND(OFFSET($P103,0,AY$13),15-13*ORÇAMENTO!$AF$7)/$H103*OFFSET(ORÇAMENTO!$X$15,ROW(AY103)-ROW(AY$15),0),
              ROUND(ROUND(OFFSET($P103,0,AY$13),15-13*ORÇAMENTO!$AF$7)*OFFSET(ORÇAMENTO!$W$15,ROW(AY103)-ROW(AY$15),0),15-13*ORÇAMENTO!$AF$11)),
         0)</f>
        <v>0</v>
      </c>
      <c r="AZ103" s="453">
        <f ca="1">IF(AND($D103="Serviço",AZ$12&lt;&gt;0,$H103&gt;0,OR(AUTOEVENTO&lt;&gt;"manual",$M103&lt;&gt;$A$15)),
        IF(Import.TipoArredondamento&lt;&gt;"TransfereGOV",
              ROUND(OFFSET($P103,0,AZ$13),15-13*ORÇAMENTO!$AF$7)/$H103*OFFSET(ORÇAMENTO!$X$15,ROW(AZ103)-ROW(AZ$15),0),
              ROUND(ROUND(OFFSET($P103,0,AZ$13),15-13*ORÇAMENTO!$AF$7)*OFFSET(ORÇAMENTO!$W$15,ROW(AZ103)-ROW(AZ$15),0),15-13*ORÇAMENTO!$AF$11)),
         0)</f>
        <v>0</v>
      </c>
      <c r="BA103" s="453">
        <f ca="1">IF(AND($D103="Serviço",BA$12&lt;&gt;0,$H103&gt;0,OR(AUTOEVENTO&lt;&gt;"manual",$M103&lt;&gt;$A$15)),
        IF(Import.TipoArredondamento&lt;&gt;"TransfereGOV",
              ROUND(OFFSET($P103,0,BA$13),15-13*ORÇAMENTO!$AF$7)/$H103*OFFSET(ORÇAMENTO!$X$15,ROW(BA103)-ROW(BA$15),0),
              ROUND(ROUND(OFFSET($P103,0,BA$13),15-13*ORÇAMENTO!$AF$7)*OFFSET(ORÇAMENTO!$W$15,ROW(BA103)-ROW(BA$15),0),15-13*ORÇAMENTO!$AF$11)),
         0)</f>
        <v>0</v>
      </c>
      <c r="BB103" s="453">
        <f ca="1">IF(AND($D103="Serviço",BB$12&lt;&gt;0,$H103&gt;0,OR(AUTOEVENTO&lt;&gt;"manual",$M103&lt;&gt;$A$15)),
        IF(Import.TipoArredondamento&lt;&gt;"TransfereGOV",
              ROUND(OFFSET($P103,0,BB$13),15-13*ORÇAMENTO!$AF$7)/$H103*OFFSET(ORÇAMENTO!$X$15,ROW(BB103)-ROW(BB$15),0),
              ROUND(ROUND(OFFSET($P103,0,BB$13),15-13*ORÇAMENTO!$AF$7)*OFFSET(ORÇAMENTO!$W$15,ROW(BB103)-ROW(BB$15),0),15-13*ORÇAMENTO!$AF$11)),
         0)</f>
        <v>0</v>
      </c>
      <c r="BC103" s="453">
        <f ca="1">IF(AND($D103="Serviço",BC$12&lt;&gt;0,$H103&gt;0,OR(AUTOEVENTO&lt;&gt;"manual",$M103&lt;&gt;$A$15)),
        IF(Import.TipoArredondamento&lt;&gt;"TransfereGOV",
              ROUND(OFFSET($P103,0,BC$13),15-13*ORÇAMENTO!$AF$7)/$H103*OFFSET(ORÇAMENTO!$X$15,ROW(BC103)-ROW(BC$15),0),
              ROUND(ROUND(OFFSET($P103,0,BC$13),15-13*ORÇAMENTO!$AF$7)*OFFSET(ORÇAMENTO!$W$15,ROW(BC103)-ROW(BC$15),0),15-13*ORÇAMENTO!$AF$11)),
         0)</f>
        <v>0</v>
      </c>
      <c r="BD103" s="453">
        <f ca="1">IF(AND($D103="Serviço",BD$12&lt;&gt;0,$H103&gt;0,OR(AUTOEVENTO&lt;&gt;"manual",$M103&lt;&gt;$A$15)),
        IF(Import.TipoArredondamento&lt;&gt;"TransfereGOV",
              ROUND(OFFSET($P103,0,BD$13),15-13*ORÇAMENTO!$AF$7)/$H103*OFFSET(ORÇAMENTO!$X$15,ROW(BD103)-ROW(BD$15),0),
              ROUND(ROUND(OFFSET($P103,0,BD$13),15-13*ORÇAMENTO!$AF$7)*OFFSET(ORÇAMENTO!$W$15,ROW(BD103)-ROW(BD$15),0),15-13*ORÇAMENTO!$AF$11)),
         0)</f>
        <v>0</v>
      </c>
      <c r="BE103" s="453">
        <f ca="1">IF(AND($D103="Serviço",BE$12&lt;&gt;0,$H103&gt;0,OR(AUTOEVENTO&lt;&gt;"manual",$M103&lt;&gt;$A$15)),
        IF(Import.TipoArredondamento&lt;&gt;"TransfereGOV",
              ROUND(OFFSET($P103,0,BE$13),15-13*ORÇAMENTO!$AF$7)/$H103*OFFSET(ORÇAMENTO!$X$15,ROW(BE103)-ROW(BE$15),0),
              ROUND(ROUND(OFFSET($P103,0,BE$13),15-13*ORÇAMENTO!$AF$7)*OFFSET(ORÇAMENTO!$W$15,ROW(BE103)-ROW(BE$15),0),15-13*ORÇAMENTO!$AF$11)),
         0)</f>
        <v>0</v>
      </c>
      <c r="BF103" s="453">
        <f ca="1">IF(AND($D103="Serviço",BF$12&lt;&gt;0,$H103&gt;0,OR(AUTOEVENTO&lt;&gt;"manual",$M103&lt;&gt;$A$15)),
        IF(Import.TipoArredondamento&lt;&gt;"TransfereGOV",
              ROUND(OFFSET($P103,0,BF$13),15-13*ORÇAMENTO!$AF$7)/$H103*OFFSET(ORÇAMENTO!$X$15,ROW(BF103)-ROW(BF$15),0),
              ROUND(ROUND(OFFSET($P103,0,BF$13),15-13*ORÇAMENTO!$AF$7)*OFFSET(ORÇAMENTO!$W$15,ROW(BF103)-ROW(BF$15),0),15-13*ORÇAMENTO!$AF$11)),
         0)</f>
        <v>0</v>
      </c>
      <c r="BG103" s="453">
        <f ca="1">IF(AND($D103="Serviço",BG$12&lt;&gt;0,$H103&gt;0,OR(AUTOEVENTO&lt;&gt;"manual",$M103&lt;&gt;$A$15)),
        IF(Import.TipoArredondamento&lt;&gt;"TransfereGOV",
              ROUND(OFFSET($P103,0,BG$13),15-13*ORÇAMENTO!$AF$7)/$H103*OFFSET(ORÇAMENTO!$X$15,ROW(BG103)-ROW(BG$15),0),
              ROUND(ROUND(OFFSET($P103,0,BG$13),15-13*ORÇAMENTO!$AF$7)*OFFSET(ORÇAMENTO!$W$15,ROW(BG103)-ROW(BG$15),0),15-13*ORÇAMENTO!$AF$11)),
         0)</f>
        <v>0</v>
      </c>
      <c r="BH103" s="453">
        <f ca="1">IF(AND($D103="Serviço",BH$12&lt;&gt;0,$H103&gt;0,OR(AUTOEVENTO&lt;&gt;"manual",$M103&lt;&gt;$A$15)),
        IF(Import.TipoArredondamento&lt;&gt;"TransfereGOV",
              ROUND(OFFSET($P103,0,BH$13),15-13*ORÇAMENTO!$AF$7)/$H103*OFFSET(ORÇAMENTO!$X$15,ROW(BH103)-ROW(BH$15),0),
              ROUND(ROUND(OFFSET($P103,0,BH$13),15-13*ORÇAMENTO!$AF$7)*OFFSET(ORÇAMENTO!$W$15,ROW(BH103)-ROW(BH$15),0),15-13*ORÇAMENTO!$AF$11)),
         0)</f>
        <v>0</v>
      </c>
      <c r="BI103" s="453">
        <f ca="1">IF(AND($D103="Serviço",BI$12&lt;&gt;0,$H103&gt;0,OR(AUTOEVENTO&lt;&gt;"manual",$M103&lt;&gt;$A$15)),
        IF(Import.TipoArredondamento&lt;&gt;"TransfereGOV",
              ROUND(OFFSET($P103,0,BI$13),15-13*ORÇAMENTO!$AF$7)/$H103*OFFSET(ORÇAMENTO!$X$15,ROW(BI103)-ROW(BI$15),0),
              ROUND(ROUND(OFFSET($P103,0,BI$13),15-13*ORÇAMENTO!$AF$7)*OFFSET(ORÇAMENTO!$W$15,ROW(BI103)-ROW(BI$15),0),15-13*ORÇAMENTO!$AF$11)),
         0)</f>
        <v>0</v>
      </c>
      <c r="BJ103" s="453">
        <f ca="1">IF(AND($D103="Serviço",BJ$12&lt;&gt;0,$H103&gt;0,OR(AUTOEVENTO&lt;&gt;"manual",$M103&lt;&gt;$A$15)),
        IF(Import.TipoArredondamento&lt;&gt;"TransfereGOV",
              ROUND(OFFSET($P103,0,BJ$13),15-13*ORÇAMENTO!$AF$7)/$H103*OFFSET(ORÇAMENTO!$X$15,ROW(BJ103)-ROW(BJ$15),0),
              ROUND(ROUND(OFFSET($P103,0,BJ$13),15-13*ORÇAMENTO!$AF$7)*OFFSET(ORÇAMENTO!$W$15,ROW(BJ103)-ROW(BJ$15),0),15-13*ORÇAMENTO!$AF$11)),
         0)</f>
        <v>0</v>
      </c>
      <c r="BK103" s="453">
        <f ca="1">IF(AND($D103="Serviço",BK$12&lt;&gt;0,$H103&gt;0,OR(AUTOEVENTO&lt;&gt;"manual",$M103&lt;&gt;$A$15)),
        IF(Import.TipoArredondamento&lt;&gt;"TransfereGOV",
              ROUND(OFFSET($P103,0,BK$13),15-13*ORÇAMENTO!$AF$7)/$H103*OFFSET(ORÇAMENTO!$X$15,ROW(BK103)-ROW(BK$15),0),
              ROUND(ROUND(OFFSET($P103,0,BK$13),15-13*ORÇAMENTO!$AF$7)*OFFSET(ORÇAMENTO!$W$15,ROW(BK103)-ROW(BK$15),0),15-13*ORÇAMENTO!$AF$11)),
         0)</f>
        <v>0</v>
      </c>
      <c r="BL103" s="453">
        <f ca="1">IF(AND($D103="Serviço",BL$12&lt;&gt;0,$H103&gt;0,OR(AUTOEVENTO&lt;&gt;"manual",$M103&lt;&gt;$A$15)),
        IF(Import.TipoArredondamento&lt;&gt;"TransfereGOV",
              ROUND(OFFSET($P103,0,BL$13),15-13*ORÇAMENTO!$AF$7)/$H103*OFFSET(ORÇAMENTO!$X$15,ROW(BL103)-ROW(BL$15),0),
              ROUND(ROUND(OFFSET($P103,0,BL$13),15-13*ORÇAMENTO!$AF$7)*OFFSET(ORÇAMENTO!$W$15,ROW(BL103)-ROW(BL$15),0),15-13*ORÇAMENTO!$AF$11)),
         0)</f>
        <v>0</v>
      </c>
      <c r="BM103" s="453">
        <f ca="1">IF(AND($D103="Serviço",BM$12&lt;&gt;0,$H103&gt;0,OR(AUTOEVENTO&lt;&gt;"manual",$M103&lt;&gt;$A$15)),
        IF(Import.TipoArredondamento&lt;&gt;"TransfereGOV",
              ROUND(OFFSET($P103,0,BM$13),15-13*ORÇAMENTO!$AF$7)/$H103*OFFSET(ORÇAMENTO!$X$15,ROW(BM103)-ROW(BM$15),0),
              ROUND(ROUND(OFFSET($P103,0,BM$13),15-13*ORÇAMENTO!$AF$7)*OFFSET(ORÇAMENTO!$W$15,ROW(BM103)-ROW(BM$15),0),15-13*ORÇAMENTO!$AF$11)),
         0)</f>
        <v>0</v>
      </c>
      <c r="BN103" s="453">
        <f ca="1">IF(AND($D103="Serviço",BN$12&lt;&gt;0,$H103&gt;0,OR(AUTOEVENTO&lt;&gt;"manual",$M103&lt;&gt;$A$15)),
        IF(Import.TipoArredondamento&lt;&gt;"TransfereGOV",
              ROUND(OFFSET($P103,0,BN$13),15-13*ORÇAMENTO!$AF$7)/$H103*OFFSET(ORÇAMENTO!$X$15,ROW(BN103)-ROW(BN$15),0),
              ROUND(ROUND(OFFSET($P103,0,BN$13),15-13*ORÇAMENTO!$AF$7)*OFFSET(ORÇAMENTO!$W$15,ROW(BN103)-ROW(BN$15),0),15-13*ORÇAMENTO!$AF$11)),
         0)</f>
        <v>0</v>
      </c>
      <c r="BO103" s="453">
        <f ca="1">IF(AND($D103="Serviço",BO$12&lt;&gt;0,$H103&gt;0,OR(AUTOEVENTO&lt;&gt;"manual",$M103&lt;&gt;$A$15)),
        IF(Import.TipoArredondamento&lt;&gt;"TransfereGOV",
              ROUND(OFFSET($P103,0,BO$13),15-13*ORÇAMENTO!$AF$7)/$H103*OFFSET(ORÇAMENTO!$X$15,ROW(BO103)-ROW(BO$15),0),
              ROUND(ROUND(OFFSET($P103,0,BO$13),15-13*ORÇAMENTO!$AF$7)*OFFSET(ORÇAMENTO!$W$15,ROW(BO103)-ROW(BO$15),0),15-13*ORÇAMENTO!$AF$11)),
         0)</f>
        <v>0</v>
      </c>
      <c r="BP103" s="453">
        <f ca="1">IF(AND($D103="Serviço",BP$12&lt;&gt;0,$H103&gt;0,OR(AUTOEVENTO&lt;&gt;"manual",$M103&lt;&gt;$A$15)),
        IF(Import.TipoArredondamento&lt;&gt;"TransfereGOV",
              ROUND(OFFSET($P103,0,BP$13),15-13*ORÇAMENTO!$AF$7)/$H103*OFFSET(ORÇAMENTO!$X$15,ROW(BP103)-ROW(BP$15),0),
              ROUND(ROUND(OFFSET($P103,0,BP$13),15-13*ORÇAMENTO!$AF$7)*OFFSET(ORÇAMENTO!$W$15,ROW(BP103)-ROW(BP$15),0),15-13*ORÇAMENTO!$AF$11)),
         0)</f>
        <v>0</v>
      </c>
      <c r="BQ103" s="453">
        <f ca="1">IF(AND($D103="Serviço",BQ$12&lt;&gt;0,$H103&gt;0,OR(AUTOEVENTO&lt;&gt;"manual",$M103&lt;&gt;$A$15)),
        IF(Import.TipoArredondamento&lt;&gt;"TransfereGOV",
              ROUND(OFFSET($P103,0,BQ$13),15-13*ORÇAMENTO!$AF$7)/$H103*OFFSET(ORÇAMENTO!$X$15,ROW(BQ103)-ROW(BQ$15),0),
              ROUND(ROUND(OFFSET($P103,0,BQ$13),15-13*ORÇAMENTO!$AF$7)*OFFSET(ORÇAMENTO!$W$15,ROW(BQ103)-ROW(BQ$15),0),15-13*ORÇAMENTO!$AF$11)),
         0)</f>
        <v>0</v>
      </c>
      <c r="BS103" s="171">
        <f ca="1">IF(OR($D103&lt;&gt;"Serviço",AND(AUTOEVENTO="Manual",$M103=$A$15)),0,
         IF(OFFSET(CRONOPLE!$F$15,$M103-$A$15,BS$13)=0,10^12,OFFSET(CRONOPLE!$F$15,$M103-$A$15,BS$13)))</f>
        <v>1</v>
      </c>
      <c r="BT103" s="171">
        <f ca="1">IF(OR($D103&lt;&gt;"Serviço",AND(AUTOEVENTO="Manual",$M103=$A$15)),0,
         IF(OFFSET(CRONOPLE!$F$15,$M103-$A$15,BT$13)=0,10^12,OFFSET(CRONOPLE!$F$15,$M103-$A$15,BT$13)))</f>
        <v>2</v>
      </c>
      <c r="BU103" s="171">
        <f ca="1">IF(OR($D103&lt;&gt;"Serviço",AND(AUTOEVENTO="Manual",$M103=$A$15)),0,
         IF(OFFSET(CRONOPLE!$F$15,$M103-$A$15,BU$13)=0,10^12,OFFSET(CRONOPLE!$F$15,$M103-$A$15,BU$13)))</f>
        <v>3</v>
      </c>
      <c r="BV103" s="171">
        <f ca="1">IF(OR($D103&lt;&gt;"Serviço",AND(AUTOEVENTO="Manual",$M103=$A$15)),0,
         IF(OFFSET(CRONOPLE!$F$15,$M103-$A$15,BV$13)=0,10^12,OFFSET(CRONOPLE!$F$15,$M103-$A$15,BV$13)))</f>
        <v>4</v>
      </c>
      <c r="BW103" s="171">
        <f ca="1">IF(OR($D103&lt;&gt;"Serviço",AND(AUTOEVENTO="Manual",$M103=$A$15)),0,
         IF(OFFSET(CRONOPLE!$F$15,$M103-$A$15,BW$13)=0,10^12,OFFSET(CRONOPLE!$F$15,$M103-$A$15,BW$13)))</f>
        <v>5</v>
      </c>
      <c r="BX103" s="171">
        <f ca="1">IF(OR($D103&lt;&gt;"Serviço",AND(AUTOEVENTO="Manual",$M103=$A$15)),0,
         IF(OFFSET(CRONOPLE!$F$15,$M103-$A$15,BX$13)=0,10^12,OFFSET(CRONOPLE!$F$15,$M103-$A$15,BX$13)))</f>
        <v>6</v>
      </c>
      <c r="BY103" s="171">
        <f ca="1">IF(OR($D103&lt;&gt;"Serviço",AND(AUTOEVENTO="Manual",$M103=$A$15)),0,
         IF(OFFSET(CRONOPLE!$F$15,$M103-$A$15,BY$13)=0,10^12,OFFSET(CRONOPLE!$F$15,$M103-$A$15,BY$13)))</f>
        <v>7</v>
      </c>
      <c r="BZ103" s="171">
        <f ca="1">IF(OR($D103&lt;&gt;"Serviço",AND(AUTOEVENTO="Manual",$M103=$A$15)),0,
         IF(OFFSET(CRONOPLE!$F$15,$M103-$A$15,BZ$13)=0,10^12,OFFSET(CRONOPLE!$F$15,$M103-$A$15,BZ$13)))</f>
        <v>8</v>
      </c>
      <c r="CA103" s="171">
        <f ca="1">IF(OR($D103&lt;&gt;"Serviço",AND(AUTOEVENTO="Manual",$M103=$A$15)),0,
         IF(OFFSET(CRONOPLE!$F$15,$M103-$A$15,CA$13)=0,10^12,OFFSET(CRONOPLE!$F$15,$M103-$A$15,CA$13)))</f>
        <v>9</v>
      </c>
      <c r="CB103" s="171">
        <f ca="1">IF(OR($D103&lt;&gt;"Serviço",AND(AUTOEVENTO="Manual",$M103=$A$15)),0,
         IF(OFFSET(CRONOPLE!$F$15,$M103-$A$15,CB$13)=0,10^12,OFFSET(CRONOPLE!$F$15,$M103-$A$15,CB$13)))</f>
        <v>10</v>
      </c>
      <c r="CC103" s="171">
        <f ca="1">IF(OR($D103&lt;&gt;"Serviço",AND(AUTOEVENTO="Manual",$M103=$A$15)),0,
         IF(OFFSET(CRONOPLE!$F$15,$M103-$A$15,CC$13)=0,10^12,OFFSET(CRONOPLE!$F$15,$M103-$A$15,CC$13)))</f>
        <v>11</v>
      </c>
      <c r="CD103" s="171">
        <f ca="1">IF(OR($D103&lt;&gt;"Serviço",AND(AUTOEVENTO="Manual",$M103=$A$15)),0,
         IF(OFFSET(CRONOPLE!$F$15,$M103-$A$15,CD$13)=0,10^12,OFFSET(CRONOPLE!$F$15,$M103-$A$15,CD$13)))</f>
        <v>12</v>
      </c>
      <c r="CE103" s="171">
        <f ca="1">IF(OR($D103&lt;&gt;"Serviço",AND(AUTOEVENTO="Manual",$M103=$A$15)),0,
         IF(OFFSET(CRONOPLE!$F$15,$M103-$A$15,CE$13)=0,10^12,OFFSET(CRONOPLE!$F$15,$M103-$A$15,CE$13)))</f>
        <v>13</v>
      </c>
      <c r="CF103" s="171">
        <f ca="1">IF(OR($D103&lt;&gt;"Serviço",AND(AUTOEVENTO="Manual",$M103=$A$15)),0,
         IF(OFFSET(CRONOPLE!$F$15,$M103-$A$15,CF$13)=0,10^12,OFFSET(CRONOPLE!$F$15,$M103-$A$15,CF$13)))</f>
        <v>14</v>
      </c>
      <c r="CG103" s="171">
        <f ca="1">IF(OR($D103&lt;&gt;"Serviço",AND(AUTOEVENTO="Manual",$M103=$A$15)),0,
         IF(OFFSET(CRONOPLE!$F$15,$M103-$A$15,CG$13)=0,10^12,OFFSET(CRONOPLE!$F$15,$M103-$A$15,CG$13)))</f>
        <v>15</v>
      </c>
      <c r="CH103" s="171">
        <f ca="1">IF(OR($D103&lt;&gt;"Serviço",AND(AUTOEVENTO="Manual",$M103=$A$15)),0,
         IF(OFFSET(CRONOPLE!$F$15,$M103-$A$15,CH$13)=0,10^12,OFFSET(CRONOPLE!$F$15,$M103-$A$15,CH$13)))</f>
        <v>16</v>
      </c>
      <c r="CI103" s="171">
        <f ca="1">IF(OR($D103&lt;&gt;"Serviço",AND(AUTOEVENTO="Manual",$M103=$A$15)),0,
         IF(OFFSET(CRONOPLE!$F$15,$M103-$A$15,CI$13)=0,10^12,OFFSET(CRONOPLE!$F$15,$M103-$A$15,CI$13)))</f>
        <v>17</v>
      </c>
      <c r="CJ103" s="171">
        <f ca="1">IF(OR($D103&lt;&gt;"Serviço",AND(AUTOEVENTO="Manual",$M103=$A$15)),0,
         IF(OFFSET(CRONOPLE!$F$15,$M103-$A$15,CJ$13)=0,10^12,OFFSET(CRONOPLE!$F$15,$M103-$A$15,CJ$13)))</f>
        <v>18</v>
      </c>
      <c r="CK103" s="171">
        <f ca="1">IF(OR($D103&lt;&gt;"Serviço",AND(AUTOEVENTO="Manual",$M103=$A$15)),0,
         IF(OFFSET(CRONOPLE!$F$15,$M103-$A$15,CK$13)=0,10^12,OFFSET(CRONOPLE!$F$15,$M103-$A$15,CK$13)))</f>
        <v>19</v>
      </c>
      <c r="CL103" s="171">
        <f ca="1">IF(OR($D103&lt;&gt;"Serviço",AND(AUTOEVENTO="Manual",$M103=$A$15)),0,
         IF(OFFSET(CRONOPLE!$F$15,$M103-$A$15,CL$13)=0,10^12,OFFSET(CRONOPLE!$F$15,$M103-$A$15,CL$13)))</f>
        <v>20</v>
      </c>
      <c r="CM103" s="171">
        <f ca="1">IF(OR($D103&lt;&gt;"Serviço",AND(AUTOEVENTO="Manual",$M103=$A$15)),0,
         IF(OFFSET(CRONOPLE!$F$15,$M103-$A$15,CM$13)=0,10^12,OFFSET(CRONOPLE!$F$15,$M103-$A$15,CM$13)))</f>
        <v>1000000000000</v>
      </c>
      <c r="CN103" s="171">
        <f ca="1">IF(OR($D103&lt;&gt;"Serviço",AND(AUTOEVENTO="Manual",$M103=$A$15)),0,
         IF(OFFSET(CRONOPLE!$F$15,$M103-$A$15,CN$13)=0,10^12,OFFSET(CRONOPLE!$F$15,$M103-$A$15,CN$13)))</f>
        <v>1000000000000</v>
      </c>
      <c r="CO103" s="171">
        <f ca="1">IF(OR($D103&lt;&gt;"Serviço",AND(AUTOEVENTO="Manual",$M103=$A$15)),0,
         IF(OFFSET(CRONOPLE!$F$15,$M103-$A$15,CO$13)=0,10^12,OFFSET(CRONOPLE!$F$15,$M103-$A$15,CO$13)))</f>
        <v>1000000000000</v>
      </c>
      <c r="CP103" s="171">
        <f ca="1">IF(OR($D103&lt;&gt;"Serviço",AND(AUTOEVENTO="Manual",$M103=$A$15)),0,
         IF(OFFSET(CRONOPLE!$F$15,$M103-$A$15,CP$13)=0,10^12,OFFSET(CRONOPLE!$F$15,$M103-$A$15,CP$13)))</f>
        <v>1000000000000</v>
      </c>
      <c r="CQ103" s="171">
        <f ca="1">IF(OR($D103&lt;&gt;"Serviço",AND(AUTOEVENTO="Manual",$M103=$A$15)),0,
         IF(OFFSET(CRONOPLE!$F$15,$M103-$A$15,CQ$13)=0,10^12,OFFSET(CRONOPLE!$F$15,$M103-$A$15,CQ$13)))</f>
        <v>1000000000000</v>
      </c>
      <c r="CR103" s="171">
        <f ca="1">IF(OR($D103&lt;&gt;"Serviço",AND(AUTOEVENTO="Manual",$M103=$A$15)),0,
         IF(OFFSET(CRONOPLE!$F$15,$M103-$A$15,CR$13)=0,10^12,OFFSET(CRONOPLE!$F$15,$M103-$A$15,CR$13)))</f>
        <v>1000000000000</v>
      </c>
      <c r="CT103" s="172" cm="1">
        <f t="array" aca="1" ref="CT103" ca="1">IF(OR($D103&lt;&gt;"Serviço",AND(AUTOEVENTO="Manual",$M103=$A$15),$M103&gt;(ROW(PLE.lastrow)-ROW(PLE.firstrow))),0,
           IF(OFFSET(PLE!$G$15,$M103-$A$15,CT$13)="",10^12,OFFSET(PLE!$G$15,$M103-$A$15,CT$13)))</f>
        <v>1000000000000</v>
      </c>
      <c r="CU103" s="172" cm="1">
        <f t="array" aca="1" ref="CU103" ca="1">IF(OR($D103&lt;&gt;"Serviço",AND(AUTOEVENTO="Manual",$M103=$A$15),$M103&gt;(ROW(PLE.lastrow)-ROW(PLE.firstrow))),0,
           IF(OFFSET(PLE!$G$15,$M103-$A$15,CU$13)="",10^12,OFFSET(PLE!$G$15,$M103-$A$15,CU$13)))</f>
        <v>1000000000000</v>
      </c>
      <c r="CV103" s="172" cm="1">
        <f t="array" aca="1" ref="CV103" ca="1">IF(OR($D103&lt;&gt;"Serviço",AND(AUTOEVENTO="Manual",$M103=$A$15),$M103&gt;(ROW(PLE.lastrow)-ROW(PLE.firstrow))),0,
           IF(OFFSET(PLE!$G$15,$M103-$A$15,CV$13)="",10^12,OFFSET(PLE!$G$15,$M103-$A$15,CV$13)))</f>
        <v>1000000000000</v>
      </c>
      <c r="CW103" s="172" cm="1">
        <f t="array" aca="1" ref="CW103" ca="1">IF(OR($D103&lt;&gt;"Serviço",AND(AUTOEVENTO="Manual",$M103=$A$15),$M103&gt;(ROW(PLE.lastrow)-ROW(PLE.firstrow))),0,
           IF(OFFSET(PLE!$G$15,$M103-$A$15,CW$13)="",10^12,OFFSET(PLE!$G$15,$M103-$A$15,CW$13)))</f>
        <v>1000000000000</v>
      </c>
      <c r="CX103" s="172" cm="1">
        <f t="array" aca="1" ref="CX103" ca="1">IF(OR($D103&lt;&gt;"Serviço",AND(AUTOEVENTO="Manual",$M103=$A$15),$M103&gt;(ROW(PLE.lastrow)-ROW(PLE.firstrow))),0,
           IF(OFFSET(PLE!$G$15,$M103-$A$15,CX$13)="",10^12,OFFSET(PLE!$G$15,$M103-$A$15,CX$13)))</f>
        <v>1000000000000</v>
      </c>
      <c r="CY103" s="172" cm="1">
        <f t="array" aca="1" ref="CY103" ca="1">IF(OR($D103&lt;&gt;"Serviço",AND(AUTOEVENTO="Manual",$M103=$A$15),$M103&gt;(ROW(PLE.lastrow)-ROW(PLE.firstrow))),0,
           IF(OFFSET(PLE!$G$15,$M103-$A$15,CY$13)="",10^12,OFFSET(PLE!$G$15,$M103-$A$15,CY$13)))</f>
        <v>1000000000000</v>
      </c>
      <c r="CZ103" s="172" cm="1">
        <f t="array" aca="1" ref="CZ103" ca="1">IF(OR($D103&lt;&gt;"Serviço",AND(AUTOEVENTO="Manual",$M103=$A$15),$M103&gt;(ROW(PLE.lastrow)-ROW(PLE.firstrow))),0,
           IF(OFFSET(PLE!$G$15,$M103-$A$15,CZ$13)="",10^12,OFFSET(PLE!$G$15,$M103-$A$15,CZ$13)))</f>
        <v>1000000000000</v>
      </c>
      <c r="DA103" s="172" cm="1">
        <f t="array" aca="1" ref="DA103" ca="1">IF(OR($D103&lt;&gt;"Serviço",AND(AUTOEVENTO="Manual",$M103=$A$15),$M103&gt;(ROW(PLE.lastrow)-ROW(PLE.firstrow))),0,
           IF(OFFSET(PLE!$G$15,$M103-$A$15,DA$13)="",10^12,OFFSET(PLE!$G$15,$M103-$A$15,DA$13)))</f>
        <v>1000000000000</v>
      </c>
      <c r="DB103" s="172" cm="1">
        <f t="array" aca="1" ref="DB103" ca="1">IF(OR($D103&lt;&gt;"Serviço",AND(AUTOEVENTO="Manual",$M103=$A$15),$M103&gt;(ROW(PLE.lastrow)-ROW(PLE.firstrow))),0,
           IF(OFFSET(PLE!$G$15,$M103-$A$15,DB$13)="",10^12,OFFSET(PLE!$G$15,$M103-$A$15,DB$13)))</f>
        <v>1000000000000</v>
      </c>
      <c r="DC103" s="172" cm="1">
        <f t="array" aca="1" ref="DC103" ca="1">IF(OR($D103&lt;&gt;"Serviço",AND(AUTOEVENTO="Manual",$M103=$A$15),$M103&gt;(ROW(PLE.lastrow)-ROW(PLE.firstrow))),0,
           IF(OFFSET(PLE!$G$15,$M103-$A$15,DC$13)="",10^12,OFFSET(PLE!$G$15,$M103-$A$15,DC$13)))</f>
        <v>1000000000000</v>
      </c>
      <c r="DD103" s="172" cm="1">
        <f t="array" aca="1" ref="DD103" ca="1">IF(OR($D103&lt;&gt;"Serviço",AND(AUTOEVENTO="Manual",$M103=$A$15),$M103&gt;(ROW(PLE.lastrow)-ROW(PLE.firstrow))),0,
           IF(OFFSET(PLE!$G$15,$M103-$A$15,DD$13)="",10^12,OFFSET(PLE!$G$15,$M103-$A$15,DD$13)))</f>
        <v>1000000000000</v>
      </c>
      <c r="DE103" s="172" cm="1">
        <f t="array" aca="1" ref="DE103" ca="1">IF(OR($D103&lt;&gt;"Serviço",AND(AUTOEVENTO="Manual",$M103=$A$15),$M103&gt;(ROW(PLE.lastrow)-ROW(PLE.firstrow))),0,
           IF(OFFSET(PLE!$G$15,$M103-$A$15,DE$13)="",10^12,OFFSET(PLE!$G$15,$M103-$A$15,DE$13)))</f>
        <v>1000000000000</v>
      </c>
      <c r="DF103" s="172" cm="1">
        <f t="array" aca="1" ref="DF103" ca="1">IF(OR($D103&lt;&gt;"Serviço",AND(AUTOEVENTO="Manual",$M103=$A$15),$M103&gt;(ROW(PLE.lastrow)-ROW(PLE.firstrow))),0,
           IF(OFFSET(PLE!$G$15,$M103-$A$15,DF$13)="",10^12,OFFSET(PLE!$G$15,$M103-$A$15,DF$13)))</f>
        <v>1000000000000</v>
      </c>
      <c r="DG103" s="172" cm="1">
        <f t="array" aca="1" ref="DG103" ca="1">IF(OR($D103&lt;&gt;"Serviço",AND(AUTOEVENTO="Manual",$M103=$A$15),$M103&gt;(ROW(PLE.lastrow)-ROW(PLE.firstrow))),0,
           IF(OFFSET(PLE!$G$15,$M103-$A$15,DG$13)="",10^12,OFFSET(PLE!$G$15,$M103-$A$15,DG$13)))</f>
        <v>1000000000000</v>
      </c>
      <c r="DH103" s="172" cm="1">
        <f t="array" aca="1" ref="DH103" ca="1">IF(OR($D103&lt;&gt;"Serviço",AND(AUTOEVENTO="Manual",$M103=$A$15),$M103&gt;(ROW(PLE.lastrow)-ROW(PLE.firstrow))),0,
           IF(OFFSET(PLE!$G$15,$M103-$A$15,DH$13)="",10^12,OFFSET(PLE!$G$15,$M103-$A$15,DH$13)))</f>
        <v>1000000000000</v>
      </c>
      <c r="DI103" s="172" cm="1">
        <f t="array" aca="1" ref="DI103" ca="1">IF(OR($D103&lt;&gt;"Serviço",AND(AUTOEVENTO="Manual",$M103=$A$15),$M103&gt;(ROW(PLE.lastrow)-ROW(PLE.firstrow))),0,
           IF(OFFSET(PLE!$G$15,$M103-$A$15,DI$13)="",10^12,OFFSET(PLE!$G$15,$M103-$A$15,DI$13)))</f>
        <v>1000000000000</v>
      </c>
      <c r="DJ103" s="172" cm="1">
        <f t="array" aca="1" ref="DJ103" ca="1">IF(OR($D103&lt;&gt;"Serviço",AND(AUTOEVENTO="Manual",$M103=$A$15),$M103&gt;(ROW(PLE.lastrow)-ROW(PLE.firstrow))),0,
           IF(OFFSET(PLE!$G$15,$M103-$A$15,DJ$13)="",10^12,OFFSET(PLE!$G$15,$M103-$A$15,DJ$13)))</f>
        <v>1000000000000</v>
      </c>
      <c r="DK103" s="172" cm="1">
        <f t="array" aca="1" ref="DK103" ca="1">IF(OR($D103&lt;&gt;"Serviço",AND(AUTOEVENTO="Manual",$M103=$A$15),$M103&gt;(ROW(PLE.lastrow)-ROW(PLE.firstrow))),0,
           IF(OFFSET(PLE!$G$15,$M103-$A$15,DK$13)="",10^12,OFFSET(PLE!$G$15,$M103-$A$15,DK$13)))</f>
        <v>1000000000000</v>
      </c>
      <c r="DL103" s="172" cm="1">
        <f t="array" aca="1" ref="DL103" ca="1">IF(OR($D103&lt;&gt;"Serviço",AND(AUTOEVENTO="Manual",$M103=$A$15),$M103&gt;(ROW(PLE.lastrow)-ROW(PLE.firstrow))),0,
           IF(OFFSET(PLE!$G$15,$M103-$A$15,DL$13)="",10^12,OFFSET(PLE!$G$15,$M103-$A$15,DL$13)))</f>
        <v>1000000000000</v>
      </c>
      <c r="DM103" s="172" cm="1">
        <f t="array" aca="1" ref="DM103" ca="1">IF(OR($D103&lt;&gt;"Serviço",AND(AUTOEVENTO="Manual",$M103=$A$15),$M103&gt;(ROW(PLE.lastrow)-ROW(PLE.firstrow))),0,
           IF(OFFSET(PLE!$G$15,$M103-$A$15,DM$13)="",10^12,OFFSET(PLE!$G$15,$M103-$A$15,DM$13)))</f>
        <v>1000000000000</v>
      </c>
      <c r="DN103" s="172" cm="1">
        <f t="array" aca="1" ref="DN103" ca="1">IF(OR($D103&lt;&gt;"Serviço",AND(AUTOEVENTO="Manual",$M103=$A$15),$M103&gt;(ROW(PLE.lastrow)-ROW(PLE.firstrow))),0,
           IF(OFFSET(PLE!$G$15,$M103-$A$15,DN$13)="",10^12,OFFSET(PLE!$G$15,$M103-$A$15,DN$13)))</f>
        <v>1000000000000</v>
      </c>
      <c r="DO103" s="172" cm="1">
        <f t="array" aca="1" ref="DO103" ca="1">IF(OR($D103&lt;&gt;"Serviço",AND(AUTOEVENTO="Manual",$M103=$A$15),$M103&gt;(ROW(PLE.lastrow)-ROW(PLE.firstrow))),0,
           IF(OFFSET(PLE!$G$15,$M103-$A$15,DO$13)="",10^12,OFFSET(PLE!$G$15,$M103-$A$15,DO$13)))</f>
        <v>1000000000000</v>
      </c>
      <c r="DP103" s="172" cm="1">
        <f t="array" aca="1" ref="DP103" ca="1">IF(OR($D103&lt;&gt;"Serviço",AND(AUTOEVENTO="Manual",$M103=$A$15),$M103&gt;(ROW(PLE.lastrow)-ROW(PLE.firstrow))),0,
           IF(OFFSET(PLE!$G$15,$M103-$A$15,DP$13)="",10^12,OFFSET(PLE!$G$15,$M103-$A$15,DP$13)))</f>
        <v>1000000000000</v>
      </c>
      <c r="DQ103" s="172" cm="1">
        <f t="array" aca="1" ref="DQ103" ca="1">IF(OR($D103&lt;&gt;"Serviço",AND(AUTOEVENTO="Manual",$M103=$A$15),$M103&gt;(ROW(PLE.lastrow)-ROW(PLE.firstrow))),0,
           IF(OFFSET(PLE!$G$15,$M103-$A$15,DQ$13)="",10^12,OFFSET(PLE!$G$15,$M103-$A$15,DQ$13)))</f>
        <v>1000000000000</v>
      </c>
      <c r="DR103" s="172" cm="1">
        <f t="array" aca="1" ref="DR103" ca="1">IF(OR($D103&lt;&gt;"Serviço",AND(AUTOEVENTO="Manual",$M103=$A$15),$M103&gt;(ROW(PLE.lastrow)-ROW(PLE.firstrow))),0,
           IF(OFFSET(PLE!$G$15,$M103-$A$15,DR$13)="",10^12,OFFSET(PLE!$G$15,$M103-$A$15,DR$13)))</f>
        <v>1000000000000</v>
      </c>
      <c r="DS103" s="172" cm="1">
        <f t="array" aca="1" ref="DS103" ca="1">IF(OR($D103&lt;&gt;"Serviço",AND(AUTOEVENTO="Manual",$M103=$A$15),$M103&gt;(ROW(PLE.lastrow)-ROW(PLE.firstrow))),0,
           IF(OFFSET(PLE!$G$15,$M103-$A$15,DS$13)="",10^12,OFFSET(PLE!$G$15,$M103-$A$15,DS$13)))</f>
        <v>1000000000000</v>
      </c>
    </row>
    <row r="104" spans="1:123" ht="25.5" x14ac:dyDescent="0.2">
      <c r="A104" s="7">
        <f t="shared" ca="1" si="13"/>
        <v>7</v>
      </c>
      <c r="B104" s="7" t="str">
        <f ca="1">OFFSET(ORÇAMENTO!C$15,$L104,0)</f>
        <v>S</v>
      </c>
      <c r="C104" s="7" t="str">
        <f ca="1">OFFSET(ORÇAMENTO!L$15,$L104,0)</f>
        <v/>
      </c>
      <c r="D104" s="116" t="str">
        <f ca="1">OFFSET(ORÇAMENTO!N$15,$L104,0)</f>
        <v>Serviço</v>
      </c>
      <c r="E104" s="117" t="str">
        <f ca="1">OFFSET(ORÇAMENTO!O$15,$L104,0)</f>
        <v>-</v>
      </c>
      <c r="F104" s="163" t="str">
        <f ca="1">OFFSET(ORÇAMENTO!R$15,$L104,0)</f>
        <v>(Código não identificado nas referências)</v>
      </c>
      <c r="G104" s="164" t="str">
        <f ca="1">IF($D104&lt;&gt;"Serviço","",OFFSET(ORÇAMENTO!S$15,$L104,0))</f>
        <v>-</v>
      </c>
      <c r="H104" s="122" cm="1">
        <f t="array" aca="1" ref="H104" ca="1">IF($D104&lt;&gt;"Serviço",0,IF(ACOMPANHAMENTO="BM",ROUND(OFFSET(ORÇAMENTO!AJ$15,$L104,0),15-13*ORÇAMENTO!$AF$7),IF(IFERROR(CÁLCULO.FrentesPreenchidas,0)=0,0,SUM(ROUND(OFFSET($P104,0,1,1,CÁLCULO.FrentesPreenchidas),15-13*ORÇAMENTO!$AF$7)))))</f>
        <v>88.799999999999983</v>
      </c>
      <c r="I104" s="468" t="s">
        <v>1235</v>
      </c>
      <c r="J104" s="651" t="str" cm="1">
        <f t="array" aca="1" ref="J104" ca="1">IF(OR(B104&lt;&gt;"S",CÁLCULO.FrentesPreenchidas=0),"",IF(AND(ACOMPANHAMENTO="PLE",AUTOEVENTO="Manual",OR(H104&gt;0,ORÇAMENTO!AC104="QUANT."),OR(K104="",M104=0,N104="")),"►E",IF(AND(ACOMPANHAMENTO="PLE",ORÇAMENTO!AC104="QUANT."),"►Q",IF(AND(ACOMPANHAMENTO="PLE",H104&lt;&gt;SUMPRODUCT(($Q$1:$AQ$1=1)*ROUND(Q104:AQ104,15))),"►S",IF(AND(COUNTIF($P$11:$AQ$11,"▼")=0,H104&gt;0,I104=""),"◄M","")))))</f>
        <v/>
      </c>
      <c r="K104" s="652" t="s">
        <v>1255</v>
      </c>
      <c r="L104" s="165">
        <f t="shared" ca="1" si="14"/>
        <v>89</v>
      </c>
      <c r="M104" s="166">
        <f ca="1">IF($D104&lt;&gt;"Serviço","",
          IF(AUTOEVENTO="manual",$A104,
                IF(ISERROR(MATCH($A104,$A$15:OFFSET($A104,-1,0),0)),MAX($M$15:OFFSET(M104,-1,0))+1,
                      INDEX($M$15:OFFSET(M104,-1,0),MATCH($A104,$A$15:OFFSET($A104,-1,0),0)))))</f>
        <v>7</v>
      </c>
      <c r="N104" s="167" t="str">
        <f ca="1">IF($D104&lt;&gt;"Serviço","",
         IF(AUTOEVENTO="Manual",
                IF($A104=0,"&lt;-- defina o número do agrupador",
                       OFFSET(EVENTOS!$D$15,$A104-$A$15,0)),
                OFFSET($F$15,$A104,0)))</f>
        <v>REVESTIMENTOS</v>
      </c>
      <c r="O104" s="168"/>
      <c r="Q104" s="168">
        <v>4.4400000000000004</v>
      </c>
      <c r="R104" s="169">
        <v>4.4400000000000004</v>
      </c>
      <c r="S104" s="169">
        <v>4.4400000000000004</v>
      </c>
      <c r="T104" s="169">
        <v>4.4400000000000004</v>
      </c>
      <c r="U104" s="169">
        <v>4.4400000000000004</v>
      </c>
      <c r="V104" s="169">
        <v>4.4400000000000004</v>
      </c>
      <c r="W104" s="169">
        <v>4.4400000000000004</v>
      </c>
      <c r="X104" s="169">
        <v>4.4400000000000004</v>
      </c>
      <c r="Y104" s="169">
        <v>4.4400000000000004</v>
      </c>
      <c r="Z104" s="170">
        <v>4.4400000000000004</v>
      </c>
      <c r="AA104" s="169">
        <v>4.4400000000000004</v>
      </c>
      <c r="AB104" s="169">
        <v>4.4400000000000004</v>
      </c>
      <c r="AC104" s="169">
        <v>4.4400000000000004</v>
      </c>
      <c r="AD104" s="169">
        <v>4.4400000000000004</v>
      </c>
      <c r="AE104" s="169">
        <v>4.4400000000000004</v>
      </c>
      <c r="AF104" s="169">
        <v>4.4400000000000004</v>
      </c>
      <c r="AG104" s="169">
        <v>4.4400000000000004</v>
      </c>
      <c r="AH104" s="170">
        <v>4.4400000000000004</v>
      </c>
      <c r="AI104" s="169">
        <v>4.4400000000000004</v>
      </c>
      <c r="AJ104" s="169">
        <v>4.4400000000000004</v>
      </c>
      <c r="AK104" s="169"/>
      <c r="AL104" s="169"/>
      <c r="AM104" s="169"/>
      <c r="AN104" s="169"/>
      <c r="AO104" s="169"/>
      <c r="AP104" s="170"/>
      <c r="AR104" s="453">
        <f ca="1">IF(AND($D104="Serviço",AR$12&lt;&gt;0,$H104&gt;0,OR(AUTOEVENTO&lt;&gt;"manual",$M104&lt;&gt;$A$15)),
        IF(Import.TipoArredondamento&lt;&gt;"TransfereGOV",
              ROUND(OFFSET($P104,0,AR$13),15-13*ORÇAMENTO!$AF$7)/$H104*OFFSET(ORÇAMENTO!$X$15,ROW(AR104)-ROW(AR$15),0),
              ROUND(ROUND(OFFSET($P104,0,AR$13),15-13*ORÇAMENTO!$AF$7)*OFFSET(ORÇAMENTO!$W$15,ROW(AR104)-ROW(AR$15),0),15-13*ORÇAMENTO!$AF$11)),
         0)</f>
        <v>0</v>
      </c>
      <c r="AS104" s="453">
        <f ca="1">IF(AND($D104="Serviço",AS$12&lt;&gt;0,$H104&gt;0,OR(AUTOEVENTO&lt;&gt;"manual",$M104&lt;&gt;$A$15)),
        IF(Import.TipoArredondamento&lt;&gt;"TransfereGOV",
              ROUND(OFFSET($P104,0,AS$13),15-13*ORÇAMENTO!$AF$7)/$H104*OFFSET(ORÇAMENTO!$X$15,ROW(AS104)-ROW(AS$15),0),
              ROUND(ROUND(OFFSET($P104,0,AS$13),15-13*ORÇAMENTO!$AF$7)*OFFSET(ORÇAMENTO!$W$15,ROW(AS104)-ROW(AS$15),0),15-13*ORÇAMENTO!$AF$11)),
         0)</f>
        <v>0</v>
      </c>
      <c r="AT104" s="453">
        <f ca="1">IF(AND($D104="Serviço",AT$12&lt;&gt;0,$H104&gt;0,OR(AUTOEVENTO&lt;&gt;"manual",$M104&lt;&gt;$A$15)),
        IF(Import.TipoArredondamento&lt;&gt;"TransfereGOV",
              ROUND(OFFSET($P104,0,AT$13),15-13*ORÇAMENTO!$AF$7)/$H104*OFFSET(ORÇAMENTO!$X$15,ROW(AT104)-ROW(AT$15),0),
              ROUND(ROUND(OFFSET($P104,0,AT$13),15-13*ORÇAMENTO!$AF$7)*OFFSET(ORÇAMENTO!$W$15,ROW(AT104)-ROW(AT$15),0),15-13*ORÇAMENTO!$AF$11)),
         0)</f>
        <v>0</v>
      </c>
      <c r="AU104" s="453">
        <f ca="1">IF(AND($D104="Serviço",AU$12&lt;&gt;0,$H104&gt;0,OR(AUTOEVENTO&lt;&gt;"manual",$M104&lt;&gt;$A$15)),
        IF(Import.TipoArredondamento&lt;&gt;"TransfereGOV",
              ROUND(OFFSET($P104,0,AU$13),15-13*ORÇAMENTO!$AF$7)/$H104*OFFSET(ORÇAMENTO!$X$15,ROW(AU104)-ROW(AU$15),0),
              ROUND(ROUND(OFFSET($P104,0,AU$13),15-13*ORÇAMENTO!$AF$7)*OFFSET(ORÇAMENTO!$W$15,ROW(AU104)-ROW(AU$15),0),15-13*ORÇAMENTO!$AF$11)),
         0)</f>
        <v>0</v>
      </c>
      <c r="AV104" s="453">
        <f ca="1">IF(AND($D104="Serviço",AV$12&lt;&gt;0,$H104&gt;0,OR(AUTOEVENTO&lt;&gt;"manual",$M104&lt;&gt;$A$15)),
        IF(Import.TipoArredondamento&lt;&gt;"TransfereGOV",
              ROUND(OFFSET($P104,0,AV$13),15-13*ORÇAMENTO!$AF$7)/$H104*OFFSET(ORÇAMENTO!$X$15,ROW(AV104)-ROW(AV$15),0),
              ROUND(ROUND(OFFSET($P104,0,AV$13),15-13*ORÇAMENTO!$AF$7)*OFFSET(ORÇAMENTO!$W$15,ROW(AV104)-ROW(AV$15),0),15-13*ORÇAMENTO!$AF$11)),
         0)</f>
        <v>0</v>
      </c>
      <c r="AW104" s="453">
        <f ca="1">IF(AND($D104="Serviço",AW$12&lt;&gt;0,$H104&gt;0,OR(AUTOEVENTO&lt;&gt;"manual",$M104&lt;&gt;$A$15)),
        IF(Import.TipoArredondamento&lt;&gt;"TransfereGOV",
              ROUND(OFFSET($P104,0,AW$13),15-13*ORÇAMENTO!$AF$7)/$H104*OFFSET(ORÇAMENTO!$X$15,ROW(AW104)-ROW(AW$15),0),
              ROUND(ROUND(OFFSET($P104,0,AW$13),15-13*ORÇAMENTO!$AF$7)*OFFSET(ORÇAMENTO!$W$15,ROW(AW104)-ROW(AW$15),0),15-13*ORÇAMENTO!$AF$11)),
         0)</f>
        <v>0</v>
      </c>
      <c r="AX104" s="453">
        <f ca="1">IF(AND($D104="Serviço",AX$12&lt;&gt;0,$H104&gt;0,OR(AUTOEVENTO&lt;&gt;"manual",$M104&lt;&gt;$A$15)),
        IF(Import.TipoArredondamento&lt;&gt;"TransfereGOV",
              ROUND(OFFSET($P104,0,AX$13),15-13*ORÇAMENTO!$AF$7)/$H104*OFFSET(ORÇAMENTO!$X$15,ROW(AX104)-ROW(AX$15),0),
              ROUND(ROUND(OFFSET($P104,0,AX$13),15-13*ORÇAMENTO!$AF$7)*OFFSET(ORÇAMENTO!$W$15,ROW(AX104)-ROW(AX$15),0),15-13*ORÇAMENTO!$AF$11)),
         0)</f>
        <v>0</v>
      </c>
      <c r="AY104" s="453">
        <f ca="1">IF(AND($D104="Serviço",AY$12&lt;&gt;0,$H104&gt;0,OR(AUTOEVENTO&lt;&gt;"manual",$M104&lt;&gt;$A$15)),
        IF(Import.TipoArredondamento&lt;&gt;"TransfereGOV",
              ROUND(OFFSET($P104,0,AY$13),15-13*ORÇAMENTO!$AF$7)/$H104*OFFSET(ORÇAMENTO!$X$15,ROW(AY104)-ROW(AY$15),0),
              ROUND(ROUND(OFFSET($P104,0,AY$13),15-13*ORÇAMENTO!$AF$7)*OFFSET(ORÇAMENTO!$W$15,ROW(AY104)-ROW(AY$15),0),15-13*ORÇAMENTO!$AF$11)),
         0)</f>
        <v>0</v>
      </c>
      <c r="AZ104" s="453">
        <f ca="1">IF(AND($D104="Serviço",AZ$12&lt;&gt;0,$H104&gt;0,OR(AUTOEVENTO&lt;&gt;"manual",$M104&lt;&gt;$A$15)),
        IF(Import.TipoArredondamento&lt;&gt;"TransfereGOV",
              ROUND(OFFSET($P104,0,AZ$13),15-13*ORÇAMENTO!$AF$7)/$H104*OFFSET(ORÇAMENTO!$X$15,ROW(AZ104)-ROW(AZ$15),0),
              ROUND(ROUND(OFFSET($P104,0,AZ$13),15-13*ORÇAMENTO!$AF$7)*OFFSET(ORÇAMENTO!$W$15,ROW(AZ104)-ROW(AZ$15),0),15-13*ORÇAMENTO!$AF$11)),
         0)</f>
        <v>0</v>
      </c>
      <c r="BA104" s="453">
        <f ca="1">IF(AND($D104="Serviço",BA$12&lt;&gt;0,$H104&gt;0,OR(AUTOEVENTO&lt;&gt;"manual",$M104&lt;&gt;$A$15)),
        IF(Import.TipoArredondamento&lt;&gt;"TransfereGOV",
              ROUND(OFFSET($P104,0,BA$13),15-13*ORÇAMENTO!$AF$7)/$H104*OFFSET(ORÇAMENTO!$X$15,ROW(BA104)-ROW(BA$15),0),
              ROUND(ROUND(OFFSET($P104,0,BA$13),15-13*ORÇAMENTO!$AF$7)*OFFSET(ORÇAMENTO!$W$15,ROW(BA104)-ROW(BA$15),0),15-13*ORÇAMENTO!$AF$11)),
         0)</f>
        <v>0</v>
      </c>
      <c r="BB104" s="453">
        <f ca="1">IF(AND($D104="Serviço",BB$12&lt;&gt;0,$H104&gt;0,OR(AUTOEVENTO&lt;&gt;"manual",$M104&lt;&gt;$A$15)),
        IF(Import.TipoArredondamento&lt;&gt;"TransfereGOV",
              ROUND(OFFSET($P104,0,BB$13),15-13*ORÇAMENTO!$AF$7)/$H104*OFFSET(ORÇAMENTO!$X$15,ROW(BB104)-ROW(BB$15),0),
              ROUND(ROUND(OFFSET($P104,0,BB$13),15-13*ORÇAMENTO!$AF$7)*OFFSET(ORÇAMENTO!$W$15,ROW(BB104)-ROW(BB$15),0),15-13*ORÇAMENTO!$AF$11)),
         0)</f>
        <v>0</v>
      </c>
      <c r="BC104" s="453">
        <f ca="1">IF(AND($D104="Serviço",BC$12&lt;&gt;0,$H104&gt;0,OR(AUTOEVENTO&lt;&gt;"manual",$M104&lt;&gt;$A$15)),
        IF(Import.TipoArredondamento&lt;&gt;"TransfereGOV",
              ROUND(OFFSET($P104,0,BC$13),15-13*ORÇAMENTO!$AF$7)/$H104*OFFSET(ORÇAMENTO!$X$15,ROW(BC104)-ROW(BC$15),0),
              ROUND(ROUND(OFFSET($P104,0,BC$13),15-13*ORÇAMENTO!$AF$7)*OFFSET(ORÇAMENTO!$W$15,ROW(BC104)-ROW(BC$15),0),15-13*ORÇAMENTO!$AF$11)),
         0)</f>
        <v>0</v>
      </c>
      <c r="BD104" s="453">
        <f ca="1">IF(AND($D104="Serviço",BD$12&lt;&gt;0,$H104&gt;0,OR(AUTOEVENTO&lt;&gt;"manual",$M104&lt;&gt;$A$15)),
        IF(Import.TipoArredondamento&lt;&gt;"TransfereGOV",
              ROUND(OFFSET($P104,0,BD$13),15-13*ORÇAMENTO!$AF$7)/$H104*OFFSET(ORÇAMENTO!$X$15,ROW(BD104)-ROW(BD$15),0),
              ROUND(ROUND(OFFSET($P104,0,BD$13),15-13*ORÇAMENTO!$AF$7)*OFFSET(ORÇAMENTO!$W$15,ROW(BD104)-ROW(BD$15),0),15-13*ORÇAMENTO!$AF$11)),
         0)</f>
        <v>0</v>
      </c>
      <c r="BE104" s="453">
        <f ca="1">IF(AND($D104="Serviço",BE$12&lt;&gt;0,$H104&gt;0,OR(AUTOEVENTO&lt;&gt;"manual",$M104&lt;&gt;$A$15)),
        IF(Import.TipoArredondamento&lt;&gt;"TransfereGOV",
              ROUND(OFFSET($P104,0,BE$13),15-13*ORÇAMENTO!$AF$7)/$H104*OFFSET(ORÇAMENTO!$X$15,ROW(BE104)-ROW(BE$15),0),
              ROUND(ROUND(OFFSET($P104,0,BE$13),15-13*ORÇAMENTO!$AF$7)*OFFSET(ORÇAMENTO!$W$15,ROW(BE104)-ROW(BE$15),0),15-13*ORÇAMENTO!$AF$11)),
         0)</f>
        <v>0</v>
      </c>
      <c r="BF104" s="453">
        <f ca="1">IF(AND($D104="Serviço",BF$12&lt;&gt;0,$H104&gt;0,OR(AUTOEVENTO&lt;&gt;"manual",$M104&lt;&gt;$A$15)),
        IF(Import.TipoArredondamento&lt;&gt;"TransfereGOV",
              ROUND(OFFSET($P104,0,BF$13),15-13*ORÇAMENTO!$AF$7)/$H104*OFFSET(ORÇAMENTO!$X$15,ROW(BF104)-ROW(BF$15),0),
              ROUND(ROUND(OFFSET($P104,0,BF$13),15-13*ORÇAMENTO!$AF$7)*OFFSET(ORÇAMENTO!$W$15,ROW(BF104)-ROW(BF$15),0),15-13*ORÇAMENTO!$AF$11)),
         0)</f>
        <v>0</v>
      </c>
      <c r="BG104" s="453">
        <f ca="1">IF(AND($D104="Serviço",BG$12&lt;&gt;0,$H104&gt;0,OR(AUTOEVENTO&lt;&gt;"manual",$M104&lt;&gt;$A$15)),
        IF(Import.TipoArredondamento&lt;&gt;"TransfereGOV",
              ROUND(OFFSET($P104,0,BG$13),15-13*ORÇAMENTO!$AF$7)/$H104*OFFSET(ORÇAMENTO!$X$15,ROW(BG104)-ROW(BG$15),0),
              ROUND(ROUND(OFFSET($P104,0,BG$13),15-13*ORÇAMENTO!$AF$7)*OFFSET(ORÇAMENTO!$W$15,ROW(BG104)-ROW(BG$15),0),15-13*ORÇAMENTO!$AF$11)),
         0)</f>
        <v>0</v>
      </c>
      <c r="BH104" s="453">
        <f ca="1">IF(AND($D104="Serviço",BH$12&lt;&gt;0,$H104&gt;0,OR(AUTOEVENTO&lt;&gt;"manual",$M104&lt;&gt;$A$15)),
        IF(Import.TipoArredondamento&lt;&gt;"TransfereGOV",
              ROUND(OFFSET($P104,0,BH$13),15-13*ORÇAMENTO!$AF$7)/$H104*OFFSET(ORÇAMENTO!$X$15,ROW(BH104)-ROW(BH$15),0),
              ROUND(ROUND(OFFSET($P104,0,BH$13),15-13*ORÇAMENTO!$AF$7)*OFFSET(ORÇAMENTO!$W$15,ROW(BH104)-ROW(BH$15),0),15-13*ORÇAMENTO!$AF$11)),
         0)</f>
        <v>0</v>
      </c>
      <c r="BI104" s="453">
        <f ca="1">IF(AND($D104="Serviço",BI$12&lt;&gt;0,$H104&gt;0,OR(AUTOEVENTO&lt;&gt;"manual",$M104&lt;&gt;$A$15)),
        IF(Import.TipoArredondamento&lt;&gt;"TransfereGOV",
              ROUND(OFFSET($P104,0,BI$13),15-13*ORÇAMENTO!$AF$7)/$H104*OFFSET(ORÇAMENTO!$X$15,ROW(BI104)-ROW(BI$15),0),
              ROUND(ROUND(OFFSET($P104,0,BI$13),15-13*ORÇAMENTO!$AF$7)*OFFSET(ORÇAMENTO!$W$15,ROW(BI104)-ROW(BI$15),0),15-13*ORÇAMENTO!$AF$11)),
         0)</f>
        <v>0</v>
      </c>
      <c r="BJ104" s="453">
        <f ca="1">IF(AND($D104="Serviço",BJ$12&lt;&gt;0,$H104&gt;0,OR(AUTOEVENTO&lt;&gt;"manual",$M104&lt;&gt;$A$15)),
        IF(Import.TipoArredondamento&lt;&gt;"TransfereGOV",
              ROUND(OFFSET($P104,0,BJ$13),15-13*ORÇAMENTO!$AF$7)/$H104*OFFSET(ORÇAMENTO!$X$15,ROW(BJ104)-ROW(BJ$15),0),
              ROUND(ROUND(OFFSET($P104,0,BJ$13),15-13*ORÇAMENTO!$AF$7)*OFFSET(ORÇAMENTO!$W$15,ROW(BJ104)-ROW(BJ$15),0),15-13*ORÇAMENTO!$AF$11)),
         0)</f>
        <v>0</v>
      </c>
      <c r="BK104" s="453">
        <f ca="1">IF(AND($D104="Serviço",BK$12&lt;&gt;0,$H104&gt;0,OR(AUTOEVENTO&lt;&gt;"manual",$M104&lt;&gt;$A$15)),
        IF(Import.TipoArredondamento&lt;&gt;"TransfereGOV",
              ROUND(OFFSET($P104,0,BK$13),15-13*ORÇAMENTO!$AF$7)/$H104*OFFSET(ORÇAMENTO!$X$15,ROW(BK104)-ROW(BK$15),0),
              ROUND(ROUND(OFFSET($P104,0,BK$13),15-13*ORÇAMENTO!$AF$7)*OFFSET(ORÇAMENTO!$W$15,ROW(BK104)-ROW(BK$15),0),15-13*ORÇAMENTO!$AF$11)),
         0)</f>
        <v>0</v>
      </c>
      <c r="BL104" s="453">
        <f ca="1">IF(AND($D104="Serviço",BL$12&lt;&gt;0,$H104&gt;0,OR(AUTOEVENTO&lt;&gt;"manual",$M104&lt;&gt;$A$15)),
        IF(Import.TipoArredondamento&lt;&gt;"TransfereGOV",
              ROUND(OFFSET($P104,0,BL$13),15-13*ORÇAMENTO!$AF$7)/$H104*OFFSET(ORÇAMENTO!$X$15,ROW(BL104)-ROW(BL$15),0),
              ROUND(ROUND(OFFSET($P104,0,BL$13),15-13*ORÇAMENTO!$AF$7)*OFFSET(ORÇAMENTO!$W$15,ROW(BL104)-ROW(BL$15),0),15-13*ORÇAMENTO!$AF$11)),
         0)</f>
        <v>0</v>
      </c>
      <c r="BM104" s="453">
        <f ca="1">IF(AND($D104="Serviço",BM$12&lt;&gt;0,$H104&gt;0,OR(AUTOEVENTO&lt;&gt;"manual",$M104&lt;&gt;$A$15)),
        IF(Import.TipoArredondamento&lt;&gt;"TransfereGOV",
              ROUND(OFFSET($P104,0,BM$13),15-13*ORÇAMENTO!$AF$7)/$H104*OFFSET(ORÇAMENTO!$X$15,ROW(BM104)-ROW(BM$15),0),
              ROUND(ROUND(OFFSET($P104,0,BM$13),15-13*ORÇAMENTO!$AF$7)*OFFSET(ORÇAMENTO!$W$15,ROW(BM104)-ROW(BM$15),0),15-13*ORÇAMENTO!$AF$11)),
         0)</f>
        <v>0</v>
      </c>
      <c r="BN104" s="453">
        <f ca="1">IF(AND($D104="Serviço",BN$12&lt;&gt;0,$H104&gt;0,OR(AUTOEVENTO&lt;&gt;"manual",$M104&lt;&gt;$A$15)),
        IF(Import.TipoArredondamento&lt;&gt;"TransfereGOV",
              ROUND(OFFSET($P104,0,BN$13),15-13*ORÇAMENTO!$AF$7)/$H104*OFFSET(ORÇAMENTO!$X$15,ROW(BN104)-ROW(BN$15),0),
              ROUND(ROUND(OFFSET($P104,0,BN$13),15-13*ORÇAMENTO!$AF$7)*OFFSET(ORÇAMENTO!$W$15,ROW(BN104)-ROW(BN$15),0),15-13*ORÇAMENTO!$AF$11)),
         0)</f>
        <v>0</v>
      </c>
      <c r="BO104" s="453">
        <f ca="1">IF(AND($D104="Serviço",BO$12&lt;&gt;0,$H104&gt;0,OR(AUTOEVENTO&lt;&gt;"manual",$M104&lt;&gt;$A$15)),
        IF(Import.TipoArredondamento&lt;&gt;"TransfereGOV",
              ROUND(OFFSET($P104,0,BO$13),15-13*ORÇAMENTO!$AF$7)/$H104*OFFSET(ORÇAMENTO!$X$15,ROW(BO104)-ROW(BO$15),0),
              ROUND(ROUND(OFFSET($P104,0,BO$13),15-13*ORÇAMENTO!$AF$7)*OFFSET(ORÇAMENTO!$W$15,ROW(BO104)-ROW(BO$15),0),15-13*ORÇAMENTO!$AF$11)),
         0)</f>
        <v>0</v>
      </c>
      <c r="BP104" s="453">
        <f ca="1">IF(AND($D104="Serviço",BP$12&lt;&gt;0,$H104&gt;0,OR(AUTOEVENTO&lt;&gt;"manual",$M104&lt;&gt;$A$15)),
        IF(Import.TipoArredondamento&lt;&gt;"TransfereGOV",
              ROUND(OFFSET($P104,0,BP$13),15-13*ORÇAMENTO!$AF$7)/$H104*OFFSET(ORÇAMENTO!$X$15,ROW(BP104)-ROW(BP$15),0),
              ROUND(ROUND(OFFSET($P104,0,BP$13),15-13*ORÇAMENTO!$AF$7)*OFFSET(ORÇAMENTO!$W$15,ROW(BP104)-ROW(BP$15),0),15-13*ORÇAMENTO!$AF$11)),
         0)</f>
        <v>0</v>
      </c>
      <c r="BQ104" s="453">
        <f ca="1">IF(AND($D104="Serviço",BQ$12&lt;&gt;0,$H104&gt;0,OR(AUTOEVENTO&lt;&gt;"manual",$M104&lt;&gt;$A$15)),
        IF(Import.TipoArredondamento&lt;&gt;"TransfereGOV",
              ROUND(OFFSET($P104,0,BQ$13),15-13*ORÇAMENTO!$AF$7)/$H104*OFFSET(ORÇAMENTO!$X$15,ROW(BQ104)-ROW(BQ$15),0),
              ROUND(ROUND(OFFSET($P104,0,BQ$13),15-13*ORÇAMENTO!$AF$7)*OFFSET(ORÇAMENTO!$W$15,ROW(BQ104)-ROW(BQ$15),0),15-13*ORÇAMENTO!$AF$11)),
         0)</f>
        <v>0</v>
      </c>
      <c r="BS104" s="171">
        <f ca="1">IF(OR($D104&lt;&gt;"Serviço",AND(AUTOEVENTO="Manual",$M104=$A$15)),0,
         IF(OFFSET(CRONOPLE!$F$15,$M104-$A$15,BS$13)=0,10^12,OFFSET(CRONOPLE!$F$15,$M104-$A$15,BS$13)))</f>
        <v>1</v>
      </c>
      <c r="BT104" s="171">
        <f ca="1">IF(OR($D104&lt;&gt;"Serviço",AND(AUTOEVENTO="Manual",$M104=$A$15)),0,
         IF(OFFSET(CRONOPLE!$F$15,$M104-$A$15,BT$13)=0,10^12,OFFSET(CRONOPLE!$F$15,$M104-$A$15,BT$13)))</f>
        <v>2</v>
      </c>
      <c r="BU104" s="171">
        <f ca="1">IF(OR($D104&lt;&gt;"Serviço",AND(AUTOEVENTO="Manual",$M104=$A$15)),0,
         IF(OFFSET(CRONOPLE!$F$15,$M104-$A$15,BU$13)=0,10^12,OFFSET(CRONOPLE!$F$15,$M104-$A$15,BU$13)))</f>
        <v>3</v>
      </c>
      <c r="BV104" s="171">
        <f ca="1">IF(OR($D104&lt;&gt;"Serviço",AND(AUTOEVENTO="Manual",$M104=$A$15)),0,
         IF(OFFSET(CRONOPLE!$F$15,$M104-$A$15,BV$13)=0,10^12,OFFSET(CRONOPLE!$F$15,$M104-$A$15,BV$13)))</f>
        <v>4</v>
      </c>
      <c r="BW104" s="171">
        <f ca="1">IF(OR($D104&lt;&gt;"Serviço",AND(AUTOEVENTO="Manual",$M104=$A$15)),0,
         IF(OFFSET(CRONOPLE!$F$15,$M104-$A$15,BW$13)=0,10^12,OFFSET(CRONOPLE!$F$15,$M104-$A$15,BW$13)))</f>
        <v>5</v>
      </c>
      <c r="BX104" s="171">
        <f ca="1">IF(OR($D104&lt;&gt;"Serviço",AND(AUTOEVENTO="Manual",$M104=$A$15)),0,
         IF(OFFSET(CRONOPLE!$F$15,$M104-$A$15,BX$13)=0,10^12,OFFSET(CRONOPLE!$F$15,$M104-$A$15,BX$13)))</f>
        <v>6</v>
      </c>
      <c r="BY104" s="171">
        <f ca="1">IF(OR($D104&lt;&gt;"Serviço",AND(AUTOEVENTO="Manual",$M104=$A$15)),0,
         IF(OFFSET(CRONOPLE!$F$15,$M104-$A$15,BY$13)=0,10^12,OFFSET(CRONOPLE!$F$15,$M104-$A$15,BY$13)))</f>
        <v>7</v>
      </c>
      <c r="BZ104" s="171">
        <f ca="1">IF(OR($D104&lt;&gt;"Serviço",AND(AUTOEVENTO="Manual",$M104=$A$15)),0,
         IF(OFFSET(CRONOPLE!$F$15,$M104-$A$15,BZ$13)=0,10^12,OFFSET(CRONOPLE!$F$15,$M104-$A$15,BZ$13)))</f>
        <v>8</v>
      </c>
      <c r="CA104" s="171">
        <f ca="1">IF(OR($D104&lt;&gt;"Serviço",AND(AUTOEVENTO="Manual",$M104=$A$15)),0,
         IF(OFFSET(CRONOPLE!$F$15,$M104-$A$15,CA$13)=0,10^12,OFFSET(CRONOPLE!$F$15,$M104-$A$15,CA$13)))</f>
        <v>9</v>
      </c>
      <c r="CB104" s="171">
        <f ca="1">IF(OR($D104&lt;&gt;"Serviço",AND(AUTOEVENTO="Manual",$M104=$A$15)),0,
         IF(OFFSET(CRONOPLE!$F$15,$M104-$A$15,CB$13)=0,10^12,OFFSET(CRONOPLE!$F$15,$M104-$A$15,CB$13)))</f>
        <v>10</v>
      </c>
      <c r="CC104" s="171">
        <f ca="1">IF(OR($D104&lt;&gt;"Serviço",AND(AUTOEVENTO="Manual",$M104=$A$15)),0,
         IF(OFFSET(CRONOPLE!$F$15,$M104-$A$15,CC$13)=0,10^12,OFFSET(CRONOPLE!$F$15,$M104-$A$15,CC$13)))</f>
        <v>11</v>
      </c>
      <c r="CD104" s="171">
        <f ca="1">IF(OR($D104&lt;&gt;"Serviço",AND(AUTOEVENTO="Manual",$M104=$A$15)),0,
         IF(OFFSET(CRONOPLE!$F$15,$M104-$A$15,CD$13)=0,10^12,OFFSET(CRONOPLE!$F$15,$M104-$A$15,CD$13)))</f>
        <v>12</v>
      </c>
      <c r="CE104" s="171">
        <f ca="1">IF(OR($D104&lt;&gt;"Serviço",AND(AUTOEVENTO="Manual",$M104=$A$15)),0,
         IF(OFFSET(CRONOPLE!$F$15,$M104-$A$15,CE$13)=0,10^12,OFFSET(CRONOPLE!$F$15,$M104-$A$15,CE$13)))</f>
        <v>13</v>
      </c>
      <c r="CF104" s="171">
        <f ca="1">IF(OR($D104&lt;&gt;"Serviço",AND(AUTOEVENTO="Manual",$M104=$A$15)),0,
         IF(OFFSET(CRONOPLE!$F$15,$M104-$A$15,CF$13)=0,10^12,OFFSET(CRONOPLE!$F$15,$M104-$A$15,CF$13)))</f>
        <v>14</v>
      </c>
      <c r="CG104" s="171">
        <f ca="1">IF(OR($D104&lt;&gt;"Serviço",AND(AUTOEVENTO="Manual",$M104=$A$15)),0,
         IF(OFFSET(CRONOPLE!$F$15,$M104-$A$15,CG$13)=0,10^12,OFFSET(CRONOPLE!$F$15,$M104-$A$15,CG$13)))</f>
        <v>15</v>
      </c>
      <c r="CH104" s="171">
        <f ca="1">IF(OR($D104&lt;&gt;"Serviço",AND(AUTOEVENTO="Manual",$M104=$A$15)),0,
         IF(OFFSET(CRONOPLE!$F$15,$M104-$A$15,CH$13)=0,10^12,OFFSET(CRONOPLE!$F$15,$M104-$A$15,CH$13)))</f>
        <v>16</v>
      </c>
      <c r="CI104" s="171">
        <f ca="1">IF(OR($D104&lt;&gt;"Serviço",AND(AUTOEVENTO="Manual",$M104=$A$15)),0,
         IF(OFFSET(CRONOPLE!$F$15,$M104-$A$15,CI$13)=0,10^12,OFFSET(CRONOPLE!$F$15,$M104-$A$15,CI$13)))</f>
        <v>17</v>
      </c>
      <c r="CJ104" s="171">
        <f ca="1">IF(OR($D104&lt;&gt;"Serviço",AND(AUTOEVENTO="Manual",$M104=$A$15)),0,
         IF(OFFSET(CRONOPLE!$F$15,$M104-$A$15,CJ$13)=0,10^12,OFFSET(CRONOPLE!$F$15,$M104-$A$15,CJ$13)))</f>
        <v>18</v>
      </c>
      <c r="CK104" s="171">
        <f ca="1">IF(OR($D104&lt;&gt;"Serviço",AND(AUTOEVENTO="Manual",$M104=$A$15)),0,
         IF(OFFSET(CRONOPLE!$F$15,$M104-$A$15,CK$13)=0,10^12,OFFSET(CRONOPLE!$F$15,$M104-$A$15,CK$13)))</f>
        <v>19</v>
      </c>
      <c r="CL104" s="171">
        <f ca="1">IF(OR($D104&lt;&gt;"Serviço",AND(AUTOEVENTO="Manual",$M104=$A$15)),0,
         IF(OFFSET(CRONOPLE!$F$15,$M104-$A$15,CL$13)=0,10^12,OFFSET(CRONOPLE!$F$15,$M104-$A$15,CL$13)))</f>
        <v>20</v>
      </c>
      <c r="CM104" s="171">
        <f ca="1">IF(OR($D104&lt;&gt;"Serviço",AND(AUTOEVENTO="Manual",$M104=$A$15)),0,
         IF(OFFSET(CRONOPLE!$F$15,$M104-$A$15,CM$13)=0,10^12,OFFSET(CRONOPLE!$F$15,$M104-$A$15,CM$13)))</f>
        <v>1000000000000</v>
      </c>
      <c r="CN104" s="171">
        <f ca="1">IF(OR($D104&lt;&gt;"Serviço",AND(AUTOEVENTO="Manual",$M104=$A$15)),0,
         IF(OFFSET(CRONOPLE!$F$15,$M104-$A$15,CN$13)=0,10^12,OFFSET(CRONOPLE!$F$15,$M104-$A$15,CN$13)))</f>
        <v>1000000000000</v>
      </c>
      <c r="CO104" s="171">
        <f ca="1">IF(OR($D104&lt;&gt;"Serviço",AND(AUTOEVENTO="Manual",$M104=$A$15)),0,
         IF(OFFSET(CRONOPLE!$F$15,$M104-$A$15,CO$13)=0,10^12,OFFSET(CRONOPLE!$F$15,$M104-$A$15,CO$13)))</f>
        <v>1000000000000</v>
      </c>
      <c r="CP104" s="171">
        <f ca="1">IF(OR($D104&lt;&gt;"Serviço",AND(AUTOEVENTO="Manual",$M104=$A$15)),0,
         IF(OFFSET(CRONOPLE!$F$15,$M104-$A$15,CP$13)=0,10^12,OFFSET(CRONOPLE!$F$15,$M104-$A$15,CP$13)))</f>
        <v>1000000000000</v>
      </c>
      <c r="CQ104" s="171">
        <f ca="1">IF(OR($D104&lt;&gt;"Serviço",AND(AUTOEVENTO="Manual",$M104=$A$15)),0,
         IF(OFFSET(CRONOPLE!$F$15,$M104-$A$15,CQ$13)=0,10^12,OFFSET(CRONOPLE!$F$15,$M104-$A$15,CQ$13)))</f>
        <v>1000000000000</v>
      </c>
      <c r="CR104" s="171">
        <f ca="1">IF(OR($D104&lt;&gt;"Serviço",AND(AUTOEVENTO="Manual",$M104=$A$15)),0,
         IF(OFFSET(CRONOPLE!$F$15,$M104-$A$15,CR$13)=0,10^12,OFFSET(CRONOPLE!$F$15,$M104-$A$15,CR$13)))</f>
        <v>1000000000000</v>
      </c>
      <c r="CT104" s="172" cm="1">
        <f t="array" aca="1" ref="CT104" ca="1">IF(OR($D104&lt;&gt;"Serviço",AND(AUTOEVENTO="Manual",$M104=$A$15),$M104&gt;(ROW(PLE.lastrow)-ROW(PLE.firstrow))),0,
           IF(OFFSET(PLE!$G$15,$M104-$A$15,CT$13)="",10^12,OFFSET(PLE!$G$15,$M104-$A$15,CT$13)))</f>
        <v>1000000000000</v>
      </c>
      <c r="CU104" s="172" cm="1">
        <f t="array" aca="1" ref="CU104" ca="1">IF(OR($D104&lt;&gt;"Serviço",AND(AUTOEVENTO="Manual",$M104=$A$15),$M104&gt;(ROW(PLE.lastrow)-ROW(PLE.firstrow))),0,
           IF(OFFSET(PLE!$G$15,$M104-$A$15,CU$13)="",10^12,OFFSET(PLE!$G$15,$M104-$A$15,CU$13)))</f>
        <v>1000000000000</v>
      </c>
      <c r="CV104" s="172" cm="1">
        <f t="array" aca="1" ref="CV104" ca="1">IF(OR($D104&lt;&gt;"Serviço",AND(AUTOEVENTO="Manual",$M104=$A$15),$M104&gt;(ROW(PLE.lastrow)-ROW(PLE.firstrow))),0,
           IF(OFFSET(PLE!$G$15,$M104-$A$15,CV$13)="",10^12,OFFSET(PLE!$G$15,$M104-$A$15,CV$13)))</f>
        <v>1000000000000</v>
      </c>
      <c r="CW104" s="172" cm="1">
        <f t="array" aca="1" ref="CW104" ca="1">IF(OR($D104&lt;&gt;"Serviço",AND(AUTOEVENTO="Manual",$M104=$A$15),$M104&gt;(ROW(PLE.lastrow)-ROW(PLE.firstrow))),0,
           IF(OFFSET(PLE!$G$15,$M104-$A$15,CW$13)="",10^12,OFFSET(PLE!$G$15,$M104-$A$15,CW$13)))</f>
        <v>1000000000000</v>
      </c>
      <c r="CX104" s="172" cm="1">
        <f t="array" aca="1" ref="CX104" ca="1">IF(OR($D104&lt;&gt;"Serviço",AND(AUTOEVENTO="Manual",$M104=$A$15),$M104&gt;(ROW(PLE.lastrow)-ROW(PLE.firstrow))),0,
           IF(OFFSET(PLE!$G$15,$M104-$A$15,CX$13)="",10^12,OFFSET(PLE!$G$15,$M104-$A$15,CX$13)))</f>
        <v>1000000000000</v>
      </c>
      <c r="CY104" s="172" cm="1">
        <f t="array" aca="1" ref="CY104" ca="1">IF(OR($D104&lt;&gt;"Serviço",AND(AUTOEVENTO="Manual",$M104=$A$15),$M104&gt;(ROW(PLE.lastrow)-ROW(PLE.firstrow))),0,
           IF(OFFSET(PLE!$G$15,$M104-$A$15,CY$13)="",10^12,OFFSET(PLE!$G$15,$M104-$A$15,CY$13)))</f>
        <v>1000000000000</v>
      </c>
      <c r="CZ104" s="172" cm="1">
        <f t="array" aca="1" ref="CZ104" ca="1">IF(OR($D104&lt;&gt;"Serviço",AND(AUTOEVENTO="Manual",$M104=$A$15),$M104&gt;(ROW(PLE.lastrow)-ROW(PLE.firstrow))),0,
           IF(OFFSET(PLE!$G$15,$M104-$A$15,CZ$13)="",10^12,OFFSET(PLE!$G$15,$M104-$A$15,CZ$13)))</f>
        <v>1000000000000</v>
      </c>
      <c r="DA104" s="172" cm="1">
        <f t="array" aca="1" ref="DA104" ca="1">IF(OR($D104&lt;&gt;"Serviço",AND(AUTOEVENTO="Manual",$M104=$A$15),$M104&gt;(ROW(PLE.lastrow)-ROW(PLE.firstrow))),0,
           IF(OFFSET(PLE!$G$15,$M104-$A$15,DA$13)="",10^12,OFFSET(PLE!$G$15,$M104-$A$15,DA$13)))</f>
        <v>1000000000000</v>
      </c>
      <c r="DB104" s="172" cm="1">
        <f t="array" aca="1" ref="DB104" ca="1">IF(OR($D104&lt;&gt;"Serviço",AND(AUTOEVENTO="Manual",$M104=$A$15),$M104&gt;(ROW(PLE.lastrow)-ROW(PLE.firstrow))),0,
           IF(OFFSET(PLE!$G$15,$M104-$A$15,DB$13)="",10^12,OFFSET(PLE!$G$15,$M104-$A$15,DB$13)))</f>
        <v>1000000000000</v>
      </c>
      <c r="DC104" s="172" cm="1">
        <f t="array" aca="1" ref="DC104" ca="1">IF(OR($D104&lt;&gt;"Serviço",AND(AUTOEVENTO="Manual",$M104=$A$15),$M104&gt;(ROW(PLE.lastrow)-ROW(PLE.firstrow))),0,
           IF(OFFSET(PLE!$G$15,$M104-$A$15,DC$13)="",10^12,OFFSET(PLE!$G$15,$M104-$A$15,DC$13)))</f>
        <v>1000000000000</v>
      </c>
      <c r="DD104" s="172" cm="1">
        <f t="array" aca="1" ref="DD104" ca="1">IF(OR($D104&lt;&gt;"Serviço",AND(AUTOEVENTO="Manual",$M104=$A$15),$M104&gt;(ROW(PLE.lastrow)-ROW(PLE.firstrow))),0,
           IF(OFFSET(PLE!$G$15,$M104-$A$15,DD$13)="",10^12,OFFSET(PLE!$G$15,$M104-$A$15,DD$13)))</f>
        <v>1000000000000</v>
      </c>
      <c r="DE104" s="172" cm="1">
        <f t="array" aca="1" ref="DE104" ca="1">IF(OR($D104&lt;&gt;"Serviço",AND(AUTOEVENTO="Manual",$M104=$A$15),$M104&gt;(ROW(PLE.lastrow)-ROW(PLE.firstrow))),0,
           IF(OFFSET(PLE!$G$15,$M104-$A$15,DE$13)="",10^12,OFFSET(PLE!$G$15,$M104-$A$15,DE$13)))</f>
        <v>1000000000000</v>
      </c>
      <c r="DF104" s="172" cm="1">
        <f t="array" aca="1" ref="DF104" ca="1">IF(OR($D104&lt;&gt;"Serviço",AND(AUTOEVENTO="Manual",$M104=$A$15),$M104&gt;(ROW(PLE.lastrow)-ROW(PLE.firstrow))),0,
           IF(OFFSET(PLE!$G$15,$M104-$A$15,DF$13)="",10^12,OFFSET(PLE!$G$15,$M104-$A$15,DF$13)))</f>
        <v>1000000000000</v>
      </c>
      <c r="DG104" s="172" cm="1">
        <f t="array" aca="1" ref="DG104" ca="1">IF(OR($D104&lt;&gt;"Serviço",AND(AUTOEVENTO="Manual",$M104=$A$15),$M104&gt;(ROW(PLE.lastrow)-ROW(PLE.firstrow))),0,
           IF(OFFSET(PLE!$G$15,$M104-$A$15,DG$13)="",10^12,OFFSET(PLE!$G$15,$M104-$A$15,DG$13)))</f>
        <v>1000000000000</v>
      </c>
      <c r="DH104" s="172" cm="1">
        <f t="array" aca="1" ref="DH104" ca="1">IF(OR($D104&lt;&gt;"Serviço",AND(AUTOEVENTO="Manual",$M104=$A$15),$M104&gt;(ROW(PLE.lastrow)-ROW(PLE.firstrow))),0,
           IF(OFFSET(PLE!$G$15,$M104-$A$15,DH$13)="",10^12,OFFSET(PLE!$G$15,$M104-$A$15,DH$13)))</f>
        <v>1000000000000</v>
      </c>
      <c r="DI104" s="172" cm="1">
        <f t="array" aca="1" ref="DI104" ca="1">IF(OR($D104&lt;&gt;"Serviço",AND(AUTOEVENTO="Manual",$M104=$A$15),$M104&gt;(ROW(PLE.lastrow)-ROW(PLE.firstrow))),0,
           IF(OFFSET(PLE!$G$15,$M104-$A$15,DI$13)="",10^12,OFFSET(PLE!$G$15,$M104-$A$15,DI$13)))</f>
        <v>1000000000000</v>
      </c>
      <c r="DJ104" s="172" cm="1">
        <f t="array" aca="1" ref="DJ104" ca="1">IF(OR($D104&lt;&gt;"Serviço",AND(AUTOEVENTO="Manual",$M104=$A$15),$M104&gt;(ROW(PLE.lastrow)-ROW(PLE.firstrow))),0,
           IF(OFFSET(PLE!$G$15,$M104-$A$15,DJ$13)="",10^12,OFFSET(PLE!$G$15,$M104-$A$15,DJ$13)))</f>
        <v>1000000000000</v>
      </c>
      <c r="DK104" s="172" cm="1">
        <f t="array" aca="1" ref="DK104" ca="1">IF(OR($D104&lt;&gt;"Serviço",AND(AUTOEVENTO="Manual",$M104=$A$15),$M104&gt;(ROW(PLE.lastrow)-ROW(PLE.firstrow))),0,
           IF(OFFSET(PLE!$G$15,$M104-$A$15,DK$13)="",10^12,OFFSET(PLE!$G$15,$M104-$A$15,DK$13)))</f>
        <v>1000000000000</v>
      </c>
      <c r="DL104" s="172" cm="1">
        <f t="array" aca="1" ref="DL104" ca="1">IF(OR($D104&lt;&gt;"Serviço",AND(AUTOEVENTO="Manual",$M104=$A$15),$M104&gt;(ROW(PLE.lastrow)-ROW(PLE.firstrow))),0,
           IF(OFFSET(PLE!$G$15,$M104-$A$15,DL$13)="",10^12,OFFSET(PLE!$G$15,$M104-$A$15,DL$13)))</f>
        <v>1000000000000</v>
      </c>
      <c r="DM104" s="172" cm="1">
        <f t="array" aca="1" ref="DM104" ca="1">IF(OR($D104&lt;&gt;"Serviço",AND(AUTOEVENTO="Manual",$M104=$A$15),$M104&gt;(ROW(PLE.lastrow)-ROW(PLE.firstrow))),0,
           IF(OFFSET(PLE!$G$15,$M104-$A$15,DM$13)="",10^12,OFFSET(PLE!$G$15,$M104-$A$15,DM$13)))</f>
        <v>1000000000000</v>
      </c>
      <c r="DN104" s="172" cm="1">
        <f t="array" aca="1" ref="DN104" ca="1">IF(OR($D104&lt;&gt;"Serviço",AND(AUTOEVENTO="Manual",$M104=$A$15),$M104&gt;(ROW(PLE.lastrow)-ROW(PLE.firstrow))),0,
           IF(OFFSET(PLE!$G$15,$M104-$A$15,DN$13)="",10^12,OFFSET(PLE!$G$15,$M104-$A$15,DN$13)))</f>
        <v>1000000000000</v>
      </c>
      <c r="DO104" s="172" cm="1">
        <f t="array" aca="1" ref="DO104" ca="1">IF(OR($D104&lt;&gt;"Serviço",AND(AUTOEVENTO="Manual",$M104=$A$15),$M104&gt;(ROW(PLE.lastrow)-ROW(PLE.firstrow))),0,
           IF(OFFSET(PLE!$G$15,$M104-$A$15,DO$13)="",10^12,OFFSET(PLE!$G$15,$M104-$A$15,DO$13)))</f>
        <v>1000000000000</v>
      </c>
      <c r="DP104" s="172" cm="1">
        <f t="array" aca="1" ref="DP104" ca="1">IF(OR($D104&lt;&gt;"Serviço",AND(AUTOEVENTO="Manual",$M104=$A$15),$M104&gt;(ROW(PLE.lastrow)-ROW(PLE.firstrow))),0,
           IF(OFFSET(PLE!$G$15,$M104-$A$15,DP$13)="",10^12,OFFSET(PLE!$G$15,$M104-$A$15,DP$13)))</f>
        <v>1000000000000</v>
      </c>
      <c r="DQ104" s="172" cm="1">
        <f t="array" aca="1" ref="DQ104" ca="1">IF(OR($D104&lt;&gt;"Serviço",AND(AUTOEVENTO="Manual",$M104=$A$15),$M104&gt;(ROW(PLE.lastrow)-ROW(PLE.firstrow))),0,
           IF(OFFSET(PLE!$G$15,$M104-$A$15,DQ$13)="",10^12,OFFSET(PLE!$G$15,$M104-$A$15,DQ$13)))</f>
        <v>1000000000000</v>
      </c>
      <c r="DR104" s="172" cm="1">
        <f t="array" aca="1" ref="DR104" ca="1">IF(OR($D104&lt;&gt;"Serviço",AND(AUTOEVENTO="Manual",$M104=$A$15),$M104&gt;(ROW(PLE.lastrow)-ROW(PLE.firstrow))),0,
           IF(OFFSET(PLE!$G$15,$M104-$A$15,DR$13)="",10^12,OFFSET(PLE!$G$15,$M104-$A$15,DR$13)))</f>
        <v>1000000000000</v>
      </c>
      <c r="DS104" s="172" cm="1">
        <f t="array" aca="1" ref="DS104" ca="1">IF(OR($D104&lt;&gt;"Serviço",AND(AUTOEVENTO="Manual",$M104=$A$15),$M104&gt;(ROW(PLE.lastrow)-ROW(PLE.firstrow))),0,
           IF(OFFSET(PLE!$G$15,$M104-$A$15,DS$13)="",10^12,OFFSET(PLE!$G$15,$M104-$A$15,DS$13)))</f>
        <v>1000000000000</v>
      </c>
    </row>
    <row r="105" spans="1:123" ht="25.5" x14ac:dyDescent="0.2">
      <c r="A105" s="7">
        <f t="shared" ca="1" si="13"/>
        <v>7</v>
      </c>
      <c r="B105" s="7" t="str">
        <f ca="1">OFFSET(ORÇAMENTO!C$15,$L105,0)</f>
        <v>S</v>
      </c>
      <c r="C105" s="7" t="str">
        <f ca="1">OFFSET(ORÇAMENTO!L$15,$L105,0)</f>
        <v/>
      </c>
      <c r="D105" s="116" t="str">
        <f ca="1">OFFSET(ORÇAMENTO!N$15,$L105,0)</f>
        <v>Serviço</v>
      </c>
      <c r="E105" s="117" t="str">
        <f ca="1">OFFSET(ORÇAMENTO!O$15,$L105,0)</f>
        <v>-</v>
      </c>
      <c r="F105" s="163" t="str">
        <f ca="1">OFFSET(ORÇAMENTO!R$15,$L105,0)</f>
        <v>(Código não identificado nas referências)</v>
      </c>
      <c r="G105" s="164" t="str">
        <f ca="1">IF($D105&lt;&gt;"Serviço","",OFFSET(ORÇAMENTO!S$15,$L105,0))</f>
        <v>-</v>
      </c>
      <c r="H105" s="122" cm="1">
        <f t="array" aca="1" ref="H105" ca="1">IF($D105&lt;&gt;"Serviço",0,IF(ACOMPANHAMENTO="BM",ROUND(OFFSET(ORÇAMENTO!AJ$15,$L105,0),15-13*ORÇAMENTO!$AF$7),IF(IFERROR(CÁLCULO.FrentesPreenchidas,0)=0,0,SUM(ROUND(OFFSET($P105,0,1,1,CÁLCULO.FrentesPreenchidas),15-13*ORÇAMENTO!$AF$7)))))</f>
        <v>88.799999999999983</v>
      </c>
      <c r="I105" s="468" t="s">
        <v>1235</v>
      </c>
      <c r="J105" s="651" t="str" cm="1">
        <f t="array" aca="1" ref="J105" ca="1">IF(OR(B105&lt;&gt;"S",CÁLCULO.FrentesPreenchidas=0),"",IF(AND(ACOMPANHAMENTO="PLE",AUTOEVENTO="Manual",OR(H105&gt;0,ORÇAMENTO!AC105="QUANT."),OR(K105="",M105=0,N105="")),"►E",IF(AND(ACOMPANHAMENTO="PLE",ORÇAMENTO!AC105="QUANT."),"►Q",IF(AND(ACOMPANHAMENTO="PLE",H105&lt;&gt;SUMPRODUCT(($Q$1:$AQ$1=1)*ROUND(Q105:AQ105,15))),"►S",IF(AND(COUNTIF($P$11:$AQ$11,"▼")=0,H105&gt;0,I105=""),"◄M","")))))</f>
        <v/>
      </c>
      <c r="K105" s="652" t="s">
        <v>1255</v>
      </c>
      <c r="L105" s="165">
        <f t="shared" ca="1" si="14"/>
        <v>90</v>
      </c>
      <c r="M105" s="166">
        <f ca="1">IF($D105&lt;&gt;"Serviço","",
          IF(AUTOEVENTO="manual",$A105,
                IF(ISERROR(MATCH($A105,$A$15:OFFSET($A105,-1,0),0)),MAX($M$15:OFFSET(M105,-1,0))+1,
                      INDEX($M$15:OFFSET(M105,-1,0),MATCH($A105,$A$15:OFFSET($A105,-1,0),0)))))</f>
        <v>7</v>
      </c>
      <c r="N105" s="167" t="str">
        <f ca="1">IF($D105&lt;&gt;"Serviço","",
         IF(AUTOEVENTO="Manual",
                IF($A105=0,"&lt;-- defina o número do agrupador",
                       OFFSET(EVENTOS!$D$15,$A105-$A$15,0)),
                OFFSET($F$15,$A105,0)))</f>
        <v>REVESTIMENTOS</v>
      </c>
      <c r="O105" s="168"/>
      <c r="Q105" s="168">
        <v>4.4400000000000004</v>
      </c>
      <c r="R105" s="169">
        <v>4.4400000000000004</v>
      </c>
      <c r="S105" s="169">
        <v>4.4400000000000004</v>
      </c>
      <c r="T105" s="169">
        <v>4.4400000000000004</v>
      </c>
      <c r="U105" s="169">
        <v>4.4400000000000004</v>
      </c>
      <c r="V105" s="169">
        <v>4.4400000000000004</v>
      </c>
      <c r="W105" s="169">
        <v>4.4400000000000004</v>
      </c>
      <c r="X105" s="169">
        <v>4.4400000000000004</v>
      </c>
      <c r="Y105" s="169">
        <v>4.4400000000000004</v>
      </c>
      <c r="Z105" s="170">
        <v>4.4400000000000004</v>
      </c>
      <c r="AA105" s="169">
        <v>4.4400000000000004</v>
      </c>
      <c r="AB105" s="169">
        <v>4.4400000000000004</v>
      </c>
      <c r="AC105" s="169">
        <v>4.4400000000000004</v>
      </c>
      <c r="AD105" s="169">
        <v>4.4400000000000004</v>
      </c>
      <c r="AE105" s="169">
        <v>4.4400000000000004</v>
      </c>
      <c r="AF105" s="169">
        <v>4.4400000000000004</v>
      </c>
      <c r="AG105" s="169">
        <v>4.4400000000000004</v>
      </c>
      <c r="AH105" s="170">
        <v>4.4400000000000004</v>
      </c>
      <c r="AI105" s="169">
        <v>4.4400000000000004</v>
      </c>
      <c r="AJ105" s="169">
        <v>4.4400000000000004</v>
      </c>
      <c r="AK105" s="169"/>
      <c r="AL105" s="169"/>
      <c r="AM105" s="169"/>
      <c r="AN105" s="169"/>
      <c r="AO105" s="169"/>
      <c r="AP105" s="170"/>
      <c r="AR105" s="453">
        <f ca="1">IF(AND($D105="Serviço",AR$12&lt;&gt;0,$H105&gt;0,OR(AUTOEVENTO&lt;&gt;"manual",$M105&lt;&gt;$A$15)),
        IF(Import.TipoArredondamento&lt;&gt;"TransfereGOV",
              ROUND(OFFSET($P105,0,AR$13),15-13*ORÇAMENTO!$AF$7)/$H105*OFFSET(ORÇAMENTO!$X$15,ROW(AR105)-ROW(AR$15),0),
              ROUND(ROUND(OFFSET($P105,0,AR$13),15-13*ORÇAMENTO!$AF$7)*OFFSET(ORÇAMENTO!$W$15,ROW(AR105)-ROW(AR$15),0),15-13*ORÇAMENTO!$AF$11)),
         0)</f>
        <v>0</v>
      </c>
      <c r="AS105" s="453">
        <f ca="1">IF(AND($D105="Serviço",AS$12&lt;&gt;0,$H105&gt;0,OR(AUTOEVENTO&lt;&gt;"manual",$M105&lt;&gt;$A$15)),
        IF(Import.TipoArredondamento&lt;&gt;"TransfereGOV",
              ROUND(OFFSET($P105,0,AS$13),15-13*ORÇAMENTO!$AF$7)/$H105*OFFSET(ORÇAMENTO!$X$15,ROW(AS105)-ROW(AS$15),0),
              ROUND(ROUND(OFFSET($P105,0,AS$13),15-13*ORÇAMENTO!$AF$7)*OFFSET(ORÇAMENTO!$W$15,ROW(AS105)-ROW(AS$15),0),15-13*ORÇAMENTO!$AF$11)),
         0)</f>
        <v>0</v>
      </c>
      <c r="AT105" s="453">
        <f ca="1">IF(AND($D105="Serviço",AT$12&lt;&gt;0,$H105&gt;0,OR(AUTOEVENTO&lt;&gt;"manual",$M105&lt;&gt;$A$15)),
        IF(Import.TipoArredondamento&lt;&gt;"TransfereGOV",
              ROUND(OFFSET($P105,0,AT$13),15-13*ORÇAMENTO!$AF$7)/$H105*OFFSET(ORÇAMENTO!$X$15,ROW(AT105)-ROW(AT$15),0),
              ROUND(ROUND(OFFSET($P105,0,AT$13),15-13*ORÇAMENTO!$AF$7)*OFFSET(ORÇAMENTO!$W$15,ROW(AT105)-ROW(AT$15),0),15-13*ORÇAMENTO!$AF$11)),
         0)</f>
        <v>0</v>
      </c>
      <c r="AU105" s="453">
        <f ca="1">IF(AND($D105="Serviço",AU$12&lt;&gt;0,$H105&gt;0,OR(AUTOEVENTO&lt;&gt;"manual",$M105&lt;&gt;$A$15)),
        IF(Import.TipoArredondamento&lt;&gt;"TransfereGOV",
              ROUND(OFFSET($P105,0,AU$13),15-13*ORÇAMENTO!$AF$7)/$H105*OFFSET(ORÇAMENTO!$X$15,ROW(AU105)-ROW(AU$15),0),
              ROUND(ROUND(OFFSET($P105,0,AU$13),15-13*ORÇAMENTO!$AF$7)*OFFSET(ORÇAMENTO!$W$15,ROW(AU105)-ROW(AU$15),0),15-13*ORÇAMENTO!$AF$11)),
         0)</f>
        <v>0</v>
      </c>
      <c r="AV105" s="453">
        <f ca="1">IF(AND($D105="Serviço",AV$12&lt;&gt;0,$H105&gt;0,OR(AUTOEVENTO&lt;&gt;"manual",$M105&lt;&gt;$A$15)),
        IF(Import.TipoArredondamento&lt;&gt;"TransfereGOV",
              ROUND(OFFSET($P105,0,AV$13),15-13*ORÇAMENTO!$AF$7)/$H105*OFFSET(ORÇAMENTO!$X$15,ROW(AV105)-ROW(AV$15),0),
              ROUND(ROUND(OFFSET($P105,0,AV$13),15-13*ORÇAMENTO!$AF$7)*OFFSET(ORÇAMENTO!$W$15,ROW(AV105)-ROW(AV$15),0),15-13*ORÇAMENTO!$AF$11)),
         0)</f>
        <v>0</v>
      </c>
      <c r="AW105" s="453">
        <f ca="1">IF(AND($D105="Serviço",AW$12&lt;&gt;0,$H105&gt;0,OR(AUTOEVENTO&lt;&gt;"manual",$M105&lt;&gt;$A$15)),
        IF(Import.TipoArredondamento&lt;&gt;"TransfereGOV",
              ROUND(OFFSET($P105,0,AW$13),15-13*ORÇAMENTO!$AF$7)/$H105*OFFSET(ORÇAMENTO!$X$15,ROW(AW105)-ROW(AW$15),0),
              ROUND(ROUND(OFFSET($P105,0,AW$13),15-13*ORÇAMENTO!$AF$7)*OFFSET(ORÇAMENTO!$W$15,ROW(AW105)-ROW(AW$15),0),15-13*ORÇAMENTO!$AF$11)),
         0)</f>
        <v>0</v>
      </c>
      <c r="AX105" s="453">
        <f ca="1">IF(AND($D105="Serviço",AX$12&lt;&gt;0,$H105&gt;0,OR(AUTOEVENTO&lt;&gt;"manual",$M105&lt;&gt;$A$15)),
        IF(Import.TipoArredondamento&lt;&gt;"TransfereGOV",
              ROUND(OFFSET($P105,0,AX$13),15-13*ORÇAMENTO!$AF$7)/$H105*OFFSET(ORÇAMENTO!$X$15,ROW(AX105)-ROW(AX$15),0),
              ROUND(ROUND(OFFSET($P105,0,AX$13),15-13*ORÇAMENTO!$AF$7)*OFFSET(ORÇAMENTO!$W$15,ROW(AX105)-ROW(AX$15),0),15-13*ORÇAMENTO!$AF$11)),
         0)</f>
        <v>0</v>
      </c>
      <c r="AY105" s="453">
        <f ca="1">IF(AND($D105="Serviço",AY$12&lt;&gt;0,$H105&gt;0,OR(AUTOEVENTO&lt;&gt;"manual",$M105&lt;&gt;$A$15)),
        IF(Import.TipoArredondamento&lt;&gt;"TransfereGOV",
              ROUND(OFFSET($P105,0,AY$13),15-13*ORÇAMENTO!$AF$7)/$H105*OFFSET(ORÇAMENTO!$X$15,ROW(AY105)-ROW(AY$15),0),
              ROUND(ROUND(OFFSET($P105,0,AY$13),15-13*ORÇAMENTO!$AF$7)*OFFSET(ORÇAMENTO!$W$15,ROW(AY105)-ROW(AY$15),0),15-13*ORÇAMENTO!$AF$11)),
         0)</f>
        <v>0</v>
      </c>
      <c r="AZ105" s="453">
        <f ca="1">IF(AND($D105="Serviço",AZ$12&lt;&gt;0,$H105&gt;0,OR(AUTOEVENTO&lt;&gt;"manual",$M105&lt;&gt;$A$15)),
        IF(Import.TipoArredondamento&lt;&gt;"TransfereGOV",
              ROUND(OFFSET($P105,0,AZ$13),15-13*ORÇAMENTO!$AF$7)/$H105*OFFSET(ORÇAMENTO!$X$15,ROW(AZ105)-ROW(AZ$15),0),
              ROUND(ROUND(OFFSET($P105,0,AZ$13),15-13*ORÇAMENTO!$AF$7)*OFFSET(ORÇAMENTO!$W$15,ROW(AZ105)-ROW(AZ$15),0),15-13*ORÇAMENTO!$AF$11)),
         0)</f>
        <v>0</v>
      </c>
      <c r="BA105" s="453">
        <f ca="1">IF(AND($D105="Serviço",BA$12&lt;&gt;0,$H105&gt;0,OR(AUTOEVENTO&lt;&gt;"manual",$M105&lt;&gt;$A$15)),
        IF(Import.TipoArredondamento&lt;&gt;"TransfereGOV",
              ROUND(OFFSET($P105,0,BA$13),15-13*ORÇAMENTO!$AF$7)/$H105*OFFSET(ORÇAMENTO!$X$15,ROW(BA105)-ROW(BA$15),0),
              ROUND(ROUND(OFFSET($P105,0,BA$13),15-13*ORÇAMENTO!$AF$7)*OFFSET(ORÇAMENTO!$W$15,ROW(BA105)-ROW(BA$15),0),15-13*ORÇAMENTO!$AF$11)),
         0)</f>
        <v>0</v>
      </c>
      <c r="BB105" s="453">
        <f ca="1">IF(AND($D105="Serviço",BB$12&lt;&gt;0,$H105&gt;0,OR(AUTOEVENTO&lt;&gt;"manual",$M105&lt;&gt;$A$15)),
        IF(Import.TipoArredondamento&lt;&gt;"TransfereGOV",
              ROUND(OFFSET($P105,0,BB$13),15-13*ORÇAMENTO!$AF$7)/$H105*OFFSET(ORÇAMENTO!$X$15,ROW(BB105)-ROW(BB$15),0),
              ROUND(ROUND(OFFSET($P105,0,BB$13),15-13*ORÇAMENTO!$AF$7)*OFFSET(ORÇAMENTO!$W$15,ROW(BB105)-ROW(BB$15),0),15-13*ORÇAMENTO!$AF$11)),
         0)</f>
        <v>0</v>
      </c>
      <c r="BC105" s="453">
        <f ca="1">IF(AND($D105="Serviço",BC$12&lt;&gt;0,$H105&gt;0,OR(AUTOEVENTO&lt;&gt;"manual",$M105&lt;&gt;$A$15)),
        IF(Import.TipoArredondamento&lt;&gt;"TransfereGOV",
              ROUND(OFFSET($P105,0,BC$13),15-13*ORÇAMENTO!$AF$7)/$H105*OFFSET(ORÇAMENTO!$X$15,ROW(BC105)-ROW(BC$15),0),
              ROUND(ROUND(OFFSET($P105,0,BC$13),15-13*ORÇAMENTO!$AF$7)*OFFSET(ORÇAMENTO!$W$15,ROW(BC105)-ROW(BC$15),0),15-13*ORÇAMENTO!$AF$11)),
         0)</f>
        <v>0</v>
      </c>
      <c r="BD105" s="453">
        <f ca="1">IF(AND($D105="Serviço",BD$12&lt;&gt;0,$H105&gt;0,OR(AUTOEVENTO&lt;&gt;"manual",$M105&lt;&gt;$A$15)),
        IF(Import.TipoArredondamento&lt;&gt;"TransfereGOV",
              ROUND(OFFSET($P105,0,BD$13),15-13*ORÇAMENTO!$AF$7)/$H105*OFFSET(ORÇAMENTO!$X$15,ROW(BD105)-ROW(BD$15),0),
              ROUND(ROUND(OFFSET($P105,0,BD$13),15-13*ORÇAMENTO!$AF$7)*OFFSET(ORÇAMENTO!$W$15,ROW(BD105)-ROW(BD$15),0),15-13*ORÇAMENTO!$AF$11)),
         0)</f>
        <v>0</v>
      </c>
      <c r="BE105" s="453">
        <f ca="1">IF(AND($D105="Serviço",BE$12&lt;&gt;0,$H105&gt;0,OR(AUTOEVENTO&lt;&gt;"manual",$M105&lt;&gt;$A$15)),
        IF(Import.TipoArredondamento&lt;&gt;"TransfereGOV",
              ROUND(OFFSET($P105,0,BE$13),15-13*ORÇAMENTO!$AF$7)/$H105*OFFSET(ORÇAMENTO!$X$15,ROW(BE105)-ROW(BE$15),0),
              ROUND(ROUND(OFFSET($P105,0,BE$13),15-13*ORÇAMENTO!$AF$7)*OFFSET(ORÇAMENTO!$W$15,ROW(BE105)-ROW(BE$15),0),15-13*ORÇAMENTO!$AF$11)),
         0)</f>
        <v>0</v>
      </c>
      <c r="BF105" s="453">
        <f ca="1">IF(AND($D105="Serviço",BF$12&lt;&gt;0,$H105&gt;0,OR(AUTOEVENTO&lt;&gt;"manual",$M105&lt;&gt;$A$15)),
        IF(Import.TipoArredondamento&lt;&gt;"TransfereGOV",
              ROUND(OFFSET($P105,0,BF$13),15-13*ORÇAMENTO!$AF$7)/$H105*OFFSET(ORÇAMENTO!$X$15,ROW(BF105)-ROW(BF$15),0),
              ROUND(ROUND(OFFSET($P105,0,BF$13),15-13*ORÇAMENTO!$AF$7)*OFFSET(ORÇAMENTO!$W$15,ROW(BF105)-ROW(BF$15),0),15-13*ORÇAMENTO!$AF$11)),
         0)</f>
        <v>0</v>
      </c>
      <c r="BG105" s="453">
        <f ca="1">IF(AND($D105="Serviço",BG$12&lt;&gt;0,$H105&gt;0,OR(AUTOEVENTO&lt;&gt;"manual",$M105&lt;&gt;$A$15)),
        IF(Import.TipoArredondamento&lt;&gt;"TransfereGOV",
              ROUND(OFFSET($P105,0,BG$13),15-13*ORÇAMENTO!$AF$7)/$H105*OFFSET(ORÇAMENTO!$X$15,ROW(BG105)-ROW(BG$15),0),
              ROUND(ROUND(OFFSET($P105,0,BG$13),15-13*ORÇAMENTO!$AF$7)*OFFSET(ORÇAMENTO!$W$15,ROW(BG105)-ROW(BG$15),0),15-13*ORÇAMENTO!$AF$11)),
         0)</f>
        <v>0</v>
      </c>
      <c r="BH105" s="453">
        <f ca="1">IF(AND($D105="Serviço",BH$12&lt;&gt;0,$H105&gt;0,OR(AUTOEVENTO&lt;&gt;"manual",$M105&lt;&gt;$A$15)),
        IF(Import.TipoArredondamento&lt;&gt;"TransfereGOV",
              ROUND(OFFSET($P105,0,BH$13),15-13*ORÇAMENTO!$AF$7)/$H105*OFFSET(ORÇAMENTO!$X$15,ROW(BH105)-ROW(BH$15),0),
              ROUND(ROUND(OFFSET($P105,0,BH$13),15-13*ORÇAMENTO!$AF$7)*OFFSET(ORÇAMENTO!$W$15,ROW(BH105)-ROW(BH$15),0),15-13*ORÇAMENTO!$AF$11)),
         0)</f>
        <v>0</v>
      </c>
      <c r="BI105" s="453">
        <f ca="1">IF(AND($D105="Serviço",BI$12&lt;&gt;0,$H105&gt;0,OR(AUTOEVENTO&lt;&gt;"manual",$M105&lt;&gt;$A$15)),
        IF(Import.TipoArredondamento&lt;&gt;"TransfereGOV",
              ROUND(OFFSET($P105,0,BI$13),15-13*ORÇAMENTO!$AF$7)/$H105*OFFSET(ORÇAMENTO!$X$15,ROW(BI105)-ROW(BI$15),0),
              ROUND(ROUND(OFFSET($P105,0,BI$13),15-13*ORÇAMENTO!$AF$7)*OFFSET(ORÇAMENTO!$W$15,ROW(BI105)-ROW(BI$15),0),15-13*ORÇAMENTO!$AF$11)),
         0)</f>
        <v>0</v>
      </c>
      <c r="BJ105" s="453">
        <f ca="1">IF(AND($D105="Serviço",BJ$12&lt;&gt;0,$H105&gt;0,OR(AUTOEVENTO&lt;&gt;"manual",$M105&lt;&gt;$A$15)),
        IF(Import.TipoArredondamento&lt;&gt;"TransfereGOV",
              ROUND(OFFSET($P105,0,BJ$13),15-13*ORÇAMENTO!$AF$7)/$H105*OFFSET(ORÇAMENTO!$X$15,ROW(BJ105)-ROW(BJ$15),0),
              ROUND(ROUND(OFFSET($P105,0,BJ$13),15-13*ORÇAMENTO!$AF$7)*OFFSET(ORÇAMENTO!$W$15,ROW(BJ105)-ROW(BJ$15),0),15-13*ORÇAMENTO!$AF$11)),
         0)</f>
        <v>0</v>
      </c>
      <c r="BK105" s="453">
        <f ca="1">IF(AND($D105="Serviço",BK$12&lt;&gt;0,$H105&gt;0,OR(AUTOEVENTO&lt;&gt;"manual",$M105&lt;&gt;$A$15)),
        IF(Import.TipoArredondamento&lt;&gt;"TransfereGOV",
              ROUND(OFFSET($P105,0,BK$13),15-13*ORÇAMENTO!$AF$7)/$H105*OFFSET(ORÇAMENTO!$X$15,ROW(BK105)-ROW(BK$15),0),
              ROUND(ROUND(OFFSET($P105,0,BK$13),15-13*ORÇAMENTO!$AF$7)*OFFSET(ORÇAMENTO!$W$15,ROW(BK105)-ROW(BK$15),0),15-13*ORÇAMENTO!$AF$11)),
         0)</f>
        <v>0</v>
      </c>
      <c r="BL105" s="453">
        <f ca="1">IF(AND($D105="Serviço",BL$12&lt;&gt;0,$H105&gt;0,OR(AUTOEVENTO&lt;&gt;"manual",$M105&lt;&gt;$A$15)),
        IF(Import.TipoArredondamento&lt;&gt;"TransfereGOV",
              ROUND(OFFSET($P105,0,BL$13),15-13*ORÇAMENTO!$AF$7)/$H105*OFFSET(ORÇAMENTO!$X$15,ROW(BL105)-ROW(BL$15),0),
              ROUND(ROUND(OFFSET($P105,0,BL$13),15-13*ORÇAMENTO!$AF$7)*OFFSET(ORÇAMENTO!$W$15,ROW(BL105)-ROW(BL$15),0),15-13*ORÇAMENTO!$AF$11)),
         0)</f>
        <v>0</v>
      </c>
      <c r="BM105" s="453">
        <f ca="1">IF(AND($D105="Serviço",BM$12&lt;&gt;0,$H105&gt;0,OR(AUTOEVENTO&lt;&gt;"manual",$M105&lt;&gt;$A$15)),
        IF(Import.TipoArredondamento&lt;&gt;"TransfereGOV",
              ROUND(OFFSET($P105,0,BM$13),15-13*ORÇAMENTO!$AF$7)/$H105*OFFSET(ORÇAMENTO!$X$15,ROW(BM105)-ROW(BM$15),0),
              ROUND(ROUND(OFFSET($P105,0,BM$13),15-13*ORÇAMENTO!$AF$7)*OFFSET(ORÇAMENTO!$W$15,ROW(BM105)-ROW(BM$15),0),15-13*ORÇAMENTO!$AF$11)),
         0)</f>
        <v>0</v>
      </c>
      <c r="BN105" s="453">
        <f ca="1">IF(AND($D105="Serviço",BN$12&lt;&gt;0,$H105&gt;0,OR(AUTOEVENTO&lt;&gt;"manual",$M105&lt;&gt;$A$15)),
        IF(Import.TipoArredondamento&lt;&gt;"TransfereGOV",
              ROUND(OFFSET($P105,0,BN$13),15-13*ORÇAMENTO!$AF$7)/$H105*OFFSET(ORÇAMENTO!$X$15,ROW(BN105)-ROW(BN$15),0),
              ROUND(ROUND(OFFSET($P105,0,BN$13),15-13*ORÇAMENTO!$AF$7)*OFFSET(ORÇAMENTO!$W$15,ROW(BN105)-ROW(BN$15),0),15-13*ORÇAMENTO!$AF$11)),
         0)</f>
        <v>0</v>
      </c>
      <c r="BO105" s="453">
        <f ca="1">IF(AND($D105="Serviço",BO$12&lt;&gt;0,$H105&gt;0,OR(AUTOEVENTO&lt;&gt;"manual",$M105&lt;&gt;$A$15)),
        IF(Import.TipoArredondamento&lt;&gt;"TransfereGOV",
              ROUND(OFFSET($P105,0,BO$13),15-13*ORÇAMENTO!$AF$7)/$H105*OFFSET(ORÇAMENTO!$X$15,ROW(BO105)-ROW(BO$15),0),
              ROUND(ROUND(OFFSET($P105,0,BO$13),15-13*ORÇAMENTO!$AF$7)*OFFSET(ORÇAMENTO!$W$15,ROW(BO105)-ROW(BO$15),0),15-13*ORÇAMENTO!$AF$11)),
         0)</f>
        <v>0</v>
      </c>
      <c r="BP105" s="453">
        <f ca="1">IF(AND($D105="Serviço",BP$12&lt;&gt;0,$H105&gt;0,OR(AUTOEVENTO&lt;&gt;"manual",$M105&lt;&gt;$A$15)),
        IF(Import.TipoArredondamento&lt;&gt;"TransfereGOV",
              ROUND(OFFSET($P105,0,BP$13),15-13*ORÇAMENTO!$AF$7)/$H105*OFFSET(ORÇAMENTO!$X$15,ROW(BP105)-ROW(BP$15),0),
              ROUND(ROUND(OFFSET($P105,0,BP$13),15-13*ORÇAMENTO!$AF$7)*OFFSET(ORÇAMENTO!$W$15,ROW(BP105)-ROW(BP$15),0),15-13*ORÇAMENTO!$AF$11)),
         0)</f>
        <v>0</v>
      </c>
      <c r="BQ105" s="453">
        <f ca="1">IF(AND($D105="Serviço",BQ$12&lt;&gt;0,$H105&gt;0,OR(AUTOEVENTO&lt;&gt;"manual",$M105&lt;&gt;$A$15)),
        IF(Import.TipoArredondamento&lt;&gt;"TransfereGOV",
              ROUND(OFFSET($P105,0,BQ$13),15-13*ORÇAMENTO!$AF$7)/$H105*OFFSET(ORÇAMENTO!$X$15,ROW(BQ105)-ROW(BQ$15),0),
              ROUND(ROUND(OFFSET($P105,0,BQ$13),15-13*ORÇAMENTO!$AF$7)*OFFSET(ORÇAMENTO!$W$15,ROW(BQ105)-ROW(BQ$15),0),15-13*ORÇAMENTO!$AF$11)),
         0)</f>
        <v>0</v>
      </c>
      <c r="BS105" s="171">
        <f ca="1">IF(OR($D105&lt;&gt;"Serviço",AND(AUTOEVENTO="Manual",$M105=$A$15)),0,
         IF(OFFSET(CRONOPLE!$F$15,$M105-$A$15,BS$13)=0,10^12,OFFSET(CRONOPLE!$F$15,$M105-$A$15,BS$13)))</f>
        <v>1</v>
      </c>
      <c r="BT105" s="171">
        <f ca="1">IF(OR($D105&lt;&gt;"Serviço",AND(AUTOEVENTO="Manual",$M105=$A$15)),0,
         IF(OFFSET(CRONOPLE!$F$15,$M105-$A$15,BT$13)=0,10^12,OFFSET(CRONOPLE!$F$15,$M105-$A$15,BT$13)))</f>
        <v>2</v>
      </c>
      <c r="BU105" s="171">
        <f ca="1">IF(OR($D105&lt;&gt;"Serviço",AND(AUTOEVENTO="Manual",$M105=$A$15)),0,
         IF(OFFSET(CRONOPLE!$F$15,$M105-$A$15,BU$13)=0,10^12,OFFSET(CRONOPLE!$F$15,$M105-$A$15,BU$13)))</f>
        <v>3</v>
      </c>
      <c r="BV105" s="171">
        <f ca="1">IF(OR($D105&lt;&gt;"Serviço",AND(AUTOEVENTO="Manual",$M105=$A$15)),0,
         IF(OFFSET(CRONOPLE!$F$15,$M105-$A$15,BV$13)=0,10^12,OFFSET(CRONOPLE!$F$15,$M105-$A$15,BV$13)))</f>
        <v>4</v>
      </c>
      <c r="BW105" s="171">
        <f ca="1">IF(OR($D105&lt;&gt;"Serviço",AND(AUTOEVENTO="Manual",$M105=$A$15)),0,
         IF(OFFSET(CRONOPLE!$F$15,$M105-$A$15,BW$13)=0,10^12,OFFSET(CRONOPLE!$F$15,$M105-$A$15,BW$13)))</f>
        <v>5</v>
      </c>
      <c r="BX105" s="171">
        <f ca="1">IF(OR($D105&lt;&gt;"Serviço",AND(AUTOEVENTO="Manual",$M105=$A$15)),0,
         IF(OFFSET(CRONOPLE!$F$15,$M105-$A$15,BX$13)=0,10^12,OFFSET(CRONOPLE!$F$15,$M105-$A$15,BX$13)))</f>
        <v>6</v>
      </c>
      <c r="BY105" s="171">
        <f ca="1">IF(OR($D105&lt;&gt;"Serviço",AND(AUTOEVENTO="Manual",$M105=$A$15)),0,
         IF(OFFSET(CRONOPLE!$F$15,$M105-$A$15,BY$13)=0,10^12,OFFSET(CRONOPLE!$F$15,$M105-$A$15,BY$13)))</f>
        <v>7</v>
      </c>
      <c r="BZ105" s="171">
        <f ca="1">IF(OR($D105&lt;&gt;"Serviço",AND(AUTOEVENTO="Manual",$M105=$A$15)),0,
         IF(OFFSET(CRONOPLE!$F$15,$M105-$A$15,BZ$13)=0,10^12,OFFSET(CRONOPLE!$F$15,$M105-$A$15,BZ$13)))</f>
        <v>8</v>
      </c>
      <c r="CA105" s="171">
        <f ca="1">IF(OR($D105&lt;&gt;"Serviço",AND(AUTOEVENTO="Manual",$M105=$A$15)),0,
         IF(OFFSET(CRONOPLE!$F$15,$M105-$A$15,CA$13)=0,10^12,OFFSET(CRONOPLE!$F$15,$M105-$A$15,CA$13)))</f>
        <v>9</v>
      </c>
      <c r="CB105" s="171">
        <f ca="1">IF(OR($D105&lt;&gt;"Serviço",AND(AUTOEVENTO="Manual",$M105=$A$15)),0,
         IF(OFFSET(CRONOPLE!$F$15,$M105-$A$15,CB$13)=0,10^12,OFFSET(CRONOPLE!$F$15,$M105-$A$15,CB$13)))</f>
        <v>10</v>
      </c>
      <c r="CC105" s="171">
        <f ca="1">IF(OR($D105&lt;&gt;"Serviço",AND(AUTOEVENTO="Manual",$M105=$A$15)),0,
         IF(OFFSET(CRONOPLE!$F$15,$M105-$A$15,CC$13)=0,10^12,OFFSET(CRONOPLE!$F$15,$M105-$A$15,CC$13)))</f>
        <v>11</v>
      </c>
      <c r="CD105" s="171">
        <f ca="1">IF(OR($D105&lt;&gt;"Serviço",AND(AUTOEVENTO="Manual",$M105=$A$15)),0,
         IF(OFFSET(CRONOPLE!$F$15,$M105-$A$15,CD$13)=0,10^12,OFFSET(CRONOPLE!$F$15,$M105-$A$15,CD$13)))</f>
        <v>12</v>
      </c>
      <c r="CE105" s="171">
        <f ca="1">IF(OR($D105&lt;&gt;"Serviço",AND(AUTOEVENTO="Manual",$M105=$A$15)),0,
         IF(OFFSET(CRONOPLE!$F$15,$M105-$A$15,CE$13)=0,10^12,OFFSET(CRONOPLE!$F$15,$M105-$A$15,CE$13)))</f>
        <v>13</v>
      </c>
      <c r="CF105" s="171">
        <f ca="1">IF(OR($D105&lt;&gt;"Serviço",AND(AUTOEVENTO="Manual",$M105=$A$15)),0,
         IF(OFFSET(CRONOPLE!$F$15,$M105-$A$15,CF$13)=0,10^12,OFFSET(CRONOPLE!$F$15,$M105-$A$15,CF$13)))</f>
        <v>14</v>
      </c>
      <c r="CG105" s="171">
        <f ca="1">IF(OR($D105&lt;&gt;"Serviço",AND(AUTOEVENTO="Manual",$M105=$A$15)),0,
         IF(OFFSET(CRONOPLE!$F$15,$M105-$A$15,CG$13)=0,10^12,OFFSET(CRONOPLE!$F$15,$M105-$A$15,CG$13)))</f>
        <v>15</v>
      </c>
      <c r="CH105" s="171">
        <f ca="1">IF(OR($D105&lt;&gt;"Serviço",AND(AUTOEVENTO="Manual",$M105=$A$15)),0,
         IF(OFFSET(CRONOPLE!$F$15,$M105-$A$15,CH$13)=0,10^12,OFFSET(CRONOPLE!$F$15,$M105-$A$15,CH$13)))</f>
        <v>16</v>
      </c>
      <c r="CI105" s="171">
        <f ca="1">IF(OR($D105&lt;&gt;"Serviço",AND(AUTOEVENTO="Manual",$M105=$A$15)),0,
         IF(OFFSET(CRONOPLE!$F$15,$M105-$A$15,CI$13)=0,10^12,OFFSET(CRONOPLE!$F$15,$M105-$A$15,CI$13)))</f>
        <v>17</v>
      </c>
      <c r="CJ105" s="171">
        <f ca="1">IF(OR($D105&lt;&gt;"Serviço",AND(AUTOEVENTO="Manual",$M105=$A$15)),0,
         IF(OFFSET(CRONOPLE!$F$15,$M105-$A$15,CJ$13)=0,10^12,OFFSET(CRONOPLE!$F$15,$M105-$A$15,CJ$13)))</f>
        <v>18</v>
      </c>
      <c r="CK105" s="171">
        <f ca="1">IF(OR($D105&lt;&gt;"Serviço",AND(AUTOEVENTO="Manual",$M105=$A$15)),0,
         IF(OFFSET(CRONOPLE!$F$15,$M105-$A$15,CK$13)=0,10^12,OFFSET(CRONOPLE!$F$15,$M105-$A$15,CK$13)))</f>
        <v>19</v>
      </c>
      <c r="CL105" s="171">
        <f ca="1">IF(OR($D105&lt;&gt;"Serviço",AND(AUTOEVENTO="Manual",$M105=$A$15)),0,
         IF(OFFSET(CRONOPLE!$F$15,$M105-$A$15,CL$13)=0,10^12,OFFSET(CRONOPLE!$F$15,$M105-$A$15,CL$13)))</f>
        <v>20</v>
      </c>
      <c r="CM105" s="171">
        <f ca="1">IF(OR($D105&lt;&gt;"Serviço",AND(AUTOEVENTO="Manual",$M105=$A$15)),0,
         IF(OFFSET(CRONOPLE!$F$15,$M105-$A$15,CM$13)=0,10^12,OFFSET(CRONOPLE!$F$15,$M105-$A$15,CM$13)))</f>
        <v>1000000000000</v>
      </c>
      <c r="CN105" s="171">
        <f ca="1">IF(OR($D105&lt;&gt;"Serviço",AND(AUTOEVENTO="Manual",$M105=$A$15)),0,
         IF(OFFSET(CRONOPLE!$F$15,$M105-$A$15,CN$13)=0,10^12,OFFSET(CRONOPLE!$F$15,$M105-$A$15,CN$13)))</f>
        <v>1000000000000</v>
      </c>
      <c r="CO105" s="171">
        <f ca="1">IF(OR($D105&lt;&gt;"Serviço",AND(AUTOEVENTO="Manual",$M105=$A$15)),0,
         IF(OFFSET(CRONOPLE!$F$15,$M105-$A$15,CO$13)=0,10^12,OFFSET(CRONOPLE!$F$15,$M105-$A$15,CO$13)))</f>
        <v>1000000000000</v>
      </c>
      <c r="CP105" s="171">
        <f ca="1">IF(OR($D105&lt;&gt;"Serviço",AND(AUTOEVENTO="Manual",$M105=$A$15)),0,
         IF(OFFSET(CRONOPLE!$F$15,$M105-$A$15,CP$13)=0,10^12,OFFSET(CRONOPLE!$F$15,$M105-$A$15,CP$13)))</f>
        <v>1000000000000</v>
      </c>
      <c r="CQ105" s="171">
        <f ca="1">IF(OR($D105&lt;&gt;"Serviço",AND(AUTOEVENTO="Manual",$M105=$A$15)),0,
         IF(OFFSET(CRONOPLE!$F$15,$M105-$A$15,CQ$13)=0,10^12,OFFSET(CRONOPLE!$F$15,$M105-$A$15,CQ$13)))</f>
        <v>1000000000000</v>
      </c>
      <c r="CR105" s="171">
        <f ca="1">IF(OR($D105&lt;&gt;"Serviço",AND(AUTOEVENTO="Manual",$M105=$A$15)),0,
         IF(OFFSET(CRONOPLE!$F$15,$M105-$A$15,CR$13)=0,10^12,OFFSET(CRONOPLE!$F$15,$M105-$A$15,CR$13)))</f>
        <v>1000000000000</v>
      </c>
      <c r="CT105" s="172" cm="1">
        <f t="array" aca="1" ref="CT105" ca="1">IF(OR($D105&lt;&gt;"Serviço",AND(AUTOEVENTO="Manual",$M105=$A$15),$M105&gt;(ROW(PLE.lastrow)-ROW(PLE.firstrow))),0,
           IF(OFFSET(PLE!$G$15,$M105-$A$15,CT$13)="",10^12,OFFSET(PLE!$G$15,$M105-$A$15,CT$13)))</f>
        <v>1000000000000</v>
      </c>
      <c r="CU105" s="172" cm="1">
        <f t="array" aca="1" ref="CU105" ca="1">IF(OR($D105&lt;&gt;"Serviço",AND(AUTOEVENTO="Manual",$M105=$A$15),$M105&gt;(ROW(PLE.lastrow)-ROW(PLE.firstrow))),0,
           IF(OFFSET(PLE!$G$15,$M105-$A$15,CU$13)="",10^12,OFFSET(PLE!$G$15,$M105-$A$15,CU$13)))</f>
        <v>1000000000000</v>
      </c>
      <c r="CV105" s="172" cm="1">
        <f t="array" aca="1" ref="CV105" ca="1">IF(OR($D105&lt;&gt;"Serviço",AND(AUTOEVENTO="Manual",$M105=$A$15),$M105&gt;(ROW(PLE.lastrow)-ROW(PLE.firstrow))),0,
           IF(OFFSET(PLE!$G$15,$M105-$A$15,CV$13)="",10^12,OFFSET(PLE!$G$15,$M105-$A$15,CV$13)))</f>
        <v>1000000000000</v>
      </c>
      <c r="CW105" s="172" cm="1">
        <f t="array" aca="1" ref="CW105" ca="1">IF(OR($D105&lt;&gt;"Serviço",AND(AUTOEVENTO="Manual",$M105=$A$15),$M105&gt;(ROW(PLE.lastrow)-ROW(PLE.firstrow))),0,
           IF(OFFSET(PLE!$G$15,$M105-$A$15,CW$13)="",10^12,OFFSET(PLE!$G$15,$M105-$A$15,CW$13)))</f>
        <v>1000000000000</v>
      </c>
      <c r="CX105" s="172" cm="1">
        <f t="array" aca="1" ref="CX105" ca="1">IF(OR($D105&lt;&gt;"Serviço",AND(AUTOEVENTO="Manual",$M105=$A$15),$M105&gt;(ROW(PLE.lastrow)-ROW(PLE.firstrow))),0,
           IF(OFFSET(PLE!$G$15,$M105-$A$15,CX$13)="",10^12,OFFSET(PLE!$G$15,$M105-$A$15,CX$13)))</f>
        <v>1000000000000</v>
      </c>
      <c r="CY105" s="172" cm="1">
        <f t="array" aca="1" ref="CY105" ca="1">IF(OR($D105&lt;&gt;"Serviço",AND(AUTOEVENTO="Manual",$M105=$A$15),$M105&gt;(ROW(PLE.lastrow)-ROW(PLE.firstrow))),0,
           IF(OFFSET(PLE!$G$15,$M105-$A$15,CY$13)="",10^12,OFFSET(PLE!$G$15,$M105-$A$15,CY$13)))</f>
        <v>1000000000000</v>
      </c>
      <c r="CZ105" s="172" cm="1">
        <f t="array" aca="1" ref="CZ105" ca="1">IF(OR($D105&lt;&gt;"Serviço",AND(AUTOEVENTO="Manual",$M105=$A$15),$M105&gt;(ROW(PLE.lastrow)-ROW(PLE.firstrow))),0,
           IF(OFFSET(PLE!$G$15,$M105-$A$15,CZ$13)="",10^12,OFFSET(PLE!$G$15,$M105-$A$15,CZ$13)))</f>
        <v>1000000000000</v>
      </c>
      <c r="DA105" s="172" cm="1">
        <f t="array" aca="1" ref="DA105" ca="1">IF(OR($D105&lt;&gt;"Serviço",AND(AUTOEVENTO="Manual",$M105=$A$15),$M105&gt;(ROW(PLE.lastrow)-ROW(PLE.firstrow))),0,
           IF(OFFSET(PLE!$G$15,$M105-$A$15,DA$13)="",10^12,OFFSET(PLE!$G$15,$M105-$A$15,DA$13)))</f>
        <v>1000000000000</v>
      </c>
      <c r="DB105" s="172" cm="1">
        <f t="array" aca="1" ref="DB105" ca="1">IF(OR($D105&lt;&gt;"Serviço",AND(AUTOEVENTO="Manual",$M105=$A$15),$M105&gt;(ROW(PLE.lastrow)-ROW(PLE.firstrow))),0,
           IF(OFFSET(PLE!$G$15,$M105-$A$15,DB$13)="",10^12,OFFSET(PLE!$G$15,$M105-$A$15,DB$13)))</f>
        <v>1000000000000</v>
      </c>
      <c r="DC105" s="172" cm="1">
        <f t="array" aca="1" ref="DC105" ca="1">IF(OR($D105&lt;&gt;"Serviço",AND(AUTOEVENTO="Manual",$M105=$A$15),$M105&gt;(ROW(PLE.lastrow)-ROW(PLE.firstrow))),0,
           IF(OFFSET(PLE!$G$15,$M105-$A$15,DC$13)="",10^12,OFFSET(PLE!$G$15,$M105-$A$15,DC$13)))</f>
        <v>1000000000000</v>
      </c>
      <c r="DD105" s="172" cm="1">
        <f t="array" aca="1" ref="DD105" ca="1">IF(OR($D105&lt;&gt;"Serviço",AND(AUTOEVENTO="Manual",$M105=$A$15),$M105&gt;(ROW(PLE.lastrow)-ROW(PLE.firstrow))),0,
           IF(OFFSET(PLE!$G$15,$M105-$A$15,DD$13)="",10^12,OFFSET(PLE!$G$15,$M105-$A$15,DD$13)))</f>
        <v>1000000000000</v>
      </c>
      <c r="DE105" s="172" cm="1">
        <f t="array" aca="1" ref="DE105" ca="1">IF(OR($D105&lt;&gt;"Serviço",AND(AUTOEVENTO="Manual",$M105=$A$15),$M105&gt;(ROW(PLE.lastrow)-ROW(PLE.firstrow))),0,
           IF(OFFSET(PLE!$G$15,$M105-$A$15,DE$13)="",10^12,OFFSET(PLE!$G$15,$M105-$A$15,DE$13)))</f>
        <v>1000000000000</v>
      </c>
      <c r="DF105" s="172" cm="1">
        <f t="array" aca="1" ref="DF105" ca="1">IF(OR($D105&lt;&gt;"Serviço",AND(AUTOEVENTO="Manual",$M105=$A$15),$M105&gt;(ROW(PLE.lastrow)-ROW(PLE.firstrow))),0,
           IF(OFFSET(PLE!$G$15,$M105-$A$15,DF$13)="",10^12,OFFSET(PLE!$G$15,$M105-$A$15,DF$13)))</f>
        <v>1000000000000</v>
      </c>
      <c r="DG105" s="172" cm="1">
        <f t="array" aca="1" ref="DG105" ca="1">IF(OR($D105&lt;&gt;"Serviço",AND(AUTOEVENTO="Manual",$M105=$A$15),$M105&gt;(ROW(PLE.lastrow)-ROW(PLE.firstrow))),0,
           IF(OFFSET(PLE!$G$15,$M105-$A$15,DG$13)="",10^12,OFFSET(PLE!$G$15,$M105-$A$15,DG$13)))</f>
        <v>1000000000000</v>
      </c>
      <c r="DH105" s="172" cm="1">
        <f t="array" aca="1" ref="DH105" ca="1">IF(OR($D105&lt;&gt;"Serviço",AND(AUTOEVENTO="Manual",$M105=$A$15),$M105&gt;(ROW(PLE.lastrow)-ROW(PLE.firstrow))),0,
           IF(OFFSET(PLE!$G$15,$M105-$A$15,DH$13)="",10^12,OFFSET(PLE!$G$15,$M105-$A$15,DH$13)))</f>
        <v>1000000000000</v>
      </c>
      <c r="DI105" s="172" cm="1">
        <f t="array" aca="1" ref="DI105" ca="1">IF(OR($D105&lt;&gt;"Serviço",AND(AUTOEVENTO="Manual",$M105=$A$15),$M105&gt;(ROW(PLE.lastrow)-ROW(PLE.firstrow))),0,
           IF(OFFSET(PLE!$G$15,$M105-$A$15,DI$13)="",10^12,OFFSET(PLE!$G$15,$M105-$A$15,DI$13)))</f>
        <v>1000000000000</v>
      </c>
      <c r="DJ105" s="172" cm="1">
        <f t="array" aca="1" ref="DJ105" ca="1">IF(OR($D105&lt;&gt;"Serviço",AND(AUTOEVENTO="Manual",$M105=$A$15),$M105&gt;(ROW(PLE.lastrow)-ROW(PLE.firstrow))),0,
           IF(OFFSET(PLE!$G$15,$M105-$A$15,DJ$13)="",10^12,OFFSET(PLE!$G$15,$M105-$A$15,DJ$13)))</f>
        <v>1000000000000</v>
      </c>
      <c r="DK105" s="172" cm="1">
        <f t="array" aca="1" ref="DK105" ca="1">IF(OR($D105&lt;&gt;"Serviço",AND(AUTOEVENTO="Manual",$M105=$A$15),$M105&gt;(ROW(PLE.lastrow)-ROW(PLE.firstrow))),0,
           IF(OFFSET(PLE!$G$15,$M105-$A$15,DK$13)="",10^12,OFFSET(PLE!$G$15,$M105-$A$15,DK$13)))</f>
        <v>1000000000000</v>
      </c>
      <c r="DL105" s="172" cm="1">
        <f t="array" aca="1" ref="DL105" ca="1">IF(OR($D105&lt;&gt;"Serviço",AND(AUTOEVENTO="Manual",$M105=$A$15),$M105&gt;(ROW(PLE.lastrow)-ROW(PLE.firstrow))),0,
           IF(OFFSET(PLE!$G$15,$M105-$A$15,DL$13)="",10^12,OFFSET(PLE!$G$15,$M105-$A$15,DL$13)))</f>
        <v>1000000000000</v>
      </c>
      <c r="DM105" s="172" cm="1">
        <f t="array" aca="1" ref="DM105" ca="1">IF(OR($D105&lt;&gt;"Serviço",AND(AUTOEVENTO="Manual",$M105=$A$15),$M105&gt;(ROW(PLE.lastrow)-ROW(PLE.firstrow))),0,
           IF(OFFSET(PLE!$G$15,$M105-$A$15,DM$13)="",10^12,OFFSET(PLE!$G$15,$M105-$A$15,DM$13)))</f>
        <v>1000000000000</v>
      </c>
      <c r="DN105" s="172" cm="1">
        <f t="array" aca="1" ref="DN105" ca="1">IF(OR($D105&lt;&gt;"Serviço",AND(AUTOEVENTO="Manual",$M105=$A$15),$M105&gt;(ROW(PLE.lastrow)-ROW(PLE.firstrow))),0,
           IF(OFFSET(PLE!$G$15,$M105-$A$15,DN$13)="",10^12,OFFSET(PLE!$G$15,$M105-$A$15,DN$13)))</f>
        <v>1000000000000</v>
      </c>
      <c r="DO105" s="172" cm="1">
        <f t="array" aca="1" ref="DO105" ca="1">IF(OR($D105&lt;&gt;"Serviço",AND(AUTOEVENTO="Manual",$M105=$A$15),$M105&gt;(ROW(PLE.lastrow)-ROW(PLE.firstrow))),0,
           IF(OFFSET(PLE!$G$15,$M105-$A$15,DO$13)="",10^12,OFFSET(PLE!$G$15,$M105-$A$15,DO$13)))</f>
        <v>1000000000000</v>
      </c>
      <c r="DP105" s="172" cm="1">
        <f t="array" aca="1" ref="DP105" ca="1">IF(OR($D105&lt;&gt;"Serviço",AND(AUTOEVENTO="Manual",$M105=$A$15),$M105&gt;(ROW(PLE.lastrow)-ROW(PLE.firstrow))),0,
           IF(OFFSET(PLE!$G$15,$M105-$A$15,DP$13)="",10^12,OFFSET(PLE!$G$15,$M105-$A$15,DP$13)))</f>
        <v>1000000000000</v>
      </c>
      <c r="DQ105" s="172" cm="1">
        <f t="array" aca="1" ref="DQ105" ca="1">IF(OR($D105&lt;&gt;"Serviço",AND(AUTOEVENTO="Manual",$M105=$A$15),$M105&gt;(ROW(PLE.lastrow)-ROW(PLE.firstrow))),0,
           IF(OFFSET(PLE!$G$15,$M105-$A$15,DQ$13)="",10^12,OFFSET(PLE!$G$15,$M105-$A$15,DQ$13)))</f>
        <v>1000000000000</v>
      </c>
      <c r="DR105" s="172" cm="1">
        <f t="array" aca="1" ref="DR105" ca="1">IF(OR($D105&lt;&gt;"Serviço",AND(AUTOEVENTO="Manual",$M105=$A$15),$M105&gt;(ROW(PLE.lastrow)-ROW(PLE.firstrow))),0,
           IF(OFFSET(PLE!$G$15,$M105-$A$15,DR$13)="",10^12,OFFSET(PLE!$G$15,$M105-$A$15,DR$13)))</f>
        <v>1000000000000</v>
      </c>
      <c r="DS105" s="172" cm="1">
        <f t="array" aca="1" ref="DS105" ca="1">IF(OR($D105&lt;&gt;"Serviço",AND(AUTOEVENTO="Manual",$M105=$A$15),$M105&gt;(ROW(PLE.lastrow)-ROW(PLE.firstrow))),0,
           IF(OFFSET(PLE!$G$15,$M105-$A$15,DS$13)="",10^12,OFFSET(PLE!$G$15,$M105-$A$15,DS$13)))</f>
        <v>1000000000000</v>
      </c>
    </row>
    <row r="106" spans="1:123" ht="25.5" x14ac:dyDescent="0.2">
      <c r="A106" s="7">
        <f t="shared" ca="1" si="13"/>
        <v>7</v>
      </c>
      <c r="B106" s="7" t="str">
        <f ca="1">OFFSET(ORÇAMENTO!C$15,$L106,0)</f>
        <v>S</v>
      </c>
      <c r="C106" s="7" t="str">
        <f ca="1">OFFSET(ORÇAMENTO!L$15,$L106,0)</f>
        <v/>
      </c>
      <c r="D106" s="116" t="str">
        <f ca="1">OFFSET(ORÇAMENTO!N$15,$L106,0)</f>
        <v>Serviço</v>
      </c>
      <c r="E106" s="117" t="str">
        <f ca="1">OFFSET(ORÇAMENTO!O$15,$L106,0)</f>
        <v>-</v>
      </c>
      <c r="F106" s="163" t="str">
        <f ca="1">OFFSET(ORÇAMENTO!R$15,$L106,0)</f>
        <v>(Código não identificado nas referências)</v>
      </c>
      <c r="G106" s="164" t="str">
        <f ca="1">IF($D106&lt;&gt;"Serviço","",OFFSET(ORÇAMENTO!S$15,$L106,0))</f>
        <v>-</v>
      </c>
      <c r="H106" s="122" cm="1">
        <f t="array" aca="1" ref="H106" ca="1">IF($D106&lt;&gt;"Serviço",0,IF(ACOMPANHAMENTO="BM",ROUND(OFFSET(ORÇAMENTO!AJ$15,$L106,0),15-13*ORÇAMENTO!$AF$7),IF(IFERROR(CÁLCULO.FrentesPreenchidas,0)=0,0,SUM(ROUND(OFFSET($P106,0,1,1,CÁLCULO.FrentesPreenchidas),15-13*ORÇAMENTO!$AF$7)))))</f>
        <v>2252.1999999999994</v>
      </c>
      <c r="I106" s="468" t="s">
        <v>1235</v>
      </c>
      <c r="J106" s="651" t="str" cm="1">
        <f t="array" aca="1" ref="J106" ca="1">IF(OR(B106&lt;&gt;"S",CÁLCULO.FrentesPreenchidas=0),"",IF(AND(ACOMPANHAMENTO="PLE",AUTOEVENTO="Manual",OR(H106&gt;0,ORÇAMENTO!AC106="QUANT."),OR(K106="",M106=0,N106="")),"►E",IF(AND(ACOMPANHAMENTO="PLE",ORÇAMENTO!AC106="QUANT."),"►Q",IF(AND(ACOMPANHAMENTO="PLE",H106&lt;&gt;SUMPRODUCT(($Q$1:$AQ$1=1)*ROUND(Q106:AQ106,15))),"►S",IF(AND(COUNTIF($P$11:$AQ$11,"▼")=0,H106&gt;0,I106=""),"◄M","")))))</f>
        <v/>
      </c>
      <c r="K106" s="652" t="s">
        <v>1255</v>
      </c>
      <c r="L106" s="165">
        <f t="shared" ca="1" si="14"/>
        <v>91</v>
      </c>
      <c r="M106" s="166">
        <f ca="1">IF($D106&lt;&gt;"Serviço","",
          IF(AUTOEVENTO="manual",$A106,
                IF(ISERROR(MATCH($A106,$A$15:OFFSET($A106,-1,0),0)),MAX($M$15:OFFSET(M106,-1,0))+1,
                      INDEX($M$15:OFFSET(M106,-1,0),MATCH($A106,$A$15:OFFSET($A106,-1,0),0)))))</f>
        <v>7</v>
      </c>
      <c r="N106" s="167" t="str">
        <f ca="1">IF($D106&lt;&gt;"Serviço","",
         IF(AUTOEVENTO="Manual",
                IF($A106=0,"&lt;-- defina o número do agrupador",
                       OFFSET(EVENTOS!$D$15,$A106-$A$15,0)),
                OFFSET($F$15,$A106,0)))</f>
        <v>REVESTIMENTOS</v>
      </c>
      <c r="O106" s="168"/>
      <c r="Q106" s="168">
        <v>112.61</v>
      </c>
      <c r="R106" s="169">
        <v>112.61</v>
      </c>
      <c r="S106" s="169">
        <v>112.61</v>
      </c>
      <c r="T106" s="169">
        <v>112.61</v>
      </c>
      <c r="U106" s="169">
        <v>112.61</v>
      </c>
      <c r="V106" s="169">
        <v>112.61</v>
      </c>
      <c r="W106" s="169">
        <v>112.61</v>
      </c>
      <c r="X106" s="169">
        <v>112.61</v>
      </c>
      <c r="Y106" s="169">
        <v>112.61</v>
      </c>
      <c r="Z106" s="170">
        <v>112.61</v>
      </c>
      <c r="AA106" s="169">
        <v>112.61</v>
      </c>
      <c r="AB106" s="169">
        <v>112.61</v>
      </c>
      <c r="AC106" s="169">
        <v>112.61</v>
      </c>
      <c r="AD106" s="169">
        <v>112.61</v>
      </c>
      <c r="AE106" s="169">
        <v>112.61</v>
      </c>
      <c r="AF106" s="169">
        <v>112.61</v>
      </c>
      <c r="AG106" s="169">
        <v>112.61</v>
      </c>
      <c r="AH106" s="170">
        <v>112.61</v>
      </c>
      <c r="AI106" s="169">
        <v>112.61</v>
      </c>
      <c r="AJ106" s="169">
        <v>112.61</v>
      </c>
      <c r="AK106" s="169"/>
      <c r="AL106" s="169"/>
      <c r="AM106" s="169"/>
      <c r="AN106" s="169"/>
      <c r="AO106" s="169"/>
      <c r="AP106" s="170"/>
      <c r="AR106" s="453">
        <f ca="1">IF(AND($D106="Serviço",AR$12&lt;&gt;0,$H106&gt;0,OR(AUTOEVENTO&lt;&gt;"manual",$M106&lt;&gt;$A$15)),
        IF(Import.TipoArredondamento&lt;&gt;"TransfereGOV",
              ROUND(OFFSET($P106,0,AR$13),15-13*ORÇAMENTO!$AF$7)/$H106*OFFSET(ORÇAMENTO!$X$15,ROW(AR106)-ROW(AR$15),0),
              ROUND(ROUND(OFFSET($P106,0,AR$13),15-13*ORÇAMENTO!$AF$7)*OFFSET(ORÇAMENTO!$W$15,ROW(AR106)-ROW(AR$15),0),15-13*ORÇAMENTO!$AF$11)),
         0)</f>
        <v>0</v>
      </c>
      <c r="AS106" s="453">
        <f ca="1">IF(AND($D106="Serviço",AS$12&lt;&gt;0,$H106&gt;0,OR(AUTOEVENTO&lt;&gt;"manual",$M106&lt;&gt;$A$15)),
        IF(Import.TipoArredondamento&lt;&gt;"TransfereGOV",
              ROUND(OFFSET($P106,0,AS$13),15-13*ORÇAMENTO!$AF$7)/$H106*OFFSET(ORÇAMENTO!$X$15,ROW(AS106)-ROW(AS$15),0),
              ROUND(ROUND(OFFSET($P106,0,AS$13),15-13*ORÇAMENTO!$AF$7)*OFFSET(ORÇAMENTO!$W$15,ROW(AS106)-ROW(AS$15),0),15-13*ORÇAMENTO!$AF$11)),
         0)</f>
        <v>0</v>
      </c>
      <c r="AT106" s="453">
        <f ca="1">IF(AND($D106="Serviço",AT$12&lt;&gt;0,$H106&gt;0,OR(AUTOEVENTO&lt;&gt;"manual",$M106&lt;&gt;$A$15)),
        IF(Import.TipoArredondamento&lt;&gt;"TransfereGOV",
              ROUND(OFFSET($P106,0,AT$13),15-13*ORÇAMENTO!$AF$7)/$H106*OFFSET(ORÇAMENTO!$X$15,ROW(AT106)-ROW(AT$15),0),
              ROUND(ROUND(OFFSET($P106,0,AT$13),15-13*ORÇAMENTO!$AF$7)*OFFSET(ORÇAMENTO!$W$15,ROW(AT106)-ROW(AT$15),0),15-13*ORÇAMENTO!$AF$11)),
         0)</f>
        <v>0</v>
      </c>
      <c r="AU106" s="453">
        <f ca="1">IF(AND($D106="Serviço",AU$12&lt;&gt;0,$H106&gt;0,OR(AUTOEVENTO&lt;&gt;"manual",$M106&lt;&gt;$A$15)),
        IF(Import.TipoArredondamento&lt;&gt;"TransfereGOV",
              ROUND(OFFSET($P106,0,AU$13),15-13*ORÇAMENTO!$AF$7)/$H106*OFFSET(ORÇAMENTO!$X$15,ROW(AU106)-ROW(AU$15),0),
              ROUND(ROUND(OFFSET($P106,0,AU$13),15-13*ORÇAMENTO!$AF$7)*OFFSET(ORÇAMENTO!$W$15,ROW(AU106)-ROW(AU$15),0),15-13*ORÇAMENTO!$AF$11)),
         0)</f>
        <v>0</v>
      </c>
      <c r="AV106" s="453">
        <f ca="1">IF(AND($D106="Serviço",AV$12&lt;&gt;0,$H106&gt;0,OR(AUTOEVENTO&lt;&gt;"manual",$M106&lt;&gt;$A$15)),
        IF(Import.TipoArredondamento&lt;&gt;"TransfereGOV",
              ROUND(OFFSET($P106,0,AV$13),15-13*ORÇAMENTO!$AF$7)/$H106*OFFSET(ORÇAMENTO!$X$15,ROW(AV106)-ROW(AV$15),0),
              ROUND(ROUND(OFFSET($P106,0,AV$13),15-13*ORÇAMENTO!$AF$7)*OFFSET(ORÇAMENTO!$W$15,ROW(AV106)-ROW(AV$15),0),15-13*ORÇAMENTO!$AF$11)),
         0)</f>
        <v>0</v>
      </c>
      <c r="AW106" s="453">
        <f ca="1">IF(AND($D106="Serviço",AW$12&lt;&gt;0,$H106&gt;0,OR(AUTOEVENTO&lt;&gt;"manual",$M106&lt;&gt;$A$15)),
        IF(Import.TipoArredondamento&lt;&gt;"TransfereGOV",
              ROUND(OFFSET($P106,0,AW$13),15-13*ORÇAMENTO!$AF$7)/$H106*OFFSET(ORÇAMENTO!$X$15,ROW(AW106)-ROW(AW$15),0),
              ROUND(ROUND(OFFSET($P106,0,AW$13),15-13*ORÇAMENTO!$AF$7)*OFFSET(ORÇAMENTO!$W$15,ROW(AW106)-ROW(AW$15),0),15-13*ORÇAMENTO!$AF$11)),
         0)</f>
        <v>0</v>
      </c>
      <c r="AX106" s="453">
        <f ca="1">IF(AND($D106="Serviço",AX$12&lt;&gt;0,$H106&gt;0,OR(AUTOEVENTO&lt;&gt;"manual",$M106&lt;&gt;$A$15)),
        IF(Import.TipoArredondamento&lt;&gt;"TransfereGOV",
              ROUND(OFFSET($P106,0,AX$13),15-13*ORÇAMENTO!$AF$7)/$H106*OFFSET(ORÇAMENTO!$X$15,ROW(AX106)-ROW(AX$15),0),
              ROUND(ROUND(OFFSET($P106,0,AX$13),15-13*ORÇAMENTO!$AF$7)*OFFSET(ORÇAMENTO!$W$15,ROW(AX106)-ROW(AX$15),0),15-13*ORÇAMENTO!$AF$11)),
         0)</f>
        <v>0</v>
      </c>
      <c r="AY106" s="453">
        <f ca="1">IF(AND($D106="Serviço",AY$12&lt;&gt;0,$H106&gt;0,OR(AUTOEVENTO&lt;&gt;"manual",$M106&lt;&gt;$A$15)),
        IF(Import.TipoArredondamento&lt;&gt;"TransfereGOV",
              ROUND(OFFSET($P106,0,AY$13),15-13*ORÇAMENTO!$AF$7)/$H106*OFFSET(ORÇAMENTO!$X$15,ROW(AY106)-ROW(AY$15),0),
              ROUND(ROUND(OFFSET($P106,0,AY$13),15-13*ORÇAMENTO!$AF$7)*OFFSET(ORÇAMENTO!$W$15,ROW(AY106)-ROW(AY$15),0),15-13*ORÇAMENTO!$AF$11)),
         0)</f>
        <v>0</v>
      </c>
      <c r="AZ106" s="453">
        <f ca="1">IF(AND($D106="Serviço",AZ$12&lt;&gt;0,$H106&gt;0,OR(AUTOEVENTO&lt;&gt;"manual",$M106&lt;&gt;$A$15)),
        IF(Import.TipoArredondamento&lt;&gt;"TransfereGOV",
              ROUND(OFFSET($P106,0,AZ$13),15-13*ORÇAMENTO!$AF$7)/$H106*OFFSET(ORÇAMENTO!$X$15,ROW(AZ106)-ROW(AZ$15),0),
              ROUND(ROUND(OFFSET($P106,0,AZ$13),15-13*ORÇAMENTO!$AF$7)*OFFSET(ORÇAMENTO!$W$15,ROW(AZ106)-ROW(AZ$15),0),15-13*ORÇAMENTO!$AF$11)),
         0)</f>
        <v>0</v>
      </c>
      <c r="BA106" s="453">
        <f ca="1">IF(AND($D106="Serviço",BA$12&lt;&gt;0,$H106&gt;0,OR(AUTOEVENTO&lt;&gt;"manual",$M106&lt;&gt;$A$15)),
        IF(Import.TipoArredondamento&lt;&gt;"TransfereGOV",
              ROUND(OFFSET($P106,0,BA$13),15-13*ORÇAMENTO!$AF$7)/$H106*OFFSET(ORÇAMENTO!$X$15,ROW(BA106)-ROW(BA$15),0),
              ROUND(ROUND(OFFSET($P106,0,BA$13),15-13*ORÇAMENTO!$AF$7)*OFFSET(ORÇAMENTO!$W$15,ROW(BA106)-ROW(BA$15),0),15-13*ORÇAMENTO!$AF$11)),
         0)</f>
        <v>0</v>
      </c>
      <c r="BB106" s="453">
        <f ca="1">IF(AND($D106="Serviço",BB$12&lt;&gt;0,$H106&gt;0,OR(AUTOEVENTO&lt;&gt;"manual",$M106&lt;&gt;$A$15)),
        IF(Import.TipoArredondamento&lt;&gt;"TransfereGOV",
              ROUND(OFFSET($P106,0,BB$13),15-13*ORÇAMENTO!$AF$7)/$H106*OFFSET(ORÇAMENTO!$X$15,ROW(BB106)-ROW(BB$15),0),
              ROUND(ROUND(OFFSET($P106,0,BB$13),15-13*ORÇAMENTO!$AF$7)*OFFSET(ORÇAMENTO!$W$15,ROW(BB106)-ROW(BB$15),0),15-13*ORÇAMENTO!$AF$11)),
         0)</f>
        <v>0</v>
      </c>
      <c r="BC106" s="453">
        <f ca="1">IF(AND($D106="Serviço",BC$12&lt;&gt;0,$H106&gt;0,OR(AUTOEVENTO&lt;&gt;"manual",$M106&lt;&gt;$A$15)),
        IF(Import.TipoArredondamento&lt;&gt;"TransfereGOV",
              ROUND(OFFSET($P106,0,BC$13),15-13*ORÇAMENTO!$AF$7)/$H106*OFFSET(ORÇAMENTO!$X$15,ROW(BC106)-ROW(BC$15),0),
              ROUND(ROUND(OFFSET($P106,0,BC$13),15-13*ORÇAMENTO!$AF$7)*OFFSET(ORÇAMENTO!$W$15,ROW(BC106)-ROW(BC$15),0),15-13*ORÇAMENTO!$AF$11)),
         0)</f>
        <v>0</v>
      </c>
      <c r="BD106" s="453">
        <f ca="1">IF(AND($D106="Serviço",BD$12&lt;&gt;0,$H106&gt;0,OR(AUTOEVENTO&lt;&gt;"manual",$M106&lt;&gt;$A$15)),
        IF(Import.TipoArredondamento&lt;&gt;"TransfereGOV",
              ROUND(OFFSET($P106,0,BD$13),15-13*ORÇAMENTO!$AF$7)/$H106*OFFSET(ORÇAMENTO!$X$15,ROW(BD106)-ROW(BD$15),0),
              ROUND(ROUND(OFFSET($P106,0,BD$13),15-13*ORÇAMENTO!$AF$7)*OFFSET(ORÇAMENTO!$W$15,ROW(BD106)-ROW(BD$15),0),15-13*ORÇAMENTO!$AF$11)),
         0)</f>
        <v>0</v>
      </c>
      <c r="BE106" s="453">
        <f ca="1">IF(AND($D106="Serviço",BE$12&lt;&gt;0,$H106&gt;0,OR(AUTOEVENTO&lt;&gt;"manual",$M106&lt;&gt;$A$15)),
        IF(Import.TipoArredondamento&lt;&gt;"TransfereGOV",
              ROUND(OFFSET($P106,0,BE$13),15-13*ORÇAMENTO!$AF$7)/$H106*OFFSET(ORÇAMENTO!$X$15,ROW(BE106)-ROW(BE$15),0),
              ROUND(ROUND(OFFSET($P106,0,BE$13),15-13*ORÇAMENTO!$AF$7)*OFFSET(ORÇAMENTO!$W$15,ROW(BE106)-ROW(BE$15),0),15-13*ORÇAMENTO!$AF$11)),
         0)</f>
        <v>0</v>
      </c>
      <c r="BF106" s="453">
        <f ca="1">IF(AND($D106="Serviço",BF$12&lt;&gt;0,$H106&gt;0,OR(AUTOEVENTO&lt;&gt;"manual",$M106&lt;&gt;$A$15)),
        IF(Import.TipoArredondamento&lt;&gt;"TransfereGOV",
              ROUND(OFFSET($P106,0,BF$13),15-13*ORÇAMENTO!$AF$7)/$H106*OFFSET(ORÇAMENTO!$X$15,ROW(BF106)-ROW(BF$15),0),
              ROUND(ROUND(OFFSET($P106,0,BF$13),15-13*ORÇAMENTO!$AF$7)*OFFSET(ORÇAMENTO!$W$15,ROW(BF106)-ROW(BF$15),0),15-13*ORÇAMENTO!$AF$11)),
         0)</f>
        <v>0</v>
      </c>
      <c r="BG106" s="453">
        <f ca="1">IF(AND($D106="Serviço",BG$12&lt;&gt;0,$H106&gt;0,OR(AUTOEVENTO&lt;&gt;"manual",$M106&lt;&gt;$A$15)),
        IF(Import.TipoArredondamento&lt;&gt;"TransfereGOV",
              ROUND(OFFSET($P106,0,BG$13),15-13*ORÇAMENTO!$AF$7)/$H106*OFFSET(ORÇAMENTO!$X$15,ROW(BG106)-ROW(BG$15),0),
              ROUND(ROUND(OFFSET($P106,0,BG$13),15-13*ORÇAMENTO!$AF$7)*OFFSET(ORÇAMENTO!$W$15,ROW(BG106)-ROW(BG$15),0),15-13*ORÇAMENTO!$AF$11)),
         0)</f>
        <v>0</v>
      </c>
      <c r="BH106" s="453">
        <f ca="1">IF(AND($D106="Serviço",BH$12&lt;&gt;0,$H106&gt;0,OR(AUTOEVENTO&lt;&gt;"manual",$M106&lt;&gt;$A$15)),
        IF(Import.TipoArredondamento&lt;&gt;"TransfereGOV",
              ROUND(OFFSET($P106,0,BH$13),15-13*ORÇAMENTO!$AF$7)/$H106*OFFSET(ORÇAMENTO!$X$15,ROW(BH106)-ROW(BH$15),0),
              ROUND(ROUND(OFFSET($P106,0,BH$13),15-13*ORÇAMENTO!$AF$7)*OFFSET(ORÇAMENTO!$W$15,ROW(BH106)-ROW(BH$15),0),15-13*ORÇAMENTO!$AF$11)),
         0)</f>
        <v>0</v>
      </c>
      <c r="BI106" s="453">
        <f ca="1">IF(AND($D106="Serviço",BI$12&lt;&gt;0,$H106&gt;0,OR(AUTOEVENTO&lt;&gt;"manual",$M106&lt;&gt;$A$15)),
        IF(Import.TipoArredondamento&lt;&gt;"TransfereGOV",
              ROUND(OFFSET($P106,0,BI$13),15-13*ORÇAMENTO!$AF$7)/$H106*OFFSET(ORÇAMENTO!$X$15,ROW(BI106)-ROW(BI$15),0),
              ROUND(ROUND(OFFSET($P106,0,BI$13),15-13*ORÇAMENTO!$AF$7)*OFFSET(ORÇAMENTO!$W$15,ROW(BI106)-ROW(BI$15),0),15-13*ORÇAMENTO!$AF$11)),
         0)</f>
        <v>0</v>
      </c>
      <c r="BJ106" s="453">
        <f ca="1">IF(AND($D106="Serviço",BJ$12&lt;&gt;0,$H106&gt;0,OR(AUTOEVENTO&lt;&gt;"manual",$M106&lt;&gt;$A$15)),
        IF(Import.TipoArredondamento&lt;&gt;"TransfereGOV",
              ROUND(OFFSET($P106,0,BJ$13),15-13*ORÇAMENTO!$AF$7)/$H106*OFFSET(ORÇAMENTO!$X$15,ROW(BJ106)-ROW(BJ$15),0),
              ROUND(ROUND(OFFSET($P106,0,BJ$13),15-13*ORÇAMENTO!$AF$7)*OFFSET(ORÇAMENTO!$W$15,ROW(BJ106)-ROW(BJ$15),0),15-13*ORÇAMENTO!$AF$11)),
         0)</f>
        <v>0</v>
      </c>
      <c r="BK106" s="453">
        <f ca="1">IF(AND($D106="Serviço",BK$12&lt;&gt;0,$H106&gt;0,OR(AUTOEVENTO&lt;&gt;"manual",$M106&lt;&gt;$A$15)),
        IF(Import.TipoArredondamento&lt;&gt;"TransfereGOV",
              ROUND(OFFSET($P106,0,BK$13),15-13*ORÇAMENTO!$AF$7)/$H106*OFFSET(ORÇAMENTO!$X$15,ROW(BK106)-ROW(BK$15),0),
              ROUND(ROUND(OFFSET($P106,0,BK$13),15-13*ORÇAMENTO!$AF$7)*OFFSET(ORÇAMENTO!$W$15,ROW(BK106)-ROW(BK$15),0),15-13*ORÇAMENTO!$AF$11)),
         0)</f>
        <v>0</v>
      </c>
      <c r="BL106" s="453">
        <f ca="1">IF(AND($D106="Serviço",BL$12&lt;&gt;0,$H106&gt;0,OR(AUTOEVENTO&lt;&gt;"manual",$M106&lt;&gt;$A$15)),
        IF(Import.TipoArredondamento&lt;&gt;"TransfereGOV",
              ROUND(OFFSET($P106,0,BL$13),15-13*ORÇAMENTO!$AF$7)/$H106*OFFSET(ORÇAMENTO!$X$15,ROW(BL106)-ROW(BL$15),0),
              ROUND(ROUND(OFFSET($P106,0,BL$13),15-13*ORÇAMENTO!$AF$7)*OFFSET(ORÇAMENTO!$W$15,ROW(BL106)-ROW(BL$15),0),15-13*ORÇAMENTO!$AF$11)),
         0)</f>
        <v>0</v>
      </c>
      <c r="BM106" s="453">
        <f ca="1">IF(AND($D106="Serviço",BM$12&lt;&gt;0,$H106&gt;0,OR(AUTOEVENTO&lt;&gt;"manual",$M106&lt;&gt;$A$15)),
        IF(Import.TipoArredondamento&lt;&gt;"TransfereGOV",
              ROUND(OFFSET($P106,0,BM$13),15-13*ORÇAMENTO!$AF$7)/$H106*OFFSET(ORÇAMENTO!$X$15,ROW(BM106)-ROW(BM$15),0),
              ROUND(ROUND(OFFSET($P106,0,BM$13),15-13*ORÇAMENTO!$AF$7)*OFFSET(ORÇAMENTO!$W$15,ROW(BM106)-ROW(BM$15),0),15-13*ORÇAMENTO!$AF$11)),
         0)</f>
        <v>0</v>
      </c>
      <c r="BN106" s="453">
        <f ca="1">IF(AND($D106="Serviço",BN$12&lt;&gt;0,$H106&gt;0,OR(AUTOEVENTO&lt;&gt;"manual",$M106&lt;&gt;$A$15)),
        IF(Import.TipoArredondamento&lt;&gt;"TransfereGOV",
              ROUND(OFFSET($P106,0,BN$13),15-13*ORÇAMENTO!$AF$7)/$H106*OFFSET(ORÇAMENTO!$X$15,ROW(BN106)-ROW(BN$15),0),
              ROUND(ROUND(OFFSET($P106,0,BN$13),15-13*ORÇAMENTO!$AF$7)*OFFSET(ORÇAMENTO!$W$15,ROW(BN106)-ROW(BN$15),0),15-13*ORÇAMENTO!$AF$11)),
         0)</f>
        <v>0</v>
      </c>
      <c r="BO106" s="453">
        <f ca="1">IF(AND($D106="Serviço",BO$12&lt;&gt;0,$H106&gt;0,OR(AUTOEVENTO&lt;&gt;"manual",$M106&lt;&gt;$A$15)),
        IF(Import.TipoArredondamento&lt;&gt;"TransfereGOV",
              ROUND(OFFSET($P106,0,BO$13),15-13*ORÇAMENTO!$AF$7)/$H106*OFFSET(ORÇAMENTO!$X$15,ROW(BO106)-ROW(BO$15),0),
              ROUND(ROUND(OFFSET($P106,0,BO$13),15-13*ORÇAMENTO!$AF$7)*OFFSET(ORÇAMENTO!$W$15,ROW(BO106)-ROW(BO$15),0),15-13*ORÇAMENTO!$AF$11)),
         0)</f>
        <v>0</v>
      </c>
      <c r="BP106" s="453">
        <f ca="1">IF(AND($D106="Serviço",BP$12&lt;&gt;0,$H106&gt;0,OR(AUTOEVENTO&lt;&gt;"manual",$M106&lt;&gt;$A$15)),
        IF(Import.TipoArredondamento&lt;&gt;"TransfereGOV",
              ROUND(OFFSET($P106,0,BP$13),15-13*ORÇAMENTO!$AF$7)/$H106*OFFSET(ORÇAMENTO!$X$15,ROW(BP106)-ROW(BP$15),0),
              ROUND(ROUND(OFFSET($P106,0,BP$13),15-13*ORÇAMENTO!$AF$7)*OFFSET(ORÇAMENTO!$W$15,ROW(BP106)-ROW(BP$15),0),15-13*ORÇAMENTO!$AF$11)),
         0)</f>
        <v>0</v>
      </c>
      <c r="BQ106" s="453">
        <f ca="1">IF(AND($D106="Serviço",BQ$12&lt;&gt;0,$H106&gt;0,OR(AUTOEVENTO&lt;&gt;"manual",$M106&lt;&gt;$A$15)),
        IF(Import.TipoArredondamento&lt;&gt;"TransfereGOV",
              ROUND(OFFSET($P106,0,BQ$13),15-13*ORÇAMENTO!$AF$7)/$H106*OFFSET(ORÇAMENTO!$X$15,ROW(BQ106)-ROW(BQ$15),0),
              ROUND(ROUND(OFFSET($P106,0,BQ$13),15-13*ORÇAMENTO!$AF$7)*OFFSET(ORÇAMENTO!$W$15,ROW(BQ106)-ROW(BQ$15),0),15-13*ORÇAMENTO!$AF$11)),
         0)</f>
        <v>0</v>
      </c>
      <c r="BS106" s="171">
        <f ca="1">IF(OR($D106&lt;&gt;"Serviço",AND(AUTOEVENTO="Manual",$M106=$A$15)),0,
         IF(OFFSET(CRONOPLE!$F$15,$M106-$A$15,BS$13)=0,10^12,OFFSET(CRONOPLE!$F$15,$M106-$A$15,BS$13)))</f>
        <v>1</v>
      </c>
      <c r="BT106" s="171">
        <f ca="1">IF(OR($D106&lt;&gt;"Serviço",AND(AUTOEVENTO="Manual",$M106=$A$15)),0,
         IF(OFFSET(CRONOPLE!$F$15,$M106-$A$15,BT$13)=0,10^12,OFFSET(CRONOPLE!$F$15,$M106-$A$15,BT$13)))</f>
        <v>2</v>
      </c>
      <c r="BU106" s="171">
        <f ca="1">IF(OR($D106&lt;&gt;"Serviço",AND(AUTOEVENTO="Manual",$M106=$A$15)),0,
         IF(OFFSET(CRONOPLE!$F$15,$M106-$A$15,BU$13)=0,10^12,OFFSET(CRONOPLE!$F$15,$M106-$A$15,BU$13)))</f>
        <v>3</v>
      </c>
      <c r="BV106" s="171">
        <f ca="1">IF(OR($D106&lt;&gt;"Serviço",AND(AUTOEVENTO="Manual",$M106=$A$15)),0,
         IF(OFFSET(CRONOPLE!$F$15,$M106-$A$15,BV$13)=0,10^12,OFFSET(CRONOPLE!$F$15,$M106-$A$15,BV$13)))</f>
        <v>4</v>
      </c>
      <c r="BW106" s="171">
        <f ca="1">IF(OR($D106&lt;&gt;"Serviço",AND(AUTOEVENTO="Manual",$M106=$A$15)),0,
         IF(OFFSET(CRONOPLE!$F$15,$M106-$A$15,BW$13)=0,10^12,OFFSET(CRONOPLE!$F$15,$M106-$A$15,BW$13)))</f>
        <v>5</v>
      </c>
      <c r="BX106" s="171">
        <f ca="1">IF(OR($D106&lt;&gt;"Serviço",AND(AUTOEVENTO="Manual",$M106=$A$15)),0,
         IF(OFFSET(CRONOPLE!$F$15,$M106-$A$15,BX$13)=0,10^12,OFFSET(CRONOPLE!$F$15,$M106-$A$15,BX$13)))</f>
        <v>6</v>
      </c>
      <c r="BY106" s="171">
        <f ca="1">IF(OR($D106&lt;&gt;"Serviço",AND(AUTOEVENTO="Manual",$M106=$A$15)),0,
         IF(OFFSET(CRONOPLE!$F$15,$M106-$A$15,BY$13)=0,10^12,OFFSET(CRONOPLE!$F$15,$M106-$A$15,BY$13)))</f>
        <v>7</v>
      </c>
      <c r="BZ106" s="171">
        <f ca="1">IF(OR($D106&lt;&gt;"Serviço",AND(AUTOEVENTO="Manual",$M106=$A$15)),0,
         IF(OFFSET(CRONOPLE!$F$15,$M106-$A$15,BZ$13)=0,10^12,OFFSET(CRONOPLE!$F$15,$M106-$A$15,BZ$13)))</f>
        <v>8</v>
      </c>
      <c r="CA106" s="171">
        <f ca="1">IF(OR($D106&lt;&gt;"Serviço",AND(AUTOEVENTO="Manual",$M106=$A$15)),0,
         IF(OFFSET(CRONOPLE!$F$15,$M106-$A$15,CA$13)=0,10^12,OFFSET(CRONOPLE!$F$15,$M106-$A$15,CA$13)))</f>
        <v>9</v>
      </c>
      <c r="CB106" s="171">
        <f ca="1">IF(OR($D106&lt;&gt;"Serviço",AND(AUTOEVENTO="Manual",$M106=$A$15)),0,
         IF(OFFSET(CRONOPLE!$F$15,$M106-$A$15,CB$13)=0,10^12,OFFSET(CRONOPLE!$F$15,$M106-$A$15,CB$13)))</f>
        <v>10</v>
      </c>
      <c r="CC106" s="171">
        <f ca="1">IF(OR($D106&lt;&gt;"Serviço",AND(AUTOEVENTO="Manual",$M106=$A$15)),0,
         IF(OFFSET(CRONOPLE!$F$15,$M106-$A$15,CC$13)=0,10^12,OFFSET(CRONOPLE!$F$15,$M106-$A$15,CC$13)))</f>
        <v>11</v>
      </c>
      <c r="CD106" s="171">
        <f ca="1">IF(OR($D106&lt;&gt;"Serviço",AND(AUTOEVENTO="Manual",$M106=$A$15)),0,
         IF(OFFSET(CRONOPLE!$F$15,$M106-$A$15,CD$13)=0,10^12,OFFSET(CRONOPLE!$F$15,$M106-$A$15,CD$13)))</f>
        <v>12</v>
      </c>
      <c r="CE106" s="171">
        <f ca="1">IF(OR($D106&lt;&gt;"Serviço",AND(AUTOEVENTO="Manual",$M106=$A$15)),0,
         IF(OFFSET(CRONOPLE!$F$15,$M106-$A$15,CE$13)=0,10^12,OFFSET(CRONOPLE!$F$15,$M106-$A$15,CE$13)))</f>
        <v>13</v>
      </c>
      <c r="CF106" s="171">
        <f ca="1">IF(OR($D106&lt;&gt;"Serviço",AND(AUTOEVENTO="Manual",$M106=$A$15)),0,
         IF(OFFSET(CRONOPLE!$F$15,$M106-$A$15,CF$13)=0,10^12,OFFSET(CRONOPLE!$F$15,$M106-$A$15,CF$13)))</f>
        <v>14</v>
      </c>
      <c r="CG106" s="171">
        <f ca="1">IF(OR($D106&lt;&gt;"Serviço",AND(AUTOEVENTO="Manual",$M106=$A$15)),0,
         IF(OFFSET(CRONOPLE!$F$15,$M106-$A$15,CG$13)=0,10^12,OFFSET(CRONOPLE!$F$15,$M106-$A$15,CG$13)))</f>
        <v>15</v>
      </c>
      <c r="CH106" s="171">
        <f ca="1">IF(OR($D106&lt;&gt;"Serviço",AND(AUTOEVENTO="Manual",$M106=$A$15)),0,
         IF(OFFSET(CRONOPLE!$F$15,$M106-$A$15,CH$13)=0,10^12,OFFSET(CRONOPLE!$F$15,$M106-$A$15,CH$13)))</f>
        <v>16</v>
      </c>
      <c r="CI106" s="171">
        <f ca="1">IF(OR($D106&lt;&gt;"Serviço",AND(AUTOEVENTO="Manual",$M106=$A$15)),0,
         IF(OFFSET(CRONOPLE!$F$15,$M106-$A$15,CI$13)=0,10^12,OFFSET(CRONOPLE!$F$15,$M106-$A$15,CI$13)))</f>
        <v>17</v>
      </c>
      <c r="CJ106" s="171">
        <f ca="1">IF(OR($D106&lt;&gt;"Serviço",AND(AUTOEVENTO="Manual",$M106=$A$15)),0,
         IF(OFFSET(CRONOPLE!$F$15,$M106-$A$15,CJ$13)=0,10^12,OFFSET(CRONOPLE!$F$15,$M106-$A$15,CJ$13)))</f>
        <v>18</v>
      </c>
      <c r="CK106" s="171">
        <f ca="1">IF(OR($D106&lt;&gt;"Serviço",AND(AUTOEVENTO="Manual",$M106=$A$15)),0,
         IF(OFFSET(CRONOPLE!$F$15,$M106-$A$15,CK$13)=0,10^12,OFFSET(CRONOPLE!$F$15,$M106-$A$15,CK$13)))</f>
        <v>19</v>
      </c>
      <c r="CL106" s="171">
        <f ca="1">IF(OR($D106&lt;&gt;"Serviço",AND(AUTOEVENTO="Manual",$M106=$A$15)),0,
         IF(OFFSET(CRONOPLE!$F$15,$M106-$A$15,CL$13)=0,10^12,OFFSET(CRONOPLE!$F$15,$M106-$A$15,CL$13)))</f>
        <v>20</v>
      </c>
      <c r="CM106" s="171">
        <f ca="1">IF(OR($D106&lt;&gt;"Serviço",AND(AUTOEVENTO="Manual",$M106=$A$15)),0,
         IF(OFFSET(CRONOPLE!$F$15,$M106-$A$15,CM$13)=0,10^12,OFFSET(CRONOPLE!$F$15,$M106-$A$15,CM$13)))</f>
        <v>1000000000000</v>
      </c>
      <c r="CN106" s="171">
        <f ca="1">IF(OR($D106&lt;&gt;"Serviço",AND(AUTOEVENTO="Manual",$M106=$A$15)),0,
         IF(OFFSET(CRONOPLE!$F$15,$M106-$A$15,CN$13)=0,10^12,OFFSET(CRONOPLE!$F$15,$M106-$A$15,CN$13)))</f>
        <v>1000000000000</v>
      </c>
      <c r="CO106" s="171">
        <f ca="1">IF(OR($D106&lt;&gt;"Serviço",AND(AUTOEVENTO="Manual",$M106=$A$15)),0,
         IF(OFFSET(CRONOPLE!$F$15,$M106-$A$15,CO$13)=0,10^12,OFFSET(CRONOPLE!$F$15,$M106-$A$15,CO$13)))</f>
        <v>1000000000000</v>
      </c>
      <c r="CP106" s="171">
        <f ca="1">IF(OR($D106&lt;&gt;"Serviço",AND(AUTOEVENTO="Manual",$M106=$A$15)),0,
         IF(OFFSET(CRONOPLE!$F$15,$M106-$A$15,CP$13)=0,10^12,OFFSET(CRONOPLE!$F$15,$M106-$A$15,CP$13)))</f>
        <v>1000000000000</v>
      </c>
      <c r="CQ106" s="171">
        <f ca="1">IF(OR($D106&lt;&gt;"Serviço",AND(AUTOEVENTO="Manual",$M106=$A$15)),0,
         IF(OFFSET(CRONOPLE!$F$15,$M106-$A$15,CQ$13)=0,10^12,OFFSET(CRONOPLE!$F$15,$M106-$A$15,CQ$13)))</f>
        <v>1000000000000</v>
      </c>
      <c r="CR106" s="171">
        <f ca="1">IF(OR($D106&lt;&gt;"Serviço",AND(AUTOEVENTO="Manual",$M106=$A$15)),0,
         IF(OFFSET(CRONOPLE!$F$15,$M106-$A$15,CR$13)=0,10^12,OFFSET(CRONOPLE!$F$15,$M106-$A$15,CR$13)))</f>
        <v>1000000000000</v>
      </c>
      <c r="CT106" s="172" cm="1">
        <f t="array" aca="1" ref="CT106" ca="1">IF(OR($D106&lt;&gt;"Serviço",AND(AUTOEVENTO="Manual",$M106=$A$15),$M106&gt;(ROW(PLE.lastrow)-ROW(PLE.firstrow))),0,
           IF(OFFSET(PLE!$G$15,$M106-$A$15,CT$13)="",10^12,OFFSET(PLE!$G$15,$M106-$A$15,CT$13)))</f>
        <v>1000000000000</v>
      </c>
      <c r="CU106" s="172" cm="1">
        <f t="array" aca="1" ref="CU106" ca="1">IF(OR($D106&lt;&gt;"Serviço",AND(AUTOEVENTO="Manual",$M106=$A$15),$M106&gt;(ROW(PLE.lastrow)-ROW(PLE.firstrow))),0,
           IF(OFFSET(PLE!$G$15,$M106-$A$15,CU$13)="",10^12,OFFSET(PLE!$G$15,$M106-$A$15,CU$13)))</f>
        <v>1000000000000</v>
      </c>
      <c r="CV106" s="172" cm="1">
        <f t="array" aca="1" ref="CV106" ca="1">IF(OR($D106&lt;&gt;"Serviço",AND(AUTOEVENTO="Manual",$M106=$A$15),$M106&gt;(ROW(PLE.lastrow)-ROW(PLE.firstrow))),0,
           IF(OFFSET(PLE!$G$15,$M106-$A$15,CV$13)="",10^12,OFFSET(PLE!$G$15,$M106-$A$15,CV$13)))</f>
        <v>1000000000000</v>
      </c>
      <c r="CW106" s="172" cm="1">
        <f t="array" aca="1" ref="CW106" ca="1">IF(OR($D106&lt;&gt;"Serviço",AND(AUTOEVENTO="Manual",$M106=$A$15),$M106&gt;(ROW(PLE.lastrow)-ROW(PLE.firstrow))),0,
           IF(OFFSET(PLE!$G$15,$M106-$A$15,CW$13)="",10^12,OFFSET(PLE!$G$15,$M106-$A$15,CW$13)))</f>
        <v>1000000000000</v>
      </c>
      <c r="CX106" s="172" cm="1">
        <f t="array" aca="1" ref="CX106" ca="1">IF(OR($D106&lt;&gt;"Serviço",AND(AUTOEVENTO="Manual",$M106=$A$15),$M106&gt;(ROW(PLE.lastrow)-ROW(PLE.firstrow))),0,
           IF(OFFSET(PLE!$G$15,$M106-$A$15,CX$13)="",10^12,OFFSET(PLE!$G$15,$M106-$A$15,CX$13)))</f>
        <v>1000000000000</v>
      </c>
      <c r="CY106" s="172" cm="1">
        <f t="array" aca="1" ref="CY106" ca="1">IF(OR($D106&lt;&gt;"Serviço",AND(AUTOEVENTO="Manual",$M106=$A$15),$M106&gt;(ROW(PLE.lastrow)-ROW(PLE.firstrow))),0,
           IF(OFFSET(PLE!$G$15,$M106-$A$15,CY$13)="",10^12,OFFSET(PLE!$G$15,$M106-$A$15,CY$13)))</f>
        <v>1000000000000</v>
      </c>
      <c r="CZ106" s="172" cm="1">
        <f t="array" aca="1" ref="CZ106" ca="1">IF(OR($D106&lt;&gt;"Serviço",AND(AUTOEVENTO="Manual",$M106=$A$15),$M106&gt;(ROW(PLE.lastrow)-ROW(PLE.firstrow))),0,
           IF(OFFSET(PLE!$G$15,$M106-$A$15,CZ$13)="",10^12,OFFSET(PLE!$G$15,$M106-$A$15,CZ$13)))</f>
        <v>1000000000000</v>
      </c>
      <c r="DA106" s="172" cm="1">
        <f t="array" aca="1" ref="DA106" ca="1">IF(OR($D106&lt;&gt;"Serviço",AND(AUTOEVENTO="Manual",$M106=$A$15),$M106&gt;(ROW(PLE.lastrow)-ROW(PLE.firstrow))),0,
           IF(OFFSET(PLE!$G$15,$M106-$A$15,DA$13)="",10^12,OFFSET(PLE!$G$15,$M106-$A$15,DA$13)))</f>
        <v>1000000000000</v>
      </c>
      <c r="DB106" s="172" cm="1">
        <f t="array" aca="1" ref="DB106" ca="1">IF(OR($D106&lt;&gt;"Serviço",AND(AUTOEVENTO="Manual",$M106=$A$15),$M106&gt;(ROW(PLE.lastrow)-ROW(PLE.firstrow))),0,
           IF(OFFSET(PLE!$G$15,$M106-$A$15,DB$13)="",10^12,OFFSET(PLE!$G$15,$M106-$A$15,DB$13)))</f>
        <v>1000000000000</v>
      </c>
      <c r="DC106" s="172" cm="1">
        <f t="array" aca="1" ref="DC106" ca="1">IF(OR($D106&lt;&gt;"Serviço",AND(AUTOEVENTO="Manual",$M106=$A$15),$M106&gt;(ROW(PLE.lastrow)-ROW(PLE.firstrow))),0,
           IF(OFFSET(PLE!$G$15,$M106-$A$15,DC$13)="",10^12,OFFSET(PLE!$G$15,$M106-$A$15,DC$13)))</f>
        <v>1000000000000</v>
      </c>
      <c r="DD106" s="172" cm="1">
        <f t="array" aca="1" ref="DD106" ca="1">IF(OR($D106&lt;&gt;"Serviço",AND(AUTOEVENTO="Manual",$M106=$A$15),$M106&gt;(ROW(PLE.lastrow)-ROW(PLE.firstrow))),0,
           IF(OFFSET(PLE!$G$15,$M106-$A$15,DD$13)="",10^12,OFFSET(PLE!$G$15,$M106-$A$15,DD$13)))</f>
        <v>1000000000000</v>
      </c>
      <c r="DE106" s="172" cm="1">
        <f t="array" aca="1" ref="DE106" ca="1">IF(OR($D106&lt;&gt;"Serviço",AND(AUTOEVENTO="Manual",$M106=$A$15),$M106&gt;(ROW(PLE.lastrow)-ROW(PLE.firstrow))),0,
           IF(OFFSET(PLE!$G$15,$M106-$A$15,DE$13)="",10^12,OFFSET(PLE!$G$15,$M106-$A$15,DE$13)))</f>
        <v>1000000000000</v>
      </c>
      <c r="DF106" s="172" cm="1">
        <f t="array" aca="1" ref="DF106" ca="1">IF(OR($D106&lt;&gt;"Serviço",AND(AUTOEVENTO="Manual",$M106=$A$15),$M106&gt;(ROW(PLE.lastrow)-ROW(PLE.firstrow))),0,
           IF(OFFSET(PLE!$G$15,$M106-$A$15,DF$13)="",10^12,OFFSET(PLE!$G$15,$M106-$A$15,DF$13)))</f>
        <v>1000000000000</v>
      </c>
      <c r="DG106" s="172" cm="1">
        <f t="array" aca="1" ref="DG106" ca="1">IF(OR($D106&lt;&gt;"Serviço",AND(AUTOEVENTO="Manual",$M106=$A$15),$M106&gt;(ROW(PLE.lastrow)-ROW(PLE.firstrow))),0,
           IF(OFFSET(PLE!$G$15,$M106-$A$15,DG$13)="",10^12,OFFSET(PLE!$G$15,$M106-$A$15,DG$13)))</f>
        <v>1000000000000</v>
      </c>
      <c r="DH106" s="172" cm="1">
        <f t="array" aca="1" ref="DH106" ca="1">IF(OR($D106&lt;&gt;"Serviço",AND(AUTOEVENTO="Manual",$M106=$A$15),$M106&gt;(ROW(PLE.lastrow)-ROW(PLE.firstrow))),0,
           IF(OFFSET(PLE!$G$15,$M106-$A$15,DH$13)="",10^12,OFFSET(PLE!$G$15,$M106-$A$15,DH$13)))</f>
        <v>1000000000000</v>
      </c>
      <c r="DI106" s="172" cm="1">
        <f t="array" aca="1" ref="DI106" ca="1">IF(OR($D106&lt;&gt;"Serviço",AND(AUTOEVENTO="Manual",$M106=$A$15),$M106&gt;(ROW(PLE.lastrow)-ROW(PLE.firstrow))),0,
           IF(OFFSET(PLE!$G$15,$M106-$A$15,DI$13)="",10^12,OFFSET(PLE!$G$15,$M106-$A$15,DI$13)))</f>
        <v>1000000000000</v>
      </c>
      <c r="DJ106" s="172" cm="1">
        <f t="array" aca="1" ref="DJ106" ca="1">IF(OR($D106&lt;&gt;"Serviço",AND(AUTOEVENTO="Manual",$M106=$A$15),$M106&gt;(ROW(PLE.lastrow)-ROW(PLE.firstrow))),0,
           IF(OFFSET(PLE!$G$15,$M106-$A$15,DJ$13)="",10^12,OFFSET(PLE!$G$15,$M106-$A$15,DJ$13)))</f>
        <v>1000000000000</v>
      </c>
      <c r="DK106" s="172" cm="1">
        <f t="array" aca="1" ref="DK106" ca="1">IF(OR($D106&lt;&gt;"Serviço",AND(AUTOEVENTO="Manual",$M106=$A$15),$M106&gt;(ROW(PLE.lastrow)-ROW(PLE.firstrow))),0,
           IF(OFFSET(PLE!$G$15,$M106-$A$15,DK$13)="",10^12,OFFSET(PLE!$G$15,$M106-$A$15,DK$13)))</f>
        <v>1000000000000</v>
      </c>
      <c r="DL106" s="172" cm="1">
        <f t="array" aca="1" ref="DL106" ca="1">IF(OR($D106&lt;&gt;"Serviço",AND(AUTOEVENTO="Manual",$M106=$A$15),$M106&gt;(ROW(PLE.lastrow)-ROW(PLE.firstrow))),0,
           IF(OFFSET(PLE!$G$15,$M106-$A$15,DL$13)="",10^12,OFFSET(PLE!$G$15,$M106-$A$15,DL$13)))</f>
        <v>1000000000000</v>
      </c>
      <c r="DM106" s="172" cm="1">
        <f t="array" aca="1" ref="DM106" ca="1">IF(OR($D106&lt;&gt;"Serviço",AND(AUTOEVENTO="Manual",$M106=$A$15),$M106&gt;(ROW(PLE.lastrow)-ROW(PLE.firstrow))),0,
           IF(OFFSET(PLE!$G$15,$M106-$A$15,DM$13)="",10^12,OFFSET(PLE!$G$15,$M106-$A$15,DM$13)))</f>
        <v>1000000000000</v>
      </c>
      <c r="DN106" s="172" cm="1">
        <f t="array" aca="1" ref="DN106" ca="1">IF(OR($D106&lt;&gt;"Serviço",AND(AUTOEVENTO="Manual",$M106=$A$15),$M106&gt;(ROW(PLE.lastrow)-ROW(PLE.firstrow))),0,
           IF(OFFSET(PLE!$G$15,$M106-$A$15,DN$13)="",10^12,OFFSET(PLE!$G$15,$M106-$A$15,DN$13)))</f>
        <v>1000000000000</v>
      </c>
      <c r="DO106" s="172" cm="1">
        <f t="array" aca="1" ref="DO106" ca="1">IF(OR($D106&lt;&gt;"Serviço",AND(AUTOEVENTO="Manual",$M106=$A$15),$M106&gt;(ROW(PLE.lastrow)-ROW(PLE.firstrow))),0,
           IF(OFFSET(PLE!$G$15,$M106-$A$15,DO$13)="",10^12,OFFSET(PLE!$G$15,$M106-$A$15,DO$13)))</f>
        <v>1000000000000</v>
      </c>
      <c r="DP106" s="172" cm="1">
        <f t="array" aca="1" ref="DP106" ca="1">IF(OR($D106&lt;&gt;"Serviço",AND(AUTOEVENTO="Manual",$M106=$A$15),$M106&gt;(ROW(PLE.lastrow)-ROW(PLE.firstrow))),0,
           IF(OFFSET(PLE!$G$15,$M106-$A$15,DP$13)="",10^12,OFFSET(PLE!$G$15,$M106-$A$15,DP$13)))</f>
        <v>1000000000000</v>
      </c>
      <c r="DQ106" s="172" cm="1">
        <f t="array" aca="1" ref="DQ106" ca="1">IF(OR($D106&lt;&gt;"Serviço",AND(AUTOEVENTO="Manual",$M106=$A$15),$M106&gt;(ROW(PLE.lastrow)-ROW(PLE.firstrow))),0,
           IF(OFFSET(PLE!$G$15,$M106-$A$15,DQ$13)="",10^12,OFFSET(PLE!$G$15,$M106-$A$15,DQ$13)))</f>
        <v>1000000000000</v>
      </c>
      <c r="DR106" s="172" cm="1">
        <f t="array" aca="1" ref="DR106" ca="1">IF(OR($D106&lt;&gt;"Serviço",AND(AUTOEVENTO="Manual",$M106=$A$15),$M106&gt;(ROW(PLE.lastrow)-ROW(PLE.firstrow))),0,
           IF(OFFSET(PLE!$G$15,$M106-$A$15,DR$13)="",10^12,OFFSET(PLE!$G$15,$M106-$A$15,DR$13)))</f>
        <v>1000000000000</v>
      </c>
      <c r="DS106" s="172" cm="1">
        <f t="array" aca="1" ref="DS106" ca="1">IF(OR($D106&lt;&gt;"Serviço",AND(AUTOEVENTO="Manual",$M106=$A$15),$M106&gt;(ROW(PLE.lastrow)-ROW(PLE.firstrow))),0,
           IF(OFFSET(PLE!$G$15,$M106-$A$15,DS$13)="",10^12,OFFSET(PLE!$G$15,$M106-$A$15,DS$13)))</f>
        <v>1000000000000</v>
      </c>
    </row>
    <row r="107" spans="1:123" ht="12.75" x14ac:dyDescent="0.2">
      <c r="A107" s="7">
        <f t="shared" ca="1" si="13"/>
        <v>0</v>
      </c>
      <c r="B107" s="7">
        <f ca="1">OFFSET(ORÇAMENTO!C$15,$L107,0)</f>
        <v>3</v>
      </c>
      <c r="C107" s="7" t="str">
        <f ca="1">OFFSET(ORÇAMENTO!L$15,$L107,0)</f>
        <v>F</v>
      </c>
      <c r="D107" s="116" t="str">
        <f ca="1">OFFSET(ORÇAMENTO!N$15,$L107,0)</f>
        <v>Nível 3</v>
      </c>
      <c r="E107" s="117" t="str">
        <f ca="1">OFFSET(ORÇAMENTO!O$15,$L107,0)</f>
        <v>7.5.2.</v>
      </c>
      <c r="F107" s="163" t="str">
        <f ca="1">OFFSET(ORÇAMENTO!R$15,$L107,0)</f>
        <v>PINTURAS EXTERNAS</v>
      </c>
      <c r="G107" s="164" t="str">
        <f ca="1">IF($D107&lt;&gt;"Serviço","",OFFSET(ORÇAMENTO!S$15,$L107,0))</f>
        <v/>
      </c>
      <c r="H107" s="122" cm="1">
        <f t="array" aca="1" ref="H107" ca="1">IF($D107&lt;&gt;"Serviço",0,IF(ACOMPANHAMENTO="BM",ROUND(OFFSET(ORÇAMENTO!AJ$15,$L107,0),15-13*ORÇAMENTO!$AF$7),IF(IFERROR(CÁLCULO.FrentesPreenchidas,0)=0,0,SUM(ROUND(OFFSET($P107,0,1,1,CÁLCULO.FrentesPreenchidas),15-13*ORÇAMENTO!$AF$7)))))</f>
        <v>0</v>
      </c>
      <c r="I107" s="468"/>
      <c r="J107" s="651" t="str" cm="1">
        <f t="array" aca="1" ref="J107" ca="1">IF(OR(B107&lt;&gt;"S",CÁLCULO.FrentesPreenchidas=0),"",IF(AND(ACOMPANHAMENTO="PLE",AUTOEVENTO="Manual",OR(H107&gt;0,ORÇAMENTO!AC107="QUANT."),OR(K107="",M107=0,N107="")),"►E",IF(AND(ACOMPANHAMENTO="PLE",ORÇAMENTO!AC107="QUANT."),"►Q",IF(AND(ACOMPANHAMENTO="PLE",H107&lt;&gt;SUMPRODUCT(($Q$1:$AQ$1=1)*ROUND(Q107:AQ107,15))),"►S",IF(AND(COUNTIF($P$11:$AQ$11,"▼")=0,H107&gt;0,I107=""),"◄M","")))))</f>
        <v/>
      </c>
      <c r="K107" s="652"/>
      <c r="L107" s="165">
        <f t="shared" ca="1" si="14"/>
        <v>92</v>
      </c>
      <c r="M107" s="166" t="str">
        <f ca="1">IF($D107&lt;&gt;"Serviço","",
          IF(AUTOEVENTO="manual",$A107,
                IF(ISERROR(MATCH($A107,$A$15:OFFSET($A107,-1,0),0)),MAX($M$15:OFFSET(M107,-1,0))+1,
                      INDEX($M$15:OFFSET(M107,-1,0),MATCH($A107,$A$15:OFFSET($A107,-1,0),0)))))</f>
        <v/>
      </c>
      <c r="N107" s="167" t="str">
        <f ca="1">IF($D107&lt;&gt;"Serviço","",
         IF(AUTOEVENTO="Manual",
                IF($A107=0,"&lt;-- defina o número do agrupador",
                       OFFSET(EVENTOS!$D$15,$A107-$A$15,0)),
                OFFSET($F$15,$A107,0)))</f>
        <v/>
      </c>
      <c r="O107" s="168"/>
      <c r="Q107" s="168"/>
      <c r="R107" s="169"/>
      <c r="S107" s="169"/>
      <c r="T107" s="169"/>
      <c r="U107" s="169"/>
      <c r="V107" s="169"/>
      <c r="W107" s="169"/>
      <c r="X107" s="169"/>
      <c r="Y107" s="169"/>
      <c r="Z107" s="170"/>
      <c r="AA107" s="169"/>
      <c r="AB107" s="169"/>
      <c r="AC107" s="169"/>
      <c r="AD107" s="169"/>
      <c r="AE107" s="169"/>
      <c r="AF107" s="169"/>
      <c r="AG107" s="169"/>
      <c r="AH107" s="170"/>
      <c r="AI107" s="169"/>
      <c r="AJ107" s="169"/>
      <c r="AK107" s="169"/>
      <c r="AL107" s="169"/>
      <c r="AM107" s="169"/>
      <c r="AN107" s="169"/>
      <c r="AO107" s="169"/>
      <c r="AP107" s="170"/>
      <c r="AR107" s="453">
        <f ca="1">IF(AND($D107="Serviço",AR$12&lt;&gt;0,$H107&gt;0,OR(AUTOEVENTO&lt;&gt;"manual",$M107&lt;&gt;$A$15)),
        IF(Import.TipoArredondamento&lt;&gt;"TransfereGOV",
              ROUND(OFFSET($P107,0,AR$13),15-13*ORÇAMENTO!$AF$7)/$H107*OFFSET(ORÇAMENTO!$X$15,ROW(AR107)-ROW(AR$15),0),
              ROUND(ROUND(OFFSET($P107,0,AR$13),15-13*ORÇAMENTO!$AF$7)*OFFSET(ORÇAMENTO!$W$15,ROW(AR107)-ROW(AR$15),0),15-13*ORÇAMENTO!$AF$11)),
         0)</f>
        <v>0</v>
      </c>
      <c r="AS107" s="453">
        <f ca="1">IF(AND($D107="Serviço",AS$12&lt;&gt;0,$H107&gt;0,OR(AUTOEVENTO&lt;&gt;"manual",$M107&lt;&gt;$A$15)),
        IF(Import.TipoArredondamento&lt;&gt;"TransfereGOV",
              ROUND(OFFSET($P107,0,AS$13),15-13*ORÇAMENTO!$AF$7)/$H107*OFFSET(ORÇAMENTO!$X$15,ROW(AS107)-ROW(AS$15),0),
              ROUND(ROUND(OFFSET($P107,0,AS$13),15-13*ORÇAMENTO!$AF$7)*OFFSET(ORÇAMENTO!$W$15,ROW(AS107)-ROW(AS$15),0),15-13*ORÇAMENTO!$AF$11)),
         0)</f>
        <v>0</v>
      </c>
      <c r="AT107" s="453">
        <f ca="1">IF(AND($D107="Serviço",AT$12&lt;&gt;0,$H107&gt;0,OR(AUTOEVENTO&lt;&gt;"manual",$M107&lt;&gt;$A$15)),
        IF(Import.TipoArredondamento&lt;&gt;"TransfereGOV",
              ROUND(OFFSET($P107,0,AT$13),15-13*ORÇAMENTO!$AF$7)/$H107*OFFSET(ORÇAMENTO!$X$15,ROW(AT107)-ROW(AT$15),0),
              ROUND(ROUND(OFFSET($P107,0,AT$13),15-13*ORÇAMENTO!$AF$7)*OFFSET(ORÇAMENTO!$W$15,ROW(AT107)-ROW(AT$15),0),15-13*ORÇAMENTO!$AF$11)),
         0)</f>
        <v>0</v>
      </c>
      <c r="AU107" s="453">
        <f ca="1">IF(AND($D107="Serviço",AU$12&lt;&gt;0,$H107&gt;0,OR(AUTOEVENTO&lt;&gt;"manual",$M107&lt;&gt;$A$15)),
        IF(Import.TipoArredondamento&lt;&gt;"TransfereGOV",
              ROUND(OFFSET($P107,0,AU$13),15-13*ORÇAMENTO!$AF$7)/$H107*OFFSET(ORÇAMENTO!$X$15,ROW(AU107)-ROW(AU$15),0),
              ROUND(ROUND(OFFSET($P107,0,AU$13),15-13*ORÇAMENTO!$AF$7)*OFFSET(ORÇAMENTO!$W$15,ROW(AU107)-ROW(AU$15),0),15-13*ORÇAMENTO!$AF$11)),
         0)</f>
        <v>0</v>
      </c>
      <c r="AV107" s="453">
        <f ca="1">IF(AND($D107="Serviço",AV$12&lt;&gt;0,$H107&gt;0,OR(AUTOEVENTO&lt;&gt;"manual",$M107&lt;&gt;$A$15)),
        IF(Import.TipoArredondamento&lt;&gt;"TransfereGOV",
              ROUND(OFFSET($P107,0,AV$13),15-13*ORÇAMENTO!$AF$7)/$H107*OFFSET(ORÇAMENTO!$X$15,ROW(AV107)-ROW(AV$15),0),
              ROUND(ROUND(OFFSET($P107,0,AV$13),15-13*ORÇAMENTO!$AF$7)*OFFSET(ORÇAMENTO!$W$15,ROW(AV107)-ROW(AV$15),0),15-13*ORÇAMENTO!$AF$11)),
         0)</f>
        <v>0</v>
      </c>
      <c r="AW107" s="453">
        <f ca="1">IF(AND($D107="Serviço",AW$12&lt;&gt;0,$H107&gt;0,OR(AUTOEVENTO&lt;&gt;"manual",$M107&lt;&gt;$A$15)),
        IF(Import.TipoArredondamento&lt;&gt;"TransfereGOV",
              ROUND(OFFSET($P107,0,AW$13),15-13*ORÇAMENTO!$AF$7)/$H107*OFFSET(ORÇAMENTO!$X$15,ROW(AW107)-ROW(AW$15),0),
              ROUND(ROUND(OFFSET($P107,0,AW$13),15-13*ORÇAMENTO!$AF$7)*OFFSET(ORÇAMENTO!$W$15,ROW(AW107)-ROW(AW$15),0),15-13*ORÇAMENTO!$AF$11)),
         0)</f>
        <v>0</v>
      </c>
      <c r="AX107" s="453">
        <f ca="1">IF(AND($D107="Serviço",AX$12&lt;&gt;0,$H107&gt;0,OR(AUTOEVENTO&lt;&gt;"manual",$M107&lt;&gt;$A$15)),
        IF(Import.TipoArredondamento&lt;&gt;"TransfereGOV",
              ROUND(OFFSET($P107,0,AX$13),15-13*ORÇAMENTO!$AF$7)/$H107*OFFSET(ORÇAMENTO!$X$15,ROW(AX107)-ROW(AX$15),0),
              ROUND(ROUND(OFFSET($P107,0,AX$13),15-13*ORÇAMENTO!$AF$7)*OFFSET(ORÇAMENTO!$W$15,ROW(AX107)-ROW(AX$15),0),15-13*ORÇAMENTO!$AF$11)),
         0)</f>
        <v>0</v>
      </c>
      <c r="AY107" s="453">
        <f ca="1">IF(AND($D107="Serviço",AY$12&lt;&gt;0,$H107&gt;0,OR(AUTOEVENTO&lt;&gt;"manual",$M107&lt;&gt;$A$15)),
        IF(Import.TipoArredondamento&lt;&gt;"TransfereGOV",
              ROUND(OFFSET($P107,0,AY$13),15-13*ORÇAMENTO!$AF$7)/$H107*OFFSET(ORÇAMENTO!$X$15,ROW(AY107)-ROW(AY$15),0),
              ROUND(ROUND(OFFSET($P107,0,AY$13),15-13*ORÇAMENTO!$AF$7)*OFFSET(ORÇAMENTO!$W$15,ROW(AY107)-ROW(AY$15),0),15-13*ORÇAMENTO!$AF$11)),
         0)</f>
        <v>0</v>
      </c>
      <c r="AZ107" s="453">
        <f ca="1">IF(AND($D107="Serviço",AZ$12&lt;&gt;0,$H107&gt;0,OR(AUTOEVENTO&lt;&gt;"manual",$M107&lt;&gt;$A$15)),
        IF(Import.TipoArredondamento&lt;&gt;"TransfereGOV",
              ROUND(OFFSET($P107,0,AZ$13),15-13*ORÇAMENTO!$AF$7)/$H107*OFFSET(ORÇAMENTO!$X$15,ROW(AZ107)-ROW(AZ$15),0),
              ROUND(ROUND(OFFSET($P107,0,AZ$13),15-13*ORÇAMENTO!$AF$7)*OFFSET(ORÇAMENTO!$W$15,ROW(AZ107)-ROW(AZ$15),0),15-13*ORÇAMENTO!$AF$11)),
         0)</f>
        <v>0</v>
      </c>
      <c r="BA107" s="453">
        <f ca="1">IF(AND($D107="Serviço",BA$12&lt;&gt;0,$H107&gt;0,OR(AUTOEVENTO&lt;&gt;"manual",$M107&lt;&gt;$A$15)),
        IF(Import.TipoArredondamento&lt;&gt;"TransfereGOV",
              ROUND(OFFSET($P107,0,BA$13),15-13*ORÇAMENTO!$AF$7)/$H107*OFFSET(ORÇAMENTO!$X$15,ROW(BA107)-ROW(BA$15),0),
              ROUND(ROUND(OFFSET($P107,0,BA$13),15-13*ORÇAMENTO!$AF$7)*OFFSET(ORÇAMENTO!$W$15,ROW(BA107)-ROW(BA$15),0),15-13*ORÇAMENTO!$AF$11)),
         0)</f>
        <v>0</v>
      </c>
      <c r="BB107" s="453">
        <f ca="1">IF(AND($D107="Serviço",BB$12&lt;&gt;0,$H107&gt;0,OR(AUTOEVENTO&lt;&gt;"manual",$M107&lt;&gt;$A$15)),
        IF(Import.TipoArredondamento&lt;&gt;"TransfereGOV",
              ROUND(OFFSET($P107,0,BB$13),15-13*ORÇAMENTO!$AF$7)/$H107*OFFSET(ORÇAMENTO!$X$15,ROW(BB107)-ROW(BB$15),0),
              ROUND(ROUND(OFFSET($P107,0,BB$13),15-13*ORÇAMENTO!$AF$7)*OFFSET(ORÇAMENTO!$W$15,ROW(BB107)-ROW(BB$15),0),15-13*ORÇAMENTO!$AF$11)),
         0)</f>
        <v>0</v>
      </c>
      <c r="BC107" s="453">
        <f ca="1">IF(AND($D107="Serviço",BC$12&lt;&gt;0,$H107&gt;0,OR(AUTOEVENTO&lt;&gt;"manual",$M107&lt;&gt;$A$15)),
        IF(Import.TipoArredondamento&lt;&gt;"TransfereGOV",
              ROUND(OFFSET($P107,0,BC$13),15-13*ORÇAMENTO!$AF$7)/$H107*OFFSET(ORÇAMENTO!$X$15,ROW(BC107)-ROW(BC$15),0),
              ROUND(ROUND(OFFSET($P107,0,BC$13),15-13*ORÇAMENTO!$AF$7)*OFFSET(ORÇAMENTO!$W$15,ROW(BC107)-ROW(BC$15),0),15-13*ORÇAMENTO!$AF$11)),
         0)</f>
        <v>0</v>
      </c>
      <c r="BD107" s="453">
        <f ca="1">IF(AND($D107="Serviço",BD$12&lt;&gt;0,$H107&gt;0,OR(AUTOEVENTO&lt;&gt;"manual",$M107&lt;&gt;$A$15)),
        IF(Import.TipoArredondamento&lt;&gt;"TransfereGOV",
              ROUND(OFFSET($P107,0,BD$13),15-13*ORÇAMENTO!$AF$7)/$H107*OFFSET(ORÇAMENTO!$X$15,ROW(BD107)-ROW(BD$15),0),
              ROUND(ROUND(OFFSET($P107,0,BD$13),15-13*ORÇAMENTO!$AF$7)*OFFSET(ORÇAMENTO!$W$15,ROW(BD107)-ROW(BD$15),0),15-13*ORÇAMENTO!$AF$11)),
         0)</f>
        <v>0</v>
      </c>
      <c r="BE107" s="453">
        <f ca="1">IF(AND($D107="Serviço",BE$12&lt;&gt;0,$H107&gt;0,OR(AUTOEVENTO&lt;&gt;"manual",$M107&lt;&gt;$A$15)),
        IF(Import.TipoArredondamento&lt;&gt;"TransfereGOV",
              ROUND(OFFSET($P107,0,BE$13),15-13*ORÇAMENTO!$AF$7)/$H107*OFFSET(ORÇAMENTO!$X$15,ROW(BE107)-ROW(BE$15),0),
              ROUND(ROUND(OFFSET($P107,0,BE$13),15-13*ORÇAMENTO!$AF$7)*OFFSET(ORÇAMENTO!$W$15,ROW(BE107)-ROW(BE$15),0),15-13*ORÇAMENTO!$AF$11)),
         0)</f>
        <v>0</v>
      </c>
      <c r="BF107" s="453">
        <f ca="1">IF(AND($D107="Serviço",BF$12&lt;&gt;0,$H107&gt;0,OR(AUTOEVENTO&lt;&gt;"manual",$M107&lt;&gt;$A$15)),
        IF(Import.TipoArredondamento&lt;&gt;"TransfereGOV",
              ROUND(OFFSET($P107,0,BF$13),15-13*ORÇAMENTO!$AF$7)/$H107*OFFSET(ORÇAMENTO!$X$15,ROW(BF107)-ROW(BF$15),0),
              ROUND(ROUND(OFFSET($P107,0,BF$13),15-13*ORÇAMENTO!$AF$7)*OFFSET(ORÇAMENTO!$W$15,ROW(BF107)-ROW(BF$15),0),15-13*ORÇAMENTO!$AF$11)),
         0)</f>
        <v>0</v>
      </c>
      <c r="BG107" s="453">
        <f ca="1">IF(AND($D107="Serviço",BG$12&lt;&gt;0,$H107&gt;0,OR(AUTOEVENTO&lt;&gt;"manual",$M107&lt;&gt;$A$15)),
        IF(Import.TipoArredondamento&lt;&gt;"TransfereGOV",
              ROUND(OFFSET($P107,0,BG$13),15-13*ORÇAMENTO!$AF$7)/$H107*OFFSET(ORÇAMENTO!$X$15,ROW(BG107)-ROW(BG$15),0),
              ROUND(ROUND(OFFSET($P107,0,BG$13),15-13*ORÇAMENTO!$AF$7)*OFFSET(ORÇAMENTO!$W$15,ROW(BG107)-ROW(BG$15),0),15-13*ORÇAMENTO!$AF$11)),
         0)</f>
        <v>0</v>
      </c>
      <c r="BH107" s="453">
        <f ca="1">IF(AND($D107="Serviço",BH$12&lt;&gt;0,$H107&gt;0,OR(AUTOEVENTO&lt;&gt;"manual",$M107&lt;&gt;$A$15)),
        IF(Import.TipoArredondamento&lt;&gt;"TransfereGOV",
              ROUND(OFFSET($P107,0,BH$13),15-13*ORÇAMENTO!$AF$7)/$H107*OFFSET(ORÇAMENTO!$X$15,ROW(BH107)-ROW(BH$15),0),
              ROUND(ROUND(OFFSET($P107,0,BH$13),15-13*ORÇAMENTO!$AF$7)*OFFSET(ORÇAMENTO!$W$15,ROW(BH107)-ROW(BH$15),0),15-13*ORÇAMENTO!$AF$11)),
         0)</f>
        <v>0</v>
      </c>
      <c r="BI107" s="453">
        <f ca="1">IF(AND($D107="Serviço",BI$12&lt;&gt;0,$H107&gt;0,OR(AUTOEVENTO&lt;&gt;"manual",$M107&lt;&gt;$A$15)),
        IF(Import.TipoArredondamento&lt;&gt;"TransfereGOV",
              ROUND(OFFSET($P107,0,BI$13),15-13*ORÇAMENTO!$AF$7)/$H107*OFFSET(ORÇAMENTO!$X$15,ROW(BI107)-ROW(BI$15),0),
              ROUND(ROUND(OFFSET($P107,0,BI$13),15-13*ORÇAMENTO!$AF$7)*OFFSET(ORÇAMENTO!$W$15,ROW(BI107)-ROW(BI$15),0),15-13*ORÇAMENTO!$AF$11)),
         0)</f>
        <v>0</v>
      </c>
      <c r="BJ107" s="453">
        <f ca="1">IF(AND($D107="Serviço",BJ$12&lt;&gt;0,$H107&gt;0,OR(AUTOEVENTO&lt;&gt;"manual",$M107&lt;&gt;$A$15)),
        IF(Import.TipoArredondamento&lt;&gt;"TransfereGOV",
              ROUND(OFFSET($P107,0,BJ$13),15-13*ORÇAMENTO!$AF$7)/$H107*OFFSET(ORÇAMENTO!$X$15,ROW(BJ107)-ROW(BJ$15),0),
              ROUND(ROUND(OFFSET($P107,0,BJ$13),15-13*ORÇAMENTO!$AF$7)*OFFSET(ORÇAMENTO!$W$15,ROW(BJ107)-ROW(BJ$15),0),15-13*ORÇAMENTO!$AF$11)),
         0)</f>
        <v>0</v>
      </c>
      <c r="BK107" s="453">
        <f ca="1">IF(AND($D107="Serviço",BK$12&lt;&gt;0,$H107&gt;0,OR(AUTOEVENTO&lt;&gt;"manual",$M107&lt;&gt;$A$15)),
        IF(Import.TipoArredondamento&lt;&gt;"TransfereGOV",
              ROUND(OFFSET($P107,0,BK$13),15-13*ORÇAMENTO!$AF$7)/$H107*OFFSET(ORÇAMENTO!$X$15,ROW(BK107)-ROW(BK$15),0),
              ROUND(ROUND(OFFSET($P107,0,BK$13),15-13*ORÇAMENTO!$AF$7)*OFFSET(ORÇAMENTO!$W$15,ROW(BK107)-ROW(BK$15),0),15-13*ORÇAMENTO!$AF$11)),
         0)</f>
        <v>0</v>
      </c>
      <c r="BL107" s="453">
        <f ca="1">IF(AND($D107="Serviço",BL$12&lt;&gt;0,$H107&gt;0,OR(AUTOEVENTO&lt;&gt;"manual",$M107&lt;&gt;$A$15)),
        IF(Import.TipoArredondamento&lt;&gt;"TransfereGOV",
              ROUND(OFFSET($P107,0,BL$13),15-13*ORÇAMENTO!$AF$7)/$H107*OFFSET(ORÇAMENTO!$X$15,ROW(BL107)-ROW(BL$15),0),
              ROUND(ROUND(OFFSET($P107,0,BL$13),15-13*ORÇAMENTO!$AF$7)*OFFSET(ORÇAMENTO!$W$15,ROW(BL107)-ROW(BL$15),0),15-13*ORÇAMENTO!$AF$11)),
         0)</f>
        <v>0</v>
      </c>
      <c r="BM107" s="453">
        <f ca="1">IF(AND($D107="Serviço",BM$12&lt;&gt;0,$H107&gt;0,OR(AUTOEVENTO&lt;&gt;"manual",$M107&lt;&gt;$A$15)),
        IF(Import.TipoArredondamento&lt;&gt;"TransfereGOV",
              ROUND(OFFSET($P107,0,BM$13),15-13*ORÇAMENTO!$AF$7)/$H107*OFFSET(ORÇAMENTO!$X$15,ROW(BM107)-ROW(BM$15),0),
              ROUND(ROUND(OFFSET($P107,0,BM$13),15-13*ORÇAMENTO!$AF$7)*OFFSET(ORÇAMENTO!$W$15,ROW(BM107)-ROW(BM$15),0),15-13*ORÇAMENTO!$AF$11)),
         0)</f>
        <v>0</v>
      </c>
      <c r="BN107" s="453">
        <f ca="1">IF(AND($D107="Serviço",BN$12&lt;&gt;0,$H107&gt;0,OR(AUTOEVENTO&lt;&gt;"manual",$M107&lt;&gt;$A$15)),
        IF(Import.TipoArredondamento&lt;&gt;"TransfereGOV",
              ROUND(OFFSET($P107,0,BN$13),15-13*ORÇAMENTO!$AF$7)/$H107*OFFSET(ORÇAMENTO!$X$15,ROW(BN107)-ROW(BN$15),0),
              ROUND(ROUND(OFFSET($P107,0,BN$13),15-13*ORÇAMENTO!$AF$7)*OFFSET(ORÇAMENTO!$W$15,ROW(BN107)-ROW(BN$15),0),15-13*ORÇAMENTO!$AF$11)),
         0)</f>
        <v>0</v>
      </c>
      <c r="BO107" s="453">
        <f ca="1">IF(AND($D107="Serviço",BO$12&lt;&gt;0,$H107&gt;0,OR(AUTOEVENTO&lt;&gt;"manual",$M107&lt;&gt;$A$15)),
        IF(Import.TipoArredondamento&lt;&gt;"TransfereGOV",
              ROUND(OFFSET($P107,0,BO$13),15-13*ORÇAMENTO!$AF$7)/$H107*OFFSET(ORÇAMENTO!$X$15,ROW(BO107)-ROW(BO$15),0),
              ROUND(ROUND(OFFSET($P107,0,BO$13),15-13*ORÇAMENTO!$AF$7)*OFFSET(ORÇAMENTO!$W$15,ROW(BO107)-ROW(BO$15),0),15-13*ORÇAMENTO!$AF$11)),
         0)</f>
        <v>0</v>
      </c>
      <c r="BP107" s="453">
        <f ca="1">IF(AND($D107="Serviço",BP$12&lt;&gt;0,$H107&gt;0,OR(AUTOEVENTO&lt;&gt;"manual",$M107&lt;&gt;$A$15)),
        IF(Import.TipoArredondamento&lt;&gt;"TransfereGOV",
              ROUND(OFFSET($P107,0,BP$13),15-13*ORÇAMENTO!$AF$7)/$H107*OFFSET(ORÇAMENTO!$X$15,ROW(BP107)-ROW(BP$15),0),
              ROUND(ROUND(OFFSET($P107,0,BP$13),15-13*ORÇAMENTO!$AF$7)*OFFSET(ORÇAMENTO!$W$15,ROW(BP107)-ROW(BP$15),0),15-13*ORÇAMENTO!$AF$11)),
         0)</f>
        <v>0</v>
      </c>
      <c r="BQ107" s="453">
        <f ca="1">IF(AND($D107="Serviço",BQ$12&lt;&gt;0,$H107&gt;0,OR(AUTOEVENTO&lt;&gt;"manual",$M107&lt;&gt;$A$15)),
        IF(Import.TipoArredondamento&lt;&gt;"TransfereGOV",
              ROUND(OFFSET($P107,0,BQ$13),15-13*ORÇAMENTO!$AF$7)/$H107*OFFSET(ORÇAMENTO!$X$15,ROW(BQ107)-ROW(BQ$15),0),
              ROUND(ROUND(OFFSET($P107,0,BQ$13),15-13*ORÇAMENTO!$AF$7)*OFFSET(ORÇAMENTO!$W$15,ROW(BQ107)-ROW(BQ$15),0),15-13*ORÇAMENTO!$AF$11)),
         0)</f>
        <v>0</v>
      </c>
      <c r="BS107" s="171">
        <f ca="1">IF(OR($D107&lt;&gt;"Serviço",AND(AUTOEVENTO="Manual",$M107=$A$15)),0,
         IF(OFFSET(CRONOPLE!$F$15,$M107-$A$15,BS$13)=0,10^12,OFFSET(CRONOPLE!$F$15,$M107-$A$15,BS$13)))</f>
        <v>0</v>
      </c>
      <c r="BT107" s="171">
        <f ca="1">IF(OR($D107&lt;&gt;"Serviço",AND(AUTOEVENTO="Manual",$M107=$A$15)),0,
         IF(OFFSET(CRONOPLE!$F$15,$M107-$A$15,BT$13)=0,10^12,OFFSET(CRONOPLE!$F$15,$M107-$A$15,BT$13)))</f>
        <v>0</v>
      </c>
      <c r="BU107" s="171">
        <f ca="1">IF(OR($D107&lt;&gt;"Serviço",AND(AUTOEVENTO="Manual",$M107=$A$15)),0,
         IF(OFFSET(CRONOPLE!$F$15,$M107-$A$15,BU$13)=0,10^12,OFFSET(CRONOPLE!$F$15,$M107-$A$15,BU$13)))</f>
        <v>0</v>
      </c>
      <c r="BV107" s="171">
        <f ca="1">IF(OR($D107&lt;&gt;"Serviço",AND(AUTOEVENTO="Manual",$M107=$A$15)),0,
         IF(OFFSET(CRONOPLE!$F$15,$M107-$A$15,BV$13)=0,10^12,OFFSET(CRONOPLE!$F$15,$M107-$A$15,BV$13)))</f>
        <v>0</v>
      </c>
      <c r="BW107" s="171">
        <f ca="1">IF(OR($D107&lt;&gt;"Serviço",AND(AUTOEVENTO="Manual",$M107=$A$15)),0,
         IF(OFFSET(CRONOPLE!$F$15,$M107-$A$15,BW$13)=0,10^12,OFFSET(CRONOPLE!$F$15,$M107-$A$15,BW$13)))</f>
        <v>0</v>
      </c>
      <c r="BX107" s="171">
        <f ca="1">IF(OR($D107&lt;&gt;"Serviço",AND(AUTOEVENTO="Manual",$M107=$A$15)),0,
         IF(OFFSET(CRONOPLE!$F$15,$M107-$A$15,BX$13)=0,10^12,OFFSET(CRONOPLE!$F$15,$M107-$A$15,BX$13)))</f>
        <v>0</v>
      </c>
      <c r="BY107" s="171">
        <f ca="1">IF(OR($D107&lt;&gt;"Serviço",AND(AUTOEVENTO="Manual",$M107=$A$15)),0,
         IF(OFFSET(CRONOPLE!$F$15,$M107-$A$15,BY$13)=0,10^12,OFFSET(CRONOPLE!$F$15,$M107-$A$15,BY$13)))</f>
        <v>0</v>
      </c>
      <c r="BZ107" s="171">
        <f ca="1">IF(OR($D107&lt;&gt;"Serviço",AND(AUTOEVENTO="Manual",$M107=$A$15)),0,
         IF(OFFSET(CRONOPLE!$F$15,$M107-$A$15,BZ$13)=0,10^12,OFFSET(CRONOPLE!$F$15,$M107-$A$15,BZ$13)))</f>
        <v>0</v>
      </c>
      <c r="CA107" s="171">
        <f ca="1">IF(OR($D107&lt;&gt;"Serviço",AND(AUTOEVENTO="Manual",$M107=$A$15)),0,
         IF(OFFSET(CRONOPLE!$F$15,$M107-$A$15,CA$13)=0,10^12,OFFSET(CRONOPLE!$F$15,$M107-$A$15,CA$13)))</f>
        <v>0</v>
      </c>
      <c r="CB107" s="171">
        <f ca="1">IF(OR($D107&lt;&gt;"Serviço",AND(AUTOEVENTO="Manual",$M107=$A$15)),0,
         IF(OFFSET(CRONOPLE!$F$15,$M107-$A$15,CB$13)=0,10^12,OFFSET(CRONOPLE!$F$15,$M107-$A$15,CB$13)))</f>
        <v>0</v>
      </c>
      <c r="CC107" s="171">
        <f ca="1">IF(OR($D107&lt;&gt;"Serviço",AND(AUTOEVENTO="Manual",$M107=$A$15)),0,
         IF(OFFSET(CRONOPLE!$F$15,$M107-$A$15,CC$13)=0,10^12,OFFSET(CRONOPLE!$F$15,$M107-$A$15,CC$13)))</f>
        <v>0</v>
      </c>
      <c r="CD107" s="171">
        <f ca="1">IF(OR($D107&lt;&gt;"Serviço",AND(AUTOEVENTO="Manual",$M107=$A$15)),0,
         IF(OFFSET(CRONOPLE!$F$15,$M107-$A$15,CD$13)=0,10^12,OFFSET(CRONOPLE!$F$15,$M107-$A$15,CD$13)))</f>
        <v>0</v>
      </c>
      <c r="CE107" s="171">
        <f ca="1">IF(OR($D107&lt;&gt;"Serviço",AND(AUTOEVENTO="Manual",$M107=$A$15)),0,
         IF(OFFSET(CRONOPLE!$F$15,$M107-$A$15,CE$13)=0,10^12,OFFSET(CRONOPLE!$F$15,$M107-$A$15,CE$13)))</f>
        <v>0</v>
      </c>
      <c r="CF107" s="171">
        <f ca="1">IF(OR($D107&lt;&gt;"Serviço",AND(AUTOEVENTO="Manual",$M107=$A$15)),0,
         IF(OFFSET(CRONOPLE!$F$15,$M107-$A$15,CF$13)=0,10^12,OFFSET(CRONOPLE!$F$15,$M107-$A$15,CF$13)))</f>
        <v>0</v>
      </c>
      <c r="CG107" s="171">
        <f ca="1">IF(OR($D107&lt;&gt;"Serviço",AND(AUTOEVENTO="Manual",$M107=$A$15)),0,
         IF(OFFSET(CRONOPLE!$F$15,$M107-$A$15,CG$13)=0,10^12,OFFSET(CRONOPLE!$F$15,$M107-$A$15,CG$13)))</f>
        <v>0</v>
      </c>
      <c r="CH107" s="171">
        <f ca="1">IF(OR($D107&lt;&gt;"Serviço",AND(AUTOEVENTO="Manual",$M107=$A$15)),0,
         IF(OFFSET(CRONOPLE!$F$15,$M107-$A$15,CH$13)=0,10^12,OFFSET(CRONOPLE!$F$15,$M107-$A$15,CH$13)))</f>
        <v>0</v>
      </c>
      <c r="CI107" s="171">
        <f ca="1">IF(OR($D107&lt;&gt;"Serviço",AND(AUTOEVENTO="Manual",$M107=$A$15)),0,
         IF(OFFSET(CRONOPLE!$F$15,$M107-$A$15,CI$13)=0,10^12,OFFSET(CRONOPLE!$F$15,$M107-$A$15,CI$13)))</f>
        <v>0</v>
      </c>
      <c r="CJ107" s="171">
        <f ca="1">IF(OR($D107&lt;&gt;"Serviço",AND(AUTOEVENTO="Manual",$M107=$A$15)),0,
         IF(OFFSET(CRONOPLE!$F$15,$M107-$A$15,CJ$13)=0,10^12,OFFSET(CRONOPLE!$F$15,$M107-$A$15,CJ$13)))</f>
        <v>0</v>
      </c>
      <c r="CK107" s="171">
        <f ca="1">IF(OR($D107&lt;&gt;"Serviço",AND(AUTOEVENTO="Manual",$M107=$A$15)),0,
         IF(OFFSET(CRONOPLE!$F$15,$M107-$A$15,CK$13)=0,10^12,OFFSET(CRONOPLE!$F$15,$M107-$A$15,CK$13)))</f>
        <v>0</v>
      </c>
      <c r="CL107" s="171">
        <f ca="1">IF(OR($D107&lt;&gt;"Serviço",AND(AUTOEVENTO="Manual",$M107=$A$15)),0,
         IF(OFFSET(CRONOPLE!$F$15,$M107-$A$15,CL$13)=0,10^12,OFFSET(CRONOPLE!$F$15,$M107-$A$15,CL$13)))</f>
        <v>0</v>
      </c>
      <c r="CM107" s="171">
        <f ca="1">IF(OR($D107&lt;&gt;"Serviço",AND(AUTOEVENTO="Manual",$M107=$A$15)),0,
         IF(OFFSET(CRONOPLE!$F$15,$M107-$A$15,CM$13)=0,10^12,OFFSET(CRONOPLE!$F$15,$M107-$A$15,CM$13)))</f>
        <v>0</v>
      </c>
      <c r="CN107" s="171">
        <f ca="1">IF(OR($D107&lt;&gt;"Serviço",AND(AUTOEVENTO="Manual",$M107=$A$15)),0,
         IF(OFFSET(CRONOPLE!$F$15,$M107-$A$15,CN$13)=0,10^12,OFFSET(CRONOPLE!$F$15,$M107-$A$15,CN$13)))</f>
        <v>0</v>
      </c>
      <c r="CO107" s="171">
        <f ca="1">IF(OR($D107&lt;&gt;"Serviço",AND(AUTOEVENTO="Manual",$M107=$A$15)),0,
         IF(OFFSET(CRONOPLE!$F$15,$M107-$A$15,CO$13)=0,10^12,OFFSET(CRONOPLE!$F$15,$M107-$A$15,CO$13)))</f>
        <v>0</v>
      </c>
      <c r="CP107" s="171">
        <f ca="1">IF(OR($D107&lt;&gt;"Serviço",AND(AUTOEVENTO="Manual",$M107=$A$15)),0,
         IF(OFFSET(CRONOPLE!$F$15,$M107-$A$15,CP$13)=0,10^12,OFFSET(CRONOPLE!$F$15,$M107-$A$15,CP$13)))</f>
        <v>0</v>
      </c>
      <c r="CQ107" s="171">
        <f ca="1">IF(OR($D107&lt;&gt;"Serviço",AND(AUTOEVENTO="Manual",$M107=$A$15)),0,
         IF(OFFSET(CRONOPLE!$F$15,$M107-$A$15,CQ$13)=0,10^12,OFFSET(CRONOPLE!$F$15,$M107-$A$15,CQ$13)))</f>
        <v>0</v>
      </c>
      <c r="CR107" s="171">
        <f ca="1">IF(OR($D107&lt;&gt;"Serviço",AND(AUTOEVENTO="Manual",$M107=$A$15)),0,
         IF(OFFSET(CRONOPLE!$F$15,$M107-$A$15,CR$13)=0,10^12,OFFSET(CRONOPLE!$F$15,$M107-$A$15,CR$13)))</f>
        <v>0</v>
      </c>
      <c r="CT107" s="172" cm="1">
        <f t="array" aca="1" ref="CT107" ca="1">IF(OR($D107&lt;&gt;"Serviço",AND(AUTOEVENTO="Manual",$M107=$A$15),$M107&gt;(ROW(PLE.lastrow)-ROW(PLE.firstrow))),0,
           IF(OFFSET(PLE!$G$15,$M107-$A$15,CT$13)="",10^12,OFFSET(PLE!$G$15,$M107-$A$15,CT$13)))</f>
        <v>0</v>
      </c>
      <c r="CU107" s="172" cm="1">
        <f t="array" aca="1" ref="CU107" ca="1">IF(OR($D107&lt;&gt;"Serviço",AND(AUTOEVENTO="Manual",$M107=$A$15),$M107&gt;(ROW(PLE.lastrow)-ROW(PLE.firstrow))),0,
           IF(OFFSET(PLE!$G$15,$M107-$A$15,CU$13)="",10^12,OFFSET(PLE!$G$15,$M107-$A$15,CU$13)))</f>
        <v>0</v>
      </c>
      <c r="CV107" s="172" cm="1">
        <f t="array" aca="1" ref="CV107" ca="1">IF(OR($D107&lt;&gt;"Serviço",AND(AUTOEVENTO="Manual",$M107=$A$15),$M107&gt;(ROW(PLE.lastrow)-ROW(PLE.firstrow))),0,
           IF(OFFSET(PLE!$G$15,$M107-$A$15,CV$13)="",10^12,OFFSET(PLE!$G$15,$M107-$A$15,CV$13)))</f>
        <v>0</v>
      </c>
      <c r="CW107" s="172" cm="1">
        <f t="array" aca="1" ref="CW107" ca="1">IF(OR($D107&lt;&gt;"Serviço",AND(AUTOEVENTO="Manual",$M107=$A$15),$M107&gt;(ROW(PLE.lastrow)-ROW(PLE.firstrow))),0,
           IF(OFFSET(PLE!$G$15,$M107-$A$15,CW$13)="",10^12,OFFSET(PLE!$G$15,$M107-$A$15,CW$13)))</f>
        <v>0</v>
      </c>
      <c r="CX107" s="172" cm="1">
        <f t="array" aca="1" ref="CX107" ca="1">IF(OR($D107&lt;&gt;"Serviço",AND(AUTOEVENTO="Manual",$M107=$A$15),$M107&gt;(ROW(PLE.lastrow)-ROW(PLE.firstrow))),0,
           IF(OFFSET(PLE!$G$15,$M107-$A$15,CX$13)="",10^12,OFFSET(PLE!$G$15,$M107-$A$15,CX$13)))</f>
        <v>0</v>
      </c>
      <c r="CY107" s="172" cm="1">
        <f t="array" aca="1" ref="CY107" ca="1">IF(OR($D107&lt;&gt;"Serviço",AND(AUTOEVENTO="Manual",$M107=$A$15),$M107&gt;(ROW(PLE.lastrow)-ROW(PLE.firstrow))),0,
           IF(OFFSET(PLE!$G$15,$M107-$A$15,CY$13)="",10^12,OFFSET(PLE!$G$15,$M107-$A$15,CY$13)))</f>
        <v>0</v>
      </c>
      <c r="CZ107" s="172" cm="1">
        <f t="array" aca="1" ref="CZ107" ca="1">IF(OR($D107&lt;&gt;"Serviço",AND(AUTOEVENTO="Manual",$M107=$A$15),$M107&gt;(ROW(PLE.lastrow)-ROW(PLE.firstrow))),0,
           IF(OFFSET(PLE!$G$15,$M107-$A$15,CZ$13)="",10^12,OFFSET(PLE!$G$15,$M107-$A$15,CZ$13)))</f>
        <v>0</v>
      </c>
      <c r="DA107" s="172" cm="1">
        <f t="array" aca="1" ref="DA107" ca="1">IF(OR($D107&lt;&gt;"Serviço",AND(AUTOEVENTO="Manual",$M107=$A$15),$M107&gt;(ROW(PLE.lastrow)-ROW(PLE.firstrow))),0,
           IF(OFFSET(PLE!$G$15,$M107-$A$15,DA$13)="",10^12,OFFSET(PLE!$G$15,$M107-$A$15,DA$13)))</f>
        <v>0</v>
      </c>
      <c r="DB107" s="172" cm="1">
        <f t="array" aca="1" ref="DB107" ca="1">IF(OR($D107&lt;&gt;"Serviço",AND(AUTOEVENTO="Manual",$M107=$A$15),$M107&gt;(ROW(PLE.lastrow)-ROW(PLE.firstrow))),0,
           IF(OFFSET(PLE!$G$15,$M107-$A$15,DB$13)="",10^12,OFFSET(PLE!$G$15,$M107-$A$15,DB$13)))</f>
        <v>0</v>
      </c>
      <c r="DC107" s="172" cm="1">
        <f t="array" aca="1" ref="DC107" ca="1">IF(OR($D107&lt;&gt;"Serviço",AND(AUTOEVENTO="Manual",$M107=$A$15),$M107&gt;(ROW(PLE.lastrow)-ROW(PLE.firstrow))),0,
           IF(OFFSET(PLE!$G$15,$M107-$A$15,DC$13)="",10^12,OFFSET(PLE!$G$15,$M107-$A$15,DC$13)))</f>
        <v>0</v>
      </c>
      <c r="DD107" s="172" cm="1">
        <f t="array" aca="1" ref="DD107" ca="1">IF(OR($D107&lt;&gt;"Serviço",AND(AUTOEVENTO="Manual",$M107=$A$15),$M107&gt;(ROW(PLE.lastrow)-ROW(PLE.firstrow))),0,
           IF(OFFSET(PLE!$G$15,$M107-$A$15,DD$13)="",10^12,OFFSET(PLE!$G$15,$M107-$A$15,DD$13)))</f>
        <v>0</v>
      </c>
      <c r="DE107" s="172" cm="1">
        <f t="array" aca="1" ref="DE107" ca="1">IF(OR($D107&lt;&gt;"Serviço",AND(AUTOEVENTO="Manual",$M107=$A$15),$M107&gt;(ROW(PLE.lastrow)-ROW(PLE.firstrow))),0,
           IF(OFFSET(PLE!$G$15,$M107-$A$15,DE$13)="",10^12,OFFSET(PLE!$G$15,$M107-$A$15,DE$13)))</f>
        <v>0</v>
      </c>
      <c r="DF107" s="172" cm="1">
        <f t="array" aca="1" ref="DF107" ca="1">IF(OR($D107&lt;&gt;"Serviço",AND(AUTOEVENTO="Manual",$M107=$A$15),$M107&gt;(ROW(PLE.lastrow)-ROW(PLE.firstrow))),0,
           IF(OFFSET(PLE!$G$15,$M107-$A$15,DF$13)="",10^12,OFFSET(PLE!$G$15,$M107-$A$15,DF$13)))</f>
        <v>0</v>
      </c>
      <c r="DG107" s="172" cm="1">
        <f t="array" aca="1" ref="DG107" ca="1">IF(OR($D107&lt;&gt;"Serviço",AND(AUTOEVENTO="Manual",$M107=$A$15),$M107&gt;(ROW(PLE.lastrow)-ROW(PLE.firstrow))),0,
           IF(OFFSET(PLE!$G$15,$M107-$A$15,DG$13)="",10^12,OFFSET(PLE!$G$15,$M107-$A$15,DG$13)))</f>
        <v>0</v>
      </c>
      <c r="DH107" s="172" cm="1">
        <f t="array" aca="1" ref="DH107" ca="1">IF(OR($D107&lt;&gt;"Serviço",AND(AUTOEVENTO="Manual",$M107=$A$15),$M107&gt;(ROW(PLE.lastrow)-ROW(PLE.firstrow))),0,
           IF(OFFSET(PLE!$G$15,$M107-$A$15,DH$13)="",10^12,OFFSET(PLE!$G$15,$M107-$A$15,DH$13)))</f>
        <v>0</v>
      </c>
      <c r="DI107" s="172" cm="1">
        <f t="array" aca="1" ref="DI107" ca="1">IF(OR($D107&lt;&gt;"Serviço",AND(AUTOEVENTO="Manual",$M107=$A$15),$M107&gt;(ROW(PLE.lastrow)-ROW(PLE.firstrow))),0,
           IF(OFFSET(PLE!$G$15,$M107-$A$15,DI$13)="",10^12,OFFSET(PLE!$G$15,$M107-$A$15,DI$13)))</f>
        <v>0</v>
      </c>
      <c r="DJ107" s="172" cm="1">
        <f t="array" aca="1" ref="DJ107" ca="1">IF(OR($D107&lt;&gt;"Serviço",AND(AUTOEVENTO="Manual",$M107=$A$15),$M107&gt;(ROW(PLE.lastrow)-ROW(PLE.firstrow))),0,
           IF(OFFSET(PLE!$G$15,$M107-$A$15,DJ$13)="",10^12,OFFSET(PLE!$G$15,$M107-$A$15,DJ$13)))</f>
        <v>0</v>
      </c>
      <c r="DK107" s="172" cm="1">
        <f t="array" aca="1" ref="DK107" ca="1">IF(OR($D107&lt;&gt;"Serviço",AND(AUTOEVENTO="Manual",$M107=$A$15),$M107&gt;(ROW(PLE.lastrow)-ROW(PLE.firstrow))),0,
           IF(OFFSET(PLE!$G$15,$M107-$A$15,DK$13)="",10^12,OFFSET(PLE!$G$15,$M107-$A$15,DK$13)))</f>
        <v>0</v>
      </c>
      <c r="DL107" s="172" cm="1">
        <f t="array" aca="1" ref="DL107" ca="1">IF(OR($D107&lt;&gt;"Serviço",AND(AUTOEVENTO="Manual",$M107=$A$15),$M107&gt;(ROW(PLE.lastrow)-ROW(PLE.firstrow))),0,
           IF(OFFSET(PLE!$G$15,$M107-$A$15,DL$13)="",10^12,OFFSET(PLE!$G$15,$M107-$A$15,DL$13)))</f>
        <v>0</v>
      </c>
      <c r="DM107" s="172" cm="1">
        <f t="array" aca="1" ref="DM107" ca="1">IF(OR($D107&lt;&gt;"Serviço",AND(AUTOEVENTO="Manual",$M107=$A$15),$M107&gt;(ROW(PLE.lastrow)-ROW(PLE.firstrow))),0,
           IF(OFFSET(PLE!$G$15,$M107-$A$15,DM$13)="",10^12,OFFSET(PLE!$G$15,$M107-$A$15,DM$13)))</f>
        <v>0</v>
      </c>
      <c r="DN107" s="172" cm="1">
        <f t="array" aca="1" ref="DN107" ca="1">IF(OR($D107&lt;&gt;"Serviço",AND(AUTOEVENTO="Manual",$M107=$A$15),$M107&gt;(ROW(PLE.lastrow)-ROW(PLE.firstrow))),0,
           IF(OFFSET(PLE!$G$15,$M107-$A$15,DN$13)="",10^12,OFFSET(PLE!$G$15,$M107-$A$15,DN$13)))</f>
        <v>0</v>
      </c>
      <c r="DO107" s="172" cm="1">
        <f t="array" aca="1" ref="DO107" ca="1">IF(OR($D107&lt;&gt;"Serviço",AND(AUTOEVENTO="Manual",$M107=$A$15),$M107&gt;(ROW(PLE.lastrow)-ROW(PLE.firstrow))),0,
           IF(OFFSET(PLE!$G$15,$M107-$A$15,DO$13)="",10^12,OFFSET(PLE!$G$15,$M107-$A$15,DO$13)))</f>
        <v>0</v>
      </c>
      <c r="DP107" s="172" cm="1">
        <f t="array" aca="1" ref="DP107" ca="1">IF(OR($D107&lt;&gt;"Serviço",AND(AUTOEVENTO="Manual",$M107=$A$15),$M107&gt;(ROW(PLE.lastrow)-ROW(PLE.firstrow))),0,
           IF(OFFSET(PLE!$G$15,$M107-$A$15,DP$13)="",10^12,OFFSET(PLE!$G$15,$M107-$A$15,DP$13)))</f>
        <v>0</v>
      </c>
      <c r="DQ107" s="172" cm="1">
        <f t="array" aca="1" ref="DQ107" ca="1">IF(OR($D107&lt;&gt;"Serviço",AND(AUTOEVENTO="Manual",$M107=$A$15),$M107&gt;(ROW(PLE.lastrow)-ROW(PLE.firstrow))),0,
           IF(OFFSET(PLE!$G$15,$M107-$A$15,DQ$13)="",10^12,OFFSET(PLE!$G$15,$M107-$A$15,DQ$13)))</f>
        <v>0</v>
      </c>
      <c r="DR107" s="172" cm="1">
        <f t="array" aca="1" ref="DR107" ca="1">IF(OR($D107&lt;&gt;"Serviço",AND(AUTOEVENTO="Manual",$M107=$A$15),$M107&gt;(ROW(PLE.lastrow)-ROW(PLE.firstrow))),0,
           IF(OFFSET(PLE!$G$15,$M107-$A$15,DR$13)="",10^12,OFFSET(PLE!$G$15,$M107-$A$15,DR$13)))</f>
        <v>0</v>
      </c>
      <c r="DS107" s="172" cm="1">
        <f t="array" aca="1" ref="DS107" ca="1">IF(OR($D107&lt;&gt;"Serviço",AND(AUTOEVENTO="Manual",$M107=$A$15),$M107&gt;(ROW(PLE.lastrow)-ROW(PLE.firstrow))),0,
           IF(OFFSET(PLE!$G$15,$M107-$A$15,DS$13)="",10^12,OFFSET(PLE!$G$15,$M107-$A$15,DS$13)))</f>
        <v>0</v>
      </c>
    </row>
    <row r="108" spans="1:123" ht="25.5" x14ac:dyDescent="0.2">
      <c r="A108" s="7">
        <f t="shared" ca="1" si="13"/>
        <v>7</v>
      </c>
      <c r="B108" s="7" t="str">
        <f ca="1">OFFSET(ORÇAMENTO!C$15,$L108,0)</f>
        <v>S</v>
      </c>
      <c r="C108" s="7" t="str">
        <f ca="1">OFFSET(ORÇAMENTO!L$15,$L108,0)</f>
        <v/>
      </c>
      <c r="D108" s="116" t="str">
        <f ca="1">OFFSET(ORÇAMENTO!N$15,$L108,0)</f>
        <v>Serviço</v>
      </c>
      <c r="E108" s="117" t="str">
        <f ca="1">OFFSET(ORÇAMENTO!O$15,$L108,0)</f>
        <v>-</v>
      </c>
      <c r="F108" s="163" t="str">
        <f ca="1">OFFSET(ORÇAMENTO!R$15,$L108,0)</f>
        <v>(Código não identificado nas referências)</v>
      </c>
      <c r="G108" s="164" t="str">
        <f ca="1">IF($D108&lt;&gt;"Serviço","",OFFSET(ORÇAMENTO!S$15,$L108,0))</f>
        <v>-</v>
      </c>
      <c r="H108" s="122" cm="1">
        <f t="array" aca="1" ref="H108" ca="1">IF($D108&lt;&gt;"Serviço",0,IF(ACOMPANHAMENTO="BM",ROUND(OFFSET(ORÇAMENTO!AJ$15,$L108,0),15-13*ORÇAMENTO!$AF$7),IF(IFERROR(CÁLCULO.FrentesPreenchidas,0)=0,0,SUM(ROUND(OFFSET($P108,0,1,1,CÁLCULO.FrentesPreenchidas),15-13*ORÇAMENTO!$AF$7)))))</f>
        <v>1215.9999999999995</v>
      </c>
      <c r="I108" s="468" t="s">
        <v>1235</v>
      </c>
      <c r="J108" s="651" t="str" cm="1">
        <f t="array" aca="1" ref="J108" ca="1">IF(OR(B108&lt;&gt;"S",CÁLCULO.FrentesPreenchidas=0),"",IF(AND(ACOMPANHAMENTO="PLE",AUTOEVENTO="Manual",OR(H108&gt;0,ORÇAMENTO!AC108="QUANT."),OR(K108="",M108=0,N108="")),"►E",IF(AND(ACOMPANHAMENTO="PLE",ORÇAMENTO!AC108="QUANT."),"►Q",IF(AND(ACOMPANHAMENTO="PLE",H108&lt;&gt;SUMPRODUCT(($Q$1:$AQ$1=1)*ROUND(Q108:AQ108,15))),"►S",IF(AND(COUNTIF($P$11:$AQ$11,"▼")=0,H108&gt;0,I108=""),"◄M","")))))</f>
        <v/>
      </c>
      <c r="K108" s="652" t="s">
        <v>1255</v>
      </c>
      <c r="L108" s="165">
        <f t="shared" ca="1" si="14"/>
        <v>93</v>
      </c>
      <c r="M108" s="166">
        <f ca="1">IF($D108&lt;&gt;"Serviço","",
          IF(AUTOEVENTO="manual",$A108,
                IF(ISERROR(MATCH($A108,$A$15:OFFSET($A108,-1,0),0)),MAX($M$15:OFFSET(M108,-1,0))+1,
                      INDEX($M$15:OFFSET(M108,-1,0),MATCH($A108,$A$15:OFFSET($A108,-1,0),0)))))</f>
        <v>7</v>
      </c>
      <c r="N108" s="167" t="str">
        <f ca="1">IF($D108&lt;&gt;"Serviço","",
         IF(AUTOEVENTO="Manual",
                IF($A108=0,"&lt;-- defina o número do agrupador",
                       OFFSET(EVENTOS!$D$15,$A108-$A$15,0)),
                OFFSET($F$15,$A108,0)))</f>
        <v>REVESTIMENTOS</v>
      </c>
      <c r="O108" s="168"/>
      <c r="Q108" s="168">
        <v>60.8</v>
      </c>
      <c r="R108" s="169">
        <v>60.8</v>
      </c>
      <c r="S108" s="169">
        <v>60.8</v>
      </c>
      <c r="T108" s="169">
        <v>60.8</v>
      </c>
      <c r="U108" s="169">
        <v>60.8</v>
      </c>
      <c r="V108" s="169">
        <v>60.8</v>
      </c>
      <c r="W108" s="169">
        <v>60.8</v>
      </c>
      <c r="X108" s="169">
        <v>60.8</v>
      </c>
      <c r="Y108" s="169">
        <v>60.8</v>
      </c>
      <c r="Z108" s="170">
        <v>60.8</v>
      </c>
      <c r="AA108" s="169">
        <v>60.8</v>
      </c>
      <c r="AB108" s="169">
        <v>60.8</v>
      </c>
      <c r="AC108" s="169">
        <v>60.8</v>
      </c>
      <c r="AD108" s="169">
        <v>60.8</v>
      </c>
      <c r="AE108" s="169">
        <v>60.8</v>
      </c>
      <c r="AF108" s="169">
        <v>60.8</v>
      </c>
      <c r="AG108" s="169">
        <v>60.8</v>
      </c>
      <c r="AH108" s="170">
        <v>60.8</v>
      </c>
      <c r="AI108" s="169">
        <v>60.8</v>
      </c>
      <c r="AJ108" s="169">
        <v>60.8</v>
      </c>
      <c r="AK108" s="169"/>
      <c r="AL108" s="169"/>
      <c r="AM108" s="169"/>
      <c r="AN108" s="169"/>
      <c r="AO108" s="169"/>
      <c r="AP108" s="170"/>
      <c r="AR108" s="453">
        <f ca="1">IF(AND($D108="Serviço",AR$12&lt;&gt;0,$H108&gt;0,OR(AUTOEVENTO&lt;&gt;"manual",$M108&lt;&gt;$A$15)),
        IF(Import.TipoArredondamento&lt;&gt;"TransfereGOV",
              ROUND(OFFSET($P108,0,AR$13),15-13*ORÇAMENTO!$AF$7)/$H108*OFFSET(ORÇAMENTO!$X$15,ROW(AR108)-ROW(AR$15),0),
              ROUND(ROUND(OFFSET($P108,0,AR$13),15-13*ORÇAMENTO!$AF$7)*OFFSET(ORÇAMENTO!$W$15,ROW(AR108)-ROW(AR$15),0),15-13*ORÇAMENTO!$AF$11)),
         0)</f>
        <v>0</v>
      </c>
      <c r="AS108" s="453">
        <f ca="1">IF(AND($D108="Serviço",AS$12&lt;&gt;0,$H108&gt;0,OR(AUTOEVENTO&lt;&gt;"manual",$M108&lt;&gt;$A$15)),
        IF(Import.TipoArredondamento&lt;&gt;"TransfereGOV",
              ROUND(OFFSET($P108,0,AS$13),15-13*ORÇAMENTO!$AF$7)/$H108*OFFSET(ORÇAMENTO!$X$15,ROW(AS108)-ROW(AS$15),0),
              ROUND(ROUND(OFFSET($P108,0,AS$13),15-13*ORÇAMENTO!$AF$7)*OFFSET(ORÇAMENTO!$W$15,ROW(AS108)-ROW(AS$15),0),15-13*ORÇAMENTO!$AF$11)),
         0)</f>
        <v>0</v>
      </c>
      <c r="AT108" s="453">
        <f ca="1">IF(AND($D108="Serviço",AT$12&lt;&gt;0,$H108&gt;0,OR(AUTOEVENTO&lt;&gt;"manual",$M108&lt;&gt;$A$15)),
        IF(Import.TipoArredondamento&lt;&gt;"TransfereGOV",
              ROUND(OFFSET($P108,0,AT$13),15-13*ORÇAMENTO!$AF$7)/$H108*OFFSET(ORÇAMENTO!$X$15,ROW(AT108)-ROW(AT$15),0),
              ROUND(ROUND(OFFSET($P108,0,AT$13),15-13*ORÇAMENTO!$AF$7)*OFFSET(ORÇAMENTO!$W$15,ROW(AT108)-ROW(AT$15),0),15-13*ORÇAMENTO!$AF$11)),
         0)</f>
        <v>0</v>
      </c>
      <c r="AU108" s="453">
        <f ca="1">IF(AND($D108="Serviço",AU$12&lt;&gt;0,$H108&gt;0,OR(AUTOEVENTO&lt;&gt;"manual",$M108&lt;&gt;$A$15)),
        IF(Import.TipoArredondamento&lt;&gt;"TransfereGOV",
              ROUND(OFFSET($P108,0,AU$13),15-13*ORÇAMENTO!$AF$7)/$H108*OFFSET(ORÇAMENTO!$X$15,ROW(AU108)-ROW(AU$15),0),
              ROUND(ROUND(OFFSET($P108,0,AU$13),15-13*ORÇAMENTO!$AF$7)*OFFSET(ORÇAMENTO!$W$15,ROW(AU108)-ROW(AU$15),0),15-13*ORÇAMENTO!$AF$11)),
         0)</f>
        <v>0</v>
      </c>
      <c r="AV108" s="453">
        <f ca="1">IF(AND($D108="Serviço",AV$12&lt;&gt;0,$H108&gt;0,OR(AUTOEVENTO&lt;&gt;"manual",$M108&lt;&gt;$A$15)),
        IF(Import.TipoArredondamento&lt;&gt;"TransfereGOV",
              ROUND(OFFSET($P108,0,AV$13),15-13*ORÇAMENTO!$AF$7)/$H108*OFFSET(ORÇAMENTO!$X$15,ROW(AV108)-ROW(AV$15),0),
              ROUND(ROUND(OFFSET($P108,0,AV$13),15-13*ORÇAMENTO!$AF$7)*OFFSET(ORÇAMENTO!$W$15,ROW(AV108)-ROW(AV$15),0),15-13*ORÇAMENTO!$AF$11)),
         0)</f>
        <v>0</v>
      </c>
      <c r="AW108" s="453">
        <f ca="1">IF(AND($D108="Serviço",AW$12&lt;&gt;0,$H108&gt;0,OR(AUTOEVENTO&lt;&gt;"manual",$M108&lt;&gt;$A$15)),
        IF(Import.TipoArredondamento&lt;&gt;"TransfereGOV",
              ROUND(OFFSET($P108,0,AW$13),15-13*ORÇAMENTO!$AF$7)/$H108*OFFSET(ORÇAMENTO!$X$15,ROW(AW108)-ROW(AW$15),0),
              ROUND(ROUND(OFFSET($P108,0,AW$13),15-13*ORÇAMENTO!$AF$7)*OFFSET(ORÇAMENTO!$W$15,ROW(AW108)-ROW(AW$15),0),15-13*ORÇAMENTO!$AF$11)),
         0)</f>
        <v>0</v>
      </c>
      <c r="AX108" s="453">
        <f ca="1">IF(AND($D108="Serviço",AX$12&lt;&gt;0,$H108&gt;0,OR(AUTOEVENTO&lt;&gt;"manual",$M108&lt;&gt;$A$15)),
        IF(Import.TipoArredondamento&lt;&gt;"TransfereGOV",
              ROUND(OFFSET($P108,0,AX$13),15-13*ORÇAMENTO!$AF$7)/$H108*OFFSET(ORÇAMENTO!$X$15,ROW(AX108)-ROW(AX$15),0),
              ROUND(ROUND(OFFSET($P108,0,AX$13),15-13*ORÇAMENTO!$AF$7)*OFFSET(ORÇAMENTO!$W$15,ROW(AX108)-ROW(AX$15),0),15-13*ORÇAMENTO!$AF$11)),
         0)</f>
        <v>0</v>
      </c>
      <c r="AY108" s="453">
        <f ca="1">IF(AND($D108="Serviço",AY$12&lt;&gt;0,$H108&gt;0,OR(AUTOEVENTO&lt;&gt;"manual",$M108&lt;&gt;$A$15)),
        IF(Import.TipoArredondamento&lt;&gt;"TransfereGOV",
              ROUND(OFFSET($P108,0,AY$13),15-13*ORÇAMENTO!$AF$7)/$H108*OFFSET(ORÇAMENTO!$X$15,ROW(AY108)-ROW(AY$15),0),
              ROUND(ROUND(OFFSET($P108,0,AY$13),15-13*ORÇAMENTO!$AF$7)*OFFSET(ORÇAMENTO!$W$15,ROW(AY108)-ROW(AY$15),0),15-13*ORÇAMENTO!$AF$11)),
         0)</f>
        <v>0</v>
      </c>
      <c r="AZ108" s="453">
        <f ca="1">IF(AND($D108="Serviço",AZ$12&lt;&gt;0,$H108&gt;0,OR(AUTOEVENTO&lt;&gt;"manual",$M108&lt;&gt;$A$15)),
        IF(Import.TipoArredondamento&lt;&gt;"TransfereGOV",
              ROUND(OFFSET($P108,0,AZ$13),15-13*ORÇAMENTO!$AF$7)/$H108*OFFSET(ORÇAMENTO!$X$15,ROW(AZ108)-ROW(AZ$15),0),
              ROUND(ROUND(OFFSET($P108,0,AZ$13),15-13*ORÇAMENTO!$AF$7)*OFFSET(ORÇAMENTO!$W$15,ROW(AZ108)-ROW(AZ$15),0),15-13*ORÇAMENTO!$AF$11)),
         0)</f>
        <v>0</v>
      </c>
      <c r="BA108" s="453">
        <f ca="1">IF(AND($D108="Serviço",BA$12&lt;&gt;0,$H108&gt;0,OR(AUTOEVENTO&lt;&gt;"manual",$M108&lt;&gt;$A$15)),
        IF(Import.TipoArredondamento&lt;&gt;"TransfereGOV",
              ROUND(OFFSET($P108,0,BA$13),15-13*ORÇAMENTO!$AF$7)/$H108*OFFSET(ORÇAMENTO!$X$15,ROW(BA108)-ROW(BA$15),0),
              ROUND(ROUND(OFFSET($P108,0,BA$13),15-13*ORÇAMENTO!$AF$7)*OFFSET(ORÇAMENTO!$W$15,ROW(BA108)-ROW(BA$15),0),15-13*ORÇAMENTO!$AF$11)),
         0)</f>
        <v>0</v>
      </c>
      <c r="BB108" s="453">
        <f ca="1">IF(AND($D108="Serviço",BB$12&lt;&gt;0,$H108&gt;0,OR(AUTOEVENTO&lt;&gt;"manual",$M108&lt;&gt;$A$15)),
        IF(Import.TipoArredondamento&lt;&gt;"TransfereGOV",
              ROUND(OFFSET($P108,0,BB$13),15-13*ORÇAMENTO!$AF$7)/$H108*OFFSET(ORÇAMENTO!$X$15,ROW(BB108)-ROW(BB$15),0),
              ROUND(ROUND(OFFSET($P108,0,BB$13),15-13*ORÇAMENTO!$AF$7)*OFFSET(ORÇAMENTO!$W$15,ROW(BB108)-ROW(BB$15),0),15-13*ORÇAMENTO!$AF$11)),
         0)</f>
        <v>0</v>
      </c>
      <c r="BC108" s="453">
        <f ca="1">IF(AND($D108="Serviço",BC$12&lt;&gt;0,$H108&gt;0,OR(AUTOEVENTO&lt;&gt;"manual",$M108&lt;&gt;$A$15)),
        IF(Import.TipoArredondamento&lt;&gt;"TransfereGOV",
              ROUND(OFFSET($P108,0,BC$13),15-13*ORÇAMENTO!$AF$7)/$H108*OFFSET(ORÇAMENTO!$X$15,ROW(BC108)-ROW(BC$15),0),
              ROUND(ROUND(OFFSET($P108,0,BC$13),15-13*ORÇAMENTO!$AF$7)*OFFSET(ORÇAMENTO!$W$15,ROW(BC108)-ROW(BC$15),0),15-13*ORÇAMENTO!$AF$11)),
         0)</f>
        <v>0</v>
      </c>
      <c r="BD108" s="453">
        <f ca="1">IF(AND($D108="Serviço",BD$12&lt;&gt;0,$H108&gt;0,OR(AUTOEVENTO&lt;&gt;"manual",$M108&lt;&gt;$A$15)),
        IF(Import.TipoArredondamento&lt;&gt;"TransfereGOV",
              ROUND(OFFSET($P108,0,BD$13),15-13*ORÇAMENTO!$AF$7)/$H108*OFFSET(ORÇAMENTO!$X$15,ROW(BD108)-ROW(BD$15),0),
              ROUND(ROUND(OFFSET($P108,0,BD$13),15-13*ORÇAMENTO!$AF$7)*OFFSET(ORÇAMENTO!$W$15,ROW(BD108)-ROW(BD$15),0),15-13*ORÇAMENTO!$AF$11)),
         0)</f>
        <v>0</v>
      </c>
      <c r="BE108" s="453">
        <f ca="1">IF(AND($D108="Serviço",BE$12&lt;&gt;0,$H108&gt;0,OR(AUTOEVENTO&lt;&gt;"manual",$M108&lt;&gt;$A$15)),
        IF(Import.TipoArredondamento&lt;&gt;"TransfereGOV",
              ROUND(OFFSET($P108,0,BE$13),15-13*ORÇAMENTO!$AF$7)/$H108*OFFSET(ORÇAMENTO!$X$15,ROW(BE108)-ROW(BE$15),0),
              ROUND(ROUND(OFFSET($P108,0,BE$13),15-13*ORÇAMENTO!$AF$7)*OFFSET(ORÇAMENTO!$W$15,ROW(BE108)-ROW(BE$15),0),15-13*ORÇAMENTO!$AF$11)),
         0)</f>
        <v>0</v>
      </c>
      <c r="BF108" s="453">
        <f ca="1">IF(AND($D108="Serviço",BF$12&lt;&gt;0,$H108&gt;0,OR(AUTOEVENTO&lt;&gt;"manual",$M108&lt;&gt;$A$15)),
        IF(Import.TipoArredondamento&lt;&gt;"TransfereGOV",
              ROUND(OFFSET($P108,0,BF$13),15-13*ORÇAMENTO!$AF$7)/$H108*OFFSET(ORÇAMENTO!$X$15,ROW(BF108)-ROW(BF$15),0),
              ROUND(ROUND(OFFSET($P108,0,BF$13),15-13*ORÇAMENTO!$AF$7)*OFFSET(ORÇAMENTO!$W$15,ROW(BF108)-ROW(BF$15),0),15-13*ORÇAMENTO!$AF$11)),
         0)</f>
        <v>0</v>
      </c>
      <c r="BG108" s="453">
        <f ca="1">IF(AND($D108="Serviço",BG$12&lt;&gt;0,$H108&gt;0,OR(AUTOEVENTO&lt;&gt;"manual",$M108&lt;&gt;$A$15)),
        IF(Import.TipoArredondamento&lt;&gt;"TransfereGOV",
              ROUND(OFFSET($P108,0,BG$13),15-13*ORÇAMENTO!$AF$7)/$H108*OFFSET(ORÇAMENTO!$X$15,ROW(BG108)-ROW(BG$15),0),
              ROUND(ROUND(OFFSET($P108,0,BG$13),15-13*ORÇAMENTO!$AF$7)*OFFSET(ORÇAMENTO!$W$15,ROW(BG108)-ROW(BG$15),0),15-13*ORÇAMENTO!$AF$11)),
         0)</f>
        <v>0</v>
      </c>
      <c r="BH108" s="453">
        <f ca="1">IF(AND($D108="Serviço",BH$12&lt;&gt;0,$H108&gt;0,OR(AUTOEVENTO&lt;&gt;"manual",$M108&lt;&gt;$A$15)),
        IF(Import.TipoArredondamento&lt;&gt;"TransfereGOV",
              ROUND(OFFSET($P108,0,BH$13),15-13*ORÇAMENTO!$AF$7)/$H108*OFFSET(ORÇAMENTO!$X$15,ROW(BH108)-ROW(BH$15),0),
              ROUND(ROUND(OFFSET($P108,0,BH$13),15-13*ORÇAMENTO!$AF$7)*OFFSET(ORÇAMENTO!$W$15,ROW(BH108)-ROW(BH$15),0),15-13*ORÇAMENTO!$AF$11)),
         0)</f>
        <v>0</v>
      </c>
      <c r="BI108" s="453">
        <f ca="1">IF(AND($D108="Serviço",BI$12&lt;&gt;0,$H108&gt;0,OR(AUTOEVENTO&lt;&gt;"manual",$M108&lt;&gt;$A$15)),
        IF(Import.TipoArredondamento&lt;&gt;"TransfereGOV",
              ROUND(OFFSET($P108,0,BI$13),15-13*ORÇAMENTO!$AF$7)/$H108*OFFSET(ORÇAMENTO!$X$15,ROW(BI108)-ROW(BI$15),0),
              ROUND(ROUND(OFFSET($P108,0,BI$13),15-13*ORÇAMENTO!$AF$7)*OFFSET(ORÇAMENTO!$W$15,ROW(BI108)-ROW(BI$15),0),15-13*ORÇAMENTO!$AF$11)),
         0)</f>
        <v>0</v>
      </c>
      <c r="BJ108" s="453">
        <f ca="1">IF(AND($D108="Serviço",BJ$12&lt;&gt;0,$H108&gt;0,OR(AUTOEVENTO&lt;&gt;"manual",$M108&lt;&gt;$A$15)),
        IF(Import.TipoArredondamento&lt;&gt;"TransfereGOV",
              ROUND(OFFSET($P108,0,BJ$13),15-13*ORÇAMENTO!$AF$7)/$H108*OFFSET(ORÇAMENTO!$X$15,ROW(BJ108)-ROW(BJ$15),0),
              ROUND(ROUND(OFFSET($P108,0,BJ$13),15-13*ORÇAMENTO!$AF$7)*OFFSET(ORÇAMENTO!$W$15,ROW(BJ108)-ROW(BJ$15),0),15-13*ORÇAMENTO!$AF$11)),
         0)</f>
        <v>0</v>
      </c>
      <c r="BK108" s="453">
        <f ca="1">IF(AND($D108="Serviço",BK$12&lt;&gt;0,$H108&gt;0,OR(AUTOEVENTO&lt;&gt;"manual",$M108&lt;&gt;$A$15)),
        IF(Import.TipoArredondamento&lt;&gt;"TransfereGOV",
              ROUND(OFFSET($P108,0,BK$13),15-13*ORÇAMENTO!$AF$7)/$H108*OFFSET(ORÇAMENTO!$X$15,ROW(BK108)-ROW(BK$15),0),
              ROUND(ROUND(OFFSET($P108,0,BK$13),15-13*ORÇAMENTO!$AF$7)*OFFSET(ORÇAMENTO!$W$15,ROW(BK108)-ROW(BK$15),0),15-13*ORÇAMENTO!$AF$11)),
         0)</f>
        <v>0</v>
      </c>
      <c r="BL108" s="453">
        <f ca="1">IF(AND($D108="Serviço",BL$12&lt;&gt;0,$H108&gt;0,OR(AUTOEVENTO&lt;&gt;"manual",$M108&lt;&gt;$A$15)),
        IF(Import.TipoArredondamento&lt;&gt;"TransfereGOV",
              ROUND(OFFSET($P108,0,BL$13),15-13*ORÇAMENTO!$AF$7)/$H108*OFFSET(ORÇAMENTO!$X$15,ROW(BL108)-ROW(BL$15),0),
              ROUND(ROUND(OFFSET($P108,0,BL$13),15-13*ORÇAMENTO!$AF$7)*OFFSET(ORÇAMENTO!$W$15,ROW(BL108)-ROW(BL$15),0),15-13*ORÇAMENTO!$AF$11)),
         0)</f>
        <v>0</v>
      </c>
      <c r="BM108" s="453">
        <f ca="1">IF(AND($D108="Serviço",BM$12&lt;&gt;0,$H108&gt;0,OR(AUTOEVENTO&lt;&gt;"manual",$M108&lt;&gt;$A$15)),
        IF(Import.TipoArredondamento&lt;&gt;"TransfereGOV",
              ROUND(OFFSET($P108,0,BM$13),15-13*ORÇAMENTO!$AF$7)/$H108*OFFSET(ORÇAMENTO!$X$15,ROW(BM108)-ROW(BM$15),0),
              ROUND(ROUND(OFFSET($P108,0,BM$13),15-13*ORÇAMENTO!$AF$7)*OFFSET(ORÇAMENTO!$W$15,ROW(BM108)-ROW(BM$15),0),15-13*ORÇAMENTO!$AF$11)),
         0)</f>
        <v>0</v>
      </c>
      <c r="BN108" s="453">
        <f ca="1">IF(AND($D108="Serviço",BN$12&lt;&gt;0,$H108&gt;0,OR(AUTOEVENTO&lt;&gt;"manual",$M108&lt;&gt;$A$15)),
        IF(Import.TipoArredondamento&lt;&gt;"TransfereGOV",
              ROUND(OFFSET($P108,0,BN$13),15-13*ORÇAMENTO!$AF$7)/$H108*OFFSET(ORÇAMENTO!$X$15,ROW(BN108)-ROW(BN$15),0),
              ROUND(ROUND(OFFSET($P108,0,BN$13),15-13*ORÇAMENTO!$AF$7)*OFFSET(ORÇAMENTO!$W$15,ROW(BN108)-ROW(BN$15),0),15-13*ORÇAMENTO!$AF$11)),
         0)</f>
        <v>0</v>
      </c>
      <c r="BO108" s="453">
        <f ca="1">IF(AND($D108="Serviço",BO$12&lt;&gt;0,$H108&gt;0,OR(AUTOEVENTO&lt;&gt;"manual",$M108&lt;&gt;$A$15)),
        IF(Import.TipoArredondamento&lt;&gt;"TransfereGOV",
              ROUND(OFFSET($P108,0,BO$13),15-13*ORÇAMENTO!$AF$7)/$H108*OFFSET(ORÇAMENTO!$X$15,ROW(BO108)-ROW(BO$15),0),
              ROUND(ROUND(OFFSET($P108,0,BO$13),15-13*ORÇAMENTO!$AF$7)*OFFSET(ORÇAMENTO!$W$15,ROW(BO108)-ROW(BO$15),0),15-13*ORÇAMENTO!$AF$11)),
         0)</f>
        <v>0</v>
      </c>
      <c r="BP108" s="453">
        <f ca="1">IF(AND($D108="Serviço",BP$12&lt;&gt;0,$H108&gt;0,OR(AUTOEVENTO&lt;&gt;"manual",$M108&lt;&gt;$A$15)),
        IF(Import.TipoArredondamento&lt;&gt;"TransfereGOV",
              ROUND(OFFSET($P108,0,BP$13),15-13*ORÇAMENTO!$AF$7)/$H108*OFFSET(ORÇAMENTO!$X$15,ROW(BP108)-ROW(BP$15),0),
              ROUND(ROUND(OFFSET($P108,0,BP$13),15-13*ORÇAMENTO!$AF$7)*OFFSET(ORÇAMENTO!$W$15,ROW(BP108)-ROW(BP$15),0),15-13*ORÇAMENTO!$AF$11)),
         0)</f>
        <v>0</v>
      </c>
      <c r="BQ108" s="453">
        <f ca="1">IF(AND($D108="Serviço",BQ$12&lt;&gt;0,$H108&gt;0,OR(AUTOEVENTO&lt;&gt;"manual",$M108&lt;&gt;$A$15)),
        IF(Import.TipoArredondamento&lt;&gt;"TransfereGOV",
              ROUND(OFFSET($P108,0,BQ$13),15-13*ORÇAMENTO!$AF$7)/$H108*OFFSET(ORÇAMENTO!$X$15,ROW(BQ108)-ROW(BQ$15),0),
              ROUND(ROUND(OFFSET($P108,0,BQ$13),15-13*ORÇAMENTO!$AF$7)*OFFSET(ORÇAMENTO!$W$15,ROW(BQ108)-ROW(BQ$15),0),15-13*ORÇAMENTO!$AF$11)),
         0)</f>
        <v>0</v>
      </c>
      <c r="BS108" s="171">
        <f ca="1">IF(OR($D108&lt;&gt;"Serviço",AND(AUTOEVENTO="Manual",$M108=$A$15)),0,
         IF(OFFSET(CRONOPLE!$F$15,$M108-$A$15,BS$13)=0,10^12,OFFSET(CRONOPLE!$F$15,$M108-$A$15,BS$13)))</f>
        <v>1</v>
      </c>
      <c r="BT108" s="171">
        <f ca="1">IF(OR($D108&lt;&gt;"Serviço",AND(AUTOEVENTO="Manual",$M108=$A$15)),0,
         IF(OFFSET(CRONOPLE!$F$15,$M108-$A$15,BT$13)=0,10^12,OFFSET(CRONOPLE!$F$15,$M108-$A$15,BT$13)))</f>
        <v>2</v>
      </c>
      <c r="BU108" s="171">
        <f ca="1">IF(OR($D108&lt;&gt;"Serviço",AND(AUTOEVENTO="Manual",$M108=$A$15)),0,
         IF(OFFSET(CRONOPLE!$F$15,$M108-$A$15,BU$13)=0,10^12,OFFSET(CRONOPLE!$F$15,$M108-$A$15,BU$13)))</f>
        <v>3</v>
      </c>
      <c r="BV108" s="171">
        <f ca="1">IF(OR($D108&lt;&gt;"Serviço",AND(AUTOEVENTO="Manual",$M108=$A$15)),0,
         IF(OFFSET(CRONOPLE!$F$15,$M108-$A$15,BV$13)=0,10^12,OFFSET(CRONOPLE!$F$15,$M108-$A$15,BV$13)))</f>
        <v>4</v>
      </c>
      <c r="BW108" s="171">
        <f ca="1">IF(OR($D108&lt;&gt;"Serviço",AND(AUTOEVENTO="Manual",$M108=$A$15)),0,
         IF(OFFSET(CRONOPLE!$F$15,$M108-$A$15,BW$13)=0,10^12,OFFSET(CRONOPLE!$F$15,$M108-$A$15,BW$13)))</f>
        <v>5</v>
      </c>
      <c r="BX108" s="171">
        <f ca="1">IF(OR($D108&lt;&gt;"Serviço",AND(AUTOEVENTO="Manual",$M108=$A$15)),0,
         IF(OFFSET(CRONOPLE!$F$15,$M108-$A$15,BX$13)=0,10^12,OFFSET(CRONOPLE!$F$15,$M108-$A$15,BX$13)))</f>
        <v>6</v>
      </c>
      <c r="BY108" s="171">
        <f ca="1">IF(OR($D108&lt;&gt;"Serviço",AND(AUTOEVENTO="Manual",$M108=$A$15)),0,
         IF(OFFSET(CRONOPLE!$F$15,$M108-$A$15,BY$13)=0,10^12,OFFSET(CRONOPLE!$F$15,$M108-$A$15,BY$13)))</f>
        <v>7</v>
      </c>
      <c r="BZ108" s="171">
        <f ca="1">IF(OR($D108&lt;&gt;"Serviço",AND(AUTOEVENTO="Manual",$M108=$A$15)),0,
         IF(OFFSET(CRONOPLE!$F$15,$M108-$A$15,BZ$13)=0,10^12,OFFSET(CRONOPLE!$F$15,$M108-$A$15,BZ$13)))</f>
        <v>8</v>
      </c>
      <c r="CA108" s="171">
        <f ca="1">IF(OR($D108&lt;&gt;"Serviço",AND(AUTOEVENTO="Manual",$M108=$A$15)),0,
         IF(OFFSET(CRONOPLE!$F$15,$M108-$A$15,CA$13)=0,10^12,OFFSET(CRONOPLE!$F$15,$M108-$A$15,CA$13)))</f>
        <v>9</v>
      </c>
      <c r="CB108" s="171">
        <f ca="1">IF(OR($D108&lt;&gt;"Serviço",AND(AUTOEVENTO="Manual",$M108=$A$15)),0,
         IF(OFFSET(CRONOPLE!$F$15,$M108-$A$15,CB$13)=0,10^12,OFFSET(CRONOPLE!$F$15,$M108-$A$15,CB$13)))</f>
        <v>10</v>
      </c>
      <c r="CC108" s="171">
        <f ca="1">IF(OR($D108&lt;&gt;"Serviço",AND(AUTOEVENTO="Manual",$M108=$A$15)),0,
         IF(OFFSET(CRONOPLE!$F$15,$M108-$A$15,CC$13)=0,10^12,OFFSET(CRONOPLE!$F$15,$M108-$A$15,CC$13)))</f>
        <v>11</v>
      </c>
      <c r="CD108" s="171">
        <f ca="1">IF(OR($D108&lt;&gt;"Serviço",AND(AUTOEVENTO="Manual",$M108=$A$15)),0,
         IF(OFFSET(CRONOPLE!$F$15,$M108-$A$15,CD$13)=0,10^12,OFFSET(CRONOPLE!$F$15,$M108-$A$15,CD$13)))</f>
        <v>12</v>
      </c>
      <c r="CE108" s="171">
        <f ca="1">IF(OR($D108&lt;&gt;"Serviço",AND(AUTOEVENTO="Manual",$M108=$A$15)),0,
         IF(OFFSET(CRONOPLE!$F$15,$M108-$A$15,CE$13)=0,10^12,OFFSET(CRONOPLE!$F$15,$M108-$A$15,CE$13)))</f>
        <v>13</v>
      </c>
      <c r="CF108" s="171">
        <f ca="1">IF(OR($D108&lt;&gt;"Serviço",AND(AUTOEVENTO="Manual",$M108=$A$15)),0,
         IF(OFFSET(CRONOPLE!$F$15,$M108-$A$15,CF$13)=0,10^12,OFFSET(CRONOPLE!$F$15,$M108-$A$15,CF$13)))</f>
        <v>14</v>
      </c>
      <c r="CG108" s="171">
        <f ca="1">IF(OR($D108&lt;&gt;"Serviço",AND(AUTOEVENTO="Manual",$M108=$A$15)),0,
         IF(OFFSET(CRONOPLE!$F$15,$M108-$A$15,CG$13)=0,10^12,OFFSET(CRONOPLE!$F$15,$M108-$A$15,CG$13)))</f>
        <v>15</v>
      </c>
      <c r="CH108" s="171">
        <f ca="1">IF(OR($D108&lt;&gt;"Serviço",AND(AUTOEVENTO="Manual",$M108=$A$15)),0,
         IF(OFFSET(CRONOPLE!$F$15,$M108-$A$15,CH$13)=0,10^12,OFFSET(CRONOPLE!$F$15,$M108-$A$15,CH$13)))</f>
        <v>16</v>
      </c>
      <c r="CI108" s="171">
        <f ca="1">IF(OR($D108&lt;&gt;"Serviço",AND(AUTOEVENTO="Manual",$M108=$A$15)),0,
         IF(OFFSET(CRONOPLE!$F$15,$M108-$A$15,CI$13)=0,10^12,OFFSET(CRONOPLE!$F$15,$M108-$A$15,CI$13)))</f>
        <v>17</v>
      </c>
      <c r="CJ108" s="171">
        <f ca="1">IF(OR($D108&lt;&gt;"Serviço",AND(AUTOEVENTO="Manual",$M108=$A$15)),0,
         IF(OFFSET(CRONOPLE!$F$15,$M108-$A$15,CJ$13)=0,10^12,OFFSET(CRONOPLE!$F$15,$M108-$A$15,CJ$13)))</f>
        <v>18</v>
      </c>
      <c r="CK108" s="171">
        <f ca="1">IF(OR($D108&lt;&gt;"Serviço",AND(AUTOEVENTO="Manual",$M108=$A$15)),0,
         IF(OFFSET(CRONOPLE!$F$15,$M108-$A$15,CK$13)=0,10^12,OFFSET(CRONOPLE!$F$15,$M108-$A$15,CK$13)))</f>
        <v>19</v>
      </c>
      <c r="CL108" s="171">
        <f ca="1">IF(OR($D108&lt;&gt;"Serviço",AND(AUTOEVENTO="Manual",$M108=$A$15)),0,
         IF(OFFSET(CRONOPLE!$F$15,$M108-$A$15,CL$13)=0,10^12,OFFSET(CRONOPLE!$F$15,$M108-$A$15,CL$13)))</f>
        <v>20</v>
      </c>
      <c r="CM108" s="171">
        <f ca="1">IF(OR($D108&lt;&gt;"Serviço",AND(AUTOEVENTO="Manual",$M108=$A$15)),0,
         IF(OFFSET(CRONOPLE!$F$15,$M108-$A$15,CM$13)=0,10^12,OFFSET(CRONOPLE!$F$15,$M108-$A$15,CM$13)))</f>
        <v>1000000000000</v>
      </c>
      <c r="CN108" s="171">
        <f ca="1">IF(OR($D108&lt;&gt;"Serviço",AND(AUTOEVENTO="Manual",$M108=$A$15)),0,
         IF(OFFSET(CRONOPLE!$F$15,$M108-$A$15,CN$13)=0,10^12,OFFSET(CRONOPLE!$F$15,$M108-$A$15,CN$13)))</f>
        <v>1000000000000</v>
      </c>
      <c r="CO108" s="171">
        <f ca="1">IF(OR($D108&lt;&gt;"Serviço",AND(AUTOEVENTO="Manual",$M108=$A$15)),0,
         IF(OFFSET(CRONOPLE!$F$15,$M108-$A$15,CO$13)=0,10^12,OFFSET(CRONOPLE!$F$15,$M108-$A$15,CO$13)))</f>
        <v>1000000000000</v>
      </c>
      <c r="CP108" s="171">
        <f ca="1">IF(OR($D108&lt;&gt;"Serviço",AND(AUTOEVENTO="Manual",$M108=$A$15)),0,
         IF(OFFSET(CRONOPLE!$F$15,$M108-$A$15,CP$13)=0,10^12,OFFSET(CRONOPLE!$F$15,$M108-$A$15,CP$13)))</f>
        <v>1000000000000</v>
      </c>
      <c r="CQ108" s="171">
        <f ca="1">IF(OR($D108&lt;&gt;"Serviço",AND(AUTOEVENTO="Manual",$M108=$A$15)),0,
         IF(OFFSET(CRONOPLE!$F$15,$M108-$A$15,CQ$13)=0,10^12,OFFSET(CRONOPLE!$F$15,$M108-$A$15,CQ$13)))</f>
        <v>1000000000000</v>
      </c>
      <c r="CR108" s="171">
        <f ca="1">IF(OR($D108&lt;&gt;"Serviço",AND(AUTOEVENTO="Manual",$M108=$A$15)),0,
         IF(OFFSET(CRONOPLE!$F$15,$M108-$A$15,CR$13)=0,10^12,OFFSET(CRONOPLE!$F$15,$M108-$A$15,CR$13)))</f>
        <v>1000000000000</v>
      </c>
      <c r="CT108" s="172" cm="1">
        <f t="array" aca="1" ref="CT108" ca="1">IF(OR($D108&lt;&gt;"Serviço",AND(AUTOEVENTO="Manual",$M108=$A$15),$M108&gt;(ROW(PLE.lastrow)-ROW(PLE.firstrow))),0,
           IF(OFFSET(PLE!$G$15,$M108-$A$15,CT$13)="",10^12,OFFSET(PLE!$G$15,$M108-$A$15,CT$13)))</f>
        <v>1000000000000</v>
      </c>
      <c r="CU108" s="172" cm="1">
        <f t="array" aca="1" ref="CU108" ca="1">IF(OR($D108&lt;&gt;"Serviço",AND(AUTOEVENTO="Manual",$M108=$A$15),$M108&gt;(ROW(PLE.lastrow)-ROW(PLE.firstrow))),0,
           IF(OFFSET(PLE!$G$15,$M108-$A$15,CU$13)="",10^12,OFFSET(PLE!$G$15,$M108-$A$15,CU$13)))</f>
        <v>1000000000000</v>
      </c>
      <c r="CV108" s="172" cm="1">
        <f t="array" aca="1" ref="CV108" ca="1">IF(OR($D108&lt;&gt;"Serviço",AND(AUTOEVENTO="Manual",$M108=$A$15),$M108&gt;(ROW(PLE.lastrow)-ROW(PLE.firstrow))),0,
           IF(OFFSET(PLE!$G$15,$M108-$A$15,CV$13)="",10^12,OFFSET(PLE!$G$15,$M108-$A$15,CV$13)))</f>
        <v>1000000000000</v>
      </c>
      <c r="CW108" s="172" cm="1">
        <f t="array" aca="1" ref="CW108" ca="1">IF(OR($D108&lt;&gt;"Serviço",AND(AUTOEVENTO="Manual",$M108=$A$15),$M108&gt;(ROW(PLE.lastrow)-ROW(PLE.firstrow))),0,
           IF(OFFSET(PLE!$G$15,$M108-$A$15,CW$13)="",10^12,OFFSET(PLE!$G$15,$M108-$A$15,CW$13)))</f>
        <v>1000000000000</v>
      </c>
      <c r="CX108" s="172" cm="1">
        <f t="array" aca="1" ref="CX108" ca="1">IF(OR($D108&lt;&gt;"Serviço",AND(AUTOEVENTO="Manual",$M108=$A$15),$M108&gt;(ROW(PLE.lastrow)-ROW(PLE.firstrow))),0,
           IF(OFFSET(PLE!$G$15,$M108-$A$15,CX$13)="",10^12,OFFSET(PLE!$G$15,$M108-$A$15,CX$13)))</f>
        <v>1000000000000</v>
      </c>
      <c r="CY108" s="172" cm="1">
        <f t="array" aca="1" ref="CY108" ca="1">IF(OR($D108&lt;&gt;"Serviço",AND(AUTOEVENTO="Manual",$M108=$A$15),$M108&gt;(ROW(PLE.lastrow)-ROW(PLE.firstrow))),0,
           IF(OFFSET(PLE!$G$15,$M108-$A$15,CY$13)="",10^12,OFFSET(PLE!$G$15,$M108-$A$15,CY$13)))</f>
        <v>1000000000000</v>
      </c>
      <c r="CZ108" s="172" cm="1">
        <f t="array" aca="1" ref="CZ108" ca="1">IF(OR($D108&lt;&gt;"Serviço",AND(AUTOEVENTO="Manual",$M108=$A$15),$M108&gt;(ROW(PLE.lastrow)-ROW(PLE.firstrow))),0,
           IF(OFFSET(PLE!$G$15,$M108-$A$15,CZ$13)="",10^12,OFFSET(PLE!$G$15,$M108-$A$15,CZ$13)))</f>
        <v>1000000000000</v>
      </c>
      <c r="DA108" s="172" cm="1">
        <f t="array" aca="1" ref="DA108" ca="1">IF(OR($D108&lt;&gt;"Serviço",AND(AUTOEVENTO="Manual",$M108=$A$15),$M108&gt;(ROW(PLE.lastrow)-ROW(PLE.firstrow))),0,
           IF(OFFSET(PLE!$G$15,$M108-$A$15,DA$13)="",10^12,OFFSET(PLE!$G$15,$M108-$A$15,DA$13)))</f>
        <v>1000000000000</v>
      </c>
      <c r="DB108" s="172" cm="1">
        <f t="array" aca="1" ref="DB108" ca="1">IF(OR($D108&lt;&gt;"Serviço",AND(AUTOEVENTO="Manual",$M108=$A$15),$M108&gt;(ROW(PLE.lastrow)-ROW(PLE.firstrow))),0,
           IF(OFFSET(PLE!$G$15,$M108-$A$15,DB$13)="",10^12,OFFSET(PLE!$G$15,$M108-$A$15,DB$13)))</f>
        <v>1000000000000</v>
      </c>
      <c r="DC108" s="172" cm="1">
        <f t="array" aca="1" ref="DC108" ca="1">IF(OR($D108&lt;&gt;"Serviço",AND(AUTOEVENTO="Manual",$M108=$A$15),$M108&gt;(ROW(PLE.lastrow)-ROW(PLE.firstrow))),0,
           IF(OFFSET(PLE!$G$15,$M108-$A$15,DC$13)="",10^12,OFFSET(PLE!$G$15,$M108-$A$15,DC$13)))</f>
        <v>1000000000000</v>
      </c>
      <c r="DD108" s="172" cm="1">
        <f t="array" aca="1" ref="DD108" ca="1">IF(OR($D108&lt;&gt;"Serviço",AND(AUTOEVENTO="Manual",$M108=$A$15),$M108&gt;(ROW(PLE.lastrow)-ROW(PLE.firstrow))),0,
           IF(OFFSET(PLE!$G$15,$M108-$A$15,DD$13)="",10^12,OFFSET(PLE!$G$15,$M108-$A$15,DD$13)))</f>
        <v>1000000000000</v>
      </c>
      <c r="DE108" s="172" cm="1">
        <f t="array" aca="1" ref="DE108" ca="1">IF(OR($D108&lt;&gt;"Serviço",AND(AUTOEVENTO="Manual",$M108=$A$15),$M108&gt;(ROW(PLE.lastrow)-ROW(PLE.firstrow))),0,
           IF(OFFSET(PLE!$G$15,$M108-$A$15,DE$13)="",10^12,OFFSET(PLE!$G$15,$M108-$A$15,DE$13)))</f>
        <v>1000000000000</v>
      </c>
      <c r="DF108" s="172" cm="1">
        <f t="array" aca="1" ref="DF108" ca="1">IF(OR($D108&lt;&gt;"Serviço",AND(AUTOEVENTO="Manual",$M108=$A$15),$M108&gt;(ROW(PLE.lastrow)-ROW(PLE.firstrow))),0,
           IF(OFFSET(PLE!$G$15,$M108-$A$15,DF$13)="",10^12,OFFSET(PLE!$G$15,$M108-$A$15,DF$13)))</f>
        <v>1000000000000</v>
      </c>
      <c r="DG108" s="172" cm="1">
        <f t="array" aca="1" ref="DG108" ca="1">IF(OR($D108&lt;&gt;"Serviço",AND(AUTOEVENTO="Manual",$M108=$A$15),$M108&gt;(ROW(PLE.lastrow)-ROW(PLE.firstrow))),0,
           IF(OFFSET(PLE!$G$15,$M108-$A$15,DG$13)="",10^12,OFFSET(PLE!$G$15,$M108-$A$15,DG$13)))</f>
        <v>1000000000000</v>
      </c>
      <c r="DH108" s="172" cm="1">
        <f t="array" aca="1" ref="DH108" ca="1">IF(OR($D108&lt;&gt;"Serviço",AND(AUTOEVENTO="Manual",$M108=$A$15),$M108&gt;(ROW(PLE.lastrow)-ROW(PLE.firstrow))),0,
           IF(OFFSET(PLE!$G$15,$M108-$A$15,DH$13)="",10^12,OFFSET(PLE!$G$15,$M108-$A$15,DH$13)))</f>
        <v>1000000000000</v>
      </c>
      <c r="DI108" s="172" cm="1">
        <f t="array" aca="1" ref="DI108" ca="1">IF(OR($D108&lt;&gt;"Serviço",AND(AUTOEVENTO="Manual",$M108=$A$15),$M108&gt;(ROW(PLE.lastrow)-ROW(PLE.firstrow))),0,
           IF(OFFSET(PLE!$G$15,$M108-$A$15,DI$13)="",10^12,OFFSET(PLE!$G$15,$M108-$A$15,DI$13)))</f>
        <v>1000000000000</v>
      </c>
      <c r="DJ108" s="172" cm="1">
        <f t="array" aca="1" ref="DJ108" ca="1">IF(OR($D108&lt;&gt;"Serviço",AND(AUTOEVENTO="Manual",$M108=$A$15),$M108&gt;(ROW(PLE.lastrow)-ROW(PLE.firstrow))),0,
           IF(OFFSET(PLE!$G$15,$M108-$A$15,DJ$13)="",10^12,OFFSET(PLE!$G$15,$M108-$A$15,DJ$13)))</f>
        <v>1000000000000</v>
      </c>
      <c r="DK108" s="172" cm="1">
        <f t="array" aca="1" ref="DK108" ca="1">IF(OR($D108&lt;&gt;"Serviço",AND(AUTOEVENTO="Manual",$M108=$A$15),$M108&gt;(ROW(PLE.lastrow)-ROW(PLE.firstrow))),0,
           IF(OFFSET(PLE!$G$15,$M108-$A$15,DK$13)="",10^12,OFFSET(PLE!$G$15,$M108-$A$15,DK$13)))</f>
        <v>1000000000000</v>
      </c>
      <c r="DL108" s="172" cm="1">
        <f t="array" aca="1" ref="DL108" ca="1">IF(OR($D108&lt;&gt;"Serviço",AND(AUTOEVENTO="Manual",$M108=$A$15),$M108&gt;(ROW(PLE.lastrow)-ROW(PLE.firstrow))),0,
           IF(OFFSET(PLE!$G$15,$M108-$A$15,DL$13)="",10^12,OFFSET(PLE!$G$15,$M108-$A$15,DL$13)))</f>
        <v>1000000000000</v>
      </c>
      <c r="DM108" s="172" cm="1">
        <f t="array" aca="1" ref="DM108" ca="1">IF(OR($D108&lt;&gt;"Serviço",AND(AUTOEVENTO="Manual",$M108=$A$15),$M108&gt;(ROW(PLE.lastrow)-ROW(PLE.firstrow))),0,
           IF(OFFSET(PLE!$G$15,$M108-$A$15,DM$13)="",10^12,OFFSET(PLE!$G$15,$M108-$A$15,DM$13)))</f>
        <v>1000000000000</v>
      </c>
      <c r="DN108" s="172" cm="1">
        <f t="array" aca="1" ref="DN108" ca="1">IF(OR($D108&lt;&gt;"Serviço",AND(AUTOEVENTO="Manual",$M108=$A$15),$M108&gt;(ROW(PLE.lastrow)-ROW(PLE.firstrow))),0,
           IF(OFFSET(PLE!$G$15,$M108-$A$15,DN$13)="",10^12,OFFSET(PLE!$G$15,$M108-$A$15,DN$13)))</f>
        <v>1000000000000</v>
      </c>
      <c r="DO108" s="172" cm="1">
        <f t="array" aca="1" ref="DO108" ca="1">IF(OR($D108&lt;&gt;"Serviço",AND(AUTOEVENTO="Manual",$M108=$A$15),$M108&gt;(ROW(PLE.lastrow)-ROW(PLE.firstrow))),0,
           IF(OFFSET(PLE!$G$15,$M108-$A$15,DO$13)="",10^12,OFFSET(PLE!$G$15,$M108-$A$15,DO$13)))</f>
        <v>1000000000000</v>
      </c>
      <c r="DP108" s="172" cm="1">
        <f t="array" aca="1" ref="DP108" ca="1">IF(OR($D108&lt;&gt;"Serviço",AND(AUTOEVENTO="Manual",$M108=$A$15),$M108&gt;(ROW(PLE.lastrow)-ROW(PLE.firstrow))),0,
           IF(OFFSET(PLE!$G$15,$M108-$A$15,DP$13)="",10^12,OFFSET(PLE!$G$15,$M108-$A$15,DP$13)))</f>
        <v>1000000000000</v>
      </c>
      <c r="DQ108" s="172" cm="1">
        <f t="array" aca="1" ref="DQ108" ca="1">IF(OR($D108&lt;&gt;"Serviço",AND(AUTOEVENTO="Manual",$M108=$A$15),$M108&gt;(ROW(PLE.lastrow)-ROW(PLE.firstrow))),0,
           IF(OFFSET(PLE!$G$15,$M108-$A$15,DQ$13)="",10^12,OFFSET(PLE!$G$15,$M108-$A$15,DQ$13)))</f>
        <v>1000000000000</v>
      </c>
      <c r="DR108" s="172" cm="1">
        <f t="array" aca="1" ref="DR108" ca="1">IF(OR($D108&lt;&gt;"Serviço",AND(AUTOEVENTO="Manual",$M108=$A$15),$M108&gt;(ROW(PLE.lastrow)-ROW(PLE.firstrow))),0,
           IF(OFFSET(PLE!$G$15,$M108-$A$15,DR$13)="",10^12,OFFSET(PLE!$G$15,$M108-$A$15,DR$13)))</f>
        <v>1000000000000</v>
      </c>
      <c r="DS108" s="172" cm="1">
        <f t="array" aca="1" ref="DS108" ca="1">IF(OR($D108&lt;&gt;"Serviço",AND(AUTOEVENTO="Manual",$M108=$A$15),$M108&gt;(ROW(PLE.lastrow)-ROW(PLE.firstrow))),0,
           IF(OFFSET(PLE!$G$15,$M108-$A$15,DS$13)="",10^12,OFFSET(PLE!$G$15,$M108-$A$15,DS$13)))</f>
        <v>1000000000000</v>
      </c>
    </row>
    <row r="109" spans="1:123" ht="25.5" x14ac:dyDescent="0.2">
      <c r="A109" s="7">
        <f t="shared" ca="1" si="13"/>
        <v>7</v>
      </c>
      <c r="B109" s="7" t="str">
        <f ca="1">OFFSET(ORÇAMENTO!C$15,$L109,0)</f>
        <v>S</v>
      </c>
      <c r="C109" s="7" t="str">
        <f ca="1">OFFSET(ORÇAMENTO!L$15,$L109,0)</f>
        <v/>
      </c>
      <c r="D109" s="116" t="str">
        <f ca="1">OFFSET(ORÇAMENTO!N$15,$L109,0)</f>
        <v>Serviço</v>
      </c>
      <c r="E109" s="117" t="str">
        <f ca="1">OFFSET(ORÇAMENTO!O$15,$L109,0)</f>
        <v>-</v>
      </c>
      <c r="F109" s="163" t="str">
        <f ca="1">OFFSET(ORÇAMENTO!R$15,$L109,0)</f>
        <v>(Código não identificado nas referências)</v>
      </c>
      <c r="G109" s="164" t="str">
        <f ca="1">IF($D109&lt;&gt;"Serviço","",OFFSET(ORÇAMENTO!S$15,$L109,0))</f>
        <v>-</v>
      </c>
      <c r="H109" s="122" cm="1">
        <f t="array" aca="1" ref="H109" ca="1">IF($D109&lt;&gt;"Serviço",0,IF(ACOMPANHAMENTO="BM",ROUND(OFFSET(ORÇAMENTO!AJ$15,$L109,0),15-13*ORÇAMENTO!$AF$7),IF(IFERROR(CÁLCULO.FrentesPreenchidas,0)=0,0,SUM(ROUND(OFFSET($P109,0,1,1,CÁLCULO.FrentesPreenchidas),15-13*ORÇAMENTO!$AF$7)))))</f>
        <v>1215.9999999999995</v>
      </c>
      <c r="I109" s="468" t="s">
        <v>1235</v>
      </c>
      <c r="J109" s="651" t="str" cm="1">
        <f t="array" aca="1" ref="J109" ca="1">IF(OR(B109&lt;&gt;"S",CÁLCULO.FrentesPreenchidas=0),"",IF(AND(ACOMPANHAMENTO="PLE",AUTOEVENTO="Manual",OR(H109&gt;0,ORÇAMENTO!AC109="QUANT."),OR(K109="",M109=0,N109="")),"►E",IF(AND(ACOMPANHAMENTO="PLE",ORÇAMENTO!AC109="QUANT."),"►Q",IF(AND(ACOMPANHAMENTO="PLE",H109&lt;&gt;SUMPRODUCT(($Q$1:$AQ$1=1)*ROUND(Q109:AQ109,15))),"►S",IF(AND(COUNTIF($P$11:$AQ$11,"▼")=0,H109&gt;0,I109=""),"◄M","")))))</f>
        <v/>
      </c>
      <c r="K109" s="652" t="s">
        <v>1255</v>
      </c>
      <c r="L109" s="165">
        <f t="shared" ca="1" si="14"/>
        <v>94</v>
      </c>
      <c r="M109" s="166">
        <f ca="1">IF($D109&lt;&gt;"Serviço","",
          IF(AUTOEVENTO="manual",$A109,
                IF(ISERROR(MATCH($A109,$A$15:OFFSET($A109,-1,0),0)),MAX($M$15:OFFSET(M109,-1,0))+1,
                      INDEX($M$15:OFFSET(M109,-1,0),MATCH($A109,$A$15:OFFSET($A109,-1,0),0)))))</f>
        <v>7</v>
      </c>
      <c r="N109" s="167" t="str">
        <f ca="1">IF($D109&lt;&gt;"Serviço","",
         IF(AUTOEVENTO="Manual",
                IF($A109=0,"&lt;-- defina o número do agrupador",
                       OFFSET(EVENTOS!$D$15,$A109-$A$15,0)),
                OFFSET($F$15,$A109,0)))</f>
        <v>REVESTIMENTOS</v>
      </c>
      <c r="O109" s="168"/>
      <c r="Q109" s="168">
        <v>60.8</v>
      </c>
      <c r="R109" s="169">
        <v>60.8</v>
      </c>
      <c r="S109" s="169">
        <v>60.8</v>
      </c>
      <c r="T109" s="169">
        <v>60.8</v>
      </c>
      <c r="U109" s="169">
        <v>60.8</v>
      </c>
      <c r="V109" s="169">
        <v>60.8</v>
      </c>
      <c r="W109" s="169">
        <v>60.8</v>
      </c>
      <c r="X109" s="169">
        <v>60.8</v>
      </c>
      <c r="Y109" s="169">
        <v>60.8</v>
      </c>
      <c r="Z109" s="170">
        <v>60.8</v>
      </c>
      <c r="AA109" s="169">
        <v>60.8</v>
      </c>
      <c r="AB109" s="169">
        <v>60.8</v>
      </c>
      <c r="AC109" s="169">
        <v>60.8</v>
      </c>
      <c r="AD109" s="169">
        <v>60.8</v>
      </c>
      <c r="AE109" s="169">
        <v>60.8</v>
      </c>
      <c r="AF109" s="169">
        <v>60.8</v>
      </c>
      <c r="AG109" s="169">
        <v>60.8</v>
      </c>
      <c r="AH109" s="170">
        <v>60.8</v>
      </c>
      <c r="AI109" s="169">
        <v>60.8</v>
      </c>
      <c r="AJ109" s="169">
        <v>60.8</v>
      </c>
      <c r="AK109" s="169"/>
      <c r="AL109" s="169"/>
      <c r="AM109" s="169"/>
      <c r="AN109" s="169"/>
      <c r="AO109" s="169"/>
      <c r="AP109" s="170"/>
      <c r="AR109" s="453">
        <f ca="1">IF(AND($D109="Serviço",AR$12&lt;&gt;0,$H109&gt;0,OR(AUTOEVENTO&lt;&gt;"manual",$M109&lt;&gt;$A$15)),
        IF(Import.TipoArredondamento&lt;&gt;"TransfereGOV",
              ROUND(OFFSET($P109,0,AR$13),15-13*ORÇAMENTO!$AF$7)/$H109*OFFSET(ORÇAMENTO!$X$15,ROW(AR109)-ROW(AR$15),0),
              ROUND(ROUND(OFFSET($P109,0,AR$13),15-13*ORÇAMENTO!$AF$7)*OFFSET(ORÇAMENTO!$W$15,ROW(AR109)-ROW(AR$15),0),15-13*ORÇAMENTO!$AF$11)),
         0)</f>
        <v>0</v>
      </c>
      <c r="AS109" s="453">
        <f ca="1">IF(AND($D109="Serviço",AS$12&lt;&gt;0,$H109&gt;0,OR(AUTOEVENTO&lt;&gt;"manual",$M109&lt;&gt;$A$15)),
        IF(Import.TipoArredondamento&lt;&gt;"TransfereGOV",
              ROUND(OFFSET($P109,0,AS$13),15-13*ORÇAMENTO!$AF$7)/$H109*OFFSET(ORÇAMENTO!$X$15,ROW(AS109)-ROW(AS$15),0),
              ROUND(ROUND(OFFSET($P109,0,AS$13),15-13*ORÇAMENTO!$AF$7)*OFFSET(ORÇAMENTO!$W$15,ROW(AS109)-ROW(AS$15),0),15-13*ORÇAMENTO!$AF$11)),
         0)</f>
        <v>0</v>
      </c>
      <c r="AT109" s="453">
        <f ca="1">IF(AND($D109="Serviço",AT$12&lt;&gt;0,$H109&gt;0,OR(AUTOEVENTO&lt;&gt;"manual",$M109&lt;&gt;$A$15)),
        IF(Import.TipoArredondamento&lt;&gt;"TransfereGOV",
              ROUND(OFFSET($P109,0,AT$13),15-13*ORÇAMENTO!$AF$7)/$H109*OFFSET(ORÇAMENTO!$X$15,ROW(AT109)-ROW(AT$15),0),
              ROUND(ROUND(OFFSET($P109,0,AT$13),15-13*ORÇAMENTO!$AF$7)*OFFSET(ORÇAMENTO!$W$15,ROW(AT109)-ROW(AT$15),0),15-13*ORÇAMENTO!$AF$11)),
         0)</f>
        <v>0</v>
      </c>
      <c r="AU109" s="453">
        <f ca="1">IF(AND($D109="Serviço",AU$12&lt;&gt;0,$H109&gt;0,OR(AUTOEVENTO&lt;&gt;"manual",$M109&lt;&gt;$A$15)),
        IF(Import.TipoArredondamento&lt;&gt;"TransfereGOV",
              ROUND(OFFSET($P109,0,AU$13),15-13*ORÇAMENTO!$AF$7)/$H109*OFFSET(ORÇAMENTO!$X$15,ROW(AU109)-ROW(AU$15),0),
              ROUND(ROUND(OFFSET($P109,0,AU$13),15-13*ORÇAMENTO!$AF$7)*OFFSET(ORÇAMENTO!$W$15,ROW(AU109)-ROW(AU$15),0),15-13*ORÇAMENTO!$AF$11)),
         0)</f>
        <v>0</v>
      </c>
      <c r="AV109" s="453">
        <f ca="1">IF(AND($D109="Serviço",AV$12&lt;&gt;0,$H109&gt;0,OR(AUTOEVENTO&lt;&gt;"manual",$M109&lt;&gt;$A$15)),
        IF(Import.TipoArredondamento&lt;&gt;"TransfereGOV",
              ROUND(OFFSET($P109,0,AV$13),15-13*ORÇAMENTO!$AF$7)/$H109*OFFSET(ORÇAMENTO!$X$15,ROW(AV109)-ROW(AV$15),0),
              ROUND(ROUND(OFFSET($P109,0,AV$13),15-13*ORÇAMENTO!$AF$7)*OFFSET(ORÇAMENTO!$W$15,ROW(AV109)-ROW(AV$15),0),15-13*ORÇAMENTO!$AF$11)),
         0)</f>
        <v>0</v>
      </c>
      <c r="AW109" s="453">
        <f ca="1">IF(AND($D109="Serviço",AW$12&lt;&gt;0,$H109&gt;0,OR(AUTOEVENTO&lt;&gt;"manual",$M109&lt;&gt;$A$15)),
        IF(Import.TipoArredondamento&lt;&gt;"TransfereGOV",
              ROUND(OFFSET($P109,0,AW$13),15-13*ORÇAMENTO!$AF$7)/$H109*OFFSET(ORÇAMENTO!$X$15,ROW(AW109)-ROW(AW$15),0),
              ROUND(ROUND(OFFSET($P109,0,AW$13),15-13*ORÇAMENTO!$AF$7)*OFFSET(ORÇAMENTO!$W$15,ROW(AW109)-ROW(AW$15),0),15-13*ORÇAMENTO!$AF$11)),
         0)</f>
        <v>0</v>
      </c>
      <c r="AX109" s="453">
        <f ca="1">IF(AND($D109="Serviço",AX$12&lt;&gt;0,$H109&gt;0,OR(AUTOEVENTO&lt;&gt;"manual",$M109&lt;&gt;$A$15)),
        IF(Import.TipoArredondamento&lt;&gt;"TransfereGOV",
              ROUND(OFFSET($P109,0,AX$13),15-13*ORÇAMENTO!$AF$7)/$H109*OFFSET(ORÇAMENTO!$X$15,ROW(AX109)-ROW(AX$15),0),
              ROUND(ROUND(OFFSET($P109,0,AX$13),15-13*ORÇAMENTO!$AF$7)*OFFSET(ORÇAMENTO!$W$15,ROW(AX109)-ROW(AX$15),0),15-13*ORÇAMENTO!$AF$11)),
         0)</f>
        <v>0</v>
      </c>
      <c r="AY109" s="453">
        <f ca="1">IF(AND($D109="Serviço",AY$12&lt;&gt;0,$H109&gt;0,OR(AUTOEVENTO&lt;&gt;"manual",$M109&lt;&gt;$A$15)),
        IF(Import.TipoArredondamento&lt;&gt;"TransfereGOV",
              ROUND(OFFSET($P109,0,AY$13),15-13*ORÇAMENTO!$AF$7)/$H109*OFFSET(ORÇAMENTO!$X$15,ROW(AY109)-ROW(AY$15),0),
              ROUND(ROUND(OFFSET($P109,0,AY$13),15-13*ORÇAMENTO!$AF$7)*OFFSET(ORÇAMENTO!$W$15,ROW(AY109)-ROW(AY$15),0),15-13*ORÇAMENTO!$AF$11)),
         0)</f>
        <v>0</v>
      </c>
      <c r="AZ109" s="453">
        <f ca="1">IF(AND($D109="Serviço",AZ$12&lt;&gt;0,$H109&gt;0,OR(AUTOEVENTO&lt;&gt;"manual",$M109&lt;&gt;$A$15)),
        IF(Import.TipoArredondamento&lt;&gt;"TransfereGOV",
              ROUND(OFFSET($P109,0,AZ$13),15-13*ORÇAMENTO!$AF$7)/$H109*OFFSET(ORÇAMENTO!$X$15,ROW(AZ109)-ROW(AZ$15),0),
              ROUND(ROUND(OFFSET($P109,0,AZ$13),15-13*ORÇAMENTO!$AF$7)*OFFSET(ORÇAMENTO!$W$15,ROW(AZ109)-ROW(AZ$15),0),15-13*ORÇAMENTO!$AF$11)),
         0)</f>
        <v>0</v>
      </c>
      <c r="BA109" s="453">
        <f ca="1">IF(AND($D109="Serviço",BA$12&lt;&gt;0,$H109&gt;0,OR(AUTOEVENTO&lt;&gt;"manual",$M109&lt;&gt;$A$15)),
        IF(Import.TipoArredondamento&lt;&gt;"TransfereGOV",
              ROUND(OFFSET($P109,0,BA$13),15-13*ORÇAMENTO!$AF$7)/$H109*OFFSET(ORÇAMENTO!$X$15,ROW(BA109)-ROW(BA$15),0),
              ROUND(ROUND(OFFSET($P109,0,BA$13),15-13*ORÇAMENTO!$AF$7)*OFFSET(ORÇAMENTO!$W$15,ROW(BA109)-ROW(BA$15),0),15-13*ORÇAMENTO!$AF$11)),
         0)</f>
        <v>0</v>
      </c>
      <c r="BB109" s="453">
        <f ca="1">IF(AND($D109="Serviço",BB$12&lt;&gt;0,$H109&gt;0,OR(AUTOEVENTO&lt;&gt;"manual",$M109&lt;&gt;$A$15)),
        IF(Import.TipoArredondamento&lt;&gt;"TransfereGOV",
              ROUND(OFFSET($P109,0,BB$13),15-13*ORÇAMENTO!$AF$7)/$H109*OFFSET(ORÇAMENTO!$X$15,ROW(BB109)-ROW(BB$15),0),
              ROUND(ROUND(OFFSET($P109,0,BB$13),15-13*ORÇAMENTO!$AF$7)*OFFSET(ORÇAMENTO!$W$15,ROW(BB109)-ROW(BB$15),0),15-13*ORÇAMENTO!$AF$11)),
         0)</f>
        <v>0</v>
      </c>
      <c r="BC109" s="453">
        <f ca="1">IF(AND($D109="Serviço",BC$12&lt;&gt;0,$H109&gt;0,OR(AUTOEVENTO&lt;&gt;"manual",$M109&lt;&gt;$A$15)),
        IF(Import.TipoArredondamento&lt;&gt;"TransfereGOV",
              ROUND(OFFSET($P109,0,BC$13),15-13*ORÇAMENTO!$AF$7)/$H109*OFFSET(ORÇAMENTO!$X$15,ROW(BC109)-ROW(BC$15),0),
              ROUND(ROUND(OFFSET($P109,0,BC$13),15-13*ORÇAMENTO!$AF$7)*OFFSET(ORÇAMENTO!$W$15,ROW(BC109)-ROW(BC$15),0),15-13*ORÇAMENTO!$AF$11)),
         0)</f>
        <v>0</v>
      </c>
      <c r="BD109" s="453">
        <f ca="1">IF(AND($D109="Serviço",BD$12&lt;&gt;0,$H109&gt;0,OR(AUTOEVENTO&lt;&gt;"manual",$M109&lt;&gt;$A$15)),
        IF(Import.TipoArredondamento&lt;&gt;"TransfereGOV",
              ROUND(OFFSET($P109,0,BD$13),15-13*ORÇAMENTO!$AF$7)/$H109*OFFSET(ORÇAMENTO!$X$15,ROW(BD109)-ROW(BD$15),0),
              ROUND(ROUND(OFFSET($P109,0,BD$13),15-13*ORÇAMENTO!$AF$7)*OFFSET(ORÇAMENTO!$W$15,ROW(BD109)-ROW(BD$15),0),15-13*ORÇAMENTO!$AF$11)),
         0)</f>
        <v>0</v>
      </c>
      <c r="BE109" s="453">
        <f ca="1">IF(AND($D109="Serviço",BE$12&lt;&gt;0,$H109&gt;0,OR(AUTOEVENTO&lt;&gt;"manual",$M109&lt;&gt;$A$15)),
        IF(Import.TipoArredondamento&lt;&gt;"TransfereGOV",
              ROUND(OFFSET($P109,0,BE$13),15-13*ORÇAMENTO!$AF$7)/$H109*OFFSET(ORÇAMENTO!$X$15,ROW(BE109)-ROW(BE$15),0),
              ROUND(ROUND(OFFSET($P109,0,BE$13),15-13*ORÇAMENTO!$AF$7)*OFFSET(ORÇAMENTO!$W$15,ROW(BE109)-ROW(BE$15),0),15-13*ORÇAMENTO!$AF$11)),
         0)</f>
        <v>0</v>
      </c>
      <c r="BF109" s="453">
        <f ca="1">IF(AND($D109="Serviço",BF$12&lt;&gt;0,$H109&gt;0,OR(AUTOEVENTO&lt;&gt;"manual",$M109&lt;&gt;$A$15)),
        IF(Import.TipoArredondamento&lt;&gt;"TransfereGOV",
              ROUND(OFFSET($P109,0,BF$13),15-13*ORÇAMENTO!$AF$7)/$H109*OFFSET(ORÇAMENTO!$X$15,ROW(BF109)-ROW(BF$15),0),
              ROUND(ROUND(OFFSET($P109,0,BF$13),15-13*ORÇAMENTO!$AF$7)*OFFSET(ORÇAMENTO!$W$15,ROW(BF109)-ROW(BF$15),0),15-13*ORÇAMENTO!$AF$11)),
         0)</f>
        <v>0</v>
      </c>
      <c r="BG109" s="453">
        <f ca="1">IF(AND($D109="Serviço",BG$12&lt;&gt;0,$H109&gt;0,OR(AUTOEVENTO&lt;&gt;"manual",$M109&lt;&gt;$A$15)),
        IF(Import.TipoArredondamento&lt;&gt;"TransfereGOV",
              ROUND(OFFSET($P109,0,BG$13),15-13*ORÇAMENTO!$AF$7)/$H109*OFFSET(ORÇAMENTO!$X$15,ROW(BG109)-ROW(BG$15),0),
              ROUND(ROUND(OFFSET($P109,0,BG$13),15-13*ORÇAMENTO!$AF$7)*OFFSET(ORÇAMENTO!$W$15,ROW(BG109)-ROW(BG$15),0),15-13*ORÇAMENTO!$AF$11)),
         0)</f>
        <v>0</v>
      </c>
      <c r="BH109" s="453">
        <f ca="1">IF(AND($D109="Serviço",BH$12&lt;&gt;0,$H109&gt;0,OR(AUTOEVENTO&lt;&gt;"manual",$M109&lt;&gt;$A$15)),
        IF(Import.TipoArredondamento&lt;&gt;"TransfereGOV",
              ROUND(OFFSET($P109,0,BH$13),15-13*ORÇAMENTO!$AF$7)/$H109*OFFSET(ORÇAMENTO!$X$15,ROW(BH109)-ROW(BH$15),0),
              ROUND(ROUND(OFFSET($P109,0,BH$13),15-13*ORÇAMENTO!$AF$7)*OFFSET(ORÇAMENTO!$W$15,ROW(BH109)-ROW(BH$15),0),15-13*ORÇAMENTO!$AF$11)),
         0)</f>
        <v>0</v>
      </c>
      <c r="BI109" s="453">
        <f ca="1">IF(AND($D109="Serviço",BI$12&lt;&gt;0,$H109&gt;0,OR(AUTOEVENTO&lt;&gt;"manual",$M109&lt;&gt;$A$15)),
        IF(Import.TipoArredondamento&lt;&gt;"TransfereGOV",
              ROUND(OFFSET($P109,0,BI$13),15-13*ORÇAMENTO!$AF$7)/$H109*OFFSET(ORÇAMENTO!$X$15,ROW(BI109)-ROW(BI$15),0),
              ROUND(ROUND(OFFSET($P109,0,BI$13),15-13*ORÇAMENTO!$AF$7)*OFFSET(ORÇAMENTO!$W$15,ROW(BI109)-ROW(BI$15),0),15-13*ORÇAMENTO!$AF$11)),
         0)</f>
        <v>0</v>
      </c>
      <c r="BJ109" s="453">
        <f ca="1">IF(AND($D109="Serviço",BJ$12&lt;&gt;0,$H109&gt;0,OR(AUTOEVENTO&lt;&gt;"manual",$M109&lt;&gt;$A$15)),
        IF(Import.TipoArredondamento&lt;&gt;"TransfereGOV",
              ROUND(OFFSET($P109,0,BJ$13),15-13*ORÇAMENTO!$AF$7)/$H109*OFFSET(ORÇAMENTO!$X$15,ROW(BJ109)-ROW(BJ$15),0),
              ROUND(ROUND(OFFSET($P109,0,BJ$13),15-13*ORÇAMENTO!$AF$7)*OFFSET(ORÇAMENTO!$W$15,ROW(BJ109)-ROW(BJ$15),0),15-13*ORÇAMENTO!$AF$11)),
         0)</f>
        <v>0</v>
      </c>
      <c r="BK109" s="453">
        <f ca="1">IF(AND($D109="Serviço",BK$12&lt;&gt;0,$H109&gt;0,OR(AUTOEVENTO&lt;&gt;"manual",$M109&lt;&gt;$A$15)),
        IF(Import.TipoArredondamento&lt;&gt;"TransfereGOV",
              ROUND(OFFSET($P109,0,BK$13),15-13*ORÇAMENTO!$AF$7)/$H109*OFFSET(ORÇAMENTO!$X$15,ROW(BK109)-ROW(BK$15),0),
              ROUND(ROUND(OFFSET($P109,0,BK$13),15-13*ORÇAMENTO!$AF$7)*OFFSET(ORÇAMENTO!$W$15,ROW(BK109)-ROW(BK$15),0),15-13*ORÇAMENTO!$AF$11)),
         0)</f>
        <v>0</v>
      </c>
      <c r="BL109" s="453">
        <f ca="1">IF(AND($D109="Serviço",BL$12&lt;&gt;0,$H109&gt;0,OR(AUTOEVENTO&lt;&gt;"manual",$M109&lt;&gt;$A$15)),
        IF(Import.TipoArredondamento&lt;&gt;"TransfereGOV",
              ROUND(OFFSET($P109,0,BL$13),15-13*ORÇAMENTO!$AF$7)/$H109*OFFSET(ORÇAMENTO!$X$15,ROW(BL109)-ROW(BL$15),0),
              ROUND(ROUND(OFFSET($P109,0,BL$13),15-13*ORÇAMENTO!$AF$7)*OFFSET(ORÇAMENTO!$W$15,ROW(BL109)-ROW(BL$15),0),15-13*ORÇAMENTO!$AF$11)),
         0)</f>
        <v>0</v>
      </c>
      <c r="BM109" s="453">
        <f ca="1">IF(AND($D109="Serviço",BM$12&lt;&gt;0,$H109&gt;0,OR(AUTOEVENTO&lt;&gt;"manual",$M109&lt;&gt;$A$15)),
        IF(Import.TipoArredondamento&lt;&gt;"TransfereGOV",
              ROUND(OFFSET($P109,0,BM$13),15-13*ORÇAMENTO!$AF$7)/$H109*OFFSET(ORÇAMENTO!$X$15,ROW(BM109)-ROW(BM$15),0),
              ROUND(ROUND(OFFSET($P109,0,BM$13),15-13*ORÇAMENTO!$AF$7)*OFFSET(ORÇAMENTO!$W$15,ROW(BM109)-ROW(BM$15),0),15-13*ORÇAMENTO!$AF$11)),
         0)</f>
        <v>0</v>
      </c>
      <c r="BN109" s="453">
        <f ca="1">IF(AND($D109="Serviço",BN$12&lt;&gt;0,$H109&gt;0,OR(AUTOEVENTO&lt;&gt;"manual",$M109&lt;&gt;$A$15)),
        IF(Import.TipoArredondamento&lt;&gt;"TransfereGOV",
              ROUND(OFFSET($P109,0,BN$13),15-13*ORÇAMENTO!$AF$7)/$H109*OFFSET(ORÇAMENTO!$X$15,ROW(BN109)-ROW(BN$15),0),
              ROUND(ROUND(OFFSET($P109,0,BN$13),15-13*ORÇAMENTO!$AF$7)*OFFSET(ORÇAMENTO!$W$15,ROW(BN109)-ROW(BN$15),0),15-13*ORÇAMENTO!$AF$11)),
         0)</f>
        <v>0</v>
      </c>
      <c r="BO109" s="453">
        <f ca="1">IF(AND($D109="Serviço",BO$12&lt;&gt;0,$H109&gt;0,OR(AUTOEVENTO&lt;&gt;"manual",$M109&lt;&gt;$A$15)),
        IF(Import.TipoArredondamento&lt;&gt;"TransfereGOV",
              ROUND(OFFSET($P109,0,BO$13),15-13*ORÇAMENTO!$AF$7)/$H109*OFFSET(ORÇAMENTO!$X$15,ROW(BO109)-ROW(BO$15),0),
              ROUND(ROUND(OFFSET($P109,0,BO$13),15-13*ORÇAMENTO!$AF$7)*OFFSET(ORÇAMENTO!$W$15,ROW(BO109)-ROW(BO$15),0),15-13*ORÇAMENTO!$AF$11)),
         0)</f>
        <v>0</v>
      </c>
      <c r="BP109" s="453">
        <f ca="1">IF(AND($D109="Serviço",BP$12&lt;&gt;0,$H109&gt;0,OR(AUTOEVENTO&lt;&gt;"manual",$M109&lt;&gt;$A$15)),
        IF(Import.TipoArredondamento&lt;&gt;"TransfereGOV",
              ROUND(OFFSET($P109,0,BP$13),15-13*ORÇAMENTO!$AF$7)/$H109*OFFSET(ORÇAMENTO!$X$15,ROW(BP109)-ROW(BP$15),0),
              ROUND(ROUND(OFFSET($P109,0,BP$13),15-13*ORÇAMENTO!$AF$7)*OFFSET(ORÇAMENTO!$W$15,ROW(BP109)-ROW(BP$15),0),15-13*ORÇAMENTO!$AF$11)),
         0)</f>
        <v>0</v>
      </c>
      <c r="BQ109" s="453">
        <f ca="1">IF(AND($D109="Serviço",BQ$12&lt;&gt;0,$H109&gt;0,OR(AUTOEVENTO&lt;&gt;"manual",$M109&lt;&gt;$A$15)),
        IF(Import.TipoArredondamento&lt;&gt;"TransfereGOV",
              ROUND(OFFSET($P109,0,BQ$13),15-13*ORÇAMENTO!$AF$7)/$H109*OFFSET(ORÇAMENTO!$X$15,ROW(BQ109)-ROW(BQ$15),0),
              ROUND(ROUND(OFFSET($P109,0,BQ$13),15-13*ORÇAMENTO!$AF$7)*OFFSET(ORÇAMENTO!$W$15,ROW(BQ109)-ROW(BQ$15),0),15-13*ORÇAMENTO!$AF$11)),
         0)</f>
        <v>0</v>
      </c>
      <c r="BS109" s="171">
        <f ca="1">IF(OR($D109&lt;&gt;"Serviço",AND(AUTOEVENTO="Manual",$M109=$A$15)),0,
         IF(OFFSET(CRONOPLE!$F$15,$M109-$A$15,BS$13)=0,10^12,OFFSET(CRONOPLE!$F$15,$M109-$A$15,BS$13)))</f>
        <v>1</v>
      </c>
      <c r="BT109" s="171">
        <f ca="1">IF(OR($D109&lt;&gt;"Serviço",AND(AUTOEVENTO="Manual",$M109=$A$15)),0,
         IF(OFFSET(CRONOPLE!$F$15,$M109-$A$15,BT$13)=0,10^12,OFFSET(CRONOPLE!$F$15,$M109-$A$15,BT$13)))</f>
        <v>2</v>
      </c>
      <c r="BU109" s="171">
        <f ca="1">IF(OR($D109&lt;&gt;"Serviço",AND(AUTOEVENTO="Manual",$M109=$A$15)),0,
         IF(OFFSET(CRONOPLE!$F$15,$M109-$A$15,BU$13)=0,10^12,OFFSET(CRONOPLE!$F$15,$M109-$A$15,BU$13)))</f>
        <v>3</v>
      </c>
      <c r="BV109" s="171">
        <f ca="1">IF(OR($D109&lt;&gt;"Serviço",AND(AUTOEVENTO="Manual",$M109=$A$15)),0,
         IF(OFFSET(CRONOPLE!$F$15,$M109-$A$15,BV$13)=0,10^12,OFFSET(CRONOPLE!$F$15,$M109-$A$15,BV$13)))</f>
        <v>4</v>
      </c>
      <c r="BW109" s="171">
        <f ca="1">IF(OR($D109&lt;&gt;"Serviço",AND(AUTOEVENTO="Manual",$M109=$A$15)),0,
         IF(OFFSET(CRONOPLE!$F$15,$M109-$A$15,BW$13)=0,10^12,OFFSET(CRONOPLE!$F$15,$M109-$A$15,BW$13)))</f>
        <v>5</v>
      </c>
      <c r="BX109" s="171">
        <f ca="1">IF(OR($D109&lt;&gt;"Serviço",AND(AUTOEVENTO="Manual",$M109=$A$15)),0,
         IF(OFFSET(CRONOPLE!$F$15,$M109-$A$15,BX$13)=0,10^12,OFFSET(CRONOPLE!$F$15,$M109-$A$15,BX$13)))</f>
        <v>6</v>
      </c>
      <c r="BY109" s="171">
        <f ca="1">IF(OR($D109&lt;&gt;"Serviço",AND(AUTOEVENTO="Manual",$M109=$A$15)),0,
         IF(OFFSET(CRONOPLE!$F$15,$M109-$A$15,BY$13)=0,10^12,OFFSET(CRONOPLE!$F$15,$M109-$A$15,BY$13)))</f>
        <v>7</v>
      </c>
      <c r="BZ109" s="171">
        <f ca="1">IF(OR($D109&lt;&gt;"Serviço",AND(AUTOEVENTO="Manual",$M109=$A$15)),0,
         IF(OFFSET(CRONOPLE!$F$15,$M109-$A$15,BZ$13)=0,10^12,OFFSET(CRONOPLE!$F$15,$M109-$A$15,BZ$13)))</f>
        <v>8</v>
      </c>
      <c r="CA109" s="171">
        <f ca="1">IF(OR($D109&lt;&gt;"Serviço",AND(AUTOEVENTO="Manual",$M109=$A$15)),0,
         IF(OFFSET(CRONOPLE!$F$15,$M109-$A$15,CA$13)=0,10^12,OFFSET(CRONOPLE!$F$15,$M109-$A$15,CA$13)))</f>
        <v>9</v>
      </c>
      <c r="CB109" s="171">
        <f ca="1">IF(OR($D109&lt;&gt;"Serviço",AND(AUTOEVENTO="Manual",$M109=$A$15)),0,
         IF(OFFSET(CRONOPLE!$F$15,$M109-$A$15,CB$13)=0,10^12,OFFSET(CRONOPLE!$F$15,$M109-$A$15,CB$13)))</f>
        <v>10</v>
      </c>
      <c r="CC109" s="171">
        <f ca="1">IF(OR($D109&lt;&gt;"Serviço",AND(AUTOEVENTO="Manual",$M109=$A$15)),0,
         IF(OFFSET(CRONOPLE!$F$15,$M109-$A$15,CC$13)=0,10^12,OFFSET(CRONOPLE!$F$15,$M109-$A$15,CC$13)))</f>
        <v>11</v>
      </c>
      <c r="CD109" s="171">
        <f ca="1">IF(OR($D109&lt;&gt;"Serviço",AND(AUTOEVENTO="Manual",$M109=$A$15)),0,
         IF(OFFSET(CRONOPLE!$F$15,$M109-$A$15,CD$13)=0,10^12,OFFSET(CRONOPLE!$F$15,$M109-$A$15,CD$13)))</f>
        <v>12</v>
      </c>
      <c r="CE109" s="171">
        <f ca="1">IF(OR($D109&lt;&gt;"Serviço",AND(AUTOEVENTO="Manual",$M109=$A$15)),0,
         IF(OFFSET(CRONOPLE!$F$15,$M109-$A$15,CE$13)=0,10^12,OFFSET(CRONOPLE!$F$15,$M109-$A$15,CE$13)))</f>
        <v>13</v>
      </c>
      <c r="CF109" s="171">
        <f ca="1">IF(OR($D109&lt;&gt;"Serviço",AND(AUTOEVENTO="Manual",$M109=$A$15)),0,
         IF(OFFSET(CRONOPLE!$F$15,$M109-$A$15,CF$13)=0,10^12,OFFSET(CRONOPLE!$F$15,$M109-$A$15,CF$13)))</f>
        <v>14</v>
      </c>
      <c r="CG109" s="171">
        <f ca="1">IF(OR($D109&lt;&gt;"Serviço",AND(AUTOEVENTO="Manual",$M109=$A$15)),0,
         IF(OFFSET(CRONOPLE!$F$15,$M109-$A$15,CG$13)=0,10^12,OFFSET(CRONOPLE!$F$15,$M109-$A$15,CG$13)))</f>
        <v>15</v>
      </c>
      <c r="CH109" s="171">
        <f ca="1">IF(OR($D109&lt;&gt;"Serviço",AND(AUTOEVENTO="Manual",$M109=$A$15)),0,
         IF(OFFSET(CRONOPLE!$F$15,$M109-$A$15,CH$13)=0,10^12,OFFSET(CRONOPLE!$F$15,$M109-$A$15,CH$13)))</f>
        <v>16</v>
      </c>
      <c r="CI109" s="171">
        <f ca="1">IF(OR($D109&lt;&gt;"Serviço",AND(AUTOEVENTO="Manual",$M109=$A$15)),0,
         IF(OFFSET(CRONOPLE!$F$15,$M109-$A$15,CI$13)=0,10^12,OFFSET(CRONOPLE!$F$15,$M109-$A$15,CI$13)))</f>
        <v>17</v>
      </c>
      <c r="CJ109" s="171">
        <f ca="1">IF(OR($D109&lt;&gt;"Serviço",AND(AUTOEVENTO="Manual",$M109=$A$15)),0,
         IF(OFFSET(CRONOPLE!$F$15,$M109-$A$15,CJ$13)=0,10^12,OFFSET(CRONOPLE!$F$15,$M109-$A$15,CJ$13)))</f>
        <v>18</v>
      </c>
      <c r="CK109" s="171">
        <f ca="1">IF(OR($D109&lt;&gt;"Serviço",AND(AUTOEVENTO="Manual",$M109=$A$15)),0,
         IF(OFFSET(CRONOPLE!$F$15,$M109-$A$15,CK$13)=0,10^12,OFFSET(CRONOPLE!$F$15,$M109-$A$15,CK$13)))</f>
        <v>19</v>
      </c>
      <c r="CL109" s="171">
        <f ca="1">IF(OR($D109&lt;&gt;"Serviço",AND(AUTOEVENTO="Manual",$M109=$A$15)),0,
         IF(OFFSET(CRONOPLE!$F$15,$M109-$A$15,CL$13)=0,10^12,OFFSET(CRONOPLE!$F$15,$M109-$A$15,CL$13)))</f>
        <v>20</v>
      </c>
      <c r="CM109" s="171">
        <f ca="1">IF(OR($D109&lt;&gt;"Serviço",AND(AUTOEVENTO="Manual",$M109=$A$15)),0,
         IF(OFFSET(CRONOPLE!$F$15,$M109-$A$15,CM$13)=0,10^12,OFFSET(CRONOPLE!$F$15,$M109-$A$15,CM$13)))</f>
        <v>1000000000000</v>
      </c>
      <c r="CN109" s="171">
        <f ca="1">IF(OR($D109&lt;&gt;"Serviço",AND(AUTOEVENTO="Manual",$M109=$A$15)),0,
         IF(OFFSET(CRONOPLE!$F$15,$M109-$A$15,CN$13)=0,10^12,OFFSET(CRONOPLE!$F$15,$M109-$A$15,CN$13)))</f>
        <v>1000000000000</v>
      </c>
      <c r="CO109" s="171">
        <f ca="1">IF(OR($D109&lt;&gt;"Serviço",AND(AUTOEVENTO="Manual",$M109=$A$15)),0,
         IF(OFFSET(CRONOPLE!$F$15,$M109-$A$15,CO$13)=0,10^12,OFFSET(CRONOPLE!$F$15,$M109-$A$15,CO$13)))</f>
        <v>1000000000000</v>
      </c>
      <c r="CP109" s="171">
        <f ca="1">IF(OR($D109&lt;&gt;"Serviço",AND(AUTOEVENTO="Manual",$M109=$A$15)),0,
         IF(OFFSET(CRONOPLE!$F$15,$M109-$A$15,CP$13)=0,10^12,OFFSET(CRONOPLE!$F$15,$M109-$A$15,CP$13)))</f>
        <v>1000000000000</v>
      </c>
      <c r="CQ109" s="171">
        <f ca="1">IF(OR($D109&lt;&gt;"Serviço",AND(AUTOEVENTO="Manual",$M109=$A$15)),0,
         IF(OFFSET(CRONOPLE!$F$15,$M109-$A$15,CQ$13)=0,10^12,OFFSET(CRONOPLE!$F$15,$M109-$A$15,CQ$13)))</f>
        <v>1000000000000</v>
      </c>
      <c r="CR109" s="171">
        <f ca="1">IF(OR($D109&lt;&gt;"Serviço",AND(AUTOEVENTO="Manual",$M109=$A$15)),0,
         IF(OFFSET(CRONOPLE!$F$15,$M109-$A$15,CR$13)=0,10^12,OFFSET(CRONOPLE!$F$15,$M109-$A$15,CR$13)))</f>
        <v>1000000000000</v>
      </c>
      <c r="CT109" s="172" cm="1">
        <f t="array" aca="1" ref="CT109" ca="1">IF(OR($D109&lt;&gt;"Serviço",AND(AUTOEVENTO="Manual",$M109=$A$15),$M109&gt;(ROW(PLE.lastrow)-ROW(PLE.firstrow))),0,
           IF(OFFSET(PLE!$G$15,$M109-$A$15,CT$13)="",10^12,OFFSET(PLE!$G$15,$M109-$A$15,CT$13)))</f>
        <v>1000000000000</v>
      </c>
      <c r="CU109" s="172" cm="1">
        <f t="array" aca="1" ref="CU109" ca="1">IF(OR($D109&lt;&gt;"Serviço",AND(AUTOEVENTO="Manual",$M109=$A$15),$M109&gt;(ROW(PLE.lastrow)-ROW(PLE.firstrow))),0,
           IF(OFFSET(PLE!$G$15,$M109-$A$15,CU$13)="",10^12,OFFSET(PLE!$G$15,$M109-$A$15,CU$13)))</f>
        <v>1000000000000</v>
      </c>
      <c r="CV109" s="172" cm="1">
        <f t="array" aca="1" ref="CV109" ca="1">IF(OR($D109&lt;&gt;"Serviço",AND(AUTOEVENTO="Manual",$M109=$A$15),$M109&gt;(ROW(PLE.lastrow)-ROW(PLE.firstrow))),0,
           IF(OFFSET(PLE!$G$15,$M109-$A$15,CV$13)="",10^12,OFFSET(PLE!$G$15,$M109-$A$15,CV$13)))</f>
        <v>1000000000000</v>
      </c>
      <c r="CW109" s="172" cm="1">
        <f t="array" aca="1" ref="CW109" ca="1">IF(OR($D109&lt;&gt;"Serviço",AND(AUTOEVENTO="Manual",$M109=$A$15),$M109&gt;(ROW(PLE.lastrow)-ROW(PLE.firstrow))),0,
           IF(OFFSET(PLE!$G$15,$M109-$A$15,CW$13)="",10^12,OFFSET(PLE!$G$15,$M109-$A$15,CW$13)))</f>
        <v>1000000000000</v>
      </c>
      <c r="CX109" s="172" cm="1">
        <f t="array" aca="1" ref="CX109" ca="1">IF(OR($D109&lt;&gt;"Serviço",AND(AUTOEVENTO="Manual",$M109=$A$15),$M109&gt;(ROW(PLE.lastrow)-ROW(PLE.firstrow))),0,
           IF(OFFSET(PLE!$G$15,$M109-$A$15,CX$13)="",10^12,OFFSET(PLE!$G$15,$M109-$A$15,CX$13)))</f>
        <v>1000000000000</v>
      </c>
      <c r="CY109" s="172" cm="1">
        <f t="array" aca="1" ref="CY109" ca="1">IF(OR($D109&lt;&gt;"Serviço",AND(AUTOEVENTO="Manual",$M109=$A$15),$M109&gt;(ROW(PLE.lastrow)-ROW(PLE.firstrow))),0,
           IF(OFFSET(PLE!$G$15,$M109-$A$15,CY$13)="",10^12,OFFSET(PLE!$G$15,$M109-$A$15,CY$13)))</f>
        <v>1000000000000</v>
      </c>
      <c r="CZ109" s="172" cm="1">
        <f t="array" aca="1" ref="CZ109" ca="1">IF(OR($D109&lt;&gt;"Serviço",AND(AUTOEVENTO="Manual",$M109=$A$15),$M109&gt;(ROW(PLE.lastrow)-ROW(PLE.firstrow))),0,
           IF(OFFSET(PLE!$G$15,$M109-$A$15,CZ$13)="",10^12,OFFSET(PLE!$G$15,$M109-$A$15,CZ$13)))</f>
        <v>1000000000000</v>
      </c>
      <c r="DA109" s="172" cm="1">
        <f t="array" aca="1" ref="DA109" ca="1">IF(OR($D109&lt;&gt;"Serviço",AND(AUTOEVENTO="Manual",$M109=$A$15),$M109&gt;(ROW(PLE.lastrow)-ROW(PLE.firstrow))),0,
           IF(OFFSET(PLE!$G$15,$M109-$A$15,DA$13)="",10^12,OFFSET(PLE!$G$15,$M109-$A$15,DA$13)))</f>
        <v>1000000000000</v>
      </c>
      <c r="DB109" s="172" cm="1">
        <f t="array" aca="1" ref="DB109" ca="1">IF(OR($D109&lt;&gt;"Serviço",AND(AUTOEVENTO="Manual",$M109=$A$15),$M109&gt;(ROW(PLE.lastrow)-ROW(PLE.firstrow))),0,
           IF(OFFSET(PLE!$G$15,$M109-$A$15,DB$13)="",10^12,OFFSET(PLE!$G$15,$M109-$A$15,DB$13)))</f>
        <v>1000000000000</v>
      </c>
      <c r="DC109" s="172" cm="1">
        <f t="array" aca="1" ref="DC109" ca="1">IF(OR($D109&lt;&gt;"Serviço",AND(AUTOEVENTO="Manual",$M109=$A$15),$M109&gt;(ROW(PLE.lastrow)-ROW(PLE.firstrow))),0,
           IF(OFFSET(PLE!$G$15,$M109-$A$15,DC$13)="",10^12,OFFSET(PLE!$G$15,$M109-$A$15,DC$13)))</f>
        <v>1000000000000</v>
      </c>
      <c r="DD109" s="172" cm="1">
        <f t="array" aca="1" ref="DD109" ca="1">IF(OR($D109&lt;&gt;"Serviço",AND(AUTOEVENTO="Manual",$M109=$A$15),$M109&gt;(ROW(PLE.lastrow)-ROW(PLE.firstrow))),0,
           IF(OFFSET(PLE!$G$15,$M109-$A$15,DD$13)="",10^12,OFFSET(PLE!$G$15,$M109-$A$15,DD$13)))</f>
        <v>1000000000000</v>
      </c>
      <c r="DE109" s="172" cm="1">
        <f t="array" aca="1" ref="DE109" ca="1">IF(OR($D109&lt;&gt;"Serviço",AND(AUTOEVENTO="Manual",$M109=$A$15),$M109&gt;(ROW(PLE.lastrow)-ROW(PLE.firstrow))),0,
           IF(OFFSET(PLE!$G$15,$M109-$A$15,DE$13)="",10^12,OFFSET(PLE!$G$15,$M109-$A$15,DE$13)))</f>
        <v>1000000000000</v>
      </c>
      <c r="DF109" s="172" cm="1">
        <f t="array" aca="1" ref="DF109" ca="1">IF(OR($D109&lt;&gt;"Serviço",AND(AUTOEVENTO="Manual",$M109=$A$15),$M109&gt;(ROW(PLE.lastrow)-ROW(PLE.firstrow))),0,
           IF(OFFSET(PLE!$G$15,$M109-$A$15,DF$13)="",10^12,OFFSET(PLE!$G$15,$M109-$A$15,DF$13)))</f>
        <v>1000000000000</v>
      </c>
      <c r="DG109" s="172" cm="1">
        <f t="array" aca="1" ref="DG109" ca="1">IF(OR($D109&lt;&gt;"Serviço",AND(AUTOEVENTO="Manual",$M109=$A$15),$M109&gt;(ROW(PLE.lastrow)-ROW(PLE.firstrow))),0,
           IF(OFFSET(PLE!$G$15,$M109-$A$15,DG$13)="",10^12,OFFSET(PLE!$G$15,$M109-$A$15,DG$13)))</f>
        <v>1000000000000</v>
      </c>
      <c r="DH109" s="172" cm="1">
        <f t="array" aca="1" ref="DH109" ca="1">IF(OR($D109&lt;&gt;"Serviço",AND(AUTOEVENTO="Manual",$M109=$A$15),$M109&gt;(ROW(PLE.lastrow)-ROW(PLE.firstrow))),0,
           IF(OFFSET(PLE!$G$15,$M109-$A$15,DH$13)="",10^12,OFFSET(PLE!$G$15,$M109-$A$15,DH$13)))</f>
        <v>1000000000000</v>
      </c>
      <c r="DI109" s="172" cm="1">
        <f t="array" aca="1" ref="DI109" ca="1">IF(OR($D109&lt;&gt;"Serviço",AND(AUTOEVENTO="Manual",$M109=$A$15),$M109&gt;(ROW(PLE.lastrow)-ROW(PLE.firstrow))),0,
           IF(OFFSET(PLE!$G$15,$M109-$A$15,DI$13)="",10^12,OFFSET(PLE!$G$15,$M109-$A$15,DI$13)))</f>
        <v>1000000000000</v>
      </c>
      <c r="DJ109" s="172" cm="1">
        <f t="array" aca="1" ref="DJ109" ca="1">IF(OR($D109&lt;&gt;"Serviço",AND(AUTOEVENTO="Manual",$M109=$A$15),$M109&gt;(ROW(PLE.lastrow)-ROW(PLE.firstrow))),0,
           IF(OFFSET(PLE!$G$15,$M109-$A$15,DJ$13)="",10^12,OFFSET(PLE!$G$15,$M109-$A$15,DJ$13)))</f>
        <v>1000000000000</v>
      </c>
      <c r="DK109" s="172" cm="1">
        <f t="array" aca="1" ref="DK109" ca="1">IF(OR($D109&lt;&gt;"Serviço",AND(AUTOEVENTO="Manual",$M109=$A$15),$M109&gt;(ROW(PLE.lastrow)-ROW(PLE.firstrow))),0,
           IF(OFFSET(PLE!$G$15,$M109-$A$15,DK$13)="",10^12,OFFSET(PLE!$G$15,$M109-$A$15,DK$13)))</f>
        <v>1000000000000</v>
      </c>
      <c r="DL109" s="172" cm="1">
        <f t="array" aca="1" ref="DL109" ca="1">IF(OR($D109&lt;&gt;"Serviço",AND(AUTOEVENTO="Manual",$M109=$A$15),$M109&gt;(ROW(PLE.lastrow)-ROW(PLE.firstrow))),0,
           IF(OFFSET(PLE!$G$15,$M109-$A$15,DL$13)="",10^12,OFFSET(PLE!$G$15,$M109-$A$15,DL$13)))</f>
        <v>1000000000000</v>
      </c>
      <c r="DM109" s="172" cm="1">
        <f t="array" aca="1" ref="DM109" ca="1">IF(OR($D109&lt;&gt;"Serviço",AND(AUTOEVENTO="Manual",$M109=$A$15),$M109&gt;(ROW(PLE.lastrow)-ROW(PLE.firstrow))),0,
           IF(OFFSET(PLE!$G$15,$M109-$A$15,DM$13)="",10^12,OFFSET(PLE!$G$15,$M109-$A$15,DM$13)))</f>
        <v>1000000000000</v>
      </c>
      <c r="DN109" s="172" cm="1">
        <f t="array" aca="1" ref="DN109" ca="1">IF(OR($D109&lt;&gt;"Serviço",AND(AUTOEVENTO="Manual",$M109=$A$15),$M109&gt;(ROW(PLE.lastrow)-ROW(PLE.firstrow))),0,
           IF(OFFSET(PLE!$G$15,$M109-$A$15,DN$13)="",10^12,OFFSET(PLE!$G$15,$M109-$A$15,DN$13)))</f>
        <v>1000000000000</v>
      </c>
      <c r="DO109" s="172" cm="1">
        <f t="array" aca="1" ref="DO109" ca="1">IF(OR($D109&lt;&gt;"Serviço",AND(AUTOEVENTO="Manual",$M109=$A$15),$M109&gt;(ROW(PLE.lastrow)-ROW(PLE.firstrow))),0,
           IF(OFFSET(PLE!$G$15,$M109-$A$15,DO$13)="",10^12,OFFSET(PLE!$G$15,$M109-$A$15,DO$13)))</f>
        <v>1000000000000</v>
      </c>
      <c r="DP109" s="172" cm="1">
        <f t="array" aca="1" ref="DP109" ca="1">IF(OR($D109&lt;&gt;"Serviço",AND(AUTOEVENTO="Manual",$M109=$A$15),$M109&gt;(ROW(PLE.lastrow)-ROW(PLE.firstrow))),0,
           IF(OFFSET(PLE!$G$15,$M109-$A$15,DP$13)="",10^12,OFFSET(PLE!$G$15,$M109-$A$15,DP$13)))</f>
        <v>1000000000000</v>
      </c>
      <c r="DQ109" s="172" cm="1">
        <f t="array" aca="1" ref="DQ109" ca="1">IF(OR($D109&lt;&gt;"Serviço",AND(AUTOEVENTO="Manual",$M109=$A$15),$M109&gt;(ROW(PLE.lastrow)-ROW(PLE.firstrow))),0,
           IF(OFFSET(PLE!$G$15,$M109-$A$15,DQ$13)="",10^12,OFFSET(PLE!$G$15,$M109-$A$15,DQ$13)))</f>
        <v>1000000000000</v>
      </c>
      <c r="DR109" s="172" cm="1">
        <f t="array" aca="1" ref="DR109" ca="1">IF(OR($D109&lt;&gt;"Serviço",AND(AUTOEVENTO="Manual",$M109=$A$15),$M109&gt;(ROW(PLE.lastrow)-ROW(PLE.firstrow))),0,
           IF(OFFSET(PLE!$G$15,$M109-$A$15,DR$13)="",10^12,OFFSET(PLE!$G$15,$M109-$A$15,DR$13)))</f>
        <v>1000000000000</v>
      </c>
      <c r="DS109" s="172" cm="1">
        <f t="array" aca="1" ref="DS109" ca="1">IF(OR($D109&lt;&gt;"Serviço",AND(AUTOEVENTO="Manual",$M109=$A$15),$M109&gt;(ROW(PLE.lastrow)-ROW(PLE.firstrow))),0,
           IF(OFFSET(PLE!$G$15,$M109-$A$15,DS$13)="",10^12,OFFSET(PLE!$G$15,$M109-$A$15,DS$13)))</f>
        <v>1000000000000</v>
      </c>
    </row>
    <row r="110" spans="1:123" ht="12.75" x14ac:dyDescent="0.2">
      <c r="A110" s="7">
        <f t="shared" ca="1" si="13"/>
        <v>0</v>
      </c>
      <c r="B110" s="7">
        <f ca="1">OFFSET(ORÇAMENTO!C$15,$L110,0)</f>
        <v>3</v>
      </c>
      <c r="C110" s="7" t="str">
        <f ca="1">OFFSET(ORÇAMENTO!L$15,$L110,0)</f>
        <v>F</v>
      </c>
      <c r="D110" s="116" t="str">
        <f ca="1">OFFSET(ORÇAMENTO!N$15,$L110,0)</f>
        <v>Nível 3</v>
      </c>
      <c r="E110" s="117" t="str">
        <f ca="1">OFFSET(ORÇAMENTO!O$15,$L110,0)</f>
        <v>7.5.3.</v>
      </c>
      <c r="F110" s="163" t="str">
        <f ca="1">OFFSET(ORÇAMENTO!R$15,$L110,0)</f>
        <v>PINTURA ESQUADRIAS</v>
      </c>
      <c r="G110" s="164" t="str">
        <f ca="1">IF($D110&lt;&gt;"Serviço","",OFFSET(ORÇAMENTO!S$15,$L110,0))</f>
        <v/>
      </c>
      <c r="H110" s="122" cm="1">
        <f t="array" aca="1" ref="H110" ca="1">IF($D110&lt;&gt;"Serviço",0,IF(ACOMPANHAMENTO="BM",ROUND(OFFSET(ORÇAMENTO!AJ$15,$L110,0),15-13*ORÇAMENTO!$AF$7),IF(IFERROR(CÁLCULO.FrentesPreenchidas,0)=0,0,SUM(ROUND(OFFSET($P110,0,1,1,CÁLCULO.FrentesPreenchidas),15-13*ORÇAMENTO!$AF$7)))))</f>
        <v>0</v>
      </c>
      <c r="I110" s="468"/>
      <c r="J110" s="651" t="str" cm="1">
        <f t="array" aca="1" ref="J110" ca="1">IF(OR(B110&lt;&gt;"S",CÁLCULO.FrentesPreenchidas=0),"",IF(AND(ACOMPANHAMENTO="PLE",AUTOEVENTO="Manual",OR(H110&gt;0,ORÇAMENTO!AC110="QUANT."),OR(K110="",M110=0,N110="")),"►E",IF(AND(ACOMPANHAMENTO="PLE",ORÇAMENTO!AC110="QUANT."),"►Q",IF(AND(ACOMPANHAMENTO="PLE",H110&lt;&gt;SUMPRODUCT(($Q$1:$AQ$1=1)*ROUND(Q110:AQ110,15))),"►S",IF(AND(COUNTIF($P$11:$AQ$11,"▼")=0,H110&gt;0,I110=""),"◄M","")))))</f>
        <v/>
      </c>
      <c r="K110" s="652"/>
      <c r="L110" s="165">
        <f t="shared" ca="1" si="14"/>
        <v>95</v>
      </c>
      <c r="M110" s="166" t="str">
        <f ca="1">IF($D110&lt;&gt;"Serviço","",
          IF(AUTOEVENTO="manual",$A110,
                IF(ISERROR(MATCH($A110,$A$15:OFFSET($A110,-1,0),0)),MAX($M$15:OFFSET(M110,-1,0))+1,
                      INDEX($M$15:OFFSET(M110,-1,0),MATCH($A110,$A$15:OFFSET($A110,-1,0),0)))))</f>
        <v/>
      </c>
      <c r="N110" s="167" t="str">
        <f ca="1">IF($D110&lt;&gt;"Serviço","",
         IF(AUTOEVENTO="Manual",
                IF($A110=0,"&lt;-- defina o número do agrupador",
                       OFFSET(EVENTOS!$D$15,$A110-$A$15,0)),
                OFFSET($F$15,$A110,0)))</f>
        <v/>
      </c>
      <c r="O110" s="168"/>
      <c r="Q110" s="168"/>
      <c r="R110" s="169"/>
      <c r="S110" s="169"/>
      <c r="T110" s="169"/>
      <c r="U110" s="169"/>
      <c r="V110" s="169"/>
      <c r="W110" s="169"/>
      <c r="X110" s="169"/>
      <c r="Y110" s="169"/>
      <c r="Z110" s="170"/>
      <c r="AA110" s="169"/>
      <c r="AB110" s="169"/>
      <c r="AC110" s="169"/>
      <c r="AD110" s="169"/>
      <c r="AE110" s="169"/>
      <c r="AF110" s="169"/>
      <c r="AG110" s="169"/>
      <c r="AH110" s="170"/>
      <c r="AI110" s="169"/>
      <c r="AJ110" s="169"/>
      <c r="AK110" s="169"/>
      <c r="AL110" s="169"/>
      <c r="AM110" s="169"/>
      <c r="AN110" s="169"/>
      <c r="AO110" s="169"/>
      <c r="AP110" s="170"/>
      <c r="AR110" s="453">
        <f ca="1">IF(AND($D110="Serviço",AR$12&lt;&gt;0,$H110&gt;0,OR(AUTOEVENTO&lt;&gt;"manual",$M110&lt;&gt;$A$15)),
        IF(Import.TipoArredondamento&lt;&gt;"TransfereGOV",
              ROUND(OFFSET($P110,0,AR$13),15-13*ORÇAMENTO!$AF$7)/$H110*OFFSET(ORÇAMENTO!$X$15,ROW(AR110)-ROW(AR$15),0),
              ROUND(ROUND(OFFSET($P110,0,AR$13),15-13*ORÇAMENTO!$AF$7)*OFFSET(ORÇAMENTO!$W$15,ROW(AR110)-ROW(AR$15),0),15-13*ORÇAMENTO!$AF$11)),
         0)</f>
        <v>0</v>
      </c>
      <c r="AS110" s="453">
        <f ca="1">IF(AND($D110="Serviço",AS$12&lt;&gt;0,$H110&gt;0,OR(AUTOEVENTO&lt;&gt;"manual",$M110&lt;&gt;$A$15)),
        IF(Import.TipoArredondamento&lt;&gt;"TransfereGOV",
              ROUND(OFFSET($P110,0,AS$13),15-13*ORÇAMENTO!$AF$7)/$H110*OFFSET(ORÇAMENTO!$X$15,ROW(AS110)-ROW(AS$15),0),
              ROUND(ROUND(OFFSET($P110,0,AS$13),15-13*ORÇAMENTO!$AF$7)*OFFSET(ORÇAMENTO!$W$15,ROW(AS110)-ROW(AS$15),0),15-13*ORÇAMENTO!$AF$11)),
         0)</f>
        <v>0</v>
      </c>
      <c r="AT110" s="453">
        <f ca="1">IF(AND($D110="Serviço",AT$12&lt;&gt;0,$H110&gt;0,OR(AUTOEVENTO&lt;&gt;"manual",$M110&lt;&gt;$A$15)),
        IF(Import.TipoArredondamento&lt;&gt;"TransfereGOV",
              ROUND(OFFSET($P110,0,AT$13),15-13*ORÇAMENTO!$AF$7)/$H110*OFFSET(ORÇAMENTO!$X$15,ROW(AT110)-ROW(AT$15),0),
              ROUND(ROUND(OFFSET($P110,0,AT$13),15-13*ORÇAMENTO!$AF$7)*OFFSET(ORÇAMENTO!$W$15,ROW(AT110)-ROW(AT$15),0),15-13*ORÇAMENTO!$AF$11)),
         0)</f>
        <v>0</v>
      </c>
      <c r="AU110" s="453">
        <f ca="1">IF(AND($D110="Serviço",AU$12&lt;&gt;0,$H110&gt;0,OR(AUTOEVENTO&lt;&gt;"manual",$M110&lt;&gt;$A$15)),
        IF(Import.TipoArredondamento&lt;&gt;"TransfereGOV",
              ROUND(OFFSET($P110,0,AU$13),15-13*ORÇAMENTO!$AF$7)/$H110*OFFSET(ORÇAMENTO!$X$15,ROW(AU110)-ROW(AU$15),0),
              ROUND(ROUND(OFFSET($P110,0,AU$13),15-13*ORÇAMENTO!$AF$7)*OFFSET(ORÇAMENTO!$W$15,ROW(AU110)-ROW(AU$15),0),15-13*ORÇAMENTO!$AF$11)),
         0)</f>
        <v>0</v>
      </c>
      <c r="AV110" s="453">
        <f ca="1">IF(AND($D110="Serviço",AV$12&lt;&gt;0,$H110&gt;0,OR(AUTOEVENTO&lt;&gt;"manual",$M110&lt;&gt;$A$15)),
        IF(Import.TipoArredondamento&lt;&gt;"TransfereGOV",
              ROUND(OFFSET($P110,0,AV$13),15-13*ORÇAMENTO!$AF$7)/$H110*OFFSET(ORÇAMENTO!$X$15,ROW(AV110)-ROW(AV$15),0),
              ROUND(ROUND(OFFSET($P110,0,AV$13),15-13*ORÇAMENTO!$AF$7)*OFFSET(ORÇAMENTO!$W$15,ROW(AV110)-ROW(AV$15),0),15-13*ORÇAMENTO!$AF$11)),
         0)</f>
        <v>0</v>
      </c>
      <c r="AW110" s="453">
        <f ca="1">IF(AND($D110="Serviço",AW$12&lt;&gt;0,$H110&gt;0,OR(AUTOEVENTO&lt;&gt;"manual",$M110&lt;&gt;$A$15)),
        IF(Import.TipoArredondamento&lt;&gt;"TransfereGOV",
              ROUND(OFFSET($P110,0,AW$13),15-13*ORÇAMENTO!$AF$7)/$H110*OFFSET(ORÇAMENTO!$X$15,ROW(AW110)-ROW(AW$15),0),
              ROUND(ROUND(OFFSET($P110,0,AW$13),15-13*ORÇAMENTO!$AF$7)*OFFSET(ORÇAMENTO!$W$15,ROW(AW110)-ROW(AW$15),0),15-13*ORÇAMENTO!$AF$11)),
         0)</f>
        <v>0</v>
      </c>
      <c r="AX110" s="453">
        <f ca="1">IF(AND($D110="Serviço",AX$12&lt;&gt;0,$H110&gt;0,OR(AUTOEVENTO&lt;&gt;"manual",$M110&lt;&gt;$A$15)),
        IF(Import.TipoArredondamento&lt;&gt;"TransfereGOV",
              ROUND(OFFSET($P110,0,AX$13),15-13*ORÇAMENTO!$AF$7)/$H110*OFFSET(ORÇAMENTO!$X$15,ROW(AX110)-ROW(AX$15),0),
              ROUND(ROUND(OFFSET($P110,0,AX$13),15-13*ORÇAMENTO!$AF$7)*OFFSET(ORÇAMENTO!$W$15,ROW(AX110)-ROW(AX$15),0),15-13*ORÇAMENTO!$AF$11)),
         0)</f>
        <v>0</v>
      </c>
      <c r="AY110" s="453">
        <f ca="1">IF(AND($D110="Serviço",AY$12&lt;&gt;0,$H110&gt;0,OR(AUTOEVENTO&lt;&gt;"manual",$M110&lt;&gt;$A$15)),
        IF(Import.TipoArredondamento&lt;&gt;"TransfereGOV",
              ROUND(OFFSET($P110,0,AY$13),15-13*ORÇAMENTO!$AF$7)/$H110*OFFSET(ORÇAMENTO!$X$15,ROW(AY110)-ROW(AY$15),0),
              ROUND(ROUND(OFFSET($P110,0,AY$13),15-13*ORÇAMENTO!$AF$7)*OFFSET(ORÇAMENTO!$W$15,ROW(AY110)-ROW(AY$15),0),15-13*ORÇAMENTO!$AF$11)),
         0)</f>
        <v>0</v>
      </c>
      <c r="AZ110" s="453">
        <f ca="1">IF(AND($D110="Serviço",AZ$12&lt;&gt;0,$H110&gt;0,OR(AUTOEVENTO&lt;&gt;"manual",$M110&lt;&gt;$A$15)),
        IF(Import.TipoArredondamento&lt;&gt;"TransfereGOV",
              ROUND(OFFSET($P110,0,AZ$13),15-13*ORÇAMENTO!$AF$7)/$H110*OFFSET(ORÇAMENTO!$X$15,ROW(AZ110)-ROW(AZ$15),0),
              ROUND(ROUND(OFFSET($P110,0,AZ$13),15-13*ORÇAMENTO!$AF$7)*OFFSET(ORÇAMENTO!$W$15,ROW(AZ110)-ROW(AZ$15),0),15-13*ORÇAMENTO!$AF$11)),
         0)</f>
        <v>0</v>
      </c>
      <c r="BA110" s="453">
        <f ca="1">IF(AND($D110="Serviço",BA$12&lt;&gt;0,$H110&gt;0,OR(AUTOEVENTO&lt;&gt;"manual",$M110&lt;&gt;$A$15)),
        IF(Import.TipoArredondamento&lt;&gt;"TransfereGOV",
              ROUND(OFFSET($P110,0,BA$13),15-13*ORÇAMENTO!$AF$7)/$H110*OFFSET(ORÇAMENTO!$X$15,ROW(BA110)-ROW(BA$15),0),
              ROUND(ROUND(OFFSET($P110,0,BA$13),15-13*ORÇAMENTO!$AF$7)*OFFSET(ORÇAMENTO!$W$15,ROW(BA110)-ROW(BA$15),0),15-13*ORÇAMENTO!$AF$11)),
         0)</f>
        <v>0</v>
      </c>
      <c r="BB110" s="453">
        <f ca="1">IF(AND($D110="Serviço",BB$12&lt;&gt;0,$H110&gt;0,OR(AUTOEVENTO&lt;&gt;"manual",$M110&lt;&gt;$A$15)),
        IF(Import.TipoArredondamento&lt;&gt;"TransfereGOV",
              ROUND(OFFSET($P110,0,BB$13),15-13*ORÇAMENTO!$AF$7)/$H110*OFFSET(ORÇAMENTO!$X$15,ROW(BB110)-ROW(BB$15),0),
              ROUND(ROUND(OFFSET($P110,0,BB$13),15-13*ORÇAMENTO!$AF$7)*OFFSET(ORÇAMENTO!$W$15,ROW(BB110)-ROW(BB$15),0),15-13*ORÇAMENTO!$AF$11)),
         0)</f>
        <v>0</v>
      </c>
      <c r="BC110" s="453">
        <f ca="1">IF(AND($D110="Serviço",BC$12&lt;&gt;0,$H110&gt;0,OR(AUTOEVENTO&lt;&gt;"manual",$M110&lt;&gt;$A$15)),
        IF(Import.TipoArredondamento&lt;&gt;"TransfereGOV",
              ROUND(OFFSET($P110,0,BC$13),15-13*ORÇAMENTO!$AF$7)/$H110*OFFSET(ORÇAMENTO!$X$15,ROW(BC110)-ROW(BC$15),0),
              ROUND(ROUND(OFFSET($P110,0,BC$13),15-13*ORÇAMENTO!$AF$7)*OFFSET(ORÇAMENTO!$W$15,ROW(BC110)-ROW(BC$15),0),15-13*ORÇAMENTO!$AF$11)),
         0)</f>
        <v>0</v>
      </c>
      <c r="BD110" s="453">
        <f ca="1">IF(AND($D110="Serviço",BD$12&lt;&gt;0,$H110&gt;0,OR(AUTOEVENTO&lt;&gt;"manual",$M110&lt;&gt;$A$15)),
        IF(Import.TipoArredondamento&lt;&gt;"TransfereGOV",
              ROUND(OFFSET($P110,0,BD$13),15-13*ORÇAMENTO!$AF$7)/$H110*OFFSET(ORÇAMENTO!$X$15,ROW(BD110)-ROW(BD$15),0),
              ROUND(ROUND(OFFSET($P110,0,BD$13),15-13*ORÇAMENTO!$AF$7)*OFFSET(ORÇAMENTO!$W$15,ROW(BD110)-ROW(BD$15),0),15-13*ORÇAMENTO!$AF$11)),
         0)</f>
        <v>0</v>
      </c>
      <c r="BE110" s="453">
        <f ca="1">IF(AND($D110="Serviço",BE$12&lt;&gt;0,$H110&gt;0,OR(AUTOEVENTO&lt;&gt;"manual",$M110&lt;&gt;$A$15)),
        IF(Import.TipoArredondamento&lt;&gt;"TransfereGOV",
              ROUND(OFFSET($P110,0,BE$13),15-13*ORÇAMENTO!$AF$7)/$H110*OFFSET(ORÇAMENTO!$X$15,ROW(BE110)-ROW(BE$15),0),
              ROUND(ROUND(OFFSET($P110,0,BE$13),15-13*ORÇAMENTO!$AF$7)*OFFSET(ORÇAMENTO!$W$15,ROW(BE110)-ROW(BE$15),0),15-13*ORÇAMENTO!$AF$11)),
         0)</f>
        <v>0</v>
      </c>
      <c r="BF110" s="453">
        <f ca="1">IF(AND($D110="Serviço",BF$12&lt;&gt;0,$H110&gt;0,OR(AUTOEVENTO&lt;&gt;"manual",$M110&lt;&gt;$A$15)),
        IF(Import.TipoArredondamento&lt;&gt;"TransfereGOV",
              ROUND(OFFSET($P110,0,BF$13),15-13*ORÇAMENTO!$AF$7)/$H110*OFFSET(ORÇAMENTO!$X$15,ROW(BF110)-ROW(BF$15),0),
              ROUND(ROUND(OFFSET($P110,0,BF$13),15-13*ORÇAMENTO!$AF$7)*OFFSET(ORÇAMENTO!$W$15,ROW(BF110)-ROW(BF$15),0),15-13*ORÇAMENTO!$AF$11)),
         0)</f>
        <v>0</v>
      </c>
      <c r="BG110" s="453">
        <f ca="1">IF(AND($D110="Serviço",BG$12&lt;&gt;0,$H110&gt;0,OR(AUTOEVENTO&lt;&gt;"manual",$M110&lt;&gt;$A$15)),
        IF(Import.TipoArredondamento&lt;&gt;"TransfereGOV",
              ROUND(OFFSET($P110,0,BG$13),15-13*ORÇAMENTO!$AF$7)/$H110*OFFSET(ORÇAMENTO!$X$15,ROW(BG110)-ROW(BG$15),0),
              ROUND(ROUND(OFFSET($P110,0,BG$13),15-13*ORÇAMENTO!$AF$7)*OFFSET(ORÇAMENTO!$W$15,ROW(BG110)-ROW(BG$15),0),15-13*ORÇAMENTO!$AF$11)),
         0)</f>
        <v>0</v>
      </c>
      <c r="BH110" s="453">
        <f ca="1">IF(AND($D110="Serviço",BH$12&lt;&gt;0,$H110&gt;0,OR(AUTOEVENTO&lt;&gt;"manual",$M110&lt;&gt;$A$15)),
        IF(Import.TipoArredondamento&lt;&gt;"TransfereGOV",
              ROUND(OFFSET($P110,0,BH$13),15-13*ORÇAMENTO!$AF$7)/$H110*OFFSET(ORÇAMENTO!$X$15,ROW(BH110)-ROW(BH$15),0),
              ROUND(ROUND(OFFSET($P110,0,BH$13),15-13*ORÇAMENTO!$AF$7)*OFFSET(ORÇAMENTO!$W$15,ROW(BH110)-ROW(BH$15),0),15-13*ORÇAMENTO!$AF$11)),
         0)</f>
        <v>0</v>
      </c>
      <c r="BI110" s="453">
        <f ca="1">IF(AND($D110="Serviço",BI$12&lt;&gt;0,$H110&gt;0,OR(AUTOEVENTO&lt;&gt;"manual",$M110&lt;&gt;$A$15)),
        IF(Import.TipoArredondamento&lt;&gt;"TransfereGOV",
              ROUND(OFFSET($P110,0,BI$13),15-13*ORÇAMENTO!$AF$7)/$H110*OFFSET(ORÇAMENTO!$X$15,ROW(BI110)-ROW(BI$15),0),
              ROUND(ROUND(OFFSET($P110,0,BI$13),15-13*ORÇAMENTO!$AF$7)*OFFSET(ORÇAMENTO!$W$15,ROW(BI110)-ROW(BI$15),0),15-13*ORÇAMENTO!$AF$11)),
         0)</f>
        <v>0</v>
      </c>
      <c r="BJ110" s="453">
        <f ca="1">IF(AND($D110="Serviço",BJ$12&lt;&gt;0,$H110&gt;0,OR(AUTOEVENTO&lt;&gt;"manual",$M110&lt;&gt;$A$15)),
        IF(Import.TipoArredondamento&lt;&gt;"TransfereGOV",
              ROUND(OFFSET($P110,0,BJ$13),15-13*ORÇAMENTO!$AF$7)/$H110*OFFSET(ORÇAMENTO!$X$15,ROW(BJ110)-ROW(BJ$15),0),
              ROUND(ROUND(OFFSET($P110,0,BJ$13),15-13*ORÇAMENTO!$AF$7)*OFFSET(ORÇAMENTO!$W$15,ROW(BJ110)-ROW(BJ$15),0),15-13*ORÇAMENTO!$AF$11)),
         0)</f>
        <v>0</v>
      </c>
      <c r="BK110" s="453">
        <f ca="1">IF(AND($D110="Serviço",BK$12&lt;&gt;0,$H110&gt;0,OR(AUTOEVENTO&lt;&gt;"manual",$M110&lt;&gt;$A$15)),
        IF(Import.TipoArredondamento&lt;&gt;"TransfereGOV",
              ROUND(OFFSET($P110,0,BK$13),15-13*ORÇAMENTO!$AF$7)/$H110*OFFSET(ORÇAMENTO!$X$15,ROW(BK110)-ROW(BK$15),0),
              ROUND(ROUND(OFFSET($P110,0,BK$13),15-13*ORÇAMENTO!$AF$7)*OFFSET(ORÇAMENTO!$W$15,ROW(BK110)-ROW(BK$15),0),15-13*ORÇAMENTO!$AF$11)),
         0)</f>
        <v>0</v>
      </c>
      <c r="BL110" s="453">
        <f ca="1">IF(AND($D110="Serviço",BL$12&lt;&gt;0,$H110&gt;0,OR(AUTOEVENTO&lt;&gt;"manual",$M110&lt;&gt;$A$15)),
        IF(Import.TipoArredondamento&lt;&gt;"TransfereGOV",
              ROUND(OFFSET($P110,0,BL$13),15-13*ORÇAMENTO!$AF$7)/$H110*OFFSET(ORÇAMENTO!$X$15,ROW(BL110)-ROW(BL$15),0),
              ROUND(ROUND(OFFSET($P110,0,BL$13),15-13*ORÇAMENTO!$AF$7)*OFFSET(ORÇAMENTO!$W$15,ROW(BL110)-ROW(BL$15),0),15-13*ORÇAMENTO!$AF$11)),
         0)</f>
        <v>0</v>
      </c>
      <c r="BM110" s="453">
        <f ca="1">IF(AND($D110="Serviço",BM$12&lt;&gt;0,$H110&gt;0,OR(AUTOEVENTO&lt;&gt;"manual",$M110&lt;&gt;$A$15)),
        IF(Import.TipoArredondamento&lt;&gt;"TransfereGOV",
              ROUND(OFFSET($P110,0,BM$13),15-13*ORÇAMENTO!$AF$7)/$H110*OFFSET(ORÇAMENTO!$X$15,ROW(BM110)-ROW(BM$15),0),
              ROUND(ROUND(OFFSET($P110,0,BM$13),15-13*ORÇAMENTO!$AF$7)*OFFSET(ORÇAMENTO!$W$15,ROW(BM110)-ROW(BM$15),0),15-13*ORÇAMENTO!$AF$11)),
         0)</f>
        <v>0</v>
      </c>
      <c r="BN110" s="453">
        <f ca="1">IF(AND($D110="Serviço",BN$12&lt;&gt;0,$H110&gt;0,OR(AUTOEVENTO&lt;&gt;"manual",$M110&lt;&gt;$A$15)),
        IF(Import.TipoArredondamento&lt;&gt;"TransfereGOV",
              ROUND(OFFSET($P110,0,BN$13),15-13*ORÇAMENTO!$AF$7)/$H110*OFFSET(ORÇAMENTO!$X$15,ROW(BN110)-ROW(BN$15),0),
              ROUND(ROUND(OFFSET($P110,0,BN$13),15-13*ORÇAMENTO!$AF$7)*OFFSET(ORÇAMENTO!$W$15,ROW(BN110)-ROW(BN$15),0),15-13*ORÇAMENTO!$AF$11)),
         0)</f>
        <v>0</v>
      </c>
      <c r="BO110" s="453">
        <f ca="1">IF(AND($D110="Serviço",BO$12&lt;&gt;0,$H110&gt;0,OR(AUTOEVENTO&lt;&gt;"manual",$M110&lt;&gt;$A$15)),
        IF(Import.TipoArredondamento&lt;&gt;"TransfereGOV",
              ROUND(OFFSET($P110,0,BO$13),15-13*ORÇAMENTO!$AF$7)/$H110*OFFSET(ORÇAMENTO!$X$15,ROW(BO110)-ROW(BO$15),0),
              ROUND(ROUND(OFFSET($P110,0,BO$13),15-13*ORÇAMENTO!$AF$7)*OFFSET(ORÇAMENTO!$W$15,ROW(BO110)-ROW(BO$15),0),15-13*ORÇAMENTO!$AF$11)),
         0)</f>
        <v>0</v>
      </c>
      <c r="BP110" s="453">
        <f ca="1">IF(AND($D110="Serviço",BP$12&lt;&gt;0,$H110&gt;0,OR(AUTOEVENTO&lt;&gt;"manual",$M110&lt;&gt;$A$15)),
        IF(Import.TipoArredondamento&lt;&gt;"TransfereGOV",
              ROUND(OFFSET($P110,0,BP$13),15-13*ORÇAMENTO!$AF$7)/$H110*OFFSET(ORÇAMENTO!$X$15,ROW(BP110)-ROW(BP$15),0),
              ROUND(ROUND(OFFSET($P110,0,BP$13),15-13*ORÇAMENTO!$AF$7)*OFFSET(ORÇAMENTO!$W$15,ROW(BP110)-ROW(BP$15),0),15-13*ORÇAMENTO!$AF$11)),
         0)</f>
        <v>0</v>
      </c>
      <c r="BQ110" s="453">
        <f ca="1">IF(AND($D110="Serviço",BQ$12&lt;&gt;0,$H110&gt;0,OR(AUTOEVENTO&lt;&gt;"manual",$M110&lt;&gt;$A$15)),
        IF(Import.TipoArredondamento&lt;&gt;"TransfereGOV",
              ROUND(OFFSET($P110,0,BQ$13),15-13*ORÇAMENTO!$AF$7)/$H110*OFFSET(ORÇAMENTO!$X$15,ROW(BQ110)-ROW(BQ$15),0),
              ROUND(ROUND(OFFSET($P110,0,BQ$13),15-13*ORÇAMENTO!$AF$7)*OFFSET(ORÇAMENTO!$W$15,ROW(BQ110)-ROW(BQ$15),0),15-13*ORÇAMENTO!$AF$11)),
         0)</f>
        <v>0</v>
      </c>
      <c r="BS110" s="171">
        <f ca="1">IF(OR($D110&lt;&gt;"Serviço",AND(AUTOEVENTO="Manual",$M110=$A$15)),0,
         IF(OFFSET(CRONOPLE!$F$15,$M110-$A$15,BS$13)=0,10^12,OFFSET(CRONOPLE!$F$15,$M110-$A$15,BS$13)))</f>
        <v>0</v>
      </c>
      <c r="BT110" s="171">
        <f ca="1">IF(OR($D110&lt;&gt;"Serviço",AND(AUTOEVENTO="Manual",$M110=$A$15)),0,
         IF(OFFSET(CRONOPLE!$F$15,$M110-$A$15,BT$13)=0,10^12,OFFSET(CRONOPLE!$F$15,$M110-$A$15,BT$13)))</f>
        <v>0</v>
      </c>
      <c r="BU110" s="171">
        <f ca="1">IF(OR($D110&lt;&gt;"Serviço",AND(AUTOEVENTO="Manual",$M110=$A$15)),0,
         IF(OFFSET(CRONOPLE!$F$15,$M110-$A$15,BU$13)=0,10^12,OFFSET(CRONOPLE!$F$15,$M110-$A$15,BU$13)))</f>
        <v>0</v>
      </c>
      <c r="BV110" s="171">
        <f ca="1">IF(OR($D110&lt;&gt;"Serviço",AND(AUTOEVENTO="Manual",$M110=$A$15)),0,
         IF(OFFSET(CRONOPLE!$F$15,$M110-$A$15,BV$13)=0,10^12,OFFSET(CRONOPLE!$F$15,$M110-$A$15,BV$13)))</f>
        <v>0</v>
      </c>
      <c r="BW110" s="171">
        <f ca="1">IF(OR($D110&lt;&gt;"Serviço",AND(AUTOEVENTO="Manual",$M110=$A$15)),0,
         IF(OFFSET(CRONOPLE!$F$15,$M110-$A$15,BW$13)=0,10^12,OFFSET(CRONOPLE!$F$15,$M110-$A$15,BW$13)))</f>
        <v>0</v>
      </c>
      <c r="BX110" s="171">
        <f ca="1">IF(OR($D110&lt;&gt;"Serviço",AND(AUTOEVENTO="Manual",$M110=$A$15)),0,
         IF(OFFSET(CRONOPLE!$F$15,$M110-$A$15,BX$13)=0,10^12,OFFSET(CRONOPLE!$F$15,$M110-$A$15,BX$13)))</f>
        <v>0</v>
      </c>
      <c r="BY110" s="171">
        <f ca="1">IF(OR($D110&lt;&gt;"Serviço",AND(AUTOEVENTO="Manual",$M110=$A$15)),0,
         IF(OFFSET(CRONOPLE!$F$15,$M110-$A$15,BY$13)=0,10^12,OFFSET(CRONOPLE!$F$15,$M110-$A$15,BY$13)))</f>
        <v>0</v>
      </c>
      <c r="BZ110" s="171">
        <f ca="1">IF(OR($D110&lt;&gt;"Serviço",AND(AUTOEVENTO="Manual",$M110=$A$15)),0,
         IF(OFFSET(CRONOPLE!$F$15,$M110-$A$15,BZ$13)=0,10^12,OFFSET(CRONOPLE!$F$15,$M110-$A$15,BZ$13)))</f>
        <v>0</v>
      </c>
      <c r="CA110" s="171">
        <f ca="1">IF(OR($D110&lt;&gt;"Serviço",AND(AUTOEVENTO="Manual",$M110=$A$15)),0,
         IF(OFFSET(CRONOPLE!$F$15,$M110-$A$15,CA$13)=0,10^12,OFFSET(CRONOPLE!$F$15,$M110-$A$15,CA$13)))</f>
        <v>0</v>
      </c>
      <c r="CB110" s="171">
        <f ca="1">IF(OR($D110&lt;&gt;"Serviço",AND(AUTOEVENTO="Manual",$M110=$A$15)),0,
         IF(OFFSET(CRONOPLE!$F$15,$M110-$A$15,CB$13)=0,10^12,OFFSET(CRONOPLE!$F$15,$M110-$A$15,CB$13)))</f>
        <v>0</v>
      </c>
      <c r="CC110" s="171">
        <f ca="1">IF(OR($D110&lt;&gt;"Serviço",AND(AUTOEVENTO="Manual",$M110=$A$15)),0,
         IF(OFFSET(CRONOPLE!$F$15,$M110-$A$15,CC$13)=0,10^12,OFFSET(CRONOPLE!$F$15,$M110-$A$15,CC$13)))</f>
        <v>0</v>
      </c>
      <c r="CD110" s="171">
        <f ca="1">IF(OR($D110&lt;&gt;"Serviço",AND(AUTOEVENTO="Manual",$M110=$A$15)),0,
         IF(OFFSET(CRONOPLE!$F$15,$M110-$A$15,CD$13)=0,10^12,OFFSET(CRONOPLE!$F$15,$M110-$A$15,CD$13)))</f>
        <v>0</v>
      </c>
      <c r="CE110" s="171">
        <f ca="1">IF(OR($D110&lt;&gt;"Serviço",AND(AUTOEVENTO="Manual",$M110=$A$15)),0,
         IF(OFFSET(CRONOPLE!$F$15,$M110-$A$15,CE$13)=0,10^12,OFFSET(CRONOPLE!$F$15,$M110-$A$15,CE$13)))</f>
        <v>0</v>
      </c>
      <c r="CF110" s="171">
        <f ca="1">IF(OR($D110&lt;&gt;"Serviço",AND(AUTOEVENTO="Manual",$M110=$A$15)),0,
         IF(OFFSET(CRONOPLE!$F$15,$M110-$A$15,CF$13)=0,10^12,OFFSET(CRONOPLE!$F$15,$M110-$A$15,CF$13)))</f>
        <v>0</v>
      </c>
      <c r="CG110" s="171">
        <f ca="1">IF(OR($D110&lt;&gt;"Serviço",AND(AUTOEVENTO="Manual",$M110=$A$15)),0,
         IF(OFFSET(CRONOPLE!$F$15,$M110-$A$15,CG$13)=0,10^12,OFFSET(CRONOPLE!$F$15,$M110-$A$15,CG$13)))</f>
        <v>0</v>
      </c>
      <c r="CH110" s="171">
        <f ca="1">IF(OR($D110&lt;&gt;"Serviço",AND(AUTOEVENTO="Manual",$M110=$A$15)),0,
         IF(OFFSET(CRONOPLE!$F$15,$M110-$A$15,CH$13)=0,10^12,OFFSET(CRONOPLE!$F$15,$M110-$A$15,CH$13)))</f>
        <v>0</v>
      </c>
      <c r="CI110" s="171">
        <f ca="1">IF(OR($D110&lt;&gt;"Serviço",AND(AUTOEVENTO="Manual",$M110=$A$15)),0,
         IF(OFFSET(CRONOPLE!$F$15,$M110-$A$15,CI$13)=0,10^12,OFFSET(CRONOPLE!$F$15,$M110-$A$15,CI$13)))</f>
        <v>0</v>
      </c>
      <c r="CJ110" s="171">
        <f ca="1">IF(OR($D110&lt;&gt;"Serviço",AND(AUTOEVENTO="Manual",$M110=$A$15)),0,
         IF(OFFSET(CRONOPLE!$F$15,$M110-$A$15,CJ$13)=0,10^12,OFFSET(CRONOPLE!$F$15,$M110-$A$15,CJ$13)))</f>
        <v>0</v>
      </c>
      <c r="CK110" s="171">
        <f ca="1">IF(OR($D110&lt;&gt;"Serviço",AND(AUTOEVENTO="Manual",$M110=$A$15)),0,
         IF(OFFSET(CRONOPLE!$F$15,$M110-$A$15,CK$13)=0,10^12,OFFSET(CRONOPLE!$F$15,$M110-$A$15,CK$13)))</f>
        <v>0</v>
      </c>
      <c r="CL110" s="171">
        <f ca="1">IF(OR($D110&lt;&gt;"Serviço",AND(AUTOEVENTO="Manual",$M110=$A$15)),0,
         IF(OFFSET(CRONOPLE!$F$15,$M110-$A$15,CL$13)=0,10^12,OFFSET(CRONOPLE!$F$15,$M110-$A$15,CL$13)))</f>
        <v>0</v>
      </c>
      <c r="CM110" s="171">
        <f ca="1">IF(OR($D110&lt;&gt;"Serviço",AND(AUTOEVENTO="Manual",$M110=$A$15)),0,
         IF(OFFSET(CRONOPLE!$F$15,$M110-$A$15,CM$13)=0,10^12,OFFSET(CRONOPLE!$F$15,$M110-$A$15,CM$13)))</f>
        <v>0</v>
      </c>
      <c r="CN110" s="171">
        <f ca="1">IF(OR($D110&lt;&gt;"Serviço",AND(AUTOEVENTO="Manual",$M110=$A$15)),0,
         IF(OFFSET(CRONOPLE!$F$15,$M110-$A$15,CN$13)=0,10^12,OFFSET(CRONOPLE!$F$15,$M110-$A$15,CN$13)))</f>
        <v>0</v>
      </c>
      <c r="CO110" s="171">
        <f ca="1">IF(OR($D110&lt;&gt;"Serviço",AND(AUTOEVENTO="Manual",$M110=$A$15)),0,
         IF(OFFSET(CRONOPLE!$F$15,$M110-$A$15,CO$13)=0,10^12,OFFSET(CRONOPLE!$F$15,$M110-$A$15,CO$13)))</f>
        <v>0</v>
      </c>
      <c r="CP110" s="171">
        <f ca="1">IF(OR($D110&lt;&gt;"Serviço",AND(AUTOEVENTO="Manual",$M110=$A$15)),0,
         IF(OFFSET(CRONOPLE!$F$15,$M110-$A$15,CP$13)=0,10^12,OFFSET(CRONOPLE!$F$15,$M110-$A$15,CP$13)))</f>
        <v>0</v>
      </c>
      <c r="CQ110" s="171">
        <f ca="1">IF(OR($D110&lt;&gt;"Serviço",AND(AUTOEVENTO="Manual",$M110=$A$15)),0,
         IF(OFFSET(CRONOPLE!$F$15,$M110-$A$15,CQ$13)=0,10^12,OFFSET(CRONOPLE!$F$15,$M110-$A$15,CQ$13)))</f>
        <v>0</v>
      </c>
      <c r="CR110" s="171">
        <f ca="1">IF(OR($D110&lt;&gt;"Serviço",AND(AUTOEVENTO="Manual",$M110=$A$15)),0,
         IF(OFFSET(CRONOPLE!$F$15,$M110-$A$15,CR$13)=0,10^12,OFFSET(CRONOPLE!$F$15,$M110-$A$15,CR$13)))</f>
        <v>0</v>
      </c>
      <c r="CT110" s="172" cm="1">
        <f t="array" aca="1" ref="CT110" ca="1">IF(OR($D110&lt;&gt;"Serviço",AND(AUTOEVENTO="Manual",$M110=$A$15),$M110&gt;(ROW(PLE.lastrow)-ROW(PLE.firstrow))),0,
           IF(OFFSET(PLE!$G$15,$M110-$A$15,CT$13)="",10^12,OFFSET(PLE!$G$15,$M110-$A$15,CT$13)))</f>
        <v>0</v>
      </c>
      <c r="CU110" s="172" cm="1">
        <f t="array" aca="1" ref="CU110" ca="1">IF(OR($D110&lt;&gt;"Serviço",AND(AUTOEVENTO="Manual",$M110=$A$15),$M110&gt;(ROW(PLE.lastrow)-ROW(PLE.firstrow))),0,
           IF(OFFSET(PLE!$G$15,$M110-$A$15,CU$13)="",10^12,OFFSET(PLE!$G$15,$M110-$A$15,CU$13)))</f>
        <v>0</v>
      </c>
      <c r="CV110" s="172" cm="1">
        <f t="array" aca="1" ref="CV110" ca="1">IF(OR($D110&lt;&gt;"Serviço",AND(AUTOEVENTO="Manual",$M110=$A$15),$M110&gt;(ROW(PLE.lastrow)-ROW(PLE.firstrow))),0,
           IF(OFFSET(PLE!$G$15,$M110-$A$15,CV$13)="",10^12,OFFSET(PLE!$G$15,$M110-$A$15,CV$13)))</f>
        <v>0</v>
      </c>
      <c r="CW110" s="172" cm="1">
        <f t="array" aca="1" ref="CW110" ca="1">IF(OR($D110&lt;&gt;"Serviço",AND(AUTOEVENTO="Manual",$M110=$A$15),$M110&gt;(ROW(PLE.lastrow)-ROW(PLE.firstrow))),0,
           IF(OFFSET(PLE!$G$15,$M110-$A$15,CW$13)="",10^12,OFFSET(PLE!$G$15,$M110-$A$15,CW$13)))</f>
        <v>0</v>
      </c>
      <c r="CX110" s="172" cm="1">
        <f t="array" aca="1" ref="CX110" ca="1">IF(OR($D110&lt;&gt;"Serviço",AND(AUTOEVENTO="Manual",$M110=$A$15),$M110&gt;(ROW(PLE.lastrow)-ROW(PLE.firstrow))),0,
           IF(OFFSET(PLE!$G$15,$M110-$A$15,CX$13)="",10^12,OFFSET(PLE!$G$15,$M110-$A$15,CX$13)))</f>
        <v>0</v>
      </c>
      <c r="CY110" s="172" cm="1">
        <f t="array" aca="1" ref="CY110" ca="1">IF(OR($D110&lt;&gt;"Serviço",AND(AUTOEVENTO="Manual",$M110=$A$15),$M110&gt;(ROW(PLE.lastrow)-ROW(PLE.firstrow))),0,
           IF(OFFSET(PLE!$G$15,$M110-$A$15,CY$13)="",10^12,OFFSET(PLE!$G$15,$M110-$A$15,CY$13)))</f>
        <v>0</v>
      </c>
      <c r="CZ110" s="172" cm="1">
        <f t="array" aca="1" ref="CZ110" ca="1">IF(OR($D110&lt;&gt;"Serviço",AND(AUTOEVENTO="Manual",$M110=$A$15),$M110&gt;(ROW(PLE.lastrow)-ROW(PLE.firstrow))),0,
           IF(OFFSET(PLE!$G$15,$M110-$A$15,CZ$13)="",10^12,OFFSET(PLE!$G$15,$M110-$A$15,CZ$13)))</f>
        <v>0</v>
      </c>
      <c r="DA110" s="172" cm="1">
        <f t="array" aca="1" ref="DA110" ca="1">IF(OR($D110&lt;&gt;"Serviço",AND(AUTOEVENTO="Manual",$M110=$A$15),$M110&gt;(ROW(PLE.lastrow)-ROW(PLE.firstrow))),0,
           IF(OFFSET(PLE!$G$15,$M110-$A$15,DA$13)="",10^12,OFFSET(PLE!$G$15,$M110-$A$15,DA$13)))</f>
        <v>0</v>
      </c>
      <c r="DB110" s="172" cm="1">
        <f t="array" aca="1" ref="DB110" ca="1">IF(OR($D110&lt;&gt;"Serviço",AND(AUTOEVENTO="Manual",$M110=$A$15),$M110&gt;(ROW(PLE.lastrow)-ROW(PLE.firstrow))),0,
           IF(OFFSET(PLE!$G$15,$M110-$A$15,DB$13)="",10^12,OFFSET(PLE!$G$15,$M110-$A$15,DB$13)))</f>
        <v>0</v>
      </c>
      <c r="DC110" s="172" cm="1">
        <f t="array" aca="1" ref="DC110" ca="1">IF(OR($D110&lt;&gt;"Serviço",AND(AUTOEVENTO="Manual",$M110=$A$15),$M110&gt;(ROW(PLE.lastrow)-ROW(PLE.firstrow))),0,
           IF(OFFSET(PLE!$G$15,$M110-$A$15,DC$13)="",10^12,OFFSET(PLE!$G$15,$M110-$A$15,DC$13)))</f>
        <v>0</v>
      </c>
      <c r="DD110" s="172" cm="1">
        <f t="array" aca="1" ref="DD110" ca="1">IF(OR($D110&lt;&gt;"Serviço",AND(AUTOEVENTO="Manual",$M110=$A$15),$M110&gt;(ROW(PLE.lastrow)-ROW(PLE.firstrow))),0,
           IF(OFFSET(PLE!$G$15,$M110-$A$15,DD$13)="",10^12,OFFSET(PLE!$G$15,$M110-$A$15,DD$13)))</f>
        <v>0</v>
      </c>
      <c r="DE110" s="172" cm="1">
        <f t="array" aca="1" ref="DE110" ca="1">IF(OR($D110&lt;&gt;"Serviço",AND(AUTOEVENTO="Manual",$M110=$A$15),$M110&gt;(ROW(PLE.lastrow)-ROW(PLE.firstrow))),0,
           IF(OFFSET(PLE!$G$15,$M110-$A$15,DE$13)="",10^12,OFFSET(PLE!$G$15,$M110-$A$15,DE$13)))</f>
        <v>0</v>
      </c>
      <c r="DF110" s="172" cm="1">
        <f t="array" aca="1" ref="DF110" ca="1">IF(OR($D110&lt;&gt;"Serviço",AND(AUTOEVENTO="Manual",$M110=$A$15),$M110&gt;(ROW(PLE.lastrow)-ROW(PLE.firstrow))),0,
           IF(OFFSET(PLE!$G$15,$M110-$A$15,DF$13)="",10^12,OFFSET(PLE!$G$15,$M110-$A$15,DF$13)))</f>
        <v>0</v>
      </c>
      <c r="DG110" s="172" cm="1">
        <f t="array" aca="1" ref="DG110" ca="1">IF(OR($D110&lt;&gt;"Serviço",AND(AUTOEVENTO="Manual",$M110=$A$15),$M110&gt;(ROW(PLE.lastrow)-ROW(PLE.firstrow))),0,
           IF(OFFSET(PLE!$G$15,$M110-$A$15,DG$13)="",10^12,OFFSET(PLE!$G$15,$M110-$A$15,DG$13)))</f>
        <v>0</v>
      </c>
      <c r="DH110" s="172" cm="1">
        <f t="array" aca="1" ref="DH110" ca="1">IF(OR($D110&lt;&gt;"Serviço",AND(AUTOEVENTO="Manual",$M110=$A$15),$M110&gt;(ROW(PLE.lastrow)-ROW(PLE.firstrow))),0,
           IF(OFFSET(PLE!$G$15,$M110-$A$15,DH$13)="",10^12,OFFSET(PLE!$G$15,$M110-$A$15,DH$13)))</f>
        <v>0</v>
      </c>
      <c r="DI110" s="172" cm="1">
        <f t="array" aca="1" ref="DI110" ca="1">IF(OR($D110&lt;&gt;"Serviço",AND(AUTOEVENTO="Manual",$M110=$A$15),$M110&gt;(ROW(PLE.lastrow)-ROW(PLE.firstrow))),0,
           IF(OFFSET(PLE!$G$15,$M110-$A$15,DI$13)="",10^12,OFFSET(PLE!$G$15,$M110-$A$15,DI$13)))</f>
        <v>0</v>
      </c>
      <c r="DJ110" s="172" cm="1">
        <f t="array" aca="1" ref="DJ110" ca="1">IF(OR($D110&lt;&gt;"Serviço",AND(AUTOEVENTO="Manual",$M110=$A$15),$M110&gt;(ROW(PLE.lastrow)-ROW(PLE.firstrow))),0,
           IF(OFFSET(PLE!$G$15,$M110-$A$15,DJ$13)="",10^12,OFFSET(PLE!$G$15,$M110-$A$15,DJ$13)))</f>
        <v>0</v>
      </c>
      <c r="DK110" s="172" cm="1">
        <f t="array" aca="1" ref="DK110" ca="1">IF(OR($D110&lt;&gt;"Serviço",AND(AUTOEVENTO="Manual",$M110=$A$15),$M110&gt;(ROW(PLE.lastrow)-ROW(PLE.firstrow))),0,
           IF(OFFSET(PLE!$G$15,$M110-$A$15,DK$13)="",10^12,OFFSET(PLE!$G$15,$M110-$A$15,DK$13)))</f>
        <v>0</v>
      </c>
      <c r="DL110" s="172" cm="1">
        <f t="array" aca="1" ref="DL110" ca="1">IF(OR($D110&lt;&gt;"Serviço",AND(AUTOEVENTO="Manual",$M110=$A$15),$M110&gt;(ROW(PLE.lastrow)-ROW(PLE.firstrow))),0,
           IF(OFFSET(PLE!$G$15,$M110-$A$15,DL$13)="",10^12,OFFSET(PLE!$G$15,$M110-$A$15,DL$13)))</f>
        <v>0</v>
      </c>
      <c r="DM110" s="172" cm="1">
        <f t="array" aca="1" ref="DM110" ca="1">IF(OR($D110&lt;&gt;"Serviço",AND(AUTOEVENTO="Manual",$M110=$A$15),$M110&gt;(ROW(PLE.lastrow)-ROW(PLE.firstrow))),0,
           IF(OFFSET(PLE!$G$15,$M110-$A$15,DM$13)="",10^12,OFFSET(PLE!$G$15,$M110-$A$15,DM$13)))</f>
        <v>0</v>
      </c>
      <c r="DN110" s="172" cm="1">
        <f t="array" aca="1" ref="DN110" ca="1">IF(OR($D110&lt;&gt;"Serviço",AND(AUTOEVENTO="Manual",$M110=$A$15),$M110&gt;(ROW(PLE.lastrow)-ROW(PLE.firstrow))),0,
           IF(OFFSET(PLE!$G$15,$M110-$A$15,DN$13)="",10^12,OFFSET(PLE!$G$15,$M110-$A$15,DN$13)))</f>
        <v>0</v>
      </c>
      <c r="DO110" s="172" cm="1">
        <f t="array" aca="1" ref="DO110" ca="1">IF(OR($D110&lt;&gt;"Serviço",AND(AUTOEVENTO="Manual",$M110=$A$15),$M110&gt;(ROW(PLE.lastrow)-ROW(PLE.firstrow))),0,
           IF(OFFSET(PLE!$G$15,$M110-$A$15,DO$13)="",10^12,OFFSET(PLE!$G$15,$M110-$A$15,DO$13)))</f>
        <v>0</v>
      </c>
      <c r="DP110" s="172" cm="1">
        <f t="array" aca="1" ref="DP110" ca="1">IF(OR($D110&lt;&gt;"Serviço",AND(AUTOEVENTO="Manual",$M110=$A$15),$M110&gt;(ROW(PLE.lastrow)-ROW(PLE.firstrow))),0,
           IF(OFFSET(PLE!$G$15,$M110-$A$15,DP$13)="",10^12,OFFSET(PLE!$G$15,$M110-$A$15,DP$13)))</f>
        <v>0</v>
      </c>
      <c r="DQ110" s="172" cm="1">
        <f t="array" aca="1" ref="DQ110" ca="1">IF(OR($D110&lt;&gt;"Serviço",AND(AUTOEVENTO="Manual",$M110=$A$15),$M110&gt;(ROW(PLE.lastrow)-ROW(PLE.firstrow))),0,
           IF(OFFSET(PLE!$G$15,$M110-$A$15,DQ$13)="",10^12,OFFSET(PLE!$G$15,$M110-$A$15,DQ$13)))</f>
        <v>0</v>
      </c>
      <c r="DR110" s="172" cm="1">
        <f t="array" aca="1" ref="DR110" ca="1">IF(OR($D110&lt;&gt;"Serviço",AND(AUTOEVENTO="Manual",$M110=$A$15),$M110&gt;(ROW(PLE.lastrow)-ROW(PLE.firstrow))),0,
           IF(OFFSET(PLE!$G$15,$M110-$A$15,DR$13)="",10^12,OFFSET(PLE!$G$15,$M110-$A$15,DR$13)))</f>
        <v>0</v>
      </c>
      <c r="DS110" s="172" cm="1">
        <f t="array" aca="1" ref="DS110" ca="1">IF(OR($D110&lt;&gt;"Serviço",AND(AUTOEVENTO="Manual",$M110=$A$15),$M110&gt;(ROW(PLE.lastrow)-ROW(PLE.firstrow))),0,
           IF(OFFSET(PLE!$G$15,$M110-$A$15,DS$13)="",10^12,OFFSET(PLE!$G$15,$M110-$A$15,DS$13)))</f>
        <v>0</v>
      </c>
    </row>
    <row r="111" spans="1:123" ht="25.5" x14ac:dyDescent="0.2">
      <c r="A111" s="7">
        <f t="shared" ca="1" si="13"/>
        <v>7</v>
      </c>
      <c r="B111" s="7" t="str">
        <f ca="1">OFFSET(ORÇAMENTO!C$15,$L111,0)</f>
        <v>S</v>
      </c>
      <c r="C111" s="7" t="str">
        <f ca="1">OFFSET(ORÇAMENTO!L$15,$L111,0)</f>
        <v/>
      </c>
      <c r="D111" s="116" t="str">
        <f ca="1">OFFSET(ORÇAMENTO!N$15,$L111,0)</f>
        <v>Serviço</v>
      </c>
      <c r="E111" s="117" t="str">
        <f ca="1">OFFSET(ORÇAMENTO!O$15,$L111,0)</f>
        <v>-</v>
      </c>
      <c r="F111" s="163" t="str">
        <f ca="1">OFFSET(ORÇAMENTO!R$15,$L111,0)</f>
        <v>(Código não identificado nas referências)</v>
      </c>
      <c r="G111" s="164" t="str">
        <f ca="1">IF($D111&lt;&gt;"Serviço","",OFFSET(ORÇAMENTO!S$15,$L111,0))</f>
        <v>-</v>
      </c>
      <c r="H111" s="122" cm="1">
        <f t="array" aca="1" ref="H111" ca="1">IF($D111&lt;&gt;"Serviço",0,IF(ACOMPANHAMENTO="BM",ROUND(OFFSET(ORÇAMENTO!AJ$15,$L111,0),15-13*ORÇAMENTO!$AF$7),IF(IFERROR(CÁLCULO.FrentesPreenchidas,0)=0,0,SUM(ROUND(OFFSET($P111,0,1,1,CÁLCULO.FrentesPreenchidas),15-13*ORÇAMENTO!$AF$7)))))</f>
        <v>420</v>
      </c>
      <c r="I111" s="468" t="s">
        <v>1235</v>
      </c>
      <c r="J111" s="651" t="str" cm="1">
        <f t="array" aca="1" ref="J111" ca="1">IF(OR(B111&lt;&gt;"S",CÁLCULO.FrentesPreenchidas=0),"",IF(AND(ACOMPANHAMENTO="PLE",AUTOEVENTO="Manual",OR(H111&gt;0,ORÇAMENTO!AC111="QUANT."),OR(K111="",M111=0,N111="")),"►E",IF(AND(ACOMPANHAMENTO="PLE",ORÇAMENTO!AC111="QUANT."),"►Q",IF(AND(ACOMPANHAMENTO="PLE",H111&lt;&gt;SUMPRODUCT(($Q$1:$AQ$1=1)*ROUND(Q111:AQ111,15))),"►S",IF(AND(COUNTIF($P$11:$AQ$11,"▼")=0,H111&gt;0,I111=""),"◄M","")))))</f>
        <v/>
      </c>
      <c r="K111" s="652" t="s">
        <v>1255</v>
      </c>
      <c r="L111" s="165">
        <f t="shared" ca="1" si="14"/>
        <v>96</v>
      </c>
      <c r="M111" s="166">
        <f ca="1">IF($D111&lt;&gt;"Serviço","",
          IF(AUTOEVENTO="manual",$A111,
                IF(ISERROR(MATCH($A111,$A$15:OFFSET($A111,-1,0),0)),MAX($M$15:OFFSET(M111,-1,0))+1,
                      INDEX($M$15:OFFSET(M111,-1,0),MATCH($A111,$A$15:OFFSET($A111,-1,0),0)))))</f>
        <v>7</v>
      </c>
      <c r="N111" s="167" t="str">
        <f ca="1">IF($D111&lt;&gt;"Serviço","",
         IF(AUTOEVENTO="Manual",
                IF($A111=0,"&lt;-- defina o número do agrupador",
                       OFFSET(EVENTOS!$D$15,$A111-$A$15,0)),
                OFFSET($F$15,$A111,0)))</f>
        <v>REVESTIMENTOS</v>
      </c>
      <c r="O111" s="168"/>
      <c r="Q111" s="168">
        <v>21</v>
      </c>
      <c r="R111" s="169">
        <v>21</v>
      </c>
      <c r="S111" s="169">
        <v>21</v>
      </c>
      <c r="T111" s="169">
        <v>21</v>
      </c>
      <c r="U111" s="169">
        <v>21</v>
      </c>
      <c r="V111" s="169">
        <v>21</v>
      </c>
      <c r="W111" s="169">
        <v>21</v>
      </c>
      <c r="X111" s="169">
        <v>21</v>
      </c>
      <c r="Y111" s="169">
        <v>21</v>
      </c>
      <c r="Z111" s="170">
        <v>21</v>
      </c>
      <c r="AA111" s="169">
        <v>21</v>
      </c>
      <c r="AB111" s="169">
        <v>21</v>
      </c>
      <c r="AC111" s="169">
        <v>21</v>
      </c>
      <c r="AD111" s="169">
        <v>21</v>
      </c>
      <c r="AE111" s="169">
        <v>21</v>
      </c>
      <c r="AF111" s="169">
        <v>21</v>
      </c>
      <c r="AG111" s="169">
        <v>21</v>
      </c>
      <c r="AH111" s="170">
        <v>21</v>
      </c>
      <c r="AI111" s="169">
        <v>21</v>
      </c>
      <c r="AJ111" s="169">
        <v>21</v>
      </c>
      <c r="AK111" s="169"/>
      <c r="AL111" s="169"/>
      <c r="AM111" s="169"/>
      <c r="AN111" s="169"/>
      <c r="AO111" s="169"/>
      <c r="AP111" s="170"/>
      <c r="AR111" s="453">
        <f ca="1">IF(AND($D111="Serviço",AR$12&lt;&gt;0,$H111&gt;0,OR(AUTOEVENTO&lt;&gt;"manual",$M111&lt;&gt;$A$15)),
        IF(Import.TipoArredondamento&lt;&gt;"TransfereGOV",
              ROUND(OFFSET($P111,0,AR$13),15-13*ORÇAMENTO!$AF$7)/$H111*OFFSET(ORÇAMENTO!$X$15,ROW(AR111)-ROW(AR$15),0),
              ROUND(ROUND(OFFSET($P111,0,AR$13),15-13*ORÇAMENTO!$AF$7)*OFFSET(ORÇAMENTO!$W$15,ROW(AR111)-ROW(AR$15),0),15-13*ORÇAMENTO!$AF$11)),
         0)</f>
        <v>0</v>
      </c>
      <c r="AS111" s="453">
        <f ca="1">IF(AND($D111="Serviço",AS$12&lt;&gt;0,$H111&gt;0,OR(AUTOEVENTO&lt;&gt;"manual",$M111&lt;&gt;$A$15)),
        IF(Import.TipoArredondamento&lt;&gt;"TransfereGOV",
              ROUND(OFFSET($P111,0,AS$13),15-13*ORÇAMENTO!$AF$7)/$H111*OFFSET(ORÇAMENTO!$X$15,ROW(AS111)-ROW(AS$15),0),
              ROUND(ROUND(OFFSET($P111,0,AS$13),15-13*ORÇAMENTO!$AF$7)*OFFSET(ORÇAMENTO!$W$15,ROW(AS111)-ROW(AS$15),0),15-13*ORÇAMENTO!$AF$11)),
         0)</f>
        <v>0</v>
      </c>
      <c r="AT111" s="453">
        <f ca="1">IF(AND($D111="Serviço",AT$12&lt;&gt;0,$H111&gt;0,OR(AUTOEVENTO&lt;&gt;"manual",$M111&lt;&gt;$A$15)),
        IF(Import.TipoArredondamento&lt;&gt;"TransfereGOV",
              ROUND(OFFSET($P111,0,AT$13),15-13*ORÇAMENTO!$AF$7)/$H111*OFFSET(ORÇAMENTO!$X$15,ROW(AT111)-ROW(AT$15),0),
              ROUND(ROUND(OFFSET($P111,0,AT$13),15-13*ORÇAMENTO!$AF$7)*OFFSET(ORÇAMENTO!$W$15,ROW(AT111)-ROW(AT$15),0),15-13*ORÇAMENTO!$AF$11)),
         0)</f>
        <v>0</v>
      </c>
      <c r="AU111" s="453">
        <f ca="1">IF(AND($D111="Serviço",AU$12&lt;&gt;0,$H111&gt;0,OR(AUTOEVENTO&lt;&gt;"manual",$M111&lt;&gt;$A$15)),
        IF(Import.TipoArredondamento&lt;&gt;"TransfereGOV",
              ROUND(OFFSET($P111,0,AU$13),15-13*ORÇAMENTO!$AF$7)/$H111*OFFSET(ORÇAMENTO!$X$15,ROW(AU111)-ROW(AU$15),0),
              ROUND(ROUND(OFFSET($P111,0,AU$13),15-13*ORÇAMENTO!$AF$7)*OFFSET(ORÇAMENTO!$W$15,ROW(AU111)-ROW(AU$15),0),15-13*ORÇAMENTO!$AF$11)),
         0)</f>
        <v>0</v>
      </c>
      <c r="AV111" s="453">
        <f ca="1">IF(AND($D111="Serviço",AV$12&lt;&gt;0,$H111&gt;0,OR(AUTOEVENTO&lt;&gt;"manual",$M111&lt;&gt;$A$15)),
        IF(Import.TipoArredondamento&lt;&gt;"TransfereGOV",
              ROUND(OFFSET($P111,0,AV$13),15-13*ORÇAMENTO!$AF$7)/$H111*OFFSET(ORÇAMENTO!$X$15,ROW(AV111)-ROW(AV$15),0),
              ROUND(ROUND(OFFSET($P111,0,AV$13),15-13*ORÇAMENTO!$AF$7)*OFFSET(ORÇAMENTO!$W$15,ROW(AV111)-ROW(AV$15),0),15-13*ORÇAMENTO!$AF$11)),
         0)</f>
        <v>0</v>
      </c>
      <c r="AW111" s="453">
        <f ca="1">IF(AND($D111="Serviço",AW$12&lt;&gt;0,$H111&gt;0,OR(AUTOEVENTO&lt;&gt;"manual",$M111&lt;&gt;$A$15)),
        IF(Import.TipoArredondamento&lt;&gt;"TransfereGOV",
              ROUND(OFFSET($P111,0,AW$13),15-13*ORÇAMENTO!$AF$7)/$H111*OFFSET(ORÇAMENTO!$X$15,ROW(AW111)-ROW(AW$15),0),
              ROUND(ROUND(OFFSET($P111,0,AW$13),15-13*ORÇAMENTO!$AF$7)*OFFSET(ORÇAMENTO!$W$15,ROW(AW111)-ROW(AW$15),0),15-13*ORÇAMENTO!$AF$11)),
         0)</f>
        <v>0</v>
      </c>
      <c r="AX111" s="453">
        <f ca="1">IF(AND($D111="Serviço",AX$12&lt;&gt;0,$H111&gt;0,OR(AUTOEVENTO&lt;&gt;"manual",$M111&lt;&gt;$A$15)),
        IF(Import.TipoArredondamento&lt;&gt;"TransfereGOV",
              ROUND(OFFSET($P111,0,AX$13),15-13*ORÇAMENTO!$AF$7)/$H111*OFFSET(ORÇAMENTO!$X$15,ROW(AX111)-ROW(AX$15),0),
              ROUND(ROUND(OFFSET($P111,0,AX$13),15-13*ORÇAMENTO!$AF$7)*OFFSET(ORÇAMENTO!$W$15,ROW(AX111)-ROW(AX$15),0),15-13*ORÇAMENTO!$AF$11)),
         0)</f>
        <v>0</v>
      </c>
      <c r="AY111" s="453">
        <f ca="1">IF(AND($D111="Serviço",AY$12&lt;&gt;0,$H111&gt;0,OR(AUTOEVENTO&lt;&gt;"manual",$M111&lt;&gt;$A$15)),
        IF(Import.TipoArredondamento&lt;&gt;"TransfereGOV",
              ROUND(OFFSET($P111,0,AY$13),15-13*ORÇAMENTO!$AF$7)/$H111*OFFSET(ORÇAMENTO!$X$15,ROW(AY111)-ROW(AY$15),0),
              ROUND(ROUND(OFFSET($P111,0,AY$13),15-13*ORÇAMENTO!$AF$7)*OFFSET(ORÇAMENTO!$W$15,ROW(AY111)-ROW(AY$15),0),15-13*ORÇAMENTO!$AF$11)),
         0)</f>
        <v>0</v>
      </c>
      <c r="AZ111" s="453">
        <f ca="1">IF(AND($D111="Serviço",AZ$12&lt;&gt;0,$H111&gt;0,OR(AUTOEVENTO&lt;&gt;"manual",$M111&lt;&gt;$A$15)),
        IF(Import.TipoArredondamento&lt;&gt;"TransfereGOV",
              ROUND(OFFSET($P111,0,AZ$13),15-13*ORÇAMENTO!$AF$7)/$H111*OFFSET(ORÇAMENTO!$X$15,ROW(AZ111)-ROW(AZ$15),0),
              ROUND(ROUND(OFFSET($P111,0,AZ$13),15-13*ORÇAMENTO!$AF$7)*OFFSET(ORÇAMENTO!$W$15,ROW(AZ111)-ROW(AZ$15),0),15-13*ORÇAMENTO!$AF$11)),
         0)</f>
        <v>0</v>
      </c>
      <c r="BA111" s="453">
        <f ca="1">IF(AND($D111="Serviço",BA$12&lt;&gt;0,$H111&gt;0,OR(AUTOEVENTO&lt;&gt;"manual",$M111&lt;&gt;$A$15)),
        IF(Import.TipoArredondamento&lt;&gt;"TransfereGOV",
              ROUND(OFFSET($P111,0,BA$13),15-13*ORÇAMENTO!$AF$7)/$H111*OFFSET(ORÇAMENTO!$X$15,ROW(BA111)-ROW(BA$15),0),
              ROUND(ROUND(OFFSET($P111,0,BA$13),15-13*ORÇAMENTO!$AF$7)*OFFSET(ORÇAMENTO!$W$15,ROW(BA111)-ROW(BA$15),0),15-13*ORÇAMENTO!$AF$11)),
         0)</f>
        <v>0</v>
      </c>
      <c r="BB111" s="453">
        <f ca="1">IF(AND($D111="Serviço",BB$12&lt;&gt;0,$H111&gt;0,OR(AUTOEVENTO&lt;&gt;"manual",$M111&lt;&gt;$A$15)),
        IF(Import.TipoArredondamento&lt;&gt;"TransfereGOV",
              ROUND(OFFSET($P111,0,BB$13),15-13*ORÇAMENTO!$AF$7)/$H111*OFFSET(ORÇAMENTO!$X$15,ROW(BB111)-ROW(BB$15),0),
              ROUND(ROUND(OFFSET($P111,0,BB$13),15-13*ORÇAMENTO!$AF$7)*OFFSET(ORÇAMENTO!$W$15,ROW(BB111)-ROW(BB$15),0),15-13*ORÇAMENTO!$AF$11)),
         0)</f>
        <v>0</v>
      </c>
      <c r="BC111" s="453">
        <f ca="1">IF(AND($D111="Serviço",BC$12&lt;&gt;0,$H111&gt;0,OR(AUTOEVENTO&lt;&gt;"manual",$M111&lt;&gt;$A$15)),
        IF(Import.TipoArredondamento&lt;&gt;"TransfereGOV",
              ROUND(OFFSET($P111,0,BC$13),15-13*ORÇAMENTO!$AF$7)/$H111*OFFSET(ORÇAMENTO!$X$15,ROW(BC111)-ROW(BC$15),0),
              ROUND(ROUND(OFFSET($P111,0,BC$13),15-13*ORÇAMENTO!$AF$7)*OFFSET(ORÇAMENTO!$W$15,ROW(BC111)-ROW(BC$15),0),15-13*ORÇAMENTO!$AF$11)),
         0)</f>
        <v>0</v>
      </c>
      <c r="BD111" s="453">
        <f ca="1">IF(AND($D111="Serviço",BD$12&lt;&gt;0,$H111&gt;0,OR(AUTOEVENTO&lt;&gt;"manual",$M111&lt;&gt;$A$15)),
        IF(Import.TipoArredondamento&lt;&gt;"TransfereGOV",
              ROUND(OFFSET($P111,0,BD$13),15-13*ORÇAMENTO!$AF$7)/$H111*OFFSET(ORÇAMENTO!$X$15,ROW(BD111)-ROW(BD$15),0),
              ROUND(ROUND(OFFSET($P111,0,BD$13),15-13*ORÇAMENTO!$AF$7)*OFFSET(ORÇAMENTO!$W$15,ROW(BD111)-ROW(BD$15),0),15-13*ORÇAMENTO!$AF$11)),
         0)</f>
        <v>0</v>
      </c>
      <c r="BE111" s="453">
        <f ca="1">IF(AND($D111="Serviço",BE$12&lt;&gt;0,$H111&gt;0,OR(AUTOEVENTO&lt;&gt;"manual",$M111&lt;&gt;$A$15)),
        IF(Import.TipoArredondamento&lt;&gt;"TransfereGOV",
              ROUND(OFFSET($P111,0,BE$13),15-13*ORÇAMENTO!$AF$7)/$H111*OFFSET(ORÇAMENTO!$X$15,ROW(BE111)-ROW(BE$15),0),
              ROUND(ROUND(OFFSET($P111,0,BE$13),15-13*ORÇAMENTO!$AF$7)*OFFSET(ORÇAMENTO!$W$15,ROW(BE111)-ROW(BE$15),0),15-13*ORÇAMENTO!$AF$11)),
         0)</f>
        <v>0</v>
      </c>
      <c r="BF111" s="453">
        <f ca="1">IF(AND($D111="Serviço",BF$12&lt;&gt;0,$H111&gt;0,OR(AUTOEVENTO&lt;&gt;"manual",$M111&lt;&gt;$A$15)),
        IF(Import.TipoArredondamento&lt;&gt;"TransfereGOV",
              ROUND(OFFSET($P111,0,BF$13),15-13*ORÇAMENTO!$AF$7)/$H111*OFFSET(ORÇAMENTO!$X$15,ROW(BF111)-ROW(BF$15),0),
              ROUND(ROUND(OFFSET($P111,0,BF$13),15-13*ORÇAMENTO!$AF$7)*OFFSET(ORÇAMENTO!$W$15,ROW(BF111)-ROW(BF$15),0),15-13*ORÇAMENTO!$AF$11)),
         0)</f>
        <v>0</v>
      </c>
      <c r="BG111" s="453">
        <f ca="1">IF(AND($D111="Serviço",BG$12&lt;&gt;0,$H111&gt;0,OR(AUTOEVENTO&lt;&gt;"manual",$M111&lt;&gt;$A$15)),
        IF(Import.TipoArredondamento&lt;&gt;"TransfereGOV",
              ROUND(OFFSET($P111,0,BG$13),15-13*ORÇAMENTO!$AF$7)/$H111*OFFSET(ORÇAMENTO!$X$15,ROW(BG111)-ROW(BG$15),0),
              ROUND(ROUND(OFFSET($P111,0,BG$13),15-13*ORÇAMENTO!$AF$7)*OFFSET(ORÇAMENTO!$W$15,ROW(BG111)-ROW(BG$15),0),15-13*ORÇAMENTO!$AF$11)),
         0)</f>
        <v>0</v>
      </c>
      <c r="BH111" s="453">
        <f ca="1">IF(AND($D111="Serviço",BH$12&lt;&gt;0,$H111&gt;0,OR(AUTOEVENTO&lt;&gt;"manual",$M111&lt;&gt;$A$15)),
        IF(Import.TipoArredondamento&lt;&gt;"TransfereGOV",
              ROUND(OFFSET($P111,0,BH$13),15-13*ORÇAMENTO!$AF$7)/$H111*OFFSET(ORÇAMENTO!$X$15,ROW(BH111)-ROW(BH$15),0),
              ROUND(ROUND(OFFSET($P111,0,BH$13),15-13*ORÇAMENTO!$AF$7)*OFFSET(ORÇAMENTO!$W$15,ROW(BH111)-ROW(BH$15),0),15-13*ORÇAMENTO!$AF$11)),
         0)</f>
        <v>0</v>
      </c>
      <c r="BI111" s="453">
        <f ca="1">IF(AND($D111="Serviço",BI$12&lt;&gt;0,$H111&gt;0,OR(AUTOEVENTO&lt;&gt;"manual",$M111&lt;&gt;$A$15)),
        IF(Import.TipoArredondamento&lt;&gt;"TransfereGOV",
              ROUND(OFFSET($P111,0,BI$13),15-13*ORÇAMENTO!$AF$7)/$H111*OFFSET(ORÇAMENTO!$X$15,ROW(BI111)-ROW(BI$15),0),
              ROUND(ROUND(OFFSET($P111,0,BI$13),15-13*ORÇAMENTO!$AF$7)*OFFSET(ORÇAMENTO!$W$15,ROW(BI111)-ROW(BI$15),0),15-13*ORÇAMENTO!$AF$11)),
         0)</f>
        <v>0</v>
      </c>
      <c r="BJ111" s="453">
        <f ca="1">IF(AND($D111="Serviço",BJ$12&lt;&gt;0,$H111&gt;0,OR(AUTOEVENTO&lt;&gt;"manual",$M111&lt;&gt;$A$15)),
        IF(Import.TipoArredondamento&lt;&gt;"TransfereGOV",
              ROUND(OFFSET($P111,0,BJ$13),15-13*ORÇAMENTO!$AF$7)/$H111*OFFSET(ORÇAMENTO!$X$15,ROW(BJ111)-ROW(BJ$15),0),
              ROUND(ROUND(OFFSET($P111,0,BJ$13),15-13*ORÇAMENTO!$AF$7)*OFFSET(ORÇAMENTO!$W$15,ROW(BJ111)-ROW(BJ$15),0),15-13*ORÇAMENTO!$AF$11)),
         0)</f>
        <v>0</v>
      </c>
      <c r="BK111" s="453">
        <f ca="1">IF(AND($D111="Serviço",BK$12&lt;&gt;0,$H111&gt;0,OR(AUTOEVENTO&lt;&gt;"manual",$M111&lt;&gt;$A$15)),
        IF(Import.TipoArredondamento&lt;&gt;"TransfereGOV",
              ROUND(OFFSET($P111,0,BK$13),15-13*ORÇAMENTO!$AF$7)/$H111*OFFSET(ORÇAMENTO!$X$15,ROW(BK111)-ROW(BK$15),0),
              ROUND(ROUND(OFFSET($P111,0,BK$13),15-13*ORÇAMENTO!$AF$7)*OFFSET(ORÇAMENTO!$W$15,ROW(BK111)-ROW(BK$15),0),15-13*ORÇAMENTO!$AF$11)),
         0)</f>
        <v>0</v>
      </c>
      <c r="BL111" s="453">
        <f ca="1">IF(AND($D111="Serviço",BL$12&lt;&gt;0,$H111&gt;0,OR(AUTOEVENTO&lt;&gt;"manual",$M111&lt;&gt;$A$15)),
        IF(Import.TipoArredondamento&lt;&gt;"TransfereGOV",
              ROUND(OFFSET($P111,0,BL$13),15-13*ORÇAMENTO!$AF$7)/$H111*OFFSET(ORÇAMENTO!$X$15,ROW(BL111)-ROW(BL$15),0),
              ROUND(ROUND(OFFSET($P111,0,BL$13),15-13*ORÇAMENTO!$AF$7)*OFFSET(ORÇAMENTO!$W$15,ROW(BL111)-ROW(BL$15),0),15-13*ORÇAMENTO!$AF$11)),
         0)</f>
        <v>0</v>
      </c>
      <c r="BM111" s="453">
        <f ca="1">IF(AND($D111="Serviço",BM$12&lt;&gt;0,$H111&gt;0,OR(AUTOEVENTO&lt;&gt;"manual",$M111&lt;&gt;$A$15)),
        IF(Import.TipoArredondamento&lt;&gt;"TransfereGOV",
              ROUND(OFFSET($P111,0,BM$13),15-13*ORÇAMENTO!$AF$7)/$H111*OFFSET(ORÇAMENTO!$X$15,ROW(BM111)-ROW(BM$15),0),
              ROUND(ROUND(OFFSET($P111,0,BM$13),15-13*ORÇAMENTO!$AF$7)*OFFSET(ORÇAMENTO!$W$15,ROW(BM111)-ROW(BM$15),0),15-13*ORÇAMENTO!$AF$11)),
         0)</f>
        <v>0</v>
      </c>
      <c r="BN111" s="453">
        <f ca="1">IF(AND($D111="Serviço",BN$12&lt;&gt;0,$H111&gt;0,OR(AUTOEVENTO&lt;&gt;"manual",$M111&lt;&gt;$A$15)),
        IF(Import.TipoArredondamento&lt;&gt;"TransfereGOV",
              ROUND(OFFSET($P111,0,BN$13),15-13*ORÇAMENTO!$AF$7)/$H111*OFFSET(ORÇAMENTO!$X$15,ROW(BN111)-ROW(BN$15),0),
              ROUND(ROUND(OFFSET($P111,0,BN$13),15-13*ORÇAMENTO!$AF$7)*OFFSET(ORÇAMENTO!$W$15,ROW(BN111)-ROW(BN$15),0),15-13*ORÇAMENTO!$AF$11)),
         0)</f>
        <v>0</v>
      </c>
      <c r="BO111" s="453">
        <f ca="1">IF(AND($D111="Serviço",BO$12&lt;&gt;0,$H111&gt;0,OR(AUTOEVENTO&lt;&gt;"manual",$M111&lt;&gt;$A$15)),
        IF(Import.TipoArredondamento&lt;&gt;"TransfereGOV",
              ROUND(OFFSET($P111,0,BO$13),15-13*ORÇAMENTO!$AF$7)/$H111*OFFSET(ORÇAMENTO!$X$15,ROW(BO111)-ROW(BO$15),0),
              ROUND(ROUND(OFFSET($P111,0,BO$13),15-13*ORÇAMENTO!$AF$7)*OFFSET(ORÇAMENTO!$W$15,ROW(BO111)-ROW(BO$15),0),15-13*ORÇAMENTO!$AF$11)),
         0)</f>
        <v>0</v>
      </c>
      <c r="BP111" s="453">
        <f ca="1">IF(AND($D111="Serviço",BP$12&lt;&gt;0,$H111&gt;0,OR(AUTOEVENTO&lt;&gt;"manual",$M111&lt;&gt;$A$15)),
        IF(Import.TipoArredondamento&lt;&gt;"TransfereGOV",
              ROUND(OFFSET($P111,0,BP$13),15-13*ORÇAMENTO!$AF$7)/$H111*OFFSET(ORÇAMENTO!$X$15,ROW(BP111)-ROW(BP$15),0),
              ROUND(ROUND(OFFSET($P111,0,BP$13),15-13*ORÇAMENTO!$AF$7)*OFFSET(ORÇAMENTO!$W$15,ROW(BP111)-ROW(BP$15),0),15-13*ORÇAMENTO!$AF$11)),
         0)</f>
        <v>0</v>
      </c>
      <c r="BQ111" s="453">
        <f ca="1">IF(AND($D111="Serviço",BQ$12&lt;&gt;0,$H111&gt;0,OR(AUTOEVENTO&lt;&gt;"manual",$M111&lt;&gt;$A$15)),
        IF(Import.TipoArredondamento&lt;&gt;"TransfereGOV",
              ROUND(OFFSET($P111,0,BQ$13),15-13*ORÇAMENTO!$AF$7)/$H111*OFFSET(ORÇAMENTO!$X$15,ROW(BQ111)-ROW(BQ$15),0),
              ROUND(ROUND(OFFSET($P111,0,BQ$13),15-13*ORÇAMENTO!$AF$7)*OFFSET(ORÇAMENTO!$W$15,ROW(BQ111)-ROW(BQ$15),0),15-13*ORÇAMENTO!$AF$11)),
         0)</f>
        <v>0</v>
      </c>
      <c r="BS111" s="171">
        <f ca="1">IF(OR($D111&lt;&gt;"Serviço",AND(AUTOEVENTO="Manual",$M111=$A$15)),0,
         IF(OFFSET(CRONOPLE!$F$15,$M111-$A$15,BS$13)=0,10^12,OFFSET(CRONOPLE!$F$15,$M111-$A$15,BS$13)))</f>
        <v>1</v>
      </c>
      <c r="BT111" s="171">
        <f ca="1">IF(OR($D111&lt;&gt;"Serviço",AND(AUTOEVENTO="Manual",$M111=$A$15)),0,
         IF(OFFSET(CRONOPLE!$F$15,$M111-$A$15,BT$13)=0,10^12,OFFSET(CRONOPLE!$F$15,$M111-$A$15,BT$13)))</f>
        <v>2</v>
      </c>
      <c r="BU111" s="171">
        <f ca="1">IF(OR($D111&lt;&gt;"Serviço",AND(AUTOEVENTO="Manual",$M111=$A$15)),0,
         IF(OFFSET(CRONOPLE!$F$15,$M111-$A$15,BU$13)=0,10^12,OFFSET(CRONOPLE!$F$15,$M111-$A$15,BU$13)))</f>
        <v>3</v>
      </c>
      <c r="BV111" s="171">
        <f ca="1">IF(OR($D111&lt;&gt;"Serviço",AND(AUTOEVENTO="Manual",$M111=$A$15)),0,
         IF(OFFSET(CRONOPLE!$F$15,$M111-$A$15,BV$13)=0,10^12,OFFSET(CRONOPLE!$F$15,$M111-$A$15,BV$13)))</f>
        <v>4</v>
      </c>
      <c r="BW111" s="171">
        <f ca="1">IF(OR($D111&lt;&gt;"Serviço",AND(AUTOEVENTO="Manual",$M111=$A$15)),0,
         IF(OFFSET(CRONOPLE!$F$15,$M111-$A$15,BW$13)=0,10^12,OFFSET(CRONOPLE!$F$15,$M111-$A$15,BW$13)))</f>
        <v>5</v>
      </c>
      <c r="BX111" s="171">
        <f ca="1">IF(OR($D111&lt;&gt;"Serviço",AND(AUTOEVENTO="Manual",$M111=$A$15)),0,
         IF(OFFSET(CRONOPLE!$F$15,$M111-$A$15,BX$13)=0,10^12,OFFSET(CRONOPLE!$F$15,$M111-$A$15,BX$13)))</f>
        <v>6</v>
      </c>
      <c r="BY111" s="171">
        <f ca="1">IF(OR($D111&lt;&gt;"Serviço",AND(AUTOEVENTO="Manual",$M111=$A$15)),0,
         IF(OFFSET(CRONOPLE!$F$15,$M111-$A$15,BY$13)=0,10^12,OFFSET(CRONOPLE!$F$15,$M111-$A$15,BY$13)))</f>
        <v>7</v>
      </c>
      <c r="BZ111" s="171">
        <f ca="1">IF(OR($D111&lt;&gt;"Serviço",AND(AUTOEVENTO="Manual",$M111=$A$15)),0,
         IF(OFFSET(CRONOPLE!$F$15,$M111-$A$15,BZ$13)=0,10^12,OFFSET(CRONOPLE!$F$15,$M111-$A$15,BZ$13)))</f>
        <v>8</v>
      </c>
      <c r="CA111" s="171">
        <f ca="1">IF(OR($D111&lt;&gt;"Serviço",AND(AUTOEVENTO="Manual",$M111=$A$15)),0,
         IF(OFFSET(CRONOPLE!$F$15,$M111-$A$15,CA$13)=0,10^12,OFFSET(CRONOPLE!$F$15,$M111-$A$15,CA$13)))</f>
        <v>9</v>
      </c>
      <c r="CB111" s="171">
        <f ca="1">IF(OR($D111&lt;&gt;"Serviço",AND(AUTOEVENTO="Manual",$M111=$A$15)),0,
         IF(OFFSET(CRONOPLE!$F$15,$M111-$A$15,CB$13)=0,10^12,OFFSET(CRONOPLE!$F$15,$M111-$A$15,CB$13)))</f>
        <v>10</v>
      </c>
      <c r="CC111" s="171">
        <f ca="1">IF(OR($D111&lt;&gt;"Serviço",AND(AUTOEVENTO="Manual",$M111=$A$15)),0,
         IF(OFFSET(CRONOPLE!$F$15,$M111-$A$15,CC$13)=0,10^12,OFFSET(CRONOPLE!$F$15,$M111-$A$15,CC$13)))</f>
        <v>11</v>
      </c>
      <c r="CD111" s="171">
        <f ca="1">IF(OR($D111&lt;&gt;"Serviço",AND(AUTOEVENTO="Manual",$M111=$A$15)),0,
         IF(OFFSET(CRONOPLE!$F$15,$M111-$A$15,CD$13)=0,10^12,OFFSET(CRONOPLE!$F$15,$M111-$A$15,CD$13)))</f>
        <v>12</v>
      </c>
      <c r="CE111" s="171">
        <f ca="1">IF(OR($D111&lt;&gt;"Serviço",AND(AUTOEVENTO="Manual",$M111=$A$15)),0,
         IF(OFFSET(CRONOPLE!$F$15,$M111-$A$15,CE$13)=0,10^12,OFFSET(CRONOPLE!$F$15,$M111-$A$15,CE$13)))</f>
        <v>13</v>
      </c>
      <c r="CF111" s="171">
        <f ca="1">IF(OR($D111&lt;&gt;"Serviço",AND(AUTOEVENTO="Manual",$M111=$A$15)),0,
         IF(OFFSET(CRONOPLE!$F$15,$M111-$A$15,CF$13)=0,10^12,OFFSET(CRONOPLE!$F$15,$M111-$A$15,CF$13)))</f>
        <v>14</v>
      </c>
      <c r="CG111" s="171">
        <f ca="1">IF(OR($D111&lt;&gt;"Serviço",AND(AUTOEVENTO="Manual",$M111=$A$15)),0,
         IF(OFFSET(CRONOPLE!$F$15,$M111-$A$15,CG$13)=0,10^12,OFFSET(CRONOPLE!$F$15,$M111-$A$15,CG$13)))</f>
        <v>15</v>
      </c>
      <c r="CH111" s="171">
        <f ca="1">IF(OR($D111&lt;&gt;"Serviço",AND(AUTOEVENTO="Manual",$M111=$A$15)),0,
         IF(OFFSET(CRONOPLE!$F$15,$M111-$A$15,CH$13)=0,10^12,OFFSET(CRONOPLE!$F$15,$M111-$A$15,CH$13)))</f>
        <v>16</v>
      </c>
      <c r="CI111" s="171">
        <f ca="1">IF(OR($D111&lt;&gt;"Serviço",AND(AUTOEVENTO="Manual",$M111=$A$15)),0,
         IF(OFFSET(CRONOPLE!$F$15,$M111-$A$15,CI$13)=0,10^12,OFFSET(CRONOPLE!$F$15,$M111-$A$15,CI$13)))</f>
        <v>17</v>
      </c>
      <c r="CJ111" s="171">
        <f ca="1">IF(OR($D111&lt;&gt;"Serviço",AND(AUTOEVENTO="Manual",$M111=$A$15)),0,
         IF(OFFSET(CRONOPLE!$F$15,$M111-$A$15,CJ$13)=0,10^12,OFFSET(CRONOPLE!$F$15,$M111-$A$15,CJ$13)))</f>
        <v>18</v>
      </c>
      <c r="CK111" s="171">
        <f ca="1">IF(OR($D111&lt;&gt;"Serviço",AND(AUTOEVENTO="Manual",$M111=$A$15)),0,
         IF(OFFSET(CRONOPLE!$F$15,$M111-$A$15,CK$13)=0,10^12,OFFSET(CRONOPLE!$F$15,$M111-$A$15,CK$13)))</f>
        <v>19</v>
      </c>
      <c r="CL111" s="171">
        <f ca="1">IF(OR($D111&lt;&gt;"Serviço",AND(AUTOEVENTO="Manual",$M111=$A$15)),0,
         IF(OFFSET(CRONOPLE!$F$15,$M111-$A$15,CL$13)=0,10^12,OFFSET(CRONOPLE!$F$15,$M111-$A$15,CL$13)))</f>
        <v>20</v>
      </c>
      <c r="CM111" s="171">
        <f ca="1">IF(OR($D111&lt;&gt;"Serviço",AND(AUTOEVENTO="Manual",$M111=$A$15)),0,
         IF(OFFSET(CRONOPLE!$F$15,$M111-$A$15,CM$13)=0,10^12,OFFSET(CRONOPLE!$F$15,$M111-$A$15,CM$13)))</f>
        <v>1000000000000</v>
      </c>
      <c r="CN111" s="171">
        <f ca="1">IF(OR($D111&lt;&gt;"Serviço",AND(AUTOEVENTO="Manual",$M111=$A$15)),0,
         IF(OFFSET(CRONOPLE!$F$15,$M111-$A$15,CN$13)=0,10^12,OFFSET(CRONOPLE!$F$15,$M111-$A$15,CN$13)))</f>
        <v>1000000000000</v>
      </c>
      <c r="CO111" s="171">
        <f ca="1">IF(OR($D111&lt;&gt;"Serviço",AND(AUTOEVENTO="Manual",$M111=$A$15)),0,
         IF(OFFSET(CRONOPLE!$F$15,$M111-$A$15,CO$13)=0,10^12,OFFSET(CRONOPLE!$F$15,$M111-$A$15,CO$13)))</f>
        <v>1000000000000</v>
      </c>
      <c r="CP111" s="171">
        <f ca="1">IF(OR($D111&lt;&gt;"Serviço",AND(AUTOEVENTO="Manual",$M111=$A$15)),0,
         IF(OFFSET(CRONOPLE!$F$15,$M111-$A$15,CP$13)=0,10^12,OFFSET(CRONOPLE!$F$15,$M111-$A$15,CP$13)))</f>
        <v>1000000000000</v>
      </c>
      <c r="CQ111" s="171">
        <f ca="1">IF(OR($D111&lt;&gt;"Serviço",AND(AUTOEVENTO="Manual",$M111=$A$15)),0,
         IF(OFFSET(CRONOPLE!$F$15,$M111-$A$15,CQ$13)=0,10^12,OFFSET(CRONOPLE!$F$15,$M111-$A$15,CQ$13)))</f>
        <v>1000000000000</v>
      </c>
      <c r="CR111" s="171">
        <f ca="1">IF(OR($D111&lt;&gt;"Serviço",AND(AUTOEVENTO="Manual",$M111=$A$15)),0,
         IF(OFFSET(CRONOPLE!$F$15,$M111-$A$15,CR$13)=0,10^12,OFFSET(CRONOPLE!$F$15,$M111-$A$15,CR$13)))</f>
        <v>1000000000000</v>
      </c>
      <c r="CT111" s="172" cm="1">
        <f t="array" aca="1" ref="CT111" ca="1">IF(OR($D111&lt;&gt;"Serviço",AND(AUTOEVENTO="Manual",$M111=$A$15),$M111&gt;(ROW(PLE.lastrow)-ROW(PLE.firstrow))),0,
           IF(OFFSET(PLE!$G$15,$M111-$A$15,CT$13)="",10^12,OFFSET(PLE!$G$15,$M111-$A$15,CT$13)))</f>
        <v>1000000000000</v>
      </c>
      <c r="CU111" s="172" cm="1">
        <f t="array" aca="1" ref="CU111" ca="1">IF(OR($D111&lt;&gt;"Serviço",AND(AUTOEVENTO="Manual",$M111=$A$15),$M111&gt;(ROW(PLE.lastrow)-ROW(PLE.firstrow))),0,
           IF(OFFSET(PLE!$G$15,$M111-$A$15,CU$13)="",10^12,OFFSET(PLE!$G$15,$M111-$A$15,CU$13)))</f>
        <v>1000000000000</v>
      </c>
      <c r="CV111" s="172" cm="1">
        <f t="array" aca="1" ref="CV111" ca="1">IF(OR($D111&lt;&gt;"Serviço",AND(AUTOEVENTO="Manual",$M111=$A$15),$M111&gt;(ROW(PLE.lastrow)-ROW(PLE.firstrow))),0,
           IF(OFFSET(PLE!$G$15,$M111-$A$15,CV$13)="",10^12,OFFSET(PLE!$G$15,$M111-$A$15,CV$13)))</f>
        <v>1000000000000</v>
      </c>
      <c r="CW111" s="172" cm="1">
        <f t="array" aca="1" ref="CW111" ca="1">IF(OR($D111&lt;&gt;"Serviço",AND(AUTOEVENTO="Manual",$M111=$A$15),$M111&gt;(ROW(PLE.lastrow)-ROW(PLE.firstrow))),0,
           IF(OFFSET(PLE!$G$15,$M111-$A$15,CW$13)="",10^12,OFFSET(PLE!$G$15,$M111-$A$15,CW$13)))</f>
        <v>1000000000000</v>
      </c>
      <c r="CX111" s="172" cm="1">
        <f t="array" aca="1" ref="CX111" ca="1">IF(OR($D111&lt;&gt;"Serviço",AND(AUTOEVENTO="Manual",$M111=$A$15),$M111&gt;(ROW(PLE.lastrow)-ROW(PLE.firstrow))),0,
           IF(OFFSET(PLE!$G$15,$M111-$A$15,CX$13)="",10^12,OFFSET(PLE!$G$15,$M111-$A$15,CX$13)))</f>
        <v>1000000000000</v>
      </c>
      <c r="CY111" s="172" cm="1">
        <f t="array" aca="1" ref="CY111" ca="1">IF(OR($D111&lt;&gt;"Serviço",AND(AUTOEVENTO="Manual",$M111=$A$15),$M111&gt;(ROW(PLE.lastrow)-ROW(PLE.firstrow))),0,
           IF(OFFSET(PLE!$G$15,$M111-$A$15,CY$13)="",10^12,OFFSET(PLE!$G$15,$M111-$A$15,CY$13)))</f>
        <v>1000000000000</v>
      </c>
      <c r="CZ111" s="172" cm="1">
        <f t="array" aca="1" ref="CZ111" ca="1">IF(OR($D111&lt;&gt;"Serviço",AND(AUTOEVENTO="Manual",$M111=$A$15),$M111&gt;(ROW(PLE.lastrow)-ROW(PLE.firstrow))),0,
           IF(OFFSET(PLE!$G$15,$M111-$A$15,CZ$13)="",10^12,OFFSET(PLE!$G$15,$M111-$A$15,CZ$13)))</f>
        <v>1000000000000</v>
      </c>
      <c r="DA111" s="172" cm="1">
        <f t="array" aca="1" ref="DA111" ca="1">IF(OR($D111&lt;&gt;"Serviço",AND(AUTOEVENTO="Manual",$M111=$A$15),$M111&gt;(ROW(PLE.lastrow)-ROW(PLE.firstrow))),0,
           IF(OFFSET(PLE!$G$15,$M111-$A$15,DA$13)="",10^12,OFFSET(PLE!$G$15,$M111-$A$15,DA$13)))</f>
        <v>1000000000000</v>
      </c>
      <c r="DB111" s="172" cm="1">
        <f t="array" aca="1" ref="DB111" ca="1">IF(OR($D111&lt;&gt;"Serviço",AND(AUTOEVENTO="Manual",$M111=$A$15),$M111&gt;(ROW(PLE.lastrow)-ROW(PLE.firstrow))),0,
           IF(OFFSET(PLE!$G$15,$M111-$A$15,DB$13)="",10^12,OFFSET(PLE!$G$15,$M111-$A$15,DB$13)))</f>
        <v>1000000000000</v>
      </c>
      <c r="DC111" s="172" cm="1">
        <f t="array" aca="1" ref="DC111" ca="1">IF(OR($D111&lt;&gt;"Serviço",AND(AUTOEVENTO="Manual",$M111=$A$15),$M111&gt;(ROW(PLE.lastrow)-ROW(PLE.firstrow))),0,
           IF(OFFSET(PLE!$G$15,$M111-$A$15,DC$13)="",10^12,OFFSET(PLE!$G$15,$M111-$A$15,DC$13)))</f>
        <v>1000000000000</v>
      </c>
      <c r="DD111" s="172" cm="1">
        <f t="array" aca="1" ref="DD111" ca="1">IF(OR($D111&lt;&gt;"Serviço",AND(AUTOEVENTO="Manual",$M111=$A$15),$M111&gt;(ROW(PLE.lastrow)-ROW(PLE.firstrow))),0,
           IF(OFFSET(PLE!$G$15,$M111-$A$15,DD$13)="",10^12,OFFSET(PLE!$G$15,$M111-$A$15,DD$13)))</f>
        <v>1000000000000</v>
      </c>
      <c r="DE111" s="172" cm="1">
        <f t="array" aca="1" ref="DE111" ca="1">IF(OR($D111&lt;&gt;"Serviço",AND(AUTOEVENTO="Manual",$M111=$A$15),$M111&gt;(ROW(PLE.lastrow)-ROW(PLE.firstrow))),0,
           IF(OFFSET(PLE!$G$15,$M111-$A$15,DE$13)="",10^12,OFFSET(PLE!$G$15,$M111-$A$15,DE$13)))</f>
        <v>1000000000000</v>
      </c>
      <c r="DF111" s="172" cm="1">
        <f t="array" aca="1" ref="DF111" ca="1">IF(OR($D111&lt;&gt;"Serviço",AND(AUTOEVENTO="Manual",$M111=$A$15),$M111&gt;(ROW(PLE.lastrow)-ROW(PLE.firstrow))),0,
           IF(OFFSET(PLE!$G$15,$M111-$A$15,DF$13)="",10^12,OFFSET(PLE!$G$15,$M111-$A$15,DF$13)))</f>
        <v>1000000000000</v>
      </c>
      <c r="DG111" s="172" cm="1">
        <f t="array" aca="1" ref="DG111" ca="1">IF(OR($D111&lt;&gt;"Serviço",AND(AUTOEVENTO="Manual",$M111=$A$15),$M111&gt;(ROW(PLE.lastrow)-ROW(PLE.firstrow))),0,
           IF(OFFSET(PLE!$G$15,$M111-$A$15,DG$13)="",10^12,OFFSET(PLE!$G$15,$M111-$A$15,DG$13)))</f>
        <v>1000000000000</v>
      </c>
      <c r="DH111" s="172" cm="1">
        <f t="array" aca="1" ref="DH111" ca="1">IF(OR($D111&lt;&gt;"Serviço",AND(AUTOEVENTO="Manual",$M111=$A$15),$M111&gt;(ROW(PLE.lastrow)-ROW(PLE.firstrow))),0,
           IF(OFFSET(PLE!$G$15,$M111-$A$15,DH$13)="",10^12,OFFSET(PLE!$G$15,$M111-$A$15,DH$13)))</f>
        <v>1000000000000</v>
      </c>
      <c r="DI111" s="172" cm="1">
        <f t="array" aca="1" ref="DI111" ca="1">IF(OR($D111&lt;&gt;"Serviço",AND(AUTOEVENTO="Manual",$M111=$A$15),$M111&gt;(ROW(PLE.lastrow)-ROW(PLE.firstrow))),0,
           IF(OFFSET(PLE!$G$15,$M111-$A$15,DI$13)="",10^12,OFFSET(PLE!$G$15,$M111-$A$15,DI$13)))</f>
        <v>1000000000000</v>
      </c>
      <c r="DJ111" s="172" cm="1">
        <f t="array" aca="1" ref="DJ111" ca="1">IF(OR($D111&lt;&gt;"Serviço",AND(AUTOEVENTO="Manual",$M111=$A$15),$M111&gt;(ROW(PLE.lastrow)-ROW(PLE.firstrow))),0,
           IF(OFFSET(PLE!$G$15,$M111-$A$15,DJ$13)="",10^12,OFFSET(PLE!$G$15,$M111-$A$15,DJ$13)))</f>
        <v>1000000000000</v>
      </c>
      <c r="DK111" s="172" cm="1">
        <f t="array" aca="1" ref="DK111" ca="1">IF(OR($D111&lt;&gt;"Serviço",AND(AUTOEVENTO="Manual",$M111=$A$15),$M111&gt;(ROW(PLE.lastrow)-ROW(PLE.firstrow))),0,
           IF(OFFSET(PLE!$G$15,$M111-$A$15,DK$13)="",10^12,OFFSET(PLE!$G$15,$M111-$A$15,DK$13)))</f>
        <v>1000000000000</v>
      </c>
      <c r="DL111" s="172" cm="1">
        <f t="array" aca="1" ref="DL111" ca="1">IF(OR($D111&lt;&gt;"Serviço",AND(AUTOEVENTO="Manual",$M111=$A$15),$M111&gt;(ROW(PLE.lastrow)-ROW(PLE.firstrow))),0,
           IF(OFFSET(PLE!$G$15,$M111-$A$15,DL$13)="",10^12,OFFSET(PLE!$G$15,$M111-$A$15,DL$13)))</f>
        <v>1000000000000</v>
      </c>
      <c r="DM111" s="172" cm="1">
        <f t="array" aca="1" ref="DM111" ca="1">IF(OR($D111&lt;&gt;"Serviço",AND(AUTOEVENTO="Manual",$M111=$A$15),$M111&gt;(ROW(PLE.lastrow)-ROW(PLE.firstrow))),0,
           IF(OFFSET(PLE!$G$15,$M111-$A$15,DM$13)="",10^12,OFFSET(PLE!$G$15,$M111-$A$15,DM$13)))</f>
        <v>1000000000000</v>
      </c>
      <c r="DN111" s="172" cm="1">
        <f t="array" aca="1" ref="DN111" ca="1">IF(OR($D111&lt;&gt;"Serviço",AND(AUTOEVENTO="Manual",$M111=$A$15),$M111&gt;(ROW(PLE.lastrow)-ROW(PLE.firstrow))),0,
           IF(OFFSET(PLE!$G$15,$M111-$A$15,DN$13)="",10^12,OFFSET(PLE!$G$15,$M111-$A$15,DN$13)))</f>
        <v>1000000000000</v>
      </c>
      <c r="DO111" s="172" cm="1">
        <f t="array" aca="1" ref="DO111" ca="1">IF(OR($D111&lt;&gt;"Serviço",AND(AUTOEVENTO="Manual",$M111=$A$15),$M111&gt;(ROW(PLE.lastrow)-ROW(PLE.firstrow))),0,
           IF(OFFSET(PLE!$G$15,$M111-$A$15,DO$13)="",10^12,OFFSET(PLE!$G$15,$M111-$A$15,DO$13)))</f>
        <v>1000000000000</v>
      </c>
      <c r="DP111" s="172" cm="1">
        <f t="array" aca="1" ref="DP111" ca="1">IF(OR($D111&lt;&gt;"Serviço",AND(AUTOEVENTO="Manual",$M111=$A$15),$M111&gt;(ROW(PLE.lastrow)-ROW(PLE.firstrow))),0,
           IF(OFFSET(PLE!$G$15,$M111-$A$15,DP$13)="",10^12,OFFSET(PLE!$G$15,$M111-$A$15,DP$13)))</f>
        <v>1000000000000</v>
      </c>
      <c r="DQ111" s="172" cm="1">
        <f t="array" aca="1" ref="DQ111" ca="1">IF(OR($D111&lt;&gt;"Serviço",AND(AUTOEVENTO="Manual",$M111=$A$15),$M111&gt;(ROW(PLE.lastrow)-ROW(PLE.firstrow))),0,
           IF(OFFSET(PLE!$G$15,$M111-$A$15,DQ$13)="",10^12,OFFSET(PLE!$G$15,$M111-$A$15,DQ$13)))</f>
        <v>1000000000000</v>
      </c>
      <c r="DR111" s="172" cm="1">
        <f t="array" aca="1" ref="DR111" ca="1">IF(OR($D111&lt;&gt;"Serviço",AND(AUTOEVENTO="Manual",$M111=$A$15),$M111&gt;(ROW(PLE.lastrow)-ROW(PLE.firstrow))),0,
           IF(OFFSET(PLE!$G$15,$M111-$A$15,DR$13)="",10^12,OFFSET(PLE!$G$15,$M111-$A$15,DR$13)))</f>
        <v>1000000000000</v>
      </c>
      <c r="DS111" s="172" cm="1">
        <f t="array" aca="1" ref="DS111" ca="1">IF(OR($D111&lt;&gt;"Serviço",AND(AUTOEVENTO="Manual",$M111=$A$15),$M111&gt;(ROW(PLE.lastrow)-ROW(PLE.firstrow))),0,
           IF(OFFSET(PLE!$G$15,$M111-$A$15,DS$13)="",10^12,OFFSET(PLE!$G$15,$M111-$A$15,DS$13)))</f>
        <v>1000000000000</v>
      </c>
    </row>
    <row r="112" spans="1:123" ht="25.5" x14ac:dyDescent="0.2">
      <c r="A112" s="7">
        <f t="shared" ca="1" si="13"/>
        <v>7</v>
      </c>
      <c r="B112" s="7" t="str">
        <f ca="1">OFFSET(ORÇAMENTO!C$15,$L112,0)</f>
        <v>S</v>
      </c>
      <c r="C112" s="7" t="str">
        <f ca="1">OFFSET(ORÇAMENTO!L$15,$L112,0)</f>
        <v/>
      </c>
      <c r="D112" s="116" t="str">
        <f ca="1">OFFSET(ORÇAMENTO!N$15,$L112,0)</f>
        <v>Serviço</v>
      </c>
      <c r="E112" s="117" t="str">
        <f ca="1">OFFSET(ORÇAMENTO!O$15,$L112,0)</f>
        <v>-</v>
      </c>
      <c r="F112" s="163" t="str">
        <f ca="1">OFFSET(ORÇAMENTO!R$15,$L112,0)</f>
        <v>(Código não identificado nas referências)</v>
      </c>
      <c r="G112" s="164" t="str">
        <f ca="1">IF($D112&lt;&gt;"Serviço","",OFFSET(ORÇAMENTO!S$15,$L112,0))</f>
        <v>-</v>
      </c>
      <c r="H112" s="122" cm="1">
        <f t="array" aca="1" ref="H112" ca="1">IF($D112&lt;&gt;"Serviço",0,IF(ACOMPANHAMENTO="BM",ROUND(OFFSET(ORÇAMENTO!AJ$15,$L112,0),15-13*ORÇAMENTO!$AF$7),IF(IFERROR(CÁLCULO.FrentesPreenchidas,0)=0,0,SUM(ROUND(OFFSET($P112,0,1,1,CÁLCULO.FrentesPreenchidas),15-13*ORÇAMENTO!$AF$7)))))</f>
        <v>420</v>
      </c>
      <c r="I112" s="468" t="s">
        <v>1235</v>
      </c>
      <c r="J112" s="651" t="str" cm="1">
        <f t="array" aca="1" ref="J112" ca="1">IF(OR(B112&lt;&gt;"S",CÁLCULO.FrentesPreenchidas=0),"",IF(AND(ACOMPANHAMENTO="PLE",AUTOEVENTO="Manual",OR(H112&gt;0,ORÇAMENTO!AC112="QUANT."),OR(K112="",M112=0,N112="")),"►E",IF(AND(ACOMPANHAMENTO="PLE",ORÇAMENTO!AC112="QUANT."),"►Q",IF(AND(ACOMPANHAMENTO="PLE",H112&lt;&gt;SUMPRODUCT(($Q$1:$AQ$1=1)*ROUND(Q112:AQ112,15))),"►S",IF(AND(COUNTIF($P$11:$AQ$11,"▼")=0,H112&gt;0,I112=""),"◄M","")))))</f>
        <v/>
      </c>
      <c r="K112" s="652" t="s">
        <v>1255</v>
      </c>
      <c r="L112" s="165">
        <f t="shared" ca="1" si="14"/>
        <v>97</v>
      </c>
      <c r="M112" s="166">
        <f ca="1">IF($D112&lt;&gt;"Serviço","",
          IF(AUTOEVENTO="manual",$A112,
                IF(ISERROR(MATCH($A112,$A$15:OFFSET($A112,-1,0),0)),MAX($M$15:OFFSET(M112,-1,0))+1,
                      INDEX($M$15:OFFSET(M112,-1,0),MATCH($A112,$A$15:OFFSET($A112,-1,0),0)))))</f>
        <v>7</v>
      </c>
      <c r="N112" s="167" t="str">
        <f ca="1">IF($D112&lt;&gt;"Serviço","",
         IF(AUTOEVENTO="Manual",
                IF($A112=0,"&lt;-- defina o número do agrupador",
                       OFFSET(EVENTOS!$D$15,$A112-$A$15,0)),
                OFFSET($F$15,$A112,0)))</f>
        <v>REVESTIMENTOS</v>
      </c>
      <c r="O112" s="168"/>
      <c r="Q112" s="168">
        <v>21</v>
      </c>
      <c r="R112" s="169">
        <v>21</v>
      </c>
      <c r="S112" s="169">
        <v>21</v>
      </c>
      <c r="T112" s="169">
        <v>21</v>
      </c>
      <c r="U112" s="169">
        <v>21</v>
      </c>
      <c r="V112" s="169">
        <v>21</v>
      </c>
      <c r="W112" s="169">
        <v>21</v>
      </c>
      <c r="X112" s="169">
        <v>21</v>
      </c>
      <c r="Y112" s="169">
        <v>21</v>
      </c>
      <c r="Z112" s="170">
        <v>21</v>
      </c>
      <c r="AA112" s="169">
        <v>21</v>
      </c>
      <c r="AB112" s="169">
        <v>21</v>
      </c>
      <c r="AC112" s="169">
        <v>21</v>
      </c>
      <c r="AD112" s="169">
        <v>21</v>
      </c>
      <c r="AE112" s="169">
        <v>21</v>
      </c>
      <c r="AF112" s="169">
        <v>21</v>
      </c>
      <c r="AG112" s="169">
        <v>21</v>
      </c>
      <c r="AH112" s="170">
        <v>21</v>
      </c>
      <c r="AI112" s="169">
        <v>21</v>
      </c>
      <c r="AJ112" s="169">
        <v>21</v>
      </c>
      <c r="AK112" s="169"/>
      <c r="AL112" s="169"/>
      <c r="AM112" s="169"/>
      <c r="AN112" s="169"/>
      <c r="AO112" s="169"/>
      <c r="AP112" s="170"/>
      <c r="AR112" s="453">
        <f ca="1">IF(AND($D112="Serviço",AR$12&lt;&gt;0,$H112&gt;0,OR(AUTOEVENTO&lt;&gt;"manual",$M112&lt;&gt;$A$15)),
        IF(Import.TipoArredondamento&lt;&gt;"TransfereGOV",
              ROUND(OFFSET($P112,0,AR$13),15-13*ORÇAMENTO!$AF$7)/$H112*OFFSET(ORÇAMENTO!$X$15,ROW(AR112)-ROW(AR$15),0),
              ROUND(ROUND(OFFSET($P112,0,AR$13),15-13*ORÇAMENTO!$AF$7)*OFFSET(ORÇAMENTO!$W$15,ROW(AR112)-ROW(AR$15),0),15-13*ORÇAMENTO!$AF$11)),
         0)</f>
        <v>0</v>
      </c>
      <c r="AS112" s="453">
        <f ca="1">IF(AND($D112="Serviço",AS$12&lt;&gt;0,$H112&gt;0,OR(AUTOEVENTO&lt;&gt;"manual",$M112&lt;&gt;$A$15)),
        IF(Import.TipoArredondamento&lt;&gt;"TransfereGOV",
              ROUND(OFFSET($P112,0,AS$13),15-13*ORÇAMENTO!$AF$7)/$H112*OFFSET(ORÇAMENTO!$X$15,ROW(AS112)-ROW(AS$15),0),
              ROUND(ROUND(OFFSET($P112,0,AS$13),15-13*ORÇAMENTO!$AF$7)*OFFSET(ORÇAMENTO!$W$15,ROW(AS112)-ROW(AS$15),0),15-13*ORÇAMENTO!$AF$11)),
         0)</f>
        <v>0</v>
      </c>
      <c r="AT112" s="453">
        <f ca="1">IF(AND($D112="Serviço",AT$12&lt;&gt;0,$H112&gt;0,OR(AUTOEVENTO&lt;&gt;"manual",$M112&lt;&gt;$A$15)),
        IF(Import.TipoArredondamento&lt;&gt;"TransfereGOV",
              ROUND(OFFSET($P112,0,AT$13),15-13*ORÇAMENTO!$AF$7)/$H112*OFFSET(ORÇAMENTO!$X$15,ROW(AT112)-ROW(AT$15),0),
              ROUND(ROUND(OFFSET($P112,0,AT$13),15-13*ORÇAMENTO!$AF$7)*OFFSET(ORÇAMENTO!$W$15,ROW(AT112)-ROW(AT$15),0),15-13*ORÇAMENTO!$AF$11)),
         0)</f>
        <v>0</v>
      </c>
      <c r="AU112" s="453">
        <f ca="1">IF(AND($D112="Serviço",AU$12&lt;&gt;0,$H112&gt;0,OR(AUTOEVENTO&lt;&gt;"manual",$M112&lt;&gt;$A$15)),
        IF(Import.TipoArredondamento&lt;&gt;"TransfereGOV",
              ROUND(OFFSET($P112,0,AU$13),15-13*ORÇAMENTO!$AF$7)/$H112*OFFSET(ORÇAMENTO!$X$15,ROW(AU112)-ROW(AU$15),0),
              ROUND(ROUND(OFFSET($P112,0,AU$13),15-13*ORÇAMENTO!$AF$7)*OFFSET(ORÇAMENTO!$W$15,ROW(AU112)-ROW(AU$15),0),15-13*ORÇAMENTO!$AF$11)),
         0)</f>
        <v>0</v>
      </c>
      <c r="AV112" s="453">
        <f ca="1">IF(AND($D112="Serviço",AV$12&lt;&gt;0,$H112&gt;0,OR(AUTOEVENTO&lt;&gt;"manual",$M112&lt;&gt;$A$15)),
        IF(Import.TipoArredondamento&lt;&gt;"TransfereGOV",
              ROUND(OFFSET($P112,0,AV$13),15-13*ORÇAMENTO!$AF$7)/$H112*OFFSET(ORÇAMENTO!$X$15,ROW(AV112)-ROW(AV$15),0),
              ROUND(ROUND(OFFSET($P112,0,AV$13),15-13*ORÇAMENTO!$AF$7)*OFFSET(ORÇAMENTO!$W$15,ROW(AV112)-ROW(AV$15),0),15-13*ORÇAMENTO!$AF$11)),
         0)</f>
        <v>0</v>
      </c>
      <c r="AW112" s="453">
        <f ca="1">IF(AND($D112="Serviço",AW$12&lt;&gt;0,$H112&gt;0,OR(AUTOEVENTO&lt;&gt;"manual",$M112&lt;&gt;$A$15)),
        IF(Import.TipoArredondamento&lt;&gt;"TransfereGOV",
              ROUND(OFFSET($P112,0,AW$13),15-13*ORÇAMENTO!$AF$7)/$H112*OFFSET(ORÇAMENTO!$X$15,ROW(AW112)-ROW(AW$15),0),
              ROUND(ROUND(OFFSET($P112,0,AW$13),15-13*ORÇAMENTO!$AF$7)*OFFSET(ORÇAMENTO!$W$15,ROW(AW112)-ROW(AW$15),0),15-13*ORÇAMENTO!$AF$11)),
         0)</f>
        <v>0</v>
      </c>
      <c r="AX112" s="453">
        <f ca="1">IF(AND($D112="Serviço",AX$12&lt;&gt;0,$H112&gt;0,OR(AUTOEVENTO&lt;&gt;"manual",$M112&lt;&gt;$A$15)),
        IF(Import.TipoArredondamento&lt;&gt;"TransfereGOV",
              ROUND(OFFSET($P112,0,AX$13),15-13*ORÇAMENTO!$AF$7)/$H112*OFFSET(ORÇAMENTO!$X$15,ROW(AX112)-ROW(AX$15),0),
              ROUND(ROUND(OFFSET($P112,0,AX$13),15-13*ORÇAMENTO!$AF$7)*OFFSET(ORÇAMENTO!$W$15,ROW(AX112)-ROW(AX$15),0),15-13*ORÇAMENTO!$AF$11)),
         0)</f>
        <v>0</v>
      </c>
      <c r="AY112" s="453">
        <f ca="1">IF(AND($D112="Serviço",AY$12&lt;&gt;0,$H112&gt;0,OR(AUTOEVENTO&lt;&gt;"manual",$M112&lt;&gt;$A$15)),
        IF(Import.TipoArredondamento&lt;&gt;"TransfereGOV",
              ROUND(OFFSET($P112,0,AY$13),15-13*ORÇAMENTO!$AF$7)/$H112*OFFSET(ORÇAMENTO!$X$15,ROW(AY112)-ROW(AY$15),0),
              ROUND(ROUND(OFFSET($P112,0,AY$13),15-13*ORÇAMENTO!$AF$7)*OFFSET(ORÇAMENTO!$W$15,ROW(AY112)-ROW(AY$15),0),15-13*ORÇAMENTO!$AF$11)),
         0)</f>
        <v>0</v>
      </c>
      <c r="AZ112" s="453">
        <f ca="1">IF(AND($D112="Serviço",AZ$12&lt;&gt;0,$H112&gt;0,OR(AUTOEVENTO&lt;&gt;"manual",$M112&lt;&gt;$A$15)),
        IF(Import.TipoArredondamento&lt;&gt;"TransfereGOV",
              ROUND(OFFSET($P112,0,AZ$13),15-13*ORÇAMENTO!$AF$7)/$H112*OFFSET(ORÇAMENTO!$X$15,ROW(AZ112)-ROW(AZ$15),0),
              ROUND(ROUND(OFFSET($P112,0,AZ$13),15-13*ORÇAMENTO!$AF$7)*OFFSET(ORÇAMENTO!$W$15,ROW(AZ112)-ROW(AZ$15),0),15-13*ORÇAMENTO!$AF$11)),
         0)</f>
        <v>0</v>
      </c>
      <c r="BA112" s="453">
        <f ca="1">IF(AND($D112="Serviço",BA$12&lt;&gt;0,$H112&gt;0,OR(AUTOEVENTO&lt;&gt;"manual",$M112&lt;&gt;$A$15)),
        IF(Import.TipoArredondamento&lt;&gt;"TransfereGOV",
              ROUND(OFFSET($P112,0,BA$13),15-13*ORÇAMENTO!$AF$7)/$H112*OFFSET(ORÇAMENTO!$X$15,ROW(BA112)-ROW(BA$15),0),
              ROUND(ROUND(OFFSET($P112,0,BA$13),15-13*ORÇAMENTO!$AF$7)*OFFSET(ORÇAMENTO!$W$15,ROW(BA112)-ROW(BA$15),0),15-13*ORÇAMENTO!$AF$11)),
         0)</f>
        <v>0</v>
      </c>
      <c r="BB112" s="453">
        <f ca="1">IF(AND($D112="Serviço",BB$12&lt;&gt;0,$H112&gt;0,OR(AUTOEVENTO&lt;&gt;"manual",$M112&lt;&gt;$A$15)),
        IF(Import.TipoArredondamento&lt;&gt;"TransfereGOV",
              ROUND(OFFSET($P112,0,BB$13),15-13*ORÇAMENTO!$AF$7)/$H112*OFFSET(ORÇAMENTO!$X$15,ROW(BB112)-ROW(BB$15),0),
              ROUND(ROUND(OFFSET($P112,0,BB$13),15-13*ORÇAMENTO!$AF$7)*OFFSET(ORÇAMENTO!$W$15,ROW(BB112)-ROW(BB$15),0),15-13*ORÇAMENTO!$AF$11)),
         0)</f>
        <v>0</v>
      </c>
      <c r="BC112" s="453">
        <f ca="1">IF(AND($D112="Serviço",BC$12&lt;&gt;0,$H112&gt;0,OR(AUTOEVENTO&lt;&gt;"manual",$M112&lt;&gt;$A$15)),
        IF(Import.TipoArredondamento&lt;&gt;"TransfereGOV",
              ROUND(OFFSET($P112,0,BC$13),15-13*ORÇAMENTO!$AF$7)/$H112*OFFSET(ORÇAMENTO!$X$15,ROW(BC112)-ROW(BC$15),0),
              ROUND(ROUND(OFFSET($P112,0,BC$13),15-13*ORÇAMENTO!$AF$7)*OFFSET(ORÇAMENTO!$W$15,ROW(BC112)-ROW(BC$15),0),15-13*ORÇAMENTO!$AF$11)),
         0)</f>
        <v>0</v>
      </c>
      <c r="BD112" s="453">
        <f ca="1">IF(AND($D112="Serviço",BD$12&lt;&gt;0,$H112&gt;0,OR(AUTOEVENTO&lt;&gt;"manual",$M112&lt;&gt;$A$15)),
        IF(Import.TipoArredondamento&lt;&gt;"TransfereGOV",
              ROUND(OFFSET($P112,0,BD$13),15-13*ORÇAMENTO!$AF$7)/$H112*OFFSET(ORÇAMENTO!$X$15,ROW(BD112)-ROW(BD$15),0),
              ROUND(ROUND(OFFSET($P112,0,BD$13),15-13*ORÇAMENTO!$AF$7)*OFFSET(ORÇAMENTO!$W$15,ROW(BD112)-ROW(BD$15),0),15-13*ORÇAMENTO!$AF$11)),
         0)</f>
        <v>0</v>
      </c>
      <c r="BE112" s="453">
        <f ca="1">IF(AND($D112="Serviço",BE$12&lt;&gt;0,$H112&gt;0,OR(AUTOEVENTO&lt;&gt;"manual",$M112&lt;&gt;$A$15)),
        IF(Import.TipoArredondamento&lt;&gt;"TransfereGOV",
              ROUND(OFFSET($P112,0,BE$13),15-13*ORÇAMENTO!$AF$7)/$H112*OFFSET(ORÇAMENTO!$X$15,ROW(BE112)-ROW(BE$15),0),
              ROUND(ROUND(OFFSET($P112,0,BE$13),15-13*ORÇAMENTO!$AF$7)*OFFSET(ORÇAMENTO!$W$15,ROW(BE112)-ROW(BE$15),0),15-13*ORÇAMENTO!$AF$11)),
         0)</f>
        <v>0</v>
      </c>
      <c r="BF112" s="453">
        <f ca="1">IF(AND($D112="Serviço",BF$12&lt;&gt;0,$H112&gt;0,OR(AUTOEVENTO&lt;&gt;"manual",$M112&lt;&gt;$A$15)),
        IF(Import.TipoArredondamento&lt;&gt;"TransfereGOV",
              ROUND(OFFSET($P112,0,BF$13),15-13*ORÇAMENTO!$AF$7)/$H112*OFFSET(ORÇAMENTO!$X$15,ROW(BF112)-ROW(BF$15),0),
              ROUND(ROUND(OFFSET($P112,0,BF$13),15-13*ORÇAMENTO!$AF$7)*OFFSET(ORÇAMENTO!$W$15,ROW(BF112)-ROW(BF$15),0),15-13*ORÇAMENTO!$AF$11)),
         0)</f>
        <v>0</v>
      </c>
      <c r="BG112" s="453">
        <f ca="1">IF(AND($D112="Serviço",BG$12&lt;&gt;0,$H112&gt;0,OR(AUTOEVENTO&lt;&gt;"manual",$M112&lt;&gt;$A$15)),
        IF(Import.TipoArredondamento&lt;&gt;"TransfereGOV",
              ROUND(OFFSET($P112,0,BG$13),15-13*ORÇAMENTO!$AF$7)/$H112*OFFSET(ORÇAMENTO!$X$15,ROW(BG112)-ROW(BG$15),0),
              ROUND(ROUND(OFFSET($P112,0,BG$13),15-13*ORÇAMENTO!$AF$7)*OFFSET(ORÇAMENTO!$W$15,ROW(BG112)-ROW(BG$15),0),15-13*ORÇAMENTO!$AF$11)),
         0)</f>
        <v>0</v>
      </c>
      <c r="BH112" s="453">
        <f ca="1">IF(AND($D112="Serviço",BH$12&lt;&gt;0,$H112&gt;0,OR(AUTOEVENTO&lt;&gt;"manual",$M112&lt;&gt;$A$15)),
        IF(Import.TipoArredondamento&lt;&gt;"TransfereGOV",
              ROUND(OFFSET($P112,0,BH$13),15-13*ORÇAMENTO!$AF$7)/$H112*OFFSET(ORÇAMENTO!$X$15,ROW(BH112)-ROW(BH$15),0),
              ROUND(ROUND(OFFSET($P112,0,BH$13),15-13*ORÇAMENTO!$AF$7)*OFFSET(ORÇAMENTO!$W$15,ROW(BH112)-ROW(BH$15),0),15-13*ORÇAMENTO!$AF$11)),
         0)</f>
        <v>0</v>
      </c>
      <c r="BI112" s="453">
        <f ca="1">IF(AND($D112="Serviço",BI$12&lt;&gt;0,$H112&gt;0,OR(AUTOEVENTO&lt;&gt;"manual",$M112&lt;&gt;$A$15)),
        IF(Import.TipoArredondamento&lt;&gt;"TransfereGOV",
              ROUND(OFFSET($P112,0,BI$13),15-13*ORÇAMENTO!$AF$7)/$H112*OFFSET(ORÇAMENTO!$X$15,ROW(BI112)-ROW(BI$15),0),
              ROUND(ROUND(OFFSET($P112,0,BI$13),15-13*ORÇAMENTO!$AF$7)*OFFSET(ORÇAMENTO!$W$15,ROW(BI112)-ROW(BI$15),0),15-13*ORÇAMENTO!$AF$11)),
         0)</f>
        <v>0</v>
      </c>
      <c r="BJ112" s="453">
        <f ca="1">IF(AND($D112="Serviço",BJ$12&lt;&gt;0,$H112&gt;0,OR(AUTOEVENTO&lt;&gt;"manual",$M112&lt;&gt;$A$15)),
        IF(Import.TipoArredondamento&lt;&gt;"TransfereGOV",
              ROUND(OFFSET($P112,0,BJ$13),15-13*ORÇAMENTO!$AF$7)/$H112*OFFSET(ORÇAMENTO!$X$15,ROW(BJ112)-ROW(BJ$15),0),
              ROUND(ROUND(OFFSET($P112,0,BJ$13),15-13*ORÇAMENTO!$AF$7)*OFFSET(ORÇAMENTO!$W$15,ROW(BJ112)-ROW(BJ$15),0),15-13*ORÇAMENTO!$AF$11)),
         0)</f>
        <v>0</v>
      </c>
      <c r="BK112" s="453">
        <f ca="1">IF(AND($D112="Serviço",BK$12&lt;&gt;0,$H112&gt;0,OR(AUTOEVENTO&lt;&gt;"manual",$M112&lt;&gt;$A$15)),
        IF(Import.TipoArredondamento&lt;&gt;"TransfereGOV",
              ROUND(OFFSET($P112,0,BK$13),15-13*ORÇAMENTO!$AF$7)/$H112*OFFSET(ORÇAMENTO!$X$15,ROW(BK112)-ROW(BK$15),0),
              ROUND(ROUND(OFFSET($P112,0,BK$13),15-13*ORÇAMENTO!$AF$7)*OFFSET(ORÇAMENTO!$W$15,ROW(BK112)-ROW(BK$15),0),15-13*ORÇAMENTO!$AF$11)),
         0)</f>
        <v>0</v>
      </c>
      <c r="BL112" s="453">
        <f ca="1">IF(AND($D112="Serviço",BL$12&lt;&gt;0,$H112&gt;0,OR(AUTOEVENTO&lt;&gt;"manual",$M112&lt;&gt;$A$15)),
        IF(Import.TipoArredondamento&lt;&gt;"TransfereGOV",
              ROUND(OFFSET($P112,0,BL$13),15-13*ORÇAMENTO!$AF$7)/$H112*OFFSET(ORÇAMENTO!$X$15,ROW(BL112)-ROW(BL$15),0),
              ROUND(ROUND(OFFSET($P112,0,BL$13),15-13*ORÇAMENTO!$AF$7)*OFFSET(ORÇAMENTO!$W$15,ROW(BL112)-ROW(BL$15),0),15-13*ORÇAMENTO!$AF$11)),
         0)</f>
        <v>0</v>
      </c>
      <c r="BM112" s="453">
        <f ca="1">IF(AND($D112="Serviço",BM$12&lt;&gt;0,$H112&gt;0,OR(AUTOEVENTO&lt;&gt;"manual",$M112&lt;&gt;$A$15)),
        IF(Import.TipoArredondamento&lt;&gt;"TransfereGOV",
              ROUND(OFFSET($P112,0,BM$13),15-13*ORÇAMENTO!$AF$7)/$H112*OFFSET(ORÇAMENTO!$X$15,ROW(BM112)-ROW(BM$15),0),
              ROUND(ROUND(OFFSET($P112,0,BM$13),15-13*ORÇAMENTO!$AF$7)*OFFSET(ORÇAMENTO!$W$15,ROW(BM112)-ROW(BM$15),0),15-13*ORÇAMENTO!$AF$11)),
         0)</f>
        <v>0</v>
      </c>
      <c r="BN112" s="453">
        <f ca="1">IF(AND($D112="Serviço",BN$12&lt;&gt;0,$H112&gt;0,OR(AUTOEVENTO&lt;&gt;"manual",$M112&lt;&gt;$A$15)),
        IF(Import.TipoArredondamento&lt;&gt;"TransfereGOV",
              ROUND(OFFSET($P112,0,BN$13),15-13*ORÇAMENTO!$AF$7)/$H112*OFFSET(ORÇAMENTO!$X$15,ROW(BN112)-ROW(BN$15),0),
              ROUND(ROUND(OFFSET($P112,0,BN$13),15-13*ORÇAMENTO!$AF$7)*OFFSET(ORÇAMENTO!$W$15,ROW(BN112)-ROW(BN$15),0),15-13*ORÇAMENTO!$AF$11)),
         0)</f>
        <v>0</v>
      </c>
      <c r="BO112" s="453">
        <f ca="1">IF(AND($D112="Serviço",BO$12&lt;&gt;0,$H112&gt;0,OR(AUTOEVENTO&lt;&gt;"manual",$M112&lt;&gt;$A$15)),
        IF(Import.TipoArredondamento&lt;&gt;"TransfereGOV",
              ROUND(OFFSET($P112,0,BO$13),15-13*ORÇAMENTO!$AF$7)/$H112*OFFSET(ORÇAMENTO!$X$15,ROW(BO112)-ROW(BO$15),0),
              ROUND(ROUND(OFFSET($P112,0,BO$13),15-13*ORÇAMENTO!$AF$7)*OFFSET(ORÇAMENTO!$W$15,ROW(BO112)-ROW(BO$15),0),15-13*ORÇAMENTO!$AF$11)),
         0)</f>
        <v>0</v>
      </c>
      <c r="BP112" s="453">
        <f ca="1">IF(AND($D112="Serviço",BP$12&lt;&gt;0,$H112&gt;0,OR(AUTOEVENTO&lt;&gt;"manual",$M112&lt;&gt;$A$15)),
        IF(Import.TipoArredondamento&lt;&gt;"TransfereGOV",
              ROUND(OFFSET($P112,0,BP$13),15-13*ORÇAMENTO!$AF$7)/$H112*OFFSET(ORÇAMENTO!$X$15,ROW(BP112)-ROW(BP$15),0),
              ROUND(ROUND(OFFSET($P112,0,BP$13),15-13*ORÇAMENTO!$AF$7)*OFFSET(ORÇAMENTO!$W$15,ROW(BP112)-ROW(BP$15),0),15-13*ORÇAMENTO!$AF$11)),
         0)</f>
        <v>0</v>
      </c>
      <c r="BQ112" s="453">
        <f ca="1">IF(AND($D112="Serviço",BQ$12&lt;&gt;0,$H112&gt;0,OR(AUTOEVENTO&lt;&gt;"manual",$M112&lt;&gt;$A$15)),
        IF(Import.TipoArredondamento&lt;&gt;"TransfereGOV",
              ROUND(OFFSET($P112,0,BQ$13),15-13*ORÇAMENTO!$AF$7)/$H112*OFFSET(ORÇAMENTO!$X$15,ROW(BQ112)-ROW(BQ$15),0),
              ROUND(ROUND(OFFSET($P112,0,BQ$13),15-13*ORÇAMENTO!$AF$7)*OFFSET(ORÇAMENTO!$W$15,ROW(BQ112)-ROW(BQ$15),0),15-13*ORÇAMENTO!$AF$11)),
         0)</f>
        <v>0</v>
      </c>
      <c r="BS112" s="171">
        <f ca="1">IF(OR($D112&lt;&gt;"Serviço",AND(AUTOEVENTO="Manual",$M112=$A$15)),0,
         IF(OFFSET(CRONOPLE!$F$15,$M112-$A$15,BS$13)=0,10^12,OFFSET(CRONOPLE!$F$15,$M112-$A$15,BS$13)))</f>
        <v>1</v>
      </c>
      <c r="BT112" s="171">
        <f ca="1">IF(OR($D112&lt;&gt;"Serviço",AND(AUTOEVENTO="Manual",$M112=$A$15)),0,
         IF(OFFSET(CRONOPLE!$F$15,$M112-$A$15,BT$13)=0,10^12,OFFSET(CRONOPLE!$F$15,$M112-$A$15,BT$13)))</f>
        <v>2</v>
      </c>
      <c r="BU112" s="171">
        <f ca="1">IF(OR($D112&lt;&gt;"Serviço",AND(AUTOEVENTO="Manual",$M112=$A$15)),0,
         IF(OFFSET(CRONOPLE!$F$15,$M112-$A$15,BU$13)=0,10^12,OFFSET(CRONOPLE!$F$15,$M112-$A$15,BU$13)))</f>
        <v>3</v>
      </c>
      <c r="BV112" s="171">
        <f ca="1">IF(OR($D112&lt;&gt;"Serviço",AND(AUTOEVENTO="Manual",$M112=$A$15)),0,
         IF(OFFSET(CRONOPLE!$F$15,$M112-$A$15,BV$13)=0,10^12,OFFSET(CRONOPLE!$F$15,$M112-$A$15,BV$13)))</f>
        <v>4</v>
      </c>
      <c r="BW112" s="171">
        <f ca="1">IF(OR($D112&lt;&gt;"Serviço",AND(AUTOEVENTO="Manual",$M112=$A$15)),0,
         IF(OFFSET(CRONOPLE!$F$15,$M112-$A$15,BW$13)=0,10^12,OFFSET(CRONOPLE!$F$15,$M112-$A$15,BW$13)))</f>
        <v>5</v>
      </c>
      <c r="BX112" s="171">
        <f ca="1">IF(OR($D112&lt;&gt;"Serviço",AND(AUTOEVENTO="Manual",$M112=$A$15)),0,
         IF(OFFSET(CRONOPLE!$F$15,$M112-$A$15,BX$13)=0,10^12,OFFSET(CRONOPLE!$F$15,$M112-$A$15,BX$13)))</f>
        <v>6</v>
      </c>
      <c r="BY112" s="171">
        <f ca="1">IF(OR($D112&lt;&gt;"Serviço",AND(AUTOEVENTO="Manual",$M112=$A$15)),0,
         IF(OFFSET(CRONOPLE!$F$15,$M112-$A$15,BY$13)=0,10^12,OFFSET(CRONOPLE!$F$15,$M112-$A$15,BY$13)))</f>
        <v>7</v>
      </c>
      <c r="BZ112" s="171">
        <f ca="1">IF(OR($D112&lt;&gt;"Serviço",AND(AUTOEVENTO="Manual",$M112=$A$15)),0,
         IF(OFFSET(CRONOPLE!$F$15,$M112-$A$15,BZ$13)=0,10^12,OFFSET(CRONOPLE!$F$15,$M112-$A$15,BZ$13)))</f>
        <v>8</v>
      </c>
      <c r="CA112" s="171">
        <f ca="1">IF(OR($D112&lt;&gt;"Serviço",AND(AUTOEVENTO="Manual",$M112=$A$15)),0,
         IF(OFFSET(CRONOPLE!$F$15,$M112-$A$15,CA$13)=0,10^12,OFFSET(CRONOPLE!$F$15,$M112-$A$15,CA$13)))</f>
        <v>9</v>
      </c>
      <c r="CB112" s="171">
        <f ca="1">IF(OR($D112&lt;&gt;"Serviço",AND(AUTOEVENTO="Manual",$M112=$A$15)),0,
         IF(OFFSET(CRONOPLE!$F$15,$M112-$A$15,CB$13)=0,10^12,OFFSET(CRONOPLE!$F$15,$M112-$A$15,CB$13)))</f>
        <v>10</v>
      </c>
      <c r="CC112" s="171">
        <f ca="1">IF(OR($D112&lt;&gt;"Serviço",AND(AUTOEVENTO="Manual",$M112=$A$15)),0,
         IF(OFFSET(CRONOPLE!$F$15,$M112-$A$15,CC$13)=0,10^12,OFFSET(CRONOPLE!$F$15,$M112-$A$15,CC$13)))</f>
        <v>11</v>
      </c>
      <c r="CD112" s="171">
        <f ca="1">IF(OR($D112&lt;&gt;"Serviço",AND(AUTOEVENTO="Manual",$M112=$A$15)),0,
         IF(OFFSET(CRONOPLE!$F$15,$M112-$A$15,CD$13)=0,10^12,OFFSET(CRONOPLE!$F$15,$M112-$A$15,CD$13)))</f>
        <v>12</v>
      </c>
      <c r="CE112" s="171">
        <f ca="1">IF(OR($D112&lt;&gt;"Serviço",AND(AUTOEVENTO="Manual",$M112=$A$15)),0,
         IF(OFFSET(CRONOPLE!$F$15,$M112-$A$15,CE$13)=0,10^12,OFFSET(CRONOPLE!$F$15,$M112-$A$15,CE$13)))</f>
        <v>13</v>
      </c>
      <c r="CF112" s="171">
        <f ca="1">IF(OR($D112&lt;&gt;"Serviço",AND(AUTOEVENTO="Manual",$M112=$A$15)),0,
         IF(OFFSET(CRONOPLE!$F$15,$M112-$A$15,CF$13)=0,10^12,OFFSET(CRONOPLE!$F$15,$M112-$A$15,CF$13)))</f>
        <v>14</v>
      </c>
      <c r="CG112" s="171">
        <f ca="1">IF(OR($D112&lt;&gt;"Serviço",AND(AUTOEVENTO="Manual",$M112=$A$15)),0,
         IF(OFFSET(CRONOPLE!$F$15,$M112-$A$15,CG$13)=0,10^12,OFFSET(CRONOPLE!$F$15,$M112-$A$15,CG$13)))</f>
        <v>15</v>
      </c>
      <c r="CH112" s="171">
        <f ca="1">IF(OR($D112&lt;&gt;"Serviço",AND(AUTOEVENTO="Manual",$M112=$A$15)),0,
         IF(OFFSET(CRONOPLE!$F$15,$M112-$A$15,CH$13)=0,10^12,OFFSET(CRONOPLE!$F$15,$M112-$A$15,CH$13)))</f>
        <v>16</v>
      </c>
      <c r="CI112" s="171">
        <f ca="1">IF(OR($D112&lt;&gt;"Serviço",AND(AUTOEVENTO="Manual",$M112=$A$15)),0,
         IF(OFFSET(CRONOPLE!$F$15,$M112-$A$15,CI$13)=0,10^12,OFFSET(CRONOPLE!$F$15,$M112-$A$15,CI$13)))</f>
        <v>17</v>
      </c>
      <c r="CJ112" s="171">
        <f ca="1">IF(OR($D112&lt;&gt;"Serviço",AND(AUTOEVENTO="Manual",$M112=$A$15)),0,
         IF(OFFSET(CRONOPLE!$F$15,$M112-$A$15,CJ$13)=0,10^12,OFFSET(CRONOPLE!$F$15,$M112-$A$15,CJ$13)))</f>
        <v>18</v>
      </c>
      <c r="CK112" s="171">
        <f ca="1">IF(OR($D112&lt;&gt;"Serviço",AND(AUTOEVENTO="Manual",$M112=$A$15)),0,
         IF(OFFSET(CRONOPLE!$F$15,$M112-$A$15,CK$13)=0,10^12,OFFSET(CRONOPLE!$F$15,$M112-$A$15,CK$13)))</f>
        <v>19</v>
      </c>
      <c r="CL112" s="171">
        <f ca="1">IF(OR($D112&lt;&gt;"Serviço",AND(AUTOEVENTO="Manual",$M112=$A$15)),0,
         IF(OFFSET(CRONOPLE!$F$15,$M112-$A$15,CL$13)=0,10^12,OFFSET(CRONOPLE!$F$15,$M112-$A$15,CL$13)))</f>
        <v>20</v>
      </c>
      <c r="CM112" s="171">
        <f ca="1">IF(OR($D112&lt;&gt;"Serviço",AND(AUTOEVENTO="Manual",$M112=$A$15)),0,
         IF(OFFSET(CRONOPLE!$F$15,$M112-$A$15,CM$13)=0,10^12,OFFSET(CRONOPLE!$F$15,$M112-$A$15,CM$13)))</f>
        <v>1000000000000</v>
      </c>
      <c r="CN112" s="171">
        <f ca="1">IF(OR($D112&lt;&gt;"Serviço",AND(AUTOEVENTO="Manual",$M112=$A$15)),0,
         IF(OFFSET(CRONOPLE!$F$15,$M112-$A$15,CN$13)=0,10^12,OFFSET(CRONOPLE!$F$15,$M112-$A$15,CN$13)))</f>
        <v>1000000000000</v>
      </c>
      <c r="CO112" s="171">
        <f ca="1">IF(OR($D112&lt;&gt;"Serviço",AND(AUTOEVENTO="Manual",$M112=$A$15)),0,
         IF(OFFSET(CRONOPLE!$F$15,$M112-$A$15,CO$13)=0,10^12,OFFSET(CRONOPLE!$F$15,$M112-$A$15,CO$13)))</f>
        <v>1000000000000</v>
      </c>
      <c r="CP112" s="171">
        <f ca="1">IF(OR($D112&lt;&gt;"Serviço",AND(AUTOEVENTO="Manual",$M112=$A$15)),0,
         IF(OFFSET(CRONOPLE!$F$15,$M112-$A$15,CP$13)=0,10^12,OFFSET(CRONOPLE!$F$15,$M112-$A$15,CP$13)))</f>
        <v>1000000000000</v>
      </c>
      <c r="CQ112" s="171">
        <f ca="1">IF(OR($D112&lt;&gt;"Serviço",AND(AUTOEVENTO="Manual",$M112=$A$15)),0,
         IF(OFFSET(CRONOPLE!$F$15,$M112-$A$15,CQ$13)=0,10^12,OFFSET(CRONOPLE!$F$15,$M112-$A$15,CQ$13)))</f>
        <v>1000000000000</v>
      </c>
      <c r="CR112" s="171">
        <f ca="1">IF(OR($D112&lt;&gt;"Serviço",AND(AUTOEVENTO="Manual",$M112=$A$15)),0,
         IF(OFFSET(CRONOPLE!$F$15,$M112-$A$15,CR$13)=0,10^12,OFFSET(CRONOPLE!$F$15,$M112-$A$15,CR$13)))</f>
        <v>1000000000000</v>
      </c>
      <c r="CT112" s="172" cm="1">
        <f t="array" aca="1" ref="CT112" ca="1">IF(OR($D112&lt;&gt;"Serviço",AND(AUTOEVENTO="Manual",$M112=$A$15),$M112&gt;(ROW(PLE.lastrow)-ROW(PLE.firstrow))),0,
           IF(OFFSET(PLE!$G$15,$M112-$A$15,CT$13)="",10^12,OFFSET(PLE!$G$15,$M112-$A$15,CT$13)))</f>
        <v>1000000000000</v>
      </c>
      <c r="CU112" s="172" cm="1">
        <f t="array" aca="1" ref="CU112" ca="1">IF(OR($D112&lt;&gt;"Serviço",AND(AUTOEVENTO="Manual",$M112=$A$15),$M112&gt;(ROW(PLE.lastrow)-ROW(PLE.firstrow))),0,
           IF(OFFSET(PLE!$G$15,$M112-$A$15,CU$13)="",10^12,OFFSET(PLE!$G$15,$M112-$A$15,CU$13)))</f>
        <v>1000000000000</v>
      </c>
      <c r="CV112" s="172" cm="1">
        <f t="array" aca="1" ref="CV112" ca="1">IF(OR($D112&lt;&gt;"Serviço",AND(AUTOEVENTO="Manual",$M112=$A$15),$M112&gt;(ROW(PLE.lastrow)-ROW(PLE.firstrow))),0,
           IF(OFFSET(PLE!$G$15,$M112-$A$15,CV$13)="",10^12,OFFSET(PLE!$G$15,$M112-$A$15,CV$13)))</f>
        <v>1000000000000</v>
      </c>
      <c r="CW112" s="172" cm="1">
        <f t="array" aca="1" ref="CW112" ca="1">IF(OR($D112&lt;&gt;"Serviço",AND(AUTOEVENTO="Manual",$M112=$A$15),$M112&gt;(ROW(PLE.lastrow)-ROW(PLE.firstrow))),0,
           IF(OFFSET(PLE!$G$15,$M112-$A$15,CW$13)="",10^12,OFFSET(PLE!$G$15,$M112-$A$15,CW$13)))</f>
        <v>1000000000000</v>
      </c>
      <c r="CX112" s="172" cm="1">
        <f t="array" aca="1" ref="CX112" ca="1">IF(OR($D112&lt;&gt;"Serviço",AND(AUTOEVENTO="Manual",$M112=$A$15),$M112&gt;(ROW(PLE.lastrow)-ROW(PLE.firstrow))),0,
           IF(OFFSET(PLE!$G$15,$M112-$A$15,CX$13)="",10^12,OFFSET(PLE!$G$15,$M112-$A$15,CX$13)))</f>
        <v>1000000000000</v>
      </c>
      <c r="CY112" s="172" cm="1">
        <f t="array" aca="1" ref="CY112" ca="1">IF(OR($D112&lt;&gt;"Serviço",AND(AUTOEVENTO="Manual",$M112=$A$15),$M112&gt;(ROW(PLE.lastrow)-ROW(PLE.firstrow))),0,
           IF(OFFSET(PLE!$G$15,$M112-$A$15,CY$13)="",10^12,OFFSET(PLE!$G$15,$M112-$A$15,CY$13)))</f>
        <v>1000000000000</v>
      </c>
      <c r="CZ112" s="172" cm="1">
        <f t="array" aca="1" ref="CZ112" ca="1">IF(OR($D112&lt;&gt;"Serviço",AND(AUTOEVENTO="Manual",$M112=$A$15),$M112&gt;(ROW(PLE.lastrow)-ROW(PLE.firstrow))),0,
           IF(OFFSET(PLE!$G$15,$M112-$A$15,CZ$13)="",10^12,OFFSET(PLE!$G$15,$M112-$A$15,CZ$13)))</f>
        <v>1000000000000</v>
      </c>
      <c r="DA112" s="172" cm="1">
        <f t="array" aca="1" ref="DA112" ca="1">IF(OR($D112&lt;&gt;"Serviço",AND(AUTOEVENTO="Manual",$M112=$A$15),$M112&gt;(ROW(PLE.lastrow)-ROW(PLE.firstrow))),0,
           IF(OFFSET(PLE!$G$15,$M112-$A$15,DA$13)="",10^12,OFFSET(PLE!$G$15,$M112-$A$15,DA$13)))</f>
        <v>1000000000000</v>
      </c>
      <c r="DB112" s="172" cm="1">
        <f t="array" aca="1" ref="DB112" ca="1">IF(OR($D112&lt;&gt;"Serviço",AND(AUTOEVENTO="Manual",$M112=$A$15),$M112&gt;(ROW(PLE.lastrow)-ROW(PLE.firstrow))),0,
           IF(OFFSET(PLE!$G$15,$M112-$A$15,DB$13)="",10^12,OFFSET(PLE!$G$15,$M112-$A$15,DB$13)))</f>
        <v>1000000000000</v>
      </c>
      <c r="DC112" s="172" cm="1">
        <f t="array" aca="1" ref="DC112" ca="1">IF(OR($D112&lt;&gt;"Serviço",AND(AUTOEVENTO="Manual",$M112=$A$15),$M112&gt;(ROW(PLE.lastrow)-ROW(PLE.firstrow))),0,
           IF(OFFSET(PLE!$G$15,$M112-$A$15,DC$13)="",10^12,OFFSET(PLE!$G$15,$M112-$A$15,DC$13)))</f>
        <v>1000000000000</v>
      </c>
      <c r="DD112" s="172" cm="1">
        <f t="array" aca="1" ref="DD112" ca="1">IF(OR($D112&lt;&gt;"Serviço",AND(AUTOEVENTO="Manual",$M112=$A$15),$M112&gt;(ROW(PLE.lastrow)-ROW(PLE.firstrow))),0,
           IF(OFFSET(PLE!$G$15,$M112-$A$15,DD$13)="",10^12,OFFSET(PLE!$G$15,$M112-$A$15,DD$13)))</f>
        <v>1000000000000</v>
      </c>
      <c r="DE112" s="172" cm="1">
        <f t="array" aca="1" ref="DE112" ca="1">IF(OR($D112&lt;&gt;"Serviço",AND(AUTOEVENTO="Manual",$M112=$A$15),$M112&gt;(ROW(PLE.lastrow)-ROW(PLE.firstrow))),0,
           IF(OFFSET(PLE!$G$15,$M112-$A$15,DE$13)="",10^12,OFFSET(PLE!$G$15,$M112-$A$15,DE$13)))</f>
        <v>1000000000000</v>
      </c>
      <c r="DF112" s="172" cm="1">
        <f t="array" aca="1" ref="DF112" ca="1">IF(OR($D112&lt;&gt;"Serviço",AND(AUTOEVENTO="Manual",$M112=$A$15),$M112&gt;(ROW(PLE.lastrow)-ROW(PLE.firstrow))),0,
           IF(OFFSET(PLE!$G$15,$M112-$A$15,DF$13)="",10^12,OFFSET(PLE!$G$15,$M112-$A$15,DF$13)))</f>
        <v>1000000000000</v>
      </c>
      <c r="DG112" s="172" cm="1">
        <f t="array" aca="1" ref="DG112" ca="1">IF(OR($D112&lt;&gt;"Serviço",AND(AUTOEVENTO="Manual",$M112=$A$15),$M112&gt;(ROW(PLE.lastrow)-ROW(PLE.firstrow))),0,
           IF(OFFSET(PLE!$G$15,$M112-$A$15,DG$13)="",10^12,OFFSET(PLE!$G$15,$M112-$A$15,DG$13)))</f>
        <v>1000000000000</v>
      </c>
      <c r="DH112" s="172" cm="1">
        <f t="array" aca="1" ref="DH112" ca="1">IF(OR($D112&lt;&gt;"Serviço",AND(AUTOEVENTO="Manual",$M112=$A$15),$M112&gt;(ROW(PLE.lastrow)-ROW(PLE.firstrow))),0,
           IF(OFFSET(PLE!$G$15,$M112-$A$15,DH$13)="",10^12,OFFSET(PLE!$G$15,$M112-$A$15,DH$13)))</f>
        <v>1000000000000</v>
      </c>
      <c r="DI112" s="172" cm="1">
        <f t="array" aca="1" ref="DI112" ca="1">IF(OR($D112&lt;&gt;"Serviço",AND(AUTOEVENTO="Manual",$M112=$A$15),$M112&gt;(ROW(PLE.lastrow)-ROW(PLE.firstrow))),0,
           IF(OFFSET(PLE!$G$15,$M112-$A$15,DI$13)="",10^12,OFFSET(PLE!$G$15,$M112-$A$15,DI$13)))</f>
        <v>1000000000000</v>
      </c>
      <c r="DJ112" s="172" cm="1">
        <f t="array" aca="1" ref="DJ112" ca="1">IF(OR($D112&lt;&gt;"Serviço",AND(AUTOEVENTO="Manual",$M112=$A$15),$M112&gt;(ROW(PLE.lastrow)-ROW(PLE.firstrow))),0,
           IF(OFFSET(PLE!$G$15,$M112-$A$15,DJ$13)="",10^12,OFFSET(PLE!$G$15,$M112-$A$15,DJ$13)))</f>
        <v>1000000000000</v>
      </c>
      <c r="DK112" s="172" cm="1">
        <f t="array" aca="1" ref="DK112" ca="1">IF(OR($D112&lt;&gt;"Serviço",AND(AUTOEVENTO="Manual",$M112=$A$15),$M112&gt;(ROW(PLE.lastrow)-ROW(PLE.firstrow))),0,
           IF(OFFSET(PLE!$G$15,$M112-$A$15,DK$13)="",10^12,OFFSET(PLE!$G$15,$M112-$A$15,DK$13)))</f>
        <v>1000000000000</v>
      </c>
      <c r="DL112" s="172" cm="1">
        <f t="array" aca="1" ref="DL112" ca="1">IF(OR($D112&lt;&gt;"Serviço",AND(AUTOEVENTO="Manual",$M112=$A$15),$M112&gt;(ROW(PLE.lastrow)-ROW(PLE.firstrow))),0,
           IF(OFFSET(PLE!$G$15,$M112-$A$15,DL$13)="",10^12,OFFSET(PLE!$G$15,$M112-$A$15,DL$13)))</f>
        <v>1000000000000</v>
      </c>
      <c r="DM112" s="172" cm="1">
        <f t="array" aca="1" ref="DM112" ca="1">IF(OR($D112&lt;&gt;"Serviço",AND(AUTOEVENTO="Manual",$M112=$A$15),$M112&gt;(ROW(PLE.lastrow)-ROW(PLE.firstrow))),0,
           IF(OFFSET(PLE!$G$15,$M112-$A$15,DM$13)="",10^12,OFFSET(PLE!$G$15,$M112-$A$15,DM$13)))</f>
        <v>1000000000000</v>
      </c>
      <c r="DN112" s="172" cm="1">
        <f t="array" aca="1" ref="DN112" ca="1">IF(OR($D112&lt;&gt;"Serviço",AND(AUTOEVENTO="Manual",$M112=$A$15),$M112&gt;(ROW(PLE.lastrow)-ROW(PLE.firstrow))),0,
           IF(OFFSET(PLE!$G$15,$M112-$A$15,DN$13)="",10^12,OFFSET(PLE!$G$15,$M112-$A$15,DN$13)))</f>
        <v>1000000000000</v>
      </c>
      <c r="DO112" s="172" cm="1">
        <f t="array" aca="1" ref="DO112" ca="1">IF(OR($D112&lt;&gt;"Serviço",AND(AUTOEVENTO="Manual",$M112=$A$15),$M112&gt;(ROW(PLE.lastrow)-ROW(PLE.firstrow))),0,
           IF(OFFSET(PLE!$G$15,$M112-$A$15,DO$13)="",10^12,OFFSET(PLE!$G$15,$M112-$A$15,DO$13)))</f>
        <v>1000000000000</v>
      </c>
      <c r="DP112" s="172" cm="1">
        <f t="array" aca="1" ref="DP112" ca="1">IF(OR($D112&lt;&gt;"Serviço",AND(AUTOEVENTO="Manual",$M112=$A$15),$M112&gt;(ROW(PLE.lastrow)-ROW(PLE.firstrow))),0,
           IF(OFFSET(PLE!$G$15,$M112-$A$15,DP$13)="",10^12,OFFSET(PLE!$G$15,$M112-$A$15,DP$13)))</f>
        <v>1000000000000</v>
      </c>
      <c r="DQ112" s="172" cm="1">
        <f t="array" aca="1" ref="DQ112" ca="1">IF(OR($D112&lt;&gt;"Serviço",AND(AUTOEVENTO="Manual",$M112=$A$15),$M112&gt;(ROW(PLE.lastrow)-ROW(PLE.firstrow))),0,
           IF(OFFSET(PLE!$G$15,$M112-$A$15,DQ$13)="",10^12,OFFSET(PLE!$G$15,$M112-$A$15,DQ$13)))</f>
        <v>1000000000000</v>
      </c>
      <c r="DR112" s="172" cm="1">
        <f t="array" aca="1" ref="DR112" ca="1">IF(OR($D112&lt;&gt;"Serviço",AND(AUTOEVENTO="Manual",$M112=$A$15),$M112&gt;(ROW(PLE.lastrow)-ROW(PLE.firstrow))),0,
           IF(OFFSET(PLE!$G$15,$M112-$A$15,DR$13)="",10^12,OFFSET(PLE!$G$15,$M112-$A$15,DR$13)))</f>
        <v>1000000000000</v>
      </c>
      <c r="DS112" s="172" cm="1">
        <f t="array" aca="1" ref="DS112" ca="1">IF(OR($D112&lt;&gt;"Serviço",AND(AUTOEVENTO="Manual",$M112=$A$15),$M112&gt;(ROW(PLE.lastrow)-ROW(PLE.firstrow))),0,
           IF(OFFSET(PLE!$G$15,$M112-$A$15,DS$13)="",10^12,OFFSET(PLE!$G$15,$M112-$A$15,DS$13)))</f>
        <v>1000000000000</v>
      </c>
    </row>
    <row r="113" spans="1:123" ht="25.5" x14ac:dyDescent="0.2">
      <c r="A113" s="7">
        <f t="shared" ca="1" si="13"/>
        <v>7</v>
      </c>
      <c r="B113" s="7" t="str">
        <f ca="1">OFFSET(ORÇAMENTO!C$15,$L113,0)</f>
        <v>S</v>
      </c>
      <c r="C113" s="7" t="str">
        <f ca="1">OFFSET(ORÇAMENTO!L$15,$L113,0)</f>
        <v/>
      </c>
      <c r="D113" s="116" t="str">
        <f ca="1">OFFSET(ORÇAMENTO!N$15,$L113,0)</f>
        <v>Serviço</v>
      </c>
      <c r="E113" s="117" t="str">
        <f ca="1">OFFSET(ORÇAMENTO!O$15,$L113,0)</f>
        <v>-</v>
      </c>
      <c r="F113" s="163" t="str">
        <f ca="1">OFFSET(ORÇAMENTO!R$15,$L113,0)</f>
        <v>(Código não identificado nas referências)</v>
      </c>
      <c r="G113" s="164" t="str">
        <f ca="1">IF($D113&lt;&gt;"Serviço","",OFFSET(ORÇAMENTO!S$15,$L113,0))</f>
        <v>-</v>
      </c>
      <c r="H113" s="122" cm="1">
        <f t="array" aca="1" ref="H113" ca="1">IF($D113&lt;&gt;"Serviço",0,IF(ACOMPANHAMENTO="BM",ROUND(OFFSET(ORÇAMENTO!AJ$15,$L113,0),15-13*ORÇAMENTO!$AF$7),IF(IFERROR(CÁLCULO.FrentesPreenchidas,0)=0,0,SUM(ROUND(OFFSET($P113,0,1,1,CÁLCULO.FrentesPreenchidas),15-13*ORÇAMENTO!$AF$7)))))</f>
        <v>420</v>
      </c>
      <c r="I113" s="468" t="s">
        <v>1235</v>
      </c>
      <c r="J113" s="651" t="str" cm="1">
        <f t="array" aca="1" ref="J113" ca="1">IF(OR(B113&lt;&gt;"S",CÁLCULO.FrentesPreenchidas=0),"",IF(AND(ACOMPANHAMENTO="PLE",AUTOEVENTO="Manual",OR(H113&gt;0,ORÇAMENTO!AC113="QUANT."),OR(K113="",M113=0,N113="")),"►E",IF(AND(ACOMPANHAMENTO="PLE",ORÇAMENTO!AC113="QUANT."),"►Q",IF(AND(ACOMPANHAMENTO="PLE",H113&lt;&gt;SUMPRODUCT(($Q$1:$AQ$1=1)*ROUND(Q113:AQ113,15))),"►S",IF(AND(COUNTIF($P$11:$AQ$11,"▼")=0,H113&gt;0,I113=""),"◄M","")))))</f>
        <v/>
      </c>
      <c r="K113" s="652" t="s">
        <v>1255</v>
      </c>
      <c r="L113" s="165">
        <f t="shared" ca="1" si="14"/>
        <v>98</v>
      </c>
      <c r="M113" s="166">
        <f ca="1">IF($D113&lt;&gt;"Serviço","",
          IF(AUTOEVENTO="manual",$A113,
                IF(ISERROR(MATCH($A113,$A$15:OFFSET($A113,-1,0),0)),MAX($M$15:OFFSET(M113,-1,0))+1,
                      INDEX($M$15:OFFSET(M113,-1,0),MATCH($A113,$A$15:OFFSET($A113,-1,0),0)))))</f>
        <v>7</v>
      </c>
      <c r="N113" s="167" t="str">
        <f ca="1">IF($D113&lt;&gt;"Serviço","",
         IF(AUTOEVENTO="Manual",
                IF($A113=0,"&lt;-- defina o número do agrupador",
                       OFFSET(EVENTOS!$D$15,$A113-$A$15,0)),
                OFFSET($F$15,$A113,0)))</f>
        <v>REVESTIMENTOS</v>
      </c>
      <c r="O113" s="168"/>
      <c r="Q113" s="168">
        <v>21</v>
      </c>
      <c r="R113" s="169">
        <v>21</v>
      </c>
      <c r="S113" s="169">
        <v>21</v>
      </c>
      <c r="T113" s="169">
        <v>21</v>
      </c>
      <c r="U113" s="169">
        <v>21</v>
      </c>
      <c r="V113" s="169">
        <v>21</v>
      </c>
      <c r="W113" s="169">
        <v>21</v>
      </c>
      <c r="X113" s="169">
        <v>21</v>
      </c>
      <c r="Y113" s="169">
        <v>21</v>
      </c>
      <c r="Z113" s="170">
        <v>21</v>
      </c>
      <c r="AA113" s="169">
        <v>21</v>
      </c>
      <c r="AB113" s="169">
        <v>21</v>
      </c>
      <c r="AC113" s="169">
        <v>21</v>
      </c>
      <c r="AD113" s="169">
        <v>21</v>
      </c>
      <c r="AE113" s="169">
        <v>21</v>
      </c>
      <c r="AF113" s="169">
        <v>21</v>
      </c>
      <c r="AG113" s="169">
        <v>21</v>
      </c>
      <c r="AH113" s="170">
        <v>21</v>
      </c>
      <c r="AI113" s="169">
        <v>21</v>
      </c>
      <c r="AJ113" s="169">
        <v>21</v>
      </c>
      <c r="AK113" s="169"/>
      <c r="AL113" s="169"/>
      <c r="AM113" s="169"/>
      <c r="AN113" s="169"/>
      <c r="AO113" s="169"/>
      <c r="AP113" s="170"/>
      <c r="AR113" s="453">
        <f ca="1">IF(AND($D113="Serviço",AR$12&lt;&gt;0,$H113&gt;0,OR(AUTOEVENTO&lt;&gt;"manual",$M113&lt;&gt;$A$15)),
        IF(Import.TipoArredondamento&lt;&gt;"TransfereGOV",
              ROUND(OFFSET($P113,0,AR$13),15-13*ORÇAMENTO!$AF$7)/$H113*OFFSET(ORÇAMENTO!$X$15,ROW(AR113)-ROW(AR$15),0),
              ROUND(ROUND(OFFSET($P113,0,AR$13),15-13*ORÇAMENTO!$AF$7)*OFFSET(ORÇAMENTO!$W$15,ROW(AR113)-ROW(AR$15),0),15-13*ORÇAMENTO!$AF$11)),
         0)</f>
        <v>0</v>
      </c>
      <c r="AS113" s="453">
        <f ca="1">IF(AND($D113="Serviço",AS$12&lt;&gt;0,$H113&gt;0,OR(AUTOEVENTO&lt;&gt;"manual",$M113&lt;&gt;$A$15)),
        IF(Import.TipoArredondamento&lt;&gt;"TransfereGOV",
              ROUND(OFFSET($P113,0,AS$13),15-13*ORÇAMENTO!$AF$7)/$H113*OFFSET(ORÇAMENTO!$X$15,ROW(AS113)-ROW(AS$15),0),
              ROUND(ROUND(OFFSET($P113,0,AS$13),15-13*ORÇAMENTO!$AF$7)*OFFSET(ORÇAMENTO!$W$15,ROW(AS113)-ROW(AS$15),0),15-13*ORÇAMENTO!$AF$11)),
         0)</f>
        <v>0</v>
      </c>
      <c r="AT113" s="453">
        <f ca="1">IF(AND($D113="Serviço",AT$12&lt;&gt;0,$H113&gt;0,OR(AUTOEVENTO&lt;&gt;"manual",$M113&lt;&gt;$A$15)),
        IF(Import.TipoArredondamento&lt;&gt;"TransfereGOV",
              ROUND(OFFSET($P113,0,AT$13),15-13*ORÇAMENTO!$AF$7)/$H113*OFFSET(ORÇAMENTO!$X$15,ROW(AT113)-ROW(AT$15),0),
              ROUND(ROUND(OFFSET($P113,0,AT$13),15-13*ORÇAMENTO!$AF$7)*OFFSET(ORÇAMENTO!$W$15,ROW(AT113)-ROW(AT$15),0),15-13*ORÇAMENTO!$AF$11)),
         0)</f>
        <v>0</v>
      </c>
      <c r="AU113" s="453">
        <f ca="1">IF(AND($D113="Serviço",AU$12&lt;&gt;0,$H113&gt;0,OR(AUTOEVENTO&lt;&gt;"manual",$M113&lt;&gt;$A$15)),
        IF(Import.TipoArredondamento&lt;&gt;"TransfereGOV",
              ROUND(OFFSET($P113,0,AU$13),15-13*ORÇAMENTO!$AF$7)/$H113*OFFSET(ORÇAMENTO!$X$15,ROW(AU113)-ROW(AU$15),0),
              ROUND(ROUND(OFFSET($P113,0,AU$13),15-13*ORÇAMENTO!$AF$7)*OFFSET(ORÇAMENTO!$W$15,ROW(AU113)-ROW(AU$15),0),15-13*ORÇAMENTO!$AF$11)),
         0)</f>
        <v>0</v>
      </c>
      <c r="AV113" s="453">
        <f ca="1">IF(AND($D113="Serviço",AV$12&lt;&gt;0,$H113&gt;0,OR(AUTOEVENTO&lt;&gt;"manual",$M113&lt;&gt;$A$15)),
        IF(Import.TipoArredondamento&lt;&gt;"TransfereGOV",
              ROUND(OFFSET($P113,0,AV$13),15-13*ORÇAMENTO!$AF$7)/$H113*OFFSET(ORÇAMENTO!$X$15,ROW(AV113)-ROW(AV$15),0),
              ROUND(ROUND(OFFSET($P113,0,AV$13),15-13*ORÇAMENTO!$AF$7)*OFFSET(ORÇAMENTO!$W$15,ROW(AV113)-ROW(AV$15),0),15-13*ORÇAMENTO!$AF$11)),
         0)</f>
        <v>0</v>
      </c>
      <c r="AW113" s="453">
        <f ca="1">IF(AND($D113="Serviço",AW$12&lt;&gt;0,$H113&gt;0,OR(AUTOEVENTO&lt;&gt;"manual",$M113&lt;&gt;$A$15)),
        IF(Import.TipoArredondamento&lt;&gt;"TransfereGOV",
              ROUND(OFFSET($P113,0,AW$13),15-13*ORÇAMENTO!$AF$7)/$H113*OFFSET(ORÇAMENTO!$X$15,ROW(AW113)-ROW(AW$15),0),
              ROUND(ROUND(OFFSET($P113,0,AW$13),15-13*ORÇAMENTO!$AF$7)*OFFSET(ORÇAMENTO!$W$15,ROW(AW113)-ROW(AW$15),0),15-13*ORÇAMENTO!$AF$11)),
         0)</f>
        <v>0</v>
      </c>
      <c r="AX113" s="453">
        <f ca="1">IF(AND($D113="Serviço",AX$12&lt;&gt;0,$H113&gt;0,OR(AUTOEVENTO&lt;&gt;"manual",$M113&lt;&gt;$A$15)),
        IF(Import.TipoArredondamento&lt;&gt;"TransfereGOV",
              ROUND(OFFSET($P113,0,AX$13),15-13*ORÇAMENTO!$AF$7)/$H113*OFFSET(ORÇAMENTO!$X$15,ROW(AX113)-ROW(AX$15),0),
              ROUND(ROUND(OFFSET($P113,0,AX$13),15-13*ORÇAMENTO!$AF$7)*OFFSET(ORÇAMENTO!$W$15,ROW(AX113)-ROW(AX$15),0),15-13*ORÇAMENTO!$AF$11)),
         0)</f>
        <v>0</v>
      </c>
      <c r="AY113" s="453">
        <f ca="1">IF(AND($D113="Serviço",AY$12&lt;&gt;0,$H113&gt;0,OR(AUTOEVENTO&lt;&gt;"manual",$M113&lt;&gt;$A$15)),
        IF(Import.TipoArredondamento&lt;&gt;"TransfereGOV",
              ROUND(OFFSET($P113,0,AY$13),15-13*ORÇAMENTO!$AF$7)/$H113*OFFSET(ORÇAMENTO!$X$15,ROW(AY113)-ROW(AY$15),0),
              ROUND(ROUND(OFFSET($P113,0,AY$13),15-13*ORÇAMENTO!$AF$7)*OFFSET(ORÇAMENTO!$W$15,ROW(AY113)-ROW(AY$15),0),15-13*ORÇAMENTO!$AF$11)),
         0)</f>
        <v>0</v>
      </c>
      <c r="AZ113" s="453">
        <f ca="1">IF(AND($D113="Serviço",AZ$12&lt;&gt;0,$H113&gt;0,OR(AUTOEVENTO&lt;&gt;"manual",$M113&lt;&gt;$A$15)),
        IF(Import.TipoArredondamento&lt;&gt;"TransfereGOV",
              ROUND(OFFSET($P113,0,AZ$13),15-13*ORÇAMENTO!$AF$7)/$H113*OFFSET(ORÇAMENTO!$X$15,ROW(AZ113)-ROW(AZ$15),0),
              ROUND(ROUND(OFFSET($P113,0,AZ$13),15-13*ORÇAMENTO!$AF$7)*OFFSET(ORÇAMENTO!$W$15,ROW(AZ113)-ROW(AZ$15),0),15-13*ORÇAMENTO!$AF$11)),
         0)</f>
        <v>0</v>
      </c>
      <c r="BA113" s="453">
        <f ca="1">IF(AND($D113="Serviço",BA$12&lt;&gt;0,$H113&gt;0,OR(AUTOEVENTO&lt;&gt;"manual",$M113&lt;&gt;$A$15)),
        IF(Import.TipoArredondamento&lt;&gt;"TransfereGOV",
              ROUND(OFFSET($P113,0,BA$13),15-13*ORÇAMENTO!$AF$7)/$H113*OFFSET(ORÇAMENTO!$X$15,ROW(BA113)-ROW(BA$15),0),
              ROUND(ROUND(OFFSET($P113,0,BA$13),15-13*ORÇAMENTO!$AF$7)*OFFSET(ORÇAMENTO!$W$15,ROW(BA113)-ROW(BA$15),0),15-13*ORÇAMENTO!$AF$11)),
         0)</f>
        <v>0</v>
      </c>
      <c r="BB113" s="453">
        <f ca="1">IF(AND($D113="Serviço",BB$12&lt;&gt;0,$H113&gt;0,OR(AUTOEVENTO&lt;&gt;"manual",$M113&lt;&gt;$A$15)),
        IF(Import.TipoArredondamento&lt;&gt;"TransfereGOV",
              ROUND(OFFSET($P113,0,BB$13),15-13*ORÇAMENTO!$AF$7)/$H113*OFFSET(ORÇAMENTO!$X$15,ROW(BB113)-ROW(BB$15),0),
              ROUND(ROUND(OFFSET($P113,0,BB$13),15-13*ORÇAMENTO!$AF$7)*OFFSET(ORÇAMENTO!$W$15,ROW(BB113)-ROW(BB$15),0),15-13*ORÇAMENTO!$AF$11)),
         0)</f>
        <v>0</v>
      </c>
      <c r="BC113" s="453">
        <f ca="1">IF(AND($D113="Serviço",BC$12&lt;&gt;0,$H113&gt;0,OR(AUTOEVENTO&lt;&gt;"manual",$M113&lt;&gt;$A$15)),
        IF(Import.TipoArredondamento&lt;&gt;"TransfereGOV",
              ROUND(OFFSET($P113,0,BC$13),15-13*ORÇAMENTO!$AF$7)/$H113*OFFSET(ORÇAMENTO!$X$15,ROW(BC113)-ROW(BC$15),0),
              ROUND(ROUND(OFFSET($P113,0,BC$13),15-13*ORÇAMENTO!$AF$7)*OFFSET(ORÇAMENTO!$W$15,ROW(BC113)-ROW(BC$15),0),15-13*ORÇAMENTO!$AF$11)),
         0)</f>
        <v>0</v>
      </c>
      <c r="BD113" s="453">
        <f ca="1">IF(AND($D113="Serviço",BD$12&lt;&gt;0,$H113&gt;0,OR(AUTOEVENTO&lt;&gt;"manual",$M113&lt;&gt;$A$15)),
        IF(Import.TipoArredondamento&lt;&gt;"TransfereGOV",
              ROUND(OFFSET($P113,0,BD$13),15-13*ORÇAMENTO!$AF$7)/$H113*OFFSET(ORÇAMENTO!$X$15,ROW(BD113)-ROW(BD$15),0),
              ROUND(ROUND(OFFSET($P113,0,BD$13),15-13*ORÇAMENTO!$AF$7)*OFFSET(ORÇAMENTO!$W$15,ROW(BD113)-ROW(BD$15),0),15-13*ORÇAMENTO!$AF$11)),
         0)</f>
        <v>0</v>
      </c>
      <c r="BE113" s="453">
        <f ca="1">IF(AND($D113="Serviço",BE$12&lt;&gt;0,$H113&gt;0,OR(AUTOEVENTO&lt;&gt;"manual",$M113&lt;&gt;$A$15)),
        IF(Import.TipoArredondamento&lt;&gt;"TransfereGOV",
              ROUND(OFFSET($P113,0,BE$13),15-13*ORÇAMENTO!$AF$7)/$H113*OFFSET(ORÇAMENTO!$X$15,ROW(BE113)-ROW(BE$15),0),
              ROUND(ROUND(OFFSET($P113,0,BE$13),15-13*ORÇAMENTO!$AF$7)*OFFSET(ORÇAMENTO!$W$15,ROW(BE113)-ROW(BE$15),0),15-13*ORÇAMENTO!$AF$11)),
         0)</f>
        <v>0</v>
      </c>
      <c r="BF113" s="453">
        <f ca="1">IF(AND($D113="Serviço",BF$12&lt;&gt;0,$H113&gt;0,OR(AUTOEVENTO&lt;&gt;"manual",$M113&lt;&gt;$A$15)),
        IF(Import.TipoArredondamento&lt;&gt;"TransfereGOV",
              ROUND(OFFSET($P113,0,BF$13),15-13*ORÇAMENTO!$AF$7)/$H113*OFFSET(ORÇAMENTO!$X$15,ROW(BF113)-ROW(BF$15),0),
              ROUND(ROUND(OFFSET($P113,0,BF$13),15-13*ORÇAMENTO!$AF$7)*OFFSET(ORÇAMENTO!$W$15,ROW(BF113)-ROW(BF$15),0),15-13*ORÇAMENTO!$AF$11)),
         0)</f>
        <v>0</v>
      </c>
      <c r="BG113" s="453">
        <f ca="1">IF(AND($D113="Serviço",BG$12&lt;&gt;0,$H113&gt;0,OR(AUTOEVENTO&lt;&gt;"manual",$M113&lt;&gt;$A$15)),
        IF(Import.TipoArredondamento&lt;&gt;"TransfereGOV",
              ROUND(OFFSET($P113,0,BG$13),15-13*ORÇAMENTO!$AF$7)/$H113*OFFSET(ORÇAMENTO!$X$15,ROW(BG113)-ROW(BG$15),0),
              ROUND(ROUND(OFFSET($P113,0,BG$13),15-13*ORÇAMENTO!$AF$7)*OFFSET(ORÇAMENTO!$W$15,ROW(BG113)-ROW(BG$15),0),15-13*ORÇAMENTO!$AF$11)),
         0)</f>
        <v>0</v>
      </c>
      <c r="BH113" s="453">
        <f ca="1">IF(AND($D113="Serviço",BH$12&lt;&gt;0,$H113&gt;0,OR(AUTOEVENTO&lt;&gt;"manual",$M113&lt;&gt;$A$15)),
        IF(Import.TipoArredondamento&lt;&gt;"TransfereGOV",
              ROUND(OFFSET($P113,0,BH$13),15-13*ORÇAMENTO!$AF$7)/$H113*OFFSET(ORÇAMENTO!$X$15,ROW(BH113)-ROW(BH$15),0),
              ROUND(ROUND(OFFSET($P113,0,BH$13),15-13*ORÇAMENTO!$AF$7)*OFFSET(ORÇAMENTO!$W$15,ROW(BH113)-ROW(BH$15),0),15-13*ORÇAMENTO!$AF$11)),
         0)</f>
        <v>0</v>
      </c>
      <c r="BI113" s="453">
        <f ca="1">IF(AND($D113="Serviço",BI$12&lt;&gt;0,$H113&gt;0,OR(AUTOEVENTO&lt;&gt;"manual",$M113&lt;&gt;$A$15)),
        IF(Import.TipoArredondamento&lt;&gt;"TransfereGOV",
              ROUND(OFFSET($P113,0,BI$13),15-13*ORÇAMENTO!$AF$7)/$H113*OFFSET(ORÇAMENTO!$X$15,ROW(BI113)-ROW(BI$15),0),
              ROUND(ROUND(OFFSET($P113,0,BI$13),15-13*ORÇAMENTO!$AF$7)*OFFSET(ORÇAMENTO!$W$15,ROW(BI113)-ROW(BI$15),0),15-13*ORÇAMENTO!$AF$11)),
         0)</f>
        <v>0</v>
      </c>
      <c r="BJ113" s="453">
        <f ca="1">IF(AND($D113="Serviço",BJ$12&lt;&gt;0,$H113&gt;0,OR(AUTOEVENTO&lt;&gt;"manual",$M113&lt;&gt;$A$15)),
        IF(Import.TipoArredondamento&lt;&gt;"TransfereGOV",
              ROUND(OFFSET($P113,0,BJ$13),15-13*ORÇAMENTO!$AF$7)/$H113*OFFSET(ORÇAMENTO!$X$15,ROW(BJ113)-ROW(BJ$15),0),
              ROUND(ROUND(OFFSET($P113,0,BJ$13),15-13*ORÇAMENTO!$AF$7)*OFFSET(ORÇAMENTO!$W$15,ROW(BJ113)-ROW(BJ$15),0),15-13*ORÇAMENTO!$AF$11)),
         0)</f>
        <v>0</v>
      </c>
      <c r="BK113" s="453">
        <f ca="1">IF(AND($D113="Serviço",BK$12&lt;&gt;0,$H113&gt;0,OR(AUTOEVENTO&lt;&gt;"manual",$M113&lt;&gt;$A$15)),
        IF(Import.TipoArredondamento&lt;&gt;"TransfereGOV",
              ROUND(OFFSET($P113,0,BK$13),15-13*ORÇAMENTO!$AF$7)/$H113*OFFSET(ORÇAMENTO!$X$15,ROW(BK113)-ROW(BK$15),0),
              ROUND(ROUND(OFFSET($P113,0,BK$13),15-13*ORÇAMENTO!$AF$7)*OFFSET(ORÇAMENTO!$W$15,ROW(BK113)-ROW(BK$15),0),15-13*ORÇAMENTO!$AF$11)),
         0)</f>
        <v>0</v>
      </c>
      <c r="BL113" s="453">
        <f ca="1">IF(AND($D113="Serviço",BL$12&lt;&gt;0,$H113&gt;0,OR(AUTOEVENTO&lt;&gt;"manual",$M113&lt;&gt;$A$15)),
        IF(Import.TipoArredondamento&lt;&gt;"TransfereGOV",
              ROUND(OFFSET($P113,0,BL$13),15-13*ORÇAMENTO!$AF$7)/$H113*OFFSET(ORÇAMENTO!$X$15,ROW(BL113)-ROW(BL$15),0),
              ROUND(ROUND(OFFSET($P113,0,BL$13),15-13*ORÇAMENTO!$AF$7)*OFFSET(ORÇAMENTO!$W$15,ROW(BL113)-ROW(BL$15),0),15-13*ORÇAMENTO!$AF$11)),
         0)</f>
        <v>0</v>
      </c>
      <c r="BM113" s="453">
        <f ca="1">IF(AND($D113="Serviço",BM$12&lt;&gt;0,$H113&gt;0,OR(AUTOEVENTO&lt;&gt;"manual",$M113&lt;&gt;$A$15)),
        IF(Import.TipoArredondamento&lt;&gt;"TransfereGOV",
              ROUND(OFFSET($P113,0,BM$13),15-13*ORÇAMENTO!$AF$7)/$H113*OFFSET(ORÇAMENTO!$X$15,ROW(BM113)-ROW(BM$15),0),
              ROUND(ROUND(OFFSET($P113,0,BM$13),15-13*ORÇAMENTO!$AF$7)*OFFSET(ORÇAMENTO!$W$15,ROW(BM113)-ROW(BM$15),0),15-13*ORÇAMENTO!$AF$11)),
         0)</f>
        <v>0</v>
      </c>
      <c r="BN113" s="453">
        <f ca="1">IF(AND($D113="Serviço",BN$12&lt;&gt;0,$H113&gt;0,OR(AUTOEVENTO&lt;&gt;"manual",$M113&lt;&gt;$A$15)),
        IF(Import.TipoArredondamento&lt;&gt;"TransfereGOV",
              ROUND(OFFSET($P113,0,BN$13),15-13*ORÇAMENTO!$AF$7)/$H113*OFFSET(ORÇAMENTO!$X$15,ROW(BN113)-ROW(BN$15),0),
              ROUND(ROUND(OFFSET($P113,0,BN$13),15-13*ORÇAMENTO!$AF$7)*OFFSET(ORÇAMENTO!$W$15,ROW(BN113)-ROW(BN$15),0),15-13*ORÇAMENTO!$AF$11)),
         0)</f>
        <v>0</v>
      </c>
      <c r="BO113" s="453">
        <f ca="1">IF(AND($D113="Serviço",BO$12&lt;&gt;0,$H113&gt;0,OR(AUTOEVENTO&lt;&gt;"manual",$M113&lt;&gt;$A$15)),
        IF(Import.TipoArredondamento&lt;&gt;"TransfereGOV",
              ROUND(OFFSET($P113,0,BO$13),15-13*ORÇAMENTO!$AF$7)/$H113*OFFSET(ORÇAMENTO!$X$15,ROW(BO113)-ROW(BO$15),0),
              ROUND(ROUND(OFFSET($P113,0,BO$13),15-13*ORÇAMENTO!$AF$7)*OFFSET(ORÇAMENTO!$W$15,ROW(BO113)-ROW(BO$15),0),15-13*ORÇAMENTO!$AF$11)),
         0)</f>
        <v>0</v>
      </c>
      <c r="BP113" s="453">
        <f ca="1">IF(AND($D113="Serviço",BP$12&lt;&gt;0,$H113&gt;0,OR(AUTOEVENTO&lt;&gt;"manual",$M113&lt;&gt;$A$15)),
        IF(Import.TipoArredondamento&lt;&gt;"TransfereGOV",
              ROUND(OFFSET($P113,0,BP$13),15-13*ORÇAMENTO!$AF$7)/$H113*OFFSET(ORÇAMENTO!$X$15,ROW(BP113)-ROW(BP$15),0),
              ROUND(ROUND(OFFSET($P113,0,BP$13),15-13*ORÇAMENTO!$AF$7)*OFFSET(ORÇAMENTO!$W$15,ROW(BP113)-ROW(BP$15),0),15-13*ORÇAMENTO!$AF$11)),
         0)</f>
        <v>0</v>
      </c>
      <c r="BQ113" s="453">
        <f ca="1">IF(AND($D113="Serviço",BQ$12&lt;&gt;0,$H113&gt;0,OR(AUTOEVENTO&lt;&gt;"manual",$M113&lt;&gt;$A$15)),
        IF(Import.TipoArredondamento&lt;&gt;"TransfereGOV",
              ROUND(OFFSET($P113,0,BQ$13),15-13*ORÇAMENTO!$AF$7)/$H113*OFFSET(ORÇAMENTO!$X$15,ROW(BQ113)-ROW(BQ$15),0),
              ROUND(ROUND(OFFSET($P113,0,BQ$13),15-13*ORÇAMENTO!$AF$7)*OFFSET(ORÇAMENTO!$W$15,ROW(BQ113)-ROW(BQ$15),0),15-13*ORÇAMENTO!$AF$11)),
         0)</f>
        <v>0</v>
      </c>
      <c r="BS113" s="171">
        <f ca="1">IF(OR($D113&lt;&gt;"Serviço",AND(AUTOEVENTO="Manual",$M113=$A$15)),0,
         IF(OFFSET(CRONOPLE!$F$15,$M113-$A$15,BS$13)=0,10^12,OFFSET(CRONOPLE!$F$15,$M113-$A$15,BS$13)))</f>
        <v>1</v>
      </c>
      <c r="BT113" s="171">
        <f ca="1">IF(OR($D113&lt;&gt;"Serviço",AND(AUTOEVENTO="Manual",$M113=$A$15)),0,
         IF(OFFSET(CRONOPLE!$F$15,$M113-$A$15,BT$13)=0,10^12,OFFSET(CRONOPLE!$F$15,$M113-$A$15,BT$13)))</f>
        <v>2</v>
      </c>
      <c r="BU113" s="171">
        <f ca="1">IF(OR($D113&lt;&gt;"Serviço",AND(AUTOEVENTO="Manual",$M113=$A$15)),0,
         IF(OFFSET(CRONOPLE!$F$15,$M113-$A$15,BU$13)=0,10^12,OFFSET(CRONOPLE!$F$15,$M113-$A$15,BU$13)))</f>
        <v>3</v>
      </c>
      <c r="BV113" s="171">
        <f ca="1">IF(OR($D113&lt;&gt;"Serviço",AND(AUTOEVENTO="Manual",$M113=$A$15)),0,
         IF(OFFSET(CRONOPLE!$F$15,$M113-$A$15,BV$13)=0,10^12,OFFSET(CRONOPLE!$F$15,$M113-$A$15,BV$13)))</f>
        <v>4</v>
      </c>
      <c r="BW113" s="171">
        <f ca="1">IF(OR($D113&lt;&gt;"Serviço",AND(AUTOEVENTO="Manual",$M113=$A$15)),0,
         IF(OFFSET(CRONOPLE!$F$15,$M113-$A$15,BW$13)=0,10^12,OFFSET(CRONOPLE!$F$15,$M113-$A$15,BW$13)))</f>
        <v>5</v>
      </c>
      <c r="BX113" s="171">
        <f ca="1">IF(OR($D113&lt;&gt;"Serviço",AND(AUTOEVENTO="Manual",$M113=$A$15)),0,
         IF(OFFSET(CRONOPLE!$F$15,$M113-$A$15,BX$13)=0,10^12,OFFSET(CRONOPLE!$F$15,$M113-$A$15,BX$13)))</f>
        <v>6</v>
      </c>
      <c r="BY113" s="171">
        <f ca="1">IF(OR($D113&lt;&gt;"Serviço",AND(AUTOEVENTO="Manual",$M113=$A$15)),0,
         IF(OFFSET(CRONOPLE!$F$15,$M113-$A$15,BY$13)=0,10^12,OFFSET(CRONOPLE!$F$15,$M113-$A$15,BY$13)))</f>
        <v>7</v>
      </c>
      <c r="BZ113" s="171">
        <f ca="1">IF(OR($D113&lt;&gt;"Serviço",AND(AUTOEVENTO="Manual",$M113=$A$15)),0,
         IF(OFFSET(CRONOPLE!$F$15,$M113-$A$15,BZ$13)=0,10^12,OFFSET(CRONOPLE!$F$15,$M113-$A$15,BZ$13)))</f>
        <v>8</v>
      </c>
      <c r="CA113" s="171">
        <f ca="1">IF(OR($D113&lt;&gt;"Serviço",AND(AUTOEVENTO="Manual",$M113=$A$15)),0,
         IF(OFFSET(CRONOPLE!$F$15,$M113-$A$15,CA$13)=0,10^12,OFFSET(CRONOPLE!$F$15,$M113-$A$15,CA$13)))</f>
        <v>9</v>
      </c>
      <c r="CB113" s="171">
        <f ca="1">IF(OR($D113&lt;&gt;"Serviço",AND(AUTOEVENTO="Manual",$M113=$A$15)),0,
         IF(OFFSET(CRONOPLE!$F$15,$M113-$A$15,CB$13)=0,10^12,OFFSET(CRONOPLE!$F$15,$M113-$A$15,CB$13)))</f>
        <v>10</v>
      </c>
      <c r="CC113" s="171">
        <f ca="1">IF(OR($D113&lt;&gt;"Serviço",AND(AUTOEVENTO="Manual",$M113=$A$15)),0,
         IF(OFFSET(CRONOPLE!$F$15,$M113-$A$15,CC$13)=0,10^12,OFFSET(CRONOPLE!$F$15,$M113-$A$15,CC$13)))</f>
        <v>11</v>
      </c>
      <c r="CD113" s="171">
        <f ca="1">IF(OR($D113&lt;&gt;"Serviço",AND(AUTOEVENTO="Manual",$M113=$A$15)),0,
         IF(OFFSET(CRONOPLE!$F$15,$M113-$A$15,CD$13)=0,10^12,OFFSET(CRONOPLE!$F$15,$M113-$A$15,CD$13)))</f>
        <v>12</v>
      </c>
      <c r="CE113" s="171">
        <f ca="1">IF(OR($D113&lt;&gt;"Serviço",AND(AUTOEVENTO="Manual",$M113=$A$15)),0,
         IF(OFFSET(CRONOPLE!$F$15,$M113-$A$15,CE$13)=0,10^12,OFFSET(CRONOPLE!$F$15,$M113-$A$15,CE$13)))</f>
        <v>13</v>
      </c>
      <c r="CF113" s="171">
        <f ca="1">IF(OR($D113&lt;&gt;"Serviço",AND(AUTOEVENTO="Manual",$M113=$A$15)),0,
         IF(OFFSET(CRONOPLE!$F$15,$M113-$A$15,CF$13)=0,10^12,OFFSET(CRONOPLE!$F$15,$M113-$A$15,CF$13)))</f>
        <v>14</v>
      </c>
      <c r="CG113" s="171">
        <f ca="1">IF(OR($D113&lt;&gt;"Serviço",AND(AUTOEVENTO="Manual",$M113=$A$15)),0,
         IF(OFFSET(CRONOPLE!$F$15,$M113-$A$15,CG$13)=0,10^12,OFFSET(CRONOPLE!$F$15,$M113-$A$15,CG$13)))</f>
        <v>15</v>
      </c>
      <c r="CH113" s="171">
        <f ca="1">IF(OR($D113&lt;&gt;"Serviço",AND(AUTOEVENTO="Manual",$M113=$A$15)),0,
         IF(OFFSET(CRONOPLE!$F$15,$M113-$A$15,CH$13)=0,10^12,OFFSET(CRONOPLE!$F$15,$M113-$A$15,CH$13)))</f>
        <v>16</v>
      </c>
      <c r="CI113" s="171">
        <f ca="1">IF(OR($D113&lt;&gt;"Serviço",AND(AUTOEVENTO="Manual",$M113=$A$15)),0,
         IF(OFFSET(CRONOPLE!$F$15,$M113-$A$15,CI$13)=0,10^12,OFFSET(CRONOPLE!$F$15,$M113-$A$15,CI$13)))</f>
        <v>17</v>
      </c>
      <c r="CJ113" s="171">
        <f ca="1">IF(OR($D113&lt;&gt;"Serviço",AND(AUTOEVENTO="Manual",$M113=$A$15)),0,
         IF(OFFSET(CRONOPLE!$F$15,$M113-$A$15,CJ$13)=0,10^12,OFFSET(CRONOPLE!$F$15,$M113-$A$15,CJ$13)))</f>
        <v>18</v>
      </c>
      <c r="CK113" s="171">
        <f ca="1">IF(OR($D113&lt;&gt;"Serviço",AND(AUTOEVENTO="Manual",$M113=$A$15)),0,
         IF(OFFSET(CRONOPLE!$F$15,$M113-$A$15,CK$13)=0,10^12,OFFSET(CRONOPLE!$F$15,$M113-$A$15,CK$13)))</f>
        <v>19</v>
      </c>
      <c r="CL113" s="171">
        <f ca="1">IF(OR($D113&lt;&gt;"Serviço",AND(AUTOEVENTO="Manual",$M113=$A$15)),0,
         IF(OFFSET(CRONOPLE!$F$15,$M113-$A$15,CL$13)=0,10^12,OFFSET(CRONOPLE!$F$15,$M113-$A$15,CL$13)))</f>
        <v>20</v>
      </c>
      <c r="CM113" s="171">
        <f ca="1">IF(OR($D113&lt;&gt;"Serviço",AND(AUTOEVENTO="Manual",$M113=$A$15)),0,
         IF(OFFSET(CRONOPLE!$F$15,$M113-$A$15,CM$13)=0,10^12,OFFSET(CRONOPLE!$F$15,$M113-$A$15,CM$13)))</f>
        <v>1000000000000</v>
      </c>
      <c r="CN113" s="171">
        <f ca="1">IF(OR($D113&lt;&gt;"Serviço",AND(AUTOEVENTO="Manual",$M113=$A$15)),0,
         IF(OFFSET(CRONOPLE!$F$15,$M113-$A$15,CN$13)=0,10^12,OFFSET(CRONOPLE!$F$15,$M113-$A$15,CN$13)))</f>
        <v>1000000000000</v>
      </c>
      <c r="CO113" s="171">
        <f ca="1">IF(OR($D113&lt;&gt;"Serviço",AND(AUTOEVENTO="Manual",$M113=$A$15)),0,
         IF(OFFSET(CRONOPLE!$F$15,$M113-$A$15,CO$13)=0,10^12,OFFSET(CRONOPLE!$F$15,$M113-$A$15,CO$13)))</f>
        <v>1000000000000</v>
      </c>
      <c r="CP113" s="171">
        <f ca="1">IF(OR($D113&lt;&gt;"Serviço",AND(AUTOEVENTO="Manual",$M113=$A$15)),0,
         IF(OFFSET(CRONOPLE!$F$15,$M113-$A$15,CP$13)=0,10^12,OFFSET(CRONOPLE!$F$15,$M113-$A$15,CP$13)))</f>
        <v>1000000000000</v>
      </c>
      <c r="CQ113" s="171">
        <f ca="1">IF(OR($D113&lt;&gt;"Serviço",AND(AUTOEVENTO="Manual",$M113=$A$15)),0,
         IF(OFFSET(CRONOPLE!$F$15,$M113-$A$15,CQ$13)=0,10^12,OFFSET(CRONOPLE!$F$15,$M113-$A$15,CQ$13)))</f>
        <v>1000000000000</v>
      </c>
      <c r="CR113" s="171">
        <f ca="1">IF(OR($D113&lt;&gt;"Serviço",AND(AUTOEVENTO="Manual",$M113=$A$15)),0,
         IF(OFFSET(CRONOPLE!$F$15,$M113-$A$15,CR$13)=0,10^12,OFFSET(CRONOPLE!$F$15,$M113-$A$15,CR$13)))</f>
        <v>1000000000000</v>
      </c>
      <c r="CT113" s="172" cm="1">
        <f t="array" aca="1" ref="CT113" ca="1">IF(OR($D113&lt;&gt;"Serviço",AND(AUTOEVENTO="Manual",$M113=$A$15),$M113&gt;(ROW(PLE.lastrow)-ROW(PLE.firstrow))),0,
           IF(OFFSET(PLE!$G$15,$M113-$A$15,CT$13)="",10^12,OFFSET(PLE!$G$15,$M113-$A$15,CT$13)))</f>
        <v>1000000000000</v>
      </c>
      <c r="CU113" s="172" cm="1">
        <f t="array" aca="1" ref="CU113" ca="1">IF(OR($D113&lt;&gt;"Serviço",AND(AUTOEVENTO="Manual",$M113=$A$15),$M113&gt;(ROW(PLE.lastrow)-ROW(PLE.firstrow))),0,
           IF(OFFSET(PLE!$G$15,$M113-$A$15,CU$13)="",10^12,OFFSET(PLE!$G$15,$M113-$A$15,CU$13)))</f>
        <v>1000000000000</v>
      </c>
      <c r="CV113" s="172" cm="1">
        <f t="array" aca="1" ref="CV113" ca="1">IF(OR($D113&lt;&gt;"Serviço",AND(AUTOEVENTO="Manual",$M113=$A$15),$M113&gt;(ROW(PLE.lastrow)-ROW(PLE.firstrow))),0,
           IF(OFFSET(PLE!$G$15,$M113-$A$15,CV$13)="",10^12,OFFSET(PLE!$G$15,$M113-$A$15,CV$13)))</f>
        <v>1000000000000</v>
      </c>
      <c r="CW113" s="172" cm="1">
        <f t="array" aca="1" ref="CW113" ca="1">IF(OR($D113&lt;&gt;"Serviço",AND(AUTOEVENTO="Manual",$M113=$A$15),$M113&gt;(ROW(PLE.lastrow)-ROW(PLE.firstrow))),0,
           IF(OFFSET(PLE!$G$15,$M113-$A$15,CW$13)="",10^12,OFFSET(PLE!$G$15,$M113-$A$15,CW$13)))</f>
        <v>1000000000000</v>
      </c>
      <c r="CX113" s="172" cm="1">
        <f t="array" aca="1" ref="CX113" ca="1">IF(OR($D113&lt;&gt;"Serviço",AND(AUTOEVENTO="Manual",$M113=$A$15),$M113&gt;(ROW(PLE.lastrow)-ROW(PLE.firstrow))),0,
           IF(OFFSET(PLE!$G$15,$M113-$A$15,CX$13)="",10^12,OFFSET(PLE!$G$15,$M113-$A$15,CX$13)))</f>
        <v>1000000000000</v>
      </c>
      <c r="CY113" s="172" cm="1">
        <f t="array" aca="1" ref="CY113" ca="1">IF(OR($D113&lt;&gt;"Serviço",AND(AUTOEVENTO="Manual",$M113=$A$15),$M113&gt;(ROW(PLE.lastrow)-ROW(PLE.firstrow))),0,
           IF(OFFSET(PLE!$G$15,$M113-$A$15,CY$13)="",10^12,OFFSET(PLE!$G$15,$M113-$A$15,CY$13)))</f>
        <v>1000000000000</v>
      </c>
      <c r="CZ113" s="172" cm="1">
        <f t="array" aca="1" ref="CZ113" ca="1">IF(OR($D113&lt;&gt;"Serviço",AND(AUTOEVENTO="Manual",$M113=$A$15),$M113&gt;(ROW(PLE.lastrow)-ROW(PLE.firstrow))),0,
           IF(OFFSET(PLE!$G$15,$M113-$A$15,CZ$13)="",10^12,OFFSET(PLE!$G$15,$M113-$A$15,CZ$13)))</f>
        <v>1000000000000</v>
      </c>
      <c r="DA113" s="172" cm="1">
        <f t="array" aca="1" ref="DA113" ca="1">IF(OR($D113&lt;&gt;"Serviço",AND(AUTOEVENTO="Manual",$M113=$A$15),$M113&gt;(ROW(PLE.lastrow)-ROW(PLE.firstrow))),0,
           IF(OFFSET(PLE!$G$15,$M113-$A$15,DA$13)="",10^12,OFFSET(PLE!$G$15,$M113-$A$15,DA$13)))</f>
        <v>1000000000000</v>
      </c>
      <c r="DB113" s="172" cm="1">
        <f t="array" aca="1" ref="DB113" ca="1">IF(OR($D113&lt;&gt;"Serviço",AND(AUTOEVENTO="Manual",$M113=$A$15),$M113&gt;(ROW(PLE.lastrow)-ROW(PLE.firstrow))),0,
           IF(OFFSET(PLE!$G$15,$M113-$A$15,DB$13)="",10^12,OFFSET(PLE!$G$15,$M113-$A$15,DB$13)))</f>
        <v>1000000000000</v>
      </c>
      <c r="DC113" s="172" cm="1">
        <f t="array" aca="1" ref="DC113" ca="1">IF(OR($D113&lt;&gt;"Serviço",AND(AUTOEVENTO="Manual",$M113=$A$15),$M113&gt;(ROW(PLE.lastrow)-ROW(PLE.firstrow))),0,
           IF(OFFSET(PLE!$G$15,$M113-$A$15,DC$13)="",10^12,OFFSET(PLE!$G$15,$M113-$A$15,DC$13)))</f>
        <v>1000000000000</v>
      </c>
      <c r="DD113" s="172" cm="1">
        <f t="array" aca="1" ref="DD113" ca="1">IF(OR($D113&lt;&gt;"Serviço",AND(AUTOEVENTO="Manual",$M113=$A$15),$M113&gt;(ROW(PLE.lastrow)-ROW(PLE.firstrow))),0,
           IF(OFFSET(PLE!$G$15,$M113-$A$15,DD$13)="",10^12,OFFSET(PLE!$G$15,$M113-$A$15,DD$13)))</f>
        <v>1000000000000</v>
      </c>
      <c r="DE113" s="172" cm="1">
        <f t="array" aca="1" ref="DE113" ca="1">IF(OR($D113&lt;&gt;"Serviço",AND(AUTOEVENTO="Manual",$M113=$A$15),$M113&gt;(ROW(PLE.lastrow)-ROW(PLE.firstrow))),0,
           IF(OFFSET(PLE!$G$15,$M113-$A$15,DE$13)="",10^12,OFFSET(PLE!$G$15,$M113-$A$15,DE$13)))</f>
        <v>1000000000000</v>
      </c>
      <c r="DF113" s="172" cm="1">
        <f t="array" aca="1" ref="DF113" ca="1">IF(OR($D113&lt;&gt;"Serviço",AND(AUTOEVENTO="Manual",$M113=$A$15),$M113&gt;(ROW(PLE.lastrow)-ROW(PLE.firstrow))),0,
           IF(OFFSET(PLE!$G$15,$M113-$A$15,DF$13)="",10^12,OFFSET(PLE!$G$15,$M113-$A$15,DF$13)))</f>
        <v>1000000000000</v>
      </c>
      <c r="DG113" s="172" cm="1">
        <f t="array" aca="1" ref="DG113" ca="1">IF(OR($D113&lt;&gt;"Serviço",AND(AUTOEVENTO="Manual",$M113=$A$15),$M113&gt;(ROW(PLE.lastrow)-ROW(PLE.firstrow))),0,
           IF(OFFSET(PLE!$G$15,$M113-$A$15,DG$13)="",10^12,OFFSET(PLE!$G$15,$M113-$A$15,DG$13)))</f>
        <v>1000000000000</v>
      </c>
      <c r="DH113" s="172" cm="1">
        <f t="array" aca="1" ref="DH113" ca="1">IF(OR($D113&lt;&gt;"Serviço",AND(AUTOEVENTO="Manual",$M113=$A$15),$M113&gt;(ROW(PLE.lastrow)-ROW(PLE.firstrow))),0,
           IF(OFFSET(PLE!$G$15,$M113-$A$15,DH$13)="",10^12,OFFSET(PLE!$G$15,$M113-$A$15,DH$13)))</f>
        <v>1000000000000</v>
      </c>
      <c r="DI113" s="172" cm="1">
        <f t="array" aca="1" ref="DI113" ca="1">IF(OR($D113&lt;&gt;"Serviço",AND(AUTOEVENTO="Manual",$M113=$A$15),$M113&gt;(ROW(PLE.lastrow)-ROW(PLE.firstrow))),0,
           IF(OFFSET(PLE!$G$15,$M113-$A$15,DI$13)="",10^12,OFFSET(PLE!$G$15,$M113-$A$15,DI$13)))</f>
        <v>1000000000000</v>
      </c>
      <c r="DJ113" s="172" cm="1">
        <f t="array" aca="1" ref="DJ113" ca="1">IF(OR($D113&lt;&gt;"Serviço",AND(AUTOEVENTO="Manual",$M113=$A$15),$M113&gt;(ROW(PLE.lastrow)-ROW(PLE.firstrow))),0,
           IF(OFFSET(PLE!$G$15,$M113-$A$15,DJ$13)="",10^12,OFFSET(PLE!$G$15,$M113-$A$15,DJ$13)))</f>
        <v>1000000000000</v>
      </c>
      <c r="DK113" s="172" cm="1">
        <f t="array" aca="1" ref="DK113" ca="1">IF(OR($D113&lt;&gt;"Serviço",AND(AUTOEVENTO="Manual",$M113=$A$15),$M113&gt;(ROW(PLE.lastrow)-ROW(PLE.firstrow))),0,
           IF(OFFSET(PLE!$G$15,$M113-$A$15,DK$13)="",10^12,OFFSET(PLE!$G$15,$M113-$A$15,DK$13)))</f>
        <v>1000000000000</v>
      </c>
      <c r="DL113" s="172" cm="1">
        <f t="array" aca="1" ref="DL113" ca="1">IF(OR($D113&lt;&gt;"Serviço",AND(AUTOEVENTO="Manual",$M113=$A$15),$M113&gt;(ROW(PLE.lastrow)-ROW(PLE.firstrow))),0,
           IF(OFFSET(PLE!$G$15,$M113-$A$15,DL$13)="",10^12,OFFSET(PLE!$G$15,$M113-$A$15,DL$13)))</f>
        <v>1000000000000</v>
      </c>
      <c r="DM113" s="172" cm="1">
        <f t="array" aca="1" ref="DM113" ca="1">IF(OR($D113&lt;&gt;"Serviço",AND(AUTOEVENTO="Manual",$M113=$A$15),$M113&gt;(ROW(PLE.lastrow)-ROW(PLE.firstrow))),0,
           IF(OFFSET(PLE!$G$15,$M113-$A$15,DM$13)="",10^12,OFFSET(PLE!$G$15,$M113-$A$15,DM$13)))</f>
        <v>1000000000000</v>
      </c>
      <c r="DN113" s="172" cm="1">
        <f t="array" aca="1" ref="DN113" ca="1">IF(OR($D113&lt;&gt;"Serviço",AND(AUTOEVENTO="Manual",$M113=$A$15),$M113&gt;(ROW(PLE.lastrow)-ROW(PLE.firstrow))),0,
           IF(OFFSET(PLE!$G$15,$M113-$A$15,DN$13)="",10^12,OFFSET(PLE!$G$15,$M113-$A$15,DN$13)))</f>
        <v>1000000000000</v>
      </c>
      <c r="DO113" s="172" cm="1">
        <f t="array" aca="1" ref="DO113" ca="1">IF(OR($D113&lt;&gt;"Serviço",AND(AUTOEVENTO="Manual",$M113=$A$15),$M113&gt;(ROW(PLE.lastrow)-ROW(PLE.firstrow))),0,
           IF(OFFSET(PLE!$G$15,$M113-$A$15,DO$13)="",10^12,OFFSET(PLE!$G$15,$M113-$A$15,DO$13)))</f>
        <v>1000000000000</v>
      </c>
      <c r="DP113" s="172" cm="1">
        <f t="array" aca="1" ref="DP113" ca="1">IF(OR($D113&lt;&gt;"Serviço",AND(AUTOEVENTO="Manual",$M113=$A$15),$M113&gt;(ROW(PLE.lastrow)-ROW(PLE.firstrow))),0,
           IF(OFFSET(PLE!$G$15,$M113-$A$15,DP$13)="",10^12,OFFSET(PLE!$G$15,$M113-$A$15,DP$13)))</f>
        <v>1000000000000</v>
      </c>
      <c r="DQ113" s="172" cm="1">
        <f t="array" aca="1" ref="DQ113" ca="1">IF(OR($D113&lt;&gt;"Serviço",AND(AUTOEVENTO="Manual",$M113=$A$15),$M113&gt;(ROW(PLE.lastrow)-ROW(PLE.firstrow))),0,
           IF(OFFSET(PLE!$G$15,$M113-$A$15,DQ$13)="",10^12,OFFSET(PLE!$G$15,$M113-$A$15,DQ$13)))</f>
        <v>1000000000000</v>
      </c>
      <c r="DR113" s="172" cm="1">
        <f t="array" aca="1" ref="DR113" ca="1">IF(OR($D113&lt;&gt;"Serviço",AND(AUTOEVENTO="Manual",$M113=$A$15),$M113&gt;(ROW(PLE.lastrow)-ROW(PLE.firstrow))),0,
           IF(OFFSET(PLE!$G$15,$M113-$A$15,DR$13)="",10^12,OFFSET(PLE!$G$15,$M113-$A$15,DR$13)))</f>
        <v>1000000000000</v>
      </c>
      <c r="DS113" s="172" cm="1">
        <f t="array" aca="1" ref="DS113" ca="1">IF(OR($D113&lt;&gt;"Serviço",AND(AUTOEVENTO="Manual",$M113=$A$15),$M113&gt;(ROW(PLE.lastrow)-ROW(PLE.firstrow))),0,
           IF(OFFSET(PLE!$G$15,$M113-$A$15,DS$13)="",10^12,OFFSET(PLE!$G$15,$M113-$A$15,DS$13)))</f>
        <v>1000000000000</v>
      </c>
    </row>
    <row r="114" spans="1:123" ht="12.75" x14ac:dyDescent="0.2">
      <c r="A114" s="7">
        <f t="shared" ca="1" si="13"/>
        <v>0</v>
      </c>
      <c r="B114" s="7">
        <f ca="1">OFFSET(ORÇAMENTO!C$15,$L114,0)</f>
        <v>1</v>
      </c>
      <c r="C114" s="7" t="str">
        <f ca="1">OFFSET(ORÇAMENTO!L$15,$L114,0)</f>
        <v>F</v>
      </c>
      <c r="D114" s="116" t="str">
        <f ca="1">OFFSET(ORÇAMENTO!N$15,$L114,0)</f>
        <v>Meta</v>
      </c>
      <c r="E114" s="117" t="str">
        <f ca="1">OFFSET(ORÇAMENTO!O$15,$L114,0)</f>
        <v>8.</v>
      </c>
      <c r="F114" s="163" t="str">
        <f ca="1">OFFSET(ORÇAMENTO!R$15,$L114,0)</f>
        <v>PAVIMENTAÇÕES</v>
      </c>
      <c r="G114" s="164" t="str">
        <f ca="1">IF($D114&lt;&gt;"Serviço","",OFFSET(ORÇAMENTO!S$15,$L114,0))</f>
        <v/>
      </c>
      <c r="H114" s="122" cm="1">
        <f t="array" aca="1" ref="H114" ca="1">IF($D114&lt;&gt;"Serviço",0,IF(ACOMPANHAMENTO="BM",ROUND(OFFSET(ORÇAMENTO!AJ$15,$L114,0),15-13*ORÇAMENTO!$AF$7),IF(IFERROR(CÁLCULO.FrentesPreenchidas,0)=0,0,SUM(ROUND(OFFSET($P114,0,1,1,CÁLCULO.FrentesPreenchidas),15-13*ORÇAMENTO!$AF$7)))))</f>
        <v>0</v>
      </c>
      <c r="I114" s="468"/>
      <c r="J114" s="651" t="str" cm="1">
        <f t="array" aca="1" ref="J114" ca="1">IF(OR(B114&lt;&gt;"S",CÁLCULO.FrentesPreenchidas=0),"",IF(AND(ACOMPANHAMENTO="PLE",AUTOEVENTO="Manual",OR(H114&gt;0,ORÇAMENTO!AC114="QUANT."),OR(K114="",M114=0,N114="")),"►E",IF(AND(ACOMPANHAMENTO="PLE",ORÇAMENTO!AC114="QUANT."),"►Q",IF(AND(ACOMPANHAMENTO="PLE",H114&lt;&gt;SUMPRODUCT(($Q$1:$AQ$1=1)*ROUND(Q114:AQ114,15))),"►S",IF(AND(COUNTIF($P$11:$AQ$11,"▼")=0,H114&gt;0,I114=""),"◄M","")))))</f>
        <v/>
      </c>
      <c r="K114" s="652"/>
      <c r="L114" s="165">
        <f t="shared" ca="1" si="14"/>
        <v>99</v>
      </c>
      <c r="M114" s="166" t="str">
        <f ca="1">IF($D114&lt;&gt;"Serviço","",
          IF(AUTOEVENTO="manual",$A114,
                IF(ISERROR(MATCH($A114,$A$15:OFFSET($A114,-1,0),0)),MAX($M$15:OFFSET(M114,-1,0))+1,
                      INDEX($M$15:OFFSET(M114,-1,0),MATCH($A114,$A$15:OFFSET($A114,-1,0),0)))))</f>
        <v/>
      </c>
      <c r="N114" s="167" t="str">
        <f ca="1">IF($D114&lt;&gt;"Serviço","",
         IF(AUTOEVENTO="Manual",
                IF($A114=0,"&lt;-- defina o número do agrupador",
                       OFFSET(EVENTOS!$D$15,$A114-$A$15,0)),
                OFFSET($F$15,$A114,0)))</f>
        <v/>
      </c>
      <c r="O114" s="168"/>
      <c r="Q114" s="168"/>
      <c r="R114" s="169"/>
      <c r="S114" s="169"/>
      <c r="T114" s="169"/>
      <c r="U114" s="169"/>
      <c r="V114" s="169"/>
      <c r="W114" s="169"/>
      <c r="X114" s="169"/>
      <c r="Y114" s="169"/>
      <c r="Z114" s="170"/>
      <c r="AA114" s="169"/>
      <c r="AB114" s="169"/>
      <c r="AC114" s="169"/>
      <c r="AD114" s="169"/>
      <c r="AE114" s="169"/>
      <c r="AF114" s="169"/>
      <c r="AG114" s="169"/>
      <c r="AH114" s="170"/>
      <c r="AI114" s="169"/>
      <c r="AJ114" s="169"/>
      <c r="AK114" s="169"/>
      <c r="AL114" s="169"/>
      <c r="AM114" s="169"/>
      <c r="AN114" s="169"/>
      <c r="AO114" s="169"/>
      <c r="AP114" s="170"/>
      <c r="AR114" s="453">
        <f ca="1">IF(AND($D114="Serviço",AR$12&lt;&gt;0,$H114&gt;0,OR(AUTOEVENTO&lt;&gt;"manual",$M114&lt;&gt;$A$15)),
        IF(Import.TipoArredondamento&lt;&gt;"TransfereGOV",
              ROUND(OFFSET($P114,0,AR$13),15-13*ORÇAMENTO!$AF$7)/$H114*OFFSET(ORÇAMENTO!$X$15,ROW(AR114)-ROW(AR$15),0),
              ROUND(ROUND(OFFSET($P114,0,AR$13),15-13*ORÇAMENTO!$AF$7)*OFFSET(ORÇAMENTO!$W$15,ROW(AR114)-ROW(AR$15),0),15-13*ORÇAMENTO!$AF$11)),
         0)</f>
        <v>0</v>
      </c>
      <c r="AS114" s="453">
        <f ca="1">IF(AND($D114="Serviço",AS$12&lt;&gt;0,$H114&gt;0,OR(AUTOEVENTO&lt;&gt;"manual",$M114&lt;&gt;$A$15)),
        IF(Import.TipoArredondamento&lt;&gt;"TransfereGOV",
              ROUND(OFFSET($P114,0,AS$13),15-13*ORÇAMENTO!$AF$7)/$H114*OFFSET(ORÇAMENTO!$X$15,ROW(AS114)-ROW(AS$15),0),
              ROUND(ROUND(OFFSET($P114,0,AS$13),15-13*ORÇAMENTO!$AF$7)*OFFSET(ORÇAMENTO!$W$15,ROW(AS114)-ROW(AS$15),0),15-13*ORÇAMENTO!$AF$11)),
         0)</f>
        <v>0</v>
      </c>
      <c r="AT114" s="453">
        <f ca="1">IF(AND($D114="Serviço",AT$12&lt;&gt;0,$H114&gt;0,OR(AUTOEVENTO&lt;&gt;"manual",$M114&lt;&gt;$A$15)),
        IF(Import.TipoArredondamento&lt;&gt;"TransfereGOV",
              ROUND(OFFSET($P114,0,AT$13),15-13*ORÇAMENTO!$AF$7)/$H114*OFFSET(ORÇAMENTO!$X$15,ROW(AT114)-ROW(AT$15),0),
              ROUND(ROUND(OFFSET($P114,0,AT$13),15-13*ORÇAMENTO!$AF$7)*OFFSET(ORÇAMENTO!$W$15,ROW(AT114)-ROW(AT$15),0),15-13*ORÇAMENTO!$AF$11)),
         0)</f>
        <v>0</v>
      </c>
      <c r="AU114" s="453">
        <f ca="1">IF(AND($D114="Serviço",AU$12&lt;&gt;0,$H114&gt;0,OR(AUTOEVENTO&lt;&gt;"manual",$M114&lt;&gt;$A$15)),
        IF(Import.TipoArredondamento&lt;&gt;"TransfereGOV",
              ROUND(OFFSET($P114,0,AU$13),15-13*ORÇAMENTO!$AF$7)/$H114*OFFSET(ORÇAMENTO!$X$15,ROW(AU114)-ROW(AU$15),0),
              ROUND(ROUND(OFFSET($P114,0,AU$13),15-13*ORÇAMENTO!$AF$7)*OFFSET(ORÇAMENTO!$W$15,ROW(AU114)-ROW(AU$15),0),15-13*ORÇAMENTO!$AF$11)),
         0)</f>
        <v>0</v>
      </c>
      <c r="AV114" s="453">
        <f ca="1">IF(AND($D114="Serviço",AV$12&lt;&gt;0,$H114&gt;0,OR(AUTOEVENTO&lt;&gt;"manual",$M114&lt;&gt;$A$15)),
        IF(Import.TipoArredondamento&lt;&gt;"TransfereGOV",
              ROUND(OFFSET($P114,0,AV$13),15-13*ORÇAMENTO!$AF$7)/$H114*OFFSET(ORÇAMENTO!$X$15,ROW(AV114)-ROW(AV$15),0),
              ROUND(ROUND(OFFSET($P114,0,AV$13),15-13*ORÇAMENTO!$AF$7)*OFFSET(ORÇAMENTO!$W$15,ROW(AV114)-ROW(AV$15),0),15-13*ORÇAMENTO!$AF$11)),
         0)</f>
        <v>0</v>
      </c>
      <c r="AW114" s="453">
        <f ca="1">IF(AND($D114="Serviço",AW$12&lt;&gt;0,$H114&gt;0,OR(AUTOEVENTO&lt;&gt;"manual",$M114&lt;&gt;$A$15)),
        IF(Import.TipoArredondamento&lt;&gt;"TransfereGOV",
              ROUND(OFFSET($P114,0,AW$13),15-13*ORÇAMENTO!$AF$7)/$H114*OFFSET(ORÇAMENTO!$X$15,ROW(AW114)-ROW(AW$15),0),
              ROUND(ROUND(OFFSET($P114,0,AW$13),15-13*ORÇAMENTO!$AF$7)*OFFSET(ORÇAMENTO!$W$15,ROW(AW114)-ROW(AW$15),0),15-13*ORÇAMENTO!$AF$11)),
         0)</f>
        <v>0</v>
      </c>
      <c r="AX114" s="453">
        <f ca="1">IF(AND($D114="Serviço",AX$12&lt;&gt;0,$H114&gt;0,OR(AUTOEVENTO&lt;&gt;"manual",$M114&lt;&gt;$A$15)),
        IF(Import.TipoArredondamento&lt;&gt;"TransfereGOV",
              ROUND(OFFSET($P114,0,AX$13),15-13*ORÇAMENTO!$AF$7)/$H114*OFFSET(ORÇAMENTO!$X$15,ROW(AX114)-ROW(AX$15),0),
              ROUND(ROUND(OFFSET($P114,0,AX$13),15-13*ORÇAMENTO!$AF$7)*OFFSET(ORÇAMENTO!$W$15,ROW(AX114)-ROW(AX$15),0),15-13*ORÇAMENTO!$AF$11)),
         0)</f>
        <v>0</v>
      </c>
      <c r="AY114" s="453">
        <f ca="1">IF(AND($D114="Serviço",AY$12&lt;&gt;0,$H114&gt;0,OR(AUTOEVENTO&lt;&gt;"manual",$M114&lt;&gt;$A$15)),
        IF(Import.TipoArredondamento&lt;&gt;"TransfereGOV",
              ROUND(OFFSET($P114,0,AY$13),15-13*ORÇAMENTO!$AF$7)/$H114*OFFSET(ORÇAMENTO!$X$15,ROW(AY114)-ROW(AY$15),0),
              ROUND(ROUND(OFFSET($P114,0,AY$13),15-13*ORÇAMENTO!$AF$7)*OFFSET(ORÇAMENTO!$W$15,ROW(AY114)-ROW(AY$15),0),15-13*ORÇAMENTO!$AF$11)),
         0)</f>
        <v>0</v>
      </c>
      <c r="AZ114" s="453">
        <f ca="1">IF(AND($D114="Serviço",AZ$12&lt;&gt;0,$H114&gt;0,OR(AUTOEVENTO&lt;&gt;"manual",$M114&lt;&gt;$A$15)),
        IF(Import.TipoArredondamento&lt;&gt;"TransfereGOV",
              ROUND(OFFSET($P114,0,AZ$13),15-13*ORÇAMENTO!$AF$7)/$H114*OFFSET(ORÇAMENTO!$X$15,ROW(AZ114)-ROW(AZ$15),0),
              ROUND(ROUND(OFFSET($P114,0,AZ$13),15-13*ORÇAMENTO!$AF$7)*OFFSET(ORÇAMENTO!$W$15,ROW(AZ114)-ROW(AZ$15),0),15-13*ORÇAMENTO!$AF$11)),
         0)</f>
        <v>0</v>
      </c>
      <c r="BA114" s="453">
        <f ca="1">IF(AND($D114="Serviço",BA$12&lt;&gt;0,$H114&gt;0,OR(AUTOEVENTO&lt;&gt;"manual",$M114&lt;&gt;$A$15)),
        IF(Import.TipoArredondamento&lt;&gt;"TransfereGOV",
              ROUND(OFFSET($P114,0,BA$13),15-13*ORÇAMENTO!$AF$7)/$H114*OFFSET(ORÇAMENTO!$X$15,ROW(BA114)-ROW(BA$15),0),
              ROUND(ROUND(OFFSET($P114,0,BA$13),15-13*ORÇAMENTO!$AF$7)*OFFSET(ORÇAMENTO!$W$15,ROW(BA114)-ROW(BA$15),0),15-13*ORÇAMENTO!$AF$11)),
         0)</f>
        <v>0</v>
      </c>
      <c r="BB114" s="453">
        <f ca="1">IF(AND($D114="Serviço",BB$12&lt;&gt;0,$H114&gt;0,OR(AUTOEVENTO&lt;&gt;"manual",$M114&lt;&gt;$A$15)),
        IF(Import.TipoArredondamento&lt;&gt;"TransfereGOV",
              ROUND(OFFSET($P114,0,BB$13),15-13*ORÇAMENTO!$AF$7)/$H114*OFFSET(ORÇAMENTO!$X$15,ROW(BB114)-ROW(BB$15),0),
              ROUND(ROUND(OFFSET($P114,0,BB$13),15-13*ORÇAMENTO!$AF$7)*OFFSET(ORÇAMENTO!$W$15,ROW(BB114)-ROW(BB$15),0),15-13*ORÇAMENTO!$AF$11)),
         0)</f>
        <v>0</v>
      </c>
      <c r="BC114" s="453">
        <f ca="1">IF(AND($D114="Serviço",BC$12&lt;&gt;0,$H114&gt;0,OR(AUTOEVENTO&lt;&gt;"manual",$M114&lt;&gt;$A$15)),
        IF(Import.TipoArredondamento&lt;&gt;"TransfereGOV",
              ROUND(OFFSET($P114,0,BC$13),15-13*ORÇAMENTO!$AF$7)/$H114*OFFSET(ORÇAMENTO!$X$15,ROW(BC114)-ROW(BC$15),0),
              ROUND(ROUND(OFFSET($P114,0,BC$13),15-13*ORÇAMENTO!$AF$7)*OFFSET(ORÇAMENTO!$W$15,ROW(BC114)-ROW(BC$15),0),15-13*ORÇAMENTO!$AF$11)),
         0)</f>
        <v>0</v>
      </c>
      <c r="BD114" s="453">
        <f ca="1">IF(AND($D114="Serviço",BD$12&lt;&gt;0,$H114&gt;0,OR(AUTOEVENTO&lt;&gt;"manual",$M114&lt;&gt;$A$15)),
        IF(Import.TipoArredondamento&lt;&gt;"TransfereGOV",
              ROUND(OFFSET($P114,0,BD$13),15-13*ORÇAMENTO!$AF$7)/$H114*OFFSET(ORÇAMENTO!$X$15,ROW(BD114)-ROW(BD$15),0),
              ROUND(ROUND(OFFSET($P114,0,BD$13),15-13*ORÇAMENTO!$AF$7)*OFFSET(ORÇAMENTO!$W$15,ROW(BD114)-ROW(BD$15),0),15-13*ORÇAMENTO!$AF$11)),
         0)</f>
        <v>0</v>
      </c>
      <c r="BE114" s="453">
        <f ca="1">IF(AND($D114="Serviço",BE$12&lt;&gt;0,$H114&gt;0,OR(AUTOEVENTO&lt;&gt;"manual",$M114&lt;&gt;$A$15)),
        IF(Import.TipoArredondamento&lt;&gt;"TransfereGOV",
              ROUND(OFFSET($P114,0,BE$13),15-13*ORÇAMENTO!$AF$7)/$H114*OFFSET(ORÇAMENTO!$X$15,ROW(BE114)-ROW(BE$15),0),
              ROUND(ROUND(OFFSET($P114,0,BE$13),15-13*ORÇAMENTO!$AF$7)*OFFSET(ORÇAMENTO!$W$15,ROW(BE114)-ROW(BE$15),0),15-13*ORÇAMENTO!$AF$11)),
         0)</f>
        <v>0</v>
      </c>
      <c r="BF114" s="453">
        <f ca="1">IF(AND($D114="Serviço",BF$12&lt;&gt;0,$H114&gt;0,OR(AUTOEVENTO&lt;&gt;"manual",$M114&lt;&gt;$A$15)),
        IF(Import.TipoArredondamento&lt;&gt;"TransfereGOV",
              ROUND(OFFSET($P114,0,BF$13),15-13*ORÇAMENTO!$AF$7)/$H114*OFFSET(ORÇAMENTO!$X$15,ROW(BF114)-ROW(BF$15),0),
              ROUND(ROUND(OFFSET($P114,0,BF$13),15-13*ORÇAMENTO!$AF$7)*OFFSET(ORÇAMENTO!$W$15,ROW(BF114)-ROW(BF$15),0),15-13*ORÇAMENTO!$AF$11)),
         0)</f>
        <v>0</v>
      </c>
      <c r="BG114" s="453">
        <f ca="1">IF(AND($D114="Serviço",BG$12&lt;&gt;0,$H114&gt;0,OR(AUTOEVENTO&lt;&gt;"manual",$M114&lt;&gt;$A$15)),
        IF(Import.TipoArredondamento&lt;&gt;"TransfereGOV",
              ROUND(OFFSET($P114,0,BG$13),15-13*ORÇAMENTO!$AF$7)/$H114*OFFSET(ORÇAMENTO!$X$15,ROW(BG114)-ROW(BG$15),0),
              ROUND(ROUND(OFFSET($P114,0,BG$13),15-13*ORÇAMENTO!$AF$7)*OFFSET(ORÇAMENTO!$W$15,ROW(BG114)-ROW(BG$15),0),15-13*ORÇAMENTO!$AF$11)),
         0)</f>
        <v>0</v>
      </c>
      <c r="BH114" s="453">
        <f ca="1">IF(AND($D114="Serviço",BH$12&lt;&gt;0,$H114&gt;0,OR(AUTOEVENTO&lt;&gt;"manual",$M114&lt;&gt;$A$15)),
        IF(Import.TipoArredondamento&lt;&gt;"TransfereGOV",
              ROUND(OFFSET($P114,0,BH$13),15-13*ORÇAMENTO!$AF$7)/$H114*OFFSET(ORÇAMENTO!$X$15,ROW(BH114)-ROW(BH$15),0),
              ROUND(ROUND(OFFSET($P114,0,BH$13),15-13*ORÇAMENTO!$AF$7)*OFFSET(ORÇAMENTO!$W$15,ROW(BH114)-ROW(BH$15),0),15-13*ORÇAMENTO!$AF$11)),
         0)</f>
        <v>0</v>
      </c>
      <c r="BI114" s="453">
        <f ca="1">IF(AND($D114="Serviço",BI$12&lt;&gt;0,$H114&gt;0,OR(AUTOEVENTO&lt;&gt;"manual",$M114&lt;&gt;$A$15)),
        IF(Import.TipoArredondamento&lt;&gt;"TransfereGOV",
              ROUND(OFFSET($P114,0,BI$13),15-13*ORÇAMENTO!$AF$7)/$H114*OFFSET(ORÇAMENTO!$X$15,ROW(BI114)-ROW(BI$15),0),
              ROUND(ROUND(OFFSET($P114,0,BI$13),15-13*ORÇAMENTO!$AF$7)*OFFSET(ORÇAMENTO!$W$15,ROW(BI114)-ROW(BI$15),0),15-13*ORÇAMENTO!$AF$11)),
         0)</f>
        <v>0</v>
      </c>
      <c r="BJ114" s="453">
        <f ca="1">IF(AND($D114="Serviço",BJ$12&lt;&gt;0,$H114&gt;0,OR(AUTOEVENTO&lt;&gt;"manual",$M114&lt;&gt;$A$15)),
        IF(Import.TipoArredondamento&lt;&gt;"TransfereGOV",
              ROUND(OFFSET($P114,0,BJ$13),15-13*ORÇAMENTO!$AF$7)/$H114*OFFSET(ORÇAMENTO!$X$15,ROW(BJ114)-ROW(BJ$15),0),
              ROUND(ROUND(OFFSET($P114,0,BJ$13),15-13*ORÇAMENTO!$AF$7)*OFFSET(ORÇAMENTO!$W$15,ROW(BJ114)-ROW(BJ$15),0),15-13*ORÇAMENTO!$AF$11)),
         0)</f>
        <v>0</v>
      </c>
      <c r="BK114" s="453">
        <f ca="1">IF(AND($D114="Serviço",BK$12&lt;&gt;0,$H114&gt;0,OR(AUTOEVENTO&lt;&gt;"manual",$M114&lt;&gt;$A$15)),
        IF(Import.TipoArredondamento&lt;&gt;"TransfereGOV",
              ROUND(OFFSET($P114,0,BK$13),15-13*ORÇAMENTO!$AF$7)/$H114*OFFSET(ORÇAMENTO!$X$15,ROW(BK114)-ROW(BK$15),0),
              ROUND(ROUND(OFFSET($P114,0,BK$13),15-13*ORÇAMENTO!$AF$7)*OFFSET(ORÇAMENTO!$W$15,ROW(BK114)-ROW(BK$15),0),15-13*ORÇAMENTO!$AF$11)),
         0)</f>
        <v>0</v>
      </c>
      <c r="BL114" s="453">
        <f ca="1">IF(AND($D114="Serviço",BL$12&lt;&gt;0,$H114&gt;0,OR(AUTOEVENTO&lt;&gt;"manual",$M114&lt;&gt;$A$15)),
        IF(Import.TipoArredondamento&lt;&gt;"TransfereGOV",
              ROUND(OFFSET($P114,0,BL$13),15-13*ORÇAMENTO!$AF$7)/$H114*OFFSET(ORÇAMENTO!$X$15,ROW(BL114)-ROW(BL$15),0),
              ROUND(ROUND(OFFSET($P114,0,BL$13),15-13*ORÇAMENTO!$AF$7)*OFFSET(ORÇAMENTO!$W$15,ROW(BL114)-ROW(BL$15),0),15-13*ORÇAMENTO!$AF$11)),
         0)</f>
        <v>0</v>
      </c>
      <c r="BM114" s="453">
        <f ca="1">IF(AND($D114="Serviço",BM$12&lt;&gt;0,$H114&gt;0,OR(AUTOEVENTO&lt;&gt;"manual",$M114&lt;&gt;$A$15)),
        IF(Import.TipoArredondamento&lt;&gt;"TransfereGOV",
              ROUND(OFFSET($P114,0,BM$13),15-13*ORÇAMENTO!$AF$7)/$H114*OFFSET(ORÇAMENTO!$X$15,ROW(BM114)-ROW(BM$15),0),
              ROUND(ROUND(OFFSET($P114,0,BM$13),15-13*ORÇAMENTO!$AF$7)*OFFSET(ORÇAMENTO!$W$15,ROW(BM114)-ROW(BM$15),0),15-13*ORÇAMENTO!$AF$11)),
         0)</f>
        <v>0</v>
      </c>
      <c r="BN114" s="453">
        <f ca="1">IF(AND($D114="Serviço",BN$12&lt;&gt;0,$H114&gt;0,OR(AUTOEVENTO&lt;&gt;"manual",$M114&lt;&gt;$A$15)),
        IF(Import.TipoArredondamento&lt;&gt;"TransfereGOV",
              ROUND(OFFSET($P114,0,BN$13),15-13*ORÇAMENTO!$AF$7)/$H114*OFFSET(ORÇAMENTO!$X$15,ROW(BN114)-ROW(BN$15),0),
              ROUND(ROUND(OFFSET($P114,0,BN$13),15-13*ORÇAMENTO!$AF$7)*OFFSET(ORÇAMENTO!$W$15,ROW(BN114)-ROW(BN$15),0),15-13*ORÇAMENTO!$AF$11)),
         0)</f>
        <v>0</v>
      </c>
      <c r="BO114" s="453">
        <f ca="1">IF(AND($D114="Serviço",BO$12&lt;&gt;0,$H114&gt;0,OR(AUTOEVENTO&lt;&gt;"manual",$M114&lt;&gt;$A$15)),
        IF(Import.TipoArredondamento&lt;&gt;"TransfereGOV",
              ROUND(OFFSET($P114,0,BO$13),15-13*ORÇAMENTO!$AF$7)/$H114*OFFSET(ORÇAMENTO!$X$15,ROW(BO114)-ROW(BO$15),0),
              ROUND(ROUND(OFFSET($P114,0,BO$13),15-13*ORÇAMENTO!$AF$7)*OFFSET(ORÇAMENTO!$W$15,ROW(BO114)-ROW(BO$15),0),15-13*ORÇAMENTO!$AF$11)),
         0)</f>
        <v>0</v>
      </c>
      <c r="BP114" s="453">
        <f ca="1">IF(AND($D114="Serviço",BP$12&lt;&gt;0,$H114&gt;0,OR(AUTOEVENTO&lt;&gt;"manual",$M114&lt;&gt;$A$15)),
        IF(Import.TipoArredondamento&lt;&gt;"TransfereGOV",
              ROUND(OFFSET($P114,0,BP$13),15-13*ORÇAMENTO!$AF$7)/$H114*OFFSET(ORÇAMENTO!$X$15,ROW(BP114)-ROW(BP$15),0),
              ROUND(ROUND(OFFSET($P114,0,BP$13),15-13*ORÇAMENTO!$AF$7)*OFFSET(ORÇAMENTO!$W$15,ROW(BP114)-ROW(BP$15),0),15-13*ORÇAMENTO!$AF$11)),
         0)</f>
        <v>0</v>
      </c>
      <c r="BQ114" s="453">
        <f ca="1">IF(AND($D114="Serviço",BQ$12&lt;&gt;0,$H114&gt;0,OR(AUTOEVENTO&lt;&gt;"manual",$M114&lt;&gt;$A$15)),
        IF(Import.TipoArredondamento&lt;&gt;"TransfereGOV",
              ROUND(OFFSET($P114,0,BQ$13),15-13*ORÇAMENTO!$AF$7)/$H114*OFFSET(ORÇAMENTO!$X$15,ROW(BQ114)-ROW(BQ$15),0),
              ROUND(ROUND(OFFSET($P114,0,BQ$13),15-13*ORÇAMENTO!$AF$7)*OFFSET(ORÇAMENTO!$W$15,ROW(BQ114)-ROW(BQ$15),0),15-13*ORÇAMENTO!$AF$11)),
         0)</f>
        <v>0</v>
      </c>
      <c r="BS114" s="171">
        <f ca="1">IF(OR($D114&lt;&gt;"Serviço",AND(AUTOEVENTO="Manual",$M114=$A$15)),0,
         IF(OFFSET(CRONOPLE!$F$15,$M114-$A$15,BS$13)=0,10^12,OFFSET(CRONOPLE!$F$15,$M114-$A$15,BS$13)))</f>
        <v>0</v>
      </c>
      <c r="BT114" s="171">
        <f ca="1">IF(OR($D114&lt;&gt;"Serviço",AND(AUTOEVENTO="Manual",$M114=$A$15)),0,
         IF(OFFSET(CRONOPLE!$F$15,$M114-$A$15,BT$13)=0,10^12,OFFSET(CRONOPLE!$F$15,$M114-$A$15,BT$13)))</f>
        <v>0</v>
      </c>
      <c r="BU114" s="171">
        <f ca="1">IF(OR($D114&lt;&gt;"Serviço",AND(AUTOEVENTO="Manual",$M114=$A$15)),0,
         IF(OFFSET(CRONOPLE!$F$15,$M114-$A$15,BU$13)=0,10^12,OFFSET(CRONOPLE!$F$15,$M114-$A$15,BU$13)))</f>
        <v>0</v>
      </c>
      <c r="BV114" s="171">
        <f ca="1">IF(OR($D114&lt;&gt;"Serviço",AND(AUTOEVENTO="Manual",$M114=$A$15)),0,
         IF(OFFSET(CRONOPLE!$F$15,$M114-$A$15,BV$13)=0,10^12,OFFSET(CRONOPLE!$F$15,$M114-$A$15,BV$13)))</f>
        <v>0</v>
      </c>
      <c r="BW114" s="171">
        <f ca="1">IF(OR($D114&lt;&gt;"Serviço",AND(AUTOEVENTO="Manual",$M114=$A$15)),0,
         IF(OFFSET(CRONOPLE!$F$15,$M114-$A$15,BW$13)=0,10^12,OFFSET(CRONOPLE!$F$15,$M114-$A$15,BW$13)))</f>
        <v>0</v>
      </c>
      <c r="BX114" s="171">
        <f ca="1">IF(OR($D114&lt;&gt;"Serviço",AND(AUTOEVENTO="Manual",$M114=$A$15)),0,
         IF(OFFSET(CRONOPLE!$F$15,$M114-$A$15,BX$13)=0,10^12,OFFSET(CRONOPLE!$F$15,$M114-$A$15,BX$13)))</f>
        <v>0</v>
      </c>
      <c r="BY114" s="171">
        <f ca="1">IF(OR($D114&lt;&gt;"Serviço",AND(AUTOEVENTO="Manual",$M114=$A$15)),0,
         IF(OFFSET(CRONOPLE!$F$15,$M114-$A$15,BY$13)=0,10^12,OFFSET(CRONOPLE!$F$15,$M114-$A$15,BY$13)))</f>
        <v>0</v>
      </c>
      <c r="BZ114" s="171">
        <f ca="1">IF(OR($D114&lt;&gt;"Serviço",AND(AUTOEVENTO="Manual",$M114=$A$15)),0,
         IF(OFFSET(CRONOPLE!$F$15,$M114-$A$15,BZ$13)=0,10^12,OFFSET(CRONOPLE!$F$15,$M114-$A$15,BZ$13)))</f>
        <v>0</v>
      </c>
      <c r="CA114" s="171">
        <f ca="1">IF(OR($D114&lt;&gt;"Serviço",AND(AUTOEVENTO="Manual",$M114=$A$15)),0,
         IF(OFFSET(CRONOPLE!$F$15,$M114-$A$15,CA$13)=0,10^12,OFFSET(CRONOPLE!$F$15,$M114-$A$15,CA$13)))</f>
        <v>0</v>
      </c>
      <c r="CB114" s="171">
        <f ca="1">IF(OR($D114&lt;&gt;"Serviço",AND(AUTOEVENTO="Manual",$M114=$A$15)),0,
         IF(OFFSET(CRONOPLE!$F$15,$M114-$A$15,CB$13)=0,10^12,OFFSET(CRONOPLE!$F$15,$M114-$A$15,CB$13)))</f>
        <v>0</v>
      </c>
      <c r="CC114" s="171">
        <f ca="1">IF(OR($D114&lt;&gt;"Serviço",AND(AUTOEVENTO="Manual",$M114=$A$15)),0,
         IF(OFFSET(CRONOPLE!$F$15,$M114-$A$15,CC$13)=0,10^12,OFFSET(CRONOPLE!$F$15,$M114-$A$15,CC$13)))</f>
        <v>0</v>
      </c>
      <c r="CD114" s="171">
        <f ca="1">IF(OR($D114&lt;&gt;"Serviço",AND(AUTOEVENTO="Manual",$M114=$A$15)),0,
         IF(OFFSET(CRONOPLE!$F$15,$M114-$A$15,CD$13)=0,10^12,OFFSET(CRONOPLE!$F$15,$M114-$A$15,CD$13)))</f>
        <v>0</v>
      </c>
      <c r="CE114" s="171">
        <f ca="1">IF(OR($D114&lt;&gt;"Serviço",AND(AUTOEVENTO="Manual",$M114=$A$15)),0,
         IF(OFFSET(CRONOPLE!$F$15,$M114-$A$15,CE$13)=0,10^12,OFFSET(CRONOPLE!$F$15,$M114-$A$15,CE$13)))</f>
        <v>0</v>
      </c>
      <c r="CF114" s="171">
        <f ca="1">IF(OR($D114&lt;&gt;"Serviço",AND(AUTOEVENTO="Manual",$M114=$A$15)),0,
         IF(OFFSET(CRONOPLE!$F$15,$M114-$A$15,CF$13)=0,10^12,OFFSET(CRONOPLE!$F$15,$M114-$A$15,CF$13)))</f>
        <v>0</v>
      </c>
      <c r="CG114" s="171">
        <f ca="1">IF(OR($D114&lt;&gt;"Serviço",AND(AUTOEVENTO="Manual",$M114=$A$15)),0,
         IF(OFFSET(CRONOPLE!$F$15,$M114-$A$15,CG$13)=0,10^12,OFFSET(CRONOPLE!$F$15,$M114-$A$15,CG$13)))</f>
        <v>0</v>
      </c>
      <c r="CH114" s="171">
        <f ca="1">IF(OR($D114&lt;&gt;"Serviço",AND(AUTOEVENTO="Manual",$M114=$A$15)),0,
         IF(OFFSET(CRONOPLE!$F$15,$M114-$A$15,CH$13)=0,10^12,OFFSET(CRONOPLE!$F$15,$M114-$A$15,CH$13)))</f>
        <v>0</v>
      </c>
      <c r="CI114" s="171">
        <f ca="1">IF(OR($D114&lt;&gt;"Serviço",AND(AUTOEVENTO="Manual",$M114=$A$15)),0,
         IF(OFFSET(CRONOPLE!$F$15,$M114-$A$15,CI$13)=0,10^12,OFFSET(CRONOPLE!$F$15,$M114-$A$15,CI$13)))</f>
        <v>0</v>
      </c>
      <c r="CJ114" s="171">
        <f ca="1">IF(OR($D114&lt;&gt;"Serviço",AND(AUTOEVENTO="Manual",$M114=$A$15)),0,
         IF(OFFSET(CRONOPLE!$F$15,$M114-$A$15,CJ$13)=0,10^12,OFFSET(CRONOPLE!$F$15,$M114-$A$15,CJ$13)))</f>
        <v>0</v>
      </c>
      <c r="CK114" s="171">
        <f ca="1">IF(OR($D114&lt;&gt;"Serviço",AND(AUTOEVENTO="Manual",$M114=$A$15)),0,
         IF(OFFSET(CRONOPLE!$F$15,$M114-$A$15,CK$13)=0,10^12,OFFSET(CRONOPLE!$F$15,$M114-$A$15,CK$13)))</f>
        <v>0</v>
      </c>
      <c r="CL114" s="171">
        <f ca="1">IF(OR($D114&lt;&gt;"Serviço",AND(AUTOEVENTO="Manual",$M114=$A$15)),0,
         IF(OFFSET(CRONOPLE!$F$15,$M114-$A$15,CL$13)=0,10^12,OFFSET(CRONOPLE!$F$15,$M114-$A$15,CL$13)))</f>
        <v>0</v>
      </c>
      <c r="CM114" s="171">
        <f ca="1">IF(OR($D114&lt;&gt;"Serviço",AND(AUTOEVENTO="Manual",$M114=$A$15)),0,
         IF(OFFSET(CRONOPLE!$F$15,$M114-$A$15,CM$13)=0,10^12,OFFSET(CRONOPLE!$F$15,$M114-$A$15,CM$13)))</f>
        <v>0</v>
      </c>
      <c r="CN114" s="171">
        <f ca="1">IF(OR($D114&lt;&gt;"Serviço",AND(AUTOEVENTO="Manual",$M114=$A$15)),0,
         IF(OFFSET(CRONOPLE!$F$15,$M114-$A$15,CN$13)=0,10^12,OFFSET(CRONOPLE!$F$15,$M114-$A$15,CN$13)))</f>
        <v>0</v>
      </c>
      <c r="CO114" s="171">
        <f ca="1">IF(OR($D114&lt;&gt;"Serviço",AND(AUTOEVENTO="Manual",$M114=$A$15)),0,
         IF(OFFSET(CRONOPLE!$F$15,$M114-$A$15,CO$13)=0,10^12,OFFSET(CRONOPLE!$F$15,$M114-$A$15,CO$13)))</f>
        <v>0</v>
      </c>
      <c r="CP114" s="171">
        <f ca="1">IF(OR($D114&lt;&gt;"Serviço",AND(AUTOEVENTO="Manual",$M114=$A$15)),0,
         IF(OFFSET(CRONOPLE!$F$15,$M114-$A$15,CP$13)=0,10^12,OFFSET(CRONOPLE!$F$15,$M114-$A$15,CP$13)))</f>
        <v>0</v>
      </c>
      <c r="CQ114" s="171">
        <f ca="1">IF(OR($D114&lt;&gt;"Serviço",AND(AUTOEVENTO="Manual",$M114=$A$15)),0,
         IF(OFFSET(CRONOPLE!$F$15,$M114-$A$15,CQ$13)=0,10^12,OFFSET(CRONOPLE!$F$15,$M114-$A$15,CQ$13)))</f>
        <v>0</v>
      </c>
      <c r="CR114" s="171">
        <f ca="1">IF(OR($D114&lt;&gt;"Serviço",AND(AUTOEVENTO="Manual",$M114=$A$15)),0,
         IF(OFFSET(CRONOPLE!$F$15,$M114-$A$15,CR$13)=0,10^12,OFFSET(CRONOPLE!$F$15,$M114-$A$15,CR$13)))</f>
        <v>0</v>
      </c>
      <c r="CT114" s="172" cm="1">
        <f t="array" aca="1" ref="CT114" ca="1">IF(OR($D114&lt;&gt;"Serviço",AND(AUTOEVENTO="Manual",$M114=$A$15),$M114&gt;(ROW(PLE.lastrow)-ROW(PLE.firstrow))),0,
           IF(OFFSET(PLE!$G$15,$M114-$A$15,CT$13)="",10^12,OFFSET(PLE!$G$15,$M114-$A$15,CT$13)))</f>
        <v>0</v>
      </c>
      <c r="CU114" s="172" cm="1">
        <f t="array" aca="1" ref="CU114" ca="1">IF(OR($D114&lt;&gt;"Serviço",AND(AUTOEVENTO="Manual",$M114=$A$15),$M114&gt;(ROW(PLE.lastrow)-ROW(PLE.firstrow))),0,
           IF(OFFSET(PLE!$G$15,$M114-$A$15,CU$13)="",10^12,OFFSET(PLE!$G$15,$M114-$A$15,CU$13)))</f>
        <v>0</v>
      </c>
      <c r="CV114" s="172" cm="1">
        <f t="array" aca="1" ref="CV114" ca="1">IF(OR($D114&lt;&gt;"Serviço",AND(AUTOEVENTO="Manual",$M114=$A$15),$M114&gt;(ROW(PLE.lastrow)-ROW(PLE.firstrow))),0,
           IF(OFFSET(PLE!$G$15,$M114-$A$15,CV$13)="",10^12,OFFSET(PLE!$G$15,$M114-$A$15,CV$13)))</f>
        <v>0</v>
      </c>
      <c r="CW114" s="172" cm="1">
        <f t="array" aca="1" ref="CW114" ca="1">IF(OR($D114&lt;&gt;"Serviço",AND(AUTOEVENTO="Manual",$M114=$A$15),$M114&gt;(ROW(PLE.lastrow)-ROW(PLE.firstrow))),0,
           IF(OFFSET(PLE!$G$15,$M114-$A$15,CW$13)="",10^12,OFFSET(PLE!$G$15,$M114-$A$15,CW$13)))</f>
        <v>0</v>
      </c>
      <c r="CX114" s="172" cm="1">
        <f t="array" aca="1" ref="CX114" ca="1">IF(OR($D114&lt;&gt;"Serviço",AND(AUTOEVENTO="Manual",$M114=$A$15),$M114&gt;(ROW(PLE.lastrow)-ROW(PLE.firstrow))),0,
           IF(OFFSET(PLE!$G$15,$M114-$A$15,CX$13)="",10^12,OFFSET(PLE!$G$15,$M114-$A$15,CX$13)))</f>
        <v>0</v>
      </c>
      <c r="CY114" s="172" cm="1">
        <f t="array" aca="1" ref="CY114" ca="1">IF(OR($D114&lt;&gt;"Serviço",AND(AUTOEVENTO="Manual",$M114=$A$15),$M114&gt;(ROW(PLE.lastrow)-ROW(PLE.firstrow))),0,
           IF(OFFSET(PLE!$G$15,$M114-$A$15,CY$13)="",10^12,OFFSET(PLE!$G$15,$M114-$A$15,CY$13)))</f>
        <v>0</v>
      </c>
      <c r="CZ114" s="172" cm="1">
        <f t="array" aca="1" ref="CZ114" ca="1">IF(OR($D114&lt;&gt;"Serviço",AND(AUTOEVENTO="Manual",$M114=$A$15),$M114&gt;(ROW(PLE.lastrow)-ROW(PLE.firstrow))),0,
           IF(OFFSET(PLE!$G$15,$M114-$A$15,CZ$13)="",10^12,OFFSET(PLE!$G$15,$M114-$A$15,CZ$13)))</f>
        <v>0</v>
      </c>
      <c r="DA114" s="172" cm="1">
        <f t="array" aca="1" ref="DA114" ca="1">IF(OR($D114&lt;&gt;"Serviço",AND(AUTOEVENTO="Manual",$M114=$A$15),$M114&gt;(ROW(PLE.lastrow)-ROW(PLE.firstrow))),0,
           IF(OFFSET(PLE!$G$15,$M114-$A$15,DA$13)="",10^12,OFFSET(PLE!$G$15,$M114-$A$15,DA$13)))</f>
        <v>0</v>
      </c>
      <c r="DB114" s="172" cm="1">
        <f t="array" aca="1" ref="DB114" ca="1">IF(OR($D114&lt;&gt;"Serviço",AND(AUTOEVENTO="Manual",$M114=$A$15),$M114&gt;(ROW(PLE.lastrow)-ROW(PLE.firstrow))),0,
           IF(OFFSET(PLE!$G$15,$M114-$A$15,DB$13)="",10^12,OFFSET(PLE!$G$15,$M114-$A$15,DB$13)))</f>
        <v>0</v>
      </c>
      <c r="DC114" s="172" cm="1">
        <f t="array" aca="1" ref="DC114" ca="1">IF(OR($D114&lt;&gt;"Serviço",AND(AUTOEVENTO="Manual",$M114=$A$15),$M114&gt;(ROW(PLE.lastrow)-ROW(PLE.firstrow))),0,
           IF(OFFSET(PLE!$G$15,$M114-$A$15,DC$13)="",10^12,OFFSET(PLE!$G$15,$M114-$A$15,DC$13)))</f>
        <v>0</v>
      </c>
      <c r="DD114" s="172" cm="1">
        <f t="array" aca="1" ref="DD114" ca="1">IF(OR($D114&lt;&gt;"Serviço",AND(AUTOEVENTO="Manual",$M114=$A$15),$M114&gt;(ROW(PLE.lastrow)-ROW(PLE.firstrow))),0,
           IF(OFFSET(PLE!$G$15,$M114-$A$15,DD$13)="",10^12,OFFSET(PLE!$G$15,$M114-$A$15,DD$13)))</f>
        <v>0</v>
      </c>
      <c r="DE114" s="172" cm="1">
        <f t="array" aca="1" ref="DE114" ca="1">IF(OR($D114&lt;&gt;"Serviço",AND(AUTOEVENTO="Manual",$M114=$A$15),$M114&gt;(ROW(PLE.lastrow)-ROW(PLE.firstrow))),0,
           IF(OFFSET(PLE!$G$15,$M114-$A$15,DE$13)="",10^12,OFFSET(PLE!$G$15,$M114-$A$15,DE$13)))</f>
        <v>0</v>
      </c>
      <c r="DF114" s="172" cm="1">
        <f t="array" aca="1" ref="DF114" ca="1">IF(OR($D114&lt;&gt;"Serviço",AND(AUTOEVENTO="Manual",$M114=$A$15),$M114&gt;(ROW(PLE.lastrow)-ROW(PLE.firstrow))),0,
           IF(OFFSET(PLE!$G$15,$M114-$A$15,DF$13)="",10^12,OFFSET(PLE!$G$15,$M114-$A$15,DF$13)))</f>
        <v>0</v>
      </c>
      <c r="DG114" s="172" cm="1">
        <f t="array" aca="1" ref="DG114" ca="1">IF(OR($D114&lt;&gt;"Serviço",AND(AUTOEVENTO="Manual",$M114=$A$15),$M114&gt;(ROW(PLE.lastrow)-ROW(PLE.firstrow))),0,
           IF(OFFSET(PLE!$G$15,$M114-$A$15,DG$13)="",10^12,OFFSET(PLE!$G$15,$M114-$A$15,DG$13)))</f>
        <v>0</v>
      </c>
      <c r="DH114" s="172" cm="1">
        <f t="array" aca="1" ref="DH114" ca="1">IF(OR($D114&lt;&gt;"Serviço",AND(AUTOEVENTO="Manual",$M114=$A$15),$M114&gt;(ROW(PLE.lastrow)-ROW(PLE.firstrow))),0,
           IF(OFFSET(PLE!$G$15,$M114-$A$15,DH$13)="",10^12,OFFSET(PLE!$G$15,$M114-$A$15,DH$13)))</f>
        <v>0</v>
      </c>
      <c r="DI114" s="172" cm="1">
        <f t="array" aca="1" ref="DI114" ca="1">IF(OR($D114&lt;&gt;"Serviço",AND(AUTOEVENTO="Manual",$M114=$A$15),$M114&gt;(ROW(PLE.lastrow)-ROW(PLE.firstrow))),0,
           IF(OFFSET(PLE!$G$15,$M114-$A$15,DI$13)="",10^12,OFFSET(PLE!$G$15,$M114-$A$15,DI$13)))</f>
        <v>0</v>
      </c>
      <c r="DJ114" s="172" cm="1">
        <f t="array" aca="1" ref="DJ114" ca="1">IF(OR($D114&lt;&gt;"Serviço",AND(AUTOEVENTO="Manual",$M114=$A$15),$M114&gt;(ROW(PLE.lastrow)-ROW(PLE.firstrow))),0,
           IF(OFFSET(PLE!$G$15,$M114-$A$15,DJ$13)="",10^12,OFFSET(PLE!$G$15,$M114-$A$15,DJ$13)))</f>
        <v>0</v>
      </c>
      <c r="DK114" s="172" cm="1">
        <f t="array" aca="1" ref="DK114" ca="1">IF(OR($D114&lt;&gt;"Serviço",AND(AUTOEVENTO="Manual",$M114=$A$15),$M114&gt;(ROW(PLE.lastrow)-ROW(PLE.firstrow))),0,
           IF(OFFSET(PLE!$G$15,$M114-$A$15,DK$13)="",10^12,OFFSET(PLE!$G$15,$M114-$A$15,DK$13)))</f>
        <v>0</v>
      </c>
      <c r="DL114" s="172" cm="1">
        <f t="array" aca="1" ref="DL114" ca="1">IF(OR($D114&lt;&gt;"Serviço",AND(AUTOEVENTO="Manual",$M114=$A$15),$M114&gt;(ROW(PLE.lastrow)-ROW(PLE.firstrow))),0,
           IF(OFFSET(PLE!$G$15,$M114-$A$15,DL$13)="",10^12,OFFSET(PLE!$G$15,$M114-$A$15,DL$13)))</f>
        <v>0</v>
      </c>
      <c r="DM114" s="172" cm="1">
        <f t="array" aca="1" ref="DM114" ca="1">IF(OR($D114&lt;&gt;"Serviço",AND(AUTOEVENTO="Manual",$M114=$A$15),$M114&gt;(ROW(PLE.lastrow)-ROW(PLE.firstrow))),0,
           IF(OFFSET(PLE!$G$15,$M114-$A$15,DM$13)="",10^12,OFFSET(PLE!$G$15,$M114-$A$15,DM$13)))</f>
        <v>0</v>
      </c>
      <c r="DN114" s="172" cm="1">
        <f t="array" aca="1" ref="DN114" ca="1">IF(OR($D114&lt;&gt;"Serviço",AND(AUTOEVENTO="Manual",$M114=$A$15),$M114&gt;(ROW(PLE.lastrow)-ROW(PLE.firstrow))),0,
           IF(OFFSET(PLE!$G$15,$M114-$A$15,DN$13)="",10^12,OFFSET(PLE!$G$15,$M114-$A$15,DN$13)))</f>
        <v>0</v>
      </c>
      <c r="DO114" s="172" cm="1">
        <f t="array" aca="1" ref="DO114" ca="1">IF(OR($D114&lt;&gt;"Serviço",AND(AUTOEVENTO="Manual",$M114=$A$15),$M114&gt;(ROW(PLE.lastrow)-ROW(PLE.firstrow))),0,
           IF(OFFSET(PLE!$G$15,$M114-$A$15,DO$13)="",10^12,OFFSET(PLE!$G$15,$M114-$A$15,DO$13)))</f>
        <v>0</v>
      </c>
      <c r="DP114" s="172" cm="1">
        <f t="array" aca="1" ref="DP114" ca="1">IF(OR($D114&lt;&gt;"Serviço",AND(AUTOEVENTO="Manual",$M114=$A$15),$M114&gt;(ROW(PLE.lastrow)-ROW(PLE.firstrow))),0,
           IF(OFFSET(PLE!$G$15,$M114-$A$15,DP$13)="",10^12,OFFSET(PLE!$G$15,$M114-$A$15,DP$13)))</f>
        <v>0</v>
      </c>
      <c r="DQ114" s="172" cm="1">
        <f t="array" aca="1" ref="DQ114" ca="1">IF(OR($D114&lt;&gt;"Serviço",AND(AUTOEVENTO="Manual",$M114=$A$15),$M114&gt;(ROW(PLE.lastrow)-ROW(PLE.firstrow))),0,
           IF(OFFSET(PLE!$G$15,$M114-$A$15,DQ$13)="",10^12,OFFSET(PLE!$G$15,$M114-$A$15,DQ$13)))</f>
        <v>0</v>
      </c>
      <c r="DR114" s="172" cm="1">
        <f t="array" aca="1" ref="DR114" ca="1">IF(OR($D114&lt;&gt;"Serviço",AND(AUTOEVENTO="Manual",$M114=$A$15),$M114&gt;(ROW(PLE.lastrow)-ROW(PLE.firstrow))),0,
           IF(OFFSET(PLE!$G$15,$M114-$A$15,DR$13)="",10^12,OFFSET(PLE!$G$15,$M114-$A$15,DR$13)))</f>
        <v>0</v>
      </c>
      <c r="DS114" s="172" cm="1">
        <f t="array" aca="1" ref="DS114" ca="1">IF(OR($D114&lt;&gt;"Serviço",AND(AUTOEVENTO="Manual",$M114=$A$15),$M114&gt;(ROW(PLE.lastrow)-ROW(PLE.firstrow))),0,
           IF(OFFSET(PLE!$G$15,$M114-$A$15,DS$13)="",10^12,OFFSET(PLE!$G$15,$M114-$A$15,DS$13)))</f>
        <v>0</v>
      </c>
    </row>
    <row r="115" spans="1:123" ht="12.75" x14ac:dyDescent="0.2">
      <c r="A115" s="7">
        <f t="shared" ca="1" si="13"/>
        <v>0</v>
      </c>
      <c r="B115" s="7">
        <f ca="1">OFFSET(ORÇAMENTO!C$15,$L115,0)</f>
        <v>2</v>
      </c>
      <c r="C115" s="7" t="str">
        <f ca="1">OFFSET(ORÇAMENTO!L$15,$L115,0)</f>
        <v>F</v>
      </c>
      <c r="D115" s="116" t="str">
        <f ca="1">OFFSET(ORÇAMENTO!N$15,$L115,0)</f>
        <v>Nível 2</v>
      </c>
      <c r="E115" s="117" t="str">
        <f ca="1">OFFSET(ORÇAMENTO!O$15,$L115,0)</f>
        <v>8.1.</v>
      </c>
      <c r="F115" s="163" t="str">
        <f ca="1">OFFSET(ORÇAMENTO!R$15,$L115,0)</f>
        <v>PISO CERÂMICO</v>
      </c>
      <c r="G115" s="164" t="str">
        <f ca="1">IF($D115&lt;&gt;"Serviço","",OFFSET(ORÇAMENTO!S$15,$L115,0))</f>
        <v/>
      </c>
      <c r="H115" s="122" cm="1">
        <f t="array" aca="1" ref="H115" ca="1">IF($D115&lt;&gt;"Serviço",0,IF(ACOMPANHAMENTO="BM",ROUND(OFFSET(ORÇAMENTO!AJ$15,$L115,0),15-13*ORÇAMENTO!$AF$7),IF(IFERROR(CÁLCULO.FrentesPreenchidas,0)=0,0,SUM(ROUND(OFFSET($P115,0,1,1,CÁLCULO.FrentesPreenchidas),15-13*ORÇAMENTO!$AF$7)))))</f>
        <v>0</v>
      </c>
      <c r="I115" s="468"/>
      <c r="J115" s="651" t="str" cm="1">
        <f t="array" aca="1" ref="J115" ca="1">IF(OR(B115&lt;&gt;"S",CÁLCULO.FrentesPreenchidas=0),"",IF(AND(ACOMPANHAMENTO="PLE",AUTOEVENTO="Manual",OR(H115&gt;0,ORÇAMENTO!AC115="QUANT."),OR(K115="",M115=0,N115="")),"►E",IF(AND(ACOMPANHAMENTO="PLE",ORÇAMENTO!AC115="QUANT."),"►Q",IF(AND(ACOMPANHAMENTO="PLE",H115&lt;&gt;SUMPRODUCT(($Q$1:$AQ$1=1)*ROUND(Q115:AQ115,15))),"►S",IF(AND(COUNTIF($P$11:$AQ$11,"▼")=0,H115&gt;0,I115=""),"◄M","")))))</f>
        <v/>
      </c>
      <c r="K115" s="652"/>
      <c r="L115" s="165">
        <f t="shared" ca="1" si="14"/>
        <v>100</v>
      </c>
      <c r="M115" s="166" t="str">
        <f ca="1">IF($D115&lt;&gt;"Serviço","",
          IF(AUTOEVENTO="manual",$A115,
                IF(ISERROR(MATCH($A115,$A$15:OFFSET($A115,-1,0),0)),MAX($M$15:OFFSET(M115,-1,0))+1,
                      INDEX($M$15:OFFSET(M115,-1,0),MATCH($A115,$A$15:OFFSET($A115,-1,0),0)))))</f>
        <v/>
      </c>
      <c r="N115" s="167" t="str">
        <f ca="1">IF($D115&lt;&gt;"Serviço","",
         IF(AUTOEVENTO="Manual",
                IF($A115=0,"&lt;-- defina o número do agrupador",
                       OFFSET(EVENTOS!$D$15,$A115-$A$15,0)),
                OFFSET($F$15,$A115,0)))</f>
        <v/>
      </c>
      <c r="O115" s="168"/>
      <c r="Q115" s="168"/>
      <c r="R115" s="169"/>
      <c r="S115" s="169"/>
      <c r="T115" s="169"/>
      <c r="U115" s="169"/>
      <c r="V115" s="169"/>
      <c r="W115" s="169"/>
      <c r="X115" s="169"/>
      <c r="Y115" s="169"/>
      <c r="Z115" s="170"/>
      <c r="AA115" s="169"/>
      <c r="AB115" s="169"/>
      <c r="AC115" s="169"/>
      <c r="AD115" s="169"/>
      <c r="AE115" s="169"/>
      <c r="AF115" s="169"/>
      <c r="AG115" s="169"/>
      <c r="AH115" s="170"/>
      <c r="AI115" s="169"/>
      <c r="AJ115" s="169"/>
      <c r="AK115" s="169"/>
      <c r="AL115" s="169"/>
      <c r="AM115" s="169"/>
      <c r="AN115" s="169"/>
      <c r="AO115" s="169"/>
      <c r="AP115" s="170"/>
      <c r="AR115" s="453">
        <f ca="1">IF(AND($D115="Serviço",AR$12&lt;&gt;0,$H115&gt;0,OR(AUTOEVENTO&lt;&gt;"manual",$M115&lt;&gt;$A$15)),
        IF(Import.TipoArredondamento&lt;&gt;"TransfereGOV",
              ROUND(OFFSET($P115,0,AR$13),15-13*ORÇAMENTO!$AF$7)/$H115*OFFSET(ORÇAMENTO!$X$15,ROW(AR115)-ROW(AR$15),0),
              ROUND(ROUND(OFFSET($P115,0,AR$13),15-13*ORÇAMENTO!$AF$7)*OFFSET(ORÇAMENTO!$W$15,ROW(AR115)-ROW(AR$15),0),15-13*ORÇAMENTO!$AF$11)),
         0)</f>
        <v>0</v>
      </c>
      <c r="AS115" s="453">
        <f ca="1">IF(AND($D115="Serviço",AS$12&lt;&gt;0,$H115&gt;0,OR(AUTOEVENTO&lt;&gt;"manual",$M115&lt;&gt;$A$15)),
        IF(Import.TipoArredondamento&lt;&gt;"TransfereGOV",
              ROUND(OFFSET($P115,0,AS$13),15-13*ORÇAMENTO!$AF$7)/$H115*OFFSET(ORÇAMENTO!$X$15,ROW(AS115)-ROW(AS$15),0),
              ROUND(ROUND(OFFSET($P115,0,AS$13),15-13*ORÇAMENTO!$AF$7)*OFFSET(ORÇAMENTO!$W$15,ROW(AS115)-ROW(AS$15),0),15-13*ORÇAMENTO!$AF$11)),
         0)</f>
        <v>0</v>
      </c>
      <c r="AT115" s="453">
        <f ca="1">IF(AND($D115="Serviço",AT$12&lt;&gt;0,$H115&gt;0,OR(AUTOEVENTO&lt;&gt;"manual",$M115&lt;&gt;$A$15)),
        IF(Import.TipoArredondamento&lt;&gt;"TransfereGOV",
              ROUND(OFFSET($P115,0,AT$13),15-13*ORÇAMENTO!$AF$7)/$H115*OFFSET(ORÇAMENTO!$X$15,ROW(AT115)-ROW(AT$15),0),
              ROUND(ROUND(OFFSET($P115,0,AT$13),15-13*ORÇAMENTO!$AF$7)*OFFSET(ORÇAMENTO!$W$15,ROW(AT115)-ROW(AT$15),0),15-13*ORÇAMENTO!$AF$11)),
         0)</f>
        <v>0</v>
      </c>
      <c r="AU115" s="453">
        <f ca="1">IF(AND($D115="Serviço",AU$12&lt;&gt;0,$H115&gt;0,OR(AUTOEVENTO&lt;&gt;"manual",$M115&lt;&gt;$A$15)),
        IF(Import.TipoArredondamento&lt;&gt;"TransfereGOV",
              ROUND(OFFSET($P115,0,AU$13),15-13*ORÇAMENTO!$AF$7)/$H115*OFFSET(ORÇAMENTO!$X$15,ROW(AU115)-ROW(AU$15),0),
              ROUND(ROUND(OFFSET($P115,0,AU$13),15-13*ORÇAMENTO!$AF$7)*OFFSET(ORÇAMENTO!$W$15,ROW(AU115)-ROW(AU$15),0),15-13*ORÇAMENTO!$AF$11)),
         0)</f>
        <v>0</v>
      </c>
      <c r="AV115" s="453">
        <f ca="1">IF(AND($D115="Serviço",AV$12&lt;&gt;0,$H115&gt;0,OR(AUTOEVENTO&lt;&gt;"manual",$M115&lt;&gt;$A$15)),
        IF(Import.TipoArredondamento&lt;&gt;"TransfereGOV",
              ROUND(OFFSET($P115,0,AV$13),15-13*ORÇAMENTO!$AF$7)/$H115*OFFSET(ORÇAMENTO!$X$15,ROW(AV115)-ROW(AV$15),0),
              ROUND(ROUND(OFFSET($P115,0,AV$13),15-13*ORÇAMENTO!$AF$7)*OFFSET(ORÇAMENTO!$W$15,ROW(AV115)-ROW(AV$15),0),15-13*ORÇAMENTO!$AF$11)),
         0)</f>
        <v>0</v>
      </c>
      <c r="AW115" s="453">
        <f ca="1">IF(AND($D115="Serviço",AW$12&lt;&gt;0,$H115&gt;0,OR(AUTOEVENTO&lt;&gt;"manual",$M115&lt;&gt;$A$15)),
        IF(Import.TipoArredondamento&lt;&gt;"TransfereGOV",
              ROUND(OFFSET($P115,0,AW$13),15-13*ORÇAMENTO!$AF$7)/$H115*OFFSET(ORÇAMENTO!$X$15,ROW(AW115)-ROW(AW$15),0),
              ROUND(ROUND(OFFSET($P115,0,AW$13),15-13*ORÇAMENTO!$AF$7)*OFFSET(ORÇAMENTO!$W$15,ROW(AW115)-ROW(AW$15),0),15-13*ORÇAMENTO!$AF$11)),
         0)</f>
        <v>0</v>
      </c>
      <c r="AX115" s="453">
        <f ca="1">IF(AND($D115="Serviço",AX$12&lt;&gt;0,$H115&gt;0,OR(AUTOEVENTO&lt;&gt;"manual",$M115&lt;&gt;$A$15)),
        IF(Import.TipoArredondamento&lt;&gt;"TransfereGOV",
              ROUND(OFFSET($P115,0,AX$13),15-13*ORÇAMENTO!$AF$7)/$H115*OFFSET(ORÇAMENTO!$X$15,ROW(AX115)-ROW(AX$15),0),
              ROUND(ROUND(OFFSET($P115,0,AX$13),15-13*ORÇAMENTO!$AF$7)*OFFSET(ORÇAMENTO!$W$15,ROW(AX115)-ROW(AX$15),0),15-13*ORÇAMENTO!$AF$11)),
         0)</f>
        <v>0</v>
      </c>
      <c r="AY115" s="453">
        <f ca="1">IF(AND($D115="Serviço",AY$12&lt;&gt;0,$H115&gt;0,OR(AUTOEVENTO&lt;&gt;"manual",$M115&lt;&gt;$A$15)),
        IF(Import.TipoArredondamento&lt;&gt;"TransfereGOV",
              ROUND(OFFSET($P115,0,AY$13),15-13*ORÇAMENTO!$AF$7)/$H115*OFFSET(ORÇAMENTO!$X$15,ROW(AY115)-ROW(AY$15),0),
              ROUND(ROUND(OFFSET($P115,0,AY$13),15-13*ORÇAMENTO!$AF$7)*OFFSET(ORÇAMENTO!$W$15,ROW(AY115)-ROW(AY$15),0),15-13*ORÇAMENTO!$AF$11)),
         0)</f>
        <v>0</v>
      </c>
      <c r="AZ115" s="453">
        <f ca="1">IF(AND($D115="Serviço",AZ$12&lt;&gt;0,$H115&gt;0,OR(AUTOEVENTO&lt;&gt;"manual",$M115&lt;&gt;$A$15)),
        IF(Import.TipoArredondamento&lt;&gt;"TransfereGOV",
              ROUND(OFFSET($P115,0,AZ$13),15-13*ORÇAMENTO!$AF$7)/$H115*OFFSET(ORÇAMENTO!$X$15,ROW(AZ115)-ROW(AZ$15),0),
              ROUND(ROUND(OFFSET($P115,0,AZ$13),15-13*ORÇAMENTO!$AF$7)*OFFSET(ORÇAMENTO!$W$15,ROW(AZ115)-ROW(AZ$15),0),15-13*ORÇAMENTO!$AF$11)),
         0)</f>
        <v>0</v>
      </c>
      <c r="BA115" s="453">
        <f ca="1">IF(AND($D115="Serviço",BA$12&lt;&gt;0,$H115&gt;0,OR(AUTOEVENTO&lt;&gt;"manual",$M115&lt;&gt;$A$15)),
        IF(Import.TipoArredondamento&lt;&gt;"TransfereGOV",
              ROUND(OFFSET($P115,0,BA$13),15-13*ORÇAMENTO!$AF$7)/$H115*OFFSET(ORÇAMENTO!$X$15,ROW(BA115)-ROW(BA$15),0),
              ROUND(ROUND(OFFSET($P115,0,BA$13),15-13*ORÇAMENTO!$AF$7)*OFFSET(ORÇAMENTO!$W$15,ROW(BA115)-ROW(BA$15),0),15-13*ORÇAMENTO!$AF$11)),
         0)</f>
        <v>0</v>
      </c>
      <c r="BB115" s="453">
        <f ca="1">IF(AND($D115="Serviço",BB$12&lt;&gt;0,$H115&gt;0,OR(AUTOEVENTO&lt;&gt;"manual",$M115&lt;&gt;$A$15)),
        IF(Import.TipoArredondamento&lt;&gt;"TransfereGOV",
              ROUND(OFFSET($P115,0,BB$13),15-13*ORÇAMENTO!$AF$7)/$H115*OFFSET(ORÇAMENTO!$X$15,ROW(BB115)-ROW(BB$15),0),
              ROUND(ROUND(OFFSET($P115,0,BB$13),15-13*ORÇAMENTO!$AF$7)*OFFSET(ORÇAMENTO!$W$15,ROW(BB115)-ROW(BB$15),0),15-13*ORÇAMENTO!$AF$11)),
         0)</f>
        <v>0</v>
      </c>
      <c r="BC115" s="453">
        <f ca="1">IF(AND($D115="Serviço",BC$12&lt;&gt;0,$H115&gt;0,OR(AUTOEVENTO&lt;&gt;"manual",$M115&lt;&gt;$A$15)),
        IF(Import.TipoArredondamento&lt;&gt;"TransfereGOV",
              ROUND(OFFSET($P115,0,BC$13),15-13*ORÇAMENTO!$AF$7)/$H115*OFFSET(ORÇAMENTO!$X$15,ROW(BC115)-ROW(BC$15),0),
              ROUND(ROUND(OFFSET($P115,0,BC$13),15-13*ORÇAMENTO!$AF$7)*OFFSET(ORÇAMENTO!$W$15,ROW(BC115)-ROW(BC$15),0),15-13*ORÇAMENTO!$AF$11)),
         0)</f>
        <v>0</v>
      </c>
      <c r="BD115" s="453">
        <f ca="1">IF(AND($D115="Serviço",BD$12&lt;&gt;0,$H115&gt;0,OR(AUTOEVENTO&lt;&gt;"manual",$M115&lt;&gt;$A$15)),
        IF(Import.TipoArredondamento&lt;&gt;"TransfereGOV",
              ROUND(OFFSET($P115,0,BD$13),15-13*ORÇAMENTO!$AF$7)/$H115*OFFSET(ORÇAMENTO!$X$15,ROW(BD115)-ROW(BD$15),0),
              ROUND(ROUND(OFFSET($P115,0,BD$13),15-13*ORÇAMENTO!$AF$7)*OFFSET(ORÇAMENTO!$W$15,ROW(BD115)-ROW(BD$15),0),15-13*ORÇAMENTO!$AF$11)),
         0)</f>
        <v>0</v>
      </c>
      <c r="BE115" s="453">
        <f ca="1">IF(AND($D115="Serviço",BE$12&lt;&gt;0,$H115&gt;0,OR(AUTOEVENTO&lt;&gt;"manual",$M115&lt;&gt;$A$15)),
        IF(Import.TipoArredondamento&lt;&gt;"TransfereGOV",
              ROUND(OFFSET($P115,0,BE$13),15-13*ORÇAMENTO!$AF$7)/$H115*OFFSET(ORÇAMENTO!$X$15,ROW(BE115)-ROW(BE$15),0),
              ROUND(ROUND(OFFSET($P115,0,BE$13),15-13*ORÇAMENTO!$AF$7)*OFFSET(ORÇAMENTO!$W$15,ROW(BE115)-ROW(BE$15),0),15-13*ORÇAMENTO!$AF$11)),
         0)</f>
        <v>0</v>
      </c>
      <c r="BF115" s="453">
        <f ca="1">IF(AND($D115="Serviço",BF$12&lt;&gt;0,$H115&gt;0,OR(AUTOEVENTO&lt;&gt;"manual",$M115&lt;&gt;$A$15)),
        IF(Import.TipoArredondamento&lt;&gt;"TransfereGOV",
              ROUND(OFFSET($P115,0,BF$13),15-13*ORÇAMENTO!$AF$7)/$H115*OFFSET(ORÇAMENTO!$X$15,ROW(BF115)-ROW(BF$15),0),
              ROUND(ROUND(OFFSET($P115,0,BF$13),15-13*ORÇAMENTO!$AF$7)*OFFSET(ORÇAMENTO!$W$15,ROW(BF115)-ROW(BF$15),0),15-13*ORÇAMENTO!$AF$11)),
         0)</f>
        <v>0</v>
      </c>
      <c r="BG115" s="453">
        <f ca="1">IF(AND($D115="Serviço",BG$12&lt;&gt;0,$H115&gt;0,OR(AUTOEVENTO&lt;&gt;"manual",$M115&lt;&gt;$A$15)),
        IF(Import.TipoArredondamento&lt;&gt;"TransfereGOV",
              ROUND(OFFSET($P115,0,BG$13),15-13*ORÇAMENTO!$AF$7)/$H115*OFFSET(ORÇAMENTO!$X$15,ROW(BG115)-ROW(BG$15),0),
              ROUND(ROUND(OFFSET($P115,0,BG$13),15-13*ORÇAMENTO!$AF$7)*OFFSET(ORÇAMENTO!$W$15,ROW(BG115)-ROW(BG$15),0),15-13*ORÇAMENTO!$AF$11)),
         0)</f>
        <v>0</v>
      </c>
      <c r="BH115" s="453">
        <f ca="1">IF(AND($D115="Serviço",BH$12&lt;&gt;0,$H115&gt;0,OR(AUTOEVENTO&lt;&gt;"manual",$M115&lt;&gt;$A$15)),
        IF(Import.TipoArredondamento&lt;&gt;"TransfereGOV",
              ROUND(OFFSET($P115,0,BH$13),15-13*ORÇAMENTO!$AF$7)/$H115*OFFSET(ORÇAMENTO!$X$15,ROW(BH115)-ROW(BH$15),0),
              ROUND(ROUND(OFFSET($P115,0,BH$13),15-13*ORÇAMENTO!$AF$7)*OFFSET(ORÇAMENTO!$W$15,ROW(BH115)-ROW(BH$15),0),15-13*ORÇAMENTO!$AF$11)),
         0)</f>
        <v>0</v>
      </c>
      <c r="BI115" s="453">
        <f ca="1">IF(AND($D115="Serviço",BI$12&lt;&gt;0,$H115&gt;0,OR(AUTOEVENTO&lt;&gt;"manual",$M115&lt;&gt;$A$15)),
        IF(Import.TipoArredondamento&lt;&gt;"TransfereGOV",
              ROUND(OFFSET($P115,0,BI$13),15-13*ORÇAMENTO!$AF$7)/$H115*OFFSET(ORÇAMENTO!$X$15,ROW(BI115)-ROW(BI$15),0),
              ROUND(ROUND(OFFSET($P115,0,BI$13),15-13*ORÇAMENTO!$AF$7)*OFFSET(ORÇAMENTO!$W$15,ROW(BI115)-ROW(BI$15),0),15-13*ORÇAMENTO!$AF$11)),
         0)</f>
        <v>0</v>
      </c>
      <c r="BJ115" s="453">
        <f ca="1">IF(AND($D115="Serviço",BJ$12&lt;&gt;0,$H115&gt;0,OR(AUTOEVENTO&lt;&gt;"manual",$M115&lt;&gt;$A$15)),
        IF(Import.TipoArredondamento&lt;&gt;"TransfereGOV",
              ROUND(OFFSET($P115,0,BJ$13),15-13*ORÇAMENTO!$AF$7)/$H115*OFFSET(ORÇAMENTO!$X$15,ROW(BJ115)-ROW(BJ$15),0),
              ROUND(ROUND(OFFSET($P115,0,BJ$13),15-13*ORÇAMENTO!$AF$7)*OFFSET(ORÇAMENTO!$W$15,ROW(BJ115)-ROW(BJ$15),0),15-13*ORÇAMENTO!$AF$11)),
         0)</f>
        <v>0</v>
      </c>
      <c r="BK115" s="453">
        <f ca="1">IF(AND($D115="Serviço",BK$12&lt;&gt;0,$H115&gt;0,OR(AUTOEVENTO&lt;&gt;"manual",$M115&lt;&gt;$A$15)),
        IF(Import.TipoArredondamento&lt;&gt;"TransfereGOV",
              ROUND(OFFSET($P115,0,BK$13),15-13*ORÇAMENTO!$AF$7)/$H115*OFFSET(ORÇAMENTO!$X$15,ROW(BK115)-ROW(BK$15),0),
              ROUND(ROUND(OFFSET($P115,0,BK$13),15-13*ORÇAMENTO!$AF$7)*OFFSET(ORÇAMENTO!$W$15,ROW(BK115)-ROW(BK$15),0),15-13*ORÇAMENTO!$AF$11)),
         0)</f>
        <v>0</v>
      </c>
      <c r="BL115" s="453">
        <f ca="1">IF(AND($D115="Serviço",BL$12&lt;&gt;0,$H115&gt;0,OR(AUTOEVENTO&lt;&gt;"manual",$M115&lt;&gt;$A$15)),
        IF(Import.TipoArredondamento&lt;&gt;"TransfereGOV",
              ROUND(OFFSET($P115,0,BL$13),15-13*ORÇAMENTO!$AF$7)/$H115*OFFSET(ORÇAMENTO!$X$15,ROW(BL115)-ROW(BL$15),0),
              ROUND(ROUND(OFFSET($P115,0,BL$13),15-13*ORÇAMENTO!$AF$7)*OFFSET(ORÇAMENTO!$W$15,ROW(BL115)-ROW(BL$15),0),15-13*ORÇAMENTO!$AF$11)),
         0)</f>
        <v>0</v>
      </c>
      <c r="BM115" s="453">
        <f ca="1">IF(AND($D115="Serviço",BM$12&lt;&gt;0,$H115&gt;0,OR(AUTOEVENTO&lt;&gt;"manual",$M115&lt;&gt;$A$15)),
        IF(Import.TipoArredondamento&lt;&gt;"TransfereGOV",
              ROUND(OFFSET($P115,0,BM$13),15-13*ORÇAMENTO!$AF$7)/$H115*OFFSET(ORÇAMENTO!$X$15,ROW(BM115)-ROW(BM$15),0),
              ROUND(ROUND(OFFSET($P115,0,BM$13),15-13*ORÇAMENTO!$AF$7)*OFFSET(ORÇAMENTO!$W$15,ROW(BM115)-ROW(BM$15),0),15-13*ORÇAMENTO!$AF$11)),
         0)</f>
        <v>0</v>
      </c>
      <c r="BN115" s="453">
        <f ca="1">IF(AND($D115="Serviço",BN$12&lt;&gt;0,$H115&gt;0,OR(AUTOEVENTO&lt;&gt;"manual",$M115&lt;&gt;$A$15)),
        IF(Import.TipoArredondamento&lt;&gt;"TransfereGOV",
              ROUND(OFFSET($P115,0,BN$13),15-13*ORÇAMENTO!$AF$7)/$H115*OFFSET(ORÇAMENTO!$X$15,ROW(BN115)-ROW(BN$15),0),
              ROUND(ROUND(OFFSET($P115,0,BN$13),15-13*ORÇAMENTO!$AF$7)*OFFSET(ORÇAMENTO!$W$15,ROW(BN115)-ROW(BN$15),0),15-13*ORÇAMENTO!$AF$11)),
         0)</f>
        <v>0</v>
      </c>
      <c r="BO115" s="453">
        <f ca="1">IF(AND($D115="Serviço",BO$12&lt;&gt;0,$H115&gt;0,OR(AUTOEVENTO&lt;&gt;"manual",$M115&lt;&gt;$A$15)),
        IF(Import.TipoArredondamento&lt;&gt;"TransfereGOV",
              ROUND(OFFSET($P115,0,BO$13),15-13*ORÇAMENTO!$AF$7)/$H115*OFFSET(ORÇAMENTO!$X$15,ROW(BO115)-ROW(BO$15),0),
              ROUND(ROUND(OFFSET($P115,0,BO$13),15-13*ORÇAMENTO!$AF$7)*OFFSET(ORÇAMENTO!$W$15,ROW(BO115)-ROW(BO$15),0),15-13*ORÇAMENTO!$AF$11)),
         0)</f>
        <v>0</v>
      </c>
      <c r="BP115" s="453">
        <f ca="1">IF(AND($D115="Serviço",BP$12&lt;&gt;0,$H115&gt;0,OR(AUTOEVENTO&lt;&gt;"manual",$M115&lt;&gt;$A$15)),
        IF(Import.TipoArredondamento&lt;&gt;"TransfereGOV",
              ROUND(OFFSET($P115,0,BP$13),15-13*ORÇAMENTO!$AF$7)/$H115*OFFSET(ORÇAMENTO!$X$15,ROW(BP115)-ROW(BP$15),0),
              ROUND(ROUND(OFFSET($P115,0,BP$13),15-13*ORÇAMENTO!$AF$7)*OFFSET(ORÇAMENTO!$W$15,ROW(BP115)-ROW(BP$15),0),15-13*ORÇAMENTO!$AF$11)),
         0)</f>
        <v>0</v>
      </c>
      <c r="BQ115" s="453">
        <f ca="1">IF(AND($D115="Serviço",BQ$12&lt;&gt;0,$H115&gt;0,OR(AUTOEVENTO&lt;&gt;"manual",$M115&lt;&gt;$A$15)),
        IF(Import.TipoArredondamento&lt;&gt;"TransfereGOV",
              ROUND(OFFSET($P115,0,BQ$13),15-13*ORÇAMENTO!$AF$7)/$H115*OFFSET(ORÇAMENTO!$X$15,ROW(BQ115)-ROW(BQ$15),0),
              ROUND(ROUND(OFFSET($P115,0,BQ$13),15-13*ORÇAMENTO!$AF$7)*OFFSET(ORÇAMENTO!$W$15,ROW(BQ115)-ROW(BQ$15),0),15-13*ORÇAMENTO!$AF$11)),
         0)</f>
        <v>0</v>
      </c>
      <c r="BS115" s="171">
        <f ca="1">IF(OR($D115&lt;&gt;"Serviço",AND(AUTOEVENTO="Manual",$M115=$A$15)),0,
         IF(OFFSET(CRONOPLE!$F$15,$M115-$A$15,BS$13)=0,10^12,OFFSET(CRONOPLE!$F$15,$M115-$A$15,BS$13)))</f>
        <v>0</v>
      </c>
      <c r="BT115" s="171">
        <f ca="1">IF(OR($D115&lt;&gt;"Serviço",AND(AUTOEVENTO="Manual",$M115=$A$15)),0,
         IF(OFFSET(CRONOPLE!$F$15,$M115-$A$15,BT$13)=0,10^12,OFFSET(CRONOPLE!$F$15,$M115-$A$15,BT$13)))</f>
        <v>0</v>
      </c>
      <c r="BU115" s="171">
        <f ca="1">IF(OR($D115&lt;&gt;"Serviço",AND(AUTOEVENTO="Manual",$M115=$A$15)),0,
         IF(OFFSET(CRONOPLE!$F$15,$M115-$A$15,BU$13)=0,10^12,OFFSET(CRONOPLE!$F$15,$M115-$A$15,BU$13)))</f>
        <v>0</v>
      </c>
      <c r="BV115" s="171">
        <f ca="1">IF(OR($D115&lt;&gt;"Serviço",AND(AUTOEVENTO="Manual",$M115=$A$15)),0,
         IF(OFFSET(CRONOPLE!$F$15,$M115-$A$15,BV$13)=0,10^12,OFFSET(CRONOPLE!$F$15,$M115-$A$15,BV$13)))</f>
        <v>0</v>
      </c>
      <c r="BW115" s="171">
        <f ca="1">IF(OR($D115&lt;&gt;"Serviço",AND(AUTOEVENTO="Manual",$M115=$A$15)),0,
         IF(OFFSET(CRONOPLE!$F$15,$M115-$A$15,BW$13)=0,10^12,OFFSET(CRONOPLE!$F$15,$M115-$A$15,BW$13)))</f>
        <v>0</v>
      </c>
      <c r="BX115" s="171">
        <f ca="1">IF(OR($D115&lt;&gt;"Serviço",AND(AUTOEVENTO="Manual",$M115=$A$15)),0,
         IF(OFFSET(CRONOPLE!$F$15,$M115-$A$15,BX$13)=0,10^12,OFFSET(CRONOPLE!$F$15,$M115-$A$15,BX$13)))</f>
        <v>0</v>
      </c>
      <c r="BY115" s="171">
        <f ca="1">IF(OR($D115&lt;&gt;"Serviço",AND(AUTOEVENTO="Manual",$M115=$A$15)),0,
         IF(OFFSET(CRONOPLE!$F$15,$M115-$A$15,BY$13)=0,10^12,OFFSET(CRONOPLE!$F$15,$M115-$A$15,BY$13)))</f>
        <v>0</v>
      </c>
      <c r="BZ115" s="171">
        <f ca="1">IF(OR($D115&lt;&gt;"Serviço",AND(AUTOEVENTO="Manual",$M115=$A$15)),0,
         IF(OFFSET(CRONOPLE!$F$15,$M115-$A$15,BZ$13)=0,10^12,OFFSET(CRONOPLE!$F$15,$M115-$A$15,BZ$13)))</f>
        <v>0</v>
      </c>
      <c r="CA115" s="171">
        <f ca="1">IF(OR($D115&lt;&gt;"Serviço",AND(AUTOEVENTO="Manual",$M115=$A$15)),0,
         IF(OFFSET(CRONOPLE!$F$15,$M115-$A$15,CA$13)=0,10^12,OFFSET(CRONOPLE!$F$15,$M115-$A$15,CA$13)))</f>
        <v>0</v>
      </c>
      <c r="CB115" s="171">
        <f ca="1">IF(OR($D115&lt;&gt;"Serviço",AND(AUTOEVENTO="Manual",$M115=$A$15)),0,
         IF(OFFSET(CRONOPLE!$F$15,$M115-$A$15,CB$13)=0,10^12,OFFSET(CRONOPLE!$F$15,$M115-$A$15,CB$13)))</f>
        <v>0</v>
      </c>
      <c r="CC115" s="171">
        <f ca="1">IF(OR($D115&lt;&gt;"Serviço",AND(AUTOEVENTO="Manual",$M115=$A$15)),0,
         IF(OFFSET(CRONOPLE!$F$15,$M115-$A$15,CC$13)=0,10^12,OFFSET(CRONOPLE!$F$15,$M115-$A$15,CC$13)))</f>
        <v>0</v>
      </c>
      <c r="CD115" s="171">
        <f ca="1">IF(OR($D115&lt;&gt;"Serviço",AND(AUTOEVENTO="Manual",$M115=$A$15)),0,
         IF(OFFSET(CRONOPLE!$F$15,$M115-$A$15,CD$13)=0,10^12,OFFSET(CRONOPLE!$F$15,$M115-$A$15,CD$13)))</f>
        <v>0</v>
      </c>
      <c r="CE115" s="171">
        <f ca="1">IF(OR($D115&lt;&gt;"Serviço",AND(AUTOEVENTO="Manual",$M115=$A$15)),0,
         IF(OFFSET(CRONOPLE!$F$15,$M115-$A$15,CE$13)=0,10^12,OFFSET(CRONOPLE!$F$15,$M115-$A$15,CE$13)))</f>
        <v>0</v>
      </c>
      <c r="CF115" s="171">
        <f ca="1">IF(OR($D115&lt;&gt;"Serviço",AND(AUTOEVENTO="Manual",$M115=$A$15)),0,
         IF(OFFSET(CRONOPLE!$F$15,$M115-$A$15,CF$13)=0,10^12,OFFSET(CRONOPLE!$F$15,$M115-$A$15,CF$13)))</f>
        <v>0</v>
      </c>
      <c r="CG115" s="171">
        <f ca="1">IF(OR($D115&lt;&gt;"Serviço",AND(AUTOEVENTO="Manual",$M115=$A$15)),0,
         IF(OFFSET(CRONOPLE!$F$15,$M115-$A$15,CG$13)=0,10^12,OFFSET(CRONOPLE!$F$15,$M115-$A$15,CG$13)))</f>
        <v>0</v>
      </c>
      <c r="CH115" s="171">
        <f ca="1">IF(OR($D115&lt;&gt;"Serviço",AND(AUTOEVENTO="Manual",$M115=$A$15)),0,
         IF(OFFSET(CRONOPLE!$F$15,$M115-$A$15,CH$13)=0,10^12,OFFSET(CRONOPLE!$F$15,$M115-$A$15,CH$13)))</f>
        <v>0</v>
      </c>
      <c r="CI115" s="171">
        <f ca="1">IF(OR($D115&lt;&gt;"Serviço",AND(AUTOEVENTO="Manual",$M115=$A$15)),0,
         IF(OFFSET(CRONOPLE!$F$15,$M115-$A$15,CI$13)=0,10^12,OFFSET(CRONOPLE!$F$15,$M115-$A$15,CI$13)))</f>
        <v>0</v>
      </c>
      <c r="CJ115" s="171">
        <f ca="1">IF(OR($D115&lt;&gt;"Serviço",AND(AUTOEVENTO="Manual",$M115=$A$15)),0,
         IF(OFFSET(CRONOPLE!$F$15,$M115-$A$15,CJ$13)=0,10^12,OFFSET(CRONOPLE!$F$15,$M115-$A$15,CJ$13)))</f>
        <v>0</v>
      </c>
      <c r="CK115" s="171">
        <f ca="1">IF(OR($D115&lt;&gt;"Serviço",AND(AUTOEVENTO="Manual",$M115=$A$15)),0,
         IF(OFFSET(CRONOPLE!$F$15,$M115-$A$15,CK$13)=0,10^12,OFFSET(CRONOPLE!$F$15,$M115-$A$15,CK$13)))</f>
        <v>0</v>
      </c>
      <c r="CL115" s="171">
        <f ca="1">IF(OR($D115&lt;&gt;"Serviço",AND(AUTOEVENTO="Manual",$M115=$A$15)),0,
         IF(OFFSET(CRONOPLE!$F$15,$M115-$A$15,CL$13)=0,10^12,OFFSET(CRONOPLE!$F$15,$M115-$A$15,CL$13)))</f>
        <v>0</v>
      </c>
      <c r="CM115" s="171">
        <f ca="1">IF(OR($D115&lt;&gt;"Serviço",AND(AUTOEVENTO="Manual",$M115=$A$15)),0,
         IF(OFFSET(CRONOPLE!$F$15,$M115-$A$15,CM$13)=0,10^12,OFFSET(CRONOPLE!$F$15,$M115-$A$15,CM$13)))</f>
        <v>0</v>
      </c>
      <c r="CN115" s="171">
        <f ca="1">IF(OR($D115&lt;&gt;"Serviço",AND(AUTOEVENTO="Manual",$M115=$A$15)),0,
         IF(OFFSET(CRONOPLE!$F$15,$M115-$A$15,CN$13)=0,10^12,OFFSET(CRONOPLE!$F$15,$M115-$A$15,CN$13)))</f>
        <v>0</v>
      </c>
      <c r="CO115" s="171">
        <f ca="1">IF(OR($D115&lt;&gt;"Serviço",AND(AUTOEVENTO="Manual",$M115=$A$15)),0,
         IF(OFFSET(CRONOPLE!$F$15,$M115-$A$15,CO$13)=0,10^12,OFFSET(CRONOPLE!$F$15,$M115-$A$15,CO$13)))</f>
        <v>0</v>
      </c>
      <c r="CP115" s="171">
        <f ca="1">IF(OR($D115&lt;&gt;"Serviço",AND(AUTOEVENTO="Manual",$M115=$A$15)),0,
         IF(OFFSET(CRONOPLE!$F$15,$M115-$A$15,CP$13)=0,10^12,OFFSET(CRONOPLE!$F$15,$M115-$A$15,CP$13)))</f>
        <v>0</v>
      </c>
      <c r="CQ115" s="171">
        <f ca="1">IF(OR($D115&lt;&gt;"Serviço",AND(AUTOEVENTO="Manual",$M115=$A$15)),0,
         IF(OFFSET(CRONOPLE!$F$15,$M115-$A$15,CQ$13)=0,10^12,OFFSET(CRONOPLE!$F$15,$M115-$A$15,CQ$13)))</f>
        <v>0</v>
      </c>
      <c r="CR115" s="171">
        <f ca="1">IF(OR($D115&lt;&gt;"Serviço",AND(AUTOEVENTO="Manual",$M115=$A$15)),0,
         IF(OFFSET(CRONOPLE!$F$15,$M115-$A$15,CR$13)=0,10^12,OFFSET(CRONOPLE!$F$15,$M115-$A$15,CR$13)))</f>
        <v>0</v>
      </c>
      <c r="CT115" s="172" cm="1">
        <f t="array" aca="1" ref="CT115" ca="1">IF(OR($D115&lt;&gt;"Serviço",AND(AUTOEVENTO="Manual",$M115=$A$15),$M115&gt;(ROW(PLE.lastrow)-ROW(PLE.firstrow))),0,
           IF(OFFSET(PLE!$G$15,$M115-$A$15,CT$13)="",10^12,OFFSET(PLE!$G$15,$M115-$A$15,CT$13)))</f>
        <v>0</v>
      </c>
      <c r="CU115" s="172" cm="1">
        <f t="array" aca="1" ref="CU115" ca="1">IF(OR($D115&lt;&gt;"Serviço",AND(AUTOEVENTO="Manual",$M115=$A$15),$M115&gt;(ROW(PLE.lastrow)-ROW(PLE.firstrow))),0,
           IF(OFFSET(PLE!$G$15,$M115-$A$15,CU$13)="",10^12,OFFSET(PLE!$G$15,$M115-$A$15,CU$13)))</f>
        <v>0</v>
      </c>
      <c r="CV115" s="172" cm="1">
        <f t="array" aca="1" ref="CV115" ca="1">IF(OR($D115&lt;&gt;"Serviço",AND(AUTOEVENTO="Manual",$M115=$A$15),$M115&gt;(ROW(PLE.lastrow)-ROW(PLE.firstrow))),0,
           IF(OFFSET(PLE!$G$15,$M115-$A$15,CV$13)="",10^12,OFFSET(PLE!$G$15,$M115-$A$15,CV$13)))</f>
        <v>0</v>
      </c>
      <c r="CW115" s="172" cm="1">
        <f t="array" aca="1" ref="CW115" ca="1">IF(OR($D115&lt;&gt;"Serviço",AND(AUTOEVENTO="Manual",$M115=$A$15),$M115&gt;(ROW(PLE.lastrow)-ROW(PLE.firstrow))),0,
           IF(OFFSET(PLE!$G$15,$M115-$A$15,CW$13)="",10^12,OFFSET(PLE!$G$15,$M115-$A$15,CW$13)))</f>
        <v>0</v>
      </c>
      <c r="CX115" s="172" cm="1">
        <f t="array" aca="1" ref="CX115" ca="1">IF(OR($D115&lt;&gt;"Serviço",AND(AUTOEVENTO="Manual",$M115=$A$15),$M115&gt;(ROW(PLE.lastrow)-ROW(PLE.firstrow))),0,
           IF(OFFSET(PLE!$G$15,$M115-$A$15,CX$13)="",10^12,OFFSET(PLE!$G$15,$M115-$A$15,CX$13)))</f>
        <v>0</v>
      </c>
      <c r="CY115" s="172" cm="1">
        <f t="array" aca="1" ref="CY115" ca="1">IF(OR($D115&lt;&gt;"Serviço",AND(AUTOEVENTO="Manual",$M115=$A$15),$M115&gt;(ROW(PLE.lastrow)-ROW(PLE.firstrow))),0,
           IF(OFFSET(PLE!$G$15,$M115-$A$15,CY$13)="",10^12,OFFSET(PLE!$G$15,$M115-$A$15,CY$13)))</f>
        <v>0</v>
      </c>
      <c r="CZ115" s="172" cm="1">
        <f t="array" aca="1" ref="CZ115" ca="1">IF(OR($D115&lt;&gt;"Serviço",AND(AUTOEVENTO="Manual",$M115=$A$15),$M115&gt;(ROW(PLE.lastrow)-ROW(PLE.firstrow))),0,
           IF(OFFSET(PLE!$G$15,$M115-$A$15,CZ$13)="",10^12,OFFSET(PLE!$G$15,$M115-$A$15,CZ$13)))</f>
        <v>0</v>
      </c>
      <c r="DA115" s="172" cm="1">
        <f t="array" aca="1" ref="DA115" ca="1">IF(OR($D115&lt;&gt;"Serviço",AND(AUTOEVENTO="Manual",$M115=$A$15),$M115&gt;(ROW(PLE.lastrow)-ROW(PLE.firstrow))),0,
           IF(OFFSET(PLE!$G$15,$M115-$A$15,DA$13)="",10^12,OFFSET(PLE!$G$15,$M115-$A$15,DA$13)))</f>
        <v>0</v>
      </c>
      <c r="DB115" s="172" cm="1">
        <f t="array" aca="1" ref="DB115" ca="1">IF(OR($D115&lt;&gt;"Serviço",AND(AUTOEVENTO="Manual",$M115=$A$15),$M115&gt;(ROW(PLE.lastrow)-ROW(PLE.firstrow))),0,
           IF(OFFSET(PLE!$G$15,$M115-$A$15,DB$13)="",10^12,OFFSET(PLE!$G$15,$M115-$A$15,DB$13)))</f>
        <v>0</v>
      </c>
      <c r="DC115" s="172" cm="1">
        <f t="array" aca="1" ref="DC115" ca="1">IF(OR($D115&lt;&gt;"Serviço",AND(AUTOEVENTO="Manual",$M115=$A$15),$M115&gt;(ROW(PLE.lastrow)-ROW(PLE.firstrow))),0,
           IF(OFFSET(PLE!$G$15,$M115-$A$15,DC$13)="",10^12,OFFSET(PLE!$G$15,$M115-$A$15,DC$13)))</f>
        <v>0</v>
      </c>
      <c r="DD115" s="172" cm="1">
        <f t="array" aca="1" ref="DD115" ca="1">IF(OR($D115&lt;&gt;"Serviço",AND(AUTOEVENTO="Manual",$M115=$A$15),$M115&gt;(ROW(PLE.lastrow)-ROW(PLE.firstrow))),0,
           IF(OFFSET(PLE!$G$15,$M115-$A$15,DD$13)="",10^12,OFFSET(PLE!$G$15,$M115-$A$15,DD$13)))</f>
        <v>0</v>
      </c>
      <c r="DE115" s="172" cm="1">
        <f t="array" aca="1" ref="DE115" ca="1">IF(OR($D115&lt;&gt;"Serviço",AND(AUTOEVENTO="Manual",$M115=$A$15),$M115&gt;(ROW(PLE.lastrow)-ROW(PLE.firstrow))),0,
           IF(OFFSET(PLE!$G$15,$M115-$A$15,DE$13)="",10^12,OFFSET(PLE!$G$15,$M115-$A$15,DE$13)))</f>
        <v>0</v>
      </c>
      <c r="DF115" s="172" cm="1">
        <f t="array" aca="1" ref="DF115" ca="1">IF(OR($D115&lt;&gt;"Serviço",AND(AUTOEVENTO="Manual",$M115=$A$15),$M115&gt;(ROW(PLE.lastrow)-ROW(PLE.firstrow))),0,
           IF(OFFSET(PLE!$G$15,$M115-$A$15,DF$13)="",10^12,OFFSET(PLE!$G$15,$M115-$A$15,DF$13)))</f>
        <v>0</v>
      </c>
      <c r="DG115" s="172" cm="1">
        <f t="array" aca="1" ref="DG115" ca="1">IF(OR($D115&lt;&gt;"Serviço",AND(AUTOEVENTO="Manual",$M115=$A$15),$M115&gt;(ROW(PLE.lastrow)-ROW(PLE.firstrow))),0,
           IF(OFFSET(PLE!$G$15,$M115-$A$15,DG$13)="",10^12,OFFSET(PLE!$G$15,$M115-$A$15,DG$13)))</f>
        <v>0</v>
      </c>
      <c r="DH115" s="172" cm="1">
        <f t="array" aca="1" ref="DH115" ca="1">IF(OR($D115&lt;&gt;"Serviço",AND(AUTOEVENTO="Manual",$M115=$A$15),$M115&gt;(ROW(PLE.lastrow)-ROW(PLE.firstrow))),0,
           IF(OFFSET(PLE!$G$15,$M115-$A$15,DH$13)="",10^12,OFFSET(PLE!$G$15,$M115-$A$15,DH$13)))</f>
        <v>0</v>
      </c>
      <c r="DI115" s="172" cm="1">
        <f t="array" aca="1" ref="DI115" ca="1">IF(OR($D115&lt;&gt;"Serviço",AND(AUTOEVENTO="Manual",$M115=$A$15),$M115&gt;(ROW(PLE.lastrow)-ROW(PLE.firstrow))),0,
           IF(OFFSET(PLE!$G$15,$M115-$A$15,DI$13)="",10^12,OFFSET(PLE!$G$15,$M115-$A$15,DI$13)))</f>
        <v>0</v>
      </c>
      <c r="DJ115" s="172" cm="1">
        <f t="array" aca="1" ref="DJ115" ca="1">IF(OR($D115&lt;&gt;"Serviço",AND(AUTOEVENTO="Manual",$M115=$A$15),$M115&gt;(ROW(PLE.lastrow)-ROW(PLE.firstrow))),0,
           IF(OFFSET(PLE!$G$15,$M115-$A$15,DJ$13)="",10^12,OFFSET(PLE!$G$15,$M115-$A$15,DJ$13)))</f>
        <v>0</v>
      </c>
      <c r="DK115" s="172" cm="1">
        <f t="array" aca="1" ref="DK115" ca="1">IF(OR($D115&lt;&gt;"Serviço",AND(AUTOEVENTO="Manual",$M115=$A$15),$M115&gt;(ROW(PLE.lastrow)-ROW(PLE.firstrow))),0,
           IF(OFFSET(PLE!$G$15,$M115-$A$15,DK$13)="",10^12,OFFSET(PLE!$G$15,$M115-$A$15,DK$13)))</f>
        <v>0</v>
      </c>
      <c r="DL115" s="172" cm="1">
        <f t="array" aca="1" ref="DL115" ca="1">IF(OR($D115&lt;&gt;"Serviço",AND(AUTOEVENTO="Manual",$M115=$A$15),$M115&gt;(ROW(PLE.lastrow)-ROW(PLE.firstrow))),0,
           IF(OFFSET(PLE!$G$15,$M115-$A$15,DL$13)="",10^12,OFFSET(PLE!$G$15,$M115-$A$15,DL$13)))</f>
        <v>0</v>
      </c>
      <c r="DM115" s="172" cm="1">
        <f t="array" aca="1" ref="DM115" ca="1">IF(OR($D115&lt;&gt;"Serviço",AND(AUTOEVENTO="Manual",$M115=$A$15),$M115&gt;(ROW(PLE.lastrow)-ROW(PLE.firstrow))),0,
           IF(OFFSET(PLE!$G$15,$M115-$A$15,DM$13)="",10^12,OFFSET(PLE!$G$15,$M115-$A$15,DM$13)))</f>
        <v>0</v>
      </c>
      <c r="DN115" s="172" cm="1">
        <f t="array" aca="1" ref="DN115" ca="1">IF(OR($D115&lt;&gt;"Serviço",AND(AUTOEVENTO="Manual",$M115=$A$15),$M115&gt;(ROW(PLE.lastrow)-ROW(PLE.firstrow))),0,
           IF(OFFSET(PLE!$G$15,$M115-$A$15,DN$13)="",10^12,OFFSET(PLE!$G$15,$M115-$A$15,DN$13)))</f>
        <v>0</v>
      </c>
      <c r="DO115" s="172" cm="1">
        <f t="array" aca="1" ref="DO115" ca="1">IF(OR($D115&lt;&gt;"Serviço",AND(AUTOEVENTO="Manual",$M115=$A$15),$M115&gt;(ROW(PLE.lastrow)-ROW(PLE.firstrow))),0,
           IF(OFFSET(PLE!$G$15,$M115-$A$15,DO$13)="",10^12,OFFSET(PLE!$G$15,$M115-$A$15,DO$13)))</f>
        <v>0</v>
      </c>
      <c r="DP115" s="172" cm="1">
        <f t="array" aca="1" ref="DP115" ca="1">IF(OR($D115&lt;&gt;"Serviço",AND(AUTOEVENTO="Manual",$M115=$A$15),$M115&gt;(ROW(PLE.lastrow)-ROW(PLE.firstrow))),0,
           IF(OFFSET(PLE!$G$15,$M115-$A$15,DP$13)="",10^12,OFFSET(PLE!$G$15,$M115-$A$15,DP$13)))</f>
        <v>0</v>
      </c>
      <c r="DQ115" s="172" cm="1">
        <f t="array" aca="1" ref="DQ115" ca="1">IF(OR($D115&lt;&gt;"Serviço",AND(AUTOEVENTO="Manual",$M115=$A$15),$M115&gt;(ROW(PLE.lastrow)-ROW(PLE.firstrow))),0,
           IF(OFFSET(PLE!$G$15,$M115-$A$15,DQ$13)="",10^12,OFFSET(PLE!$G$15,$M115-$A$15,DQ$13)))</f>
        <v>0</v>
      </c>
      <c r="DR115" s="172" cm="1">
        <f t="array" aca="1" ref="DR115" ca="1">IF(OR($D115&lt;&gt;"Serviço",AND(AUTOEVENTO="Manual",$M115=$A$15),$M115&gt;(ROW(PLE.lastrow)-ROW(PLE.firstrow))),0,
           IF(OFFSET(PLE!$G$15,$M115-$A$15,DR$13)="",10^12,OFFSET(PLE!$G$15,$M115-$A$15,DR$13)))</f>
        <v>0</v>
      </c>
      <c r="DS115" s="172" cm="1">
        <f t="array" aca="1" ref="DS115" ca="1">IF(OR($D115&lt;&gt;"Serviço",AND(AUTOEVENTO="Manual",$M115=$A$15),$M115&gt;(ROW(PLE.lastrow)-ROW(PLE.firstrow))),0,
           IF(OFFSET(PLE!$G$15,$M115-$A$15,DS$13)="",10^12,OFFSET(PLE!$G$15,$M115-$A$15,DS$13)))</f>
        <v>0</v>
      </c>
    </row>
    <row r="116" spans="1:123" ht="38.25" x14ac:dyDescent="0.2">
      <c r="A116" s="7">
        <f t="shared" ca="1" si="13"/>
        <v>8</v>
      </c>
      <c r="B116" s="7" t="str">
        <f ca="1">OFFSET(ORÇAMENTO!C$15,$L116,0)</f>
        <v>S</v>
      </c>
      <c r="C116" s="7" t="str">
        <f ca="1">OFFSET(ORÇAMENTO!L$15,$L116,0)</f>
        <v/>
      </c>
      <c r="D116" s="116" t="str">
        <f ca="1">OFFSET(ORÇAMENTO!N$15,$L116,0)</f>
        <v>Serviço</v>
      </c>
      <c r="E116" s="117" t="str">
        <f ca="1">OFFSET(ORÇAMENTO!O$15,$L116,0)</f>
        <v>-</v>
      </c>
      <c r="F116" s="163" t="str">
        <f ca="1">OFFSET(ORÇAMENTO!R$15,$L116,0)</f>
        <v>(Código não identificado nas referências)</v>
      </c>
      <c r="G116" s="164" t="str">
        <f ca="1">IF($D116&lt;&gt;"Serviço","",OFFSET(ORÇAMENTO!S$15,$L116,0))</f>
        <v>-</v>
      </c>
      <c r="H116" s="122" cm="1">
        <f t="array" aca="1" ref="H116" ca="1">IF($D116&lt;&gt;"Serviço",0,IF(ACOMPANHAMENTO="BM",ROUND(OFFSET(ORÇAMENTO!AJ$15,$L116,0),15-13*ORÇAMENTO!$AF$7),IF(IFERROR(CÁLCULO.FrentesPreenchidas,0)=0,0,SUM(ROUND(OFFSET($P116,0,1,1,CÁLCULO.FrentesPreenchidas),15-13*ORÇAMENTO!$AF$7)))))</f>
        <v>1077.3999999999999</v>
      </c>
      <c r="I116" s="468" t="s">
        <v>1235</v>
      </c>
      <c r="J116" s="651" t="str" cm="1">
        <f t="array" aca="1" ref="J116" ca="1">IF(OR(B116&lt;&gt;"S",CÁLCULO.FrentesPreenchidas=0),"",IF(AND(ACOMPANHAMENTO="PLE",AUTOEVENTO="Manual",OR(H116&gt;0,ORÇAMENTO!AC116="QUANT."),OR(K116="",M116=0,N116="")),"►E",IF(AND(ACOMPANHAMENTO="PLE",ORÇAMENTO!AC116="QUANT."),"►Q",IF(AND(ACOMPANHAMENTO="PLE",H116&lt;&gt;SUMPRODUCT(($Q$1:$AQ$1=1)*ROUND(Q116:AQ116,15))),"►S",IF(AND(COUNTIF($P$11:$AQ$11,"▼")=0,H116&gt;0,I116=""),"◄M","")))))</f>
        <v/>
      </c>
      <c r="K116" s="652" t="s">
        <v>1256</v>
      </c>
      <c r="L116" s="165">
        <f t="shared" ca="1" si="14"/>
        <v>101</v>
      </c>
      <c r="M116" s="166">
        <f ca="1">IF($D116&lt;&gt;"Serviço","",
          IF(AUTOEVENTO="manual",$A116,
                IF(ISERROR(MATCH($A116,$A$15:OFFSET($A116,-1,0),0)),MAX($M$15:OFFSET(M116,-1,0))+1,
                      INDEX($M$15:OFFSET(M116,-1,0),MATCH($A116,$A$15:OFFSET($A116,-1,0),0)))))</f>
        <v>8</v>
      </c>
      <c r="N116" s="167" t="str">
        <f ca="1">IF($D116&lt;&gt;"Serviço","",
         IF(AUTOEVENTO="Manual",
                IF($A116=0,"&lt;-- defina o número do agrupador",
                       OFFSET(EVENTOS!$D$15,$A116-$A$15,0)),
                OFFSET($F$15,$A116,0)))</f>
        <v>PAVIMENTAÇÕES</v>
      </c>
      <c r="O116" s="168"/>
      <c r="Q116" s="168">
        <v>53.87</v>
      </c>
      <c r="R116" s="169">
        <v>53.87</v>
      </c>
      <c r="S116" s="169">
        <v>53.87</v>
      </c>
      <c r="T116" s="169">
        <v>53.87</v>
      </c>
      <c r="U116" s="169">
        <v>53.87</v>
      </c>
      <c r="V116" s="169">
        <v>53.87</v>
      </c>
      <c r="W116" s="169">
        <v>53.87</v>
      </c>
      <c r="X116" s="169">
        <v>53.87</v>
      </c>
      <c r="Y116" s="169">
        <v>53.87</v>
      </c>
      <c r="Z116" s="170">
        <v>53.87</v>
      </c>
      <c r="AA116" s="169">
        <v>53.87</v>
      </c>
      <c r="AB116" s="169">
        <v>53.87</v>
      </c>
      <c r="AC116" s="169">
        <v>53.87</v>
      </c>
      <c r="AD116" s="169">
        <v>53.87</v>
      </c>
      <c r="AE116" s="169">
        <v>53.87</v>
      </c>
      <c r="AF116" s="169">
        <v>53.87</v>
      </c>
      <c r="AG116" s="169">
        <v>53.87</v>
      </c>
      <c r="AH116" s="170">
        <v>53.87</v>
      </c>
      <c r="AI116" s="169">
        <v>53.87</v>
      </c>
      <c r="AJ116" s="169">
        <v>53.87</v>
      </c>
      <c r="AK116" s="169"/>
      <c r="AL116" s="169"/>
      <c r="AM116" s="169"/>
      <c r="AN116" s="169"/>
      <c r="AO116" s="169"/>
      <c r="AP116" s="170"/>
      <c r="AR116" s="453">
        <f ca="1">IF(AND($D116="Serviço",AR$12&lt;&gt;0,$H116&gt;0,OR(AUTOEVENTO&lt;&gt;"manual",$M116&lt;&gt;$A$15)),
        IF(Import.TipoArredondamento&lt;&gt;"TransfereGOV",
              ROUND(OFFSET($P116,0,AR$13),15-13*ORÇAMENTO!$AF$7)/$H116*OFFSET(ORÇAMENTO!$X$15,ROW(AR116)-ROW(AR$15),0),
              ROUND(ROUND(OFFSET($P116,0,AR$13),15-13*ORÇAMENTO!$AF$7)*OFFSET(ORÇAMENTO!$W$15,ROW(AR116)-ROW(AR$15),0),15-13*ORÇAMENTO!$AF$11)),
         0)</f>
        <v>0</v>
      </c>
      <c r="AS116" s="453">
        <f ca="1">IF(AND($D116="Serviço",AS$12&lt;&gt;0,$H116&gt;0,OR(AUTOEVENTO&lt;&gt;"manual",$M116&lt;&gt;$A$15)),
        IF(Import.TipoArredondamento&lt;&gt;"TransfereGOV",
              ROUND(OFFSET($P116,0,AS$13),15-13*ORÇAMENTO!$AF$7)/$H116*OFFSET(ORÇAMENTO!$X$15,ROW(AS116)-ROW(AS$15),0),
              ROUND(ROUND(OFFSET($P116,0,AS$13),15-13*ORÇAMENTO!$AF$7)*OFFSET(ORÇAMENTO!$W$15,ROW(AS116)-ROW(AS$15),0),15-13*ORÇAMENTO!$AF$11)),
         0)</f>
        <v>0</v>
      </c>
      <c r="AT116" s="453">
        <f ca="1">IF(AND($D116="Serviço",AT$12&lt;&gt;0,$H116&gt;0,OR(AUTOEVENTO&lt;&gt;"manual",$M116&lt;&gt;$A$15)),
        IF(Import.TipoArredondamento&lt;&gt;"TransfereGOV",
              ROUND(OFFSET($P116,0,AT$13),15-13*ORÇAMENTO!$AF$7)/$H116*OFFSET(ORÇAMENTO!$X$15,ROW(AT116)-ROW(AT$15),0),
              ROUND(ROUND(OFFSET($P116,0,AT$13),15-13*ORÇAMENTO!$AF$7)*OFFSET(ORÇAMENTO!$W$15,ROW(AT116)-ROW(AT$15),0),15-13*ORÇAMENTO!$AF$11)),
         0)</f>
        <v>0</v>
      </c>
      <c r="AU116" s="453">
        <f ca="1">IF(AND($D116="Serviço",AU$12&lt;&gt;0,$H116&gt;0,OR(AUTOEVENTO&lt;&gt;"manual",$M116&lt;&gt;$A$15)),
        IF(Import.TipoArredondamento&lt;&gt;"TransfereGOV",
              ROUND(OFFSET($P116,0,AU$13),15-13*ORÇAMENTO!$AF$7)/$H116*OFFSET(ORÇAMENTO!$X$15,ROW(AU116)-ROW(AU$15),0),
              ROUND(ROUND(OFFSET($P116,0,AU$13),15-13*ORÇAMENTO!$AF$7)*OFFSET(ORÇAMENTO!$W$15,ROW(AU116)-ROW(AU$15),0),15-13*ORÇAMENTO!$AF$11)),
         0)</f>
        <v>0</v>
      </c>
      <c r="AV116" s="453">
        <f ca="1">IF(AND($D116="Serviço",AV$12&lt;&gt;0,$H116&gt;0,OR(AUTOEVENTO&lt;&gt;"manual",$M116&lt;&gt;$A$15)),
        IF(Import.TipoArredondamento&lt;&gt;"TransfereGOV",
              ROUND(OFFSET($P116,0,AV$13),15-13*ORÇAMENTO!$AF$7)/$H116*OFFSET(ORÇAMENTO!$X$15,ROW(AV116)-ROW(AV$15),0),
              ROUND(ROUND(OFFSET($P116,0,AV$13),15-13*ORÇAMENTO!$AF$7)*OFFSET(ORÇAMENTO!$W$15,ROW(AV116)-ROW(AV$15),0),15-13*ORÇAMENTO!$AF$11)),
         0)</f>
        <v>0</v>
      </c>
      <c r="AW116" s="453">
        <f ca="1">IF(AND($D116="Serviço",AW$12&lt;&gt;0,$H116&gt;0,OR(AUTOEVENTO&lt;&gt;"manual",$M116&lt;&gt;$A$15)),
        IF(Import.TipoArredondamento&lt;&gt;"TransfereGOV",
              ROUND(OFFSET($P116,0,AW$13),15-13*ORÇAMENTO!$AF$7)/$H116*OFFSET(ORÇAMENTO!$X$15,ROW(AW116)-ROW(AW$15),0),
              ROUND(ROUND(OFFSET($P116,0,AW$13),15-13*ORÇAMENTO!$AF$7)*OFFSET(ORÇAMENTO!$W$15,ROW(AW116)-ROW(AW$15),0),15-13*ORÇAMENTO!$AF$11)),
         0)</f>
        <v>0</v>
      </c>
      <c r="AX116" s="453">
        <f ca="1">IF(AND($D116="Serviço",AX$12&lt;&gt;0,$H116&gt;0,OR(AUTOEVENTO&lt;&gt;"manual",$M116&lt;&gt;$A$15)),
        IF(Import.TipoArredondamento&lt;&gt;"TransfereGOV",
              ROUND(OFFSET($P116,0,AX$13),15-13*ORÇAMENTO!$AF$7)/$H116*OFFSET(ORÇAMENTO!$X$15,ROW(AX116)-ROW(AX$15),0),
              ROUND(ROUND(OFFSET($P116,0,AX$13),15-13*ORÇAMENTO!$AF$7)*OFFSET(ORÇAMENTO!$W$15,ROW(AX116)-ROW(AX$15),0),15-13*ORÇAMENTO!$AF$11)),
         0)</f>
        <v>0</v>
      </c>
      <c r="AY116" s="453">
        <f ca="1">IF(AND($D116="Serviço",AY$12&lt;&gt;0,$H116&gt;0,OR(AUTOEVENTO&lt;&gt;"manual",$M116&lt;&gt;$A$15)),
        IF(Import.TipoArredondamento&lt;&gt;"TransfereGOV",
              ROUND(OFFSET($P116,0,AY$13),15-13*ORÇAMENTO!$AF$7)/$H116*OFFSET(ORÇAMENTO!$X$15,ROW(AY116)-ROW(AY$15),0),
              ROUND(ROUND(OFFSET($P116,0,AY$13),15-13*ORÇAMENTO!$AF$7)*OFFSET(ORÇAMENTO!$W$15,ROW(AY116)-ROW(AY$15),0),15-13*ORÇAMENTO!$AF$11)),
         0)</f>
        <v>0</v>
      </c>
      <c r="AZ116" s="453">
        <f ca="1">IF(AND($D116="Serviço",AZ$12&lt;&gt;0,$H116&gt;0,OR(AUTOEVENTO&lt;&gt;"manual",$M116&lt;&gt;$A$15)),
        IF(Import.TipoArredondamento&lt;&gt;"TransfereGOV",
              ROUND(OFFSET($P116,0,AZ$13),15-13*ORÇAMENTO!$AF$7)/$H116*OFFSET(ORÇAMENTO!$X$15,ROW(AZ116)-ROW(AZ$15),0),
              ROUND(ROUND(OFFSET($P116,0,AZ$13),15-13*ORÇAMENTO!$AF$7)*OFFSET(ORÇAMENTO!$W$15,ROW(AZ116)-ROW(AZ$15),0),15-13*ORÇAMENTO!$AF$11)),
         0)</f>
        <v>0</v>
      </c>
      <c r="BA116" s="453">
        <f ca="1">IF(AND($D116="Serviço",BA$12&lt;&gt;0,$H116&gt;0,OR(AUTOEVENTO&lt;&gt;"manual",$M116&lt;&gt;$A$15)),
        IF(Import.TipoArredondamento&lt;&gt;"TransfereGOV",
              ROUND(OFFSET($P116,0,BA$13),15-13*ORÇAMENTO!$AF$7)/$H116*OFFSET(ORÇAMENTO!$X$15,ROW(BA116)-ROW(BA$15),0),
              ROUND(ROUND(OFFSET($P116,0,BA$13),15-13*ORÇAMENTO!$AF$7)*OFFSET(ORÇAMENTO!$W$15,ROW(BA116)-ROW(BA$15),0),15-13*ORÇAMENTO!$AF$11)),
         0)</f>
        <v>0</v>
      </c>
      <c r="BB116" s="453">
        <f ca="1">IF(AND($D116="Serviço",BB$12&lt;&gt;0,$H116&gt;0,OR(AUTOEVENTO&lt;&gt;"manual",$M116&lt;&gt;$A$15)),
        IF(Import.TipoArredondamento&lt;&gt;"TransfereGOV",
              ROUND(OFFSET($P116,0,BB$13),15-13*ORÇAMENTO!$AF$7)/$H116*OFFSET(ORÇAMENTO!$X$15,ROW(BB116)-ROW(BB$15),0),
              ROUND(ROUND(OFFSET($P116,0,BB$13),15-13*ORÇAMENTO!$AF$7)*OFFSET(ORÇAMENTO!$W$15,ROW(BB116)-ROW(BB$15),0),15-13*ORÇAMENTO!$AF$11)),
         0)</f>
        <v>0</v>
      </c>
      <c r="BC116" s="453">
        <f ca="1">IF(AND($D116="Serviço",BC$12&lt;&gt;0,$H116&gt;0,OR(AUTOEVENTO&lt;&gt;"manual",$M116&lt;&gt;$A$15)),
        IF(Import.TipoArredondamento&lt;&gt;"TransfereGOV",
              ROUND(OFFSET($P116,0,BC$13),15-13*ORÇAMENTO!$AF$7)/$H116*OFFSET(ORÇAMENTO!$X$15,ROW(BC116)-ROW(BC$15),0),
              ROUND(ROUND(OFFSET($P116,0,BC$13),15-13*ORÇAMENTO!$AF$7)*OFFSET(ORÇAMENTO!$W$15,ROW(BC116)-ROW(BC$15),0),15-13*ORÇAMENTO!$AF$11)),
         0)</f>
        <v>0</v>
      </c>
      <c r="BD116" s="453">
        <f ca="1">IF(AND($D116="Serviço",BD$12&lt;&gt;0,$H116&gt;0,OR(AUTOEVENTO&lt;&gt;"manual",$M116&lt;&gt;$A$15)),
        IF(Import.TipoArredondamento&lt;&gt;"TransfereGOV",
              ROUND(OFFSET($P116,0,BD$13),15-13*ORÇAMENTO!$AF$7)/$H116*OFFSET(ORÇAMENTO!$X$15,ROW(BD116)-ROW(BD$15),0),
              ROUND(ROUND(OFFSET($P116,0,BD$13),15-13*ORÇAMENTO!$AF$7)*OFFSET(ORÇAMENTO!$W$15,ROW(BD116)-ROW(BD$15),0),15-13*ORÇAMENTO!$AF$11)),
         0)</f>
        <v>0</v>
      </c>
      <c r="BE116" s="453">
        <f ca="1">IF(AND($D116="Serviço",BE$12&lt;&gt;0,$H116&gt;0,OR(AUTOEVENTO&lt;&gt;"manual",$M116&lt;&gt;$A$15)),
        IF(Import.TipoArredondamento&lt;&gt;"TransfereGOV",
              ROUND(OFFSET($P116,0,BE$13),15-13*ORÇAMENTO!$AF$7)/$H116*OFFSET(ORÇAMENTO!$X$15,ROW(BE116)-ROW(BE$15),0),
              ROUND(ROUND(OFFSET($P116,0,BE$13),15-13*ORÇAMENTO!$AF$7)*OFFSET(ORÇAMENTO!$W$15,ROW(BE116)-ROW(BE$15),0),15-13*ORÇAMENTO!$AF$11)),
         0)</f>
        <v>0</v>
      </c>
      <c r="BF116" s="453">
        <f ca="1">IF(AND($D116="Serviço",BF$12&lt;&gt;0,$H116&gt;0,OR(AUTOEVENTO&lt;&gt;"manual",$M116&lt;&gt;$A$15)),
        IF(Import.TipoArredondamento&lt;&gt;"TransfereGOV",
              ROUND(OFFSET($P116,0,BF$13),15-13*ORÇAMENTO!$AF$7)/$H116*OFFSET(ORÇAMENTO!$X$15,ROW(BF116)-ROW(BF$15),0),
              ROUND(ROUND(OFFSET($P116,0,BF$13),15-13*ORÇAMENTO!$AF$7)*OFFSET(ORÇAMENTO!$W$15,ROW(BF116)-ROW(BF$15),0),15-13*ORÇAMENTO!$AF$11)),
         0)</f>
        <v>0</v>
      </c>
      <c r="BG116" s="453">
        <f ca="1">IF(AND($D116="Serviço",BG$12&lt;&gt;0,$H116&gt;0,OR(AUTOEVENTO&lt;&gt;"manual",$M116&lt;&gt;$A$15)),
        IF(Import.TipoArredondamento&lt;&gt;"TransfereGOV",
              ROUND(OFFSET($P116,0,BG$13),15-13*ORÇAMENTO!$AF$7)/$H116*OFFSET(ORÇAMENTO!$X$15,ROW(BG116)-ROW(BG$15),0),
              ROUND(ROUND(OFFSET($P116,0,BG$13),15-13*ORÇAMENTO!$AF$7)*OFFSET(ORÇAMENTO!$W$15,ROW(BG116)-ROW(BG$15),0),15-13*ORÇAMENTO!$AF$11)),
         0)</f>
        <v>0</v>
      </c>
      <c r="BH116" s="453">
        <f ca="1">IF(AND($D116="Serviço",BH$12&lt;&gt;0,$H116&gt;0,OR(AUTOEVENTO&lt;&gt;"manual",$M116&lt;&gt;$A$15)),
        IF(Import.TipoArredondamento&lt;&gt;"TransfereGOV",
              ROUND(OFFSET($P116,0,BH$13),15-13*ORÇAMENTO!$AF$7)/$H116*OFFSET(ORÇAMENTO!$X$15,ROW(BH116)-ROW(BH$15),0),
              ROUND(ROUND(OFFSET($P116,0,BH$13),15-13*ORÇAMENTO!$AF$7)*OFFSET(ORÇAMENTO!$W$15,ROW(BH116)-ROW(BH$15),0),15-13*ORÇAMENTO!$AF$11)),
         0)</f>
        <v>0</v>
      </c>
      <c r="BI116" s="453">
        <f ca="1">IF(AND($D116="Serviço",BI$12&lt;&gt;0,$H116&gt;0,OR(AUTOEVENTO&lt;&gt;"manual",$M116&lt;&gt;$A$15)),
        IF(Import.TipoArredondamento&lt;&gt;"TransfereGOV",
              ROUND(OFFSET($P116,0,BI$13),15-13*ORÇAMENTO!$AF$7)/$H116*OFFSET(ORÇAMENTO!$X$15,ROW(BI116)-ROW(BI$15),0),
              ROUND(ROUND(OFFSET($P116,0,BI$13),15-13*ORÇAMENTO!$AF$7)*OFFSET(ORÇAMENTO!$W$15,ROW(BI116)-ROW(BI$15),0),15-13*ORÇAMENTO!$AF$11)),
         0)</f>
        <v>0</v>
      </c>
      <c r="BJ116" s="453">
        <f ca="1">IF(AND($D116="Serviço",BJ$12&lt;&gt;0,$H116&gt;0,OR(AUTOEVENTO&lt;&gt;"manual",$M116&lt;&gt;$A$15)),
        IF(Import.TipoArredondamento&lt;&gt;"TransfereGOV",
              ROUND(OFFSET($P116,0,BJ$13),15-13*ORÇAMENTO!$AF$7)/$H116*OFFSET(ORÇAMENTO!$X$15,ROW(BJ116)-ROW(BJ$15),0),
              ROUND(ROUND(OFFSET($P116,0,BJ$13),15-13*ORÇAMENTO!$AF$7)*OFFSET(ORÇAMENTO!$W$15,ROW(BJ116)-ROW(BJ$15),0),15-13*ORÇAMENTO!$AF$11)),
         0)</f>
        <v>0</v>
      </c>
      <c r="BK116" s="453">
        <f ca="1">IF(AND($D116="Serviço",BK$12&lt;&gt;0,$H116&gt;0,OR(AUTOEVENTO&lt;&gt;"manual",$M116&lt;&gt;$A$15)),
        IF(Import.TipoArredondamento&lt;&gt;"TransfereGOV",
              ROUND(OFFSET($P116,0,BK$13),15-13*ORÇAMENTO!$AF$7)/$H116*OFFSET(ORÇAMENTO!$X$15,ROW(BK116)-ROW(BK$15),0),
              ROUND(ROUND(OFFSET($P116,0,BK$13),15-13*ORÇAMENTO!$AF$7)*OFFSET(ORÇAMENTO!$W$15,ROW(BK116)-ROW(BK$15),0),15-13*ORÇAMENTO!$AF$11)),
         0)</f>
        <v>0</v>
      </c>
      <c r="BL116" s="453">
        <f ca="1">IF(AND($D116="Serviço",BL$12&lt;&gt;0,$H116&gt;0,OR(AUTOEVENTO&lt;&gt;"manual",$M116&lt;&gt;$A$15)),
        IF(Import.TipoArredondamento&lt;&gt;"TransfereGOV",
              ROUND(OFFSET($P116,0,BL$13),15-13*ORÇAMENTO!$AF$7)/$H116*OFFSET(ORÇAMENTO!$X$15,ROW(BL116)-ROW(BL$15),0),
              ROUND(ROUND(OFFSET($P116,0,BL$13),15-13*ORÇAMENTO!$AF$7)*OFFSET(ORÇAMENTO!$W$15,ROW(BL116)-ROW(BL$15),0),15-13*ORÇAMENTO!$AF$11)),
         0)</f>
        <v>0</v>
      </c>
      <c r="BM116" s="453">
        <f ca="1">IF(AND($D116="Serviço",BM$12&lt;&gt;0,$H116&gt;0,OR(AUTOEVENTO&lt;&gt;"manual",$M116&lt;&gt;$A$15)),
        IF(Import.TipoArredondamento&lt;&gt;"TransfereGOV",
              ROUND(OFFSET($P116,0,BM$13),15-13*ORÇAMENTO!$AF$7)/$H116*OFFSET(ORÇAMENTO!$X$15,ROW(BM116)-ROW(BM$15),0),
              ROUND(ROUND(OFFSET($P116,0,BM$13),15-13*ORÇAMENTO!$AF$7)*OFFSET(ORÇAMENTO!$W$15,ROW(BM116)-ROW(BM$15),0),15-13*ORÇAMENTO!$AF$11)),
         0)</f>
        <v>0</v>
      </c>
      <c r="BN116" s="453">
        <f ca="1">IF(AND($D116="Serviço",BN$12&lt;&gt;0,$H116&gt;0,OR(AUTOEVENTO&lt;&gt;"manual",$M116&lt;&gt;$A$15)),
        IF(Import.TipoArredondamento&lt;&gt;"TransfereGOV",
              ROUND(OFFSET($P116,0,BN$13),15-13*ORÇAMENTO!$AF$7)/$H116*OFFSET(ORÇAMENTO!$X$15,ROW(BN116)-ROW(BN$15),0),
              ROUND(ROUND(OFFSET($P116,0,BN$13),15-13*ORÇAMENTO!$AF$7)*OFFSET(ORÇAMENTO!$W$15,ROW(BN116)-ROW(BN$15),0),15-13*ORÇAMENTO!$AF$11)),
         0)</f>
        <v>0</v>
      </c>
      <c r="BO116" s="453">
        <f ca="1">IF(AND($D116="Serviço",BO$12&lt;&gt;0,$H116&gt;0,OR(AUTOEVENTO&lt;&gt;"manual",$M116&lt;&gt;$A$15)),
        IF(Import.TipoArredondamento&lt;&gt;"TransfereGOV",
              ROUND(OFFSET($P116,0,BO$13),15-13*ORÇAMENTO!$AF$7)/$H116*OFFSET(ORÇAMENTO!$X$15,ROW(BO116)-ROW(BO$15),0),
              ROUND(ROUND(OFFSET($P116,0,BO$13),15-13*ORÇAMENTO!$AF$7)*OFFSET(ORÇAMENTO!$W$15,ROW(BO116)-ROW(BO$15),0),15-13*ORÇAMENTO!$AF$11)),
         0)</f>
        <v>0</v>
      </c>
      <c r="BP116" s="453">
        <f ca="1">IF(AND($D116="Serviço",BP$12&lt;&gt;0,$H116&gt;0,OR(AUTOEVENTO&lt;&gt;"manual",$M116&lt;&gt;$A$15)),
        IF(Import.TipoArredondamento&lt;&gt;"TransfereGOV",
              ROUND(OFFSET($P116,0,BP$13),15-13*ORÇAMENTO!$AF$7)/$H116*OFFSET(ORÇAMENTO!$X$15,ROW(BP116)-ROW(BP$15),0),
              ROUND(ROUND(OFFSET($P116,0,BP$13),15-13*ORÇAMENTO!$AF$7)*OFFSET(ORÇAMENTO!$W$15,ROW(BP116)-ROW(BP$15),0),15-13*ORÇAMENTO!$AF$11)),
         0)</f>
        <v>0</v>
      </c>
      <c r="BQ116" s="453">
        <f ca="1">IF(AND($D116="Serviço",BQ$12&lt;&gt;0,$H116&gt;0,OR(AUTOEVENTO&lt;&gt;"manual",$M116&lt;&gt;$A$15)),
        IF(Import.TipoArredondamento&lt;&gt;"TransfereGOV",
              ROUND(OFFSET($P116,0,BQ$13),15-13*ORÇAMENTO!$AF$7)/$H116*OFFSET(ORÇAMENTO!$X$15,ROW(BQ116)-ROW(BQ$15),0),
              ROUND(ROUND(OFFSET($P116,0,BQ$13),15-13*ORÇAMENTO!$AF$7)*OFFSET(ORÇAMENTO!$W$15,ROW(BQ116)-ROW(BQ$15),0),15-13*ORÇAMENTO!$AF$11)),
         0)</f>
        <v>0</v>
      </c>
      <c r="BS116" s="171">
        <f ca="1">IF(OR($D116&lt;&gt;"Serviço",AND(AUTOEVENTO="Manual",$M116=$A$15)),0,
         IF(OFFSET(CRONOPLE!$F$15,$M116-$A$15,BS$13)=0,10^12,OFFSET(CRONOPLE!$F$15,$M116-$A$15,BS$13)))</f>
        <v>1</v>
      </c>
      <c r="BT116" s="171">
        <f ca="1">IF(OR($D116&lt;&gt;"Serviço",AND(AUTOEVENTO="Manual",$M116=$A$15)),0,
         IF(OFFSET(CRONOPLE!$F$15,$M116-$A$15,BT$13)=0,10^12,OFFSET(CRONOPLE!$F$15,$M116-$A$15,BT$13)))</f>
        <v>2</v>
      </c>
      <c r="BU116" s="171">
        <f ca="1">IF(OR($D116&lt;&gt;"Serviço",AND(AUTOEVENTO="Manual",$M116=$A$15)),0,
         IF(OFFSET(CRONOPLE!$F$15,$M116-$A$15,BU$13)=0,10^12,OFFSET(CRONOPLE!$F$15,$M116-$A$15,BU$13)))</f>
        <v>3</v>
      </c>
      <c r="BV116" s="171">
        <f ca="1">IF(OR($D116&lt;&gt;"Serviço",AND(AUTOEVENTO="Manual",$M116=$A$15)),0,
         IF(OFFSET(CRONOPLE!$F$15,$M116-$A$15,BV$13)=0,10^12,OFFSET(CRONOPLE!$F$15,$M116-$A$15,BV$13)))</f>
        <v>4</v>
      </c>
      <c r="BW116" s="171">
        <f ca="1">IF(OR($D116&lt;&gt;"Serviço",AND(AUTOEVENTO="Manual",$M116=$A$15)),0,
         IF(OFFSET(CRONOPLE!$F$15,$M116-$A$15,BW$13)=0,10^12,OFFSET(CRONOPLE!$F$15,$M116-$A$15,BW$13)))</f>
        <v>5</v>
      </c>
      <c r="BX116" s="171">
        <f ca="1">IF(OR($D116&lt;&gt;"Serviço",AND(AUTOEVENTO="Manual",$M116=$A$15)),0,
         IF(OFFSET(CRONOPLE!$F$15,$M116-$A$15,BX$13)=0,10^12,OFFSET(CRONOPLE!$F$15,$M116-$A$15,BX$13)))</f>
        <v>6</v>
      </c>
      <c r="BY116" s="171">
        <f ca="1">IF(OR($D116&lt;&gt;"Serviço",AND(AUTOEVENTO="Manual",$M116=$A$15)),0,
         IF(OFFSET(CRONOPLE!$F$15,$M116-$A$15,BY$13)=0,10^12,OFFSET(CRONOPLE!$F$15,$M116-$A$15,BY$13)))</f>
        <v>7</v>
      </c>
      <c r="BZ116" s="171">
        <f ca="1">IF(OR($D116&lt;&gt;"Serviço",AND(AUTOEVENTO="Manual",$M116=$A$15)),0,
         IF(OFFSET(CRONOPLE!$F$15,$M116-$A$15,BZ$13)=0,10^12,OFFSET(CRONOPLE!$F$15,$M116-$A$15,BZ$13)))</f>
        <v>8</v>
      </c>
      <c r="CA116" s="171">
        <f ca="1">IF(OR($D116&lt;&gt;"Serviço",AND(AUTOEVENTO="Manual",$M116=$A$15)),0,
         IF(OFFSET(CRONOPLE!$F$15,$M116-$A$15,CA$13)=0,10^12,OFFSET(CRONOPLE!$F$15,$M116-$A$15,CA$13)))</f>
        <v>9</v>
      </c>
      <c r="CB116" s="171">
        <f ca="1">IF(OR($D116&lt;&gt;"Serviço",AND(AUTOEVENTO="Manual",$M116=$A$15)),0,
         IF(OFFSET(CRONOPLE!$F$15,$M116-$A$15,CB$13)=0,10^12,OFFSET(CRONOPLE!$F$15,$M116-$A$15,CB$13)))</f>
        <v>10</v>
      </c>
      <c r="CC116" s="171">
        <f ca="1">IF(OR($D116&lt;&gt;"Serviço",AND(AUTOEVENTO="Manual",$M116=$A$15)),0,
         IF(OFFSET(CRONOPLE!$F$15,$M116-$A$15,CC$13)=0,10^12,OFFSET(CRONOPLE!$F$15,$M116-$A$15,CC$13)))</f>
        <v>11</v>
      </c>
      <c r="CD116" s="171">
        <f ca="1">IF(OR($D116&lt;&gt;"Serviço",AND(AUTOEVENTO="Manual",$M116=$A$15)),0,
         IF(OFFSET(CRONOPLE!$F$15,$M116-$A$15,CD$13)=0,10^12,OFFSET(CRONOPLE!$F$15,$M116-$A$15,CD$13)))</f>
        <v>12</v>
      </c>
      <c r="CE116" s="171">
        <f ca="1">IF(OR($D116&lt;&gt;"Serviço",AND(AUTOEVENTO="Manual",$M116=$A$15)),0,
         IF(OFFSET(CRONOPLE!$F$15,$M116-$A$15,CE$13)=0,10^12,OFFSET(CRONOPLE!$F$15,$M116-$A$15,CE$13)))</f>
        <v>13</v>
      </c>
      <c r="CF116" s="171">
        <f ca="1">IF(OR($D116&lt;&gt;"Serviço",AND(AUTOEVENTO="Manual",$M116=$A$15)),0,
         IF(OFFSET(CRONOPLE!$F$15,$M116-$A$15,CF$13)=0,10^12,OFFSET(CRONOPLE!$F$15,$M116-$A$15,CF$13)))</f>
        <v>14</v>
      </c>
      <c r="CG116" s="171">
        <f ca="1">IF(OR($D116&lt;&gt;"Serviço",AND(AUTOEVENTO="Manual",$M116=$A$15)),0,
         IF(OFFSET(CRONOPLE!$F$15,$M116-$A$15,CG$13)=0,10^12,OFFSET(CRONOPLE!$F$15,$M116-$A$15,CG$13)))</f>
        <v>15</v>
      </c>
      <c r="CH116" s="171">
        <f ca="1">IF(OR($D116&lt;&gt;"Serviço",AND(AUTOEVENTO="Manual",$M116=$A$15)),0,
         IF(OFFSET(CRONOPLE!$F$15,$M116-$A$15,CH$13)=0,10^12,OFFSET(CRONOPLE!$F$15,$M116-$A$15,CH$13)))</f>
        <v>16</v>
      </c>
      <c r="CI116" s="171">
        <f ca="1">IF(OR($D116&lt;&gt;"Serviço",AND(AUTOEVENTO="Manual",$M116=$A$15)),0,
         IF(OFFSET(CRONOPLE!$F$15,$M116-$A$15,CI$13)=0,10^12,OFFSET(CRONOPLE!$F$15,$M116-$A$15,CI$13)))</f>
        <v>17</v>
      </c>
      <c r="CJ116" s="171">
        <f ca="1">IF(OR($D116&lt;&gt;"Serviço",AND(AUTOEVENTO="Manual",$M116=$A$15)),0,
         IF(OFFSET(CRONOPLE!$F$15,$M116-$A$15,CJ$13)=0,10^12,OFFSET(CRONOPLE!$F$15,$M116-$A$15,CJ$13)))</f>
        <v>18</v>
      </c>
      <c r="CK116" s="171">
        <f ca="1">IF(OR($D116&lt;&gt;"Serviço",AND(AUTOEVENTO="Manual",$M116=$A$15)),0,
         IF(OFFSET(CRONOPLE!$F$15,$M116-$A$15,CK$13)=0,10^12,OFFSET(CRONOPLE!$F$15,$M116-$A$15,CK$13)))</f>
        <v>19</v>
      </c>
      <c r="CL116" s="171">
        <f ca="1">IF(OR($D116&lt;&gt;"Serviço",AND(AUTOEVENTO="Manual",$M116=$A$15)),0,
         IF(OFFSET(CRONOPLE!$F$15,$M116-$A$15,CL$13)=0,10^12,OFFSET(CRONOPLE!$F$15,$M116-$A$15,CL$13)))</f>
        <v>20</v>
      </c>
      <c r="CM116" s="171">
        <f ca="1">IF(OR($D116&lt;&gt;"Serviço",AND(AUTOEVENTO="Manual",$M116=$A$15)),0,
         IF(OFFSET(CRONOPLE!$F$15,$M116-$A$15,CM$13)=0,10^12,OFFSET(CRONOPLE!$F$15,$M116-$A$15,CM$13)))</f>
        <v>1000000000000</v>
      </c>
      <c r="CN116" s="171">
        <f ca="1">IF(OR($D116&lt;&gt;"Serviço",AND(AUTOEVENTO="Manual",$M116=$A$15)),0,
         IF(OFFSET(CRONOPLE!$F$15,$M116-$A$15,CN$13)=0,10^12,OFFSET(CRONOPLE!$F$15,$M116-$A$15,CN$13)))</f>
        <v>1000000000000</v>
      </c>
      <c r="CO116" s="171">
        <f ca="1">IF(OR($D116&lt;&gt;"Serviço",AND(AUTOEVENTO="Manual",$M116=$A$15)),0,
         IF(OFFSET(CRONOPLE!$F$15,$M116-$A$15,CO$13)=0,10^12,OFFSET(CRONOPLE!$F$15,$M116-$A$15,CO$13)))</f>
        <v>1000000000000</v>
      </c>
      <c r="CP116" s="171">
        <f ca="1">IF(OR($D116&lt;&gt;"Serviço",AND(AUTOEVENTO="Manual",$M116=$A$15)),0,
         IF(OFFSET(CRONOPLE!$F$15,$M116-$A$15,CP$13)=0,10^12,OFFSET(CRONOPLE!$F$15,$M116-$A$15,CP$13)))</f>
        <v>1000000000000</v>
      </c>
      <c r="CQ116" s="171">
        <f ca="1">IF(OR($D116&lt;&gt;"Serviço",AND(AUTOEVENTO="Manual",$M116=$A$15)),0,
         IF(OFFSET(CRONOPLE!$F$15,$M116-$A$15,CQ$13)=0,10^12,OFFSET(CRONOPLE!$F$15,$M116-$A$15,CQ$13)))</f>
        <v>1000000000000</v>
      </c>
      <c r="CR116" s="171">
        <f ca="1">IF(OR($D116&lt;&gt;"Serviço",AND(AUTOEVENTO="Manual",$M116=$A$15)),0,
         IF(OFFSET(CRONOPLE!$F$15,$M116-$A$15,CR$13)=0,10^12,OFFSET(CRONOPLE!$F$15,$M116-$A$15,CR$13)))</f>
        <v>1000000000000</v>
      </c>
      <c r="CT116" s="172" cm="1">
        <f t="array" aca="1" ref="CT116" ca="1">IF(OR($D116&lt;&gt;"Serviço",AND(AUTOEVENTO="Manual",$M116=$A$15),$M116&gt;(ROW(PLE.lastrow)-ROW(PLE.firstrow))),0,
           IF(OFFSET(PLE!$G$15,$M116-$A$15,CT$13)="",10^12,OFFSET(PLE!$G$15,$M116-$A$15,CT$13)))</f>
        <v>1000000000000</v>
      </c>
      <c r="CU116" s="172" cm="1">
        <f t="array" aca="1" ref="CU116" ca="1">IF(OR($D116&lt;&gt;"Serviço",AND(AUTOEVENTO="Manual",$M116=$A$15),$M116&gt;(ROW(PLE.lastrow)-ROW(PLE.firstrow))),0,
           IF(OFFSET(PLE!$G$15,$M116-$A$15,CU$13)="",10^12,OFFSET(PLE!$G$15,$M116-$A$15,CU$13)))</f>
        <v>1000000000000</v>
      </c>
      <c r="CV116" s="172" cm="1">
        <f t="array" aca="1" ref="CV116" ca="1">IF(OR($D116&lt;&gt;"Serviço",AND(AUTOEVENTO="Manual",$M116=$A$15),$M116&gt;(ROW(PLE.lastrow)-ROW(PLE.firstrow))),0,
           IF(OFFSET(PLE!$G$15,$M116-$A$15,CV$13)="",10^12,OFFSET(PLE!$G$15,$M116-$A$15,CV$13)))</f>
        <v>1000000000000</v>
      </c>
      <c r="CW116" s="172" cm="1">
        <f t="array" aca="1" ref="CW116" ca="1">IF(OR($D116&lt;&gt;"Serviço",AND(AUTOEVENTO="Manual",$M116=$A$15),$M116&gt;(ROW(PLE.lastrow)-ROW(PLE.firstrow))),0,
           IF(OFFSET(PLE!$G$15,$M116-$A$15,CW$13)="",10^12,OFFSET(PLE!$G$15,$M116-$A$15,CW$13)))</f>
        <v>1000000000000</v>
      </c>
      <c r="CX116" s="172" cm="1">
        <f t="array" aca="1" ref="CX116" ca="1">IF(OR($D116&lt;&gt;"Serviço",AND(AUTOEVENTO="Manual",$M116=$A$15),$M116&gt;(ROW(PLE.lastrow)-ROW(PLE.firstrow))),0,
           IF(OFFSET(PLE!$G$15,$M116-$A$15,CX$13)="",10^12,OFFSET(PLE!$G$15,$M116-$A$15,CX$13)))</f>
        <v>1000000000000</v>
      </c>
      <c r="CY116" s="172" cm="1">
        <f t="array" aca="1" ref="CY116" ca="1">IF(OR($D116&lt;&gt;"Serviço",AND(AUTOEVENTO="Manual",$M116=$A$15),$M116&gt;(ROW(PLE.lastrow)-ROW(PLE.firstrow))),0,
           IF(OFFSET(PLE!$G$15,$M116-$A$15,CY$13)="",10^12,OFFSET(PLE!$G$15,$M116-$A$15,CY$13)))</f>
        <v>1000000000000</v>
      </c>
      <c r="CZ116" s="172" cm="1">
        <f t="array" aca="1" ref="CZ116" ca="1">IF(OR($D116&lt;&gt;"Serviço",AND(AUTOEVENTO="Manual",$M116=$A$15),$M116&gt;(ROW(PLE.lastrow)-ROW(PLE.firstrow))),0,
           IF(OFFSET(PLE!$G$15,$M116-$A$15,CZ$13)="",10^12,OFFSET(PLE!$G$15,$M116-$A$15,CZ$13)))</f>
        <v>1000000000000</v>
      </c>
      <c r="DA116" s="172" cm="1">
        <f t="array" aca="1" ref="DA116" ca="1">IF(OR($D116&lt;&gt;"Serviço",AND(AUTOEVENTO="Manual",$M116=$A$15),$M116&gt;(ROW(PLE.lastrow)-ROW(PLE.firstrow))),0,
           IF(OFFSET(PLE!$G$15,$M116-$A$15,DA$13)="",10^12,OFFSET(PLE!$G$15,$M116-$A$15,DA$13)))</f>
        <v>1000000000000</v>
      </c>
      <c r="DB116" s="172" cm="1">
        <f t="array" aca="1" ref="DB116" ca="1">IF(OR($D116&lt;&gt;"Serviço",AND(AUTOEVENTO="Manual",$M116=$A$15),$M116&gt;(ROW(PLE.lastrow)-ROW(PLE.firstrow))),0,
           IF(OFFSET(PLE!$G$15,$M116-$A$15,DB$13)="",10^12,OFFSET(PLE!$G$15,$M116-$A$15,DB$13)))</f>
        <v>1000000000000</v>
      </c>
      <c r="DC116" s="172" cm="1">
        <f t="array" aca="1" ref="DC116" ca="1">IF(OR($D116&lt;&gt;"Serviço",AND(AUTOEVENTO="Manual",$M116=$A$15),$M116&gt;(ROW(PLE.lastrow)-ROW(PLE.firstrow))),0,
           IF(OFFSET(PLE!$G$15,$M116-$A$15,DC$13)="",10^12,OFFSET(PLE!$G$15,$M116-$A$15,DC$13)))</f>
        <v>1000000000000</v>
      </c>
      <c r="DD116" s="172" cm="1">
        <f t="array" aca="1" ref="DD116" ca="1">IF(OR($D116&lt;&gt;"Serviço",AND(AUTOEVENTO="Manual",$M116=$A$15),$M116&gt;(ROW(PLE.lastrow)-ROW(PLE.firstrow))),0,
           IF(OFFSET(PLE!$G$15,$M116-$A$15,DD$13)="",10^12,OFFSET(PLE!$G$15,$M116-$A$15,DD$13)))</f>
        <v>1000000000000</v>
      </c>
      <c r="DE116" s="172" cm="1">
        <f t="array" aca="1" ref="DE116" ca="1">IF(OR($D116&lt;&gt;"Serviço",AND(AUTOEVENTO="Manual",$M116=$A$15),$M116&gt;(ROW(PLE.lastrow)-ROW(PLE.firstrow))),0,
           IF(OFFSET(PLE!$G$15,$M116-$A$15,DE$13)="",10^12,OFFSET(PLE!$G$15,$M116-$A$15,DE$13)))</f>
        <v>1000000000000</v>
      </c>
      <c r="DF116" s="172" cm="1">
        <f t="array" aca="1" ref="DF116" ca="1">IF(OR($D116&lt;&gt;"Serviço",AND(AUTOEVENTO="Manual",$M116=$A$15),$M116&gt;(ROW(PLE.lastrow)-ROW(PLE.firstrow))),0,
           IF(OFFSET(PLE!$G$15,$M116-$A$15,DF$13)="",10^12,OFFSET(PLE!$G$15,$M116-$A$15,DF$13)))</f>
        <v>1000000000000</v>
      </c>
      <c r="DG116" s="172" cm="1">
        <f t="array" aca="1" ref="DG116" ca="1">IF(OR($D116&lt;&gt;"Serviço",AND(AUTOEVENTO="Manual",$M116=$A$15),$M116&gt;(ROW(PLE.lastrow)-ROW(PLE.firstrow))),0,
           IF(OFFSET(PLE!$G$15,$M116-$A$15,DG$13)="",10^12,OFFSET(PLE!$G$15,$M116-$A$15,DG$13)))</f>
        <v>1000000000000</v>
      </c>
      <c r="DH116" s="172" cm="1">
        <f t="array" aca="1" ref="DH116" ca="1">IF(OR($D116&lt;&gt;"Serviço",AND(AUTOEVENTO="Manual",$M116=$A$15),$M116&gt;(ROW(PLE.lastrow)-ROW(PLE.firstrow))),0,
           IF(OFFSET(PLE!$G$15,$M116-$A$15,DH$13)="",10^12,OFFSET(PLE!$G$15,$M116-$A$15,DH$13)))</f>
        <v>1000000000000</v>
      </c>
      <c r="DI116" s="172" cm="1">
        <f t="array" aca="1" ref="DI116" ca="1">IF(OR($D116&lt;&gt;"Serviço",AND(AUTOEVENTO="Manual",$M116=$A$15),$M116&gt;(ROW(PLE.lastrow)-ROW(PLE.firstrow))),0,
           IF(OFFSET(PLE!$G$15,$M116-$A$15,DI$13)="",10^12,OFFSET(PLE!$G$15,$M116-$A$15,DI$13)))</f>
        <v>1000000000000</v>
      </c>
      <c r="DJ116" s="172" cm="1">
        <f t="array" aca="1" ref="DJ116" ca="1">IF(OR($D116&lt;&gt;"Serviço",AND(AUTOEVENTO="Manual",$M116=$A$15),$M116&gt;(ROW(PLE.lastrow)-ROW(PLE.firstrow))),0,
           IF(OFFSET(PLE!$G$15,$M116-$A$15,DJ$13)="",10^12,OFFSET(PLE!$G$15,$M116-$A$15,DJ$13)))</f>
        <v>1000000000000</v>
      </c>
      <c r="DK116" s="172" cm="1">
        <f t="array" aca="1" ref="DK116" ca="1">IF(OR($D116&lt;&gt;"Serviço",AND(AUTOEVENTO="Manual",$M116=$A$15),$M116&gt;(ROW(PLE.lastrow)-ROW(PLE.firstrow))),0,
           IF(OFFSET(PLE!$G$15,$M116-$A$15,DK$13)="",10^12,OFFSET(PLE!$G$15,$M116-$A$15,DK$13)))</f>
        <v>1000000000000</v>
      </c>
      <c r="DL116" s="172" cm="1">
        <f t="array" aca="1" ref="DL116" ca="1">IF(OR($D116&lt;&gt;"Serviço",AND(AUTOEVENTO="Manual",$M116=$A$15),$M116&gt;(ROW(PLE.lastrow)-ROW(PLE.firstrow))),0,
           IF(OFFSET(PLE!$G$15,$M116-$A$15,DL$13)="",10^12,OFFSET(PLE!$G$15,$M116-$A$15,DL$13)))</f>
        <v>1000000000000</v>
      </c>
      <c r="DM116" s="172" cm="1">
        <f t="array" aca="1" ref="DM116" ca="1">IF(OR($D116&lt;&gt;"Serviço",AND(AUTOEVENTO="Manual",$M116=$A$15),$M116&gt;(ROW(PLE.lastrow)-ROW(PLE.firstrow))),0,
           IF(OFFSET(PLE!$G$15,$M116-$A$15,DM$13)="",10^12,OFFSET(PLE!$G$15,$M116-$A$15,DM$13)))</f>
        <v>1000000000000</v>
      </c>
      <c r="DN116" s="172" cm="1">
        <f t="array" aca="1" ref="DN116" ca="1">IF(OR($D116&lt;&gt;"Serviço",AND(AUTOEVENTO="Manual",$M116=$A$15),$M116&gt;(ROW(PLE.lastrow)-ROW(PLE.firstrow))),0,
           IF(OFFSET(PLE!$G$15,$M116-$A$15,DN$13)="",10^12,OFFSET(PLE!$G$15,$M116-$A$15,DN$13)))</f>
        <v>1000000000000</v>
      </c>
      <c r="DO116" s="172" cm="1">
        <f t="array" aca="1" ref="DO116" ca="1">IF(OR($D116&lt;&gt;"Serviço",AND(AUTOEVENTO="Manual",$M116=$A$15),$M116&gt;(ROW(PLE.lastrow)-ROW(PLE.firstrow))),0,
           IF(OFFSET(PLE!$G$15,$M116-$A$15,DO$13)="",10^12,OFFSET(PLE!$G$15,$M116-$A$15,DO$13)))</f>
        <v>1000000000000</v>
      </c>
      <c r="DP116" s="172" cm="1">
        <f t="array" aca="1" ref="DP116" ca="1">IF(OR($D116&lt;&gt;"Serviço",AND(AUTOEVENTO="Manual",$M116=$A$15),$M116&gt;(ROW(PLE.lastrow)-ROW(PLE.firstrow))),0,
           IF(OFFSET(PLE!$G$15,$M116-$A$15,DP$13)="",10^12,OFFSET(PLE!$G$15,$M116-$A$15,DP$13)))</f>
        <v>1000000000000</v>
      </c>
      <c r="DQ116" s="172" cm="1">
        <f t="array" aca="1" ref="DQ116" ca="1">IF(OR($D116&lt;&gt;"Serviço",AND(AUTOEVENTO="Manual",$M116=$A$15),$M116&gt;(ROW(PLE.lastrow)-ROW(PLE.firstrow))),0,
           IF(OFFSET(PLE!$G$15,$M116-$A$15,DQ$13)="",10^12,OFFSET(PLE!$G$15,$M116-$A$15,DQ$13)))</f>
        <v>1000000000000</v>
      </c>
      <c r="DR116" s="172" cm="1">
        <f t="array" aca="1" ref="DR116" ca="1">IF(OR($D116&lt;&gt;"Serviço",AND(AUTOEVENTO="Manual",$M116=$A$15),$M116&gt;(ROW(PLE.lastrow)-ROW(PLE.firstrow))),0,
           IF(OFFSET(PLE!$G$15,$M116-$A$15,DR$13)="",10^12,OFFSET(PLE!$G$15,$M116-$A$15,DR$13)))</f>
        <v>1000000000000</v>
      </c>
      <c r="DS116" s="172" cm="1">
        <f t="array" aca="1" ref="DS116" ca="1">IF(OR($D116&lt;&gt;"Serviço",AND(AUTOEVENTO="Manual",$M116=$A$15),$M116&gt;(ROW(PLE.lastrow)-ROW(PLE.firstrow))),0,
           IF(OFFSET(PLE!$G$15,$M116-$A$15,DS$13)="",10^12,OFFSET(PLE!$G$15,$M116-$A$15,DS$13)))</f>
        <v>1000000000000</v>
      </c>
    </row>
    <row r="117" spans="1:123" ht="38.25" x14ac:dyDescent="0.2">
      <c r="A117" s="7">
        <f t="shared" ref="A117:A148" ca="1" si="15">IFERROR(IF(AUTOEVENTO="Manual",IF(K117&lt;&gt;"",MIN(VALUE(LEFT(K117,FIND(".",K117)-1)),COUNTA(EVENTOS.Lista)),0),IF(OR($B117&gt;AUTOEVENTO,$B117="S",$B117=0),SUBSTITUTE(OFFSET($A117,-1,0),IF($D117="Serviço",".",""),""),$L117&amp;".")),0)</f>
        <v>8</v>
      </c>
      <c r="B117" s="7" t="str">
        <f ca="1">OFFSET(ORÇAMENTO!C$15,$L117,0)</f>
        <v>S</v>
      </c>
      <c r="C117" s="7" t="str">
        <f ca="1">OFFSET(ORÇAMENTO!L$15,$L117,0)</f>
        <v/>
      </c>
      <c r="D117" s="116" t="str">
        <f ca="1">OFFSET(ORÇAMENTO!N$15,$L117,0)</f>
        <v>Serviço</v>
      </c>
      <c r="E117" s="117" t="str">
        <f ca="1">OFFSET(ORÇAMENTO!O$15,$L117,0)</f>
        <v>-</v>
      </c>
      <c r="F117" s="163" t="str">
        <f ca="1">OFFSET(ORÇAMENTO!R$15,$L117,0)</f>
        <v>(Código não identificado nas referências)</v>
      </c>
      <c r="G117" s="164" t="str">
        <f ca="1">IF($D117&lt;&gt;"Serviço","",OFFSET(ORÇAMENTO!S$15,$L117,0))</f>
        <v>-</v>
      </c>
      <c r="H117" s="122" cm="1">
        <f t="array" aca="1" ref="H117" ca="1">IF($D117&lt;&gt;"Serviço",0,IF(ACOMPANHAMENTO="BM",ROUND(OFFSET(ORÇAMENTO!AJ$15,$L117,0),15-13*ORÇAMENTO!$AF$7),IF(IFERROR(CÁLCULO.FrentesPreenchidas,0)=0,0,SUM(ROUND(OFFSET($P117,0,1,1,CÁLCULO.FrentesPreenchidas),15-13*ORÇAMENTO!$AF$7)))))</f>
        <v>107.8</v>
      </c>
      <c r="I117" s="468" t="s">
        <v>1235</v>
      </c>
      <c r="J117" s="651" t="str" cm="1">
        <f t="array" aca="1" ref="J117" ca="1">IF(OR(B117&lt;&gt;"S",CÁLCULO.FrentesPreenchidas=0),"",IF(AND(ACOMPANHAMENTO="PLE",AUTOEVENTO="Manual",OR(H117&gt;0,ORÇAMENTO!AC117="QUANT."),OR(K117="",M117=0,N117="")),"►E",IF(AND(ACOMPANHAMENTO="PLE",ORÇAMENTO!AC117="QUANT."),"►Q",IF(AND(ACOMPANHAMENTO="PLE",H117&lt;&gt;SUMPRODUCT(($Q$1:$AQ$1=1)*ROUND(Q117:AQ117,15))),"►S",IF(AND(COUNTIF($P$11:$AQ$11,"▼")=0,H117&gt;0,I117=""),"◄M","")))))</f>
        <v/>
      </c>
      <c r="K117" s="652" t="s">
        <v>1256</v>
      </c>
      <c r="L117" s="165">
        <f t="shared" ca="1" si="14"/>
        <v>102</v>
      </c>
      <c r="M117" s="166">
        <f ca="1">IF($D117&lt;&gt;"Serviço","",
          IF(AUTOEVENTO="manual",$A117,
                IF(ISERROR(MATCH($A117,$A$15:OFFSET($A117,-1,0),0)),MAX($M$15:OFFSET(M117,-1,0))+1,
                      INDEX($M$15:OFFSET(M117,-1,0),MATCH($A117,$A$15:OFFSET($A117,-1,0),0)))))</f>
        <v>8</v>
      </c>
      <c r="N117" s="167" t="str">
        <f ca="1">IF($D117&lt;&gt;"Serviço","",
         IF(AUTOEVENTO="Manual",
                IF($A117=0,"&lt;-- defina o número do agrupador",
                       OFFSET(EVENTOS!$D$15,$A117-$A$15,0)),
                OFFSET($F$15,$A117,0)))</f>
        <v>PAVIMENTAÇÕES</v>
      </c>
      <c r="O117" s="168"/>
      <c r="Q117" s="168">
        <v>5.39</v>
      </c>
      <c r="R117" s="169">
        <v>5.39</v>
      </c>
      <c r="S117" s="169">
        <v>5.39</v>
      </c>
      <c r="T117" s="169">
        <v>5.39</v>
      </c>
      <c r="U117" s="169">
        <v>5.39</v>
      </c>
      <c r="V117" s="169">
        <v>5.39</v>
      </c>
      <c r="W117" s="169">
        <v>5.39</v>
      </c>
      <c r="X117" s="169">
        <v>5.39</v>
      </c>
      <c r="Y117" s="169">
        <v>5.39</v>
      </c>
      <c r="Z117" s="170">
        <v>5.39</v>
      </c>
      <c r="AA117" s="169">
        <v>5.39</v>
      </c>
      <c r="AB117" s="169">
        <v>5.39</v>
      </c>
      <c r="AC117" s="169">
        <v>5.39</v>
      </c>
      <c r="AD117" s="169">
        <v>5.39</v>
      </c>
      <c r="AE117" s="169">
        <v>5.39</v>
      </c>
      <c r="AF117" s="169">
        <v>5.39</v>
      </c>
      <c r="AG117" s="169">
        <v>5.39</v>
      </c>
      <c r="AH117" s="170">
        <v>5.39</v>
      </c>
      <c r="AI117" s="169">
        <v>5.39</v>
      </c>
      <c r="AJ117" s="169">
        <v>5.39</v>
      </c>
      <c r="AK117" s="169"/>
      <c r="AL117" s="169"/>
      <c r="AM117" s="169"/>
      <c r="AN117" s="169"/>
      <c r="AO117" s="169"/>
      <c r="AP117" s="170"/>
      <c r="AR117" s="453">
        <f ca="1">IF(AND($D117="Serviço",AR$12&lt;&gt;0,$H117&gt;0,OR(AUTOEVENTO&lt;&gt;"manual",$M117&lt;&gt;$A$15)),
        IF(Import.TipoArredondamento&lt;&gt;"TransfereGOV",
              ROUND(OFFSET($P117,0,AR$13),15-13*ORÇAMENTO!$AF$7)/$H117*OFFSET(ORÇAMENTO!$X$15,ROW(AR117)-ROW(AR$15),0),
              ROUND(ROUND(OFFSET($P117,0,AR$13),15-13*ORÇAMENTO!$AF$7)*OFFSET(ORÇAMENTO!$W$15,ROW(AR117)-ROW(AR$15),0),15-13*ORÇAMENTO!$AF$11)),
         0)</f>
        <v>0</v>
      </c>
      <c r="AS117" s="453">
        <f ca="1">IF(AND($D117="Serviço",AS$12&lt;&gt;0,$H117&gt;0,OR(AUTOEVENTO&lt;&gt;"manual",$M117&lt;&gt;$A$15)),
        IF(Import.TipoArredondamento&lt;&gt;"TransfereGOV",
              ROUND(OFFSET($P117,0,AS$13),15-13*ORÇAMENTO!$AF$7)/$H117*OFFSET(ORÇAMENTO!$X$15,ROW(AS117)-ROW(AS$15),0),
              ROUND(ROUND(OFFSET($P117,0,AS$13),15-13*ORÇAMENTO!$AF$7)*OFFSET(ORÇAMENTO!$W$15,ROW(AS117)-ROW(AS$15),0),15-13*ORÇAMENTO!$AF$11)),
         0)</f>
        <v>0</v>
      </c>
      <c r="AT117" s="453">
        <f ca="1">IF(AND($D117="Serviço",AT$12&lt;&gt;0,$H117&gt;0,OR(AUTOEVENTO&lt;&gt;"manual",$M117&lt;&gt;$A$15)),
        IF(Import.TipoArredondamento&lt;&gt;"TransfereGOV",
              ROUND(OFFSET($P117,0,AT$13),15-13*ORÇAMENTO!$AF$7)/$H117*OFFSET(ORÇAMENTO!$X$15,ROW(AT117)-ROW(AT$15),0),
              ROUND(ROUND(OFFSET($P117,0,AT$13),15-13*ORÇAMENTO!$AF$7)*OFFSET(ORÇAMENTO!$W$15,ROW(AT117)-ROW(AT$15),0),15-13*ORÇAMENTO!$AF$11)),
         0)</f>
        <v>0</v>
      </c>
      <c r="AU117" s="453">
        <f ca="1">IF(AND($D117="Serviço",AU$12&lt;&gt;0,$H117&gt;0,OR(AUTOEVENTO&lt;&gt;"manual",$M117&lt;&gt;$A$15)),
        IF(Import.TipoArredondamento&lt;&gt;"TransfereGOV",
              ROUND(OFFSET($P117,0,AU$13),15-13*ORÇAMENTO!$AF$7)/$H117*OFFSET(ORÇAMENTO!$X$15,ROW(AU117)-ROW(AU$15),0),
              ROUND(ROUND(OFFSET($P117,0,AU$13),15-13*ORÇAMENTO!$AF$7)*OFFSET(ORÇAMENTO!$W$15,ROW(AU117)-ROW(AU$15),0),15-13*ORÇAMENTO!$AF$11)),
         0)</f>
        <v>0</v>
      </c>
      <c r="AV117" s="453">
        <f ca="1">IF(AND($D117="Serviço",AV$12&lt;&gt;0,$H117&gt;0,OR(AUTOEVENTO&lt;&gt;"manual",$M117&lt;&gt;$A$15)),
        IF(Import.TipoArredondamento&lt;&gt;"TransfereGOV",
              ROUND(OFFSET($P117,0,AV$13),15-13*ORÇAMENTO!$AF$7)/$H117*OFFSET(ORÇAMENTO!$X$15,ROW(AV117)-ROW(AV$15),0),
              ROUND(ROUND(OFFSET($P117,0,AV$13),15-13*ORÇAMENTO!$AF$7)*OFFSET(ORÇAMENTO!$W$15,ROW(AV117)-ROW(AV$15),0),15-13*ORÇAMENTO!$AF$11)),
         0)</f>
        <v>0</v>
      </c>
      <c r="AW117" s="453">
        <f ca="1">IF(AND($D117="Serviço",AW$12&lt;&gt;0,$H117&gt;0,OR(AUTOEVENTO&lt;&gt;"manual",$M117&lt;&gt;$A$15)),
        IF(Import.TipoArredondamento&lt;&gt;"TransfereGOV",
              ROUND(OFFSET($P117,0,AW$13),15-13*ORÇAMENTO!$AF$7)/$H117*OFFSET(ORÇAMENTO!$X$15,ROW(AW117)-ROW(AW$15),0),
              ROUND(ROUND(OFFSET($P117,0,AW$13),15-13*ORÇAMENTO!$AF$7)*OFFSET(ORÇAMENTO!$W$15,ROW(AW117)-ROW(AW$15),0),15-13*ORÇAMENTO!$AF$11)),
         0)</f>
        <v>0</v>
      </c>
      <c r="AX117" s="453">
        <f ca="1">IF(AND($D117="Serviço",AX$12&lt;&gt;0,$H117&gt;0,OR(AUTOEVENTO&lt;&gt;"manual",$M117&lt;&gt;$A$15)),
        IF(Import.TipoArredondamento&lt;&gt;"TransfereGOV",
              ROUND(OFFSET($P117,0,AX$13),15-13*ORÇAMENTO!$AF$7)/$H117*OFFSET(ORÇAMENTO!$X$15,ROW(AX117)-ROW(AX$15),0),
              ROUND(ROUND(OFFSET($P117,0,AX$13),15-13*ORÇAMENTO!$AF$7)*OFFSET(ORÇAMENTO!$W$15,ROW(AX117)-ROW(AX$15),0),15-13*ORÇAMENTO!$AF$11)),
         0)</f>
        <v>0</v>
      </c>
      <c r="AY117" s="453">
        <f ca="1">IF(AND($D117="Serviço",AY$12&lt;&gt;0,$H117&gt;0,OR(AUTOEVENTO&lt;&gt;"manual",$M117&lt;&gt;$A$15)),
        IF(Import.TipoArredondamento&lt;&gt;"TransfereGOV",
              ROUND(OFFSET($P117,0,AY$13),15-13*ORÇAMENTO!$AF$7)/$H117*OFFSET(ORÇAMENTO!$X$15,ROW(AY117)-ROW(AY$15),0),
              ROUND(ROUND(OFFSET($P117,0,AY$13),15-13*ORÇAMENTO!$AF$7)*OFFSET(ORÇAMENTO!$W$15,ROW(AY117)-ROW(AY$15),0),15-13*ORÇAMENTO!$AF$11)),
         0)</f>
        <v>0</v>
      </c>
      <c r="AZ117" s="453">
        <f ca="1">IF(AND($D117="Serviço",AZ$12&lt;&gt;0,$H117&gt;0,OR(AUTOEVENTO&lt;&gt;"manual",$M117&lt;&gt;$A$15)),
        IF(Import.TipoArredondamento&lt;&gt;"TransfereGOV",
              ROUND(OFFSET($P117,0,AZ$13),15-13*ORÇAMENTO!$AF$7)/$H117*OFFSET(ORÇAMENTO!$X$15,ROW(AZ117)-ROW(AZ$15),0),
              ROUND(ROUND(OFFSET($P117,0,AZ$13),15-13*ORÇAMENTO!$AF$7)*OFFSET(ORÇAMENTO!$W$15,ROW(AZ117)-ROW(AZ$15),0),15-13*ORÇAMENTO!$AF$11)),
         0)</f>
        <v>0</v>
      </c>
      <c r="BA117" s="453">
        <f ca="1">IF(AND($D117="Serviço",BA$12&lt;&gt;0,$H117&gt;0,OR(AUTOEVENTO&lt;&gt;"manual",$M117&lt;&gt;$A$15)),
        IF(Import.TipoArredondamento&lt;&gt;"TransfereGOV",
              ROUND(OFFSET($P117,0,BA$13),15-13*ORÇAMENTO!$AF$7)/$H117*OFFSET(ORÇAMENTO!$X$15,ROW(BA117)-ROW(BA$15),0),
              ROUND(ROUND(OFFSET($P117,0,BA$13),15-13*ORÇAMENTO!$AF$7)*OFFSET(ORÇAMENTO!$W$15,ROW(BA117)-ROW(BA$15),0),15-13*ORÇAMENTO!$AF$11)),
         0)</f>
        <v>0</v>
      </c>
      <c r="BB117" s="453">
        <f ca="1">IF(AND($D117="Serviço",BB$12&lt;&gt;0,$H117&gt;0,OR(AUTOEVENTO&lt;&gt;"manual",$M117&lt;&gt;$A$15)),
        IF(Import.TipoArredondamento&lt;&gt;"TransfereGOV",
              ROUND(OFFSET($P117,0,BB$13),15-13*ORÇAMENTO!$AF$7)/$H117*OFFSET(ORÇAMENTO!$X$15,ROW(BB117)-ROW(BB$15),0),
              ROUND(ROUND(OFFSET($P117,0,BB$13),15-13*ORÇAMENTO!$AF$7)*OFFSET(ORÇAMENTO!$W$15,ROW(BB117)-ROW(BB$15),0),15-13*ORÇAMENTO!$AF$11)),
         0)</f>
        <v>0</v>
      </c>
      <c r="BC117" s="453">
        <f ca="1">IF(AND($D117="Serviço",BC$12&lt;&gt;0,$H117&gt;0,OR(AUTOEVENTO&lt;&gt;"manual",$M117&lt;&gt;$A$15)),
        IF(Import.TipoArredondamento&lt;&gt;"TransfereGOV",
              ROUND(OFFSET($P117,0,BC$13),15-13*ORÇAMENTO!$AF$7)/$H117*OFFSET(ORÇAMENTO!$X$15,ROW(BC117)-ROW(BC$15),0),
              ROUND(ROUND(OFFSET($P117,0,BC$13),15-13*ORÇAMENTO!$AF$7)*OFFSET(ORÇAMENTO!$W$15,ROW(BC117)-ROW(BC$15),0),15-13*ORÇAMENTO!$AF$11)),
         0)</f>
        <v>0</v>
      </c>
      <c r="BD117" s="453">
        <f ca="1">IF(AND($D117="Serviço",BD$12&lt;&gt;0,$H117&gt;0,OR(AUTOEVENTO&lt;&gt;"manual",$M117&lt;&gt;$A$15)),
        IF(Import.TipoArredondamento&lt;&gt;"TransfereGOV",
              ROUND(OFFSET($P117,0,BD$13),15-13*ORÇAMENTO!$AF$7)/$H117*OFFSET(ORÇAMENTO!$X$15,ROW(BD117)-ROW(BD$15),0),
              ROUND(ROUND(OFFSET($P117,0,BD$13),15-13*ORÇAMENTO!$AF$7)*OFFSET(ORÇAMENTO!$W$15,ROW(BD117)-ROW(BD$15),0),15-13*ORÇAMENTO!$AF$11)),
         0)</f>
        <v>0</v>
      </c>
      <c r="BE117" s="453">
        <f ca="1">IF(AND($D117="Serviço",BE$12&lt;&gt;0,$H117&gt;0,OR(AUTOEVENTO&lt;&gt;"manual",$M117&lt;&gt;$A$15)),
        IF(Import.TipoArredondamento&lt;&gt;"TransfereGOV",
              ROUND(OFFSET($P117,0,BE$13),15-13*ORÇAMENTO!$AF$7)/$H117*OFFSET(ORÇAMENTO!$X$15,ROW(BE117)-ROW(BE$15),0),
              ROUND(ROUND(OFFSET($P117,0,BE$13),15-13*ORÇAMENTO!$AF$7)*OFFSET(ORÇAMENTO!$W$15,ROW(BE117)-ROW(BE$15),0),15-13*ORÇAMENTO!$AF$11)),
         0)</f>
        <v>0</v>
      </c>
      <c r="BF117" s="453">
        <f ca="1">IF(AND($D117="Serviço",BF$12&lt;&gt;0,$H117&gt;0,OR(AUTOEVENTO&lt;&gt;"manual",$M117&lt;&gt;$A$15)),
        IF(Import.TipoArredondamento&lt;&gt;"TransfereGOV",
              ROUND(OFFSET($P117,0,BF$13),15-13*ORÇAMENTO!$AF$7)/$H117*OFFSET(ORÇAMENTO!$X$15,ROW(BF117)-ROW(BF$15),0),
              ROUND(ROUND(OFFSET($P117,0,BF$13),15-13*ORÇAMENTO!$AF$7)*OFFSET(ORÇAMENTO!$W$15,ROW(BF117)-ROW(BF$15),0),15-13*ORÇAMENTO!$AF$11)),
         0)</f>
        <v>0</v>
      </c>
      <c r="BG117" s="453">
        <f ca="1">IF(AND($D117="Serviço",BG$12&lt;&gt;0,$H117&gt;0,OR(AUTOEVENTO&lt;&gt;"manual",$M117&lt;&gt;$A$15)),
        IF(Import.TipoArredondamento&lt;&gt;"TransfereGOV",
              ROUND(OFFSET($P117,0,BG$13),15-13*ORÇAMENTO!$AF$7)/$H117*OFFSET(ORÇAMENTO!$X$15,ROW(BG117)-ROW(BG$15),0),
              ROUND(ROUND(OFFSET($P117,0,BG$13),15-13*ORÇAMENTO!$AF$7)*OFFSET(ORÇAMENTO!$W$15,ROW(BG117)-ROW(BG$15),0),15-13*ORÇAMENTO!$AF$11)),
         0)</f>
        <v>0</v>
      </c>
      <c r="BH117" s="453">
        <f ca="1">IF(AND($D117="Serviço",BH$12&lt;&gt;0,$H117&gt;0,OR(AUTOEVENTO&lt;&gt;"manual",$M117&lt;&gt;$A$15)),
        IF(Import.TipoArredondamento&lt;&gt;"TransfereGOV",
              ROUND(OFFSET($P117,0,BH$13),15-13*ORÇAMENTO!$AF$7)/$H117*OFFSET(ORÇAMENTO!$X$15,ROW(BH117)-ROW(BH$15),0),
              ROUND(ROUND(OFFSET($P117,0,BH$13),15-13*ORÇAMENTO!$AF$7)*OFFSET(ORÇAMENTO!$W$15,ROW(BH117)-ROW(BH$15),0),15-13*ORÇAMENTO!$AF$11)),
         0)</f>
        <v>0</v>
      </c>
      <c r="BI117" s="453">
        <f ca="1">IF(AND($D117="Serviço",BI$12&lt;&gt;0,$H117&gt;0,OR(AUTOEVENTO&lt;&gt;"manual",$M117&lt;&gt;$A$15)),
        IF(Import.TipoArredondamento&lt;&gt;"TransfereGOV",
              ROUND(OFFSET($P117,0,BI$13),15-13*ORÇAMENTO!$AF$7)/$H117*OFFSET(ORÇAMENTO!$X$15,ROW(BI117)-ROW(BI$15),0),
              ROUND(ROUND(OFFSET($P117,0,BI$13),15-13*ORÇAMENTO!$AF$7)*OFFSET(ORÇAMENTO!$W$15,ROW(BI117)-ROW(BI$15),0),15-13*ORÇAMENTO!$AF$11)),
         0)</f>
        <v>0</v>
      </c>
      <c r="BJ117" s="453">
        <f ca="1">IF(AND($D117="Serviço",BJ$12&lt;&gt;0,$H117&gt;0,OR(AUTOEVENTO&lt;&gt;"manual",$M117&lt;&gt;$A$15)),
        IF(Import.TipoArredondamento&lt;&gt;"TransfereGOV",
              ROUND(OFFSET($P117,0,BJ$13),15-13*ORÇAMENTO!$AF$7)/$H117*OFFSET(ORÇAMENTO!$X$15,ROW(BJ117)-ROW(BJ$15),0),
              ROUND(ROUND(OFFSET($P117,0,BJ$13),15-13*ORÇAMENTO!$AF$7)*OFFSET(ORÇAMENTO!$W$15,ROW(BJ117)-ROW(BJ$15),0),15-13*ORÇAMENTO!$AF$11)),
         0)</f>
        <v>0</v>
      </c>
      <c r="BK117" s="453">
        <f ca="1">IF(AND($D117="Serviço",BK$12&lt;&gt;0,$H117&gt;0,OR(AUTOEVENTO&lt;&gt;"manual",$M117&lt;&gt;$A$15)),
        IF(Import.TipoArredondamento&lt;&gt;"TransfereGOV",
              ROUND(OFFSET($P117,0,BK$13),15-13*ORÇAMENTO!$AF$7)/$H117*OFFSET(ORÇAMENTO!$X$15,ROW(BK117)-ROW(BK$15),0),
              ROUND(ROUND(OFFSET($P117,0,BK$13),15-13*ORÇAMENTO!$AF$7)*OFFSET(ORÇAMENTO!$W$15,ROW(BK117)-ROW(BK$15),0),15-13*ORÇAMENTO!$AF$11)),
         0)</f>
        <v>0</v>
      </c>
      <c r="BL117" s="453">
        <f ca="1">IF(AND($D117="Serviço",BL$12&lt;&gt;0,$H117&gt;0,OR(AUTOEVENTO&lt;&gt;"manual",$M117&lt;&gt;$A$15)),
        IF(Import.TipoArredondamento&lt;&gt;"TransfereGOV",
              ROUND(OFFSET($P117,0,BL$13),15-13*ORÇAMENTO!$AF$7)/$H117*OFFSET(ORÇAMENTO!$X$15,ROW(BL117)-ROW(BL$15),0),
              ROUND(ROUND(OFFSET($P117,0,BL$13),15-13*ORÇAMENTO!$AF$7)*OFFSET(ORÇAMENTO!$W$15,ROW(BL117)-ROW(BL$15),0),15-13*ORÇAMENTO!$AF$11)),
         0)</f>
        <v>0</v>
      </c>
      <c r="BM117" s="453">
        <f ca="1">IF(AND($D117="Serviço",BM$12&lt;&gt;0,$H117&gt;0,OR(AUTOEVENTO&lt;&gt;"manual",$M117&lt;&gt;$A$15)),
        IF(Import.TipoArredondamento&lt;&gt;"TransfereGOV",
              ROUND(OFFSET($P117,0,BM$13),15-13*ORÇAMENTO!$AF$7)/$H117*OFFSET(ORÇAMENTO!$X$15,ROW(BM117)-ROW(BM$15),0),
              ROUND(ROUND(OFFSET($P117,0,BM$13),15-13*ORÇAMENTO!$AF$7)*OFFSET(ORÇAMENTO!$W$15,ROW(BM117)-ROW(BM$15),0),15-13*ORÇAMENTO!$AF$11)),
         0)</f>
        <v>0</v>
      </c>
      <c r="BN117" s="453">
        <f ca="1">IF(AND($D117="Serviço",BN$12&lt;&gt;0,$H117&gt;0,OR(AUTOEVENTO&lt;&gt;"manual",$M117&lt;&gt;$A$15)),
        IF(Import.TipoArredondamento&lt;&gt;"TransfereGOV",
              ROUND(OFFSET($P117,0,BN$13),15-13*ORÇAMENTO!$AF$7)/$H117*OFFSET(ORÇAMENTO!$X$15,ROW(BN117)-ROW(BN$15),0),
              ROUND(ROUND(OFFSET($P117,0,BN$13),15-13*ORÇAMENTO!$AF$7)*OFFSET(ORÇAMENTO!$W$15,ROW(BN117)-ROW(BN$15),0),15-13*ORÇAMENTO!$AF$11)),
         0)</f>
        <v>0</v>
      </c>
      <c r="BO117" s="453">
        <f ca="1">IF(AND($D117="Serviço",BO$12&lt;&gt;0,$H117&gt;0,OR(AUTOEVENTO&lt;&gt;"manual",$M117&lt;&gt;$A$15)),
        IF(Import.TipoArredondamento&lt;&gt;"TransfereGOV",
              ROUND(OFFSET($P117,0,BO$13),15-13*ORÇAMENTO!$AF$7)/$H117*OFFSET(ORÇAMENTO!$X$15,ROW(BO117)-ROW(BO$15),0),
              ROUND(ROUND(OFFSET($P117,0,BO$13),15-13*ORÇAMENTO!$AF$7)*OFFSET(ORÇAMENTO!$W$15,ROW(BO117)-ROW(BO$15),0),15-13*ORÇAMENTO!$AF$11)),
         0)</f>
        <v>0</v>
      </c>
      <c r="BP117" s="453">
        <f ca="1">IF(AND($D117="Serviço",BP$12&lt;&gt;0,$H117&gt;0,OR(AUTOEVENTO&lt;&gt;"manual",$M117&lt;&gt;$A$15)),
        IF(Import.TipoArredondamento&lt;&gt;"TransfereGOV",
              ROUND(OFFSET($P117,0,BP$13),15-13*ORÇAMENTO!$AF$7)/$H117*OFFSET(ORÇAMENTO!$X$15,ROW(BP117)-ROW(BP$15),0),
              ROUND(ROUND(OFFSET($P117,0,BP$13),15-13*ORÇAMENTO!$AF$7)*OFFSET(ORÇAMENTO!$W$15,ROW(BP117)-ROW(BP$15),0),15-13*ORÇAMENTO!$AF$11)),
         0)</f>
        <v>0</v>
      </c>
      <c r="BQ117" s="453">
        <f ca="1">IF(AND($D117="Serviço",BQ$12&lt;&gt;0,$H117&gt;0,OR(AUTOEVENTO&lt;&gt;"manual",$M117&lt;&gt;$A$15)),
        IF(Import.TipoArredondamento&lt;&gt;"TransfereGOV",
              ROUND(OFFSET($P117,0,BQ$13),15-13*ORÇAMENTO!$AF$7)/$H117*OFFSET(ORÇAMENTO!$X$15,ROW(BQ117)-ROW(BQ$15),0),
              ROUND(ROUND(OFFSET($P117,0,BQ$13),15-13*ORÇAMENTO!$AF$7)*OFFSET(ORÇAMENTO!$W$15,ROW(BQ117)-ROW(BQ$15),0),15-13*ORÇAMENTO!$AF$11)),
         0)</f>
        <v>0</v>
      </c>
      <c r="BS117" s="171">
        <f ca="1">IF(OR($D117&lt;&gt;"Serviço",AND(AUTOEVENTO="Manual",$M117=$A$15)),0,
         IF(OFFSET(CRONOPLE!$F$15,$M117-$A$15,BS$13)=0,10^12,OFFSET(CRONOPLE!$F$15,$M117-$A$15,BS$13)))</f>
        <v>1</v>
      </c>
      <c r="BT117" s="171">
        <f ca="1">IF(OR($D117&lt;&gt;"Serviço",AND(AUTOEVENTO="Manual",$M117=$A$15)),0,
         IF(OFFSET(CRONOPLE!$F$15,$M117-$A$15,BT$13)=0,10^12,OFFSET(CRONOPLE!$F$15,$M117-$A$15,BT$13)))</f>
        <v>2</v>
      </c>
      <c r="BU117" s="171">
        <f ca="1">IF(OR($D117&lt;&gt;"Serviço",AND(AUTOEVENTO="Manual",$M117=$A$15)),0,
         IF(OFFSET(CRONOPLE!$F$15,$M117-$A$15,BU$13)=0,10^12,OFFSET(CRONOPLE!$F$15,$M117-$A$15,BU$13)))</f>
        <v>3</v>
      </c>
      <c r="BV117" s="171">
        <f ca="1">IF(OR($D117&lt;&gt;"Serviço",AND(AUTOEVENTO="Manual",$M117=$A$15)),0,
         IF(OFFSET(CRONOPLE!$F$15,$M117-$A$15,BV$13)=0,10^12,OFFSET(CRONOPLE!$F$15,$M117-$A$15,BV$13)))</f>
        <v>4</v>
      </c>
      <c r="BW117" s="171">
        <f ca="1">IF(OR($D117&lt;&gt;"Serviço",AND(AUTOEVENTO="Manual",$M117=$A$15)),0,
         IF(OFFSET(CRONOPLE!$F$15,$M117-$A$15,BW$13)=0,10^12,OFFSET(CRONOPLE!$F$15,$M117-$A$15,BW$13)))</f>
        <v>5</v>
      </c>
      <c r="BX117" s="171">
        <f ca="1">IF(OR($D117&lt;&gt;"Serviço",AND(AUTOEVENTO="Manual",$M117=$A$15)),0,
         IF(OFFSET(CRONOPLE!$F$15,$M117-$A$15,BX$13)=0,10^12,OFFSET(CRONOPLE!$F$15,$M117-$A$15,BX$13)))</f>
        <v>6</v>
      </c>
      <c r="BY117" s="171">
        <f ca="1">IF(OR($D117&lt;&gt;"Serviço",AND(AUTOEVENTO="Manual",$M117=$A$15)),0,
         IF(OFFSET(CRONOPLE!$F$15,$M117-$A$15,BY$13)=0,10^12,OFFSET(CRONOPLE!$F$15,$M117-$A$15,BY$13)))</f>
        <v>7</v>
      </c>
      <c r="BZ117" s="171">
        <f ca="1">IF(OR($D117&lt;&gt;"Serviço",AND(AUTOEVENTO="Manual",$M117=$A$15)),0,
         IF(OFFSET(CRONOPLE!$F$15,$M117-$A$15,BZ$13)=0,10^12,OFFSET(CRONOPLE!$F$15,$M117-$A$15,BZ$13)))</f>
        <v>8</v>
      </c>
      <c r="CA117" s="171">
        <f ca="1">IF(OR($D117&lt;&gt;"Serviço",AND(AUTOEVENTO="Manual",$M117=$A$15)),0,
         IF(OFFSET(CRONOPLE!$F$15,$M117-$A$15,CA$13)=0,10^12,OFFSET(CRONOPLE!$F$15,$M117-$A$15,CA$13)))</f>
        <v>9</v>
      </c>
      <c r="CB117" s="171">
        <f ca="1">IF(OR($D117&lt;&gt;"Serviço",AND(AUTOEVENTO="Manual",$M117=$A$15)),0,
         IF(OFFSET(CRONOPLE!$F$15,$M117-$A$15,CB$13)=0,10^12,OFFSET(CRONOPLE!$F$15,$M117-$A$15,CB$13)))</f>
        <v>10</v>
      </c>
      <c r="CC117" s="171">
        <f ca="1">IF(OR($D117&lt;&gt;"Serviço",AND(AUTOEVENTO="Manual",$M117=$A$15)),0,
         IF(OFFSET(CRONOPLE!$F$15,$M117-$A$15,CC$13)=0,10^12,OFFSET(CRONOPLE!$F$15,$M117-$A$15,CC$13)))</f>
        <v>11</v>
      </c>
      <c r="CD117" s="171">
        <f ca="1">IF(OR($D117&lt;&gt;"Serviço",AND(AUTOEVENTO="Manual",$M117=$A$15)),0,
         IF(OFFSET(CRONOPLE!$F$15,$M117-$A$15,CD$13)=0,10^12,OFFSET(CRONOPLE!$F$15,$M117-$A$15,CD$13)))</f>
        <v>12</v>
      </c>
      <c r="CE117" s="171">
        <f ca="1">IF(OR($D117&lt;&gt;"Serviço",AND(AUTOEVENTO="Manual",$M117=$A$15)),0,
         IF(OFFSET(CRONOPLE!$F$15,$M117-$A$15,CE$13)=0,10^12,OFFSET(CRONOPLE!$F$15,$M117-$A$15,CE$13)))</f>
        <v>13</v>
      </c>
      <c r="CF117" s="171">
        <f ca="1">IF(OR($D117&lt;&gt;"Serviço",AND(AUTOEVENTO="Manual",$M117=$A$15)),0,
         IF(OFFSET(CRONOPLE!$F$15,$M117-$A$15,CF$13)=0,10^12,OFFSET(CRONOPLE!$F$15,$M117-$A$15,CF$13)))</f>
        <v>14</v>
      </c>
      <c r="CG117" s="171">
        <f ca="1">IF(OR($D117&lt;&gt;"Serviço",AND(AUTOEVENTO="Manual",$M117=$A$15)),0,
         IF(OFFSET(CRONOPLE!$F$15,$M117-$A$15,CG$13)=0,10^12,OFFSET(CRONOPLE!$F$15,$M117-$A$15,CG$13)))</f>
        <v>15</v>
      </c>
      <c r="CH117" s="171">
        <f ca="1">IF(OR($D117&lt;&gt;"Serviço",AND(AUTOEVENTO="Manual",$M117=$A$15)),0,
         IF(OFFSET(CRONOPLE!$F$15,$M117-$A$15,CH$13)=0,10^12,OFFSET(CRONOPLE!$F$15,$M117-$A$15,CH$13)))</f>
        <v>16</v>
      </c>
      <c r="CI117" s="171">
        <f ca="1">IF(OR($D117&lt;&gt;"Serviço",AND(AUTOEVENTO="Manual",$M117=$A$15)),0,
         IF(OFFSET(CRONOPLE!$F$15,$M117-$A$15,CI$13)=0,10^12,OFFSET(CRONOPLE!$F$15,$M117-$A$15,CI$13)))</f>
        <v>17</v>
      </c>
      <c r="CJ117" s="171">
        <f ca="1">IF(OR($D117&lt;&gt;"Serviço",AND(AUTOEVENTO="Manual",$M117=$A$15)),0,
         IF(OFFSET(CRONOPLE!$F$15,$M117-$A$15,CJ$13)=0,10^12,OFFSET(CRONOPLE!$F$15,$M117-$A$15,CJ$13)))</f>
        <v>18</v>
      </c>
      <c r="CK117" s="171">
        <f ca="1">IF(OR($D117&lt;&gt;"Serviço",AND(AUTOEVENTO="Manual",$M117=$A$15)),0,
         IF(OFFSET(CRONOPLE!$F$15,$M117-$A$15,CK$13)=0,10^12,OFFSET(CRONOPLE!$F$15,$M117-$A$15,CK$13)))</f>
        <v>19</v>
      </c>
      <c r="CL117" s="171">
        <f ca="1">IF(OR($D117&lt;&gt;"Serviço",AND(AUTOEVENTO="Manual",$M117=$A$15)),0,
         IF(OFFSET(CRONOPLE!$F$15,$M117-$A$15,CL$13)=0,10^12,OFFSET(CRONOPLE!$F$15,$M117-$A$15,CL$13)))</f>
        <v>20</v>
      </c>
      <c r="CM117" s="171">
        <f ca="1">IF(OR($D117&lt;&gt;"Serviço",AND(AUTOEVENTO="Manual",$M117=$A$15)),0,
         IF(OFFSET(CRONOPLE!$F$15,$M117-$A$15,CM$13)=0,10^12,OFFSET(CRONOPLE!$F$15,$M117-$A$15,CM$13)))</f>
        <v>1000000000000</v>
      </c>
      <c r="CN117" s="171">
        <f ca="1">IF(OR($D117&lt;&gt;"Serviço",AND(AUTOEVENTO="Manual",$M117=$A$15)),0,
         IF(OFFSET(CRONOPLE!$F$15,$M117-$A$15,CN$13)=0,10^12,OFFSET(CRONOPLE!$F$15,$M117-$A$15,CN$13)))</f>
        <v>1000000000000</v>
      </c>
      <c r="CO117" s="171">
        <f ca="1">IF(OR($D117&lt;&gt;"Serviço",AND(AUTOEVENTO="Manual",$M117=$A$15)),0,
         IF(OFFSET(CRONOPLE!$F$15,$M117-$A$15,CO$13)=0,10^12,OFFSET(CRONOPLE!$F$15,$M117-$A$15,CO$13)))</f>
        <v>1000000000000</v>
      </c>
      <c r="CP117" s="171">
        <f ca="1">IF(OR($D117&lt;&gt;"Serviço",AND(AUTOEVENTO="Manual",$M117=$A$15)),0,
         IF(OFFSET(CRONOPLE!$F$15,$M117-$A$15,CP$13)=0,10^12,OFFSET(CRONOPLE!$F$15,$M117-$A$15,CP$13)))</f>
        <v>1000000000000</v>
      </c>
      <c r="CQ117" s="171">
        <f ca="1">IF(OR($D117&lt;&gt;"Serviço",AND(AUTOEVENTO="Manual",$M117=$A$15)),0,
         IF(OFFSET(CRONOPLE!$F$15,$M117-$A$15,CQ$13)=0,10^12,OFFSET(CRONOPLE!$F$15,$M117-$A$15,CQ$13)))</f>
        <v>1000000000000</v>
      </c>
      <c r="CR117" s="171">
        <f ca="1">IF(OR($D117&lt;&gt;"Serviço",AND(AUTOEVENTO="Manual",$M117=$A$15)),0,
         IF(OFFSET(CRONOPLE!$F$15,$M117-$A$15,CR$13)=0,10^12,OFFSET(CRONOPLE!$F$15,$M117-$A$15,CR$13)))</f>
        <v>1000000000000</v>
      </c>
      <c r="CT117" s="172" cm="1">
        <f t="array" aca="1" ref="CT117" ca="1">IF(OR($D117&lt;&gt;"Serviço",AND(AUTOEVENTO="Manual",$M117=$A$15),$M117&gt;(ROW(PLE.lastrow)-ROW(PLE.firstrow))),0,
           IF(OFFSET(PLE!$G$15,$M117-$A$15,CT$13)="",10^12,OFFSET(PLE!$G$15,$M117-$A$15,CT$13)))</f>
        <v>1000000000000</v>
      </c>
      <c r="CU117" s="172" cm="1">
        <f t="array" aca="1" ref="CU117" ca="1">IF(OR($D117&lt;&gt;"Serviço",AND(AUTOEVENTO="Manual",$M117=$A$15),$M117&gt;(ROW(PLE.lastrow)-ROW(PLE.firstrow))),0,
           IF(OFFSET(PLE!$G$15,$M117-$A$15,CU$13)="",10^12,OFFSET(PLE!$G$15,$M117-$A$15,CU$13)))</f>
        <v>1000000000000</v>
      </c>
      <c r="CV117" s="172" cm="1">
        <f t="array" aca="1" ref="CV117" ca="1">IF(OR($D117&lt;&gt;"Serviço",AND(AUTOEVENTO="Manual",$M117=$A$15),$M117&gt;(ROW(PLE.lastrow)-ROW(PLE.firstrow))),0,
           IF(OFFSET(PLE!$G$15,$M117-$A$15,CV$13)="",10^12,OFFSET(PLE!$G$15,$M117-$A$15,CV$13)))</f>
        <v>1000000000000</v>
      </c>
      <c r="CW117" s="172" cm="1">
        <f t="array" aca="1" ref="CW117" ca="1">IF(OR($D117&lt;&gt;"Serviço",AND(AUTOEVENTO="Manual",$M117=$A$15),$M117&gt;(ROW(PLE.lastrow)-ROW(PLE.firstrow))),0,
           IF(OFFSET(PLE!$G$15,$M117-$A$15,CW$13)="",10^12,OFFSET(PLE!$G$15,$M117-$A$15,CW$13)))</f>
        <v>1000000000000</v>
      </c>
      <c r="CX117" s="172" cm="1">
        <f t="array" aca="1" ref="CX117" ca="1">IF(OR($D117&lt;&gt;"Serviço",AND(AUTOEVENTO="Manual",$M117=$A$15),$M117&gt;(ROW(PLE.lastrow)-ROW(PLE.firstrow))),0,
           IF(OFFSET(PLE!$G$15,$M117-$A$15,CX$13)="",10^12,OFFSET(PLE!$G$15,$M117-$A$15,CX$13)))</f>
        <v>1000000000000</v>
      </c>
      <c r="CY117" s="172" cm="1">
        <f t="array" aca="1" ref="CY117" ca="1">IF(OR($D117&lt;&gt;"Serviço",AND(AUTOEVENTO="Manual",$M117=$A$15),$M117&gt;(ROW(PLE.lastrow)-ROW(PLE.firstrow))),0,
           IF(OFFSET(PLE!$G$15,$M117-$A$15,CY$13)="",10^12,OFFSET(PLE!$G$15,$M117-$A$15,CY$13)))</f>
        <v>1000000000000</v>
      </c>
      <c r="CZ117" s="172" cm="1">
        <f t="array" aca="1" ref="CZ117" ca="1">IF(OR($D117&lt;&gt;"Serviço",AND(AUTOEVENTO="Manual",$M117=$A$15),$M117&gt;(ROW(PLE.lastrow)-ROW(PLE.firstrow))),0,
           IF(OFFSET(PLE!$G$15,$M117-$A$15,CZ$13)="",10^12,OFFSET(PLE!$G$15,$M117-$A$15,CZ$13)))</f>
        <v>1000000000000</v>
      </c>
      <c r="DA117" s="172" cm="1">
        <f t="array" aca="1" ref="DA117" ca="1">IF(OR($D117&lt;&gt;"Serviço",AND(AUTOEVENTO="Manual",$M117=$A$15),$M117&gt;(ROW(PLE.lastrow)-ROW(PLE.firstrow))),0,
           IF(OFFSET(PLE!$G$15,$M117-$A$15,DA$13)="",10^12,OFFSET(PLE!$G$15,$M117-$A$15,DA$13)))</f>
        <v>1000000000000</v>
      </c>
      <c r="DB117" s="172" cm="1">
        <f t="array" aca="1" ref="DB117" ca="1">IF(OR($D117&lt;&gt;"Serviço",AND(AUTOEVENTO="Manual",$M117=$A$15),$M117&gt;(ROW(PLE.lastrow)-ROW(PLE.firstrow))),0,
           IF(OFFSET(PLE!$G$15,$M117-$A$15,DB$13)="",10^12,OFFSET(PLE!$G$15,$M117-$A$15,DB$13)))</f>
        <v>1000000000000</v>
      </c>
      <c r="DC117" s="172" cm="1">
        <f t="array" aca="1" ref="DC117" ca="1">IF(OR($D117&lt;&gt;"Serviço",AND(AUTOEVENTO="Manual",$M117=$A$15),$M117&gt;(ROW(PLE.lastrow)-ROW(PLE.firstrow))),0,
           IF(OFFSET(PLE!$G$15,$M117-$A$15,DC$13)="",10^12,OFFSET(PLE!$G$15,$M117-$A$15,DC$13)))</f>
        <v>1000000000000</v>
      </c>
      <c r="DD117" s="172" cm="1">
        <f t="array" aca="1" ref="DD117" ca="1">IF(OR($D117&lt;&gt;"Serviço",AND(AUTOEVENTO="Manual",$M117=$A$15),$M117&gt;(ROW(PLE.lastrow)-ROW(PLE.firstrow))),0,
           IF(OFFSET(PLE!$G$15,$M117-$A$15,DD$13)="",10^12,OFFSET(PLE!$G$15,$M117-$A$15,DD$13)))</f>
        <v>1000000000000</v>
      </c>
      <c r="DE117" s="172" cm="1">
        <f t="array" aca="1" ref="DE117" ca="1">IF(OR($D117&lt;&gt;"Serviço",AND(AUTOEVENTO="Manual",$M117=$A$15),$M117&gt;(ROW(PLE.lastrow)-ROW(PLE.firstrow))),0,
           IF(OFFSET(PLE!$G$15,$M117-$A$15,DE$13)="",10^12,OFFSET(PLE!$G$15,$M117-$A$15,DE$13)))</f>
        <v>1000000000000</v>
      </c>
      <c r="DF117" s="172" cm="1">
        <f t="array" aca="1" ref="DF117" ca="1">IF(OR($D117&lt;&gt;"Serviço",AND(AUTOEVENTO="Manual",$M117=$A$15),$M117&gt;(ROW(PLE.lastrow)-ROW(PLE.firstrow))),0,
           IF(OFFSET(PLE!$G$15,$M117-$A$15,DF$13)="",10^12,OFFSET(PLE!$G$15,$M117-$A$15,DF$13)))</f>
        <v>1000000000000</v>
      </c>
      <c r="DG117" s="172" cm="1">
        <f t="array" aca="1" ref="DG117" ca="1">IF(OR($D117&lt;&gt;"Serviço",AND(AUTOEVENTO="Manual",$M117=$A$15),$M117&gt;(ROW(PLE.lastrow)-ROW(PLE.firstrow))),0,
           IF(OFFSET(PLE!$G$15,$M117-$A$15,DG$13)="",10^12,OFFSET(PLE!$G$15,$M117-$A$15,DG$13)))</f>
        <v>1000000000000</v>
      </c>
      <c r="DH117" s="172" cm="1">
        <f t="array" aca="1" ref="DH117" ca="1">IF(OR($D117&lt;&gt;"Serviço",AND(AUTOEVENTO="Manual",$M117=$A$15),$M117&gt;(ROW(PLE.lastrow)-ROW(PLE.firstrow))),0,
           IF(OFFSET(PLE!$G$15,$M117-$A$15,DH$13)="",10^12,OFFSET(PLE!$G$15,$M117-$A$15,DH$13)))</f>
        <v>1000000000000</v>
      </c>
      <c r="DI117" s="172" cm="1">
        <f t="array" aca="1" ref="DI117" ca="1">IF(OR($D117&lt;&gt;"Serviço",AND(AUTOEVENTO="Manual",$M117=$A$15),$M117&gt;(ROW(PLE.lastrow)-ROW(PLE.firstrow))),0,
           IF(OFFSET(PLE!$G$15,$M117-$A$15,DI$13)="",10^12,OFFSET(PLE!$G$15,$M117-$A$15,DI$13)))</f>
        <v>1000000000000</v>
      </c>
      <c r="DJ117" s="172" cm="1">
        <f t="array" aca="1" ref="DJ117" ca="1">IF(OR($D117&lt;&gt;"Serviço",AND(AUTOEVENTO="Manual",$M117=$A$15),$M117&gt;(ROW(PLE.lastrow)-ROW(PLE.firstrow))),0,
           IF(OFFSET(PLE!$G$15,$M117-$A$15,DJ$13)="",10^12,OFFSET(PLE!$G$15,$M117-$A$15,DJ$13)))</f>
        <v>1000000000000</v>
      </c>
      <c r="DK117" s="172" cm="1">
        <f t="array" aca="1" ref="DK117" ca="1">IF(OR($D117&lt;&gt;"Serviço",AND(AUTOEVENTO="Manual",$M117=$A$15),$M117&gt;(ROW(PLE.lastrow)-ROW(PLE.firstrow))),0,
           IF(OFFSET(PLE!$G$15,$M117-$A$15,DK$13)="",10^12,OFFSET(PLE!$G$15,$M117-$A$15,DK$13)))</f>
        <v>1000000000000</v>
      </c>
      <c r="DL117" s="172" cm="1">
        <f t="array" aca="1" ref="DL117" ca="1">IF(OR($D117&lt;&gt;"Serviço",AND(AUTOEVENTO="Manual",$M117=$A$15),$M117&gt;(ROW(PLE.lastrow)-ROW(PLE.firstrow))),0,
           IF(OFFSET(PLE!$G$15,$M117-$A$15,DL$13)="",10^12,OFFSET(PLE!$G$15,$M117-$A$15,DL$13)))</f>
        <v>1000000000000</v>
      </c>
      <c r="DM117" s="172" cm="1">
        <f t="array" aca="1" ref="DM117" ca="1">IF(OR($D117&lt;&gt;"Serviço",AND(AUTOEVENTO="Manual",$M117=$A$15),$M117&gt;(ROW(PLE.lastrow)-ROW(PLE.firstrow))),0,
           IF(OFFSET(PLE!$G$15,$M117-$A$15,DM$13)="",10^12,OFFSET(PLE!$G$15,$M117-$A$15,DM$13)))</f>
        <v>1000000000000</v>
      </c>
      <c r="DN117" s="172" cm="1">
        <f t="array" aca="1" ref="DN117" ca="1">IF(OR($D117&lt;&gt;"Serviço",AND(AUTOEVENTO="Manual",$M117=$A$15),$M117&gt;(ROW(PLE.lastrow)-ROW(PLE.firstrow))),0,
           IF(OFFSET(PLE!$G$15,$M117-$A$15,DN$13)="",10^12,OFFSET(PLE!$G$15,$M117-$A$15,DN$13)))</f>
        <v>1000000000000</v>
      </c>
      <c r="DO117" s="172" cm="1">
        <f t="array" aca="1" ref="DO117" ca="1">IF(OR($D117&lt;&gt;"Serviço",AND(AUTOEVENTO="Manual",$M117=$A$15),$M117&gt;(ROW(PLE.lastrow)-ROW(PLE.firstrow))),0,
           IF(OFFSET(PLE!$G$15,$M117-$A$15,DO$13)="",10^12,OFFSET(PLE!$G$15,$M117-$A$15,DO$13)))</f>
        <v>1000000000000</v>
      </c>
      <c r="DP117" s="172" cm="1">
        <f t="array" aca="1" ref="DP117" ca="1">IF(OR($D117&lt;&gt;"Serviço",AND(AUTOEVENTO="Manual",$M117=$A$15),$M117&gt;(ROW(PLE.lastrow)-ROW(PLE.firstrow))),0,
           IF(OFFSET(PLE!$G$15,$M117-$A$15,DP$13)="",10^12,OFFSET(PLE!$G$15,$M117-$A$15,DP$13)))</f>
        <v>1000000000000</v>
      </c>
      <c r="DQ117" s="172" cm="1">
        <f t="array" aca="1" ref="DQ117" ca="1">IF(OR($D117&lt;&gt;"Serviço",AND(AUTOEVENTO="Manual",$M117=$A$15),$M117&gt;(ROW(PLE.lastrow)-ROW(PLE.firstrow))),0,
           IF(OFFSET(PLE!$G$15,$M117-$A$15,DQ$13)="",10^12,OFFSET(PLE!$G$15,$M117-$A$15,DQ$13)))</f>
        <v>1000000000000</v>
      </c>
      <c r="DR117" s="172" cm="1">
        <f t="array" aca="1" ref="DR117" ca="1">IF(OR($D117&lt;&gt;"Serviço",AND(AUTOEVENTO="Manual",$M117=$A$15),$M117&gt;(ROW(PLE.lastrow)-ROW(PLE.firstrow))),0,
           IF(OFFSET(PLE!$G$15,$M117-$A$15,DR$13)="",10^12,OFFSET(PLE!$G$15,$M117-$A$15,DR$13)))</f>
        <v>1000000000000</v>
      </c>
      <c r="DS117" s="172" cm="1">
        <f t="array" aca="1" ref="DS117" ca="1">IF(OR($D117&lt;&gt;"Serviço",AND(AUTOEVENTO="Manual",$M117=$A$15),$M117&gt;(ROW(PLE.lastrow)-ROW(PLE.firstrow))),0,
           IF(OFFSET(PLE!$G$15,$M117-$A$15,DS$13)="",10^12,OFFSET(PLE!$G$15,$M117-$A$15,DS$13)))</f>
        <v>1000000000000</v>
      </c>
    </row>
    <row r="118" spans="1:123" ht="25.5" x14ac:dyDescent="0.2">
      <c r="A118" s="7">
        <f t="shared" ca="1" si="15"/>
        <v>8</v>
      </c>
      <c r="B118" s="7" t="str">
        <f ca="1">OFFSET(ORÇAMENTO!C$15,$L118,0)</f>
        <v>S</v>
      </c>
      <c r="C118" s="7" t="str">
        <f ca="1">OFFSET(ORÇAMENTO!L$15,$L118,0)</f>
        <v/>
      </c>
      <c r="D118" s="116" t="str">
        <f ca="1">OFFSET(ORÇAMENTO!N$15,$L118,0)</f>
        <v>Serviço</v>
      </c>
      <c r="E118" s="117" t="str">
        <f ca="1">OFFSET(ORÇAMENTO!O$15,$L118,0)</f>
        <v>-</v>
      </c>
      <c r="F118" s="163" t="str">
        <f ca="1">OFFSET(ORÇAMENTO!R$15,$L118,0)</f>
        <v>(Código não identificado nas referências)</v>
      </c>
      <c r="G118" s="164" t="str">
        <f ca="1">IF($D118&lt;&gt;"Serviço","",OFFSET(ORÇAMENTO!S$15,$L118,0))</f>
        <v>-</v>
      </c>
      <c r="H118" s="122" cm="1">
        <f t="array" aca="1" ref="H118" ca="1">IF($D118&lt;&gt;"Serviço",0,IF(ACOMPANHAMENTO="BM",ROUND(OFFSET(ORÇAMENTO!AJ$15,$L118,0),15-13*ORÇAMENTO!$AF$7),IF(IFERROR(CÁLCULO.FrentesPreenchidas,0)=0,0,SUM(ROUND(OFFSET($P118,0,1,1,CÁLCULO.FrentesPreenchidas),15-13*ORÇAMENTO!$AF$7)))))</f>
        <v>1077.3999999999999</v>
      </c>
      <c r="I118" s="468" t="s">
        <v>1235</v>
      </c>
      <c r="J118" s="651" t="str" cm="1">
        <f t="array" aca="1" ref="J118" ca="1">IF(OR(B118&lt;&gt;"S",CÁLCULO.FrentesPreenchidas=0),"",IF(AND(ACOMPANHAMENTO="PLE",AUTOEVENTO="Manual",OR(H118&gt;0,ORÇAMENTO!AC118="QUANT."),OR(K118="",M118=0,N118="")),"►E",IF(AND(ACOMPANHAMENTO="PLE",ORÇAMENTO!AC118="QUANT."),"►Q",IF(AND(ACOMPANHAMENTO="PLE",H118&lt;&gt;SUMPRODUCT(($Q$1:$AQ$1=1)*ROUND(Q118:AQ118,15))),"►S",IF(AND(COUNTIF($P$11:$AQ$11,"▼")=0,H118&gt;0,I118=""),"◄M","")))))</f>
        <v/>
      </c>
      <c r="K118" s="652" t="s">
        <v>1256</v>
      </c>
      <c r="L118" s="165">
        <f t="shared" ca="1" si="14"/>
        <v>103</v>
      </c>
      <c r="M118" s="166">
        <f ca="1">IF($D118&lt;&gt;"Serviço","",
          IF(AUTOEVENTO="manual",$A118,
                IF(ISERROR(MATCH($A118,$A$15:OFFSET($A118,-1,0),0)),MAX($M$15:OFFSET(M118,-1,0))+1,
                      INDEX($M$15:OFFSET(M118,-1,0),MATCH($A118,$A$15:OFFSET($A118,-1,0),0)))))</f>
        <v>8</v>
      </c>
      <c r="N118" s="167" t="str">
        <f ca="1">IF($D118&lt;&gt;"Serviço","",
         IF(AUTOEVENTO="Manual",
                IF($A118=0,"&lt;-- defina o número do agrupador",
                       OFFSET(EVENTOS!$D$15,$A118-$A$15,0)),
                OFFSET($F$15,$A118,0)))</f>
        <v>PAVIMENTAÇÕES</v>
      </c>
      <c r="O118" s="168"/>
      <c r="Q118" s="168">
        <v>53.87</v>
      </c>
      <c r="R118" s="169">
        <v>53.87</v>
      </c>
      <c r="S118" s="169">
        <v>53.87</v>
      </c>
      <c r="T118" s="169">
        <v>53.87</v>
      </c>
      <c r="U118" s="169">
        <v>53.87</v>
      </c>
      <c r="V118" s="169">
        <v>53.87</v>
      </c>
      <c r="W118" s="169">
        <v>53.87</v>
      </c>
      <c r="X118" s="169">
        <v>53.87</v>
      </c>
      <c r="Y118" s="169">
        <v>53.87</v>
      </c>
      <c r="Z118" s="170">
        <v>53.87</v>
      </c>
      <c r="AA118" s="169">
        <v>53.87</v>
      </c>
      <c r="AB118" s="169">
        <v>53.87</v>
      </c>
      <c r="AC118" s="169">
        <v>53.87</v>
      </c>
      <c r="AD118" s="169">
        <v>53.87</v>
      </c>
      <c r="AE118" s="169">
        <v>53.87</v>
      </c>
      <c r="AF118" s="169">
        <v>53.87</v>
      </c>
      <c r="AG118" s="169">
        <v>53.87</v>
      </c>
      <c r="AH118" s="170">
        <v>53.87</v>
      </c>
      <c r="AI118" s="169">
        <v>53.87</v>
      </c>
      <c r="AJ118" s="169">
        <v>53.87</v>
      </c>
      <c r="AK118" s="169"/>
      <c r="AL118" s="169"/>
      <c r="AM118" s="169"/>
      <c r="AN118" s="169"/>
      <c r="AO118" s="169"/>
      <c r="AP118" s="170"/>
      <c r="AR118" s="453">
        <f ca="1">IF(AND($D118="Serviço",AR$12&lt;&gt;0,$H118&gt;0,OR(AUTOEVENTO&lt;&gt;"manual",$M118&lt;&gt;$A$15)),
        IF(Import.TipoArredondamento&lt;&gt;"TransfereGOV",
              ROUND(OFFSET($P118,0,AR$13),15-13*ORÇAMENTO!$AF$7)/$H118*OFFSET(ORÇAMENTO!$X$15,ROW(AR118)-ROW(AR$15),0),
              ROUND(ROUND(OFFSET($P118,0,AR$13),15-13*ORÇAMENTO!$AF$7)*OFFSET(ORÇAMENTO!$W$15,ROW(AR118)-ROW(AR$15),0),15-13*ORÇAMENTO!$AF$11)),
         0)</f>
        <v>0</v>
      </c>
      <c r="AS118" s="453">
        <f ca="1">IF(AND($D118="Serviço",AS$12&lt;&gt;0,$H118&gt;0,OR(AUTOEVENTO&lt;&gt;"manual",$M118&lt;&gt;$A$15)),
        IF(Import.TipoArredondamento&lt;&gt;"TransfereGOV",
              ROUND(OFFSET($P118,0,AS$13),15-13*ORÇAMENTO!$AF$7)/$H118*OFFSET(ORÇAMENTO!$X$15,ROW(AS118)-ROW(AS$15),0),
              ROUND(ROUND(OFFSET($P118,0,AS$13),15-13*ORÇAMENTO!$AF$7)*OFFSET(ORÇAMENTO!$W$15,ROW(AS118)-ROW(AS$15),0),15-13*ORÇAMENTO!$AF$11)),
         0)</f>
        <v>0</v>
      </c>
      <c r="AT118" s="453">
        <f ca="1">IF(AND($D118="Serviço",AT$12&lt;&gt;0,$H118&gt;0,OR(AUTOEVENTO&lt;&gt;"manual",$M118&lt;&gt;$A$15)),
        IF(Import.TipoArredondamento&lt;&gt;"TransfereGOV",
              ROUND(OFFSET($P118,0,AT$13),15-13*ORÇAMENTO!$AF$7)/$H118*OFFSET(ORÇAMENTO!$X$15,ROW(AT118)-ROW(AT$15),0),
              ROUND(ROUND(OFFSET($P118,0,AT$13),15-13*ORÇAMENTO!$AF$7)*OFFSET(ORÇAMENTO!$W$15,ROW(AT118)-ROW(AT$15),0),15-13*ORÇAMENTO!$AF$11)),
         0)</f>
        <v>0</v>
      </c>
      <c r="AU118" s="453">
        <f ca="1">IF(AND($D118="Serviço",AU$12&lt;&gt;0,$H118&gt;0,OR(AUTOEVENTO&lt;&gt;"manual",$M118&lt;&gt;$A$15)),
        IF(Import.TipoArredondamento&lt;&gt;"TransfereGOV",
              ROUND(OFFSET($P118,0,AU$13),15-13*ORÇAMENTO!$AF$7)/$H118*OFFSET(ORÇAMENTO!$X$15,ROW(AU118)-ROW(AU$15),0),
              ROUND(ROUND(OFFSET($P118,0,AU$13),15-13*ORÇAMENTO!$AF$7)*OFFSET(ORÇAMENTO!$W$15,ROW(AU118)-ROW(AU$15),0),15-13*ORÇAMENTO!$AF$11)),
         0)</f>
        <v>0</v>
      </c>
      <c r="AV118" s="453">
        <f ca="1">IF(AND($D118="Serviço",AV$12&lt;&gt;0,$H118&gt;0,OR(AUTOEVENTO&lt;&gt;"manual",$M118&lt;&gt;$A$15)),
        IF(Import.TipoArredondamento&lt;&gt;"TransfereGOV",
              ROUND(OFFSET($P118,0,AV$13),15-13*ORÇAMENTO!$AF$7)/$H118*OFFSET(ORÇAMENTO!$X$15,ROW(AV118)-ROW(AV$15),0),
              ROUND(ROUND(OFFSET($P118,0,AV$13),15-13*ORÇAMENTO!$AF$7)*OFFSET(ORÇAMENTO!$W$15,ROW(AV118)-ROW(AV$15),0),15-13*ORÇAMENTO!$AF$11)),
         0)</f>
        <v>0</v>
      </c>
      <c r="AW118" s="453">
        <f ca="1">IF(AND($D118="Serviço",AW$12&lt;&gt;0,$H118&gt;0,OR(AUTOEVENTO&lt;&gt;"manual",$M118&lt;&gt;$A$15)),
        IF(Import.TipoArredondamento&lt;&gt;"TransfereGOV",
              ROUND(OFFSET($P118,0,AW$13),15-13*ORÇAMENTO!$AF$7)/$H118*OFFSET(ORÇAMENTO!$X$15,ROW(AW118)-ROW(AW$15),0),
              ROUND(ROUND(OFFSET($P118,0,AW$13),15-13*ORÇAMENTO!$AF$7)*OFFSET(ORÇAMENTO!$W$15,ROW(AW118)-ROW(AW$15),0),15-13*ORÇAMENTO!$AF$11)),
         0)</f>
        <v>0</v>
      </c>
      <c r="AX118" s="453">
        <f ca="1">IF(AND($D118="Serviço",AX$12&lt;&gt;0,$H118&gt;0,OR(AUTOEVENTO&lt;&gt;"manual",$M118&lt;&gt;$A$15)),
        IF(Import.TipoArredondamento&lt;&gt;"TransfereGOV",
              ROUND(OFFSET($P118,0,AX$13),15-13*ORÇAMENTO!$AF$7)/$H118*OFFSET(ORÇAMENTO!$X$15,ROW(AX118)-ROW(AX$15),0),
              ROUND(ROUND(OFFSET($P118,0,AX$13),15-13*ORÇAMENTO!$AF$7)*OFFSET(ORÇAMENTO!$W$15,ROW(AX118)-ROW(AX$15),0),15-13*ORÇAMENTO!$AF$11)),
         0)</f>
        <v>0</v>
      </c>
      <c r="AY118" s="453">
        <f ca="1">IF(AND($D118="Serviço",AY$12&lt;&gt;0,$H118&gt;0,OR(AUTOEVENTO&lt;&gt;"manual",$M118&lt;&gt;$A$15)),
        IF(Import.TipoArredondamento&lt;&gt;"TransfereGOV",
              ROUND(OFFSET($P118,0,AY$13),15-13*ORÇAMENTO!$AF$7)/$H118*OFFSET(ORÇAMENTO!$X$15,ROW(AY118)-ROW(AY$15),0),
              ROUND(ROUND(OFFSET($P118,0,AY$13),15-13*ORÇAMENTO!$AF$7)*OFFSET(ORÇAMENTO!$W$15,ROW(AY118)-ROW(AY$15),0),15-13*ORÇAMENTO!$AF$11)),
         0)</f>
        <v>0</v>
      </c>
      <c r="AZ118" s="453">
        <f ca="1">IF(AND($D118="Serviço",AZ$12&lt;&gt;0,$H118&gt;0,OR(AUTOEVENTO&lt;&gt;"manual",$M118&lt;&gt;$A$15)),
        IF(Import.TipoArredondamento&lt;&gt;"TransfereGOV",
              ROUND(OFFSET($P118,0,AZ$13),15-13*ORÇAMENTO!$AF$7)/$H118*OFFSET(ORÇAMENTO!$X$15,ROW(AZ118)-ROW(AZ$15),0),
              ROUND(ROUND(OFFSET($P118,0,AZ$13),15-13*ORÇAMENTO!$AF$7)*OFFSET(ORÇAMENTO!$W$15,ROW(AZ118)-ROW(AZ$15),0),15-13*ORÇAMENTO!$AF$11)),
         0)</f>
        <v>0</v>
      </c>
      <c r="BA118" s="453">
        <f ca="1">IF(AND($D118="Serviço",BA$12&lt;&gt;0,$H118&gt;0,OR(AUTOEVENTO&lt;&gt;"manual",$M118&lt;&gt;$A$15)),
        IF(Import.TipoArredondamento&lt;&gt;"TransfereGOV",
              ROUND(OFFSET($P118,0,BA$13),15-13*ORÇAMENTO!$AF$7)/$H118*OFFSET(ORÇAMENTO!$X$15,ROW(BA118)-ROW(BA$15),0),
              ROUND(ROUND(OFFSET($P118,0,BA$13),15-13*ORÇAMENTO!$AF$7)*OFFSET(ORÇAMENTO!$W$15,ROW(BA118)-ROW(BA$15),0),15-13*ORÇAMENTO!$AF$11)),
         0)</f>
        <v>0</v>
      </c>
      <c r="BB118" s="453">
        <f ca="1">IF(AND($D118="Serviço",BB$12&lt;&gt;0,$H118&gt;0,OR(AUTOEVENTO&lt;&gt;"manual",$M118&lt;&gt;$A$15)),
        IF(Import.TipoArredondamento&lt;&gt;"TransfereGOV",
              ROUND(OFFSET($P118,0,BB$13),15-13*ORÇAMENTO!$AF$7)/$H118*OFFSET(ORÇAMENTO!$X$15,ROW(BB118)-ROW(BB$15),0),
              ROUND(ROUND(OFFSET($P118,0,BB$13),15-13*ORÇAMENTO!$AF$7)*OFFSET(ORÇAMENTO!$W$15,ROW(BB118)-ROW(BB$15),0),15-13*ORÇAMENTO!$AF$11)),
         0)</f>
        <v>0</v>
      </c>
      <c r="BC118" s="453">
        <f ca="1">IF(AND($D118="Serviço",BC$12&lt;&gt;0,$H118&gt;0,OR(AUTOEVENTO&lt;&gt;"manual",$M118&lt;&gt;$A$15)),
        IF(Import.TipoArredondamento&lt;&gt;"TransfereGOV",
              ROUND(OFFSET($P118,0,BC$13),15-13*ORÇAMENTO!$AF$7)/$H118*OFFSET(ORÇAMENTO!$X$15,ROW(BC118)-ROW(BC$15),0),
              ROUND(ROUND(OFFSET($P118,0,BC$13),15-13*ORÇAMENTO!$AF$7)*OFFSET(ORÇAMENTO!$W$15,ROW(BC118)-ROW(BC$15),0),15-13*ORÇAMENTO!$AF$11)),
         0)</f>
        <v>0</v>
      </c>
      <c r="BD118" s="453">
        <f ca="1">IF(AND($D118="Serviço",BD$12&lt;&gt;0,$H118&gt;0,OR(AUTOEVENTO&lt;&gt;"manual",$M118&lt;&gt;$A$15)),
        IF(Import.TipoArredondamento&lt;&gt;"TransfereGOV",
              ROUND(OFFSET($P118,0,BD$13),15-13*ORÇAMENTO!$AF$7)/$H118*OFFSET(ORÇAMENTO!$X$15,ROW(BD118)-ROW(BD$15),0),
              ROUND(ROUND(OFFSET($P118,0,BD$13),15-13*ORÇAMENTO!$AF$7)*OFFSET(ORÇAMENTO!$W$15,ROW(BD118)-ROW(BD$15),0),15-13*ORÇAMENTO!$AF$11)),
         0)</f>
        <v>0</v>
      </c>
      <c r="BE118" s="453">
        <f ca="1">IF(AND($D118="Serviço",BE$12&lt;&gt;0,$H118&gt;0,OR(AUTOEVENTO&lt;&gt;"manual",$M118&lt;&gt;$A$15)),
        IF(Import.TipoArredondamento&lt;&gt;"TransfereGOV",
              ROUND(OFFSET($P118,0,BE$13),15-13*ORÇAMENTO!$AF$7)/$H118*OFFSET(ORÇAMENTO!$X$15,ROW(BE118)-ROW(BE$15),0),
              ROUND(ROUND(OFFSET($P118,0,BE$13),15-13*ORÇAMENTO!$AF$7)*OFFSET(ORÇAMENTO!$W$15,ROW(BE118)-ROW(BE$15),0),15-13*ORÇAMENTO!$AF$11)),
         0)</f>
        <v>0</v>
      </c>
      <c r="BF118" s="453">
        <f ca="1">IF(AND($D118="Serviço",BF$12&lt;&gt;0,$H118&gt;0,OR(AUTOEVENTO&lt;&gt;"manual",$M118&lt;&gt;$A$15)),
        IF(Import.TipoArredondamento&lt;&gt;"TransfereGOV",
              ROUND(OFFSET($P118,0,BF$13),15-13*ORÇAMENTO!$AF$7)/$H118*OFFSET(ORÇAMENTO!$X$15,ROW(BF118)-ROW(BF$15),0),
              ROUND(ROUND(OFFSET($P118,0,BF$13),15-13*ORÇAMENTO!$AF$7)*OFFSET(ORÇAMENTO!$W$15,ROW(BF118)-ROW(BF$15),0),15-13*ORÇAMENTO!$AF$11)),
         0)</f>
        <v>0</v>
      </c>
      <c r="BG118" s="453">
        <f ca="1">IF(AND($D118="Serviço",BG$12&lt;&gt;0,$H118&gt;0,OR(AUTOEVENTO&lt;&gt;"manual",$M118&lt;&gt;$A$15)),
        IF(Import.TipoArredondamento&lt;&gt;"TransfereGOV",
              ROUND(OFFSET($P118,0,BG$13),15-13*ORÇAMENTO!$AF$7)/$H118*OFFSET(ORÇAMENTO!$X$15,ROW(BG118)-ROW(BG$15),0),
              ROUND(ROUND(OFFSET($P118,0,BG$13),15-13*ORÇAMENTO!$AF$7)*OFFSET(ORÇAMENTO!$W$15,ROW(BG118)-ROW(BG$15),0),15-13*ORÇAMENTO!$AF$11)),
         0)</f>
        <v>0</v>
      </c>
      <c r="BH118" s="453">
        <f ca="1">IF(AND($D118="Serviço",BH$12&lt;&gt;0,$H118&gt;0,OR(AUTOEVENTO&lt;&gt;"manual",$M118&lt;&gt;$A$15)),
        IF(Import.TipoArredondamento&lt;&gt;"TransfereGOV",
              ROUND(OFFSET($P118,0,BH$13),15-13*ORÇAMENTO!$AF$7)/$H118*OFFSET(ORÇAMENTO!$X$15,ROW(BH118)-ROW(BH$15),0),
              ROUND(ROUND(OFFSET($P118,0,BH$13),15-13*ORÇAMENTO!$AF$7)*OFFSET(ORÇAMENTO!$W$15,ROW(BH118)-ROW(BH$15),0),15-13*ORÇAMENTO!$AF$11)),
         0)</f>
        <v>0</v>
      </c>
      <c r="BI118" s="453">
        <f ca="1">IF(AND($D118="Serviço",BI$12&lt;&gt;0,$H118&gt;0,OR(AUTOEVENTO&lt;&gt;"manual",$M118&lt;&gt;$A$15)),
        IF(Import.TipoArredondamento&lt;&gt;"TransfereGOV",
              ROUND(OFFSET($P118,0,BI$13),15-13*ORÇAMENTO!$AF$7)/$H118*OFFSET(ORÇAMENTO!$X$15,ROW(BI118)-ROW(BI$15),0),
              ROUND(ROUND(OFFSET($P118,0,BI$13),15-13*ORÇAMENTO!$AF$7)*OFFSET(ORÇAMENTO!$W$15,ROW(BI118)-ROW(BI$15),0),15-13*ORÇAMENTO!$AF$11)),
         0)</f>
        <v>0</v>
      </c>
      <c r="BJ118" s="453">
        <f ca="1">IF(AND($D118="Serviço",BJ$12&lt;&gt;0,$H118&gt;0,OR(AUTOEVENTO&lt;&gt;"manual",$M118&lt;&gt;$A$15)),
        IF(Import.TipoArredondamento&lt;&gt;"TransfereGOV",
              ROUND(OFFSET($P118,0,BJ$13),15-13*ORÇAMENTO!$AF$7)/$H118*OFFSET(ORÇAMENTO!$X$15,ROW(BJ118)-ROW(BJ$15),0),
              ROUND(ROUND(OFFSET($P118,0,BJ$13),15-13*ORÇAMENTO!$AF$7)*OFFSET(ORÇAMENTO!$W$15,ROW(BJ118)-ROW(BJ$15),0),15-13*ORÇAMENTO!$AF$11)),
         0)</f>
        <v>0</v>
      </c>
      <c r="BK118" s="453">
        <f ca="1">IF(AND($D118="Serviço",BK$12&lt;&gt;0,$H118&gt;0,OR(AUTOEVENTO&lt;&gt;"manual",$M118&lt;&gt;$A$15)),
        IF(Import.TipoArredondamento&lt;&gt;"TransfereGOV",
              ROUND(OFFSET($P118,0,BK$13),15-13*ORÇAMENTO!$AF$7)/$H118*OFFSET(ORÇAMENTO!$X$15,ROW(BK118)-ROW(BK$15),0),
              ROUND(ROUND(OFFSET($P118,0,BK$13),15-13*ORÇAMENTO!$AF$7)*OFFSET(ORÇAMENTO!$W$15,ROW(BK118)-ROW(BK$15),0),15-13*ORÇAMENTO!$AF$11)),
         0)</f>
        <v>0</v>
      </c>
      <c r="BL118" s="453">
        <f ca="1">IF(AND($D118="Serviço",BL$12&lt;&gt;0,$H118&gt;0,OR(AUTOEVENTO&lt;&gt;"manual",$M118&lt;&gt;$A$15)),
        IF(Import.TipoArredondamento&lt;&gt;"TransfereGOV",
              ROUND(OFFSET($P118,0,BL$13),15-13*ORÇAMENTO!$AF$7)/$H118*OFFSET(ORÇAMENTO!$X$15,ROW(BL118)-ROW(BL$15),0),
              ROUND(ROUND(OFFSET($P118,0,BL$13),15-13*ORÇAMENTO!$AF$7)*OFFSET(ORÇAMENTO!$W$15,ROW(BL118)-ROW(BL$15),0),15-13*ORÇAMENTO!$AF$11)),
         0)</f>
        <v>0</v>
      </c>
      <c r="BM118" s="453">
        <f ca="1">IF(AND($D118="Serviço",BM$12&lt;&gt;0,$H118&gt;0,OR(AUTOEVENTO&lt;&gt;"manual",$M118&lt;&gt;$A$15)),
        IF(Import.TipoArredondamento&lt;&gt;"TransfereGOV",
              ROUND(OFFSET($P118,0,BM$13),15-13*ORÇAMENTO!$AF$7)/$H118*OFFSET(ORÇAMENTO!$X$15,ROW(BM118)-ROW(BM$15),0),
              ROUND(ROUND(OFFSET($P118,0,BM$13),15-13*ORÇAMENTO!$AF$7)*OFFSET(ORÇAMENTO!$W$15,ROW(BM118)-ROW(BM$15),0),15-13*ORÇAMENTO!$AF$11)),
         0)</f>
        <v>0</v>
      </c>
      <c r="BN118" s="453">
        <f ca="1">IF(AND($D118="Serviço",BN$12&lt;&gt;0,$H118&gt;0,OR(AUTOEVENTO&lt;&gt;"manual",$M118&lt;&gt;$A$15)),
        IF(Import.TipoArredondamento&lt;&gt;"TransfereGOV",
              ROUND(OFFSET($P118,0,BN$13),15-13*ORÇAMENTO!$AF$7)/$H118*OFFSET(ORÇAMENTO!$X$15,ROW(BN118)-ROW(BN$15),0),
              ROUND(ROUND(OFFSET($P118,0,BN$13),15-13*ORÇAMENTO!$AF$7)*OFFSET(ORÇAMENTO!$W$15,ROW(BN118)-ROW(BN$15),0),15-13*ORÇAMENTO!$AF$11)),
         0)</f>
        <v>0</v>
      </c>
      <c r="BO118" s="453">
        <f ca="1">IF(AND($D118="Serviço",BO$12&lt;&gt;0,$H118&gt;0,OR(AUTOEVENTO&lt;&gt;"manual",$M118&lt;&gt;$A$15)),
        IF(Import.TipoArredondamento&lt;&gt;"TransfereGOV",
              ROUND(OFFSET($P118,0,BO$13),15-13*ORÇAMENTO!$AF$7)/$H118*OFFSET(ORÇAMENTO!$X$15,ROW(BO118)-ROW(BO$15),0),
              ROUND(ROUND(OFFSET($P118,0,BO$13),15-13*ORÇAMENTO!$AF$7)*OFFSET(ORÇAMENTO!$W$15,ROW(BO118)-ROW(BO$15),0),15-13*ORÇAMENTO!$AF$11)),
         0)</f>
        <v>0</v>
      </c>
      <c r="BP118" s="453">
        <f ca="1">IF(AND($D118="Serviço",BP$12&lt;&gt;0,$H118&gt;0,OR(AUTOEVENTO&lt;&gt;"manual",$M118&lt;&gt;$A$15)),
        IF(Import.TipoArredondamento&lt;&gt;"TransfereGOV",
              ROUND(OFFSET($P118,0,BP$13),15-13*ORÇAMENTO!$AF$7)/$H118*OFFSET(ORÇAMENTO!$X$15,ROW(BP118)-ROW(BP$15),0),
              ROUND(ROUND(OFFSET($P118,0,BP$13),15-13*ORÇAMENTO!$AF$7)*OFFSET(ORÇAMENTO!$W$15,ROW(BP118)-ROW(BP$15),0),15-13*ORÇAMENTO!$AF$11)),
         0)</f>
        <v>0</v>
      </c>
      <c r="BQ118" s="453">
        <f ca="1">IF(AND($D118="Serviço",BQ$12&lt;&gt;0,$H118&gt;0,OR(AUTOEVENTO&lt;&gt;"manual",$M118&lt;&gt;$A$15)),
        IF(Import.TipoArredondamento&lt;&gt;"TransfereGOV",
              ROUND(OFFSET($P118,0,BQ$13),15-13*ORÇAMENTO!$AF$7)/$H118*OFFSET(ORÇAMENTO!$X$15,ROW(BQ118)-ROW(BQ$15),0),
              ROUND(ROUND(OFFSET($P118,0,BQ$13),15-13*ORÇAMENTO!$AF$7)*OFFSET(ORÇAMENTO!$W$15,ROW(BQ118)-ROW(BQ$15),0),15-13*ORÇAMENTO!$AF$11)),
         0)</f>
        <v>0</v>
      </c>
      <c r="BS118" s="171">
        <f ca="1">IF(OR($D118&lt;&gt;"Serviço",AND(AUTOEVENTO="Manual",$M118=$A$15)),0,
         IF(OFFSET(CRONOPLE!$F$15,$M118-$A$15,BS$13)=0,10^12,OFFSET(CRONOPLE!$F$15,$M118-$A$15,BS$13)))</f>
        <v>1</v>
      </c>
      <c r="BT118" s="171">
        <f ca="1">IF(OR($D118&lt;&gt;"Serviço",AND(AUTOEVENTO="Manual",$M118=$A$15)),0,
         IF(OFFSET(CRONOPLE!$F$15,$M118-$A$15,BT$13)=0,10^12,OFFSET(CRONOPLE!$F$15,$M118-$A$15,BT$13)))</f>
        <v>2</v>
      </c>
      <c r="BU118" s="171">
        <f ca="1">IF(OR($D118&lt;&gt;"Serviço",AND(AUTOEVENTO="Manual",$M118=$A$15)),0,
         IF(OFFSET(CRONOPLE!$F$15,$M118-$A$15,BU$13)=0,10^12,OFFSET(CRONOPLE!$F$15,$M118-$A$15,BU$13)))</f>
        <v>3</v>
      </c>
      <c r="BV118" s="171">
        <f ca="1">IF(OR($D118&lt;&gt;"Serviço",AND(AUTOEVENTO="Manual",$M118=$A$15)),0,
         IF(OFFSET(CRONOPLE!$F$15,$M118-$A$15,BV$13)=0,10^12,OFFSET(CRONOPLE!$F$15,$M118-$A$15,BV$13)))</f>
        <v>4</v>
      </c>
      <c r="BW118" s="171">
        <f ca="1">IF(OR($D118&lt;&gt;"Serviço",AND(AUTOEVENTO="Manual",$M118=$A$15)),0,
         IF(OFFSET(CRONOPLE!$F$15,$M118-$A$15,BW$13)=0,10^12,OFFSET(CRONOPLE!$F$15,$M118-$A$15,BW$13)))</f>
        <v>5</v>
      </c>
      <c r="BX118" s="171">
        <f ca="1">IF(OR($D118&lt;&gt;"Serviço",AND(AUTOEVENTO="Manual",$M118=$A$15)),0,
         IF(OFFSET(CRONOPLE!$F$15,$M118-$A$15,BX$13)=0,10^12,OFFSET(CRONOPLE!$F$15,$M118-$A$15,BX$13)))</f>
        <v>6</v>
      </c>
      <c r="BY118" s="171">
        <f ca="1">IF(OR($D118&lt;&gt;"Serviço",AND(AUTOEVENTO="Manual",$M118=$A$15)),0,
         IF(OFFSET(CRONOPLE!$F$15,$M118-$A$15,BY$13)=0,10^12,OFFSET(CRONOPLE!$F$15,$M118-$A$15,BY$13)))</f>
        <v>7</v>
      </c>
      <c r="BZ118" s="171">
        <f ca="1">IF(OR($D118&lt;&gt;"Serviço",AND(AUTOEVENTO="Manual",$M118=$A$15)),0,
         IF(OFFSET(CRONOPLE!$F$15,$M118-$A$15,BZ$13)=0,10^12,OFFSET(CRONOPLE!$F$15,$M118-$A$15,BZ$13)))</f>
        <v>8</v>
      </c>
      <c r="CA118" s="171">
        <f ca="1">IF(OR($D118&lt;&gt;"Serviço",AND(AUTOEVENTO="Manual",$M118=$A$15)),0,
         IF(OFFSET(CRONOPLE!$F$15,$M118-$A$15,CA$13)=0,10^12,OFFSET(CRONOPLE!$F$15,$M118-$A$15,CA$13)))</f>
        <v>9</v>
      </c>
      <c r="CB118" s="171">
        <f ca="1">IF(OR($D118&lt;&gt;"Serviço",AND(AUTOEVENTO="Manual",$M118=$A$15)),0,
         IF(OFFSET(CRONOPLE!$F$15,$M118-$A$15,CB$13)=0,10^12,OFFSET(CRONOPLE!$F$15,$M118-$A$15,CB$13)))</f>
        <v>10</v>
      </c>
      <c r="CC118" s="171">
        <f ca="1">IF(OR($D118&lt;&gt;"Serviço",AND(AUTOEVENTO="Manual",$M118=$A$15)),0,
         IF(OFFSET(CRONOPLE!$F$15,$M118-$A$15,CC$13)=0,10^12,OFFSET(CRONOPLE!$F$15,$M118-$A$15,CC$13)))</f>
        <v>11</v>
      </c>
      <c r="CD118" s="171">
        <f ca="1">IF(OR($D118&lt;&gt;"Serviço",AND(AUTOEVENTO="Manual",$M118=$A$15)),0,
         IF(OFFSET(CRONOPLE!$F$15,$M118-$A$15,CD$13)=0,10^12,OFFSET(CRONOPLE!$F$15,$M118-$A$15,CD$13)))</f>
        <v>12</v>
      </c>
      <c r="CE118" s="171">
        <f ca="1">IF(OR($D118&lt;&gt;"Serviço",AND(AUTOEVENTO="Manual",$M118=$A$15)),0,
         IF(OFFSET(CRONOPLE!$F$15,$M118-$A$15,CE$13)=0,10^12,OFFSET(CRONOPLE!$F$15,$M118-$A$15,CE$13)))</f>
        <v>13</v>
      </c>
      <c r="CF118" s="171">
        <f ca="1">IF(OR($D118&lt;&gt;"Serviço",AND(AUTOEVENTO="Manual",$M118=$A$15)),0,
         IF(OFFSET(CRONOPLE!$F$15,$M118-$A$15,CF$13)=0,10^12,OFFSET(CRONOPLE!$F$15,$M118-$A$15,CF$13)))</f>
        <v>14</v>
      </c>
      <c r="CG118" s="171">
        <f ca="1">IF(OR($D118&lt;&gt;"Serviço",AND(AUTOEVENTO="Manual",$M118=$A$15)),0,
         IF(OFFSET(CRONOPLE!$F$15,$M118-$A$15,CG$13)=0,10^12,OFFSET(CRONOPLE!$F$15,$M118-$A$15,CG$13)))</f>
        <v>15</v>
      </c>
      <c r="CH118" s="171">
        <f ca="1">IF(OR($D118&lt;&gt;"Serviço",AND(AUTOEVENTO="Manual",$M118=$A$15)),0,
         IF(OFFSET(CRONOPLE!$F$15,$M118-$A$15,CH$13)=0,10^12,OFFSET(CRONOPLE!$F$15,$M118-$A$15,CH$13)))</f>
        <v>16</v>
      </c>
      <c r="CI118" s="171">
        <f ca="1">IF(OR($D118&lt;&gt;"Serviço",AND(AUTOEVENTO="Manual",$M118=$A$15)),0,
         IF(OFFSET(CRONOPLE!$F$15,$M118-$A$15,CI$13)=0,10^12,OFFSET(CRONOPLE!$F$15,$M118-$A$15,CI$13)))</f>
        <v>17</v>
      </c>
      <c r="CJ118" s="171">
        <f ca="1">IF(OR($D118&lt;&gt;"Serviço",AND(AUTOEVENTO="Manual",$M118=$A$15)),0,
         IF(OFFSET(CRONOPLE!$F$15,$M118-$A$15,CJ$13)=0,10^12,OFFSET(CRONOPLE!$F$15,$M118-$A$15,CJ$13)))</f>
        <v>18</v>
      </c>
      <c r="CK118" s="171">
        <f ca="1">IF(OR($D118&lt;&gt;"Serviço",AND(AUTOEVENTO="Manual",$M118=$A$15)),0,
         IF(OFFSET(CRONOPLE!$F$15,$M118-$A$15,CK$13)=0,10^12,OFFSET(CRONOPLE!$F$15,$M118-$A$15,CK$13)))</f>
        <v>19</v>
      </c>
      <c r="CL118" s="171">
        <f ca="1">IF(OR($D118&lt;&gt;"Serviço",AND(AUTOEVENTO="Manual",$M118=$A$15)),0,
         IF(OFFSET(CRONOPLE!$F$15,$M118-$A$15,CL$13)=0,10^12,OFFSET(CRONOPLE!$F$15,$M118-$A$15,CL$13)))</f>
        <v>20</v>
      </c>
      <c r="CM118" s="171">
        <f ca="1">IF(OR($D118&lt;&gt;"Serviço",AND(AUTOEVENTO="Manual",$M118=$A$15)),0,
         IF(OFFSET(CRONOPLE!$F$15,$M118-$A$15,CM$13)=0,10^12,OFFSET(CRONOPLE!$F$15,$M118-$A$15,CM$13)))</f>
        <v>1000000000000</v>
      </c>
      <c r="CN118" s="171">
        <f ca="1">IF(OR($D118&lt;&gt;"Serviço",AND(AUTOEVENTO="Manual",$M118=$A$15)),0,
         IF(OFFSET(CRONOPLE!$F$15,$M118-$A$15,CN$13)=0,10^12,OFFSET(CRONOPLE!$F$15,$M118-$A$15,CN$13)))</f>
        <v>1000000000000</v>
      </c>
      <c r="CO118" s="171">
        <f ca="1">IF(OR($D118&lt;&gt;"Serviço",AND(AUTOEVENTO="Manual",$M118=$A$15)),0,
         IF(OFFSET(CRONOPLE!$F$15,$M118-$A$15,CO$13)=0,10^12,OFFSET(CRONOPLE!$F$15,$M118-$A$15,CO$13)))</f>
        <v>1000000000000</v>
      </c>
      <c r="CP118" s="171">
        <f ca="1">IF(OR($D118&lt;&gt;"Serviço",AND(AUTOEVENTO="Manual",$M118=$A$15)),0,
         IF(OFFSET(CRONOPLE!$F$15,$M118-$A$15,CP$13)=0,10^12,OFFSET(CRONOPLE!$F$15,$M118-$A$15,CP$13)))</f>
        <v>1000000000000</v>
      </c>
      <c r="CQ118" s="171">
        <f ca="1">IF(OR($D118&lt;&gt;"Serviço",AND(AUTOEVENTO="Manual",$M118=$A$15)),0,
         IF(OFFSET(CRONOPLE!$F$15,$M118-$A$15,CQ$13)=0,10^12,OFFSET(CRONOPLE!$F$15,$M118-$A$15,CQ$13)))</f>
        <v>1000000000000</v>
      </c>
      <c r="CR118" s="171">
        <f ca="1">IF(OR($D118&lt;&gt;"Serviço",AND(AUTOEVENTO="Manual",$M118=$A$15)),0,
         IF(OFFSET(CRONOPLE!$F$15,$M118-$A$15,CR$13)=0,10^12,OFFSET(CRONOPLE!$F$15,$M118-$A$15,CR$13)))</f>
        <v>1000000000000</v>
      </c>
      <c r="CT118" s="172" cm="1">
        <f t="array" aca="1" ref="CT118" ca="1">IF(OR($D118&lt;&gt;"Serviço",AND(AUTOEVENTO="Manual",$M118=$A$15),$M118&gt;(ROW(PLE.lastrow)-ROW(PLE.firstrow))),0,
           IF(OFFSET(PLE!$G$15,$M118-$A$15,CT$13)="",10^12,OFFSET(PLE!$G$15,$M118-$A$15,CT$13)))</f>
        <v>1000000000000</v>
      </c>
      <c r="CU118" s="172" cm="1">
        <f t="array" aca="1" ref="CU118" ca="1">IF(OR($D118&lt;&gt;"Serviço",AND(AUTOEVENTO="Manual",$M118=$A$15),$M118&gt;(ROW(PLE.lastrow)-ROW(PLE.firstrow))),0,
           IF(OFFSET(PLE!$G$15,$M118-$A$15,CU$13)="",10^12,OFFSET(PLE!$G$15,$M118-$A$15,CU$13)))</f>
        <v>1000000000000</v>
      </c>
      <c r="CV118" s="172" cm="1">
        <f t="array" aca="1" ref="CV118" ca="1">IF(OR($D118&lt;&gt;"Serviço",AND(AUTOEVENTO="Manual",$M118=$A$15),$M118&gt;(ROW(PLE.lastrow)-ROW(PLE.firstrow))),0,
           IF(OFFSET(PLE!$G$15,$M118-$A$15,CV$13)="",10^12,OFFSET(PLE!$G$15,$M118-$A$15,CV$13)))</f>
        <v>1000000000000</v>
      </c>
      <c r="CW118" s="172" cm="1">
        <f t="array" aca="1" ref="CW118" ca="1">IF(OR($D118&lt;&gt;"Serviço",AND(AUTOEVENTO="Manual",$M118=$A$15),$M118&gt;(ROW(PLE.lastrow)-ROW(PLE.firstrow))),0,
           IF(OFFSET(PLE!$G$15,$M118-$A$15,CW$13)="",10^12,OFFSET(PLE!$G$15,$M118-$A$15,CW$13)))</f>
        <v>1000000000000</v>
      </c>
      <c r="CX118" s="172" cm="1">
        <f t="array" aca="1" ref="CX118" ca="1">IF(OR($D118&lt;&gt;"Serviço",AND(AUTOEVENTO="Manual",$M118=$A$15),$M118&gt;(ROW(PLE.lastrow)-ROW(PLE.firstrow))),0,
           IF(OFFSET(PLE!$G$15,$M118-$A$15,CX$13)="",10^12,OFFSET(PLE!$G$15,$M118-$A$15,CX$13)))</f>
        <v>1000000000000</v>
      </c>
      <c r="CY118" s="172" cm="1">
        <f t="array" aca="1" ref="CY118" ca="1">IF(OR($D118&lt;&gt;"Serviço",AND(AUTOEVENTO="Manual",$M118=$A$15),$M118&gt;(ROW(PLE.lastrow)-ROW(PLE.firstrow))),0,
           IF(OFFSET(PLE!$G$15,$M118-$A$15,CY$13)="",10^12,OFFSET(PLE!$G$15,$M118-$A$15,CY$13)))</f>
        <v>1000000000000</v>
      </c>
      <c r="CZ118" s="172" cm="1">
        <f t="array" aca="1" ref="CZ118" ca="1">IF(OR($D118&lt;&gt;"Serviço",AND(AUTOEVENTO="Manual",$M118=$A$15),$M118&gt;(ROW(PLE.lastrow)-ROW(PLE.firstrow))),0,
           IF(OFFSET(PLE!$G$15,$M118-$A$15,CZ$13)="",10^12,OFFSET(PLE!$G$15,$M118-$A$15,CZ$13)))</f>
        <v>1000000000000</v>
      </c>
      <c r="DA118" s="172" cm="1">
        <f t="array" aca="1" ref="DA118" ca="1">IF(OR($D118&lt;&gt;"Serviço",AND(AUTOEVENTO="Manual",$M118=$A$15),$M118&gt;(ROW(PLE.lastrow)-ROW(PLE.firstrow))),0,
           IF(OFFSET(PLE!$G$15,$M118-$A$15,DA$13)="",10^12,OFFSET(PLE!$G$15,$M118-$A$15,DA$13)))</f>
        <v>1000000000000</v>
      </c>
      <c r="DB118" s="172" cm="1">
        <f t="array" aca="1" ref="DB118" ca="1">IF(OR($D118&lt;&gt;"Serviço",AND(AUTOEVENTO="Manual",$M118=$A$15),$M118&gt;(ROW(PLE.lastrow)-ROW(PLE.firstrow))),0,
           IF(OFFSET(PLE!$G$15,$M118-$A$15,DB$13)="",10^12,OFFSET(PLE!$G$15,$M118-$A$15,DB$13)))</f>
        <v>1000000000000</v>
      </c>
      <c r="DC118" s="172" cm="1">
        <f t="array" aca="1" ref="DC118" ca="1">IF(OR($D118&lt;&gt;"Serviço",AND(AUTOEVENTO="Manual",$M118=$A$15),$M118&gt;(ROW(PLE.lastrow)-ROW(PLE.firstrow))),0,
           IF(OFFSET(PLE!$G$15,$M118-$A$15,DC$13)="",10^12,OFFSET(PLE!$G$15,$M118-$A$15,DC$13)))</f>
        <v>1000000000000</v>
      </c>
      <c r="DD118" s="172" cm="1">
        <f t="array" aca="1" ref="DD118" ca="1">IF(OR($D118&lt;&gt;"Serviço",AND(AUTOEVENTO="Manual",$M118=$A$15),$M118&gt;(ROW(PLE.lastrow)-ROW(PLE.firstrow))),0,
           IF(OFFSET(PLE!$G$15,$M118-$A$15,DD$13)="",10^12,OFFSET(PLE!$G$15,$M118-$A$15,DD$13)))</f>
        <v>1000000000000</v>
      </c>
      <c r="DE118" s="172" cm="1">
        <f t="array" aca="1" ref="DE118" ca="1">IF(OR($D118&lt;&gt;"Serviço",AND(AUTOEVENTO="Manual",$M118=$A$15),$M118&gt;(ROW(PLE.lastrow)-ROW(PLE.firstrow))),0,
           IF(OFFSET(PLE!$G$15,$M118-$A$15,DE$13)="",10^12,OFFSET(PLE!$G$15,$M118-$A$15,DE$13)))</f>
        <v>1000000000000</v>
      </c>
      <c r="DF118" s="172" cm="1">
        <f t="array" aca="1" ref="DF118" ca="1">IF(OR($D118&lt;&gt;"Serviço",AND(AUTOEVENTO="Manual",$M118=$A$15),$M118&gt;(ROW(PLE.lastrow)-ROW(PLE.firstrow))),0,
           IF(OFFSET(PLE!$G$15,$M118-$A$15,DF$13)="",10^12,OFFSET(PLE!$G$15,$M118-$A$15,DF$13)))</f>
        <v>1000000000000</v>
      </c>
      <c r="DG118" s="172" cm="1">
        <f t="array" aca="1" ref="DG118" ca="1">IF(OR($D118&lt;&gt;"Serviço",AND(AUTOEVENTO="Manual",$M118=$A$15),$M118&gt;(ROW(PLE.lastrow)-ROW(PLE.firstrow))),0,
           IF(OFFSET(PLE!$G$15,$M118-$A$15,DG$13)="",10^12,OFFSET(PLE!$G$15,$M118-$A$15,DG$13)))</f>
        <v>1000000000000</v>
      </c>
      <c r="DH118" s="172" cm="1">
        <f t="array" aca="1" ref="DH118" ca="1">IF(OR($D118&lt;&gt;"Serviço",AND(AUTOEVENTO="Manual",$M118=$A$15),$M118&gt;(ROW(PLE.lastrow)-ROW(PLE.firstrow))),0,
           IF(OFFSET(PLE!$G$15,$M118-$A$15,DH$13)="",10^12,OFFSET(PLE!$G$15,$M118-$A$15,DH$13)))</f>
        <v>1000000000000</v>
      </c>
      <c r="DI118" s="172" cm="1">
        <f t="array" aca="1" ref="DI118" ca="1">IF(OR($D118&lt;&gt;"Serviço",AND(AUTOEVENTO="Manual",$M118=$A$15),$M118&gt;(ROW(PLE.lastrow)-ROW(PLE.firstrow))),0,
           IF(OFFSET(PLE!$G$15,$M118-$A$15,DI$13)="",10^12,OFFSET(PLE!$G$15,$M118-$A$15,DI$13)))</f>
        <v>1000000000000</v>
      </c>
      <c r="DJ118" s="172" cm="1">
        <f t="array" aca="1" ref="DJ118" ca="1">IF(OR($D118&lt;&gt;"Serviço",AND(AUTOEVENTO="Manual",$M118=$A$15),$M118&gt;(ROW(PLE.lastrow)-ROW(PLE.firstrow))),0,
           IF(OFFSET(PLE!$G$15,$M118-$A$15,DJ$13)="",10^12,OFFSET(PLE!$G$15,$M118-$A$15,DJ$13)))</f>
        <v>1000000000000</v>
      </c>
      <c r="DK118" s="172" cm="1">
        <f t="array" aca="1" ref="DK118" ca="1">IF(OR($D118&lt;&gt;"Serviço",AND(AUTOEVENTO="Manual",$M118=$A$15),$M118&gt;(ROW(PLE.lastrow)-ROW(PLE.firstrow))),0,
           IF(OFFSET(PLE!$G$15,$M118-$A$15,DK$13)="",10^12,OFFSET(PLE!$G$15,$M118-$A$15,DK$13)))</f>
        <v>1000000000000</v>
      </c>
      <c r="DL118" s="172" cm="1">
        <f t="array" aca="1" ref="DL118" ca="1">IF(OR($D118&lt;&gt;"Serviço",AND(AUTOEVENTO="Manual",$M118=$A$15),$M118&gt;(ROW(PLE.lastrow)-ROW(PLE.firstrow))),0,
           IF(OFFSET(PLE!$G$15,$M118-$A$15,DL$13)="",10^12,OFFSET(PLE!$G$15,$M118-$A$15,DL$13)))</f>
        <v>1000000000000</v>
      </c>
      <c r="DM118" s="172" cm="1">
        <f t="array" aca="1" ref="DM118" ca="1">IF(OR($D118&lt;&gt;"Serviço",AND(AUTOEVENTO="Manual",$M118=$A$15),$M118&gt;(ROW(PLE.lastrow)-ROW(PLE.firstrow))),0,
           IF(OFFSET(PLE!$G$15,$M118-$A$15,DM$13)="",10^12,OFFSET(PLE!$G$15,$M118-$A$15,DM$13)))</f>
        <v>1000000000000</v>
      </c>
      <c r="DN118" s="172" cm="1">
        <f t="array" aca="1" ref="DN118" ca="1">IF(OR($D118&lt;&gt;"Serviço",AND(AUTOEVENTO="Manual",$M118=$A$15),$M118&gt;(ROW(PLE.lastrow)-ROW(PLE.firstrow))),0,
           IF(OFFSET(PLE!$G$15,$M118-$A$15,DN$13)="",10^12,OFFSET(PLE!$G$15,$M118-$A$15,DN$13)))</f>
        <v>1000000000000</v>
      </c>
      <c r="DO118" s="172" cm="1">
        <f t="array" aca="1" ref="DO118" ca="1">IF(OR($D118&lt;&gt;"Serviço",AND(AUTOEVENTO="Manual",$M118=$A$15),$M118&gt;(ROW(PLE.lastrow)-ROW(PLE.firstrow))),0,
           IF(OFFSET(PLE!$G$15,$M118-$A$15,DO$13)="",10^12,OFFSET(PLE!$G$15,$M118-$A$15,DO$13)))</f>
        <v>1000000000000</v>
      </c>
      <c r="DP118" s="172" cm="1">
        <f t="array" aca="1" ref="DP118" ca="1">IF(OR($D118&lt;&gt;"Serviço",AND(AUTOEVENTO="Manual",$M118=$A$15),$M118&gt;(ROW(PLE.lastrow)-ROW(PLE.firstrow))),0,
           IF(OFFSET(PLE!$G$15,$M118-$A$15,DP$13)="",10^12,OFFSET(PLE!$G$15,$M118-$A$15,DP$13)))</f>
        <v>1000000000000</v>
      </c>
      <c r="DQ118" s="172" cm="1">
        <f t="array" aca="1" ref="DQ118" ca="1">IF(OR($D118&lt;&gt;"Serviço",AND(AUTOEVENTO="Manual",$M118=$A$15),$M118&gt;(ROW(PLE.lastrow)-ROW(PLE.firstrow))),0,
           IF(OFFSET(PLE!$G$15,$M118-$A$15,DQ$13)="",10^12,OFFSET(PLE!$G$15,$M118-$A$15,DQ$13)))</f>
        <v>1000000000000</v>
      </c>
      <c r="DR118" s="172" cm="1">
        <f t="array" aca="1" ref="DR118" ca="1">IF(OR($D118&lt;&gt;"Serviço",AND(AUTOEVENTO="Manual",$M118=$A$15),$M118&gt;(ROW(PLE.lastrow)-ROW(PLE.firstrow))),0,
           IF(OFFSET(PLE!$G$15,$M118-$A$15,DR$13)="",10^12,OFFSET(PLE!$G$15,$M118-$A$15,DR$13)))</f>
        <v>1000000000000</v>
      </c>
      <c r="DS118" s="172" cm="1">
        <f t="array" aca="1" ref="DS118" ca="1">IF(OR($D118&lt;&gt;"Serviço",AND(AUTOEVENTO="Manual",$M118=$A$15),$M118&gt;(ROW(PLE.lastrow)-ROW(PLE.firstrow))),0,
           IF(OFFSET(PLE!$G$15,$M118-$A$15,DS$13)="",10^12,OFFSET(PLE!$G$15,$M118-$A$15,DS$13)))</f>
        <v>1000000000000</v>
      </c>
    </row>
    <row r="119" spans="1:123" ht="25.5" x14ac:dyDescent="0.2">
      <c r="A119" s="7">
        <f t="shared" ca="1" si="15"/>
        <v>8</v>
      </c>
      <c r="B119" s="7" t="str">
        <f ca="1">OFFSET(ORÇAMENTO!C$15,$L119,0)</f>
        <v>S</v>
      </c>
      <c r="C119" s="7" t="str">
        <f ca="1">OFFSET(ORÇAMENTO!L$15,$L119,0)</f>
        <v/>
      </c>
      <c r="D119" s="116" t="str">
        <f ca="1">OFFSET(ORÇAMENTO!N$15,$L119,0)</f>
        <v>Serviço</v>
      </c>
      <c r="E119" s="117" t="str">
        <f ca="1">OFFSET(ORÇAMENTO!O$15,$L119,0)</f>
        <v>-</v>
      </c>
      <c r="F119" s="163" t="str">
        <f ca="1">OFFSET(ORÇAMENTO!R$15,$L119,0)</f>
        <v>(Código não identificado nas referências)</v>
      </c>
      <c r="G119" s="164" t="str">
        <f ca="1">IF($D119&lt;&gt;"Serviço","",OFFSET(ORÇAMENTO!S$15,$L119,0))</f>
        <v>-</v>
      </c>
      <c r="H119" s="122" cm="1">
        <f t="array" aca="1" ref="H119" ca="1">IF($D119&lt;&gt;"Serviço",0,IF(ACOMPANHAMENTO="BM",ROUND(OFFSET(ORÇAMENTO!AJ$15,$L119,0),15-13*ORÇAMENTO!$AF$7),IF(IFERROR(CÁLCULO.FrentesPreenchidas,0)=0,0,SUM(ROUND(OFFSET($P119,0,1,1,CÁLCULO.FrentesPreenchidas),15-13*ORÇAMENTO!$AF$7)))))</f>
        <v>1077.3999999999999</v>
      </c>
      <c r="I119" s="468" t="s">
        <v>1235</v>
      </c>
      <c r="J119" s="651" t="str" cm="1">
        <f t="array" aca="1" ref="J119" ca="1">IF(OR(B119&lt;&gt;"S",CÁLCULO.FrentesPreenchidas=0),"",IF(AND(ACOMPANHAMENTO="PLE",AUTOEVENTO="Manual",OR(H119&gt;0,ORÇAMENTO!AC119="QUANT."),OR(K119="",M119=0,N119="")),"►E",IF(AND(ACOMPANHAMENTO="PLE",ORÇAMENTO!AC119="QUANT."),"►Q",IF(AND(ACOMPANHAMENTO="PLE",H119&lt;&gt;SUMPRODUCT(($Q$1:$AQ$1=1)*ROUND(Q119:AQ119,15))),"►S",IF(AND(COUNTIF($P$11:$AQ$11,"▼")=0,H119&gt;0,I119=""),"◄M","")))))</f>
        <v/>
      </c>
      <c r="K119" s="652" t="s">
        <v>1256</v>
      </c>
      <c r="L119" s="165">
        <f t="shared" ca="1" si="14"/>
        <v>104</v>
      </c>
      <c r="M119" s="166">
        <f ca="1">IF($D119&lt;&gt;"Serviço","",
          IF(AUTOEVENTO="manual",$A119,
                IF(ISERROR(MATCH($A119,$A$15:OFFSET($A119,-1,0),0)),MAX($M$15:OFFSET(M119,-1,0))+1,
                      INDEX($M$15:OFFSET(M119,-1,0),MATCH($A119,$A$15:OFFSET($A119,-1,0),0)))))</f>
        <v>8</v>
      </c>
      <c r="N119" s="167" t="str">
        <f ca="1">IF($D119&lt;&gt;"Serviço","",
         IF(AUTOEVENTO="Manual",
                IF($A119=0,"&lt;-- defina o número do agrupador",
                       OFFSET(EVENTOS!$D$15,$A119-$A$15,0)),
                OFFSET($F$15,$A119,0)))</f>
        <v>PAVIMENTAÇÕES</v>
      </c>
      <c r="O119" s="168"/>
      <c r="Q119" s="168">
        <v>53.87</v>
      </c>
      <c r="R119" s="169">
        <v>53.87</v>
      </c>
      <c r="S119" s="169">
        <v>53.87</v>
      </c>
      <c r="T119" s="169">
        <v>53.87</v>
      </c>
      <c r="U119" s="169">
        <v>53.87</v>
      </c>
      <c r="V119" s="169">
        <v>53.87</v>
      </c>
      <c r="W119" s="169">
        <v>53.87</v>
      </c>
      <c r="X119" s="169">
        <v>53.87</v>
      </c>
      <c r="Y119" s="169">
        <v>53.87</v>
      </c>
      <c r="Z119" s="170">
        <v>53.87</v>
      </c>
      <c r="AA119" s="169">
        <v>53.87</v>
      </c>
      <c r="AB119" s="169">
        <v>53.87</v>
      </c>
      <c r="AC119" s="169">
        <v>53.87</v>
      </c>
      <c r="AD119" s="169">
        <v>53.87</v>
      </c>
      <c r="AE119" s="169">
        <v>53.87</v>
      </c>
      <c r="AF119" s="169">
        <v>53.87</v>
      </c>
      <c r="AG119" s="169">
        <v>53.87</v>
      </c>
      <c r="AH119" s="170">
        <v>53.87</v>
      </c>
      <c r="AI119" s="169">
        <v>53.87</v>
      </c>
      <c r="AJ119" s="169">
        <v>53.87</v>
      </c>
      <c r="AK119" s="169"/>
      <c r="AL119" s="169"/>
      <c r="AM119" s="169"/>
      <c r="AN119" s="169"/>
      <c r="AO119" s="169"/>
      <c r="AP119" s="170"/>
      <c r="AR119" s="453">
        <f ca="1">IF(AND($D119="Serviço",AR$12&lt;&gt;0,$H119&gt;0,OR(AUTOEVENTO&lt;&gt;"manual",$M119&lt;&gt;$A$15)),
        IF(Import.TipoArredondamento&lt;&gt;"TransfereGOV",
              ROUND(OFFSET($P119,0,AR$13),15-13*ORÇAMENTO!$AF$7)/$H119*OFFSET(ORÇAMENTO!$X$15,ROW(AR119)-ROW(AR$15),0),
              ROUND(ROUND(OFFSET($P119,0,AR$13),15-13*ORÇAMENTO!$AF$7)*OFFSET(ORÇAMENTO!$W$15,ROW(AR119)-ROW(AR$15),0),15-13*ORÇAMENTO!$AF$11)),
         0)</f>
        <v>0</v>
      </c>
      <c r="AS119" s="453">
        <f ca="1">IF(AND($D119="Serviço",AS$12&lt;&gt;0,$H119&gt;0,OR(AUTOEVENTO&lt;&gt;"manual",$M119&lt;&gt;$A$15)),
        IF(Import.TipoArredondamento&lt;&gt;"TransfereGOV",
              ROUND(OFFSET($P119,0,AS$13),15-13*ORÇAMENTO!$AF$7)/$H119*OFFSET(ORÇAMENTO!$X$15,ROW(AS119)-ROW(AS$15),0),
              ROUND(ROUND(OFFSET($P119,0,AS$13),15-13*ORÇAMENTO!$AF$7)*OFFSET(ORÇAMENTO!$W$15,ROW(AS119)-ROW(AS$15),0),15-13*ORÇAMENTO!$AF$11)),
         0)</f>
        <v>0</v>
      </c>
      <c r="AT119" s="453">
        <f ca="1">IF(AND($D119="Serviço",AT$12&lt;&gt;0,$H119&gt;0,OR(AUTOEVENTO&lt;&gt;"manual",$M119&lt;&gt;$A$15)),
        IF(Import.TipoArredondamento&lt;&gt;"TransfereGOV",
              ROUND(OFFSET($P119,0,AT$13),15-13*ORÇAMENTO!$AF$7)/$H119*OFFSET(ORÇAMENTO!$X$15,ROW(AT119)-ROW(AT$15),0),
              ROUND(ROUND(OFFSET($P119,0,AT$13),15-13*ORÇAMENTO!$AF$7)*OFFSET(ORÇAMENTO!$W$15,ROW(AT119)-ROW(AT$15),0),15-13*ORÇAMENTO!$AF$11)),
         0)</f>
        <v>0</v>
      </c>
      <c r="AU119" s="453">
        <f ca="1">IF(AND($D119="Serviço",AU$12&lt;&gt;0,$H119&gt;0,OR(AUTOEVENTO&lt;&gt;"manual",$M119&lt;&gt;$A$15)),
        IF(Import.TipoArredondamento&lt;&gt;"TransfereGOV",
              ROUND(OFFSET($P119,0,AU$13),15-13*ORÇAMENTO!$AF$7)/$H119*OFFSET(ORÇAMENTO!$X$15,ROW(AU119)-ROW(AU$15),0),
              ROUND(ROUND(OFFSET($P119,0,AU$13),15-13*ORÇAMENTO!$AF$7)*OFFSET(ORÇAMENTO!$W$15,ROW(AU119)-ROW(AU$15),0),15-13*ORÇAMENTO!$AF$11)),
         0)</f>
        <v>0</v>
      </c>
      <c r="AV119" s="453">
        <f ca="1">IF(AND($D119="Serviço",AV$12&lt;&gt;0,$H119&gt;0,OR(AUTOEVENTO&lt;&gt;"manual",$M119&lt;&gt;$A$15)),
        IF(Import.TipoArredondamento&lt;&gt;"TransfereGOV",
              ROUND(OFFSET($P119,0,AV$13),15-13*ORÇAMENTO!$AF$7)/$H119*OFFSET(ORÇAMENTO!$X$15,ROW(AV119)-ROW(AV$15),0),
              ROUND(ROUND(OFFSET($P119,0,AV$13),15-13*ORÇAMENTO!$AF$7)*OFFSET(ORÇAMENTO!$W$15,ROW(AV119)-ROW(AV$15),0),15-13*ORÇAMENTO!$AF$11)),
         0)</f>
        <v>0</v>
      </c>
      <c r="AW119" s="453">
        <f ca="1">IF(AND($D119="Serviço",AW$12&lt;&gt;0,$H119&gt;0,OR(AUTOEVENTO&lt;&gt;"manual",$M119&lt;&gt;$A$15)),
        IF(Import.TipoArredondamento&lt;&gt;"TransfereGOV",
              ROUND(OFFSET($P119,0,AW$13),15-13*ORÇAMENTO!$AF$7)/$H119*OFFSET(ORÇAMENTO!$X$15,ROW(AW119)-ROW(AW$15),0),
              ROUND(ROUND(OFFSET($P119,0,AW$13),15-13*ORÇAMENTO!$AF$7)*OFFSET(ORÇAMENTO!$W$15,ROW(AW119)-ROW(AW$15),0),15-13*ORÇAMENTO!$AF$11)),
         0)</f>
        <v>0</v>
      </c>
      <c r="AX119" s="453">
        <f ca="1">IF(AND($D119="Serviço",AX$12&lt;&gt;0,$H119&gt;0,OR(AUTOEVENTO&lt;&gt;"manual",$M119&lt;&gt;$A$15)),
        IF(Import.TipoArredondamento&lt;&gt;"TransfereGOV",
              ROUND(OFFSET($P119,0,AX$13),15-13*ORÇAMENTO!$AF$7)/$H119*OFFSET(ORÇAMENTO!$X$15,ROW(AX119)-ROW(AX$15),0),
              ROUND(ROUND(OFFSET($P119,0,AX$13),15-13*ORÇAMENTO!$AF$7)*OFFSET(ORÇAMENTO!$W$15,ROW(AX119)-ROW(AX$15),0),15-13*ORÇAMENTO!$AF$11)),
         0)</f>
        <v>0</v>
      </c>
      <c r="AY119" s="453">
        <f ca="1">IF(AND($D119="Serviço",AY$12&lt;&gt;0,$H119&gt;0,OR(AUTOEVENTO&lt;&gt;"manual",$M119&lt;&gt;$A$15)),
        IF(Import.TipoArredondamento&lt;&gt;"TransfereGOV",
              ROUND(OFFSET($P119,0,AY$13),15-13*ORÇAMENTO!$AF$7)/$H119*OFFSET(ORÇAMENTO!$X$15,ROW(AY119)-ROW(AY$15),0),
              ROUND(ROUND(OFFSET($P119,0,AY$13),15-13*ORÇAMENTO!$AF$7)*OFFSET(ORÇAMENTO!$W$15,ROW(AY119)-ROW(AY$15),0),15-13*ORÇAMENTO!$AF$11)),
         0)</f>
        <v>0</v>
      </c>
      <c r="AZ119" s="453">
        <f ca="1">IF(AND($D119="Serviço",AZ$12&lt;&gt;0,$H119&gt;0,OR(AUTOEVENTO&lt;&gt;"manual",$M119&lt;&gt;$A$15)),
        IF(Import.TipoArredondamento&lt;&gt;"TransfereGOV",
              ROUND(OFFSET($P119,0,AZ$13),15-13*ORÇAMENTO!$AF$7)/$H119*OFFSET(ORÇAMENTO!$X$15,ROW(AZ119)-ROW(AZ$15),0),
              ROUND(ROUND(OFFSET($P119,0,AZ$13),15-13*ORÇAMENTO!$AF$7)*OFFSET(ORÇAMENTO!$W$15,ROW(AZ119)-ROW(AZ$15),0),15-13*ORÇAMENTO!$AF$11)),
         0)</f>
        <v>0</v>
      </c>
      <c r="BA119" s="453">
        <f ca="1">IF(AND($D119="Serviço",BA$12&lt;&gt;0,$H119&gt;0,OR(AUTOEVENTO&lt;&gt;"manual",$M119&lt;&gt;$A$15)),
        IF(Import.TipoArredondamento&lt;&gt;"TransfereGOV",
              ROUND(OFFSET($P119,0,BA$13),15-13*ORÇAMENTO!$AF$7)/$H119*OFFSET(ORÇAMENTO!$X$15,ROW(BA119)-ROW(BA$15),0),
              ROUND(ROUND(OFFSET($P119,0,BA$13),15-13*ORÇAMENTO!$AF$7)*OFFSET(ORÇAMENTO!$W$15,ROW(BA119)-ROW(BA$15),0),15-13*ORÇAMENTO!$AF$11)),
         0)</f>
        <v>0</v>
      </c>
      <c r="BB119" s="453">
        <f ca="1">IF(AND($D119="Serviço",BB$12&lt;&gt;0,$H119&gt;0,OR(AUTOEVENTO&lt;&gt;"manual",$M119&lt;&gt;$A$15)),
        IF(Import.TipoArredondamento&lt;&gt;"TransfereGOV",
              ROUND(OFFSET($P119,0,BB$13),15-13*ORÇAMENTO!$AF$7)/$H119*OFFSET(ORÇAMENTO!$X$15,ROW(BB119)-ROW(BB$15),0),
              ROUND(ROUND(OFFSET($P119,0,BB$13),15-13*ORÇAMENTO!$AF$7)*OFFSET(ORÇAMENTO!$W$15,ROW(BB119)-ROW(BB$15),0),15-13*ORÇAMENTO!$AF$11)),
         0)</f>
        <v>0</v>
      </c>
      <c r="BC119" s="453">
        <f ca="1">IF(AND($D119="Serviço",BC$12&lt;&gt;0,$H119&gt;0,OR(AUTOEVENTO&lt;&gt;"manual",$M119&lt;&gt;$A$15)),
        IF(Import.TipoArredondamento&lt;&gt;"TransfereGOV",
              ROUND(OFFSET($P119,0,BC$13),15-13*ORÇAMENTO!$AF$7)/$H119*OFFSET(ORÇAMENTO!$X$15,ROW(BC119)-ROW(BC$15),0),
              ROUND(ROUND(OFFSET($P119,0,BC$13),15-13*ORÇAMENTO!$AF$7)*OFFSET(ORÇAMENTO!$W$15,ROW(BC119)-ROW(BC$15),0),15-13*ORÇAMENTO!$AF$11)),
         0)</f>
        <v>0</v>
      </c>
      <c r="BD119" s="453">
        <f ca="1">IF(AND($D119="Serviço",BD$12&lt;&gt;0,$H119&gt;0,OR(AUTOEVENTO&lt;&gt;"manual",$M119&lt;&gt;$A$15)),
        IF(Import.TipoArredondamento&lt;&gt;"TransfereGOV",
              ROUND(OFFSET($P119,0,BD$13),15-13*ORÇAMENTO!$AF$7)/$H119*OFFSET(ORÇAMENTO!$X$15,ROW(BD119)-ROW(BD$15),0),
              ROUND(ROUND(OFFSET($P119,0,BD$13),15-13*ORÇAMENTO!$AF$7)*OFFSET(ORÇAMENTO!$W$15,ROW(BD119)-ROW(BD$15),0),15-13*ORÇAMENTO!$AF$11)),
         0)</f>
        <v>0</v>
      </c>
      <c r="BE119" s="453">
        <f ca="1">IF(AND($D119="Serviço",BE$12&lt;&gt;0,$H119&gt;0,OR(AUTOEVENTO&lt;&gt;"manual",$M119&lt;&gt;$A$15)),
        IF(Import.TipoArredondamento&lt;&gt;"TransfereGOV",
              ROUND(OFFSET($P119,0,BE$13),15-13*ORÇAMENTO!$AF$7)/$H119*OFFSET(ORÇAMENTO!$X$15,ROW(BE119)-ROW(BE$15),0),
              ROUND(ROUND(OFFSET($P119,0,BE$13),15-13*ORÇAMENTO!$AF$7)*OFFSET(ORÇAMENTO!$W$15,ROW(BE119)-ROW(BE$15),0),15-13*ORÇAMENTO!$AF$11)),
         0)</f>
        <v>0</v>
      </c>
      <c r="BF119" s="453">
        <f ca="1">IF(AND($D119="Serviço",BF$12&lt;&gt;0,$H119&gt;0,OR(AUTOEVENTO&lt;&gt;"manual",$M119&lt;&gt;$A$15)),
        IF(Import.TipoArredondamento&lt;&gt;"TransfereGOV",
              ROUND(OFFSET($P119,0,BF$13),15-13*ORÇAMENTO!$AF$7)/$H119*OFFSET(ORÇAMENTO!$X$15,ROW(BF119)-ROW(BF$15),0),
              ROUND(ROUND(OFFSET($P119,0,BF$13),15-13*ORÇAMENTO!$AF$7)*OFFSET(ORÇAMENTO!$W$15,ROW(BF119)-ROW(BF$15),0),15-13*ORÇAMENTO!$AF$11)),
         0)</f>
        <v>0</v>
      </c>
      <c r="BG119" s="453">
        <f ca="1">IF(AND($D119="Serviço",BG$12&lt;&gt;0,$H119&gt;0,OR(AUTOEVENTO&lt;&gt;"manual",$M119&lt;&gt;$A$15)),
        IF(Import.TipoArredondamento&lt;&gt;"TransfereGOV",
              ROUND(OFFSET($P119,0,BG$13),15-13*ORÇAMENTO!$AF$7)/$H119*OFFSET(ORÇAMENTO!$X$15,ROW(BG119)-ROW(BG$15),0),
              ROUND(ROUND(OFFSET($P119,0,BG$13),15-13*ORÇAMENTO!$AF$7)*OFFSET(ORÇAMENTO!$W$15,ROW(BG119)-ROW(BG$15),0),15-13*ORÇAMENTO!$AF$11)),
         0)</f>
        <v>0</v>
      </c>
      <c r="BH119" s="453">
        <f ca="1">IF(AND($D119="Serviço",BH$12&lt;&gt;0,$H119&gt;0,OR(AUTOEVENTO&lt;&gt;"manual",$M119&lt;&gt;$A$15)),
        IF(Import.TipoArredondamento&lt;&gt;"TransfereGOV",
              ROUND(OFFSET($P119,0,BH$13),15-13*ORÇAMENTO!$AF$7)/$H119*OFFSET(ORÇAMENTO!$X$15,ROW(BH119)-ROW(BH$15),0),
              ROUND(ROUND(OFFSET($P119,0,BH$13),15-13*ORÇAMENTO!$AF$7)*OFFSET(ORÇAMENTO!$W$15,ROW(BH119)-ROW(BH$15),0),15-13*ORÇAMENTO!$AF$11)),
         0)</f>
        <v>0</v>
      </c>
      <c r="BI119" s="453">
        <f ca="1">IF(AND($D119="Serviço",BI$12&lt;&gt;0,$H119&gt;0,OR(AUTOEVENTO&lt;&gt;"manual",$M119&lt;&gt;$A$15)),
        IF(Import.TipoArredondamento&lt;&gt;"TransfereGOV",
              ROUND(OFFSET($P119,0,BI$13),15-13*ORÇAMENTO!$AF$7)/$H119*OFFSET(ORÇAMENTO!$X$15,ROW(BI119)-ROW(BI$15),0),
              ROUND(ROUND(OFFSET($P119,0,BI$13),15-13*ORÇAMENTO!$AF$7)*OFFSET(ORÇAMENTO!$W$15,ROW(BI119)-ROW(BI$15),0),15-13*ORÇAMENTO!$AF$11)),
         0)</f>
        <v>0</v>
      </c>
      <c r="BJ119" s="453">
        <f ca="1">IF(AND($D119="Serviço",BJ$12&lt;&gt;0,$H119&gt;0,OR(AUTOEVENTO&lt;&gt;"manual",$M119&lt;&gt;$A$15)),
        IF(Import.TipoArredondamento&lt;&gt;"TransfereGOV",
              ROUND(OFFSET($P119,0,BJ$13),15-13*ORÇAMENTO!$AF$7)/$H119*OFFSET(ORÇAMENTO!$X$15,ROW(BJ119)-ROW(BJ$15),0),
              ROUND(ROUND(OFFSET($P119,0,BJ$13),15-13*ORÇAMENTO!$AF$7)*OFFSET(ORÇAMENTO!$W$15,ROW(BJ119)-ROW(BJ$15),0),15-13*ORÇAMENTO!$AF$11)),
         0)</f>
        <v>0</v>
      </c>
      <c r="BK119" s="453">
        <f ca="1">IF(AND($D119="Serviço",BK$12&lt;&gt;0,$H119&gt;0,OR(AUTOEVENTO&lt;&gt;"manual",$M119&lt;&gt;$A$15)),
        IF(Import.TipoArredondamento&lt;&gt;"TransfereGOV",
              ROUND(OFFSET($P119,0,BK$13),15-13*ORÇAMENTO!$AF$7)/$H119*OFFSET(ORÇAMENTO!$X$15,ROW(BK119)-ROW(BK$15),0),
              ROUND(ROUND(OFFSET($P119,0,BK$13),15-13*ORÇAMENTO!$AF$7)*OFFSET(ORÇAMENTO!$W$15,ROW(BK119)-ROW(BK$15),0),15-13*ORÇAMENTO!$AF$11)),
         0)</f>
        <v>0</v>
      </c>
      <c r="BL119" s="453">
        <f ca="1">IF(AND($D119="Serviço",BL$12&lt;&gt;0,$H119&gt;0,OR(AUTOEVENTO&lt;&gt;"manual",$M119&lt;&gt;$A$15)),
        IF(Import.TipoArredondamento&lt;&gt;"TransfereGOV",
              ROUND(OFFSET($P119,0,BL$13),15-13*ORÇAMENTO!$AF$7)/$H119*OFFSET(ORÇAMENTO!$X$15,ROW(BL119)-ROW(BL$15),0),
              ROUND(ROUND(OFFSET($P119,0,BL$13),15-13*ORÇAMENTO!$AF$7)*OFFSET(ORÇAMENTO!$W$15,ROW(BL119)-ROW(BL$15),0),15-13*ORÇAMENTO!$AF$11)),
         0)</f>
        <v>0</v>
      </c>
      <c r="BM119" s="453">
        <f ca="1">IF(AND($D119="Serviço",BM$12&lt;&gt;0,$H119&gt;0,OR(AUTOEVENTO&lt;&gt;"manual",$M119&lt;&gt;$A$15)),
        IF(Import.TipoArredondamento&lt;&gt;"TransfereGOV",
              ROUND(OFFSET($P119,0,BM$13),15-13*ORÇAMENTO!$AF$7)/$H119*OFFSET(ORÇAMENTO!$X$15,ROW(BM119)-ROW(BM$15),0),
              ROUND(ROUND(OFFSET($P119,0,BM$13),15-13*ORÇAMENTO!$AF$7)*OFFSET(ORÇAMENTO!$W$15,ROW(BM119)-ROW(BM$15),0),15-13*ORÇAMENTO!$AF$11)),
         0)</f>
        <v>0</v>
      </c>
      <c r="BN119" s="453">
        <f ca="1">IF(AND($D119="Serviço",BN$12&lt;&gt;0,$H119&gt;0,OR(AUTOEVENTO&lt;&gt;"manual",$M119&lt;&gt;$A$15)),
        IF(Import.TipoArredondamento&lt;&gt;"TransfereGOV",
              ROUND(OFFSET($P119,0,BN$13),15-13*ORÇAMENTO!$AF$7)/$H119*OFFSET(ORÇAMENTO!$X$15,ROW(BN119)-ROW(BN$15),0),
              ROUND(ROUND(OFFSET($P119,0,BN$13),15-13*ORÇAMENTO!$AF$7)*OFFSET(ORÇAMENTO!$W$15,ROW(BN119)-ROW(BN$15),0),15-13*ORÇAMENTO!$AF$11)),
         0)</f>
        <v>0</v>
      </c>
      <c r="BO119" s="453">
        <f ca="1">IF(AND($D119="Serviço",BO$12&lt;&gt;0,$H119&gt;0,OR(AUTOEVENTO&lt;&gt;"manual",$M119&lt;&gt;$A$15)),
        IF(Import.TipoArredondamento&lt;&gt;"TransfereGOV",
              ROUND(OFFSET($P119,0,BO$13),15-13*ORÇAMENTO!$AF$7)/$H119*OFFSET(ORÇAMENTO!$X$15,ROW(BO119)-ROW(BO$15),0),
              ROUND(ROUND(OFFSET($P119,0,BO$13),15-13*ORÇAMENTO!$AF$7)*OFFSET(ORÇAMENTO!$W$15,ROW(BO119)-ROW(BO$15),0),15-13*ORÇAMENTO!$AF$11)),
         0)</f>
        <v>0</v>
      </c>
      <c r="BP119" s="453">
        <f ca="1">IF(AND($D119="Serviço",BP$12&lt;&gt;0,$H119&gt;0,OR(AUTOEVENTO&lt;&gt;"manual",$M119&lt;&gt;$A$15)),
        IF(Import.TipoArredondamento&lt;&gt;"TransfereGOV",
              ROUND(OFFSET($P119,0,BP$13),15-13*ORÇAMENTO!$AF$7)/$H119*OFFSET(ORÇAMENTO!$X$15,ROW(BP119)-ROW(BP$15),0),
              ROUND(ROUND(OFFSET($P119,0,BP$13),15-13*ORÇAMENTO!$AF$7)*OFFSET(ORÇAMENTO!$W$15,ROW(BP119)-ROW(BP$15),0),15-13*ORÇAMENTO!$AF$11)),
         0)</f>
        <v>0</v>
      </c>
      <c r="BQ119" s="453">
        <f ca="1">IF(AND($D119="Serviço",BQ$12&lt;&gt;0,$H119&gt;0,OR(AUTOEVENTO&lt;&gt;"manual",$M119&lt;&gt;$A$15)),
        IF(Import.TipoArredondamento&lt;&gt;"TransfereGOV",
              ROUND(OFFSET($P119,0,BQ$13),15-13*ORÇAMENTO!$AF$7)/$H119*OFFSET(ORÇAMENTO!$X$15,ROW(BQ119)-ROW(BQ$15),0),
              ROUND(ROUND(OFFSET($P119,0,BQ$13),15-13*ORÇAMENTO!$AF$7)*OFFSET(ORÇAMENTO!$W$15,ROW(BQ119)-ROW(BQ$15),0),15-13*ORÇAMENTO!$AF$11)),
         0)</f>
        <v>0</v>
      </c>
      <c r="BS119" s="171">
        <f ca="1">IF(OR($D119&lt;&gt;"Serviço",AND(AUTOEVENTO="Manual",$M119=$A$15)),0,
         IF(OFFSET(CRONOPLE!$F$15,$M119-$A$15,BS$13)=0,10^12,OFFSET(CRONOPLE!$F$15,$M119-$A$15,BS$13)))</f>
        <v>1</v>
      </c>
      <c r="BT119" s="171">
        <f ca="1">IF(OR($D119&lt;&gt;"Serviço",AND(AUTOEVENTO="Manual",$M119=$A$15)),0,
         IF(OFFSET(CRONOPLE!$F$15,$M119-$A$15,BT$13)=0,10^12,OFFSET(CRONOPLE!$F$15,$M119-$A$15,BT$13)))</f>
        <v>2</v>
      </c>
      <c r="BU119" s="171">
        <f ca="1">IF(OR($D119&lt;&gt;"Serviço",AND(AUTOEVENTO="Manual",$M119=$A$15)),0,
         IF(OFFSET(CRONOPLE!$F$15,$M119-$A$15,BU$13)=0,10^12,OFFSET(CRONOPLE!$F$15,$M119-$A$15,BU$13)))</f>
        <v>3</v>
      </c>
      <c r="BV119" s="171">
        <f ca="1">IF(OR($D119&lt;&gt;"Serviço",AND(AUTOEVENTO="Manual",$M119=$A$15)),0,
         IF(OFFSET(CRONOPLE!$F$15,$M119-$A$15,BV$13)=0,10^12,OFFSET(CRONOPLE!$F$15,$M119-$A$15,BV$13)))</f>
        <v>4</v>
      </c>
      <c r="BW119" s="171">
        <f ca="1">IF(OR($D119&lt;&gt;"Serviço",AND(AUTOEVENTO="Manual",$M119=$A$15)),0,
         IF(OFFSET(CRONOPLE!$F$15,$M119-$A$15,BW$13)=0,10^12,OFFSET(CRONOPLE!$F$15,$M119-$A$15,BW$13)))</f>
        <v>5</v>
      </c>
      <c r="BX119" s="171">
        <f ca="1">IF(OR($D119&lt;&gt;"Serviço",AND(AUTOEVENTO="Manual",$M119=$A$15)),0,
         IF(OFFSET(CRONOPLE!$F$15,$M119-$A$15,BX$13)=0,10^12,OFFSET(CRONOPLE!$F$15,$M119-$A$15,BX$13)))</f>
        <v>6</v>
      </c>
      <c r="BY119" s="171">
        <f ca="1">IF(OR($D119&lt;&gt;"Serviço",AND(AUTOEVENTO="Manual",$M119=$A$15)),0,
         IF(OFFSET(CRONOPLE!$F$15,$M119-$A$15,BY$13)=0,10^12,OFFSET(CRONOPLE!$F$15,$M119-$A$15,BY$13)))</f>
        <v>7</v>
      </c>
      <c r="BZ119" s="171">
        <f ca="1">IF(OR($D119&lt;&gt;"Serviço",AND(AUTOEVENTO="Manual",$M119=$A$15)),0,
         IF(OFFSET(CRONOPLE!$F$15,$M119-$A$15,BZ$13)=0,10^12,OFFSET(CRONOPLE!$F$15,$M119-$A$15,BZ$13)))</f>
        <v>8</v>
      </c>
      <c r="CA119" s="171">
        <f ca="1">IF(OR($D119&lt;&gt;"Serviço",AND(AUTOEVENTO="Manual",$M119=$A$15)),0,
         IF(OFFSET(CRONOPLE!$F$15,$M119-$A$15,CA$13)=0,10^12,OFFSET(CRONOPLE!$F$15,$M119-$A$15,CA$13)))</f>
        <v>9</v>
      </c>
      <c r="CB119" s="171">
        <f ca="1">IF(OR($D119&lt;&gt;"Serviço",AND(AUTOEVENTO="Manual",$M119=$A$15)),0,
         IF(OFFSET(CRONOPLE!$F$15,$M119-$A$15,CB$13)=0,10^12,OFFSET(CRONOPLE!$F$15,$M119-$A$15,CB$13)))</f>
        <v>10</v>
      </c>
      <c r="CC119" s="171">
        <f ca="1">IF(OR($D119&lt;&gt;"Serviço",AND(AUTOEVENTO="Manual",$M119=$A$15)),0,
         IF(OFFSET(CRONOPLE!$F$15,$M119-$A$15,CC$13)=0,10^12,OFFSET(CRONOPLE!$F$15,$M119-$A$15,CC$13)))</f>
        <v>11</v>
      </c>
      <c r="CD119" s="171">
        <f ca="1">IF(OR($D119&lt;&gt;"Serviço",AND(AUTOEVENTO="Manual",$M119=$A$15)),0,
         IF(OFFSET(CRONOPLE!$F$15,$M119-$A$15,CD$13)=0,10^12,OFFSET(CRONOPLE!$F$15,$M119-$A$15,CD$13)))</f>
        <v>12</v>
      </c>
      <c r="CE119" s="171">
        <f ca="1">IF(OR($D119&lt;&gt;"Serviço",AND(AUTOEVENTO="Manual",$M119=$A$15)),0,
         IF(OFFSET(CRONOPLE!$F$15,$M119-$A$15,CE$13)=0,10^12,OFFSET(CRONOPLE!$F$15,$M119-$A$15,CE$13)))</f>
        <v>13</v>
      </c>
      <c r="CF119" s="171">
        <f ca="1">IF(OR($D119&lt;&gt;"Serviço",AND(AUTOEVENTO="Manual",$M119=$A$15)),0,
         IF(OFFSET(CRONOPLE!$F$15,$M119-$A$15,CF$13)=0,10^12,OFFSET(CRONOPLE!$F$15,$M119-$A$15,CF$13)))</f>
        <v>14</v>
      </c>
      <c r="CG119" s="171">
        <f ca="1">IF(OR($D119&lt;&gt;"Serviço",AND(AUTOEVENTO="Manual",$M119=$A$15)),0,
         IF(OFFSET(CRONOPLE!$F$15,$M119-$A$15,CG$13)=0,10^12,OFFSET(CRONOPLE!$F$15,$M119-$A$15,CG$13)))</f>
        <v>15</v>
      </c>
      <c r="CH119" s="171">
        <f ca="1">IF(OR($D119&lt;&gt;"Serviço",AND(AUTOEVENTO="Manual",$M119=$A$15)),0,
         IF(OFFSET(CRONOPLE!$F$15,$M119-$A$15,CH$13)=0,10^12,OFFSET(CRONOPLE!$F$15,$M119-$A$15,CH$13)))</f>
        <v>16</v>
      </c>
      <c r="CI119" s="171">
        <f ca="1">IF(OR($D119&lt;&gt;"Serviço",AND(AUTOEVENTO="Manual",$M119=$A$15)),0,
         IF(OFFSET(CRONOPLE!$F$15,$M119-$A$15,CI$13)=0,10^12,OFFSET(CRONOPLE!$F$15,$M119-$A$15,CI$13)))</f>
        <v>17</v>
      </c>
      <c r="CJ119" s="171">
        <f ca="1">IF(OR($D119&lt;&gt;"Serviço",AND(AUTOEVENTO="Manual",$M119=$A$15)),0,
         IF(OFFSET(CRONOPLE!$F$15,$M119-$A$15,CJ$13)=0,10^12,OFFSET(CRONOPLE!$F$15,$M119-$A$15,CJ$13)))</f>
        <v>18</v>
      </c>
      <c r="CK119" s="171">
        <f ca="1">IF(OR($D119&lt;&gt;"Serviço",AND(AUTOEVENTO="Manual",$M119=$A$15)),0,
         IF(OFFSET(CRONOPLE!$F$15,$M119-$A$15,CK$13)=0,10^12,OFFSET(CRONOPLE!$F$15,$M119-$A$15,CK$13)))</f>
        <v>19</v>
      </c>
      <c r="CL119" s="171">
        <f ca="1">IF(OR($D119&lt;&gt;"Serviço",AND(AUTOEVENTO="Manual",$M119=$A$15)),0,
         IF(OFFSET(CRONOPLE!$F$15,$M119-$A$15,CL$13)=0,10^12,OFFSET(CRONOPLE!$F$15,$M119-$A$15,CL$13)))</f>
        <v>20</v>
      </c>
      <c r="CM119" s="171">
        <f ca="1">IF(OR($D119&lt;&gt;"Serviço",AND(AUTOEVENTO="Manual",$M119=$A$15)),0,
         IF(OFFSET(CRONOPLE!$F$15,$M119-$A$15,CM$13)=0,10^12,OFFSET(CRONOPLE!$F$15,$M119-$A$15,CM$13)))</f>
        <v>1000000000000</v>
      </c>
      <c r="CN119" s="171">
        <f ca="1">IF(OR($D119&lt;&gt;"Serviço",AND(AUTOEVENTO="Manual",$M119=$A$15)),0,
         IF(OFFSET(CRONOPLE!$F$15,$M119-$A$15,CN$13)=0,10^12,OFFSET(CRONOPLE!$F$15,$M119-$A$15,CN$13)))</f>
        <v>1000000000000</v>
      </c>
      <c r="CO119" s="171">
        <f ca="1">IF(OR($D119&lt;&gt;"Serviço",AND(AUTOEVENTO="Manual",$M119=$A$15)),0,
         IF(OFFSET(CRONOPLE!$F$15,$M119-$A$15,CO$13)=0,10^12,OFFSET(CRONOPLE!$F$15,$M119-$A$15,CO$13)))</f>
        <v>1000000000000</v>
      </c>
      <c r="CP119" s="171">
        <f ca="1">IF(OR($D119&lt;&gt;"Serviço",AND(AUTOEVENTO="Manual",$M119=$A$15)),0,
         IF(OFFSET(CRONOPLE!$F$15,$M119-$A$15,CP$13)=0,10^12,OFFSET(CRONOPLE!$F$15,$M119-$A$15,CP$13)))</f>
        <v>1000000000000</v>
      </c>
      <c r="CQ119" s="171">
        <f ca="1">IF(OR($D119&lt;&gt;"Serviço",AND(AUTOEVENTO="Manual",$M119=$A$15)),0,
         IF(OFFSET(CRONOPLE!$F$15,$M119-$A$15,CQ$13)=0,10^12,OFFSET(CRONOPLE!$F$15,$M119-$A$15,CQ$13)))</f>
        <v>1000000000000</v>
      </c>
      <c r="CR119" s="171">
        <f ca="1">IF(OR($D119&lt;&gt;"Serviço",AND(AUTOEVENTO="Manual",$M119=$A$15)),0,
         IF(OFFSET(CRONOPLE!$F$15,$M119-$A$15,CR$13)=0,10^12,OFFSET(CRONOPLE!$F$15,$M119-$A$15,CR$13)))</f>
        <v>1000000000000</v>
      </c>
      <c r="CT119" s="172" cm="1">
        <f t="array" aca="1" ref="CT119" ca="1">IF(OR($D119&lt;&gt;"Serviço",AND(AUTOEVENTO="Manual",$M119=$A$15),$M119&gt;(ROW(PLE.lastrow)-ROW(PLE.firstrow))),0,
           IF(OFFSET(PLE!$G$15,$M119-$A$15,CT$13)="",10^12,OFFSET(PLE!$G$15,$M119-$A$15,CT$13)))</f>
        <v>1000000000000</v>
      </c>
      <c r="CU119" s="172" cm="1">
        <f t="array" aca="1" ref="CU119" ca="1">IF(OR($D119&lt;&gt;"Serviço",AND(AUTOEVENTO="Manual",$M119=$A$15),$M119&gt;(ROW(PLE.lastrow)-ROW(PLE.firstrow))),0,
           IF(OFFSET(PLE!$G$15,$M119-$A$15,CU$13)="",10^12,OFFSET(PLE!$G$15,$M119-$A$15,CU$13)))</f>
        <v>1000000000000</v>
      </c>
      <c r="CV119" s="172" cm="1">
        <f t="array" aca="1" ref="CV119" ca="1">IF(OR($D119&lt;&gt;"Serviço",AND(AUTOEVENTO="Manual",$M119=$A$15),$M119&gt;(ROW(PLE.lastrow)-ROW(PLE.firstrow))),0,
           IF(OFFSET(PLE!$G$15,$M119-$A$15,CV$13)="",10^12,OFFSET(PLE!$G$15,$M119-$A$15,CV$13)))</f>
        <v>1000000000000</v>
      </c>
      <c r="CW119" s="172" cm="1">
        <f t="array" aca="1" ref="CW119" ca="1">IF(OR($D119&lt;&gt;"Serviço",AND(AUTOEVENTO="Manual",$M119=$A$15),$M119&gt;(ROW(PLE.lastrow)-ROW(PLE.firstrow))),0,
           IF(OFFSET(PLE!$G$15,$M119-$A$15,CW$13)="",10^12,OFFSET(PLE!$G$15,$M119-$A$15,CW$13)))</f>
        <v>1000000000000</v>
      </c>
      <c r="CX119" s="172" cm="1">
        <f t="array" aca="1" ref="CX119" ca="1">IF(OR($D119&lt;&gt;"Serviço",AND(AUTOEVENTO="Manual",$M119=$A$15),$M119&gt;(ROW(PLE.lastrow)-ROW(PLE.firstrow))),0,
           IF(OFFSET(PLE!$G$15,$M119-$A$15,CX$13)="",10^12,OFFSET(PLE!$G$15,$M119-$A$15,CX$13)))</f>
        <v>1000000000000</v>
      </c>
      <c r="CY119" s="172" cm="1">
        <f t="array" aca="1" ref="CY119" ca="1">IF(OR($D119&lt;&gt;"Serviço",AND(AUTOEVENTO="Manual",$M119=$A$15),$M119&gt;(ROW(PLE.lastrow)-ROW(PLE.firstrow))),0,
           IF(OFFSET(PLE!$G$15,$M119-$A$15,CY$13)="",10^12,OFFSET(PLE!$G$15,$M119-$A$15,CY$13)))</f>
        <v>1000000000000</v>
      </c>
      <c r="CZ119" s="172" cm="1">
        <f t="array" aca="1" ref="CZ119" ca="1">IF(OR($D119&lt;&gt;"Serviço",AND(AUTOEVENTO="Manual",$M119=$A$15),$M119&gt;(ROW(PLE.lastrow)-ROW(PLE.firstrow))),0,
           IF(OFFSET(PLE!$G$15,$M119-$A$15,CZ$13)="",10^12,OFFSET(PLE!$G$15,$M119-$A$15,CZ$13)))</f>
        <v>1000000000000</v>
      </c>
      <c r="DA119" s="172" cm="1">
        <f t="array" aca="1" ref="DA119" ca="1">IF(OR($D119&lt;&gt;"Serviço",AND(AUTOEVENTO="Manual",$M119=$A$15),$M119&gt;(ROW(PLE.lastrow)-ROW(PLE.firstrow))),0,
           IF(OFFSET(PLE!$G$15,$M119-$A$15,DA$13)="",10^12,OFFSET(PLE!$G$15,$M119-$A$15,DA$13)))</f>
        <v>1000000000000</v>
      </c>
      <c r="DB119" s="172" cm="1">
        <f t="array" aca="1" ref="DB119" ca="1">IF(OR($D119&lt;&gt;"Serviço",AND(AUTOEVENTO="Manual",$M119=$A$15),$M119&gt;(ROW(PLE.lastrow)-ROW(PLE.firstrow))),0,
           IF(OFFSET(PLE!$G$15,$M119-$A$15,DB$13)="",10^12,OFFSET(PLE!$G$15,$M119-$A$15,DB$13)))</f>
        <v>1000000000000</v>
      </c>
      <c r="DC119" s="172" cm="1">
        <f t="array" aca="1" ref="DC119" ca="1">IF(OR($D119&lt;&gt;"Serviço",AND(AUTOEVENTO="Manual",$M119=$A$15),$M119&gt;(ROW(PLE.lastrow)-ROW(PLE.firstrow))),0,
           IF(OFFSET(PLE!$G$15,$M119-$A$15,DC$13)="",10^12,OFFSET(PLE!$G$15,$M119-$A$15,DC$13)))</f>
        <v>1000000000000</v>
      </c>
      <c r="DD119" s="172" cm="1">
        <f t="array" aca="1" ref="DD119" ca="1">IF(OR($D119&lt;&gt;"Serviço",AND(AUTOEVENTO="Manual",$M119=$A$15),$M119&gt;(ROW(PLE.lastrow)-ROW(PLE.firstrow))),0,
           IF(OFFSET(PLE!$G$15,$M119-$A$15,DD$13)="",10^12,OFFSET(PLE!$G$15,$M119-$A$15,DD$13)))</f>
        <v>1000000000000</v>
      </c>
      <c r="DE119" s="172" cm="1">
        <f t="array" aca="1" ref="DE119" ca="1">IF(OR($D119&lt;&gt;"Serviço",AND(AUTOEVENTO="Manual",$M119=$A$15),$M119&gt;(ROW(PLE.lastrow)-ROW(PLE.firstrow))),0,
           IF(OFFSET(PLE!$G$15,$M119-$A$15,DE$13)="",10^12,OFFSET(PLE!$G$15,$M119-$A$15,DE$13)))</f>
        <v>1000000000000</v>
      </c>
      <c r="DF119" s="172" cm="1">
        <f t="array" aca="1" ref="DF119" ca="1">IF(OR($D119&lt;&gt;"Serviço",AND(AUTOEVENTO="Manual",$M119=$A$15),$M119&gt;(ROW(PLE.lastrow)-ROW(PLE.firstrow))),0,
           IF(OFFSET(PLE!$G$15,$M119-$A$15,DF$13)="",10^12,OFFSET(PLE!$G$15,$M119-$A$15,DF$13)))</f>
        <v>1000000000000</v>
      </c>
      <c r="DG119" s="172" cm="1">
        <f t="array" aca="1" ref="DG119" ca="1">IF(OR($D119&lt;&gt;"Serviço",AND(AUTOEVENTO="Manual",$M119=$A$15),$M119&gt;(ROW(PLE.lastrow)-ROW(PLE.firstrow))),0,
           IF(OFFSET(PLE!$G$15,$M119-$A$15,DG$13)="",10^12,OFFSET(PLE!$G$15,$M119-$A$15,DG$13)))</f>
        <v>1000000000000</v>
      </c>
      <c r="DH119" s="172" cm="1">
        <f t="array" aca="1" ref="DH119" ca="1">IF(OR($D119&lt;&gt;"Serviço",AND(AUTOEVENTO="Manual",$M119=$A$15),$M119&gt;(ROW(PLE.lastrow)-ROW(PLE.firstrow))),0,
           IF(OFFSET(PLE!$G$15,$M119-$A$15,DH$13)="",10^12,OFFSET(PLE!$G$15,$M119-$A$15,DH$13)))</f>
        <v>1000000000000</v>
      </c>
      <c r="DI119" s="172" cm="1">
        <f t="array" aca="1" ref="DI119" ca="1">IF(OR($D119&lt;&gt;"Serviço",AND(AUTOEVENTO="Manual",$M119=$A$15),$M119&gt;(ROW(PLE.lastrow)-ROW(PLE.firstrow))),0,
           IF(OFFSET(PLE!$G$15,$M119-$A$15,DI$13)="",10^12,OFFSET(PLE!$G$15,$M119-$A$15,DI$13)))</f>
        <v>1000000000000</v>
      </c>
      <c r="DJ119" s="172" cm="1">
        <f t="array" aca="1" ref="DJ119" ca="1">IF(OR($D119&lt;&gt;"Serviço",AND(AUTOEVENTO="Manual",$M119=$A$15),$M119&gt;(ROW(PLE.lastrow)-ROW(PLE.firstrow))),0,
           IF(OFFSET(PLE!$G$15,$M119-$A$15,DJ$13)="",10^12,OFFSET(PLE!$G$15,$M119-$A$15,DJ$13)))</f>
        <v>1000000000000</v>
      </c>
      <c r="DK119" s="172" cm="1">
        <f t="array" aca="1" ref="DK119" ca="1">IF(OR($D119&lt;&gt;"Serviço",AND(AUTOEVENTO="Manual",$M119=$A$15),$M119&gt;(ROW(PLE.lastrow)-ROW(PLE.firstrow))),0,
           IF(OFFSET(PLE!$G$15,$M119-$A$15,DK$13)="",10^12,OFFSET(PLE!$G$15,$M119-$A$15,DK$13)))</f>
        <v>1000000000000</v>
      </c>
      <c r="DL119" s="172" cm="1">
        <f t="array" aca="1" ref="DL119" ca="1">IF(OR($D119&lt;&gt;"Serviço",AND(AUTOEVENTO="Manual",$M119=$A$15),$M119&gt;(ROW(PLE.lastrow)-ROW(PLE.firstrow))),0,
           IF(OFFSET(PLE!$G$15,$M119-$A$15,DL$13)="",10^12,OFFSET(PLE!$G$15,$M119-$A$15,DL$13)))</f>
        <v>1000000000000</v>
      </c>
      <c r="DM119" s="172" cm="1">
        <f t="array" aca="1" ref="DM119" ca="1">IF(OR($D119&lt;&gt;"Serviço",AND(AUTOEVENTO="Manual",$M119=$A$15),$M119&gt;(ROW(PLE.lastrow)-ROW(PLE.firstrow))),0,
           IF(OFFSET(PLE!$G$15,$M119-$A$15,DM$13)="",10^12,OFFSET(PLE!$G$15,$M119-$A$15,DM$13)))</f>
        <v>1000000000000</v>
      </c>
      <c r="DN119" s="172" cm="1">
        <f t="array" aca="1" ref="DN119" ca="1">IF(OR($D119&lt;&gt;"Serviço",AND(AUTOEVENTO="Manual",$M119=$A$15),$M119&gt;(ROW(PLE.lastrow)-ROW(PLE.firstrow))),0,
           IF(OFFSET(PLE!$G$15,$M119-$A$15,DN$13)="",10^12,OFFSET(PLE!$G$15,$M119-$A$15,DN$13)))</f>
        <v>1000000000000</v>
      </c>
      <c r="DO119" s="172" cm="1">
        <f t="array" aca="1" ref="DO119" ca="1">IF(OR($D119&lt;&gt;"Serviço",AND(AUTOEVENTO="Manual",$M119=$A$15),$M119&gt;(ROW(PLE.lastrow)-ROW(PLE.firstrow))),0,
           IF(OFFSET(PLE!$G$15,$M119-$A$15,DO$13)="",10^12,OFFSET(PLE!$G$15,$M119-$A$15,DO$13)))</f>
        <v>1000000000000</v>
      </c>
      <c r="DP119" s="172" cm="1">
        <f t="array" aca="1" ref="DP119" ca="1">IF(OR($D119&lt;&gt;"Serviço",AND(AUTOEVENTO="Manual",$M119=$A$15),$M119&gt;(ROW(PLE.lastrow)-ROW(PLE.firstrow))),0,
           IF(OFFSET(PLE!$G$15,$M119-$A$15,DP$13)="",10^12,OFFSET(PLE!$G$15,$M119-$A$15,DP$13)))</f>
        <v>1000000000000</v>
      </c>
      <c r="DQ119" s="172" cm="1">
        <f t="array" aca="1" ref="DQ119" ca="1">IF(OR($D119&lt;&gt;"Serviço",AND(AUTOEVENTO="Manual",$M119=$A$15),$M119&gt;(ROW(PLE.lastrow)-ROW(PLE.firstrow))),0,
           IF(OFFSET(PLE!$G$15,$M119-$A$15,DQ$13)="",10^12,OFFSET(PLE!$G$15,$M119-$A$15,DQ$13)))</f>
        <v>1000000000000</v>
      </c>
      <c r="DR119" s="172" cm="1">
        <f t="array" aca="1" ref="DR119" ca="1">IF(OR($D119&lt;&gt;"Serviço",AND(AUTOEVENTO="Manual",$M119=$A$15),$M119&gt;(ROW(PLE.lastrow)-ROW(PLE.firstrow))),0,
           IF(OFFSET(PLE!$G$15,$M119-$A$15,DR$13)="",10^12,OFFSET(PLE!$G$15,$M119-$A$15,DR$13)))</f>
        <v>1000000000000</v>
      </c>
      <c r="DS119" s="172" cm="1">
        <f t="array" aca="1" ref="DS119" ca="1">IF(OR($D119&lt;&gt;"Serviço",AND(AUTOEVENTO="Manual",$M119=$A$15),$M119&gt;(ROW(PLE.lastrow)-ROW(PLE.firstrow))),0,
           IF(OFFSET(PLE!$G$15,$M119-$A$15,DS$13)="",10^12,OFFSET(PLE!$G$15,$M119-$A$15,DS$13)))</f>
        <v>1000000000000</v>
      </c>
    </row>
    <row r="120" spans="1:123" ht="51" x14ac:dyDescent="0.2">
      <c r="A120" s="7">
        <f t="shared" ca="1" si="15"/>
        <v>8</v>
      </c>
      <c r="B120" s="7" t="str">
        <f ca="1">OFFSET(ORÇAMENTO!C$15,$L120,0)</f>
        <v>S</v>
      </c>
      <c r="C120" s="7" t="str">
        <f ca="1">OFFSET(ORÇAMENTO!L$15,$L120,0)</f>
        <v/>
      </c>
      <c r="D120" s="116" t="str">
        <f ca="1">OFFSET(ORÇAMENTO!N$15,$L120,0)</f>
        <v>Serviço</v>
      </c>
      <c r="E120" s="117" t="str">
        <f ca="1">OFFSET(ORÇAMENTO!O$15,$L120,0)</f>
        <v>-</v>
      </c>
      <c r="F120" s="163" t="str">
        <f ca="1">OFFSET(ORÇAMENTO!R$15,$L120,0)</f>
        <v>(Código não identificado nas referências)</v>
      </c>
      <c r="G120" s="164" t="str">
        <f ca="1">IF($D120&lt;&gt;"Serviço","",OFFSET(ORÇAMENTO!S$15,$L120,0))</f>
        <v>-</v>
      </c>
      <c r="H120" s="122" cm="1">
        <f t="array" aca="1" ref="H120" ca="1">IF($D120&lt;&gt;"Serviço",0,IF(ACOMPANHAMENTO="BM",ROUND(OFFSET(ORÇAMENTO!AJ$15,$L120,0),15-13*ORÇAMENTO!$AF$7),IF(IFERROR(CÁLCULO.FrentesPreenchidas,0)=0,0,SUM(ROUND(OFFSET($P120,0,1,1,CÁLCULO.FrentesPreenchidas),15-13*ORÇAMENTO!$AF$7)))))</f>
        <v>302.59999999999997</v>
      </c>
      <c r="I120" s="468" t="s">
        <v>1235</v>
      </c>
      <c r="J120" s="651" t="str" cm="1">
        <f t="array" aca="1" ref="J120" ca="1">IF(OR(B120&lt;&gt;"S",CÁLCULO.FrentesPreenchidas=0),"",IF(AND(ACOMPANHAMENTO="PLE",AUTOEVENTO="Manual",OR(H120&gt;0,ORÇAMENTO!AC120="QUANT."),OR(K120="",M120=0,N120="")),"►E",IF(AND(ACOMPANHAMENTO="PLE",ORÇAMENTO!AC120="QUANT."),"►Q",IF(AND(ACOMPANHAMENTO="PLE",H120&lt;&gt;SUMPRODUCT(($Q$1:$AQ$1=1)*ROUND(Q120:AQ120,15))),"►S",IF(AND(COUNTIF($P$11:$AQ$11,"▼")=0,H120&gt;0,I120=""),"◄M","")))))</f>
        <v/>
      </c>
      <c r="K120" s="652" t="s">
        <v>1256</v>
      </c>
      <c r="L120" s="165">
        <f t="shared" ca="1" si="14"/>
        <v>105</v>
      </c>
      <c r="M120" s="166">
        <f ca="1">IF($D120&lt;&gt;"Serviço","",
          IF(AUTOEVENTO="manual",$A120,
                IF(ISERROR(MATCH($A120,$A$15:OFFSET($A120,-1,0),0)),MAX($M$15:OFFSET(M120,-1,0))+1,
                      INDEX($M$15:OFFSET(M120,-1,0),MATCH($A120,$A$15:OFFSET($A120,-1,0),0)))))</f>
        <v>8</v>
      </c>
      <c r="N120" s="167" t="str">
        <f ca="1">IF($D120&lt;&gt;"Serviço","",
         IF(AUTOEVENTO="Manual",
                IF($A120=0,"&lt;-- defina o número do agrupador",
                       OFFSET(EVENTOS!$D$15,$A120-$A$15,0)),
                OFFSET($F$15,$A120,0)))</f>
        <v>PAVIMENTAÇÕES</v>
      </c>
      <c r="O120" s="168"/>
      <c r="Q120" s="168">
        <v>15.129999999999999</v>
      </c>
      <c r="R120" s="169">
        <v>15.129999999999999</v>
      </c>
      <c r="S120" s="169">
        <v>15.129999999999999</v>
      </c>
      <c r="T120" s="169">
        <v>15.129999999999999</v>
      </c>
      <c r="U120" s="169">
        <v>15.129999999999999</v>
      </c>
      <c r="V120" s="169">
        <v>15.129999999999999</v>
      </c>
      <c r="W120" s="169">
        <v>15.129999999999999</v>
      </c>
      <c r="X120" s="169">
        <v>15.129999999999999</v>
      </c>
      <c r="Y120" s="169">
        <v>15.129999999999999</v>
      </c>
      <c r="Z120" s="170">
        <v>15.129999999999999</v>
      </c>
      <c r="AA120" s="169">
        <v>15.129999999999999</v>
      </c>
      <c r="AB120" s="169">
        <v>15.129999999999999</v>
      </c>
      <c r="AC120" s="169">
        <v>15.129999999999999</v>
      </c>
      <c r="AD120" s="169">
        <v>15.129999999999999</v>
      </c>
      <c r="AE120" s="169">
        <v>15.129999999999999</v>
      </c>
      <c r="AF120" s="169">
        <v>15.129999999999999</v>
      </c>
      <c r="AG120" s="169">
        <v>15.129999999999999</v>
      </c>
      <c r="AH120" s="170">
        <v>15.129999999999999</v>
      </c>
      <c r="AI120" s="169">
        <v>15.129999999999999</v>
      </c>
      <c r="AJ120" s="169">
        <v>15.129999999999999</v>
      </c>
      <c r="AK120" s="169"/>
      <c r="AL120" s="169"/>
      <c r="AM120" s="169"/>
      <c r="AN120" s="169"/>
      <c r="AO120" s="169"/>
      <c r="AP120" s="170"/>
      <c r="AR120" s="453">
        <f ca="1">IF(AND($D120="Serviço",AR$12&lt;&gt;0,$H120&gt;0,OR(AUTOEVENTO&lt;&gt;"manual",$M120&lt;&gt;$A$15)),
        IF(Import.TipoArredondamento&lt;&gt;"TransfereGOV",
              ROUND(OFFSET($P120,0,AR$13),15-13*ORÇAMENTO!$AF$7)/$H120*OFFSET(ORÇAMENTO!$X$15,ROW(AR120)-ROW(AR$15),0),
              ROUND(ROUND(OFFSET($P120,0,AR$13),15-13*ORÇAMENTO!$AF$7)*OFFSET(ORÇAMENTO!$W$15,ROW(AR120)-ROW(AR$15),0),15-13*ORÇAMENTO!$AF$11)),
         0)</f>
        <v>0</v>
      </c>
      <c r="AS120" s="453">
        <f ca="1">IF(AND($D120="Serviço",AS$12&lt;&gt;0,$H120&gt;0,OR(AUTOEVENTO&lt;&gt;"manual",$M120&lt;&gt;$A$15)),
        IF(Import.TipoArredondamento&lt;&gt;"TransfereGOV",
              ROUND(OFFSET($P120,0,AS$13),15-13*ORÇAMENTO!$AF$7)/$H120*OFFSET(ORÇAMENTO!$X$15,ROW(AS120)-ROW(AS$15),0),
              ROUND(ROUND(OFFSET($P120,0,AS$13),15-13*ORÇAMENTO!$AF$7)*OFFSET(ORÇAMENTO!$W$15,ROW(AS120)-ROW(AS$15),0),15-13*ORÇAMENTO!$AF$11)),
         0)</f>
        <v>0</v>
      </c>
      <c r="AT120" s="453">
        <f ca="1">IF(AND($D120="Serviço",AT$12&lt;&gt;0,$H120&gt;0,OR(AUTOEVENTO&lt;&gt;"manual",$M120&lt;&gt;$A$15)),
        IF(Import.TipoArredondamento&lt;&gt;"TransfereGOV",
              ROUND(OFFSET($P120,0,AT$13),15-13*ORÇAMENTO!$AF$7)/$H120*OFFSET(ORÇAMENTO!$X$15,ROW(AT120)-ROW(AT$15),0),
              ROUND(ROUND(OFFSET($P120,0,AT$13),15-13*ORÇAMENTO!$AF$7)*OFFSET(ORÇAMENTO!$W$15,ROW(AT120)-ROW(AT$15),0),15-13*ORÇAMENTO!$AF$11)),
         0)</f>
        <v>0</v>
      </c>
      <c r="AU120" s="453">
        <f ca="1">IF(AND($D120="Serviço",AU$12&lt;&gt;0,$H120&gt;0,OR(AUTOEVENTO&lt;&gt;"manual",$M120&lt;&gt;$A$15)),
        IF(Import.TipoArredondamento&lt;&gt;"TransfereGOV",
              ROUND(OFFSET($P120,0,AU$13),15-13*ORÇAMENTO!$AF$7)/$H120*OFFSET(ORÇAMENTO!$X$15,ROW(AU120)-ROW(AU$15),0),
              ROUND(ROUND(OFFSET($P120,0,AU$13),15-13*ORÇAMENTO!$AF$7)*OFFSET(ORÇAMENTO!$W$15,ROW(AU120)-ROW(AU$15),0),15-13*ORÇAMENTO!$AF$11)),
         0)</f>
        <v>0</v>
      </c>
      <c r="AV120" s="453">
        <f ca="1">IF(AND($D120="Serviço",AV$12&lt;&gt;0,$H120&gt;0,OR(AUTOEVENTO&lt;&gt;"manual",$M120&lt;&gt;$A$15)),
        IF(Import.TipoArredondamento&lt;&gt;"TransfereGOV",
              ROUND(OFFSET($P120,0,AV$13),15-13*ORÇAMENTO!$AF$7)/$H120*OFFSET(ORÇAMENTO!$X$15,ROW(AV120)-ROW(AV$15),0),
              ROUND(ROUND(OFFSET($P120,0,AV$13),15-13*ORÇAMENTO!$AF$7)*OFFSET(ORÇAMENTO!$W$15,ROW(AV120)-ROW(AV$15),0),15-13*ORÇAMENTO!$AF$11)),
         0)</f>
        <v>0</v>
      </c>
      <c r="AW120" s="453">
        <f ca="1">IF(AND($D120="Serviço",AW$12&lt;&gt;0,$H120&gt;0,OR(AUTOEVENTO&lt;&gt;"manual",$M120&lt;&gt;$A$15)),
        IF(Import.TipoArredondamento&lt;&gt;"TransfereGOV",
              ROUND(OFFSET($P120,0,AW$13),15-13*ORÇAMENTO!$AF$7)/$H120*OFFSET(ORÇAMENTO!$X$15,ROW(AW120)-ROW(AW$15),0),
              ROUND(ROUND(OFFSET($P120,0,AW$13),15-13*ORÇAMENTO!$AF$7)*OFFSET(ORÇAMENTO!$W$15,ROW(AW120)-ROW(AW$15),0),15-13*ORÇAMENTO!$AF$11)),
         0)</f>
        <v>0</v>
      </c>
      <c r="AX120" s="453">
        <f ca="1">IF(AND($D120="Serviço",AX$12&lt;&gt;0,$H120&gt;0,OR(AUTOEVENTO&lt;&gt;"manual",$M120&lt;&gt;$A$15)),
        IF(Import.TipoArredondamento&lt;&gt;"TransfereGOV",
              ROUND(OFFSET($P120,0,AX$13),15-13*ORÇAMENTO!$AF$7)/$H120*OFFSET(ORÇAMENTO!$X$15,ROW(AX120)-ROW(AX$15),0),
              ROUND(ROUND(OFFSET($P120,0,AX$13),15-13*ORÇAMENTO!$AF$7)*OFFSET(ORÇAMENTO!$W$15,ROW(AX120)-ROW(AX$15),0),15-13*ORÇAMENTO!$AF$11)),
         0)</f>
        <v>0</v>
      </c>
      <c r="AY120" s="453">
        <f ca="1">IF(AND($D120="Serviço",AY$12&lt;&gt;0,$H120&gt;0,OR(AUTOEVENTO&lt;&gt;"manual",$M120&lt;&gt;$A$15)),
        IF(Import.TipoArredondamento&lt;&gt;"TransfereGOV",
              ROUND(OFFSET($P120,0,AY$13),15-13*ORÇAMENTO!$AF$7)/$H120*OFFSET(ORÇAMENTO!$X$15,ROW(AY120)-ROW(AY$15),0),
              ROUND(ROUND(OFFSET($P120,0,AY$13),15-13*ORÇAMENTO!$AF$7)*OFFSET(ORÇAMENTO!$W$15,ROW(AY120)-ROW(AY$15),0),15-13*ORÇAMENTO!$AF$11)),
         0)</f>
        <v>0</v>
      </c>
      <c r="AZ120" s="453">
        <f ca="1">IF(AND($D120="Serviço",AZ$12&lt;&gt;0,$H120&gt;0,OR(AUTOEVENTO&lt;&gt;"manual",$M120&lt;&gt;$A$15)),
        IF(Import.TipoArredondamento&lt;&gt;"TransfereGOV",
              ROUND(OFFSET($P120,0,AZ$13),15-13*ORÇAMENTO!$AF$7)/$H120*OFFSET(ORÇAMENTO!$X$15,ROW(AZ120)-ROW(AZ$15),0),
              ROUND(ROUND(OFFSET($P120,0,AZ$13),15-13*ORÇAMENTO!$AF$7)*OFFSET(ORÇAMENTO!$W$15,ROW(AZ120)-ROW(AZ$15),0),15-13*ORÇAMENTO!$AF$11)),
         0)</f>
        <v>0</v>
      </c>
      <c r="BA120" s="453">
        <f ca="1">IF(AND($D120="Serviço",BA$12&lt;&gt;0,$H120&gt;0,OR(AUTOEVENTO&lt;&gt;"manual",$M120&lt;&gt;$A$15)),
        IF(Import.TipoArredondamento&lt;&gt;"TransfereGOV",
              ROUND(OFFSET($P120,0,BA$13),15-13*ORÇAMENTO!$AF$7)/$H120*OFFSET(ORÇAMENTO!$X$15,ROW(BA120)-ROW(BA$15),0),
              ROUND(ROUND(OFFSET($P120,0,BA$13),15-13*ORÇAMENTO!$AF$7)*OFFSET(ORÇAMENTO!$W$15,ROW(BA120)-ROW(BA$15),0),15-13*ORÇAMENTO!$AF$11)),
         0)</f>
        <v>0</v>
      </c>
      <c r="BB120" s="453">
        <f ca="1">IF(AND($D120="Serviço",BB$12&lt;&gt;0,$H120&gt;0,OR(AUTOEVENTO&lt;&gt;"manual",$M120&lt;&gt;$A$15)),
        IF(Import.TipoArredondamento&lt;&gt;"TransfereGOV",
              ROUND(OFFSET($P120,0,BB$13),15-13*ORÇAMENTO!$AF$7)/$H120*OFFSET(ORÇAMENTO!$X$15,ROW(BB120)-ROW(BB$15),0),
              ROUND(ROUND(OFFSET($P120,0,BB$13),15-13*ORÇAMENTO!$AF$7)*OFFSET(ORÇAMENTO!$W$15,ROW(BB120)-ROW(BB$15),0),15-13*ORÇAMENTO!$AF$11)),
         0)</f>
        <v>0</v>
      </c>
      <c r="BC120" s="453">
        <f ca="1">IF(AND($D120="Serviço",BC$12&lt;&gt;0,$H120&gt;0,OR(AUTOEVENTO&lt;&gt;"manual",$M120&lt;&gt;$A$15)),
        IF(Import.TipoArredondamento&lt;&gt;"TransfereGOV",
              ROUND(OFFSET($P120,0,BC$13),15-13*ORÇAMENTO!$AF$7)/$H120*OFFSET(ORÇAMENTO!$X$15,ROW(BC120)-ROW(BC$15),0),
              ROUND(ROUND(OFFSET($P120,0,BC$13),15-13*ORÇAMENTO!$AF$7)*OFFSET(ORÇAMENTO!$W$15,ROW(BC120)-ROW(BC$15),0),15-13*ORÇAMENTO!$AF$11)),
         0)</f>
        <v>0</v>
      </c>
      <c r="BD120" s="453">
        <f ca="1">IF(AND($D120="Serviço",BD$12&lt;&gt;0,$H120&gt;0,OR(AUTOEVENTO&lt;&gt;"manual",$M120&lt;&gt;$A$15)),
        IF(Import.TipoArredondamento&lt;&gt;"TransfereGOV",
              ROUND(OFFSET($P120,0,BD$13),15-13*ORÇAMENTO!$AF$7)/$H120*OFFSET(ORÇAMENTO!$X$15,ROW(BD120)-ROW(BD$15),0),
              ROUND(ROUND(OFFSET($P120,0,BD$13),15-13*ORÇAMENTO!$AF$7)*OFFSET(ORÇAMENTO!$W$15,ROW(BD120)-ROW(BD$15),0),15-13*ORÇAMENTO!$AF$11)),
         0)</f>
        <v>0</v>
      </c>
      <c r="BE120" s="453">
        <f ca="1">IF(AND($D120="Serviço",BE$12&lt;&gt;0,$H120&gt;0,OR(AUTOEVENTO&lt;&gt;"manual",$M120&lt;&gt;$A$15)),
        IF(Import.TipoArredondamento&lt;&gt;"TransfereGOV",
              ROUND(OFFSET($P120,0,BE$13),15-13*ORÇAMENTO!$AF$7)/$H120*OFFSET(ORÇAMENTO!$X$15,ROW(BE120)-ROW(BE$15),0),
              ROUND(ROUND(OFFSET($P120,0,BE$13),15-13*ORÇAMENTO!$AF$7)*OFFSET(ORÇAMENTO!$W$15,ROW(BE120)-ROW(BE$15),0),15-13*ORÇAMENTO!$AF$11)),
         0)</f>
        <v>0</v>
      </c>
      <c r="BF120" s="453">
        <f ca="1">IF(AND($D120="Serviço",BF$12&lt;&gt;0,$H120&gt;0,OR(AUTOEVENTO&lt;&gt;"manual",$M120&lt;&gt;$A$15)),
        IF(Import.TipoArredondamento&lt;&gt;"TransfereGOV",
              ROUND(OFFSET($P120,0,BF$13),15-13*ORÇAMENTO!$AF$7)/$H120*OFFSET(ORÇAMENTO!$X$15,ROW(BF120)-ROW(BF$15),0),
              ROUND(ROUND(OFFSET($P120,0,BF$13),15-13*ORÇAMENTO!$AF$7)*OFFSET(ORÇAMENTO!$W$15,ROW(BF120)-ROW(BF$15),0),15-13*ORÇAMENTO!$AF$11)),
         0)</f>
        <v>0</v>
      </c>
      <c r="BG120" s="453">
        <f ca="1">IF(AND($D120="Serviço",BG$12&lt;&gt;0,$H120&gt;0,OR(AUTOEVENTO&lt;&gt;"manual",$M120&lt;&gt;$A$15)),
        IF(Import.TipoArredondamento&lt;&gt;"TransfereGOV",
              ROUND(OFFSET($P120,0,BG$13),15-13*ORÇAMENTO!$AF$7)/$H120*OFFSET(ORÇAMENTO!$X$15,ROW(BG120)-ROW(BG$15),0),
              ROUND(ROUND(OFFSET($P120,0,BG$13),15-13*ORÇAMENTO!$AF$7)*OFFSET(ORÇAMENTO!$W$15,ROW(BG120)-ROW(BG$15),0),15-13*ORÇAMENTO!$AF$11)),
         0)</f>
        <v>0</v>
      </c>
      <c r="BH120" s="453">
        <f ca="1">IF(AND($D120="Serviço",BH$12&lt;&gt;0,$H120&gt;0,OR(AUTOEVENTO&lt;&gt;"manual",$M120&lt;&gt;$A$15)),
        IF(Import.TipoArredondamento&lt;&gt;"TransfereGOV",
              ROUND(OFFSET($P120,0,BH$13),15-13*ORÇAMENTO!$AF$7)/$H120*OFFSET(ORÇAMENTO!$X$15,ROW(BH120)-ROW(BH$15),0),
              ROUND(ROUND(OFFSET($P120,0,BH$13),15-13*ORÇAMENTO!$AF$7)*OFFSET(ORÇAMENTO!$W$15,ROW(BH120)-ROW(BH$15),0),15-13*ORÇAMENTO!$AF$11)),
         0)</f>
        <v>0</v>
      </c>
      <c r="BI120" s="453">
        <f ca="1">IF(AND($D120="Serviço",BI$12&lt;&gt;0,$H120&gt;0,OR(AUTOEVENTO&lt;&gt;"manual",$M120&lt;&gt;$A$15)),
        IF(Import.TipoArredondamento&lt;&gt;"TransfereGOV",
              ROUND(OFFSET($P120,0,BI$13),15-13*ORÇAMENTO!$AF$7)/$H120*OFFSET(ORÇAMENTO!$X$15,ROW(BI120)-ROW(BI$15),0),
              ROUND(ROUND(OFFSET($P120,0,BI$13),15-13*ORÇAMENTO!$AF$7)*OFFSET(ORÇAMENTO!$W$15,ROW(BI120)-ROW(BI$15),0),15-13*ORÇAMENTO!$AF$11)),
         0)</f>
        <v>0</v>
      </c>
      <c r="BJ120" s="453">
        <f ca="1">IF(AND($D120="Serviço",BJ$12&lt;&gt;0,$H120&gt;0,OR(AUTOEVENTO&lt;&gt;"manual",$M120&lt;&gt;$A$15)),
        IF(Import.TipoArredondamento&lt;&gt;"TransfereGOV",
              ROUND(OFFSET($P120,0,BJ$13),15-13*ORÇAMENTO!$AF$7)/$H120*OFFSET(ORÇAMENTO!$X$15,ROW(BJ120)-ROW(BJ$15),0),
              ROUND(ROUND(OFFSET($P120,0,BJ$13),15-13*ORÇAMENTO!$AF$7)*OFFSET(ORÇAMENTO!$W$15,ROW(BJ120)-ROW(BJ$15),0),15-13*ORÇAMENTO!$AF$11)),
         0)</f>
        <v>0</v>
      </c>
      <c r="BK120" s="453">
        <f ca="1">IF(AND($D120="Serviço",BK$12&lt;&gt;0,$H120&gt;0,OR(AUTOEVENTO&lt;&gt;"manual",$M120&lt;&gt;$A$15)),
        IF(Import.TipoArredondamento&lt;&gt;"TransfereGOV",
              ROUND(OFFSET($P120,0,BK$13),15-13*ORÇAMENTO!$AF$7)/$H120*OFFSET(ORÇAMENTO!$X$15,ROW(BK120)-ROW(BK$15),0),
              ROUND(ROUND(OFFSET($P120,0,BK$13),15-13*ORÇAMENTO!$AF$7)*OFFSET(ORÇAMENTO!$W$15,ROW(BK120)-ROW(BK$15),0),15-13*ORÇAMENTO!$AF$11)),
         0)</f>
        <v>0</v>
      </c>
      <c r="BL120" s="453">
        <f ca="1">IF(AND($D120="Serviço",BL$12&lt;&gt;0,$H120&gt;0,OR(AUTOEVENTO&lt;&gt;"manual",$M120&lt;&gt;$A$15)),
        IF(Import.TipoArredondamento&lt;&gt;"TransfereGOV",
              ROUND(OFFSET($P120,0,BL$13),15-13*ORÇAMENTO!$AF$7)/$H120*OFFSET(ORÇAMENTO!$X$15,ROW(BL120)-ROW(BL$15),0),
              ROUND(ROUND(OFFSET($P120,0,BL$13),15-13*ORÇAMENTO!$AF$7)*OFFSET(ORÇAMENTO!$W$15,ROW(BL120)-ROW(BL$15),0),15-13*ORÇAMENTO!$AF$11)),
         0)</f>
        <v>0</v>
      </c>
      <c r="BM120" s="453">
        <f ca="1">IF(AND($D120="Serviço",BM$12&lt;&gt;0,$H120&gt;0,OR(AUTOEVENTO&lt;&gt;"manual",$M120&lt;&gt;$A$15)),
        IF(Import.TipoArredondamento&lt;&gt;"TransfereGOV",
              ROUND(OFFSET($P120,0,BM$13),15-13*ORÇAMENTO!$AF$7)/$H120*OFFSET(ORÇAMENTO!$X$15,ROW(BM120)-ROW(BM$15),0),
              ROUND(ROUND(OFFSET($P120,0,BM$13),15-13*ORÇAMENTO!$AF$7)*OFFSET(ORÇAMENTO!$W$15,ROW(BM120)-ROW(BM$15),0),15-13*ORÇAMENTO!$AF$11)),
         0)</f>
        <v>0</v>
      </c>
      <c r="BN120" s="453">
        <f ca="1">IF(AND($D120="Serviço",BN$12&lt;&gt;0,$H120&gt;0,OR(AUTOEVENTO&lt;&gt;"manual",$M120&lt;&gt;$A$15)),
        IF(Import.TipoArredondamento&lt;&gt;"TransfereGOV",
              ROUND(OFFSET($P120,0,BN$13),15-13*ORÇAMENTO!$AF$7)/$H120*OFFSET(ORÇAMENTO!$X$15,ROW(BN120)-ROW(BN$15),0),
              ROUND(ROUND(OFFSET($P120,0,BN$13),15-13*ORÇAMENTO!$AF$7)*OFFSET(ORÇAMENTO!$W$15,ROW(BN120)-ROW(BN$15),0),15-13*ORÇAMENTO!$AF$11)),
         0)</f>
        <v>0</v>
      </c>
      <c r="BO120" s="453">
        <f ca="1">IF(AND($D120="Serviço",BO$12&lt;&gt;0,$H120&gt;0,OR(AUTOEVENTO&lt;&gt;"manual",$M120&lt;&gt;$A$15)),
        IF(Import.TipoArredondamento&lt;&gt;"TransfereGOV",
              ROUND(OFFSET($P120,0,BO$13),15-13*ORÇAMENTO!$AF$7)/$H120*OFFSET(ORÇAMENTO!$X$15,ROW(BO120)-ROW(BO$15),0),
              ROUND(ROUND(OFFSET($P120,0,BO$13),15-13*ORÇAMENTO!$AF$7)*OFFSET(ORÇAMENTO!$W$15,ROW(BO120)-ROW(BO$15),0),15-13*ORÇAMENTO!$AF$11)),
         0)</f>
        <v>0</v>
      </c>
      <c r="BP120" s="453">
        <f ca="1">IF(AND($D120="Serviço",BP$12&lt;&gt;0,$H120&gt;0,OR(AUTOEVENTO&lt;&gt;"manual",$M120&lt;&gt;$A$15)),
        IF(Import.TipoArredondamento&lt;&gt;"TransfereGOV",
              ROUND(OFFSET($P120,0,BP$13),15-13*ORÇAMENTO!$AF$7)/$H120*OFFSET(ORÇAMENTO!$X$15,ROW(BP120)-ROW(BP$15),0),
              ROUND(ROUND(OFFSET($P120,0,BP$13),15-13*ORÇAMENTO!$AF$7)*OFFSET(ORÇAMENTO!$W$15,ROW(BP120)-ROW(BP$15),0),15-13*ORÇAMENTO!$AF$11)),
         0)</f>
        <v>0</v>
      </c>
      <c r="BQ120" s="453">
        <f ca="1">IF(AND($D120="Serviço",BQ$12&lt;&gt;0,$H120&gt;0,OR(AUTOEVENTO&lt;&gt;"manual",$M120&lt;&gt;$A$15)),
        IF(Import.TipoArredondamento&lt;&gt;"TransfereGOV",
              ROUND(OFFSET($P120,0,BQ$13),15-13*ORÇAMENTO!$AF$7)/$H120*OFFSET(ORÇAMENTO!$X$15,ROW(BQ120)-ROW(BQ$15),0),
              ROUND(ROUND(OFFSET($P120,0,BQ$13),15-13*ORÇAMENTO!$AF$7)*OFFSET(ORÇAMENTO!$W$15,ROW(BQ120)-ROW(BQ$15),0),15-13*ORÇAMENTO!$AF$11)),
         0)</f>
        <v>0</v>
      </c>
      <c r="BS120" s="171">
        <f ca="1">IF(OR($D120&lt;&gt;"Serviço",AND(AUTOEVENTO="Manual",$M120=$A$15)),0,
         IF(OFFSET(CRONOPLE!$F$15,$M120-$A$15,BS$13)=0,10^12,OFFSET(CRONOPLE!$F$15,$M120-$A$15,BS$13)))</f>
        <v>1</v>
      </c>
      <c r="BT120" s="171">
        <f ca="1">IF(OR($D120&lt;&gt;"Serviço",AND(AUTOEVENTO="Manual",$M120=$A$15)),0,
         IF(OFFSET(CRONOPLE!$F$15,$M120-$A$15,BT$13)=0,10^12,OFFSET(CRONOPLE!$F$15,$M120-$A$15,BT$13)))</f>
        <v>2</v>
      </c>
      <c r="BU120" s="171">
        <f ca="1">IF(OR($D120&lt;&gt;"Serviço",AND(AUTOEVENTO="Manual",$M120=$A$15)),0,
         IF(OFFSET(CRONOPLE!$F$15,$M120-$A$15,BU$13)=0,10^12,OFFSET(CRONOPLE!$F$15,$M120-$A$15,BU$13)))</f>
        <v>3</v>
      </c>
      <c r="BV120" s="171">
        <f ca="1">IF(OR($D120&lt;&gt;"Serviço",AND(AUTOEVENTO="Manual",$M120=$A$15)),0,
         IF(OFFSET(CRONOPLE!$F$15,$M120-$A$15,BV$13)=0,10^12,OFFSET(CRONOPLE!$F$15,$M120-$A$15,BV$13)))</f>
        <v>4</v>
      </c>
      <c r="BW120" s="171">
        <f ca="1">IF(OR($D120&lt;&gt;"Serviço",AND(AUTOEVENTO="Manual",$M120=$A$15)),0,
         IF(OFFSET(CRONOPLE!$F$15,$M120-$A$15,BW$13)=0,10^12,OFFSET(CRONOPLE!$F$15,$M120-$A$15,BW$13)))</f>
        <v>5</v>
      </c>
      <c r="BX120" s="171">
        <f ca="1">IF(OR($D120&lt;&gt;"Serviço",AND(AUTOEVENTO="Manual",$M120=$A$15)),0,
         IF(OFFSET(CRONOPLE!$F$15,$M120-$A$15,BX$13)=0,10^12,OFFSET(CRONOPLE!$F$15,$M120-$A$15,BX$13)))</f>
        <v>6</v>
      </c>
      <c r="BY120" s="171">
        <f ca="1">IF(OR($D120&lt;&gt;"Serviço",AND(AUTOEVENTO="Manual",$M120=$A$15)),0,
         IF(OFFSET(CRONOPLE!$F$15,$M120-$A$15,BY$13)=0,10^12,OFFSET(CRONOPLE!$F$15,$M120-$A$15,BY$13)))</f>
        <v>7</v>
      </c>
      <c r="BZ120" s="171">
        <f ca="1">IF(OR($D120&lt;&gt;"Serviço",AND(AUTOEVENTO="Manual",$M120=$A$15)),0,
         IF(OFFSET(CRONOPLE!$F$15,$M120-$A$15,BZ$13)=0,10^12,OFFSET(CRONOPLE!$F$15,$M120-$A$15,BZ$13)))</f>
        <v>8</v>
      </c>
      <c r="CA120" s="171">
        <f ca="1">IF(OR($D120&lt;&gt;"Serviço",AND(AUTOEVENTO="Manual",$M120=$A$15)),0,
         IF(OFFSET(CRONOPLE!$F$15,$M120-$A$15,CA$13)=0,10^12,OFFSET(CRONOPLE!$F$15,$M120-$A$15,CA$13)))</f>
        <v>9</v>
      </c>
      <c r="CB120" s="171">
        <f ca="1">IF(OR($D120&lt;&gt;"Serviço",AND(AUTOEVENTO="Manual",$M120=$A$15)),0,
         IF(OFFSET(CRONOPLE!$F$15,$M120-$A$15,CB$13)=0,10^12,OFFSET(CRONOPLE!$F$15,$M120-$A$15,CB$13)))</f>
        <v>10</v>
      </c>
      <c r="CC120" s="171">
        <f ca="1">IF(OR($D120&lt;&gt;"Serviço",AND(AUTOEVENTO="Manual",$M120=$A$15)),0,
         IF(OFFSET(CRONOPLE!$F$15,$M120-$A$15,CC$13)=0,10^12,OFFSET(CRONOPLE!$F$15,$M120-$A$15,CC$13)))</f>
        <v>11</v>
      </c>
      <c r="CD120" s="171">
        <f ca="1">IF(OR($D120&lt;&gt;"Serviço",AND(AUTOEVENTO="Manual",$M120=$A$15)),0,
         IF(OFFSET(CRONOPLE!$F$15,$M120-$A$15,CD$13)=0,10^12,OFFSET(CRONOPLE!$F$15,$M120-$A$15,CD$13)))</f>
        <v>12</v>
      </c>
      <c r="CE120" s="171">
        <f ca="1">IF(OR($D120&lt;&gt;"Serviço",AND(AUTOEVENTO="Manual",$M120=$A$15)),0,
         IF(OFFSET(CRONOPLE!$F$15,$M120-$A$15,CE$13)=0,10^12,OFFSET(CRONOPLE!$F$15,$M120-$A$15,CE$13)))</f>
        <v>13</v>
      </c>
      <c r="CF120" s="171">
        <f ca="1">IF(OR($D120&lt;&gt;"Serviço",AND(AUTOEVENTO="Manual",$M120=$A$15)),0,
         IF(OFFSET(CRONOPLE!$F$15,$M120-$A$15,CF$13)=0,10^12,OFFSET(CRONOPLE!$F$15,$M120-$A$15,CF$13)))</f>
        <v>14</v>
      </c>
      <c r="CG120" s="171">
        <f ca="1">IF(OR($D120&lt;&gt;"Serviço",AND(AUTOEVENTO="Manual",$M120=$A$15)),0,
         IF(OFFSET(CRONOPLE!$F$15,$M120-$A$15,CG$13)=0,10^12,OFFSET(CRONOPLE!$F$15,$M120-$A$15,CG$13)))</f>
        <v>15</v>
      </c>
      <c r="CH120" s="171">
        <f ca="1">IF(OR($D120&lt;&gt;"Serviço",AND(AUTOEVENTO="Manual",$M120=$A$15)),0,
         IF(OFFSET(CRONOPLE!$F$15,$M120-$A$15,CH$13)=0,10^12,OFFSET(CRONOPLE!$F$15,$M120-$A$15,CH$13)))</f>
        <v>16</v>
      </c>
      <c r="CI120" s="171">
        <f ca="1">IF(OR($D120&lt;&gt;"Serviço",AND(AUTOEVENTO="Manual",$M120=$A$15)),0,
         IF(OFFSET(CRONOPLE!$F$15,$M120-$A$15,CI$13)=0,10^12,OFFSET(CRONOPLE!$F$15,$M120-$A$15,CI$13)))</f>
        <v>17</v>
      </c>
      <c r="CJ120" s="171">
        <f ca="1">IF(OR($D120&lt;&gt;"Serviço",AND(AUTOEVENTO="Manual",$M120=$A$15)),0,
         IF(OFFSET(CRONOPLE!$F$15,$M120-$A$15,CJ$13)=0,10^12,OFFSET(CRONOPLE!$F$15,$M120-$A$15,CJ$13)))</f>
        <v>18</v>
      </c>
      <c r="CK120" s="171">
        <f ca="1">IF(OR($D120&lt;&gt;"Serviço",AND(AUTOEVENTO="Manual",$M120=$A$15)),0,
         IF(OFFSET(CRONOPLE!$F$15,$M120-$A$15,CK$13)=0,10^12,OFFSET(CRONOPLE!$F$15,$M120-$A$15,CK$13)))</f>
        <v>19</v>
      </c>
      <c r="CL120" s="171">
        <f ca="1">IF(OR($D120&lt;&gt;"Serviço",AND(AUTOEVENTO="Manual",$M120=$A$15)),0,
         IF(OFFSET(CRONOPLE!$F$15,$M120-$A$15,CL$13)=0,10^12,OFFSET(CRONOPLE!$F$15,$M120-$A$15,CL$13)))</f>
        <v>20</v>
      </c>
      <c r="CM120" s="171">
        <f ca="1">IF(OR($D120&lt;&gt;"Serviço",AND(AUTOEVENTO="Manual",$M120=$A$15)),0,
         IF(OFFSET(CRONOPLE!$F$15,$M120-$A$15,CM$13)=0,10^12,OFFSET(CRONOPLE!$F$15,$M120-$A$15,CM$13)))</f>
        <v>1000000000000</v>
      </c>
      <c r="CN120" s="171">
        <f ca="1">IF(OR($D120&lt;&gt;"Serviço",AND(AUTOEVENTO="Manual",$M120=$A$15)),0,
         IF(OFFSET(CRONOPLE!$F$15,$M120-$A$15,CN$13)=0,10^12,OFFSET(CRONOPLE!$F$15,$M120-$A$15,CN$13)))</f>
        <v>1000000000000</v>
      </c>
      <c r="CO120" s="171">
        <f ca="1">IF(OR($D120&lt;&gt;"Serviço",AND(AUTOEVENTO="Manual",$M120=$A$15)),0,
         IF(OFFSET(CRONOPLE!$F$15,$M120-$A$15,CO$13)=0,10^12,OFFSET(CRONOPLE!$F$15,$M120-$A$15,CO$13)))</f>
        <v>1000000000000</v>
      </c>
      <c r="CP120" s="171">
        <f ca="1">IF(OR($D120&lt;&gt;"Serviço",AND(AUTOEVENTO="Manual",$M120=$A$15)),0,
         IF(OFFSET(CRONOPLE!$F$15,$M120-$A$15,CP$13)=0,10^12,OFFSET(CRONOPLE!$F$15,$M120-$A$15,CP$13)))</f>
        <v>1000000000000</v>
      </c>
      <c r="CQ120" s="171">
        <f ca="1">IF(OR($D120&lt;&gt;"Serviço",AND(AUTOEVENTO="Manual",$M120=$A$15)),0,
         IF(OFFSET(CRONOPLE!$F$15,$M120-$A$15,CQ$13)=0,10^12,OFFSET(CRONOPLE!$F$15,$M120-$A$15,CQ$13)))</f>
        <v>1000000000000</v>
      </c>
      <c r="CR120" s="171">
        <f ca="1">IF(OR($D120&lt;&gt;"Serviço",AND(AUTOEVENTO="Manual",$M120=$A$15)),0,
         IF(OFFSET(CRONOPLE!$F$15,$M120-$A$15,CR$13)=0,10^12,OFFSET(CRONOPLE!$F$15,$M120-$A$15,CR$13)))</f>
        <v>1000000000000</v>
      </c>
      <c r="CT120" s="172" cm="1">
        <f t="array" aca="1" ref="CT120" ca="1">IF(OR($D120&lt;&gt;"Serviço",AND(AUTOEVENTO="Manual",$M120=$A$15),$M120&gt;(ROW(PLE.lastrow)-ROW(PLE.firstrow))),0,
           IF(OFFSET(PLE!$G$15,$M120-$A$15,CT$13)="",10^12,OFFSET(PLE!$G$15,$M120-$A$15,CT$13)))</f>
        <v>1000000000000</v>
      </c>
      <c r="CU120" s="172" cm="1">
        <f t="array" aca="1" ref="CU120" ca="1">IF(OR($D120&lt;&gt;"Serviço",AND(AUTOEVENTO="Manual",$M120=$A$15),$M120&gt;(ROW(PLE.lastrow)-ROW(PLE.firstrow))),0,
           IF(OFFSET(PLE!$G$15,$M120-$A$15,CU$13)="",10^12,OFFSET(PLE!$G$15,$M120-$A$15,CU$13)))</f>
        <v>1000000000000</v>
      </c>
      <c r="CV120" s="172" cm="1">
        <f t="array" aca="1" ref="CV120" ca="1">IF(OR($D120&lt;&gt;"Serviço",AND(AUTOEVENTO="Manual",$M120=$A$15),$M120&gt;(ROW(PLE.lastrow)-ROW(PLE.firstrow))),0,
           IF(OFFSET(PLE!$G$15,$M120-$A$15,CV$13)="",10^12,OFFSET(PLE!$G$15,$M120-$A$15,CV$13)))</f>
        <v>1000000000000</v>
      </c>
      <c r="CW120" s="172" cm="1">
        <f t="array" aca="1" ref="CW120" ca="1">IF(OR($D120&lt;&gt;"Serviço",AND(AUTOEVENTO="Manual",$M120=$A$15),$M120&gt;(ROW(PLE.lastrow)-ROW(PLE.firstrow))),0,
           IF(OFFSET(PLE!$G$15,$M120-$A$15,CW$13)="",10^12,OFFSET(PLE!$G$15,$M120-$A$15,CW$13)))</f>
        <v>1000000000000</v>
      </c>
      <c r="CX120" s="172" cm="1">
        <f t="array" aca="1" ref="CX120" ca="1">IF(OR($D120&lt;&gt;"Serviço",AND(AUTOEVENTO="Manual",$M120=$A$15),$M120&gt;(ROW(PLE.lastrow)-ROW(PLE.firstrow))),0,
           IF(OFFSET(PLE!$G$15,$M120-$A$15,CX$13)="",10^12,OFFSET(PLE!$G$15,$M120-$A$15,CX$13)))</f>
        <v>1000000000000</v>
      </c>
      <c r="CY120" s="172" cm="1">
        <f t="array" aca="1" ref="CY120" ca="1">IF(OR($D120&lt;&gt;"Serviço",AND(AUTOEVENTO="Manual",$M120=$A$15),$M120&gt;(ROW(PLE.lastrow)-ROW(PLE.firstrow))),0,
           IF(OFFSET(PLE!$G$15,$M120-$A$15,CY$13)="",10^12,OFFSET(PLE!$G$15,$M120-$A$15,CY$13)))</f>
        <v>1000000000000</v>
      </c>
      <c r="CZ120" s="172" cm="1">
        <f t="array" aca="1" ref="CZ120" ca="1">IF(OR($D120&lt;&gt;"Serviço",AND(AUTOEVENTO="Manual",$M120=$A$15),$M120&gt;(ROW(PLE.lastrow)-ROW(PLE.firstrow))),0,
           IF(OFFSET(PLE!$G$15,$M120-$A$15,CZ$13)="",10^12,OFFSET(PLE!$G$15,$M120-$A$15,CZ$13)))</f>
        <v>1000000000000</v>
      </c>
      <c r="DA120" s="172" cm="1">
        <f t="array" aca="1" ref="DA120" ca="1">IF(OR($D120&lt;&gt;"Serviço",AND(AUTOEVENTO="Manual",$M120=$A$15),$M120&gt;(ROW(PLE.lastrow)-ROW(PLE.firstrow))),0,
           IF(OFFSET(PLE!$G$15,$M120-$A$15,DA$13)="",10^12,OFFSET(PLE!$G$15,$M120-$A$15,DA$13)))</f>
        <v>1000000000000</v>
      </c>
      <c r="DB120" s="172" cm="1">
        <f t="array" aca="1" ref="DB120" ca="1">IF(OR($D120&lt;&gt;"Serviço",AND(AUTOEVENTO="Manual",$M120=$A$15),$M120&gt;(ROW(PLE.lastrow)-ROW(PLE.firstrow))),0,
           IF(OFFSET(PLE!$G$15,$M120-$A$15,DB$13)="",10^12,OFFSET(PLE!$G$15,$M120-$A$15,DB$13)))</f>
        <v>1000000000000</v>
      </c>
      <c r="DC120" s="172" cm="1">
        <f t="array" aca="1" ref="DC120" ca="1">IF(OR($D120&lt;&gt;"Serviço",AND(AUTOEVENTO="Manual",$M120=$A$15),$M120&gt;(ROW(PLE.lastrow)-ROW(PLE.firstrow))),0,
           IF(OFFSET(PLE!$G$15,$M120-$A$15,DC$13)="",10^12,OFFSET(PLE!$G$15,$M120-$A$15,DC$13)))</f>
        <v>1000000000000</v>
      </c>
      <c r="DD120" s="172" cm="1">
        <f t="array" aca="1" ref="DD120" ca="1">IF(OR($D120&lt;&gt;"Serviço",AND(AUTOEVENTO="Manual",$M120=$A$15),$M120&gt;(ROW(PLE.lastrow)-ROW(PLE.firstrow))),0,
           IF(OFFSET(PLE!$G$15,$M120-$A$15,DD$13)="",10^12,OFFSET(PLE!$G$15,$M120-$A$15,DD$13)))</f>
        <v>1000000000000</v>
      </c>
      <c r="DE120" s="172" cm="1">
        <f t="array" aca="1" ref="DE120" ca="1">IF(OR($D120&lt;&gt;"Serviço",AND(AUTOEVENTO="Manual",$M120=$A$15),$M120&gt;(ROW(PLE.lastrow)-ROW(PLE.firstrow))),0,
           IF(OFFSET(PLE!$G$15,$M120-$A$15,DE$13)="",10^12,OFFSET(PLE!$G$15,$M120-$A$15,DE$13)))</f>
        <v>1000000000000</v>
      </c>
      <c r="DF120" s="172" cm="1">
        <f t="array" aca="1" ref="DF120" ca="1">IF(OR($D120&lt;&gt;"Serviço",AND(AUTOEVENTO="Manual",$M120=$A$15),$M120&gt;(ROW(PLE.lastrow)-ROW(PLE.firstrow))),0,
           IF(OFFSET(PLE!$G$15,$M120-$A$15,DF$13)="",10^12,OFFSET(PLE!$G$15,$M120-$A$15,DF$13)))</f>
        <v>1000000000000</v>
      </c>
      <c r="DG120" s="172" cm="1">
        <f t="array" aca="1" ref="DG120" ca="1">IF(OR($D120&lt;&gt;"Serviço",AND(AUTOEVENTO="Manual",$M120=$A$15),$M120&gt;(ROW(PLE.lastrow)-ROW(PLE.firstrow))),0,
           IF(OFFSET(PLE!$G$15,$M120-$A$15,DG$13)="",10^12,OFFSET(PLE!$G$15,$M120-$A$15,DG$13)))</f>
        <v>1000000000000</v>
      </c>
      <c r="DH120" s="172" cm="1">
        <f t="array" aca="1" ref="DH120" ca="1">IF(OR($D120&lt;&gt;"Serviço",AND(AUTOEVENTO="Manual",$M120=$A$15),$M120&gt;(ROW(PLE.lastrow)-ROW(PLE.firstrow))),0,
           IF(OFFSET(PLE!$G$15,$M120-$A$15,DH$13)="",10^12,OFFSET(PLE!$G$15,$M120-$A$15,DH$13)))</f>
        <v>1000000000000</v>
      </c>
      <c r="DI120" s="172" cm="1">
        <f t="array" aca="1" ref="DI120" ca="1">IF(OR($D120&lt;&gt;"Serviço",AND(AUTOEVENTO="Manual",$M120=$A$15),$M120&gt;(ROW(PLE.lastrow)-ROW(PLE.firstrow))),0,
           IF(OFFSET(PLE!$G$15,$M120-$A$15,DI$13)="",10^12,OFFSET(PLE!$G$15,$M120-$A$15,DI$13)))</f>
        <v>1000000000000</v>
      </c>
      <c r="DJ120" s="172" cm="1">
        <f t="array" aca="1" ref="DJ120" ca="1">IF(OR($D120&lt;&gt;"Serviço",AND(AUTOEVENTO="Manual",$M120=$A$15),$M120&gt;(ROW(PLE.lastrow)-ROW(PLE.firstrow))),0,
           IF(OFFSET(PLE!$G$15,$M120-$A$15,DJ$13)="",10^12,OFFSET(PLE!$G$15,$M120-$A$15,DJ$13)))</f>
        <v>1000000000000</v>
      </c>
      <c r="DK120" s="172" cm="1">
        <f t="array" aca="1" ref="DK120" ca="1">IF(OR($D120&lt;&gt;"Serviço",AND(AUTOEVENTO="Manual",$M120=$A$15),$M120&gt;(ROW(PLE.lastrow)-ROW(PLE.firstrow))),0,
           IF(OFFSET(PLE!$G$15,$M120-$A$15,DK$13)="",10^12,OFFSET(PLE!$G$15,$M120-$A$15,DK$13)))</f>
        <v>1000000000000</v>
      </c>
      <c r="DL120" s="172" cm="1">
        <f t="array" aca="1" ref="DL120" ca="1">IF(OR($D120&lt;&gt;"Serviço",AND(AUTOEVENTO="Manual",$M120=$A$15),$M120&gt;(ROW(PLE.lastrow)-ROW(PLE.firstrow))),0,
           IF(OFFSET(PLE!$G$15,$M120-$A$15,DL$13)="",10^12,OFFSET(PLE!$G$15,$M120-$A$15,DL$13)))</f>
        <v>1000000000000</v>
      </c>
      <c r="DM120" s="172" cm="1">
        <f t="array" aca="1" ref="DM120" ca="1">IF(OR($D120&lt;&gt;"Serviço",AND(AUTOEVENTO="Manual",$M120=$A$15),$M120&gt;(ROW(PLE.lastrow)-ROW(PLE.firstrow))),0,
           IF(OFFSET(PLE!$G$15,$M120-$A$15,DM$13)="",10^12,OFFSET(PLE!$G$15,$M120-$A$15,DM$13)))</f>
        <v>1000000000000</v>
      </c>
      <c r="DN120" s="172" cm="1">
        <f t="array" aca="1" ref="DN120" ca="1">IF(OR($D120&lt;&gt;"Serviço",AND(AUTOEVENTO="Manual",$M120=$A$15),$M120&gt;(ROW(PLE.lastrow)-ROW(PLE.firstrow))),0,
           IF(OFFSET(PLE!$G$15,$M120-$A$15,DN$13)="",10^12,OFFSET(PLE!$G$15,$M120-$A$15,DN$13)))</f>
        <v>1000000000000</v>
      </c>
      <c r="DO120" s="172" cm="1">
        <f t="array" aca="1" ref="DO120" ca="1">IF(OR($D120&lt;&gt;"Serviço",AND(AUTOEVENTO="Manual",$M120=$A$15),$M120&gt;(ROW(PLE.lastrow)-ROW(PLE.firstrow))),0,
           IF(OFFSET(PLE!$G$15,$M120-$A$15,DO$13)="",10^12,OFFSET(PLE!$G$15,$M120-$A$15,DO$13)))</f>
        <v>1000000000000</v>
      </c>
      <c r="DP120" s="172" cm="1">
        <f t="array" aca="1" ref="DP120" ca="1">IF(OR($D120&lt;&gt;"Serviço",AND(AUTOEVENTO="Manual",$M120=$A$15),$M120&gt;(ROW(PLE.lastrow)-ROW(PLE.firstrow))),0,
           IF(OFFSET(PLE!$G$15,$M120-$A$15,DP$13)="",10^12,OFFSET(PLE!$G$15,$M120-$A$15,DP$13)))</f>
        <v>1000000000000</v>
      </c>
      <c r="DQ120" s="172" cm="1">
        <f t="array" aca="1" ref="DQ120" ca="1">IF(OR($D120&lt;&gt;"Serviço",AND(AUTOEVENTO="Manual",$M120=$A$15),$M120&gt;(ROW(PLE.lastrow)-ROW(PLE.firstrow))),0,
           IF(OFFSET(PLE!$G$15,$M120-$A$15,DQ$13)="",10^12,OFFSET(PLE!$G$15,$M120-$A$15,DQ$13)))</f>
        <v>1000000000000</v>
      </c>
      <c r="DR120" s="172" cm="1">
        <f t="array" aca="1" ref="DR120" ca="1">IF(OR($D120&lt;&gt;"Serviço",AND(AUTOEVENTO="Manual",$M120=$A$15),$M120&gt;(ROW(PLE.lastrow)-ROW(PLE.firstrow))),0,
           IF(OFFSET(PLE!$G$15,$M120-$A$15,DR$13)="",10^12,OFFSET(PLE!$G$15,$M120-$A$15,DR$13)))</f>
        <v>1000000000000</v>
      </c>
      <c r="DS120" s="172" cm="1">
        <f t="array" aca="1" ref="DS120" ca="1">IF(OR($D120&lt;&gt;"Serviço",AND(AUTOEVENTO="Manual",$M120=$A$15),$M120&gt;(ROW(PLE.lastrow)-ROW(PLE.firstrow))),0,
           IF(OFFSET(PLE!$G$15,$M120-$A$15,DS$13)="",10^12,OFFSET(PLE!$G$15,$M120-$A$15,DS$13)))</f>
        <v>1000000000000</v>
      </c>
    </row>
    <row r="121" spans="1:123" ht="51" x14ac:dyDescent="0.2">
      <c r="A121" s="7">
        <f t="shared" ca="1" si="15"/>
        <v>8</v>
      </c>
      <c r="B121" s="7" t="str">
        <f ca="1">OFFSET(ORÇAMENTO!C$15,$L121,0)</f>
        <v>S</v>
      </c>
      <c r="C121" s="7" t="str">
        <f ca="1">OFFSET(ORÇAMENTO!L$15,$L121,0)</f>
        <v/>
      </c>
      <c r="D121" s="116" t="str">
        <f ca="1">OFFSET(ORÇAMENTO!N$15,$L121,0)</f>
        <v>Serviço</v>
      </c>
      <c r="E121" s="117" t="str">
        <f ca="1">OFFSET(ORÇAMENTO!O$15,$L121,0)</f>
        <v>-</v>
      </c>
      <c r="F121" s="163" t="str">
        <f ca="1">OFFSET(ORÇAMENTO!R$15,$L121,0)</f>
        <v>(Código não identificado nas referências)</v>
      </c>
      <c r="G121" s="164" t="str">
        <f ca="1">IF($D121&lt;&gt;"Serviço","",OFFSET(ORÇAMENTO!S$15,$L121,0))</f>
        <v>-</v>
      </c>
      <c r="H121" s="122" cm="1">
        <f t="array" aca="1" ref="H121" ca="1">IF($D121&lt;&gt;"Serviço",0,IF(ACOMPANHAMENTO="BM",ROUND(OFFSET(ORÇAMENTO!AJ$15,$L121,0),15-13*ORÇAMENTO!$AF$7),IF(IFERROR(CÁLCULO.FrentesPreenchidas,0)=0,0,SUM(ROUND(OFFSET($P121,0,1,1,CÁLCULO.FrentesPreenchidas),15-13*ORÇAMENTO!$AF$7)))))</f>
        <v>643.80000000000018</v>
      </c>
      <c r="I121" s="468" t="s">
        <v>1235</v>
      </c>
      <c r="J121" s="651" t="str" cm="1">
        <f t="array" aca="1" ref="J121" ca="1">IF(OR(B121&lt;&gt;"S",CÁLCULO.FrentesPreenchidas=0),"",IF(AND(ACOMPANHAMENTO="PLE",AUTOEVENTO="Manual",OR(H121&gt;0,ORÇAMENTO!AC121="QUANT."),OR(K121="",M121=0,N121="")),"►E",IF(AND(ACOMPANHAMENTO="PLE",ORÇAMENTO!AC121="QUANT."),"►Q",IF(AND(ACOMPANHAMENTO="PLE",H121&lt;&gt;SUMPRODUCT(($Q$1:$AQ$1=1)*ROUND(Q121:AQ121,15))),"►S",IF(AND(COUNTIF($P$11:$AQ$11,"▼")=0,H121&gt;0,I121=""),"◄M","")))))</f>
        <v/>
      </c>
      <c r="K121" s="652" t="s">
        <v>1256</v>
      </c>
      <c r="L121" s="165">
        <f t="shared" ca="1" si="14"/>
        <v>106</v>
      </c>
      <c r="M121" s="166">
        <f ca="1">IF($D121&lt;&gt;"Serviço","",
          IF(AUTOEVENTO="manual",$A121,
                IF(ISERROR(MATCH($A121,$A$15:OFFSET($A121,-1,0),0)),MAX($M$15:OFFSET(M121,-1,0))+1,
                      INDEX($M$15:OFFSET(M121,-1,0),MATCH($A121,$A$15:OFFSET($A121,-1,0),0)))))</f>
        <v>8</v>
      </c>
      <c r="N121" s="167" t="str">
        <f ca="1">IF($D121&lt;&gt;"Serviço","",
         IF(AUTOEVENTO="Manual",
                IF($A121=0,"&lt;-- defina o número do agrupador",
                       OFFSET(EVENTOS!$D$15,$A121-$A$15,0)),
                OFFSET($F$15,$A121,0)))</f>
        <v>PAVIMENTAÇÕES</v>
      </c>
      <c r="O121" s="168"/>
      <c r="Q121" s="168">
        <v>32.19</v>
      </c>
      <c r="R121" s="169">
        <v>32.19</v>
      </c>
      <c r="S121" s="169">
        <v>32.19</v>
      </c>
      <c r="T121" s="169">
        <v>32.19</v>
      </c>
      <c r="U121" s="169">
        <v>32.19</v>
      </c>
      <c r="V121" s="169">
        <v>32.19</v>
      </c>
      <c r="W121" s="169">
        <v>32.19</v>
      </c>
      <c r="X121" s="169">
        <v>32.19</v>
      </c>
      <c r="Y121" s="169">
        <v>32.19</v>
      </c>
      <c r="Z121" s="170">
        <v>32.19</v>
      </c>
      <c r="AA121" s="169">
        <v>32.19</v>
      </c>
      <c r="AB121" s="169">
        <v>32.19</v>
      </c>
      <c r="AC121" s="169">
        <v>32.19</v>
      </c>
      <c r="AD121" s="169">
        <v>32.19</v>
      </c>
      <c r="AE121" s="169">
        <v>32.19</v>
      </c>
      <c r="AF121" s="169">
        <v>32.19</v>
      </c>
      <c r="AG121" s="169">
        <v>32.19</v>
      </c>
      <c r="AH121" s="170">
        <v>32.19</v>
      </c>
      <c r="AI121" s="169">
        <v>32.19</v>
      </c>
      <c r="AJ121" s="169">
        <v>32.19</v>
      </c>
      <c r="AK121" s="169"/>
      <c r="AL121" s="169"/>
      <c r="AM121" s="169"/>
      <c r="AN121" s="169"/>
      <c r="AO121" s="169"/>
      <c r="AP121" s="170"/>
      <c r="AR121" s="453">
        <f ca="1">IF(AND($D121="Serviço",AR$12&lt;&gt;0,$H121&gt;0,OR(AUTOEVENTO&lt;&gt;"manual",$M121&lt;&gt;$A$15)),
        IF(Import.TipoArredondamento&lt;&gt;"TransfereGOV",
              ROUND(OFFSET($P121,0,AR$13),15-13*ORÇAMENTO!$AF$7)/$H121*OFFSET(ORÇAMENTO!$X$15,ROW(AR121)-ROW(AR$15),0),
              ROUND(ROUND(OFFSET($P121,0,AR$13),15-13*ORÇAMENTO!$AF$7)*OFFSET(ORÇAMENTO!$W$15,ROW(AR121)-ROW(AR$15),0),15-13*ORÇAMENTO!$AF$11)),
         0)</f>
        <v>0</v>
      </c>
      <c r="AS121" s="453">
        <f ca="1">IF(AND($D121="Serviço",AS$12&lt;&gt;0,$H121&gt;0,OR(AUTOEVENTO&lt;&gt;"manual",$M121&lt;&gt;$A$15)),
        IF(Import.TipoArredondamento&lt;&gt;"TransfereGOV",
              ROUND(OFFSET($P121,0,AS$13),15-13*ORÇAMENTO!$AF$7)/$H121*OFFSET(ORÇAMENTO!$X$15,ROW(AS121)-ROW(AS$15),0),
              ROUND(ROUND(OFFSET($P121,0,AS$13),15-13*ORÇAMENTO!$AF$7)*OFFSET(ORÇAMENTO!$W$15,ROW(AS121)-ROW(AS$15),0),15-13*ORÇAMENTO!$AF$11)),
         0)</f>
        <v>0</v>
      </c>
      <c r="AT121" s="453">
        <f ca="1">IF(AND($D121="Serviço",AT$12&lt;&gt;0,$H121&gt;0,OR(AUTOEVENTO&lt;&gt;"manual",$M121&lt;&gt;$A$15)),
        IF(Import.TipoArredondamento&lt;&gt;"TransfereGOV",
              ROUND(OFFSET($P121,0,AT$13),15-13*ORÇAMENTO!$AF$7)/$H121*OFFSET(ORÇAMENTO!$X$15,ROW(AT121)-ROW(AT$15),0),
              ROUND(ROUND(OFFSET($P121,0,AT$13),15-13*ORÇAMENTO!$AF$7)*OFFSET(ORÇAMENTO!$W$15,ROW(AT121)-ROW(AT$15),0),15-13*ORÇAMENTO!$AF$11)),
         0)</f>
        <v>0</v>
      </c>
      <c r="AU121" s="453">
        <f ca="1">IF(AND($D121="Serviço",AU$12&lt;&gt;0,$H121&gt;0,OR(AUTOEVENTO&lt;&gt;"manual",$M121&lt;&gt;$A$15)),
        IF(Import.TipoArredondamento&lt;&gt;"TransfereGOV",
              ROUND(OFFSET($P121,0,AU$13),15-13*ORÇAMENTO!$AF$7)/$H121*OFFSET(ORÇAMENTO!$X$15,ROW(AU121)-ROW(AU$15),0),
              ROUND(ROUND(OFFSET($P121,0,AU$13),15-13*ORÇAMENTO!$AF$7)*OFFSET(ORÇAMENTO!$W$15,ROW(AU121)-ROW(AU$15),0),15-13*ORÇAMENTO!$AF$11)),
         0)</f>
        <v>0</v>
      </c>
      <c r="AV121" s="453">
        <f ca="1">IF(AND($D121="Serviço",AV$12&lt;&gt;0,$H121&gt;0,OR(AUTOEVENTO&lt;&gt;"manual",$M121&lt;&gt;$A$15)),
        IF(Import.TipoArredondamento&lt;&gt;"TransfereGOV",
              ROUND(OFFSET($P121,0,AV$13),15-13*ORÇAMENTO!$AF$7)/$H121*OFFSET(ORÇAMENTO!$X$15,ROW(AV121)-ROW(AV$15),0),
              ROUND(ROUND(OFFSET($P121,0,AV$13),15-13*ORÇAMENTO!$AF$7)*OFFSET(ORÇAMENTO!$W$15,ROW(AV121)-ROW(AV$15),0),15-13*ORÇAMENTO!$AF$11)),
         0)</f>
        <v>0</v>
      </c>
      <c r="AW121" s="453">
        <f ca="1">IF(AND($D121="Serviço",AW$12&lt;&gt;0,$H121&gt;0,OR(AUTOEVENTO&lt;&gt;"manual",$M121&lt;&gt;$A$15)),
        IF(Import.TipoArredondamento&lt;&gt;"TransfereGOV",
              ROUND(OFFSET($P121,0,AW$13),15-13*ORÇAMENTO!$AF$7)/$H121*OFFSET(ORÇAMENTO!$X$15,ROW(AW121)-ROW(AW$15),0),
              ROUND(ROUND(OFFSET($P121,0,AW$13),15-13*ORÇAMENTO!$AF$7)*OFFSET(ORÇAMENTO!$W$15,ROW(AW121)-ROW(AW$15),0),15-13*ORÇAMENTO!$AF$11)),
         0)</f>
        <v>0</v>
      </c>
      <c r="AX121" s="453">
        <f ca="1">IF(AND($D121="Serviço",AX$12&lt;&gt;0,$H121&gt;0,OR(AUTOEVENTO&lt;&gt;"manual",$M121&lt;&gt;$A$15)),
        IF(Import.TipoArredondamento&lt;&gt;"TransfereGOV",
              ROUND(OFFSET($P121,0,AX$13),15-13*ORÇAMENTO!$AF$7)/$H121*OFFSET(ORÇAMENTO!$X$15,ROW(AX121)-ROW(AX$15),0),
              ROUND(ROUND(OFFSET($P121,0,AX$13),15-13*ORÇAMENTO!$AF$7)*OFFSET(ORÇAMENTO!$W$15,ROW(AX121)-ROW(AX$15),0),15-13*ORÇAMENTO!$AF$11)),
         0)</f>
        <v>0</v>
      </c>
      <c r="AY121" s="453">
        <f ca="1">IF(AND($D121="Serviço",AY$12&lt;&gt;0,$H121&gt;0,OR(AUTOEVENTO&lt;&gt;"manual",$M121&lt;&gt;$A$15)),
        IF(Import.TipoArredondamento&lt;&gt;"TransfereGOV",
              ROUND(OFFSET($P121,0,AY$13),15-13*ORÇAMENTO!$AF$7)/$H121*OFFSET(ORÇAMENTO!$X$15,ROW(AY121)-ROW(AY$15),0),
              ROUND(ROUND(OFFSET($P121,0,AY$13),15-13*ORÇAMENTO!$AF$7)*OFFSET(ORÇAMENTO!$W$15,ROW(AY121)-ROW(AY$15),0),15-13*ORÇAMENTO!$AF$11)),
         0)</f>
        <v>0</v>
      </c>
      <c r="AZ121" s="453">
        <f ca="1">IF(AND($D121="Serviço",AZ$12&lt;&gt;0,$H121&gt;0,OR(AUTOEVENTO&lt;&gt;"manual",$M121&lt;&gt;$A$15)),
        IF(Import.TipoArredondamento&lt;&gt;"TransfereGOV",
              ROUND(OFFSET($P121,0,AZ$13),15-13*ORÇAMENTO!$AF$7)/$H121*OFFSET(ORÇAMENTO!$X$15,ROW(AZ121)-ROW(AZ$15),0),
              ROUND(ROUND(OFFSET($P121,0,AZ$13),15-13*ORÇAMENTO!$AF$7)*OFFSET(ORÇAMENTO!$W$15,ROW(AZ121)-ROW(AZ$15),0),15-13*ORÇAMENTO!$AF$11)),
         0)</f>
        <v>0</v>
      </c>
      <c r="BA121" s="453">
        <f ca="1">IF(AND($D121="Serviço",BA$12&lt;&gt;0,$H121&gt;0,OR(AUTOEVENTO&lt;&gt;"manual",$M121&lt;&gt;$A$15)),
        IF(Import.TipoArredondamento&lt;&gt;"TransfereGOV",
              ROUND(OFFSET($P121,0,BA$13),15-13*ORÇAMENTO!$AF$7)/$H121*OFFSET(ORÇAMENTO!$X$15,ROW(BA121)-ROW(BA$15),0),
              ROUND(ROUND(OFFSET($P121,0,BA$13),15-13*ORÇAMENTO!$AF$7)*OFFSET(ORÇAMENTO!$W$15,ROW(BA121)-ROW(BA$15),0),15-13*ORÇAMENTO!$AF$11)),
         0)</f>
        <v>0</v>
      </c>
      <c r="BB121" s="453">
        <f ca="1">IF(AND($D121="Serviço",BB$12&lt;&gt;0,$H121&gt;0,OR(AUTOEVENTO&lt;&gt;"manual",$M121&lt;&gt;$A$15)),
        IF(Import.TipoArredondamento&lt;&gt;"TransfereGOV",
              ROUND(OFFSET($P121,0,BB$13),15-13*ORÇAMENTO!$AF$7)/$H121*OFFSET(ORÇAMENTO!$X$15,ROW(BB121)-ROW(BB$15),0),
              ROUND(ROUND(OFFSET($P121,0,BB$13),15-13*ORÇAMENTO!$AF$7)*OFFSET(ORÇAMENTO!$W$15,ROW(BB121)-ROW(BB$15),0),15-13*ORÇAMENTO!$AF$11)),
         0)</f>
        <v>0</v>
      </c>
      <c r="BC121" s="453">
        <f ca="1">IF(AND($D121="Serviço",BC$12&lt;&gt;0,$H121&gt;0,OR(AUTOEVENTO&lt;&gt;"manual",$M121&lt;&gt;$A$15)),
        IF(Import.TipoArredondamento&lt;&gt;"TransfereGOV",
              ROUND(OFFSET($P121,0,BC$13),15-13*ORÇAMENTO!$AF$7)/$H121*OFFSET(ORÇAMENTO!$X$15,ROW(BC121)-ROW(BC$15),0),
              ROUND(ROUND(OFFSET($P121,0,BC$13),15-13*ORÇAMENTO!$AF$7)*OFFSET(ORÇAMENTO!$W$15,ROW(BC121)-ROW(BC$15),0),15-13*ORÇAMENTO!$AF$11)),
         0)</f>
        <v>0</v>
      </c>
      <c r="BD121" s="453">
        <f ca="1">IF(AND($D121="Serviço",BD$12&lt;&gt;0,$H121&gt;0,OR(AUTOEVENTO&lt;&gt;"manual",$M121&lt;&gt;$A$15)),
        IF(Import.TipoArredondamento&lt;&gt;"TransfereGOV",
              ROUND(OFFSET($P121,0,BD$13),15-13*ORÇAMENTO!$AF$7)/$H121*OFFSET(ORÇAMENTO!$X$15,ROW(BD121)-ROW(BD$15),0),
              ROUND(ROUND(OFFSET($P121,0,BD$13),15-13*ORÇAMENTO!$AF$7)*OFFSET(ORÇAMENTO!$W$15,ROW(BD121)-ROW(BD$15),0),15-13*ORÇAMENTO!$AF$11)),
         0)</f>
        <v>0</v>
      </c>
      <c r="BE121" s="453">
        <f ca="1">IF(AND($D121="Serviço",BE$12&lt;&gt;0,$H121&gt;0,OR(AUTOEVENTO&lt;&gt;"manual",$M121&lt;&gt;$A$15)),
        IF(Import.TipoArredondamento&lt;&gt;"TransfereGOV",
              ROUND(OFFSET($P121,0,BE$13),15-13*ORÇAMENTO!$AF$7)/$H121*OFFSET(ORÇAMENTO!$X$15,ROW(BE121)-ROW(BE$15),0),
              ROUND(ROUND(OFFSET($P121,0,BE$13),15-13*ORÇAMENTO!$AF$7)*OFFSET(ORÇAMENTO!$W$15,ROW(BE121)-ROW(BE$15),0),15-13*ORÇAMENTO!$AF$11)),
         0)</f>
        <v>0</v>
      </c>
      <c r="BF121" s="453">
        <f ca="1">IF(AND($D121="Serviço",BF$12&lt;&gt;0,$H121&gt;0,OR(AUTOEVENTO&lt;&gt;"manual",$M121&lt;&gt;$A$15)),
        IF(Import.TipoArredondamento&lt;&gt;"TransfereGOV",
              ROUND(OFFSET($P121,0,BF$13),15-13*ORÇAMENTO!$AF$7)/$H121*OFFSET(ORÇAMENTO!$X$15,ROW(BF121)-ROW(BF$15),0),
              ROUND(ROUND(OFFSET($P121,0,BF$13),15-13*ORÇAMENTO!$AF$7)*OFFSET(ORÇAMENTO!$W$15,ROW(BF121)-ROW(BF$15),0),15-13*ORÇAMENTO!$AF$11)),
         0)</f>
        <v>0</v>
      </c>
      <c r="BG121" s="453">
        <f ca="1">IF(AND($D121="Serviço",BG$12&lt;&gt;0,$H121&gt;0,OR(AUTOEVENTO&lt;&gt;"manual",$M121&lt;&gt;$A$15)),
        IF(Import.TipoArredondamento&lt;&gt;"TransfereGOV",
              ROUND(OFFSET($P121,0,BG$13),15-13*ORÇAMENTO!$AF$7)/$H121*OFFSET(ORÇAMENTO!$X$15,ROW(BG121)-ROW(BG$15),0),
              ROUND(ROUND(OFFSET($P121,0,BG$13),15-13*ORÇAMENTO!$AF$7)*OFFSET(ORÇAMENTO!$W$15,ROW(BG121)-ROW(BG$15),0),15-13*ORÇAMENTO!$AF$11)),
         0)</f>
        <v>0</v>
      </c>
      <c r="BH121" s="453">
        <f ca="1">IF(AND($D121="Serviço",BH$12&lt;&gt;0,$H121&gt;0,OR(AUTOEVENTO&lt;&gt;"manual",$M121&lt;&gt;$A$15)),
        IF(Import.TipoArredondamento&lt;&gt;"TransfereGOV",
              ROUND(OFFSET($P121,0,BH$13),15-13*ORÇAMENTO!$AF$7)/$H121*OFFSET(ORÇAMENTO!$X$15,ROW(BH121)-ROW(BH$15),0),
              ROUND(ROUND(OFFSET($P121,0,BH$13),15-13*ORÇAMENTO!$AF$7)*OFFSET(ORÇAMENTO!$W$15,ROW(BH121)-ROW(BH$15),0),15-13*ORÇAMENTO!$AF$11)),
         0)</f>
        <v>0</v>
      </c>
      <c r="BI121" s="453">
        <f ca="1">IF(AND($D121="Serviço",BI$12&lt;&gt;0,$H121&gt;0,OR(AUTOEVENTO&lt;&gt;"manual",$M121&lt;&gt;$A$15)),
        IF(Import.TipoArredondamento&lt;&gt;"TransfereGOV",
              ROUND(OFFSET($P121,0,BI$13),15-13*ORÇAMENTO!$AF$7)/$H121*OFFSET(ORÇAMENTO!$X$15,ROW(BI121)-ROW(BI$15),0),
              ROUND(ROUND(OFFSET($P121,0,BI$13),15-13*ORÇAMENTO!$AF$7)*OFFSET(ORÇAMENTO!$W$15,ROW(BI121)-ROW(BI$15),0),15-13*ORÇAMENTO!$AF$11)),
         0)</f>
        <v>0</v>
      </c>
      <c r="BJ121" s="453">
        <f ca="1">IF(AND($D121="Serviço",BJ$12&lt;&gt;0,$H121&gt;0,OR(AUTOEVENTO&lt;&gt;"manual",$M121&lt;&gt;$A$15)),
        IF(Import.TipoArredondamento&lt;&gt;"TransfereGOV",
              ROUND(OFFSET($P121,0,BJ$13),15-13*ORÇAMENTO!$AF$7)/$H121*OFFSET(ORÇAMENTO!$X$15,ROW(BJ121)-ROW(BJ$15),0),
              ROUND(ROUND(OFFSET($P121,0,BJ$13),15-13*ORÇAMENTO!$AF$7)*OFFSET(ORÇAMENTO!$W$15,ROW(BJ121)-ROW(BJ$15),0),15-13*ORÇAMENTO!$AF$11)),
         0)</f>
        <v>0</v>
      </c>
      <c r="BK121" s="453">
        <f ca="1">IF(AND($D121="Serviço",BK$12&lt;&gt;0,$H121&gt;0,OR(AUTOEVENTO&lt;&gt;"manual",$M121&lt;&gt;$A$15)),
        IF(Import.TipoArredondamento&lt;&gt;"TransfereGOV",
              ROUND(OFFSET($P121,0,BK$13),15-13*ORÇAMENTO!$AF$7)/$H121*OFFSET(ORÇAMENTO!$X$15,ROW(BK121)-ROW(BK$15),0),
              ROUND(ROUND(OFFSET($P121,0,BK$13),15-13*ORÇAMENTO!$AF$7)*OFFSET(ORÇAMENTO!$W$15,ROW(BK121)-ROW(BK$15),0),15-13*ORÇAMENTO!$AF$11)),
         0)</f>
        <v>0</v>
      </c>
      <c r="BL121" s="453">
        <f ca="1">IF(AND($D121="Serviço",BL$12&lt;&gt;0,$H121&gt;0,OR(AUTOEVENTO&lt;&gt;"manual",$M121&lt;&gt;$A$15)),
        IF(Import.TipoArredondamento&lt;&gt;"TransfereGOV",
              ROUND(OFFSET($P121,0,BL$13),15-13*ORÇAMENTO!$AF$7)/$H121*OFFSET(ORÇAMENTO!$X$15,ROW(BL121)-ROW(BL$15),0),
              ROUND(ROUND(OFFSET($P121,0,BL$13),15-13*ORÇAMENTO!$AF$7)*OFFSET(ORÇAMENTO!$W$15,ROW(BL121)-ROW(BL$15),0),15-13*ORÇAMENTO!$AF$11)),
         0)</f>
        <v>0</v>
      </c>
      <c r="BM121" s="453">
        <f ca="1">IF(AND($D121="Serviço",BM$12&lt;&gt;0,$H121&gt;0,OR(AUTOEVENTO&lt;&gt;"manual",$M121&lt;&gt;$A$15)),
        IF(Import.TipoArredondamento&lt;&gt;"TransfereGOV",
              ROUND(OFFSET($P121,0,BM$13),15-13*ORÇAMENTO!$AF$7)/$H121*OFFSET(ORÇAMENTO!$X$15,ROW(BM121)-ROW(BM$15),0),
              ROUND(ROUND(OFFSET($P121,0,BM$13),15-13*ORÇAMENTO!$AF$7)*OFFSET(ORÇAMENTO!$W$15,ROW(BM121)-ROW(BM$15),0),15-13*ORÇAMENTO!$AF$11)),
         0)</f>
        <v>0</v>
      </c>
      <c r="BN121" s="453">
        <f ca="1">IF(AND($D121="Serviço",BN$12&lt;&gt;0,$H121&gt;0,OR(AUTOEVENTO&lt;&gt;"manual",$M121&lt;&gt;$A$15)),
        IF(Import.TipoArredondamento&lt;&gt;"TransfereGOV",
              ROUND(OFFSET($P121,0,BN$13),15-13*ORÇAMENTO!$AF$7)/$H121*OFFSET(ORÇAMENTO!$X$15,ROW(BN121)-ROW(BN$15),0),
              ROUND(ROUND(OFFSET($P121,0,BN$13),15-13*ORÇAMENTO!$AF$7)*OFFSET(ORÇAMENTO!$W$15,ROW(BN121)-ROW(BN$15),0),15-13*ORÇAMENTO!$AF$11)),
         0)</f>
        <v>0</v>
      </c>
      <c r="BO121" s="453">
        <f ca="1">IF(AND($D121="Serviço",BO$12&lt;&gt;0,$H121&gt;0,OR(AUTOEVENTO&lt;&gt;"manual",$M121&lt;&gt;$A$15)),
        IF(Import.TipoArredondamento&lt;&gt;"TransfereGOV",
              ROUND(OFFSET($P121,0,BO$13),15-13*ORÇAMENTO!$AF$7)/$H121*OFFSET(ORÇAMENTO!$X$15,ROW(BO121)-ROW(BO$15),0),
              ROUND(ROUND(OFFSET($P121,0,BO$13),15-13*ORÇAMENTO!$AF$7)*OFFSET(ORÇAMENTO!$W$15,ROW(BO121)-ROW(BO$15),0),15-13*ORÇAMENTO!$AF$11)),
         0)</f>
        <v>0</v>
      </c>
      <c r="BP121" s="453">
        <f ca="1">IF(AND($D121="Serviço",BP$12&lt;&gt;0,$H121&gt;0,OR(AUTOEVENTO&lt;&gt;"manual",$M121&lt;&gt;$A$15)),
        IF(Import.TipoArredondamento&lt;&gt;"TransfereGOV",
              ROUND(OFFSET($P121,0,BP$13),15-13*ORÇAMENTO!$AF$7)/$H121*OFFSET(ORÇAMENTO!$X$15,ROW(BP121)-ROW(BP$15),0),
              ROUND(ROUND(OFFSET($P121,0,BP$13),15-13*ORÇAMENTO!$AF$7)*OFFSET(ORÇAMENTO!$W$15,ROW(BP121)-ROW(BP$15),0),15-13*ORÇAMENTO!$AF$11)),
         0)</f>
        <v>0</v>
      </c>
      <c r="BQ121" s="453">
        <f ca="1">IF(AND($D121="Serviço",BQ$12&lt;&gt;0,$H121&gt;0,OR(AUTOEVENTO&lt;&gt;"manual",$M121&lt;&gt;$A$15)),
        IF(Import.TipoArredondamento&lt;&gt;"TransfereGOV",
              ROUND(OFFSET($P121,0,BQ$13),15-13*ORÇAMENTO!$AF$7)/$H121*OFFSET(ORÇAMENTO!$X$15,ROW(BQ121)-ROW(BQ$15),0),
              ROUND(ROUND(OFFSET($P121,0,BQ$13),15-13*ORÇAMENTO!$AF$7)*OFFSET(ORÇAMENTO!$W$15,ROW(BQ121)-ROW(BQ$15),0),15-13*ORÇAMENTO!$AF$11)),
         0)</f>
        <v>0</v>
      </c>
      <c r="BS121" s="171">
        <f ca="1">IF(OR($D121&lt;&gt;"Serviço",AND(AUTOEVENTO="Manual",$M121=$A$15)),0,
         IF(OFFSET(CRONOPLE!$F$15,$M121-$A$15,BS$13)=0,10^12,OFFSET(CRONOPLE!$F$15,$M121-$A$15,BS$13)))</f>
        <v>1</v>
      </c>
      <c r="BT121" s="171">
        <f ca="1">IF(OR($D121&lt;&gt;"Serviço",AND(AUTOEVENTO="Manual",$M121=$A$15)),0,
         IF(OFFSET(CRONOPLE!$F$15,$M121-$A$15,BT$13)=0,10^12,OFFSET(CRONOPLE!$F$15,$M121-$A$15,BT$13)))</f>
        <v>2</v>
      </c>
      <c r="BU121" s="171">
        <f ca="1">IF(OR($D121&lt;&gt;"Serviço",AND(AUTOEVENTO="Manual",$M121=$A$15)),0,
         IF(OFFSET(CRONOPLE!$F$15,$M121-$A$15,BU$13)=0,10^12,OFFSET(CRONOPLE!$F$15,$M121-$A$15,BU$13)))</f>
        <v>3</v>
      </c>
      <c r="BV121" s="171">
        <f ca="1">IF(OR($D121&lt;&gt;"Serviço",AND(AUTOEVENTO="Manual",$M121=$A$15)),0,
         IF(OFFSET(CRONOPLE!$F$15,$M121-$A$15,BV$13)=0,10^12,OFFSET(CRONOPLE!$F$15,$M121-$A$15,BV$13)))</f>
        <v>4</v>
      </c>
      <c r="BW121" s="171">
        <f ca="1">IF(OR($D121&lt;&gt;"Serviço",AND(AUTOEVENTO="Manual",$M121=$A$15)),0,
         IF(OFFSET(CRONOPLE!$F$15,$M121-$A$15,BW$13)=0,10^12,OFFSET(CRONOPLE!$F$15,$M121-$A$15,BW$13)))</f>
        <v>5</v>
      </c>
      <c r="BX121" s="171">
        <f ca="1">IF(OR($D121&lt;&gt;"Serviço",AND(AUTOEVENTO="Manual",$M121=$A$15)),0,
         IF(OFFSET(CRONOPLE!$F$15,$M121-$A$15,BX$13)=0,10^12,OFFSET(CRONOPLE!$F$15,$M121-$A$15,BX$13)))</f>
        <v>6</v>
      </c>
      <c r="BY121" s="171">
        <f ca="1">IF(OR($D121&lt;&gt;"Serviço",AND(AUTOEVENTO="Manual",$M121=$A$15)),0,
         IF(OFFSET(CRONOPLE!$F$15,$M121-$A$15,BY$13)=0,10^12,OFFSET(CRONOPLE!$F$15,$M121-$A$15,BY$13)))</f>
        <v>7</v>
      </c>
      <c r="BZ121" s="171">
        <f ca="1">IF(OR($D121&lt;&gt;"Serviço",AND(AUTOEVENTO="Manual",$M121=$A$15)),0,
         IF(OFFSET(CRONOPLE!$F$15,$M121-$A$15,BZ$13)=0,10^12,OFFSET(CRONOPLE!$F$15,$M121-$A$15,BZ$13)))</f>
        <v>8</v>
      </c>
      <c r="CA121" s="171">
        <f ca="1">IF(OR($D121&lt;&gt;"Serviço",AND(AUTOEVENTO="Manual",$M121=$A$15)),0,
         IF(OFFSET(CRONOPLE!$F$15,$M121-$A$15,CA$13)=0,10^12,OFFSET(CRONOPLE!$F$15,$M121-$A$15,CA$13)))</f>
        <v>9</v>
      </c>
      <c r="CB121" s="171">
        <f ca="1">IF(OR($D121&lt;&gt;"Serviço",AND(AUTOEVENTO="Manual",$M121=$A$15)),0,
         IF(OFFSET(CRONOPLE!$F$15,$M121-$A$15,CB$13)=0,10^12,OFFSET(CRONOPLE!$F$15,$M121-$A$15,CB$13)))</f>
        <v>10</v>
      </c>
      <c r="CC121" s="171">
        <f ca="1">IF(OR($D121&lt;&gt;"Serviço",AND(AUTOEVENTO="Manual",$M121=$A$15)),0,
         IF(OFFSET(CRONOPLE!$F$15,$M121-$A$15,CC$13)=0,10^12,OFFSET(CRONOPLE!$F$15,$M121-$A$15,CC$13)))</f>
        <v>11</v>
      </c>
      <c r="CD121" s="171">
        <f ca="1">IF(OR($D121&lt;&gt;"Serviço",AND(AUTOEVENTO="Manual",$M121=$A$15)),0,
         IF(OFFSET(CRONOPLE!$F$15,$M121-$A$15,CD$13)=0,10^12,OFFSET(CRONOPLE!$F$15,$M121-$A$15,CD$13)))</f>
        <v>12</v>
      </c>
      <c r="CE121" s="171">
        <f ca="1">IF(OR($D121&lt;&gt;"Serviço",AND(AUTOEVENTO="Manual",$M121=$A$15)),0,
         IF(OFFSET(CRONOPLE!$F$15,$M121-$A$15,CE$13)=0,10^12,OFFSET(CRONOPLE!$F$15,$M121-$A$15,CE$13)))</f>
        <v>13</v>
      </c>
      <c r="CF121" s="171">
        <f ca="1">IF(OR($D121&lt;&gt;"Serviço",AND(AUTOEVENTO="Manual",$M121=$A$15)),0,
         IF(OFFSET(CRONOPLE!$F$15,$M121-$A$15,CF$13)=0,10^12,OFFSET(CRONOPLE!$F$15,$M121-$A$15,CF$13)))</f>
        <v>14</v>
      </c>
      <c r="CG121" s="171">
        <f ca="1">IF(OR($D121&lt;&gt;"Serviço",AND(AUTOEVENTO="Manual",$M121=$A$15)),0,
         IF(OFFSET(CRONOPLE!$F$15,$M121-$A$15,CG$13)=0,10^12,OFFSET(CRONOPLE!$F$15,$M121-$A$15,CG$13)))</f>
        <v>15</v>
      </c>
      <c r="CH121" s="171">
        <f ca="1">IF(OR($D121&lt;&gt;"Serviço",AND(AUTOEVENTO="Manual",$M121=$A$15)),0,
         IF(OFFSET(CRONOPLE!$F$15,$M121-$A$15,CH$13)=0,10^12,OFFSET(CRONOPLE!$F$15,$M121-$A$15,CH$13)))</f>
        <v>16</v>
      </c>
      <c r="CI121" s="171">
        <f ca="1">IF(OR($D121&lt;&gt;"Serviço",AND(AUTOEVENTO="Manual",$M121=$A$15)),0,
         IF(OFFSET(CRONOPLE!$F$15,$M121-$A$15,CI$13)=0,10^12,OFFSET(CRONOPLE!$F$15,$M121-$A$15,CI$13)))</f>
        <v>17</v>
      </c>
      <c r="CJ121" s="171">
        <f ca="1">IF(OR($D121&lt;&gt;"Serviço",AND(AUTOEVENTO="Manual",$M121=$A$15)),0,
         IF(OFFSET(CRONOPLE!$F$15,$M121-$A$15,CJ$13)=0,10^12,OFFSET(CRONOPLE!$F$15,$M121-$A$15,CJ$13)))</f>
        <v>18</v>
      </c>
      <c r="CK121" s="171">
        <f ca="1">IF(OR($D121&lt;&gt;"Serviço",AND(AUTOEVENTO="Manual",$M121=$A$15)),0,
         IF(OFFSET(CRONOPLE!$F$15,$M121-$A$15,CK$13)=0,10^12,OFFSET(CRONOPLE!$F$15,$M121-$A$15,CK$13)))</f>
        <v>19</v>
      </c>
      <c r="CL121" s="171">
        <f ca="1">IF(OR($D121&lt;&gt;"Serviço",AND(AUTOEVENTO="Manual",$M121=$A$15)),0,
         IF(OFFSET(CRONOPLE!$F$15,$M121-$A$15,CL$13)=0,10^12,OFFSET(CRONOPLE!$F$15,$M121-$A$15,CL$13)))</f>
        <v>20</v>
      </c>
      <c r="CM121" s="171">
        <f ca="1">IF(OR($D121&lt;&gt;"Serviço",AND(AUTOEVENTO="Manual",$M121=$A$15)),0,
         IF(OFFSET(CRONOPLE!$F$15,$M121-$A$15,CM$13)=0,10^12,OFFSET(CRONOPLE!$F$15,$M121-$A$15,CM$13)))</f>
        <v>1000000000000</v>
      </c>
      <c r="CN121" s="171">
        <f ca="1">IF(OR($D121&lt;&gt;"Serviço",AND(AUTOEVENTO="Manual",$M121=$A$15)),0,
         IF(OFFSET(CRONOPLE!$F$15,$M121-$A$15,CN$13)=0,10^12,OFFSET(CRONOPLE!$F$15,$M121-$A$15,CN$13)))</f>
        <v>1000000000000</v>
      </c>
      <c r="CO121" s="171">
        <f ca="1">IF(OR($D121&lt;&gt;"Serviço",AND(AUTOEVENTO="Manual",$M121=$A$15)),0,
         IF(OFFSET(CRONOPLE!$F$15,$M121-$A$15,CO$13)=0,10^12,OFFSET(CRONOPLE!$F$15,$M121-$A$15,CO$13)))</f>
        <v>1000000000000</v>
      </c>
      <c r="CP121" s="171">
        <f ca="1">IF(OR($D121&lt;&gt;"Serviço",AND(AUTOEVENTO="Manual",$M121=$A$15)),0,
         IF(OFFSET(CRONOPLE!$F$15,$M121-$A$15,CP$13)=0,10^12,OFFSET(CRONOPLE!$F$15,$M121-$A$15,CP$13)))</f>
        <v>1000000000000</v>
      </c>
      <c r="CQ121" s="171">
        <f ca="1">IF(OR($D121&lt;&gt;"Serviço",AND(AUTOEVENTO="Manual",$M121=$A$15)),0,
         IF(OFFSET(CRONOPLE!$F$15,$M121-$A$15,CQ$13)=0,10^12,OFFSET(CRONOPLE!$F$15,$M121-$A$15,CQ$13)))</f>
        <v>1000000000000</v>
      </c>
      <c r="CR121" s="171">
        <f ca="1">IF(OR($D121&lt;&gt;"Serviço",AND(AUTOEVENTO="Manual",$M121=$A$15)),0,
         IF(OFFSET(CRONOPLE!$F$15,$M121-$A$15,CR$13)=0,10^12,OFFSET(CRONOPLE!$F$15,$M121-$A$15,CR$13)))</f>
        <v>1000000000000</v>
      </c>
      <c r="CT121" s="172" cm="1">
        <f t="array" aca="1" ref="CT121" ca="1">IF(OR($D121&lt;&gt;"Serviço",AND(AUTOEVENTO="Manual",$M121=$A$15),$M121&gt;(ROW(PLE.lastrow)-ROW(PLE.firstrow))),0,
           IF(OFFSET(PLE!$G$15,$M121-$A$15,CT$13)="",10^12,OFFSET(PLE!$G$15,$M121-$A$15,CT$13)))</f>
        <v>1000000000000</v>
      </c>
      <c r="CU121" s="172" cm="1">
        <f t="array" aca="1" ref="CU121" ca="1">IF(OR($D121&lt;&gt;"Serviço",AND(AUTOEVENTO="Manual",$M121=$A$15),$M121&gt;(ROW(PLE.lastrow)-ROW(PLE.firstrow))),0,
           IF(OFFSET(PLE!$G$15,$M121-$A$15,CU$13)="",10^12,OFFSET(PLE!$G$15,$M121-$A$15,CU$13)))</f>
        <v>1000000000000</v>
      </c>
      <c r="CV121" s="172" cm="1">
        <f t="array" aca="1" ref="CV121" ca="1">IF(OR($D121&lt;&gt;"Serviço",AND(AUTOEVENTO="Manual",$M121=$A$15),$M121&gt;(ROW(PLE.lastrow)-ROW(PLE.firstrow))),0,
           IF(OFFSET(PLE!$G$15,$M121-$A$15,CV$13)="",10^12,OFFSET(PLE!$G$15,$M121-$A$15,CV$13)))</f>
        <v>1000000000000</v>
      </c>
      <c r="CW121" s="172" cm="1">
        <f t="array" aca="1" ref="CW121" ca="1">IF(OR($D121&lt;&gt;"Serviço",AND(AUTOEVENTO="Manual",$M121=$A$15),$M121&gt;(ROW(PLE.lastrow)-ROW(PLE.firstrow))),0,
           IF(OFFSET(PLE!$G$15,$M121-$A$15,CW$13)="",10^12,OFFSET(PLE!$G$15,$M121-$A$15,CW$13)))</f>
        <v>1000000000000</v>
      </c>
      <c r="CX121" s="172" cm="1">
        <f t="array" aca="1" ref="CX121" ca="1">IF(OR($D121&lt;&gt;"Serviço",AND(AUTOEVENTO="Manual",$M121=$A$15),$M121&gt;(ROW(PLE.lastrow)-ROW(PLE.firstrow))),0,
           IF(OFFSET(PLE!$G$15,$M121-$A$15,CX$13)="",10^12,OFFSET(PLE!$G$15,$M121-$A$15,CX$13)))</f>
        <v>1000000000000</v>
      </c>
      <c r="CY121" s="172" cm="1">
        <f t="array" aca="1" ref="CY121" ca="1">IF(OR($D121&lt;&gt;"Serviço",AND(AUTOEVENTO="Manual",$M121=$A$15),$M121&gt;(ROW(PLE.lastrow)-ROW(PLE.firstrow))),0,
           IF(OFFSET(PLE!$G$15,$M121-$A$15,CY$13)="",10^12,OFFSET(PLE!$G$15,$M121-$A$15,CY$13)))</f>
        <v>1000000000000</v>
      </c>
      <c r="CZ121" s="172" cm="1">
        <f t="array" aca="1" ref="CZ121" ca="1">IF(OR($D121&lt;&gt;"Serviço",AND(AUTOEVENTO="Manual",$M121=$A$15),$M121&gt;(ROW(PLE.lastrow)-ROW(PLE.firstrow))),0,
           IF(OFFSET(PLE!$G$15,$M121-$A$15,CZ$13)="",10^12,OFFSET(PLE!$G$15,$M121-$A$15,CZ$13)))</f>
        <v>1000000000000</v>
      </c>
      <c r="DA121" s="172" cm="1">
        <f t="array" aca="1" ref="DA121" ca="1">IF(OR($D121&lt;&gt;"Serviço",AND(AUTOEVENTO="Manual",$M121=$A$15),$M121&gt;(ROW(PLE.lastrow)-ROW(PLE.firstrow))),0,
           IF(OFFSET(PLE!$G$15,$M121-$A$15,DA$13)="",10^12,OFFSET(PLE!$G$15,$M121-$A$15,DA$13)))</f>
        <v>1000000000000</v>
      </c>
      <c r="DB121" s="172" cm="1">
        <f t="array" aca="1" ref="DB121" ca="1">IF(OR($D121&lt;&gt;"Serviço",AND(AUTOEVENTO="Manual",$M121=$A$15),$M121&gt;(ROW(PLE.lastrow)-ROW(PLE.firstrow))),0,
           IF(OFFSET(PLE!$G$15,$M121-$A$15,DB$13)="",10^12,OFFSET(PLE!$G$15,$M121-$A$15,DB$13)))</f>
        <v>1000000000000</v>
      </c>
      <c r="DC121" s="172" cm="1">
        <f t="array" aca="1" ref="DC121" ca="1">IF(OR($D121&lt;&gt;"Serviço",AND(AUTOEVENTO="Manual",$M121=$A$15),$M121&gt;(ROW(PLE.lastrow)-ROW(PLE.firstrow))),0,
           IF(OFFSET(PLE!$G$15,$M121-$A$15,DC$13)="",10^12,OFFSET(PLE!$G$15,$M121-$A$15,DC$13)))</f>
        <v>1000000000000</v>
      </c>
      <c r="DD121" s="172" cm="1">
        <f t="array" aca="1" ref="DD121" ca="1">IF(OR($D121&lt;&gt;"Serviço",AND(AUTOEVENTO="Manual",$M121=$A$15),$M121&gt;(ROW(PLE.lastrow)-ROW(PLE.firstrow))),0,
           IF(OFFSET(PLE!$G$15,$M121-$A$15,DD$13)="",10^12,OFFSET(PLE!$G$15,$M121-$A$15,DD$13)))</f>
        <v>1000000000000</v>
      </c>
      <c r="DE121" s="172" cm="1">
        <f t="array" aca="1" ref="DE121" ca="1">IF(OR($D121&lt;&gt;"Serviço",AND(AUTOEVENTO="Manual",$M121=$A$15),$M121&gt;(ROW(PLE.lastrow)-ROW(PLE.firstrow))),0,
           IF(OFFSET(PLE!$G$15,$M121-$A$15,DE$13)="",10^12,OFFSET(PLE!$G$15,$M121-$A$15,DE$13)))</f>
        <v>1000000000000</v>
      </c>
      <c r="DF121" s="172" cm="1">
        <f t="array" aca="1" ref="DF121" ca="1">IF(OR($D121&lt;&gt;"Serviço",AND(AUTOEVENTO="Manual",$M121=$A$15),$M121&gt;(ROW(PLE.lastrow)-ROW(PLE.firstrow))),0,
           IF(OFFSET(PLE!$G$15,$M121-$A$15,DF$13)="",10^12,OFFSET(PLE!$G$15,$M121-$A$15,DF$13)))</f>
        <v>1000000000000</v>
      </c>
      <c r="DG121" s="172" cm="1">
        <f t="array" aca="1" ref="DG121" ca="1">IF(OR($D121&lt;&gt;"Serviço",AND(AUTOEVENTO="Manual",$M121=$A$15),$M121&gt;(ROW(PLE.lastrow)-ROW(PLE.firstrow))),0,
           IF(OFFSET(PLE!$G$15,$M121-$A$15,DG$13)="",10^12,OFFSET(PLE!$G$15,$M121-$A$15,DG$13)))</f>
        <v>1000000000000</v>
      </c>
      <c r="DH121" s="172" cm="1">
        <f t="array" aca="1" ref="DH121" ca="1">IF(OR($D121&lt;&gt;"Serviço",AND(AUTOEVENTO="Manual",$M121=$A$15),$M121&gt;(ROW(PLE.lastrow)-ROW(PLE.firstrow))),0,
           IF(OFFSET(PLE!$G$15,$M121-$A$15,DH$13)="",10^12,OFFSET(PLE!$G$15,$M121-$A$15,DH$13)))</f>
        <v>1000000000000</v>
      </c>
      <c r="DI121" s="172" cm="1">
        <f t="array" aca="1" ref="DI121" ca="1">IF(OR($D121&lt;&gt;"Serviço",AND(AUTOEVENTO="Manual",$M121=$A$15),$M121&gt;(ROW(PLE.lastrow)-ROW(PLE.firstrow))),0,
           IF(OFFSET(PLE!$G$15,$M121-$A$15,DI$13)="",10^12,OFFSET(PLE!$G$15,$M121-$A$15,DI$13)))</f>
        <v>1000000000000</v>
      </c>
      <c r="DJ121" s="172" cm="1">
        <f t="array" aca="1" ref="DJ121" ca="1">IF(OR($D121&lt;&gt;"Serviço",AND(AUTOEVENTO="Manual",$M121=$A$15),$M121&gt;(ROW(PLE.lastrow)-ROW(PLE.firstrow))),0,
           IF(OFFSET(PLE!$G$15,$M121-$A$15,DJ$13)="",10^12,OFFSET(PLE!$G$15,$M121-$A$15,DJ$13)))</f>
        <v>1000000000000</v>
      </c>
      <c r="DK121" s="172" cm="1">
        <f t="array" aca="1" ref="DK121" ca="1">IF(OR($D121&lt;&gt;"Serviço",AND(AUTOEVENTO="Manual",$M121=$A$15),$M121&gt;(ROW(PLE.lastrow)-ROW(PLE.firstrow))),0,
           IF(OFFSET(PLE!$G$15,$M121-$A$15,DK$13)="",10^12,OFFSET(PLE!$G$15,$M121-$A$15,DK$13)))</f>
        <v>1000000000000</v>
      </c>
      <c r="DL121" s="172" cm="1">
        <f t="array" aca="1" ref="DL121" ca="1">IF(OR($D121&lt;&gt;"Serviço",AND(AUTOEVENTO="Manual",$M121=$A$15),$M121&gt;(ROW(PLE.lastrow)-ROW(PLE.firstrow))),0,
           IF(OFFSET(PLE!$G$15,$M121-$A$15,DL$13)="",10^12,OFFSET(PLE!$G$15,$M121-$A$15,DL$13)))</f>
        <v>1000000000000</v>
      </c>
      <c r="DM121" s="172" cm="1">
        <f t="array" aca="1" ref="DM121" ca="1">IF(OR($D121&lt;&gt;"Serviço",AND(AUTOEVENTO="Manual",$M121=$A$15),$M121&gt;(ROW(PLE.lastrow)-ROW(PLE.firstrow))),0,
           IF(OFFSET(PLE!$G$15,$M121-$A$15,DM$13)="",10^12,OFFSET(PLE!$G$15,$M121-$A$15,DM$13)))</f>
        <v>1000000000000</v>
      </c>
      <c r="DN121" s="172" cm="1">
        <f t="array" aca="1" ref="DN121" ca="1">IF(OR($D121&lt;&gt;"Serviço",AND(AUTOEVENTO="Manual",$M121=$A$15),$M121&gt;(ROW(PLE.lastrow)-ROW(PLE.firstrow))),0,
           IF(OFFSET(PLE!$G$15,$M121-$A$15,DN$13)="",10^12,OFFSET(PLE!$G$15,$M121-$A$15,DN$13)))</f>
        <v>1000000000000</v>
      </c>
      <c r="DO121" s="172" cm="1">
        <f t="array" aca="1" ref="DO121" ca="1">IF(OR($D121&lt;&gt;"Serviço",AND(AUTOEVENTO="Manual",$M121=$A$15),$M121&gt;(ROW(PLE.lastrow)-ROW(PLE.firstrow))),0,
           IF(OFFSET(PLE!$G$15,$M121-$A$15,DO$13)="",10^12,OFFSET(PLE!$G$15,$M121-$A$15,DO$13)))</f>
        <v>1000000000000</v>
      </c>
      <c r="DP121" s="172" cm="1">
        <f t="array" aca="1" ref="DP121" ca="1">IF(OR($D121&lt;&gt;"Serviço",AND(AUTOEVENTO="Manual",$M121=$A$15),$M121&gt;(ROW(PLE.lastrow)-ROW(PLE.firstrow))),0,
           IF(OFFSET(PLE!$G$15,$M121-$A$15,DP$13)="",10^12,OFFSET(PLE!$G$15,$M121-$A$15,DP$13)))</f>
        <v>1000000000000</v>
      </c>
      <c r="DQ121" s="172" cm="1">
        <f t="array" aca="1" ref="DQ121" ca="1">IF(OR($D121&lt;&gt;"Serviço",AND(AUTOEVENTO="Manual",$M121=$A$15),$M121&gt;(ROW(PLE.lastrow)-ROW(PLE.firstrow))),0,
           IF(OFFSET(PLE!$G$15,$M121-$A$15,DQ$13)="",10^12,OFFSET(PLE!$G$15,$M121-$A$15,DQ$13)))</f>
        <v>1000000000000</v>
      </c>
      <c r="DR121" s="172" cm="1">
        <f t="array" aca="1" ref="DR121" ca="1">IF(OR($D121&lt;&gt;"Serviço",AND(AUTOEVENTO="Manual",$M121=$A$15),$M121&gt;(ROW(PLE.lastrow)-ROW(PLE.firstrow))),0,
           IF(OFFSET(PLE!$G$15,$M121-$A$15,DR$13)="",10^12,OFFSET(PLE!$G$15,$M121-$A$15,DR$13)))</f>
        <v>1000000000000</v>
      </c>
      <c r="DS121" s="172" cm="1">
        <f t="array" aca="1" ref="DS121" ca="1">IF(OR($D121&lt;&gt;"Serviço",AND(AUTOEVENTO="Manual",$M121=$A$15),$M121&gt;(ROW(PLE.lastrow)-ROW(PLE.firstrow))),0,
           IF(OFFSET(PLE!$G$15,$M121-$A$15,DS$13)="",10^12,OFFSET(PLE!$G$15,$M121-$A$15,DS$13)))</f>
        <v>1000000000000</v>
      </c>
    </row>
    <row r="122" spans="1:123" ht="38.25" x14ac:dyDescent="0.2">
      <c r="A122" s="7">
        <f t="shared" ca="1" si="15"/>
        <v>8</v>
      </c>
      <c r="B122" s="7" t="str">
        <f ca="1">OFFSET(ORÇAMENTO!C$15,$L122,0)</f>
        <v>S</v>
      </c>
      <c r="C122" s="7" t="str">
        <f ca="1">OFFSET(ORÇAMENTO!L$15,$L122,0)</f>
        <v/>
      </c>
      <c r="D122" s="116" t="str">
        <f ca="1">OFFSET(ORÇAMENTO!N$15,$L122,0)</f>
        <v>Serviço</v>
      </c>
      <c r="E122" s="117" t="str">
        <f ca="1">OFFSET(ORÇAMENTO!O$15,$L122,0)</f>
        <v>-</v>
      </c>
      <c r="F122" s="163" t="str">
        <f ca="1">OFFSET(ORÇAMENTO!R$15,$L122,0)</f>
        <v>(Código não identificado nas referências)</v>
      </c>
      <c r="G122" s="164" t="str">
        <f ca="1">IF($D122&lt;&gt;"Serviço","",OFFSET(ORÇAMENTO!S$15,$L122,0))</f>
        <v>-</v>
      </c>
      <c r="H122" s="122" cm="1">
        <f t="array" aca="1" ref="H122" ca="1">IF($D122&lt;&gt;"Serviço",0,IF(ACOMPANHAMENTO="BM",ROUND(OFFSET(ORÇAMENTO!AJ$15,$L122,0),15-13*ORÇAMENTO!$AF$7),IF(IFERROR(CÁLCULO.FrentesPreenchidas,0)=0,0,SUM(ROUND(OFFSET($P122,0,1,1,CÁLCULO.FrentesPreenchidas),15-13*ORÇAMENTO!$AF$7)))))</f>
        <v>336.00000000000011</v>
      </c>
      <c r="I122" s="468" t="s">
        <v>1235</v>
      </c>
      <c r="J122" s="651" t="str" cm="1">
        <f t="array" aca="1" ref="J122" ca="1">IF(OR(B122&lt;&gt;"S",CÁLCULO.FrentesPreenchidas=0),"",IF(AND(ACOMPANHAMENTO="PLE",AUTOEVENTO="Manual",OR(H122&gt;0,ORÇAMENTO!AC122="QUANT."),OR(K122="",M122=0,N122="")),"►E",IF(AND(ACOMPANHAMENTO="PLE",ORÇAMENTO!AC122="QUANT."),"►Q",IF(AND(ACOMPANHAMENTO="PLE",H122&lt;&gt;SUMPRODUCT(($Q$1:$AQ$1=1)*ROUND(Q122:AQ122,15))),"►S",IF(AND(COUNTIF($P$11:$AQ$11,"▼")=0,H122&gt;0,I122=""),"◄M","")))))</f>
        <v/>
      </c>
      <c r="K122" s="652" t="s">
        <v>1256</v>
      </c>
      <c r="L122" s="165">
        <f t="shared" ca="1" si="14"/>
        <v>107</v>
      </c>
      <c r="M122" s="166">
        <f ca="1">IF($D122&lt;&gt;"Serviço","",
          IF(AUTOEVENTO="manual",$A122,
                IF(ISERROR(MATCH($A122,$A$15:OFFSET($A122,-1,0),0)),MAX($M$15:OFFSET(M122,-1,0))+1,
                      INDEX($M$15:OFFSET(M122,-1,0),MATCH($A122,$A$15:OFFSET($A122,-1,0),0)))))</f>
        <v>8</v>
      </c>
      <c r="N122" s="167" t="str">
        <f ca="1">IF($D122&lt;&gt;"Serviço","",
         IF(AUTOEVENTO="Manual",
                IF($A122=0,"&lt;-- defina o número do agrupador",
                       OFFSET(EVENTOS!$D$15,$A122-$A$15,0)),
                OFFSET($F$15,$A122,0)))</f>
        <v>PAVIMENTAÇÕES</v>
      </c>
      <c r="O122" s="168"/>
      <c r="Q122" s="168">
        <v>16.8</v>
      </c>
      <c r="R122" s="169">
        <v>16.8</v>
      </c>
      <c r="S122" s="169">
        <v>16.8</v>
      </c>
      <c r="T122" s="169">
        <v>16.8</v>
      </c>
      <c r="U122" s="169">
        <v>16.8</v>
      </c>
      <c r="V122" s="169">
        <v>16.8</v>
      </c>
      <c r="W122" s="169">
        <v>16.8</v>
      </c>
      <c r="X122" s="169">
        <v>16.8</v>
      </c>
      <c r="Y122" s="169">
        <v>16.8</v>
      </c>
      <c r="Z122" s="170">
        <v>16.8</v>
      </c>
      <c r="AA122" s="169">
        <v>16.8</v>
      </c>
      <c r="AB122" s="169">
        <v>16.8</v>
      </c>
      <c r="AC122" s="169">
        <v>16.8</v>
      </c>
      <c r="AD122" s="169">
        <v>16.8</v>
      </c>
      <c r="AE122" s="169">
        <v>16.8</v>
      </c>
      <c r="AF122" s="169">
        <v>16.8</v>
      </c>
      <c r="AG122" s="169">
        <v>16.8</v>
      </c>
      <c r="AH122" s="170">
        <v>16.8</v>
      </c>
      <c r="AI122" s="169">
        <v>16.8</v>
      </c>
      <c r="AJ122" s="169">
        <v>16.8</v>
      </c>
      <c r="AK122" s="169"/>
      <c r="AL122" s="169"/>
      <c r="AM122" s="169"/>
      <c r="AN122" s="169"/>
      <c r="AO122" s="169"/>
      <c r="AP122" s="170"/>
      <c r="AR122" s="453">
        <f ca="1">IF(AND($D122="Serviço",AR$12&lt;&gt;0,$H122&gt;0,OR(AUTOEVENTO&lt;&gt;"manual",$M122&lt;&gt;$A$15)),
        IF(Import.TipoArredondamento&lt;&gt;"TransfereGOV",
              ROUND(OFFSET($P122,0,AR$13),15-13*ORÇAMENTO!$AF$7)/$H122*OFFSET(ORÇAMENTO!$X$15,ROW(AR122)-ROW(AR$15),0),
              ROUND(ROUND(OFFSET($P122,0,AR$13),15-13*ORÇAMENTO!$AF$7)*OFFSET(ORÇAMENTO!$W$15,ROW(AR122)-ROW(AR$15),0),15-13*ORÇAMENTO!$AF$11)),
         0)</f>
        <v>0</v>
      </c>
      <c r="AS122" s="453">
        <f ca="1">IF(AND($D122="Serviço",AS$12&lt;&gt;0,$H122&gt;0,OR(AUTOEVENTO&lt;&gt;"manual",$M122&lt;&gt;$A$15)),
        IF(Import.TipoArredondamento&lt;&gt;"TransfereGOV",
              ROUND(OFFSET($P122,0,AS$13),15-13*ORÇAMENTO!$AF$7)/$H122*OFFSET(ORÇAMENTO!$X$15,ROW(AS122)-ROW(AS$15),0),
              ROUND(ROUND(OFFSET($P122,0,AS$13),15-13*ORÇAMENTO!$AF$7)*OFFSET(ORÇAMENTO!$W$15,ROW(AS122)-ROW(AS$15),0),15-13*ORÇAMENTO!$AF$11)),
         0)</f>
        <v>0</v>
      </c>
      <c r="AT122" s="453">
        <f ca="1">IF(AND($D122="Serviço",AT$12&lt;&gt;0,$H122&gt;0,OR(AUTOEVENTO&lt;&gt;"manual",$M122&lt;&gt;$A$15)),
        IF(Import.TipoArredondamento&lt;&gt;"TransfereGOV",
              ROUND(OFFSET($P122,0,AT$13),15-13*ORÇAMENTO!$AF$7)/$H122*OFFSET(ORÇAMENTO!$X$15,ROW(AT122)-ROW(AT$15),0),
              ROUND(ROUND(OFFSET($P122,0,AT$13),15-13*ORÇAMENTO!$AF$7)*OFFSET(ORÇAMENTO!$W$15,ROW(AT122)-ROW(AT$15),0),15-13*ORÇAMENTO!$AF$11)),
         0)</f>
        <v>0</v>
      </c>
      <c r="AU122" s="453">
        <f ca="1">IF(AND($D122="Serviço",AU$12&lt;&gt;0,$H122&gt;0,OR(AUTOEVENTO&lt;&gt;"manual",$M122&lt;&gt;$A$15)),
        IF(Import.TipoArredondamento&lt;&gt;"TransfereGOV",
              ROUND(OFFSET($P122,0,AU$13),15-13*ORÇAMENTO!$AF$7)/$H122*OFFSET(ORÇAMENTO!$X$15,ROW(AU122)-ROW(AU$15),0),
              ROUND(ROUND(OFFSET($P122,0,AU$13),15-13*ORÇAMENTO!$AF$7)*OFFSET(ORÇAMENTO!$W$15,ROW(AU122)-ROW(AU$15),0),15-13*ORÇAMENTO!$AF$11)),
         0)</f>
        <v>0</v>
      </c>
      <c r="AV122" s="453">
        <f ca="1">IF(AND($D122="Serviço",AV$12&lt;&gt;0,$H122&gt;0,OR(AUTOEVENTO&lt;&gt;"manual",$M122&lt;&gt;$A$15)),
        IF(Import.TipoArredondamento&lt;&gt;"TransfereGOV",
              ROUND(OFFSET($P122,0,AV$13),15-13*ORÇAMENTO!$AF$7)/$H122*OFFSET(ORÇAMENTO!$X$15,ROW(AV122)-ROW(AV$15),0),
              ROUND(ROUND(OFFSET($P122,0,AV$13),15-13*ORÇAMENTO!$AF$7)*OFFSET(ORÇAMENTO!$W$15,ROW(AV122)-ROW(AV$15),0),15-13*ORÇAMENTO!$AF$11)),
         0)</f>
        <v>0</v>
      </c>
      <c r="AW122" s="453">
        <f ca="1">IF(AND($D122="Serviço",AW$12&lt;&gt;0,$H122&gt;0,OR(AUTOEVENTO&lt;&gt;"manual",$M122&lt;&gt;$A$15)),
        IF(Import.TipoArredondamento&lt;&gt;"TransfereGOV",
              ROUND(OFFSET($P122,0,AW$13),15-13*ORÇAMENTO!$AF$7)/$H122*OFFSET(ORÇAMENTO!$X$15,ROW(AW122)-ROW(AW$15),0),
              ROUND(ROUND(OFFSET($P122,0,AW$13),15-13*ORÇAMENTO!$AF$7)*OFFSET(ORÇAMENTO!$W$15,ROW(AW122)-ROW(AW$15),0),15-13*ORÇAMENTO!$AF$11)),
         0)</f>
        <v>0</v>
      </c>
      <c r="AX122" s="453">
        <f ca="1">IF(AND($D122="Serviço",AX$12&lt;&gt;0,$H122&gt;0,OR(AUTOEVENTO&lt;&gt;"manual",$M122&lt;&gt;$A$15)),
        IF(Import.TipoArredondamento&lt;&gt;"TransfereGOV",
              ROUND(OFFSET($P122,0,AX$13),15-13*ORÇAMENTO!$AF$7)/$H122*OFFSET(ORÇAMENTO!$X$15,ROW(AX122)-ROW(AX$15),0),
              ROUND(ROUND(OFFSET($P122,0,AX$13),15-13*ORÇAMENTO!$AF$7)*OFFSET(ORÇAMENTO!$W$15,ROW(AX122)-ROW(AX$15),0),15-13*ORÇAMENTO!$AF$11)),
         0)</f>
        <v>0</v>
      </c>
      <c r="AY122" s="453">
        <f ca="1">IF(AND($D122="Serviço",AY$12&lt;&gt;0,$H122&gt;0,OR(AUTOEVENTO&lt;&gt;"manual",$M122&lt;&gt;$A$15)),
        IF(Import.TipoArredondamento&lt;&gt;"TransfereGOV",
              ROUND(OFFSET($P122,0,AY$13),15-13*ORÇAMENTO!$AF$7)/$H122*OFFSET(ORÇAMENTO!$X$15,ROW(AY122)-ROW(AY$15),0),
              ROUND(ROUND(OFFSET($P122,0,AY$13),15-13*ORÇAMENTO!$AF$7)*OFFSET(ORÇAMENTO!$W$15,ROW(AY122)-ROW(AY$15),0),15-13*ORÇAMENTO!$AF$11)),
         0)</f>
        <v>0</v>
      </c>
      <c r="AZ122" s="453">
        <f ca="1">IF(AND($D122="Serviço",AZ$12&lt;&gt;0,$H122&gt;0,OR(AUTOEVENTO&lt;&gt;"manual",$M122&lt;&gt;$A$15)),
        IF(Import.TipoArredondamento&lt;&gt;"TransfereGOV",
              ROUND(OFFSET($P122,0,AZ$13),15-13*ORÇAMENTO!$AF$7)/$H122*OFFSET(ORÇAMENTO!$X$15,ROW(AZ122)-ROW(AZ$15),0),
              ROUND(ROUND(OFFSET($P122,0,AZ$13),15-13*ORÇAMENTO!$AF$7)*OFFSET(ORÇAMENTO!$W$15,ROW(AZ122)-ROW(AZ$15),0),15-13*ORÇAMENTO!$AF$11)),
         0)</f>
        <v>0</v>
      </c>
      <c r="BA122" s="453">
        <f ca="1">IF(AND($D122="Serviço",BA$12&lt;&gt;0,$H122&gt;0,OR(AUTOEVENTO&lt;&gt;"manual",$M122&lt;&gt;$A$15)),
        IF(Import.TipoArredondamento&lt;&gt;"TransfereGOV",
              ROUND(OFFSET($P122,0,BA$13),15-13*ORÇAMENTO!$AF$7)/$H122*OFFSET(ORÇAMENTO!$X$15,ROW(BA122)-ROW(BA$15),0),
              ROUND(ROUND(OFFSET($P122,0,BA$13),15-13*ORÇAMENTO!$AF$7)*OFFSET(ORÇAMENTO!$W$15,ROW(BA122)-ROW(BA$15),0),15-13*ORÇAMENTO!$AF$11)),
         0)</f>
        <v>0</v>
      </c>
      <c r="BB122" s="453">
        <f ca="1">IF(AND($D122="Serviço",BB$12&lt;&gt;0,$H122&gt;0,OR(AUTOEVENTO&lt;&gt;"manual",$M122&lt;&gt;$A$15)),
        IF(Import.TipoArredondamento&lt;&gt;"TransfereGOV",
              ROUND(OFFSET($P122,0,BB$13),15-13*ORÇAMENTO!$AF$7)/$H122*OFFSET(ORÇAMENTO!$X$15,ROW(BB122)-ROW(BB$15),0),
              ROUND(ROUND(OFFSET($P122,0,BB$13),15-13*ORÇAMENTO!$AF$7)*OFFSET(ORÇAMENTO!$W$15,ROW(BB122)-ROW(BB$15),0),15-13*ORÇAMENTO!$AF$11)),
         0)</f>
        <v>0</v>
      </c>
      <c r="BC122" s="453">
        <f ca="1">IF(AND($D122="Serviço",BC$12&lt;&gt;0,$H122&gt;0,OR(AUTOEVENTO&lt;&gt;"manual",$M122&lt;&gt;$A$15)),
        IF(Import.TipoArredondamento&lt;&gt;"TransfereGOV",
              ROUND(OFFSET($P122,0,BC$13),15-13*ORÇAMENTO!$AF$7)/$H122*OFFSET(ORÇAMENTO!$X$15,ROW(BC122)-ROW(BC$15),0),
              ROUND(ROUND(OFFSET($P122,0,BC$13),15-13*ORÇAMENTO!$AF$7)*OFFSET(ORÇAMENTO!$W$15,ROW(BC122)-ROW(BC$15),0),15-13*ORÇAMENTO!$AF$11)),
         0)</f>
        <v>0</v>
      </c>
      <c r="BD122" s="453">
        <f ca="1">IF(AND($D122="Serviço",BD$12&lt;&gt;0,$H122&gt;0,OR(AUTOEVENTO&lt;&gt;"manual",$M122&lt;&gt;$A$15)),
        IF(Import.TipoArredondamento&lt;&gt;"TransfereGOV",
              ROUND(OFFSET($P122,0,BD$13),15-13*ORÇAMENTO!$AF$7)/$H122*OFFSET(ORÇAMENTO!$X$15,ROW(BD122)-ROW(BD$15),0),
              ROUND(ROUND(OFFSET($P122,0,BD$13),15-13*ORÇAMENTO!$AF$7)*OFFSET(ORÇAMENTO!$W$15,ROW(BD122)-ROW(BD$15),0),15-13*ORÇAMENTO!$AF$11)),
         0)</f>
        <v>0</v>
      </c>
      <c r="BE122" s="453">
        <f ca="1">IF(AND($D122="Serviço",BE$12&lt;&gt;0,$H122&gt;0,OR(AUTOEVENTO&lt;&gt;"manual",$M122&lt;&gt;$A$15)),
        IF(Import.TipoArredondamento&lt;&gt;"TransfereGOV",
              ROUND(OFFSET($P122,0,BE$13),15-13*ORÇAMENTO!$AF$7)/$H122*OFFSET(ORÇAMENTO!$X$15,ROW(BE122)-ROW(BE$15),0),
              ROUND(ROUND(OFFSET($P122,0,BE$13),15-13*ORÇAMENTO!$AF$7)*OFFSET(ORÇAMENTO!$W$15,ROW(BE122)-ROW(BE$15),0),15-13*ORÇAMENTO!$AF$11)),
         0)</f>
        <v>0</v>
      </c>
      <c r="BF122" s="453">
        <f ca="1">IF(AND($D122="Serviço",BF$12&lt;&gt;0,$H122&gt;0,OR(AUTOEVENTO&lt;&gt;"manual",$M122&lt;&gt;$A$15)),
        IF(Import.TipoArredondamento&lt;&gt;"TransfereGOV",
              ROUND(OFFSET($P122,0,BF$13),15-13*ORÇAMENTO!$AF$7)/$H122*OFFSET(ORÇAMENTO!$X$15,ROW(BF122)-ROW(BF$15),0),
              ROUND(ROUND(OFFSET($P122,0,BF$13),15-13*ORÇAMENTO!$AF$7)*OFFSET(ORÇAMENTO!$W$15,ROW(BF122)-ROW(BF$15),0),15-13*ORÇAMENTO!$AF$11)),
         0)</f>
        <v>0</v>
      </c>
      <c r="BG122" s="453">
        <f ca="1">IF(AND($D122="Serviço",BG$12&lt;&gt;0,$H122&gt;0,OR(AUTOEVENTO&lt;&gt;"manual",$M122&lt;&gt;$A$15)),
        IF(Import.TipoArredondamento&lt;&gt;"TransfereGOV",
              ROUND(OFFSET($P122,0,BG$13),15-13*ORÇAMENTO!$AF$7)/$H122*OFFSET(ORÇAMENTO!$X$15,ROW(BG122)-ROW(BG$15),0),
              ROUND(ROUND(OFFSET($P122,0,BG$13),15-13*ORÇAMENTO!$AF$7)*OFFSET(ORÇAMENTO!$W$15,ROW(BG122)-ROW(BG$15),0),15-13*ORÇAMENTO!$AF$11)),
         0)</f>
        <v>0</v>
      </c>
      <c r="BH122" s="453">
        <f ca="1">IF(AND($D122="Serviço",BH$12&lt;&gt;0,$H122&gt;0,OR(AUTOEVENTO&lt;&gt;"manual",$M122&lt;&gt;$A$15)),
        IF(Import.TipoArredondamento&lt;&gt;"TransfereGOV",
              ROUND(OFFSET($P122,0,BH$13),15-13*ORÇAMENTO!$AF$7)/$H122*OFFSET(ORÇAMENTO!$X$15,ROW(BH122)-ROW(BH$15),0),
              ROUND(ROUND(OFFSET($P122,0,BH$13),15-13*ORÇAMENTO!$AF$7)*OFFSET(ORÇAMENTO!$W$15,ROW(BH122)-ROW(BH$15),0),15-13*ORÇAMENTO!$AF$11)),
         0)</f>
        <v>0</v>
      </c>
      <c r="BI122" s="453">
        <f ca="1">IF(AND($D122="Serviço",BI$12&lt;&gt;0,$H122&gt;0,OR(AUTOEVENTO&lt;&gt;"manual",$M122&lt;&gt;$A$15)),
        IF(Import.TipoArredondamento&lt;&gt;"TransfereGOV",
              ROUND(OFFSET($P122,0,BI$13),15-13*ORÇAMENTO!$AF$7)/$H122*OFFSET(ORÇAMENTO!$X$15,ROW(BI122)-ROW(BI$15),0),
              ROUND(ROUND(OFFSET($P122,0,BI$13),15-13*ORÇAMENTO!$AF$7)*OFFSET(ORÇAMENTO!$W$15,ROW(BI122)-ROW(BI$15),0),15-13*ORÇAMENTO!$AF$11)),
         0)</f>
        <v>0</v>
      </c>
      <c r="BJ122" s="453">
        <f ca="1">IF(AND($D122="Serviço",BJ$12&lt;&gt;0,$H122&gt;0,OR(AUTOEVENTO&lt;&gt;"manual",$M122&lt;&gt;$A$15)),
        IF(Import.TipoArredondamento&lt;&gt;"TransfereGOV",
              ROUND(OFFSET($P122,0,BJ$13),15-13*ORÇAMENTO!$AF$7)/$H122*OFFSET(ORÇAMENTO!$X$15,ROW(BJ122)-ROW(BJ$15),0),
              ROUND(ROUND(OFFSET($P122,0,BJ$13),15-13*ORÇAMENTO!$AF$7)*OFFSET(ORÇAMENTO!$W$15,ROW(BJ122)-ROW(BJ$15),0),15-13*ORÇAMENTO!$AF$11)),
         0)</f>
        <v>0</v>
      </c>
      <c r="BK122" s="453">
        <f ca="1">IF(AND($D122="Serviço",BK$12&lt;&gt;0,$H122&gt;0,OR(AUTOEVENTO&lt;&gt;"manual",$M122&lt;&gt;$A$15)),
        IF(Import.TipoArredondamento&lt;&gt;"TransfereGOV",
              ROUND(OFFSET($P122,0,BK$13),15-13*ORÇAMENTO!$AF$7)/$H122*OFFSET(ORÇAMENTO!$X$15,ROW(BK122)-ROW(BK$15),0),
              ROUND(ROUND(OFFSET($P122,0,BK$13),15-13*ORÇAMENTO!$AF$7)*OFFSET(ORÇAMENTO!$W$15,ROW(BK122)-ROW(BK$15),0),15-13*ORÇAMENTO!$AF$11)),
         0)</f>
        <v>0</v>
      </c>
      <c r="BL122" s="453">
        <f ca="1">IF(AND($D122="Serviço",BL$12&lt;&gt;0,$H122&gt;0,OR(AUTOEVENTO&lt;&gt;"manual",$M122&lt;&gt;$A$15)),
        IF(Import.TipoArredondamento&lt;&gt;"TransfereGOV",
              ROUND(OFFSET($P122,0,BL$13),15-13*ORÇAMENTO!$AF$7)/$H122*OFFSET(ORÇAMENTO!$X$15,ROW(BL122)-ROW(BL$15),0),
              ROUND(ROUND(OFFSET($P122,0,BL$13),15-13*ORÇAMENTO!$AF$7)*OFFSET(ORÇAMENTO!$W$15,ROW(BL122)-ROW(BL$15),0),15-13*ORÇAMENTO!$AF$11)),
         0)</f>
        <v>0</v>
      </c>
      <c r="BM122" s="453">
        <f ca="1">IF(AND($D122="Serviço",BM$12&lt;&gt;0,$H122&gt;0,OR(AUTOEVENTO&lt;&gt;"manual",$M122&lt;&gt;$A$15)),
        IF(Import.TipoArredondamento&lt;&gt;"TransfereGOV",
              ROUND(OFFSET($P122,0,BM$13),15-13*ORÇAMENTO!$AF$7)/$H122*OFFSET(ORÇAMENTO!$X$15,ROW(BM122)-ROW(BM$15),0),
              ROUND(ROUND(OFFSET($P122,0,BM$13),15-13*ORÇAMENTO!$AF$7)*OFFSET(ORÇAMENTO!$W$15,ROW(BM122)-ROW(BM$15),0),15-13*ORÇAMENTO!$AF$11)),
         0)</f>
        <v>0</v>
      </c>
      <c r="BN122" s="453">
        <f ca="1">IF(AND($D122="Serviço",BN$12&lt;&gt;0,$H122&gt;0,OR(AUTOEVENTO&lt;&gt;"manual",$M122&lt;&gt;$A$15)),
        IF(Import.TipoArredondamento&lt;&gt;"TransfereGOV",
              ROUND(OFFSET($P122,0,BN$13),15-13*ORÇAMENTO!$AF$7)/$H122*OFFSET(ORÇAMENTO!$X$15,ROW(BN122)-ROW(BN$15),0),
              ROUND(ROUND(OFFSET($P122,0,BN$13),15-13*ORÇAMENTO!$AF$7)*OFFSET(ORÇAMENTO!$W$15,ROW(BN122)-ROW(BN$15),0),15-13*ORÇAMENTO!$AF$11)),
         0)</f>
        <v>0</v>
      </c>
      <c r="BO122" s="453">
        <f ca="1">IF(AND($D122="Serviço",BO$12&lt;&gt;0,$H122&gt;0,OR(AUTOEVENTO&lt;&gt;"manual",$M122&lt;&gt;$A$15)),
        IF(Import.TipoArredondamento&lt;&gt;"TransfereGOV",
              ROUND(OFFSET($P122,0,BO$13),15-13*ORÇAMENTO!$AF$7)/$H122*OFFSET(ORÇAMENTO!$X$15,ROW(BO122)-ROW(BO$15),0),
              ROUND(ROUND(OFFSET($P122,0,BO$13),15-13*ORÇAMENTO!$AF$7)*OFFSET(ORÇAMENTO!$W$15,ROW(BO122)-ROW(BO$15),0),15-13*ORÇAMENTO!$AF$11)),
         0)</f>
        <v>0</v>
      </c>
      <c r="BP122" s="453">
        <f ca="1">IF(AND($D122="Serviço",BP$12&lt;&gt;0,$H122&gt;0,OR(AUTOEVENTO&lt;&gt;"manual",$M122&lt;&gt;$A$15)),
        IF(Import.TipoArredondamento&lt;&gt;"TransfereGOV",
              ROUND(OFFSET($P122,0,BP$13),15-13*ORÇAMENTO!$AF$7)/$H122*OFFSET(ORÇAMENTO!$X$15,ROW(BP122)-ROW(BP$15),0),
              ROUND(ROUND(OFFSET($P122,0,BP$13),15-13*ORÇAMENTO!$AF$7)*OFFSET(ORÇAMENTO!$W$15,ROW(BP122)-ROW(BP$15),0),15-13*ORÇAMENTO!$AF$11)),
         0)</f>
        <v>0</v>
      </c>
      <c r="BQ122" s="453">
        <f ca="1">IF(AND($D122="Serviço",BQ$12&lt;&gt;0,$H122&gt;0,OR(AUTOEVENTO&lt;&gt;"manual",$M122&lt;&gt;$A$15)),
        IF(Import.TipoArredondamento&lt;&gt;"TransfereGOV",
              ROUND(OFFSET($P122,0,BQ$13),15-13*ORÇAMENTO!$AF$7)/$H122*OFFSET(ORÇAMENTO!$X$15,ROW(BQ122)-ROW(BQ$15),0),
              ROUND(ROUND(OFFSET($P122,0,BQ$13),15-13*ORÇAMENTO!$AF$7)*OFFSET(ORÇAMENTO!$W$15,ROW(BQ122)-ROW(BQ$15),0),15-13*ORÇAMENTO!$AF$11)),
         0)</f>
        <v>0</v>
      </c>
      <c r="BS122" s="171">
        <f ca="1">IF(OR($D122&lt;&gt;"Serviço",AND(AUTOEVENTO="Manual",$M122=$A$15)),0,
         IF(OFFSET(CRONOPLE!$F$15,$M122-$A$15,BS$13)=0,10^12,OFFSET(CRONOPLE!$F$15,$M122-$A$15,BS$13)))</f>
        <v>1</v>
      </c>
      <c r="BT122" s="171">
        <f ca="1">IF(OR($D122&lt;&gt;"Serviço",AND(AUTOEVENTO="Manual",$M122=$A$15)),0,
         IF(OFFSET(CRONOPLE!$F$15,$M122-$A$15,BT$13)=0,10^12,OFFSET(CRONOPLE!$F$15,$M122-$A$15,BT$13)))</f>
        <v>2</v>
      </c>
      <c r="BU122" s="171">
        <f ca="1">IF(OR($D122&lt;&gt;"Serviço",AND(AUTOEVENTO="Manual",$M122=$A$15)),0,
         IF(OFFSET(CRONOPLE!$F$15,$M122-$A$15,BU$13)=0,10^12,OFFSET(CRONOPLE!$F$15,$M122-$A$15,BU$13)))</f>
        <v>3</v>
      </c>
      <c r="BV122" s="171">
        <f ca="1">IF(OR($D122&lt;&gt;"Serviço",AND(AUTOEVENTO="Manual",$M122=$A$15)),0,
         IF(OFFSET(CRONOPLE!$F$15,$M122-$A$15,BV$13)=0,10^12,OFFSET(CRONOPLE!$F$15,$M122-$A$15,BV$13)))</f>
        <v>4</v>
      </c>
      <c r="BW122" s="171">
        <f ca="1">IF(OR($D122&lt;&gt;"Serviço",AND(AUTOEVENTO="Manual",$M122=$A$15)),0,
         IF(OFFSET(CRONOPLE!$F$15,$M122-$A$15,BW$13)=0,10^12,OFFSET(CRONOPLE!$F$15,$M122-$A$15,BW$13)))</f>
        <v>5</v>
      </c>
      <c r="BX122" s="171">
        <f ca="1">IF(OR($D122&lt;&gt;"Serviço",AND(AUTOEVENTO="Manual",$M122=$A$15)),0,
         IF(OFFSET(CRONOPLE!$F$15,$M122-$A$15,BX$13)=0,10^12,OFFSET(CRONOPLE!$F$15,$M122-$A$15,BX$13)))</f>
        <v>6</v>
      </c>
      <c r="BY122" s="171">
        <f ca="1">IF(OR($D122&lt;&gt;"Serviço",AND(AUTOEVENTO="Manual",$M122=$A$15)),0,
         IF(OFFSET(CRONOPLE!$F$15,$M122-$A$15,BY$13)=0,10^12,OFFSET(CRONOPLE!$F$15,$M122-$A$15,BY$13)))</f>
        <v>7</v>
      </c>
      <c r="BZ122" s="171">
        <f ca="1">IF(OR($D122&lt;&gt;"Serviço",AND(AUTOEVENTO="Manual",$M122=$A$15)),0,
         IF(OFFSET(CRONOPLE!$F$15,$M122-$A$15,BZ$13)=0,10^12,OFFSET(CRONOPLE!$F$15,$M122-$A$15,BZ$13)))</f>
        <v>8</v>
      </c>
      <c r="CA122" s="171">
        <f ca="1">IF(OR($D122&lt;&gt;"Serviço",AND(AUTOEVENTO="Manual",$M122=$A$15)),0,
         IF(OFFSET(CRONOPLE!$F$15,$M122-$A$15,CA$13)=0,10^12,OFFSET(CRONOPLE!$F$15,$M122-$A$15,CA$13)))</f>
        <v>9</v>
      </c>
      <c r="CB122" s="171">
        <f ca="1">IF(OR($D122&lt;&gt;"Serviço",AND(AUTOEVENTO="Manual",$M122=$A$15)),0,
         IF(OFFSET(CRONOPLE!$F$15,$M122-$A$15,CB$13)=0,10^12,OFFSET(CRONOPLE!$F$15,$M122-$A$15,CB$13)))</f>
        <v>10</v>
      </c>
      <c r="CC122" s="171">
        <f ca="1">IF(OR($D122&lt;&gt;"Serviço",AND(AUTOEVENTO="Manual",$M122=$A$15)),0,
         IF(OFFSET(CRONOPLE!$F$15,$M122-$A$15,CC$13)=0,10^12,OFFSET(CRONOPLE!$F$15,$M122-$A$15,CC$13)))</f>
        <v>11</v>
      </c>
      <c r="CD122" s="171">
        <f ca="1">IF(OR($D122&lt;&gt;"Serviço",AND(AUTOEVENTO="Manual",$M122=$A$15)),0,
         IF(OFFSET(CRONOPLE!$F$15,$M122-$A$15,CD$13)=0,10^12,OFFSET(CRONOPLE!$F$15,$M122-$A$15,CD$13)))</f>
        <v>12</v>
      </c>
      <c r="CE122" s="171">
        <f ca="1">IF(OR($D122&lt;&gt;"Serviço",AND(AUTOEVENTO="Manual",$M122=$A$15)),0,
         IF(OFFSET(CRONOPLE!$F$15,$M122-$A$15,CE$13)=0,10^12,OFFSET(CRONOPLE!$F$15,$M122-$A$15,CE$13)))</f>
        <v>13</v>
      </c>
      <c r="CF122" s="171">
        <f ca="1">IF(OR($D122&lt;&gt;"Serviço",AND(AUTOEVENTO="Manual",$M122=$A$15)),0,
         IF(OFFSET(CRONOPLE!$F$15,$M122-$A$15,CF$13)=0,10^12,OFFSET(CRONOPLE!$F$15,$M122-$A$15,CF$13)))</f>
        <v>14</v>
      </c>
      <c r="CG122" s="171">
        <f ca="1">IF(OR($D122&lt;&gt;"Serviço",AND(AUTOEVENTO="Manual",$M122=$A$15)),0,
         IF(OFFSET(CRONOPLE!$F$15,$M122-$A$15,CG$13)=0,10^12,OFFSET(CRONOPLE!$F$15,$M122-$A$15,CG$13)))</f>
        <v>15</v>
      </c>
      <c r="CH122" s="171">
        <f ca="1">IF(OR($D122&lt;&gt;"Serviço",AND(AUTOEVENTO="Manual",$M122=$A$15)),0,
         IF(OFFSET(CRONOPLE!$F$15,$M122-$A$15,CH$13)=0,10^12,OFFSET(CRONOPLE!$F$15,$M122-$A$15,CH$13)))</f>
        <v>16</v>
      </c>
      <c r="CI122" s="171">
        <f ca="1">IF(OR($D122&lt;&gt;"Serviço",AND(AUTOEVENTO="Manual",$M122=$A$15)),0,
         IF(OFFSET(CRONOPLE!$F$15,$M122-$A$15,CI$13)=0,10^12,OFFSET(CRONOPLE!$F$15,$M122-$A$15,CI$13)))</f>
        <v>17</v>
      </c>
      <c r="CJ122" s="171">
        <f ca="1">IF(OR($D122&lt;&gt;"Serviço",AND(AUTOEVENTO="Manual",$M122=$A$15)),0,
         IF(OFFSET(CRONOPLE!$F$15,$M122-$A$15,CJ$13)=0,10^12,OFFSET(CRONOPLE!$F$15,$M122-$A$15,CJ$13)))</f>
        <v>18</v>
      </c>
      <c r="CK122" s="171">
        <f ca="1">IF(OR($D122&lt;&gt;"Serviço",AND(AUTOEVENTO="Manual",$M122=$A$15)),0,
         IF(OFFSET(CRONOPLE!$F$15,$M122-$A$15,CK$13)=0,10^12,OFFSET(CRONOPLE!$F$15,$M122-$A$15,CK$13)))</f>
        <v>19</v>
      </c>
      <c r="CL122" s="171">
        <f ca="1">IF(OR($D122&lt;&gt;"Serviço",AND(AUTOEVENTO="Manual",$M122=$A$15)),0,
         IF(OFFSET(CRONOPLE!$F$15,$M122-$A$15,CL$13)=0,10^12,OFFSET(CRONOPLE!$F$15,$M122-$A$15,CL$13)))</f>
        <v>20</v>
      </c>
      <c r="CM122" s="171">
        <f ca="1">IF(OR($D122&lt;&gt;"Serviço",AND(AUTOEVENTO="Manual",$M122=$A$15)),0,
         IF(OFFSET(CRONOPLE!$F$15,$M122-$A$15,CM$13)=0,10^12,OFFSET(CRONOPLE!$F$15,$M122-$A$15,CM$13)))</f>
        <v>1000000000000</v>
      </c>
      <c r="CN122" s="171">
        <f ca="1">IF(OR($D122&lt;&gt;"Serviço",AND(AUTOEVENTO="Manual",$M122=$A$15)),0,
         IF(OFFSET(CRONOPLE!$F$15,$M122-$A$15,CN$13)=0,10^12,OFFSET(CRONOPLE!$F$15,$M122-$A$15,CN$13)))</f>
        <v>1000000000000</v>
      </c>
      <c r="CO122" s="171">
        <f ca="1">IF(OR($D122&lt;&gt;"Serviço",AND(AUTOEVENTO="Manual",$M122=$A$15)),0,
         IF(OFFSET(CRONOPLE!$F$15,$M122-$A$15,CO$13)=0,10^12,OFFSET(CRONOPLE!$F$15,$M122-$A$15,CO$13)))</f>
        <v>1000000000000</v>
      </c>
      <c r="CP122" s="171">
        <f ca="1">IF(OR($D122&lt;&gt;"Serviço",AND(AUTOEVENTO="Manual",$M122=$A$15)),0,
         IF(OFFSET(CRONOPLE!$F$15,$M122-$A$15,CP$13)=0,10^12,OFFSET(CRONOPLE!$F$15,$M122-$A$15,CP$13)))</f>
        <v>1000000000000</v>
      </c>
      <c r="CQ122" s="171">
        <f ca="1">IF(OR($D122&lt;&gt;"Serviço",AND(AUTOEVENTO="Manual",$M122=$A$15)),0,
         IF(OFFSET(CRONOPLE!$F$15,$M122-$A$15,CQ$13)=0,10^12,OFFSET(CRONOPLE!$F$15,$M122-$A$15,CQ$13)))</f>
        <v>1000000000000</v>
      </c>
      <c r="CR122" s="171">
        <f ca="1">IF(OR($D122&lt;&gt;"Serviço",AND(AUTOEVENTO="Manual",$M122=$A$15)),0,
         IF(OFFSET(CRONOPLE!$F$15,$M122-$A$15,CR$13)=0,10^12,OFFSET(CRONOPLE!$F$15,$M122-$A$15,CR$13)))</f>
        <v>1000000000000</v>
      </c>
      <c r="CT122" s="172" cm="1">
        <f t="array" aca="1" ref="CT122" ca="1">IF(OR($D122&lt;&gt;"Serviço",AND(AUTOEVENTO="Manual",$M122=$A$15),$M122&gt;(ROW(PLE.lastrow)-ROW(PLE.firstrow))),0,
           IF(OFFSET(PLE!$G$15,$M122-$A$15,CT$13)="",10^12,OFFSET(PLE!$G$15,$M122-$A$15,CT$13)))</f>
        <v>1000000000000</v>
      </c>
      <c r="CU122" s="172" cm="1">
        <f t="array" aca="1" ref="CU122" ca="1">IF(OR($D122&lt;&gt;"Serviço",AND(AUTOEVENTO="Manual",$M122=$A$15),$M122&gt;(ROW(PLE.lastrow)-ROW(PLE.firstrow))),0,
           IF(OFFSET(PLE!$G$15,$M122-$A$15,CU$13)="",10^12,OFFSET(PLE!$G$15,$M122-$A$15,CU$13)))</f>
        <v>1000000000000</v>
      </c>
      <c r="CV122" s="172" cm="1">
        <f t="array" aca="1" ref="CV122" ca="1">IF(OR($D122&lt;&gt;"Serviço",AND(AUTOEVENTO="Manual",$M122=$A$15),$M122&gt;(ROW(PLE.lastrow)-ROW(PLE.firstrow))),0,
           IF(OFFSET(PLE!$G$15,$M122-$A$15,CV$13)="",10^12,OFFSET(PLE!$G$15,$M122-$A$15,CV$13)))</f>
        <v>1000000000000</v>
      </c>
      <c r="CW122" s="172" cm="1">
        <f t="array" aca="1" ref="CW122" ca="1">IF(OR($D122&lt;&gt;"Serviço",AND(AUTOEVENTO="Manual",$M122=$A$15),$M122&gt;(ROW(PLE.lastrow)-ROW(PLE.firstrow))),0,
           IF(OFFSET(PLE!$G$15,$M122-$A$15,CW$13)="",10^12,OFFSET(PLE!$G$15,$M122-$A$15,CW$13)))</f>
        <v>1000000000000</v>
      </c>
      <c r="CX122" s="172" cm="1">
        <f t="array" aca="1" ref="CX122" ca="1">IF(OR($D122&lt;&gt;"Serviço",AND(AUTOEVENTO="Manual",$M122=$A$15),$M122&gt;(ROW(PLE.lastrow)-ROW(PLE.firstrow))),0,
           IF(OFFSET(PLE!$G$15,$M122-$A$15,CX$13)="",10^12,OFFSET(PLE!$G$15,$M122-$A$15,CX$13)))</f>
        <v>1000000000000</v>
      </c>
      <c r="CY122" s="172" cm="1">
        <f t="array" aca="1" ref="CY122" ca="1">IF(OR($D122&lt;&gt;"Serviço",AND(AUTOEVENTO="Manual",$M122=$A$15),$M122&gt;(ROW(PLE.lastrow)-ROW(PLE.firstrow))),0,
           IF(OFFSET(PLE!$G$15,$M122-$A$15,CY$13)="",10^12,OFFSET(PLE!$G$15,$M122-$A$15,CY$13)))</f>
        <v>1000000000000</v>
      </c>
      <c r="CZ122" s="172" cm="1">
        <f t="array" aca="1" ref="CZ122" ca="1">IF(OR($D122&lt;&gt;"Serviço",AND(AUTOEVENTO="Manual",$M122=$A$15),$M122&gt;(ROW(PLE.lastrow)-ROW(PLE.firstrow))),0,
           IF(OFFSET(PLE!$G$15,$M122-$A$15,CZ$13)="",10^12,OFFSET(PLE!$G$15,$M122-$A$15,CZ$13)))</f>
        <v>1000000000000</v>
      </c>
      <c r="DA122" s="172" cm="1">
        <f t="array" aca="1" ref="DA122" ca="1">IF(OR($D122&lt;&gt;"Serviço",AND(AUTOEVENTO="Manual",$M122=$A$15),$M122&gt;(ROW(PLE.lastrow)-ROW(PLE.firstrow))),0,
           IF(OFFSET(PLE!$G$15,$M122-$A$15,DA$13)="",10^12,OFFSET(PLE!$G$15,$M122-$A$15,DA$13)))</f>
        <v>1000000000000</v>
      </c>
      <c r="DB122" s="172" cm="1">
        <f t="array" aca="1" ref="DB122" ca="1">IF(OR($D122&lt;&gt;"Serviço",AND(AUTOEVENTO="Manual",$M122=$A$15),$M122&gt;(ROW(PLE.lastrow)-ROW(PLE.firstrow))),0,
           IF(OFFSET(PLE!$G$15,$M122-$A$15,DB$13)="",10^12,OFFSET(PLE!$G$15,$M122-$A$15,DB$13)))</f>
        <v>1000000000000</v>
      </c>
      <c r="DC122" s="172" cm="1">
        <f t="array" aca="1" ref="DC122" ca="1">IF(OR($D122&lt;&gt;"Serviço",AND(AUTOEVENTO="Manual",$M122=$A$15),$M122&gt;(ROW(PLE.lastrow)-ROW(PLE.firstrow))),0,
           IF(OFFSET(PLE!$G$15,$M122-$A$15,DC$13)="",10^12,OFFSET(PLE!$G$15,$M122-$A$15,DC$13)))</f>
        <v>1000000000000</v>
      </c>
      <c r="DD122" s="172" cm="1">
        <f t="array" aca="1" ref="DD122" ca="1">IF(OR($D122&lt;&gt;"Serviço",AND(AUTOEVENTO="Manual",$M122=$A$15),$M122&gt;(ROW(PLE.lastrow)-ROW(PLE.firstrow))),0,
           IF(OFFSET(PLE!$G$15,$M122-$A$15,DD$13)="",10^12,OFFSET(PLE!$G$15,$M122-$A$15,DD$13)))</f>
        <v>1000000000000</v>
      </c>
      <c r="DE122" s="172" cm="1">
        <f t="array" aca="1" ref="DE122" ca="1">IF(OR($D122&lt;&gt;"Serviço",AND(AUTOEVENTO="Manual",$M122=$A$15),$M122&gt;(ROW(PLE.lastrow)-ROW(PLE.firstrow))),0,
           IF(OFFSET(PLE!$G$15,$M122-$A$15,DE$13)="",10^12,OFFSET(PLE!$G$15,$M122-$A$15,DE$13)))</f>
        <v>1000000000000</v>
      </c>
      <c r="DF122" s="172" cm="1">
        <f t="array" aca="1" ref="DF122" ca="1">IF(OR($D122&lt;&gt;"Serviço",AND(AUTOEVENTO="Manual",$M122=$A$15),$M122&gt;(ROW(PLE.lastrow)-ROW(PLE.firstrow))),0,
           IF(OFFSET(PLE!$G$15,$M122-$A$15,DF$13)="",10^12,OFFSET(PLE!$G$15,$M122-$A$15,DF$13)))</f>
        <v>1000000000000</v>
      </c>
      <c r="DG122" s="172" cm="1">
        <f t="array" aca="1" ref="DG122" ca="1">IF(OR($D122&lt;&gt;"Serviço",AND(AUTOEVENTO="Manual",$M122=$A$15),$M122&gt;(ROW(PLE.lastrow)-ROW(PLE.firstrow))),0,
           IF(OFFSET(PLE!$G$15,$M122-$A$15,DG$13)="",10^12,OFFSET(PLE!$G$15,$M122-$A$15,DG$13)))</f>
        <v>1000000000000</v>
      </c>
      <c r="DH122" s="172" cm="1">
        <f t="array" aca="1" ref="DH122" ca="1">IF(OR($D122&lt;&gt;"Serviço",AND(AUTOEVENTO="Manual",$M122=$A$15),$M122&gt;(ROW(PLE.lastrow)-ROW(PLE.firstrow))),0,
           IF(OFFSET(PLE!$G$15,$M122-$A$15,DH$13)="",10^12,OFFSET(PLE!$G$15,$M122-$A$15,DH$13)))</f>
        <v>1000000000000</v>
      </c>
      <c r="DI122" s="172" cm="1">
        <f t="array" aca="1" ref="DI122" ca="1">IF(OR($D122&lt;&gt;"Serviço",AND(AUTOEVENTO="Manual",$M122=$A$15),$M122&gt;(ROW(PLE.lastrow)-ROW(PLE.firstrow))),0,
           IF(OFFSET(PLE!$G$15,$M122-$A$15,DI$13)="",10^12,OFFSET(PLE!$G$15,$M122-$A$15,DI$13)))</f>
        <v>1000000000000</v>
      </c>
      <c r="DJ122" s="172" cm="1">
        <f t="array" aca="1" ref="DJ122" ca="1">IF(OR($D122&lt;&gt;"Serviço",AND(AUTOEVENTO="Manual",$M122=$A$15),$M122&gt;(ROW(PLE.lastrow)-ROW(PLE.firstrow))),0,
           IF(OFFSET(PLE!$G$15,$M122-$A$15,DJ$13)="",10^12,OFFSET(PLE!$G$15,$M122-$A$15,DJ$13)))</f>
        <v>1000000000000</v>
      </c>
      <c r="DK122" s="172" cm="1">
        <f t="array" aca="1" ref="DK122" ca="1">IF(OR($D122&lt;&gt;"Serviço",AND(AUTOEVENTO="Manual",$M122=$A$15),$M122&gt;(ROW(PLE.lastrow)-ROW(PLE.firstrow))),0,
           IF(OFFSET(PLE!$G$15,$M122-$A$15,DK$13)="",10^12,OFFSET(PLE!$G$15,$M122-$A$15,DK$13)))</f>
        <v>1000000000000</v>
      </c>
      <c r="DL122" s="172" cm="1">
        <f t="array" aca="1" ref="DL122" ca="1">IF(OR($D122&lt;&gt;"Serviço",AND(AUTOEVENTO="Manual",$M122=$A$15),$M122&gt;(ROW(PLE.lastrow)-ROW(PLE.firstrow))),0,
           IF(OFFSET(PLE!$G$15,$M122-$A$15,DL$13)="",10^12,OFFSET(PLE!$G$15,$M122-$A$15,DL$13)))</f>
        <v>1000000000000</v>
      </c>
      <c r="DM122" s="172" cm="1">
        <f t="array" aca="1" ref="DM122" ca="1">IF(OR($D122&lt;&gt;"Serviço",AND(AUTOEVENTO="Manual",$M122=$A$15),$M122&gt;(ROW(PLE.lastrow)-ROW(PLE.firstrow))),0,
           IF(OFFSET(PLE!$G$15,$M122-$A$15,DM$13)="",10^12,OFFSET(PLE!$G$15,$M122-$A$15,DM$13)))</f>
        <v>1000000000000</v>
      </c>
      <c r="DN122" s="172" cm="1">
        <f t="array" aca="1" ref="DN122" ca="1">IF(OR($D122&lt;&gt;"Serviço",AND(AUTOEVENTO="Manual",$M122=$A$15),$M122&gt;(ROW(PLE.lastrow)-ROW(PLE.firstrow))),0,
           IF(OFFSET(PLE!$G$15,$M122-$A$15,DN$13)="",10^12,OFFSET(PLE!$G$15,$M122-$A$15,DN$13)))</f>
        <v>1000000000000</v>
      </c>
      <c r="DO122" s="172" cm="1">
        <f t="array" aca="1" ref="DO122" ca="1">IF(OR($D122&lt;&gt;"Serviço",AND(AUTOEVENTO="Manual",$M122=$A$15),$M122&gt;(ROW(PLE.lastrow)-ROW(PLE.firstrow))),0,
           IF(OFFSET(PLE!$G$15,$M122-$A$15,DO$13)="",10^12,OFFSET(PLE!$G$15,$M122-$A$15,DO$13)))</f>
        <v>1000000000000</v>
      </c>
      <c r="DP122" s="172" cm="1">
        <f t="array" aca="1" ref="DP122" ca="1">IF(OR($D122&lt;&gt;"Serviço",AND(AUTOEVENTO="Manual",$M122=$A$15),$M122&gt;(ROW(PLE.lastrow)-ROW(PLE.firstrow))),0,
           IF(OFFSET(PLE!$G$15,$M122-$A$15,DP$13)="",10^12,OFFSET(PLE!$G$15,$M122-$A$15,DP$13)))</f>
        <v>1000000000000</v>
      </c>
      <c r="DQ122" s="172" cm="1">
        <f t="array" aca="1" ref="DQ122" ca="1">IF(OR($D122&lt;&gt;"Serviço",AND(AUTOEVENTO="Manual",$M122=$A$15),$M122&gt;(ROW(PLE.lastrow)-ROW(PLE.firstrow))),0,
           IF(OFFSET(PLE!$G$15,$M122-$A$15,DQ$13)="",10^12,OFFSET(PLE!$G$15,$M122-$A$15,DQ$13)))</f>
        <v>1000000000000</v>
      </c>
      <c r="DR122" s="172" cm="1">
        <f t="array" aca="1" ref="DR122" ca="1">IF(OR($D122&lt;&gt;"Serviço",AND(AUTOEVENTO="Manual",$M122=$A$15),$M122&gt;(ROW(PLE.lastrow)-ROW(PLE.firstrow))),0,
           IF(OFFSET(PLE!$G$15,$M122-$A$15,DR$13)="",10^12,OFFSET(PLE!$G$15,$M122-$A$15,DR$13)))</f>
        <v>1000000000000</v>
      </c>
      <c r="DS122" s="172" cm="1">
        <f t="array" aca="1" ref="DS122" ca="1">IF(OR($D122&lt;&gt;"Serviço",AND(AUTOEVENTO="Manual",$M122=$A$15),$M122&gt;(ROW(PLE.lastrow)-ROW(PLE.firstrow))),0,
           IF(OFFSET(PLE!$G$15,$M122-$A$15,DS$13)="",10^12,OFFSET(PLE!$G$15,$M122-$A$15,DS$13)))</f>
        <v>1000000000000</v>
      </c>
    </row>
    <row r="123" spans="1:123" ht="38.25" x14ac:dyDescent="0.2">
      <c r="A123" s="7">
        <f t="shared" ca="1" si="15"/>
        <v>8</v>
      </c>
      <c r="B123" s="7" t="str">
        <f ca="1">OFFSET(ORÇAMENTO!C$15,$L123,0)</f>
        <v>S</v>
      </c>
      <c r="C123" s="7" t="str">
        <f ca="1">OFFSET(ORÇAMENTO!L$15,$L123,0)</f>
        <v/>
      </c>
      <c r="D123" s="116" t="str">
        <f ca="1">OFFSET(ORÇAMENTO!N$15,$L123,0)</f>
        <v>Serviço</v>
      </c>
      <c r="E123" s="117" t="str">
        <f ca="1">OFFSET(ORÇAMENTO!O$15,$L123,0)</f>
        <v>-</v>
      </c>
      <c r="F123" s="163" t="str">
        <f ca="1">OFFSET(ORÇAMENTO!R$15,$L123,0)</f>
        <v>(Código não identificado nas referências)</v>
      </c>
      <c r="G123" s="164" t="str">
        <f ca="1">IF($D123&lt;&gt;"Serviço","",OFFSET(ORÇAMENTO!S$15,$L123,0))</f>
        <v>-</v>
      </c>
      <c r="H123" s="122" cm="1">
        <f t="array" aca="1" ref="H123" ca="1">IF($D123&lt;&gt;"Serviço",0,IF(ACOMPANHAMENTO="BM",ROUND(OFFSET(ORÇAMENTO!AJ$15,$L123,0),15-13*ORÇAMENTO!$AF$7),IF(IFERROR(CÁLCULO.FrentesPreenchidas,0)=0,0,SUM(ROUND(OFFSET($P123,0,1,1,CÁLCULO.FrentesPreenchidas),15-13*ORÇAMENTO!$AF$7)))))</f>
        <v>382.00000000000011</v>
      </c>
      <c r="I123" s="468" t="s">
        <v>1235</v>
      </c>
      <c r="J123" s="651" t="str" cm="1">
        <f t="array" aca="1" ref="J123" ca="1">IF(OR(B123&lt;&gt;"S",CÁLCULO.FrentesPreenchidas=0),"",IF(AND(ACOMPANHAMENTO="PLE",AUTOEVENTO="Manual",OR(H123&gt;0,ORÇAMENTO!AC123="QUANT."),OR(K123="",M123=0,N123="")),"►E",IF(AND(ACOMPANHAMENTO="PLE",ORÇAMENTO!AC123="QUANT."),"►Q",IF(AND(ACOMPANHAMENTO="PLE",H123&lt;&gt;SUMPRODUCT(($Q$1:$AQ$1=1)*ROUND(Q123:AQ123,15))),"►S",IF(AND(COUNTIF($P$11:$AQ$11,"▼")=0,H123&gt;0,I123=""),"◄M","")))))</f>
        <v/>
      </c>
      <c r="K123" s="652" t="s">
        <v>1256</v>
      </c>
      <c r="L123" s="165">
        <f t="shared" ca="1" si="14"/>
        <v>108</v>
      </c>
      <c r="M123" s="166">
        <f ca="1">IF($D123&lt;&gt;"Serviço","",
          IF(AUTOEVENTO="manual",$A123,
                IF(ISERROR(MATCH($A123,$A$15:OFFSET($A123,-1,0),0)),MAX($M$15:OFFSET(M123,-1,0))+1,
                      INDEX($M$15:OFFSET(M123,-1,0),MATCH($A123,$A$15:OFFSET($A123,-1,0),0)))))</f>
        <v>8</v>
      </c>
      <c r="N123" s="167" t="str">
        <f ca="1">IF($D123&lt;&gt;"Serviço","",
         IF(AUTOEVENTO="Manual",
                IF($A123=0,"&lt;-- defina o número do agrupador",
                       OFFSET(EVENTOS!$D$15,$A123-$A$15,0)),
                OFFSET($F$15,$A123,0)))</f>
        <v>PAVIMENTAÇÕES</v>
      </c>
      <c r="O123" s="168"/>
      <c r="Q123" s="168">
        <v>19.100000000000001</v>
      </c>
      <c r="R123" s="169">
        <v>19.100000000000001</v>
      </c>
      <c r="S123" s="169">
        <v>19.100000000000001</v>
      </c>
      <c r="T123" s="169">
        <v>19.100000000000001</v>
      </c>
      <c r="U123" s="169">
        <v>19.100000000000001</v>
      </c>
      <c r="V123" s="169">
        <v>19.100000000000001</v>
      </c>
      <c r="W123" s="169">
        <v>19.100000000000001</v>
      </c>
      <c r="X123" s="169">
        <v>19.100000000000001</v>
      </c>
      <c r="Y123" s="169">
        <v>19.100000000000001</v>
      </c>
      <c r="Z123" s="170">
        <v>19.100000000000001</v>
      </c>
      <c r="AA123" s="169">
        <v>19.100000000000001</v>
      </c>
      <c r="AB123" s="169">
        <v>19.100000000000001</v>
      </c>
      <c r="AC123" s="169">
        <v>19.100000000000001</v>
      </c>
      <c r="AD123" s="169">
        <v>19.100000000000001</v>
      </c>
      <c r="AE123" s="169">
        <v>19.100000000000001</v>
      </c>
      <c r="AF123" s="169">
        <v>19.100000000000001</v>
      </c>
      <c r="AG123" s="169">
        <v>19.100000000000001</v>
      </c>
      <c r="AH123" s="170">
        <v>19.100000000000001</v>
      </c>
      <c r="AI123" s="169">
        <v>19.100000000000001</v>
      </c>
      <c r="AJ123" s="169">
        <v>19.100000000000001</v>
      </c>
      <c r="AK123" s="169"/>
      <c r="AL123" s="169"/>
      <c r="AM123" s="169"/>
      <c r="AN123" s="169"/>
      <c r="AO123" s="169"/>
      <c r="AP123" s="170"/>
      <c r="AR123" s="453">
        <f ca="1">IF(AND($D123="Serviço",AR$12&lt;&gt;0,$H123&gt;0,OR(AUTOEVENTO&lt;&gt;"manual",$M123&lt;&gt;$A$15)),
        IF(Import.TipoArredondamento&lt;&gt;"TransfereGOV",
              ROUND(OFFSET($P123,0,AR$13),15-13*ORÇAMENTO!$AF$7)/$H123*OFFSET(ORÇAMENTO!$X$15,ROW(AR123)-ROW(AR$15),0),
              ROUND(ROUND(OFFSET($P123,0,AR$13),15-13*ORÇAMENTO!$AF$7)*OFFSET(ORÇAMENTO!$W$15,ROW(AR123)-ROW(AR$15),0),15-13*ORÇAMENTO!$AF$11)),
         0)</f>
        <v>0</v>
      </c>
      <c r="AS123" s="453">
        <f ca="1">IF(AND($D123="Serviço",AS$12&lt;&gt;0,$H123&gt;0,OR(AUTOEVENTO&lt;&gt;"manual",$M123&lt;&gt;$A$15)),
        IF(Import.TipoArredondamento&lt;&gt;"TransfereGOV",
              ROUND(OFFSET($P123,0,AS$13),15-13*ORÇAMENTO!$AF$7)/$H123*OFFSET(ORÇAMENTO!$X$15,ROW(AS123)-ROW(AS$15),0),
              ROUND(ROUND(OFFSET($P123,0,AS$13),15-13*ORÇAMENTO!$AF$7)*OFFSET(ORÇAMENTO!$W$15,ROW(AS123)-ROW(AS$15),0),15-13*ORÇAMENTO!$AF$11)),
         0)</f>
        <v>0</v>
      </c>
      <c r="AT123" s="453">
        <f ca="1">IF(AND($D123="Serviço",AT$12&lt;&gt;0,$H123&gt;0,OR(AUTOEVENTO&lt;&gt;"manual",$M123&lt;&gt;$A$15)),
        IF(Import.TipoArredondamento&lt;&gt;"TransfereGOV",
              ROUND(OFFSET($P123,0,AT$13),15-13*ORÇAMENTO!$AF$7)/$H123*OFFSET(ORÇAMENTO!$X$15,ROW(AT123)-ROW(AT$15),0),
              ROUND(ROUND(OFFSET($P123,0,AT$13),15-13*ORÇAMENTO!$AF$7)*OFFSET(ORÇAMENTO!$W$15,ROW(AT123)-ROW(AT$15),0),15-13*ORÇAMENTO!$AF$11)),
         0)</f>
        <v>0</v>
      </c>
      <c r="AU123" s="453">
        <f ca="1">IF(AND($D123="Serviço",AU$12&lt;&gt;0,$H123&gt;0,OR(AUTOEVENTO&lt;&gt;"manual",$M123&lt;&gt;$A$15)),
        IF(Import.TipoArredondamento&lt;&gt;"TransfereGOV",
              ROUND(OFFSET($P123,0,AU$13),15-13*ORÇAMENTO!$AF$7)/$H123*OFFSET(ORÇAMENTO!$X$15,ROW(AU123)-ROW(AU$15),0),
              ROUND(ROUND(OFFSET($P123,0,AU$13),15-13*ORÇAMENTO!$AF$7)*OFFSET(ORÇAMENTO!$W$15,ROW(AU123)-ROW(AU$15),0),15-13*ORÇAMENTO!$AF$11)),
         0)</f>
        <v>0</v>
      </c>
      <c r="AV123" s="453">
        <f ca="1">IF(AND($D123="Serviço",AV$12&lt;&gt;0,$H123&gt;0,OR(AUTOEVENTO&lt;&gt;"manual",$M123&lt;&gt;$A$15)),
        IF(Import.TipoArredondamento&lt;&gt;"TransfereGOV",
              ROUND(OFFSET($P123,0,AV$13),15-13*ORÇAMENTO!$AF$7)/$H123*OFFSET(ORÇAMENTO!$X$15,ROW(AV123)-ROW(AV$15),0),
              ROUND(ROUND(OFFSET($P123,0,AV$13),15-13*ORÇAMENTO!$AF$7)*OFFSET(ORÇAMENTO!$W$15,ROW(AV123)-ROW(AV$15),0),15-13*ORÇAMENTO!$AF$11)),
         0)</f>
        <v>0</v>
      </c>
      <c r="AW123" s="453">
        <f ca="1">IF(AND($D123="Serviço",AW$12&lt;&gt;0,$H123&gt;0,OR(AUTOEVENTO&lt;&gt;"manual",$M123&lt;&gt;$A$15)),
        IF(Import.TipoArredondamento&lt;&gt;"TransfereGOV",
              ROUND(OFFSET($P123,0,AW$13),15-13*ORÇAMENTO!$AF$7)/$H123*OFFSET(ORÇAMENTO!$X$15,ROW(AW123)-ROW(AW$15),0),
              ROUND(ROUND(OFFSET($P123,0,AW$13),15-13*ORÇAMENTO!$AF$7)*OFFSET(ORÇAMENTO!$W$15,ROW(AW123)-ROW(AW$15),0),15-13*ORÇAMENTO!$AF$11)),
         0)</f>
        <v>0</v>
      </c>
      <c r="AX123" s="453">
        <f ca="1">IF(AND($D123="Serviço",AX$12&lt;&gt;0,$H123&gt;0,OR(AUTOEVENTO&lt;&gt;"manual",$M123&lt;&gt;$A$15)),
        IF(Import.TipoArredondamento&lt;&gt;"TransfereGOV",
              ROUND(OFFSET($P123,0,AX$13),15-13*ORÇAMENTO!$AF$7)/$H123*OFFSET(ORÇAMENTO!$X$15,ROW(AX123)-ROW(AX$15),0),
              ROUND(ROUND(OFFSET($P123,0,AX$13),15-13*ORÇAMENTO!$AF$7)*OFFSET(ORÇAMENTO!$W$15,ROW(AX123)-ROW(AX$15),0),15-13*ORÇAMENTO!$AF$11)),
         0)</f>
        <v>0</v>
      </c>
      <c r="AY123" s="453">
        <f ca="1">IF(AND($D123="Serviço",AY$12&lt;&gt;0,$H123&gt;0,OR(AUTOEVENTO&lt;&gt;"manual",$M123&lt;&gt;$A$15)),
        IF(Import.TipoArredondamento&lt;&gt;"TransfereGOV",
              ROUND(OFFSET($P123,0,AY$13),15-13*ORÇAMENTO!$AF$7)/$H123*OFFSET(ORÇAMENTO!$X$15,ROW(AY123)-ROW(AY$15),0),
              ROUND(ROUND(OFFSET($P123,0,AY$13),15-13*ORÇAMENTO!$AF$7)*OFFSET(ORÇAMENTO!$W$15,ROW(AY123)-ROW(AY$15),0),15-13*ORÇAMENTO!$AF$11)),
         0)</f>
        <v>0</v>
      </c>
      <c r="AZ123" s="453">
        <f ca="1">IF(AND($D123="Serviço",AZ$12&lt;&gt;0,$H123&gt;0,OR(AUTOEVENTO&lt;&gt;"manual",$M123&lt;&gt;$A$15)),
        IF(Import.TipoArredondamento&lt;&gt;"TransfereGOV",
              ROUND(OFFSET($P123,0,AZ$13),15-13*ORÇAMENTO!$AF$7)/$H123*OFFSET(ORÇAMENTO!$X$15,ROW(AZ123)-ROW(AZ$15),0),
              ROUND(ROUND(OFFSET($P123,0,AZ$13),15-13*ORÇAMENTO!$AF$7)*OFFSET(ORÇAMENTO!$W$15,ROW(AZ123)-ROW(AZ$15),0),15-13*ORÇAMENTO!$AF$11)),
         0)</f>
        <v>0</v>
      </c>
      <c r="BA123" s="453">
        <f ca="1">IF(AND($D123="Serviço",BA$12&lt;&gt;0,$H123&gt;0,OR(AUTOEVENTO&lt;&gt;"manual",$M123&lt;&gt;$A$15)),
        IF(Import.TipoArredondamento&lt;&gt;"TransfereGOV",
              ROUND(OFFSET($P123,0,BA$13),15-13*ORÇAMENTO!$AF$7)/$H123*OFFSET(ORÇAMENTO!$X$15,ROW(BA123)-ROW(BA$15),0),
              ROUND(ROUND(OFFSET($P123,0,BA$13),15-13*ORÇAMENTO!$AF$7)*OFFSET(ORÇAMENTO!$W$15,ROW(BA123)-ROW(BA$15),0),15-13*ORÇAMENTO!$AF$11)),
         0)</f>
        <v>0</v>
      </c>
      <c r="BB123" s="453">
        <f ca="1">IF(AND($D123="Serviço",BB$12&lt;&gt;0,$H123&gt;0,OR(AUTOEVENTO&lt;&gt;"manual",$M123&lt;&gt;$A$15)),
        IF(Import.TipoArredondamento&lt;&gt;"TransfereGOV",
              ROUND(OFFSET($P123,0,BB$13),15-13*ORÇAMENTO!$AF$7)/$H123*OFFSET(ORÇAMENTO!$X$15,ROW(BB123)-ROW(BB$15),0),
              ROUND(ROUND(OFFSET($P123,0,BB$13),15-13*ORÇAMENTO!$AF$7)*OFFSET(ORÇAMENTO!$W$15,ROW(BB123)-ROW(BB$15),0),15-13*ORÇAMENTO!$AF$11)),
         0)</f>
        <v>0</v>
      </c>
      <c r="BC123" s="453">
        <f ca="1">IF(AND($D123="Serviço",BC$12&lt;&gt;0,$H123&gt;0,OR(AUTOEVENTO&lt;&gt;"manual",$M123&lt;&gt;$A$15)),
        IF(Import.TipoArredondamento&lt;&gt;"TransfereGOV",
              ROUND(OFFSET($P123,0,BC$13),15-13*ORÇAMENTO!$AF$7)/$H123*OFFSET(ORÇAMENTO!$X$15,ROW(BC123)-ROW(BC$15),0),
              ROUND(ROUND(OFFSET($P123,0,BC$13),15-13*ORÇAMENTO!$AF$7)*OFFSET(ORÇAMENTO!$W$15,ROW(BC123)-ROW(BC$15),0),15-13*ORÇAMENTO!$AF$11)),
         0)</f>
        <v>0</v>
      </c>
      <c r="BD123" s="453">
        <f ca="1">IF(AND($D123="Serviço",BD$12&lt;&gt;0,$H123&gt;0,OR(AUTOEVENTO&lt;&gt;"manual",$M123&lt;&gt;$A$15)),
        IF(Import.TipoArredondamento&lt;&gt;"TransfereGOV",
              ROUND(OFFSET($P123,0,BD$13),15-13*ORÇAMENTO!$AF$7)/$H123*OFFSET(ORÇAMENTO!$X$15,ROW(BD123)-ROW(BD$15),0),
              ROUND(ROUND(OFFSET($P123,0,BD$13),15-13*ORÇAMENTO!$AF$7)*OFFSET(ORÇAMENTO!$W$15,ROW(BD123)-ROW(BD$15),0),15-13*ORÇAMENTO!$AF$11)),
         0)</f>
        <v>0</v>
      </c>
      <c r="BE123" s="453">
        <f ca="1">IF(AND($D123="Serviço",BE$12&lt;&gt;0,$H123&gt;0,OR(AUTOEVENTO&lt;&gt;"manual",$M123&lt;&gt;$A$15)),
        IF(Import.TipoArredondamento&lt;&gt;"TransfereGOV",
              ROUND(OFFSET($P123,0,BE$13),15-13*ORÇAMENTO!$AF$7)/$H123*OFFSET(ORÇAMENTO!$X$15,ROW(BE123)-ROW(BE$15),0),
              ROUND(ROUND(OFFSET($P123,0,BE$13),15-13*ORÇAMENTO!$AF$7)*OFFSET(ORÇAMENTO!$W$15,ROW(BE123)-ROW(BE$15),0),15-13*ORÇAMENTO!$AF$11)),
         0)</f>
        <v>0</v>
      </c>
      <c r="BF123" s="453">
        <f ca="1">IF(AND($D123="Serviço",BF$12&lt;&gt;0,$H123&gt;0,OR(AUTOEVENTO&lt;&gt;"manual",$M123&lt;&gt;$A$15)),
        IF(Import.TipoArredondamento&lt;&gt;"TransfereGOV",
              ROUND(OFFSET($P123,0,BF$13),15-13*ORÇAMENTO!$AF$7)/$H123*OFFSET(ORÇAMENTO!$X$15,ROW(BF123)-ROW(BF$15),0),
              ROUND(ROUND(OFFSET($P123,0,BF$13),15-13*ORÇAMENTO!$AF$7)*OFFSET(ORÇAMENTO!$W$15,ROW(BF123)-ROW(BF$15),0),15-13*ORÇAMENTO!$AF$11)),
         0)</f>
        <v>0</v>
      </c>
      <c r="BG123" s="453">
        <f ca="1">IF(AND($D123="Serviço",BG$12&lt;&gt;0,$H123&gt;0,OR(AUTOEVENTO&lt;&gt;"manual",$M123&lt;&gt;$A$15)),
        IF(Import.TipoArredondamento&lt;&gt;"TransfereGOV",
              ROUND(OFFSET($P123,0,BG$13),15-13*ORÇAMENTO!$AF$7)/$H123*OFFSET(ORÇAMENTO!$X$15,ROW(BG123)-ROW(BG$15),0),
              ROUND(ROUND(OFFSET($P123,0,BG$13),15-13*ORÇAMENTO!$AF$7)*OFFSET(ORÇAMENTO!$W$15,ROW(BG123)-ROW(BG$15),0),15-13*ORÇAMENTO!$AF$11)),
         0)</f>
        <v>0</v>
      </c>
      <c r="BH123" s="453">
        <f ca="1">IF(AND($D123="Serviço",BH$12&lt;&gt;0,$H123&gt;0,OR(AUTOEVENTO&lt;&gt;"manual",$M123&lt;&gt;$A$15)),
        IF(Import.TipoArredondamento&lt;&gt;"TransfereGOV",
              ROUND(OFFSET($P123,0,BH$13),15-13*ORÇAMENTO!$AF$7)/$H123*OFFSET(ORÇAMENTO!$X$15,ROW(BH123)-ROW(BH$15),0),
              ROUND(ROUND(OFFSET($P123,0,BH$13),15-13*ORÇAMENTO!$AF$7)*OFFSET(ORÇAMENTO!$W$15,ROW(BH123)-ROW(BH$15),0),15-13*ORÇAMENTO!$AF$11)),
         0)</f>
        <v>0</v>
      </c>
      <c r="BI123" s="453">
        <f ca="1">IF(AND($D123="Serviço",BI$12&lt;&gt;0,$H123&gt;0,OR(AUTOEVENTO&lt;&gt;"manual",$M123&lt;&gt;$A$15)),
        IF(Import.TipoArredondamento&lt;&gt;"TransfereGOV",
              ROUND(OFFSET($P123,0,BI$13),15-13*ORÇAMENTO!$AF$7)/$H123*OFFSET(ORÇAMENTO!$X$15,ROW(BI123)-ROW(BI$15),0),
              ROUND(ROUND(OFFSET($P123,0,BI$13),15-13*ORÇAMENTO!$AF$7)*OFFSET(ORÇAMENTO!$W$15,ROW(BI123)-ROW(BI$15),0),15-13*ORÇAMENTO!$AF$11)),
         0)</f>
        <v>0</v>
      </c>
      <c r="BJ123" s="453">
        <f ca="1">IF(AND($D123="Serviço",BJ$12&lt;&gt;0,$H123&gt;0,OR(AUTOEVENTO&lt;&gt;"manual",$M123&lt;&gt;$A$15)),
        IF(Import.TipoArredondamento&lt;&gt;"TransfereGOV",
              ROUND(OFFSET($P123,0,BJ$13),15-13*ORÇAMENTO!$AF$7)/$H123*OFFSET(ORÇAMENTO!$X$15,ROW(BJ123)-ROW(BJ$15),0),
              ROUND(ROUND(OFFSET($P123,0,BJ$13),15-13*ORÇAMENTO!$AF$7)*OFFSET(ORÇAMENTO!$W$15,ROW(BJ123)-ROW(BJ$15),0),15-13*ORÇAMENTO!$AF$11)),
         0)</f>
        <v>0</v>
      </c>
      <c r="BK123" s="453">
        <f ca="1">IF(AND($D123="Serviço",BK$12&lt;&gt;0,$H123&gt;0,OR(AUTOEVENTO&lt;&gt;"manual",$M123&lt;&gt;$A$15)),
        IF(Import.TipoArredondamento&lt;&gt;"TransfereGOV",
              ROUND(OFFSET($P123,0,BK$13),15-13*ORÇAMENTO!$AF$7)/$H123*OFFSET(ORÇAMENTO!$X$15,ROW(BK123)-ROW(BK$15),0),
              ROUND(ROUND(OFFSET($P123,0,BK$13),15-13*ORÇAMENTO!$AF$7)*OFFSET(ORÇAMENTO!$W$15,ROW(BK123)-ROW(BK$15),0),15-13*ORÇAMENTO!$AF$11)),
         0)</f>
        <v>0</v>
      </c>
      <c r="BL123" s="453">
        <f ca="1">IF(AND($D123="Serviço",BL$12&lt;&gt;0,$H123&gt;0,OR(AUTOEVENTO&lt;&gt;"manual",$M123&lt;&gt;$A$15)),
        IF(Import.TipoArredondamento&lt;&gt;"TransfereGOV",
              ROUND(OFFSET($P123,0,BL$13),15-13*ORÇAMENTO!$AF$7)/$H123*OFFSET(ORÇAMENTO!$X$15,ROW(BL123)-ROW(BL$15),0),
              ROUND(ROUND(OFFSET($P123,0,BL$13),15-13*ORÇAMENTO!$AF$7)*OFFSET(ORÇAMENTO!$W$15,ROW(BL123)-ROW(BL$15),0),15-13*ORÇAMENTO!$AF$11)),
         0)</f>
        <v>0</v>
      </c>
      <c r="BM123" s="453">
        <f ca="1">IF(AND($D123="Serviço",BM$12&lt;&gt;0,$H123&gt;0,OR(AUTOEVENTO&lt;&gt;"manual",$M123&lt;&gt;$A$15)),
        IF(Import.TipoArredondamento&lt;&gt;"TransfereGOV",
              ROUND(OFFSET($P123,0,BM$13),15-13*ORÇAMENTO!$AF$7)/$H123*OFFSET(ORÇAMENTO!$X$15,ROW(BM123)-ROW(BM$15),0),
              ROUND(ROUND(OFFSET($P123,0,BM$13),15-13*ORÇAMENTO!$AF$7)*OFFSET(ORÇAMENTO!$W$15,ROW(BM123)-ROW(BM$15),0),15-13*ORÇAMENTO!$AF$11)),
         0)</f>
        <v>0</v>
      </c>
      <c r="BN123" s="453">
        <f ca="1">IF(AND($D123="Serviço",BN$12&lt;&gt;0,$H123&gt;0,OR(AUTOEVENTO&lt;&gt;"manual",$M123&lt;&gt;$A$15)),
        IF(Import.TipoArredondamento&lt;&gt;"TransfereGOV",
              ROUND(OFFSET($P123,0,BN$13),15-13*ORÇAMENTO!$AF$7)/$H123*OFFSET(ORÇAMENTO!$X$15,ROW(BN123)-ROW(BN$15),0),
              ROUND(ROUND(OFFSET($P123,0,BN$13),15-13*ORÇAMENTO!$AF$7)*OFFSET(ORÇAMENTO!$W$15,ROW(BN123)-ROW(BN$15),0),15-13*ORÇAMENTO!$AF$11)),
         0)</f>
        <v>0</v>
      </c>
      <c r="BO123" s="453">
        <f ca="1">IF(AND($D123="Serviço",BO$12&lt;&gt;0,$H123&gt;0,OR(AUTOEVENTO&lt;&gt;"manual",$M123&lt;&gt;$A$15)),
        IF(Import.TipoArredondamento&lt;&gt;"TransfereGOV",
              ROUND(OFFSET($P123,0,BO$13),15-13*ORÇAMENTO!$AF$7)/$H123*OFFSET(ORÇAMENTO!$X$15,ROW(BO123)-ROW(BO$15),0),
              ROUND(ROUND(OFFSET($P123,0,BO$13),15-13*ORÇAMENTO!$AF$7)*OFFSET(ORÇAMENTO!$W$15,ROW(BO123)-ROW(BO$15),0),15-13*ORÇAMENTO!$AF$11)),
         0)</f>
        <v>0</v>
      </c>
      <c r="BP123" s="453">
        <f ca="1">IF(AND($D123="Serviço",BP$12&lt;&gt;0,$H123&gt;0,OR(AUTOEVENTO&lt;&gt;"manual",$M123&lt;&gt;$A$15)),
        IF(Import.TipoArredondamento&lt;&gt;"TransfereGOV",
              ROUND(OFFSET($P123,0,BP$13),15-13*ORÇAMENTO!$AF$7)/$H123*OFFSET(ORÇAMENTO!$X$15,ROW(BP123)-ROW(BP$15),0),
              ROUND(ROUND(OFFSET($P123,0,BP$13),15-13*ORÇAMENTO!$AF$7)*OFFSET(ORÇAMENTO!$W$15,ROW(BP123)-ROW(BP$15),0),15-13*ORÇAMENTO!$AF$11)),
         0)</f>
        <v>0</v>
      </c>
      <c r="BQ123" s="453">
        <f ca="1">IF(AND($D123="Serviço",BQ$12&lt;&gt;0,$H123&gt;0,OR(AUTOEVENTO&lt;&gt;"manual",$M123&lt;&gt;$A$15)),
        IF(Import.TipoArredondamento&lt;&gt;"TransfereGOV",
              ROUND(OFFSET($P123,0,BQ$13),15-13*ORÇAMENTO!$AF$7)/$H123*OFFSET(ORÇAMENTO!$X$15,ROW(BQ123)-ROW(BQ$15),0),
              ROUND(ROUND(OFFSET($P123,0,BQ$13),15-13*ORÇAMENTO!$AF$7)*OFFSET(ORÇAMENTO!$W$15,ROW(BQ123)-ROW(BQ$15),0),15-13*ORÇAMENTO!$AF$11)),
         0)</f>
        <v>0</v>
      </c>
      <c r="BS123" s="171">
        <f ca="1">IF(OR($D123&lt;&gt;"Serviço",AND(AUTOEVENTO="Manual",$M123=$A$15)),0,
         IF(OFFSET(CRONOPLE!$F$15,$M123-$A$15,BS$13)=0,10^12,OFFSET(CRONOPLE!$F$15,$M123-$A$15,BS$13)))</f>
        <v>1</v>
      </c>
      <c r="BT123" s="171">
        <f ca="1">IF(OR($D123&lt;&gt;"Serviço",AND(AUTOEVENTO="Manual",$M123=$A$15)),0,
         IF(OFFSET(CRONOPLE!$F$15,$M123-$A$15,BT$13)=0,10^12,OFFSET(CRONOPLE!$F$15,$M123-$A$15,BT$13)))</f>
        <v>2</v>
      </c>
      <c r="BU123" s="171">
        <f ca="1">IF(OR($D123&lt;&gt;"Serviço",AND(AUTOEVENTO="Manual",$M123=$A$15)),0,
         IF(OFFSET(CRONOPLE!$F$15,$M123-$A$15,BU$13)=0,10^12,OFFSET(CRONOPLE!$F$15,$M123-$A$15,BU$13)))</f>
        <v>3</v>
      </c>
      <c r="BV123" s="171">
        <f ca="1">IF(OR($D123&lt;&gt;"Serviço",AND(AUTOEVENTO="Manual",$M123=$A$15)),0,
         IF(OFFSET(CRONOPLE!$F$15,$M123-$A$15,BV$13)=0,10^12,OFFSET(CRONOPLE!$F$15,$M123-$A$15,BV$13)))</f>
        <v>4</v>
      </c>
      <c r="BW123" s="171">
        <f ca="1">IF(OR($D123&lt;&gt;"Serviço",AND(AUTOEVENTO="Manual",$M123=$A$15)),0,
         IF(OFFSET(CRONOPLE!$F$15,$M123-$A$15,BW$13)=0,10^12,OFFSET(CRONOPLE!$F$15,$M123-$A$15,BW$13)))</f>
        <v>5</v>
      </c>
      <c r="BX123" s="171">
        <f ca="1">IF(OR($D123&lt;&gt;"Serviço",AND(AUTOEVENTO="Manual",$M123=$A$15)),0,
         IF(OFFSET(CRONOPLE!$F$15,$M123-$A$15,BX$13)=0,10^12,OFFSET(CRONOPLE!$F$15,$M123-$A$15,BX$13)))</f>
        <v>6</v>
      </c>
      <c r="BY123" s="171">
        <f ca="1">IF(OR($D123&lt;&gt;"Serviço",AND(AUTOEVENTO="Manual",$M123=$A$15)),0,
         IF(OFFSET(CRONOPLE!$F$15,$M123-$A$15,BY$13)=0,10^12,OFFSET(CRONOPLE!$F$15,$M123-$A$15,BY$13)))</f>
        <v>7</v>
      </c>
      <c r="BZ123" s="171">
        <f ca="1">IF(OR($D123&lt;&gt;"Serviço",AND(AUTOEVENTO="Manual",$M123=$A$15)),0,
         IF(OFFSET(CRONOPLE!$F$15,$M123-$A$15,BZ$13)=0,10^12,OFFSET(CRONOPLE!$F$15,$M123-$A$15,BZ$13)))</f>
        <v>8</v>
      </c>
      <c r="CA123" s="171">
        <f ca="1">IF(OR($D123&lt;&gt;"Serviço",AND(AUTOEVENTO="Manual",$M123=$A$15)),0,
         IF(OFFSET(CRONOPLE!$F$15,$M123-$A$15,CA$13)=0,10^12,OFFSET(CRONOPLE!$F$15,$M123-$A$15,CA$13)))</f>
        <v>9</v>
      </c>
      <c r="CB123" s="171">
        <f ca="1">IF(OR($D123&lt;&gt;"Serviço",AND(AUTOEVENTO="Manual",$M123=$A$15)),0,
         IF(OFFSET(CRONOPLE!$F$15,$M123-$A$15,CB$13)=0,10^12,OFFSET(CRONOPLE!$F$15,$M123-$A$15,CB$13)))</f>
        <v>10</v>
      </c>
      <c r="CC123" s="171">
        <f ca="1">IF(OR($D123&lt;&gt;"Serviço",AND(AUTOEVENTO="Manual",$M123=$A$15)),0,
         IF(OFFSET(CRONOPLE!$F$15,$M123-$A$15,CC$13)=0,10^12,OFFSET(CRONOPLE!$F$15,$M123-$A$15,CC$13)))</f>
        <v>11</v>
      </c>
      <c r="CD123" s="171">
        <f ca="1">IF(OR($D123&lt;&gt;"Serviço",AND(AUTOEVENTO="Manual",$M123=$A$15)),0,
         IF(OFFSET(CRONOPLE!$F$15,$M123-$A$15,CD$13)=0,10^12,OFFSET(CRONOPLE!$F$15,$M123-$A$15,CD$13)))</f>
        <v>12</v>
      </c>
      <c r="CE123" s="171">
        <f ca="1">IF(OR($D123&lt;&gt;"Serviço",AND(AUTOEVENTO="Manual",$M123=$A$15)),0,
         IF(OFFSET(CRONOPLE!$F$15,$M123-$A$15,CE$13)=0,10^12,OFFSET(CRONOPLE!$F$15,$M123-$A$15,CE$13)))</f>
        <v>13</v>
      </c>
      <c r="CF123" s="171">
        <f ca="1">IF(OR($D123&lt;&gt;"Serviço",AND(AUTOEVENTO="Manual",$M123=$A$15)),0,
         IF(OFFSET(CRONOPLE!$F$15,$M123-$A$15,CF$13)=0,10^12,OFFSET(CRONOPLE!$F$15,$M123-$A$15,CF$13)))</f>
        <v>14</v>
      </c>
      <c r="CG123" s="171">
        <f ca="1">IF(OR($D123&lt;&gt;"Serviço",AND(AUTOEVENTO="Manual",$M123=$A$15)),0,
         IF(OFFSET(CRONOPLE!$F$15,$M123-$A$15,CG$13)=0,10^12,OFFSET(CRONOPLE!$F$15,$M123-$A$15,CG$13)))</f>
        <v>15</v>
      </c>
      <c r="CH123" s="171">
        <f ca="1">IF(OR($D123&lt;&gt;"Serviço",AND(AUTOEVENTO="Manual",$M123=$A$15)),0,
         IF(OFFSET(CRONOPLE!$F$15,$M123-$A$15,CH$13)=0,10^12,OFFSET(CRONOPLE!$F$15,$M123-$A$15,CH$13)))</f>
        <v>16</v>
      </c>
      <c r="CI123" s="171">
        <f ca="1">IF(OR($D123&lt;&gt;"Serviço",AND(AUTOEVENTO="Manual",$M123=$A$15)),0,
         IF(OFFSET(CRONOPLE!$F$15,$M123-$A$15,CI$13)=0,10^12,OFFSET(CRONOPLE!$F$15,$M123-$A$15,CI$13)))</f>
        <v>17</v>
      </c>
      <c r="CJ123" s="171">
        <f ca="1">IF(OR($D123&lt;&gt;"Serviço",AND(AUTOEVENTO="Manual",$M123=$A$15)),0,
         IF(OFFSET(CRONOPLE!$F$15,$M123-$A$15,CJ$13)=0,10^12,OFFSET(CRONOPLE!$F$15,$M123-$A$15,CJ$13)))</f>
        <v>18</v>
      </c>
      <c r="CK123" s="171">
        <f ca="1">IF(OR($D123&lt;&gt;"Serviço",AND(AUTOEVENTO="Manual",$M123=$A$15)),0,
         IF(OFFSET(CRONOPLE!$F$15,$M123-$A$15,CK$13)=0,10^12,OFFSET(CRONOPLE!$F$15,$M123-$A$15,CK$13)))</f>
        <v>19</v>
      </c>
      <c r="CL123" s="171">
        <f ca="1">IF(OR($D123&lt;&gt;"Serviço",AND(AUTOEVENTO="Manual",$M123=$A$15)),0,
         IF(OFFSET(CRONOPLE!$F$15,$M123-$A$15,CL$13)=0,10^12,OFFSET(CRONOPLE!$F$15,$M123-$A$15,CL$13)))</f>
        <v>20</v>
      </c>
      <c r="CM123" s="171">
        <f ca="1">IF(OR($D123&lt;&gt;"Serviço",AND(AUTOEVENTO="Manual",$M123=$A$15)),0,
         IF(OFFSET(CRONOPLE!$F$15,$M123-$A$15,CM$13)=0,10^12,OFFSET(CRONOPLE!$F$15,$M123-$A$15,CM$13)))</f>
        <v>1000000000000</v>
      </c>
      <c r="CN123" s="171">
        <f ca="1">IF(OR($D123&lt;&gt;"Serviço",AND(AUTOEVENTO="Manual",$M123=$A$15)),0,
         IF(OFFSET(CRONOPLE!$F$15,$M123-$A$15,CN$13)=0,10^12,OFFSET(CRONOPLE!$F$15,$M123-$A$15,CN$13)))</f>
        <v>1000000000000</v>
      </c>
      <c r="CO123" s="171">
        <f ca="1">IF(OR($D123&lt;&gt;"Serviço",AND(AUTOEVENTO="Manual",$M123=$A$15)),0,
         IF(OFFSET(CRONOPLE!$F$15,$M123-$A$15,CO$13)=0,10^12,OFFSET(CRONOPLE!$F$15,$M123-$A$15,CO$13)))</f>
        <v>1000000000000</v>
      </c>
      <c r="CP123" s="171">
        <f ca="1">IF(OR($D123&lt;&gt;"Serviço",AND(AUTOEVENTO="Manual",$M123=$A$15)),0,
         IF(OFFSET(CRONOPLE!$F$15,$M123-$A$15,CP$13)=0,10^12,OFFSET(CRONOPLE!$F$15,$M123-$A$15,CP$13)))</f>
        <v>1000000000000</v>
      </c>
      <c r="CQ123" s="171">
        <f ca="1">IF(OR($D123&lt;&gt;"Serviço",AND(AUTOEVENTO="Manual",$M123=$A$15)),0,
         IF(OFFSET(CRONOPLE!$F$15,$M123-$A$15,CQ$13)=0,10^12,OFFSET(CRONOPLE!$F$15,$M123-$A$15,CQ$13)))</f>
        <v>1000000000000</v>
      </c>
      <c r="CR123" s="171">
        <f ca="1">IF(OR($D123&lt;&gt;"Serviço",AND(AUTOEVENTO="Manual",$M123=$A$15)),0,
         IF(OFFSET(CRONOPLE!$F$15,$M123-$A$15,CR$13)=0,10^12,OFFSET(CRONOPLE!$F$15,$M123-$A$15,CR$13)))</f>
        <v>1000000000000</v>
      </c>
      <c r="CT123" s="172" cm="1">
        <f t="array" aca="1" ref="CT123" ca="1">IF(OR($D123&lt;&gt;"Serviço",AND(AUTOEVENTO="Manual",$M123=$A$15),$M123&gt;(ROW(PLE.lastrow)-ROW(PLE.firstrow))),0,
           IF(OFFSET(PLE!$G$15,$M123-$A$15,CT$13)="",10^12,OFFSET(PLE!$G$15,$M123-$A$15,CT$13)))</f>
        <v>1000000000000</v>
      </c>
      <c r="CU123" s="172" cm="1">
        <f t="array" aca="1" ref="CU123" ca="1">IF(OR($D123&lt;&gt;"Serviço",AND(AUTOEVENTO="Manual",$M123=$A$15),$M123&gt;(ROW(PLE.lastrow)-ROW(PLE.firstrow))),0,
           IF(OFFSET(PLE!$G$15,$M123-$A$15,CU$13)="",10^12,OFFSET(PLE!$G$15,$M123-$A$15,CU$13)))</f>
        <v>1000000000000</v>
      </c>
      <c r="CV123" s="172" cm="1">
        <f t="array" aca="1" ref="CV123" ca="1">IF(OR($D123&lt;&gt;"Serviço",AND(AUTOEVENTO="Manual",$M123=$A$15),$M123&gt;(ROW(PLE.lastrow)-ROW(PLE.firstrow))),0,
           IF(OFFSET(PLE!$G$15,$M123-$A$15,CV$13)="",10^12,OFFSET(PLE!$G$15,$M123-$A$15,CV$13)))</f>
        <v>1000000000000</v>
      </c>
      <c r="CW123" s="172" cm="1">
        <f t="array" aca="1" ref="CW123" ca="1">IF(OR($D123&lt;&gt;"Serviço",AND(AUTOEVENTO="Manual",$M123=$A$15),$M123&gt;(ROW(PLE.lastrow)-ROW(PLE.firstrow))),0,
           IF(OFFSET(PLE!$G$15,$M123-$A$15,CW$13)="",10^12,OFFSET(PLE!$G$15,$M123-$A$15,CW$13)))</f>
        <v>1000000000000</v>
      </c>
      <c r="CX123" s="172" cm="1">
        <f t="array" aca="1" ref="CX123" ca="1">IF(OR($D123&lt;&gt;"Serviço",AND(AUTOEVENTO="Manual",$M123=$A$15),$M123&gt;(ROW(PLE.lastrow)-ROW(PLE.firstrow))),0,
           IF(OFFSET(PLE!$G$15,$M123-$A$15,CX$13)="",10^12,OFFSET(PLE!$G$15,$M123-$A$15,CX$13)))</f>
        <v>1000000000000</v>
      </c>
      <c r="CY123" s="172" cm="1">
        <f t="array" aca="1" ref="CY123" ca="1">IF(OR($D123&lt;&gt;"Serviço",AND(AUTOEVENTO="Manual",$M123=$A$15),$M123&gt;(ROW(PLE.lastrow)-ROW(PLE.firstrow))),0,
           IF(OFFSET(PLE!$G$15,$M123-$A$15,CY$13)="",10^12,OFFSET(PLE!$G$15,$M123-$A$15,CY$13)))</f>
        <v>1000000000000</v>
      </c>
      <c r="CZ123" s="172" cm="1">
        <f t="array" aca="1" ref="CZ123" ca="1">IF(OR($D123&lt;&gt;"Serviço",AND(AUTOEVENTO="Manual",$M123=$A$15),$M123&gt;(ROW(PLE.lastrow)-ROW(PLE.firstrow))),0,
           IF(OFFSET(PLE!$G$15,$M123-$A$15,CZ$13)="",10^12,OFFSET(PLE!$G$15,$M123-$A$15,CZ$13)))</f>
        <v>1000000000000</v>
      </c>
      <c r="DA123" s="172" cm="1">
        <f t="array" aca="1" ref="DA123" ca="1">IF(OR($D123&lt;&gt;"Serviço",AND(AUTOEVENTO="Manual",$M123=$A$15),$M123&gt;(ROW(PLE.lastrow)-ROW(PLE.firstrow))),0,
           IF(OFFSET(PLE!$G$15,$M123-$A$15,DA$13)="",10^12,OFFSET(PLE!$G$15,$M123-$A$15,DA$13)))</f>
        <v>1000000000000</v>
      </c>
      <c r="DB123" s="172" cm="1">
        <f t="array" aca="1" ref="DB123" ca="1">IF(OR($D123&lt;&gt;"Serviço",AND(AUTOEVENTO="Manual",$M123=$A$15),$M123&gt;(ROW(PLE.lastrow)-ROW(PLE.firstrow))),0,
           IF(OFFSET(PLE!$G$15,$M123-$A$15,DB$13)="",10^12,OFFSET(PLE!$G$15,$M123-$A$15,DB$13)))</f>
        <v>1000000000000</v>
      </c>
      <c r="DC123" s="172" cm="1">
        <f t="array" aca="1" ref="DC123" ca="1">IF(OR($D123&lt;&gt;"Serviço",AND(AUTOEVENTO="Manual",$M123=$A$15),$M123&gt;(ROW(PLE.lastrow)-ROW(PLE.firstrow))),0,
           IF(OFFSET(PLE!$G$15,$M123-$A$15,DC$13)="",10^12,OFFSET(PLE!$G$15,$M123-$A$15,DC$13)))</f>
        <v>1000000000000</v>
      </c>
      <c r="DD123" s="172" cm="1">
        <f t="array" aca="1" ref="DD123" ca="1">IF(OR($D123&lt;&gt;"Serviço",AND(AUTOEVENTO="Manual",$M123=$A$15),$M123&gt;(ROW(PLE.lastrow)-ROW(PLE.firstrow))),0,
           IF(OFFSET(PLE!$G$15,$M123-$A$15,DD$13)="",10^12,OFFSET(PLE!$G$15,$M123-$A$15,DD$13)))</f>
        <v>1000000000000</v>
      </c>
      <c r="DE123" s="172" cm="1">
        <f t="array" aca="1" ref="DE123" ca="1">IF(OR($D123&lt;&gt;"Serviço",AND(AUTOEVENTO="Manual",$M123=$A$15),$M123&gt;(ROW(PLE.lastrow)-ROW(PLE.firstrow))),0,
           IF(OFFSET(PLE!$G$15,$M123-$A$15,DE$13)="",10^12,OFFSET(PLE!$G$15,$M123-$A$15,DE$13)))</f>
        <v>1000000000000</v>
      </c>
      <c r="DF123" s="172" cm="1">
        <f t="array" aca="1" ref="DF123" ca="1">IF(OR($D123&lt;&gt;"Serviço",AND(AUTOEVENTO="Manual",$M123=$A$15),$M123&gt;(ROW(PLE.lastrow)-ROW(PLE.firstrow))),0,
           IF(OFFSET(PLE!$G$15,$M123-$A$15,DF$13)="",10^12,OFFSET(PLE!$G$15,$M123-$A$15,DF$13)))</f>
        <v>1000000000000</v>
      </c>
      <c r="DG123" s="172" cm="1">
        <f t="array" aca="1" ref="DG123" ca="1">IF(OR($D123&lt;&gt;"Serviço",AND(AUTOEVENTO="Manual",$M123=$A$15),$M123&gt;(ROW(PLE.lastrow)-ROW(PLE.firstrow))),0,
           IF(OFFSET(PLE!$G$15,$M123-$A$15,DG$13)="",10^12,OFFSET(PLE!$G$15,$M123-$A$15,DG$13)))</f>
        <v>1000000000000</v>
      </c>
      <c r="DH123" s="172" cm="1">
        <f t="array" aca="1" ref="DH123" ca="1">IF(OR($D123&lt;&gt;"Serviço",AND(AUTOEVENTO="Manual",$M123=$A$15),$M123&gt;(ROW(PLE.lastrow)-ROW(PLE.firstrow))),0,
           IF(OFFSET(PLE!$G$15,$M123-$A$15,DH$13)="",10^12,OFFSET(PLE!$G$15,$M123-$A$15,DH$13)))</f>
        <v>1000000000000</v>
      </c>
      <c r="DI123" s="172" cm="1">
        <f t="array" aca="1" ref="DI123" ca="1">IF(OR($D123&lt;&gt;"Serviço",AND(AUTOEVENTO="Manual",$M123=$A$15),$M123&gt;(ROW(PLE.lastrow)-ROW(PLE.firstrow))),0,
           IF(OFFSET(PLE!$G$15,$M123-$A$15,DI$13)="",10^12,OFFSET(PLE!$G$15,$M123-$A$15,DI$13)))</f>
        <v>1000000000000</v>
      </c>
      <c r="DJ123" s="172" cm="1">
        <f t="array" aca="1" ref="DJ123" ca="1">IF(OR($D123&lt;&gt;"Serviço",AND(AUTOEVENTO="Manual",$M123=$A$15),$M123&gt;(ROW(PLE.lastrow)-ROW(PLE.firstrow))),0,
           IF(OFFSET(PLE!$G$15,$M123-$A$15,DJ$13)="",10^12,OFFSET(PLE!$G$15,$M123-$A$15,DJ$13)))</f>
        <v>1000000000000</v>
      </c>
      <c r="DK123" s="172" cm="1">
        <f t="array" aca="1" ref="DK123" ca="1">IF(OR($D123&lt;&gt;"Serviço",AND(AUTOEVENTO="Manual",$M123=$A$15),$M123&gt;(ROW(PLE.lastrow)-ROW(PLE.firstrow))),0,
           IF(OFFSET(PLE!$G$15,$M123-$A$15,DK$13)="",10^12,OFFSET(PLE!$G$15,$M123-$A$15,DK$13)))</f>
        <v>1000000000000</v>
      </c>
      <c r="DL123" s="172" cm="1">
        <f t="array" aca="1" ref="DL123" ca="1">IF(OR($D123&lt;&gt;"Serviço",AND(AUTOEVENTO="Manual",$M123=$A$15),$M123&gt;(ROW(PLE.lastrow)-ROW(PLE.firstrow))),0,
           IF(OFFSET(PLE!$G$15,$M123-$A$15,DL$13)="",10^12,OFFSET(PLE!$G$15,$M123-$A$15,DL$13)))</f>
        <v>1000000000000</v>
      </c>
      <c r="DM123" s="172" cm="1">
        <f t="array" aca="1" ref="DM123" ca="1">IF(OR($D123&lt;&gt;"Serviço",AND(AUTOEVENTO="Manual",$M123=$A$15),$M123&gt;(ROW(PLE.lastrow)-ROW(PLE.firstrow))),0,
           IF(OFFSET(PLE!$G$15,$M123-$A$15,DM$13)="",10^12,OFFSET(PLE!$G$15,$M123-$A$15,DM$13)))</f>
        <v>1000000000000</v>
      </c>
      <c r="DN123" s="172" cm="1">
        <f t="array" aca="1" ref="DN123" ca="1">IF(OR($D123&lt;&gt;"Serviço",AND(AUTOEVENTO="Manual",$M123=$A$15),$M123&gt;(ROW(PLE.lastrow)-ROW(PLE.firstrow))),0,
           IF(OFFSET(PLE!$G$15,$M123-$A$15,DN$13)="",10^12,OFFSET(PLE!$G$15,$M123-$A$15,DN$13)))</f>
        <v>1000000000000</v>
      </c>
      <c r="DO123" s="172" cm="1">
        <f t="array" aca="1" ref="DO123" ca="1">IF(OR($D123&lt;&gt;"Serviço",AND(AUTOEVENTO="Manual",$M123=$A$15),$M123&gt;(ROW(PLE.lastrow)-ROW(PLE.firstrow))),0,
           IF(OFFSET(PLE!$G$15,$M123-$A$15,DO$13)="",10^12,OFFSET(PLE!$G$15,$M123-$A$15,DO$13)))</f>
        <v>1000000000000</v>
      </c>
      <c r="DP123" s="172" cm="1">
        <f t="array" aca="1" ref="DP123" ca="1">IF(OR($D123&lt;&gt;"Serviço",AND(AUTOEVENTO="Manual",$M123=$A$15),$M123&gt;(ROW(PLE.lastrow)-ROW(PLE.firstrow))),0,
           IF(OFFSET(PLE!$G$15,$M123-$A$15,DP$13)="",10^12,OFFSET(PLE!$G$15,$M123-$A$15,DP$13)))</f>
        <v>1000000000000</v>
      </c>
      <c r="DQ123" s="172" cm="1">
        <f t="array" aca="1" ref="DQ123" ca="1">IF(OR($D123&lt;&gt;"Serviço",AND(AUTOEVENTO="Manual",$M123=$A$15),$M123&gt;(ROW(PLE.lastrow)-ROW(PLE.firstrow))),0,
           IF(OFFSET(PLE!$G$15,$M123-$A$15,DQ$13)="",10^12,OFFSET(PLE!$G$15,$M123-$A$15,DQ$13)))</f>
        <v>1000000000000</v>
      </c>
      <c r="DR123" s="172" cm="1">
        <f t="array" aca="1" ref="DR123" ca="1">IF(OR($D123&lt;&gt;"Serviço",AND(AUTOEVENTO="Manual",$M123=$A$15),$M123&gt;(ROW(PLE.lastrow)-ROW(PLE.firstrow))),0,
           IF(OFFSET(PLE!$G$15,$M123-$A$15,DR$13)="",10^12,OFFSET(PLE!$G$15,$M123-$A$15,DR$13)))</f>
        <v>1000000000000</v>
      </c>
      <c r="DS123" s="172" cm="1">
        <f t="array" aca="1" ref="DS123" ca="1">IF(OR($D123&lt;&gt;"Serviço",AND(AUTOEVENTO="Manual",$M123=$A$15),$M123&gt;(ROW(PLE.lastrow)-ROW(PLE.firstrow))),0,
           IF(OFFSET(PLE!$G$15,$M123-$A$15,DS$13)="",10^12,OFFSET(PLE!$G$15,$M123-$A$15,DS$13)))</f>
        <v>1000000000000</v>
      </c>
    </row>
    <row r="124" spans="1:123" ht="38.25" x14ac:dyDescent="0.2">
      <c r="A124" s="7">
        <f t="shared" ca="1" si="15"/>
        <v>8</v>
      </c>
      <c r="B124" s="7" t="str">
        <f ca="1">OFFSET(ORÇAMENTO!C$15,$L124,0)</f>
        <v>S</v>
      </c>
      <c r="C124" s="7" t="str">
        <f ca="1">OFFSET(ORÇAMENTO!L$15,$L124,0)</f>
        <v/>
      </c>
      <c r="D124" s="116" t="str">
        <f ca="1">OFFSET(ORÇAMENTO!N$15,$L124,0)</f>
        <v>Serviço</v>
      </c>
      <c r="E124" s="117" t="str">
        <f ca="1">OFFSET(ORÇAMENTO!O$15,$L124,0)</f>
        <v>-</v>
      </c>
      <c r="F124" s="163" t="str">
        <f ca="1">OFFSET(ORÇAMENTO!R$15,$L124,0)</f>
        <v>(Código não identificado nas referências)</v>
      </c>
      <c r="G124" s="164" t="str">
        <f ca="1">IF($D124&lt;&gt;"Serviço","",OFFSET(ORÇAMENTO!S$15,$L124,0))</f>
        <v>-</v>
      </c>
      <c r="H124" s="122" cm="1">
        <f t="array" aca="1" ref="H124" ca="1">IF($D124&lt;&gt;"Serviço",0,IF(ACOMPANHAMENTO="BM",ROUND(OFFSET(ORÇAMENTO!AJ$15,$L124,0),15-13*ORÇAMENTO!$AF$7),IF(IFERROR(CÁLCULO.FrentesPreenchidas,0)=0,0,SUM(ROUND(OFFSET($P124,0,1,1,CÁLCULO.FrentesPreenchidas),15-13*ORÇAMENTO!$AF$7)))))</f>
        <v>259.59999999999991</v>
      </c>
      <c r="I124" s="468" t="s">
        <v>1235</v>
      </c>
      <c r="J124" s="651" t="str" cm="1">
        <f t="array" aca="1" ref="J124" ca="1">IF(OR(B124&lt;&gt;"S",CÁLCULO.FrentesPreenchidas=0),"",IF(AND(ACOMPANHAMENTO="PLE",AUTOEVENTO="Manual",OR(H124&gt;0,ORÇAMENTO!AC124="QUANT."),OR(K124="",M124=0,N124="")),"►E",IF(AND(ACOMPANHAMENTO="PLE",ORÇAMENTO!AC124="QUANT."),"►Q",IF(AND(ACOMPANHAMENTO="PLE",H124&lt;&gt;SUMPRODUCT(($Q$1:$AQ$1=1)*ROUND(Q124:AQ124,15))),"►S",IF(AND(COUNTIF($P$11:$AQ$11,"▼")=0,H124&gt;0,I124=""),"◄M","")))))</f>
        <v/>
      </c>
      <c r="K124" s="652" t="s">
        <v>1256</v>
      </c>
      <c r="L124" s="165">
        <f t="shared" ca="1" si="14"/>
        <v>109</v>
      </c>
      <c r="M124" s="166">
        <f ca="1">IF($D124&lt;&gt;"Serviço","",
          IF(AUTOEVENTO="manual",$A124,
                IF(ISERROR(MATCH($A124,$A$15:OFFSET($A124,-1,0),0)),MAX($M$15:OFFSET(M124,-1,0))+1,
                      INDEX($M$15:OFFSET(M124,-1,0),MATCH($A124,$A$15:OFFSET($A124,-1,0),0)))))</f>
        <v>8</v>
      </c>
      <c r="N124" s="167" t="str">
        <f ca="1">IF($D124&lt;&gt;"Serviço","",
         IF(AUTOEVENTO="Manual",
                IF($A124=0,"&lt;-- defina o número do agrupador",
                       OFFSET(EVENTOS!$D$15,$A124-$A$15,0)),
                OFFSET($F$15,$A124,0)))</f>
        <v>PAVIMENTAÇÕES</v>
      </c>
      <c r="O124" s="168"/>
      <c r="Q124" s="168">
        <v>12.98</v>
      </c>
      <c r="R124" s="169">
        <v>12.98</v>
      </c>
      <c r="S124" s="169">
        <v>12.98</v>
      </c>
      <c r="T124" s="169">
        <v>12.98</v>
      </c>
      <c r="U124" s="169">
        <v>12.98</v>
      </c>
      <c r="V124" s="169">
        <v>12.98</v>
      </c>
      <c r="W124" s="169">
        <v>12.98</v>
      </c>
      <c r="X124" s="169">
        <v>12.98</v>
      </c>
      <c r="Y124" s="169">
        <v>12.98</v>
      </c>
      <c r="Z124" s="170">
        <v>12.98</v>
      </c>
      <c r="AA124" s="169">
        <v>12.98</v>
      </c>
      <c r="AB124" s="169">
        <v>12.98</v>
      </c>
      <c r="AC124" s="169">
        <v>12.98</v>
      </c>
      <c r="AD124" s="169">
        <v>12.98</v>
      </c>
      <c r="AE124" s="169">
        <v>12.98</v>
      </c>
      <c r="AF124" s="169">
        <v>12.98</v>
      </c>
      <c r="AG124" s="169">
        <v>12.98</v>
      </c>
      <c r="AH124" s="170">
        <v>12.98</v>
      </c>
      <c r="AI124" s="169">
        <v>12.98</v>
      </c>
      <c r="AJ124" s="169">
        <v>12.98</v>
      </c>
      <c r="AK124" s="169"/>
      <c r="AL124" s="169"/>
      <c r="AM124" s="169"/>
      <c r="AN124" s="169"/>
      <c r="AO124" s="169"/>
      <c r="AP124" s="170"/>
      <c r="AR124" s="453">
        <f ca="1">IF(AND($D124="Serviço",AR$12&lt;&gt;0,$H124&gt;0,OR(AUTOEVENTO&lt;&gt;"manual",$M124&lt;&gt;$A$15)),
        IF(Import.TipoArredondamento&lt;&gt;"TransfereGOV",
              ROUND(OFFSET($P124,0,AR$13),15-13*ORÇAMENTO!$AF$7)/$H124*OFFSET(ORÇAMENTO!$X$15,ROW(AR124)-ROW(AR$15),0),
              ROUND(ROUND(OFFSET($P124,0,AR$13),15-13*ORÇAMENTO!$AF$7)*OFFSET(ORÇAMENTO!$W$15,ROW(AR124)-ROW(AR$15),0),15-13*ORÇAMENTO!$AF$11)),
         0)</f>
        <v>0</v>
      </c>
      <c r="AS124" s="453">
        <f ca="1">IF(AND($D124="Serviço",AS$12&lt;&gt;0,$H124&gt;0,OR(AUTOEVENTO&lt;&gt;"manual",$M124&lt;&gt;$A$15)),
        IF(Import.TipoArredondamento&lt;&gt;"TransfereGOV",
              ROUND(OFFSET($P124,0,AS$13),15-13*ORÇAMENTO!$AF$7)/$H124*OFFSET(ORÇAMENTO!$X$15,ROW(AS124)-ROW(AS$15),0),
              ROUND(ROUND(OFFSET($P124,0,AS$13),15-13*ORÇAMENTO!$AF$7)*OFFSET(ORÇAMENTO!$W$15,ROW(AS124)-ROW(AS$15),0),15-13*ORÇAMENTO!$AF$11)),
         0)</f>
        <v>0</v>
      </c>
      <c r="AT124" s="453">
        <f ca="1">IF(AND($D124="Serviço",AT$12&lt;&gt;0,$H124&gt;0,OR(AUTOEVENTO&lt;&gt;"manual",$M124&lt;&gt;$A$15)),
        IF(Import.TipoArredondamento&lt;&gt;"TransfereGOV",
              ROUND(OFFSET($P124,0,AT$13),15-13*ORÇAMENTO!$AF$7)/$H124*OFFSET(ORÇAMENTO!$X$15,ROW(AT124)-ROW(AT$15),0),
              ROUND(ROUND(OFFSET($P124,0,AT$13),15-13*ORÇAMENTO!$AF$7)*OFFSET(ORÇAMENTO!$W$15,ROW(AT124)-ROW(AT$15),0),15-13*ORÇAMENTO!$AF$11)),
         0)</f>
        <v>0</v>
      </c>
      <c r="AU124" s="453">
        <f ca="1">IF(AND($D124="Serviço",AU$12&lt;&gt;0,$H124&gt;0,OR(AUTOEVENTO&lt;&gt;"manual",$M124&lt;&gt;$A$15)),
        IF(Import.TipoArredondamento&lt;&gt;"TransfereGOV",
              ROUND(OFFSET($P124,0,AU$13),15-13*ORÇAMENTO!$AF$7)/$H124*OFFSET(ORÇAMENTO!$X$15,ROW(AU124)-ROW(AU$15),0),
              ROUND(ROUND(OFFSET($P124,0,AU$13),15-13*ORÇAMENTO!$AF$7)*OFFSET(ORÇAMENTO!$W$15,ROW(AU124)-ROW(AU$15),0),15-13*ORÇAMENTO!$AF$11)),
         0)</f>
        <v>0</v>
      </c>
      <c r="AV124" s="453">
        <f ca="1">IF(AND($D124="Serviço",AV$12&lt;&gt;0,$H124&gt;0,OR(AUTOEVENTO&lt;&gt;"manual",$M124&lt;&gt;$A$15)),
        IF(Import.TipoArredondamento&lt;&gt;"TransfereGOV",
              ROUND(OFFSET($P124,0,AV$13),15-13*ORÇAMENTO!$AF$7)/$H124*OFFSET(ORÇAMENTO!$X$15,ROW(AV124)-ROW(AV$15),0),
              ROUND(ROUND(OFFSET($P124,0,AV$13),15-13*ORÇAMENTO!$AF$7)*OFFSET(ORÇAMENTO!$W$15,ROW(AV124)-ROW(AV$15),0),15-13*ORÇAMENTO!$AF$11)),
         0)</f>
        <v>0</v>
      </c>
      <c r="AW124" s="453">
        <f ca="1">IF(AND($D124="Serviço",AW$12&lt;&gt;0,$H124&gt;0,OR(AUTOEVENTO&lt;&gt;"manual",$M124&lt;&gt;$A$15)),
        IF(Import.TipoArredondamento&lt;&gt;"TransfereGOV",
              ROUND(OFFSET($P124,0,AW$13),15-13*ORÇAMENTO!$AF$7)/$H124*OFFSET(ORÇAMENTO!$X$15,ROW(AW124)-ROW(AW$15),0),
              ROUND(ROUND(OFFSET($P124,0,AW$13),15-13*ORÇAMENTO!$AF$7)*OFFSET(ORÇAMENTO!$W$15,ROW(AW124)-ROW(AW$15),0),15-13*ORÇAMENTO!$AF$11)),
         0)</f>
        <v>0</v>
      </c>
      <c r="AX124" s="453">
        <f ca="1">IF(AND($D124="Serviço",AX$12&lt;&gt;0,$H124&gt;0,OR(AUTOEVENTO&lt;&gt;"manual",$M124&lt;&gt;$A$15)),
        IF(Import.TipoArredondamento&lt;&gt;"TransfereGOV",
              ROUND(OFFSET($P124,0,AX$13),15-13*ORÇAMENTO!$AF$7)/$H124*OFFSET(ORÇAMENTO!$X$15,ROW(AX124)-ROW(AX$15),0),
              ROUND(ROUND(OFFSET($P124,0,AX$13),15-13*ORÇAMENTO!$AF$7)*OFFSET(ORÇAMENTO!$W$15,ROW(AX124)-ROW(AX$15),0),15-13*ORÇAMENTO!$AF$11)),
         0)</f>
        <v>0</v>
      </c>
      <c r="AY124" s="453">
        <f ca="1">IF(AND($D124="Serviço",AY$12&lt;&gt;0,$H124&gt;0,OR(AUTOEVENTO&lt;&gt;"manual",$M124&lt;&gt;$A$15)),
        IF(Import.TipoArredondamento&lt;&gt;"TransfereGOV",
              ROUND(OFFSET($P124,0,AY$13),15-13*ORÇAMENTO!$AF$7)/$H124*OFFSET(ORÇAMENTO!$X$15,ROW(AY124)-ROW(AY$15),0),
              ROUND(ROUND(OFFSET($P124,0,AY$13),15-13*ORÇAMENTO!$AF$7)*OFFSET(ORÇAMENTO!$W$15,ROW(AY124)-ROW(AY$15),0),15-13*ORÇAMENTO!$AF$11)),
         0)</f>
        <v>0</v>
      </c>
      <c r="AZ124" s="453">
        <f ca="1">IF(AND($D124="Serviço",AZ$12&lt;&gt;0,$H124&gt;0,OR(AUTOEVENTO&lt;&gt;"manual",$M124&lt;&gt;$A$15)),
        IF(Import.TipoArredondamento&lt;&gt;"TransfereGOV",
              ROUND(OFFSET($P124,0,AZ$13),15-13*ORÇAMENTO!$AF$7)/$H124*OFFSET(ORÇAMENTO!$X$15,ROW(AZ124)-ROW(AZ$15),0),
              ROUND(ROUND(OFFSET($P124,0,AZ$13),15-13*ORÇAMENTO!$AF$7)*OFFSET(ORÇAMENTO!$W$15,ROW(AZ124)-ROW(AZ$15),0),15-13*ORÇAMENTO!$AF$11)),
         0)</f>
        <v>0</v>
      </c>
      <c r="BA124" s="453">
        <f ca="1">IF(AND($D124="Serviço",BA$12&lt;&gt;0,$H124&gt;0,OR(AUTOEVENTO&lt;&gt;"manual",$M124&lt;&gt;$A$15)),
        IF(Import.TipoArredondamento&lt;&gt;"TransfereGOV",
              ROUND(OFFSET($P124,0,BA$13),15-13*ORÇAMENTO!$AF$7)/$H124*OFFSET(ORÇAMENTO!$X$15,ROW(BA124)-ROW(BA$15),0),
              ROUND(ROUND(OFFSET($P124,0,BA$13),15-13*ORÇAMENTO!$AF$7)*OFFSET(ORÇAMENTO!$W$15,ROW(BA124)-ROW(BA$15),0),15-13*ORÇAMENTO!$AF$11)),
         0)</f>
        <v>0</v>
      </c>
      <c r="BB124" s="453">
        <f ca="1">IF(AND($D124="Serviço",BB$12&lt;&gt;0,$H124&gt;0,OR(AUTOEVENTO&lt;&gt;"manual",$M124&lt;&gt;$A$15)),
        IF(Import.TipoArredondamento&lt;&gt;"TransfereGOV",
              ROUND(OFFSET($P124,0,BB$13),15-13*ORÇAMENTO!$AF$7)/$H124*OFFSET(ORÇAMENTO!$X$15,ROW(BB124)-ROW(BB$15),0),
              ROUND(ROUND(OFFSET($P124,0,BB$13),15-13*ORÇAMENTO!$AF$7)*OFFSET(ORÇAMENTO!$W$15,ROW(BB124)-ROW(BB$15),0),15-13*ORÇAMENTO!$AF$11)),
         0)</f>
        <v>0</v>
      </c>
      <c r="BC124" s="453">
        <f ca="1">IF(AND($D124="Serviço",BC$12&lt;&gt;0,$H124&gt;0,OR(AUTOEVENTO&lt;&gt;"manual",$M124&lt;&gt;$A$15)),
        IF(Import.TipoArredondamento&lt;&gt;"TransfereGOV",
              ROUND(OFFSET($P124,0,BC$13),15-13*ORÇAMENTO!$AF$7)/$H124*OFFSET(ORÇAMENTO!$X$15,ROW(BC124)-ROW(BC$15),0),
              ROUND(ROUND(OFFSET($P124,0,BC$13),15-13*ORÇAMENTO!$AF$7)*OFFSET(ORÇAMENTO!$W$15,ROW(BC124)-ROW(BC$15),0),15-13*ORÇAMENTO!$AF$11)),
         0)</f>
        <v>0</v>
      </c>
      <c r="BD124" s="453">
        <f ca="1">IF(AND($D124="Serviço",BD$12&lt;&gt;0,$H124&gt;0,OR(AUTOEVENTO&lt;&gt;"manual",$M124&lt;&gt;$A$15)),
        IF(Import.TipoArredondamento&lt;&gt;"TransfereGOV",
              ROUND(OFFSET($P124,0,BD$13),15-13*ORÇAMENTO!$AF$7)/$H124*OFFSET(ORÇAMENTO!$X$15,ROW(BD124)-ROW(BD$15),0),
              ROUND(ROUND(OFFSET($P124,0,BD$13),15-13*ORÇAMENTO!$AF$7)*OFFSET(ORÇAMENTO!$W$15,ROW(BD124)-ROW(BD$15),0),15-13*ORÇAMENTO!$AF$11)),
         0)</f>
        <v>0</v>
      </c>
      <c r="BE124" s="453">
        <f ca="1">IF(AND($D124="Serviço",BE$12&lt;&gt;0,$H124&gt;0,OR(AUTOEVENTO&lt;&gt;"manual",$M124&lt;&gt;$A$15)),
        IF(Import.TipoArredondamento&lt;&gt;"TransfereGOV",
              ROUND(OFFSET($P124,0,BE$13),15-13*ORÇAMENTO!$AF$7)/$H124*OFFSET(ORÇAMENTO!$X$15,ROW(BE124)-ROW(BE$15),0),
              ROUND(ROUND(OFFSET($P124,0,BE$13),15-13*ORÇAMENTO!$AF$7)*OFFSET(ORÇAMENTO!$W$15,ROW(BE124)-ROW(BE$15),0),15-13*ORÇAMENTO!$AF$11)),
         0)</f>
        <v>0</v>
      </c>
      <c r="BF124" s="453">
        <f ca="1">IF(AND($D124="Serviço",BF$12&lt;&gt;0,$H124&gt;0,OR(AUTOEVENTO&lt;&gt;"manual",$M124&lt;&gt;$A$15)),
        IF(Import.TipoArredondamento&lt;&gt;"TransfereGOV",
              ROUND(OFFSET($P124,0,BF$13),15-13*ORÇAMENTO!$AF$7)/$H124*OFFSET(ORÇAMENTO!$X$15,ROW(BF124)-ROW(BF$15),0),
              ROUND(ROUND(OFFSET($P124,0,BF$13),15-13*ORÇAMENTO!$AF$7)*OFFSET(ORÇAMENTO!$W$15,ROW(BF124)-ROW(BF$15),0),15-13*ORÇAMENTO!$AF$11)),
         0)</f>
        <v>0</v>
      </c>
      <c r="BG124" s="453">
        <f ca="1">IF(AND($D124="Serviço",BG$12&lt;&gt;0,$H124&gt;0,OR(AUTOEVENTO&lt;&gt;"manual",$M124&lt;&gt;$A$15)),
        IF(Import.TipoArredondamento&lt;&gt;"TransfereGOV",
              ROUND(OFFSET($P124,0,BG$13),15-13*ORÇAMENTO!$AF$7)/$H124*OFFSET(ORÇAMENTO!$X$15,ROW(BG124)-ROW(BG$15),0),
              ROUND(ROUND(OFFSET($P124,0,BG$13),15-13*ORÇAMENTO!$AF$7)*OFFSET(ORÇAMENTO!$W$15,ROW(BG124)-ROW(BG$15),0),15-13*ORÇAMENTO!$AF$11)),
         0)</f>
        <v>0</v>
      </c>
      <c r="BH124" s="453">
        <f ca="1">IF(AND($D124="Serviço",BH$12&lt;&gt;0,$H124&gt;0,OR(AUTOEVENTO&lt;&gt;"manual",$M124&lt;&gt;$A$15)),
        IF(Import.TipoArredondamento&lt;&gt;"TransfereGOV",
              ROUND(OFFSET($P124,0,BH$13),15-13*ORÇAMENTO!$AF$7)/$H124*OFFSET(ORÇAMENTO!$X$15,ROW(BH124)-ROW(BH$15),0),
              ROUND(ROUND(OFFSET($P124,0,BH$13),15-13*ORÇAMENTO!$AF$7)*OFFSET(ORÇAMENTO!$W$15,ROW(BH124)-ROW(BH$15),0),15-13*ORÇAMENTO!$AF$11)),
         0)</f>
        <v>0</v>
      </c>
      <c r="BI124" s="453">
        <f ca="1">IF(AND($D124="Serviço",BI$12&lt;&gt;0,$H124&gt;0,OR(AUTOEVENTO&lt;&gt;"manual",$M124&lt;&gt;$A$15)),
        IF(Import.TipoArredondamento&lt;&gt;"TransfereGOV",
              ROUND(OFFSET($P124,0,BI$13),15-13*ORÇAMENTO!$AF$7)/$H124*OFFSET(ORÇAMENTO!$X$15,ROW(BI124)-ROW(BI$15),0),
              ROUND(ROUND(OFFSET($P124,0,BI$13),15-13*ORÇAMENTO!$AF$7)*OFFSET(ORÇAMENTO!$W$15,ROW(BI124)-ROW(BI$15),0),15-13*ORÇAMENTO!$AF$11)),
         0)</f>
        <v>0</v>
      </c>
      <c r="BJ124" s="453">
        <f ca="1">IF(AND($D124="Serviço",BJ$12&lt;&gt;0,$H124&gt;0,OR(AUTOEVENTO&lt;&gt;"manual",$M124&lt;&gt;$A$15)),
        IF(Import.TipoArredondamento&lt;&gt;"TransfereGOV",
              ROUND(OFFSET($P124,0,BJ$13),15-13*ORÇAMENTO!$AF$7)/$H124*OFFSET(ORÇAMENTO!$X$15,ROW(BJ124)-ROW(BJ$15),0),
              ROUND(ROUND(OFFSET($P124,0,BJ$13),15-13*ORÇAMENTO!$AF$7)*OFFSET(ORÇAMENTO!$W$15,ROW(BJ124)-ROW(BJ$15),0),15-13*ORÇAMENTO!$AF$11)),
         0)</f>
        <v>0</v>
      </c>
      <c r="BK124" s="453">
        <f ca="1">IF(AND($D124="Serviço",BK$12&lt;&gt;0,$H124&gt;0,OR(AUTOEVENTO&lt;&gt;"manual",$M124&lt;&gt;$A$15)),
        IF(Import.TipoArredondamento&lt;&gt;"TransfereGOV",
              ROUND(OFFSET($P124,0,BK$13),15-13*ORÇAMENTO!$AF$7)/$H124*OFFSET(ORÇAMENTO!$X$15,ROW(BK124)-ROW(BK$15),0),
              ROUND(ROUND(OFFSET($P124,0,BK$13),15-13*ORÇAMENTO!$AF$7)*OFFSET(ORÇAMENTO!$W$15,ROW(BK124)-ROW(BK$15),0),15-13*ORÇAMENTO!$AF$11)),
         0)</f>
        <v>0</v>
      </c>
      <c r="BL124" s="453">
        <f ca="1">IF(AND($D124="Serviço",BL$12&lt;&gt;0,$H124&gt;0,OR(AUTOEVENTO&lt;&gt;"manual",$M124&lt;&gt;$A$15)),
        IF(Import.TipoArredondamento&lt;&gt;"TransfereGOV",
              ROUND(OFFSET($P124,0,BL$13),15-13*ORÇAMENTO!$AF$7)/$H124*OFFSET(ORÇAMENTO!$X$15,ROW(BL124)-ROW(BL$15),0),
              ROUND(ROUND(OFFSET($P124,0,BL$13),15-13*ORÇAMENTO!$AF$7)*OFFSET(ORÇAMENTO!$W$15,ROW(BL124)-ROW(BL$15),0),15-13*ORÇAMENTO!$AF$11)),
         0)</f>
        <v>0</v>
      </c>
      <c r="BM124" s="453">
        <f ca="1">IF(AND($D124="Serviço",BM$12&lt;&gt;0,$H124&gt;0,OR(AUTOEVENTO&lt;&gt;"manual",$M124&lt;&gt;$A$15)),
        IF(Import.TipoArredondamento&lt;&gt;"TransfereGOV",
              ROUND(OFFSET($P124,0,BM$13),15-13*ORÇAMENTO!$AF$7)/$H124*OFFSET(ORÇAMENTO!$X$15,ROW(BM124)-ROW(BM$15),0),
              ROUND(ROUND(OFFSET($P124,0,BM$13),15-13*ORÇAMENTO!$AF$7)*OFFSET(ORÇAMENTO!$W$15,ROW(BM124)-ROW(BM$15),0),15-13*ORÇAMENTO!$AF$11)),
         0)</f>
        <v>0</v>
      </c>
      <c r="BN124" s="453">
        <f ca="1">IF(AND($D124="Serviço",BN$12&lt;&gt;0,$H124&gt;0,OR(AUTOEVENTO&lt;&gt;"manual",$M124&lt;&gt;$A$15)),
        IF(Import.TipoArredondamento&lt;&gt;"TransfereGOV",
              ROUND(OFFSET($P124,0,BN$13),15-13*ORÇAMENTO!$AF$7)/$H124*OFFSET(ORÇAMENTO!$X$15,ROW(BN124)-ROW(BN$15),0),
              ROUND(ROUND(OFFSET($P124,0,BN$13),15-13*ORÇAMENTO!$AF$7)*OFFSET(ORÇAMENTO!$W$15,ROW(BN124)-ROW(BN$15),0),15-13*ORÇAMENTO!$AF$11)),
         0)</f>
        <v>0</v>
      </c>
      <c r="BO124" s="453">
        <f ca="1">IF(AND($D124="Serviço",BO$12&lt;&gt;0,$H124&gt;0,OR(AUTOEVENTO&lt;&gt;"manual",$M124&lt;&gt;$A$15)),
        IF(Import.TipoArredondamento&lt;&gt;"TransfereGOV",
              ROUND(OFFSET($P124,0,BO$13),15-13*ORÇAMENTO!$AF$7)/$H124*OFFSET(ORÇAMENTO!$X$15,ROW(BO124)-ROW(BO$15),0),
              ROUND(ROUND(OFFSET($P124,0,BO$13),15-13*ORÇAMENTO!$AF$7)*OFFSET(ORÇAMENTO!$W$15,ROW(BO124)-ROW(BO$15),0),15-13*ORÇAMENTO!$AF$11)),
         0)</f>
        <v>0</v>
      </c>
      <c r="BP124" s="453">
        <f ca="1">IF(AND($D124="Serviço",BP$12&lt;&gt;0,$H124&gt;0,OR(AUTOEVENTO&lt;&gt;"manual",$M124&lt;&gt;$A$15)),
        IF(Import.TipoArredondamento&lt;&gt;"TransfereGOV",
              ROUND(OFFSET($P124,0,BP$13),15-13*ORÇAMENTO!$AF$7)/$H124*OFFSET(ORÇAMENTO!$X$15,ROW(BP124)-ROW(BP$15),0),
              ROUND(ROUND(OFFSET($P124,0,BP$13),15-13*ORÇAMENTO!$AF$7)*OFFSET(ORÇAMENTO!$W$15,ROW(BP124)-ROW(BP$15),0),15-13*ORÇAMENTO!$AF$11)),
         0)</f>
        <v>0</v>
      </c>
      <c r="BQ124" s="453">
        <f ca="1">IF(AND($D124="Serviço",BQ$12&lt;&gt;0,$H124&gt;0,OR(AUTOEVENTO&lt;&gt;"manual",$M124&lt;&gt;$A$15)),
        IF(Import.TipoArredondamento&lt;&gt;"TransfereGOV",
              ROUND(OFFSET($P124,0,BQ$13),15-13*ORÇAMENTO!$AF$7)/$H124*OFFSET(ORÇAMENTO!$X$15,ROW(BQ124)-ROW(BQ$15),0),
              ROUND(ROUND(OFFSET($P124,0,BQ$13),15-13*ORÇAMENTO!$AF$7)*OFFSET(ORÇAMENTO!$W$15,ROW(BQ124)-ROW(BQ$15),0),15-13*ORÇAMENTO!$AF$11)),
         0)</f>
        <v>0</v>
      </c>
      <c r="BS124" s="171">
        <f ca="1">IF(OR($D124&lt;&gt;"Serviço",AND(AUTOEVENTO="Manual",$M124=$A$15)),0,
         IF(OFFSET(CRONOPLE!$F$15,$M124-$A$15,BS$13)=0,10^12,OFFSET(CRONOPLE!$F$15,$M124-$A$15,BS$13)))</f>
        <v>1</v>
      </c>
      <c r="BT124" s="171">
        <f ca="1">IF(OR($D124&lt;&gt;"Serviço",AND(AUTOEVENTO="Manual",$M124=$A$15)),0,
         IF(OFFSET(CRONOPLE!$F$15,$M124-$A$15,BT$13)=0,10^12,OFFSET(CRONOPLE!$F$15,$M124-$A$15,BT$13)))</f>
        <v>2</v>
      </c>
      <c r="BU124" s="171">
        <f ca="1">IF(OR($D124&lt;&gt;"Serviço",AND(AUTOEVENTO="Manual",$M124=$A$15)),0,
         IF(OFFSET(CRONOPLE!$F$15,$M124-$A$15,BU$13)=0,10^12,OFFSET(CRONOPLE!$F$15,$M124-$A$15,BU$13)))</f>
        <v>3</v>
      </c>
      <c r="BV124" s="171">
        <f ca="1">IF(OR($D124&lt;&gt;"Serviço",AND(AUTOEVENTO="Manual",$M124=$A$15)),0,
         IF(OFFSET(CRONOPLE!$F$15,$M124-$A$15,BV$13)=0,10^12,OFFSET(CRONOPLE!$F$15,$M124-$A$15,BV$13)))</f>
        <v>4</v>
      </c>
      <c r="BW124" s="171">
        <f ca="1">IF(OR($D124&lt;&gt;"Serviço",AND(AUTOEVENTO="Manual",$M124=$A$15)),0,
         IF(OFFSET(CRONOPLE!$F$15,$M124-$A$15,BW$13)=0,10^12,OFFSET(CRONOPLE!$F$15,$M124-$A$15,BW$13)))</f>
        <v>5</v>
      </c>
      <c r="BX124" s="171">
        <f ca="1">IF(OR($D124&lt;&gt;"Serviço",AND(AUTOEVENTO="Manual",$M124=$A$15)),0,
         IF(OFFSET(CRONOPLE!$F$15,$M124-$A$15,BX$13)=0,10^12,OFFSET(CRONOPLE!$F$15,$M124-$A$15,BX$13)))</f>
        <v>6</v>
      </c>
      <c r="BY124" s="171">
        <f ca="1">IF(OR($D124&lt;&gt;"Serviço",AND(AUTOEVENTO="Manual",$M124=$A$15)),0,
         IF(OFFSET(CRONOPLE!$F$15,$M124-$A$15,BY$13)=0,10^12,OFFSET(CRONOPLE!$F$15,$M124-$A$15,BY$13)))</f>
        <v>7</v>
      </c>
      <c r="BZ124" s="171">
        <f ca="1">IF(OR($D124&lt;&gt;"Serviço",AND(AUTOEVENTO="Manual",$M124=$A$15)),0,
         IF(OFFSET(CRONOPLE!$F$15,$M124-$A$15,BZ$13)=0,10^12,OFFSET(CRONOPLE!$F$15,$M124-$A$15,BZ$13)))</f>
        <v>8</v>
      </c>
      <c r="CA124" s="171">
        <f ca="1">IF(OR($D124&lt;&gt;"Serviço",AND(AUTOEVENTO="Manual",$M124=$A$15)),0,
         IF(OFFSET(CRONOPLE!$F$15,$M124-$A$15,CA$13)=0,10^12,OFFSET(CRONOPLE!$F$15,$M124-$A$15,CA$13)))</f>
        <v>9</v>
      </c>
      <c r="CB124" s="171">
        <f ca="1">IF(OR($D124&lt;&gt;"Serviço",AND(AUTOEVENTO="Manual",$M124=$A$15)),0,
         IF(OFFSET(CRONOPLE!$F$15,$M124-$A$15,CB$13)=0,10^12,OFFSET(CRONOPLE!$F$15,$M124-$A$15,CB$13)))</f>
        <v>10</v>
      </c>
      <c r="CC124" s="171">
        <f ca="1">IF(OR($D124&lt;&gt;"Serviço",AND(AUTOEVENTO="Manual",$M124=$A$15)),0,
         IF(OFFSET(CRONOPLE!$F$15,$M124-$A$15,CC$13)=0,10^12,OFFSET(CRONOPLE!$F$15,$M124-$A$15,CC$13)))</f>
        <v>11</v>
      </c>
      <c r="CD124" s="171">
        <f ca="1">IF(OR($D124&lt;&gt;"Serviço",AND(AUTOEVENTO="Manual",$M124=$A$15)),0,
         IF(OFFSET(CRONOPLE!$F$15,$M124-$A$15,CD$13)=0,10^12,OFFSET(CRONOPLE!$F$15,$M124-$A$15,CD$13)))</f>
        <v>12</v>
      </c>
      <c r="CE124" s="171">
        <f ca="1">IF(OR($D124&lt;&gt;"Serviço",AND(AUTOEVENTO="Manual",$M124=$A$15)),0,
         IF(OFFSET(CRONOPLE!$F$15,$M124-$A$15,CE$13)=0,10^12,OFFSET(CRONOPLE!$F$15,$M124-$A$15,CE$13)))</f>
        <v>13</v>
      </c>
      <c r="CF124" s="171">
        <f ca="1">IF(OR($D124&lt;&gt;"Serviço",AND(AUTOEVENTO="Manual",$M124=$A$15)),0,
         IF(OFFSET(CRONOPLE!$F$15,$M124-$A$15,CF$13)=0,10^12,OFFSET(CRONOPLE!$F$15,$M124-$A$15,CF$13)))</f>
        <v>14</v>
      </c>
      <c r="CG124" s="171">
        <f ca="1">IF(OR($D124&lt;&gt;"Serviço",AND(AUTOEVENTO="Manual",$M124=$A$15)),0,
         IF(OFFSET(CRONOPLE!$F$15,$M124-$A$15,CG$13)=0,10^12,OFFSET(CRONOPLE!$F$15,$M124-$A$15,CG$13)))</f>
        <v>15</v>
      </c>
      <c r="CH124" s="171">
        <f ca="1">IF(OR($D124&lt;&gt;"Serviço",AND(AUTOEVENTO="Manual",$M124=$A$15)),0,
         IF(OFFSET(CRONOPLE!$F$15,$M124-$A$15,CH$13)=0,10^12,OFFSET(CRONOPLE!$F$15,$M124-$A$15,CH$13)))</f>
        <v>16</v>
      </c>
      <c r="CI124" s="171">
        <f ca="1">IF(OR($D124&lt;&gt;"Serviço",AND(AUTOEVENTO="Manual",$M124=$A$15)),0,
         IF(OFFSET(CRONOPLE!$F$15,$M124-$A$15,CI$13)=0,10^12,OFFSET(CRONOPLE!$F$15,$M124-$A$15,CI$13)))</f>
        <v>17</v>
      </c>
      <c r="CJ124" s="171">
        <f ca="1">IF(OR($D124&lt;&gt;"Serviço",AND(AUTOEVENTO="Manual",$M124=$A$15)),0,
         IF(OFFSET(CRONOPLE!$F$15,$M124-$A$15,CJ$13)=0,10^12,OFFSET(CRONOPLE!$F$15,$M124-$A$15,CJ$13)))</f>
        <v>18</v>
      </c>
      <c r="CK124" s="171">
        <f ca="1">IF(OR($D124&lt;&gt;"Serviço",AND(AUTOEVENTO="Manual",$M124=$A$15)),0,
         IF(OFFSET(CRONOPLE!$F$15,$M124-$A$15,CK$13)=0,10^12,OFFSET(CRONOPLE!$F$15,$M124-$A$15,CK$13)))</f>
        <v>19</v>
      </c>
      <c r="CL124" s="171">
        <f ca="1">IF(OR($D124&lt;&gt;"Serviço",AND(AUTOEVENTO="Manual",$M124=$A$15)),0,
         IF(OFFSET(CRONOPLE!$F$15,$M124-$A$15,CL$13)=0,10^12,OFFSET(CRONOPLE!$F$15,$M124-$A$15,CL$13)))</f>
        <v>20</v>
      </c>
      <c r="CM124" s="171">
        <f ca="1">IF(OR($D124&lt;&gt;"Serviço",AND(AUTOEVENTO="Manual",$M124=$A$15)),0,
         IF(OFFSET(CRONOPLE!$F$15,$M124-$A$15,CM$13)=0,10^12,OFFSET(CRONOPLE!$F$15,$M124-$A$15,CM$13)))</f>
        <v>1000000000000</v>
      </c>
      <c r="CN124" s="171">
        <f ca="1">IF(OR($D124&lt;&gt;"Serviço",AND(AUTOEVENTO="Manual",$M124=$A$15)),0,
         IF(OFFSET(CRONOPLE!$F$15,$M124-$A$15,CN$13)=0,10^12,OFFSET(CRONOPLE!$F$15,$M124-$A$15,CN$13)))</f>
        <v>1000000000000</v>
      </c>
      <c r="CO124" s="171">
        <f ca="1">IF(OR($D124&lt;&gt;"Serviço",AND(AUTOEVENTO="Manual",$M124=$A$15)),0,
         IF(OFFSET(CRONOPLE!$F$15,$M124-$A$15,CO$13)=0,10^12,OFFSET(CRONOPLE!$F$15,$M124-$A$15,CO$13)))</f>
        <v>1000000000000</v>
      </c>
      <c r="CP124" s="171">
        <f ca="1">IF(OR($D124&lt;&gt;"Serviço",AND(AUTOEVENTO="Manual",$M124=$A$15)),0,
         IF(OFFSET(CRONOPLE!$F$15,$M124-$A$15,CP$13)=0,10^12,OFFSET(CRONOPLE!$F$15,$M124-$A$15,CP$13)))</f>
        <v>1000000000000</v>
      </c>
      <c r="CQ124" s="171">
        <f ca="1">IF(OR($D124&lt;&gt;"Serviço",AND(AUTOEVENTO="Manual",$M124=$A$15)),0,
         IF(OFFSET(CRONOPLE!$F$15,$M124-$A$15,CQ$13)=0,10^12,OFFSET(CRONOPLE!$F$15,$M124-$A$15,CQ$13)))</f>
        <v>1000000000000</v>
      </c>
      <c r="CR124" s="171">
        <f ca="1">IF(OR($D124&lt;&gt;"Serviço",AND(AUTOEVENTO="Manual",$M124=$A$15)),0,
         IF(OFFSET(CRONOPLE!$F$15,$M124-$A$15,CR$13)=0,10^12,OFFSET(CRONOPLE!$F$15,$M124-$A$15,CR$13)))</f>
        <v>1000000000000</v>
      </c>
      <c r="CT124" s="172" cm="1">
        <f t="array" aca="1" ref="CT124" ca="1">IF(OR($D124&lt;&gt;"Serviço",AND(AUTOEVENTO="Manual",$M124=$A$15),$M124&gt;(ROW(PLE.lastrow)-ROW(PLE.firstrow))),0,
           IF(OFFSET(PLE!$G$15,$M124-$A$15,CT$13)="",10^12,OFFSET(PLE!$G$15,$M124-$A$15,CT$13)))</f>
        <v>1000000000000</v>
      </c>
      <c r="CU124" s="172" cm="1">
        <f t="array" aca="1" ref="CU124" ca="1">IF(OR($D124&lt;&gt;"Serviço",AND(AUTOEVENTO="Manual",$M124=$A$15),$M124&gt;(ROW(PLE.lastrow)-ROW(PLE.firstrow))),0,
           IF(OFFSET(PLE!$G$15,$M124-$A$15,CU$13)="",10^12,OFFSET(PLE!$G$15,$M124-$A$15,CU$13)))</f>
        <v>1000000000000</v>
      </c>
      <c r="CV124" s="172" cm="1">
        <f t="array" aca="1" ref="CV124" ca="1">IF(OR($D124&lt;&gt;"Serviço",AND(AUTOEVENTO="Manual",$M124=$A$15),$M124&gt;(ROW(PLE.lastrow)-ROW(PLE.firstrow))),0,
           IF(OFFSET(PLE!$G$15,$M124-$A$15,CV$13)="",10^12,OFFSET(PLE!$G$15,$M124-$A$15,CV$13)))</f>
        <v>1000000000000</v>
      </c>
      <c r="CW124" s="172" cm="1">
        <f t="array" aca="1" ref="CW124" ca="1">IF(OR($D124&lt;&gt;"Serviço",AND(AUTOEVENTO="Manual",$M124=$A$15),$M124&gt;(ROW(PLE.lastrow)-ROW(PLE.firstrow))),0,
           IF(OFFSET(PLE!$G$15,$M124-$A$15,CW$13)="",10^12,OFFSET(PLE!$G$15,$M124-$A$15,CW$13)))</f>
        <v>1000000000000</v>
      </c>
      <c r="CX124" s="172" cm="1">
        <f t="array" aca="1" ref="CX124" ca="1">IF(OR($D124&lt;&gt;"Serviço",AND(AUTOEVENTO="Manual",$M124=$A$15),$M124&gt;(ROW(PLE.lastrow)-ROW(PLE.firstrow))),0,
           IF(OFFSET(PLE!$G$15,$M124-$A$15,CX$13)="",10^12,OFFSET(PLE!$G$15,$M124-$A$15,CX$13)))</f>
        <v>1000000000000</v>
      </c>
      <c r="CY124" s="172" cm="1">
        <f t="array" aca="1" ref="CY124" ca="1">IF(OR($D124&lt;&gt;"Serviço",AND(AUTOEVENTO="Manual",$M124=$A$15),$M124&gt;(ROW(PLE.lastrow)-ROW(PLE.firstrow))),0,
           IF(OFFSET(PLE!$G$15,$M124-$A$15,CY$13)="",10^12,OFFSET(PLE!$G$15,$M124-$A$15,CY$13)))</f>
        <v>1000000000000</v>
      </c>
      <c r="CZ124" s="172" cm="1">
        <f t="array" aca="1" ref="CZ124" ca="1">IF(OR($D124&lt;&gt;"Serviço",AND(AUTOEVENTO="Manual",$M124=$A$15),$M124&gt;(ROW(PLE.lastrow)-ROW(PLE.firstrow))),0,
           IF(OFFSET(PLE!$G$15,$M124-$A$15,CZ$13)="",10^12,OFFSET(PLE!$G$15,$M124-$A$15,CZ$13)))</f>
        <v>1000000000000</v>
      </c>
      <c r="DA124" s="172" cm="1">
        <f t="array" aca="1" ref="DA124" ca="1">IF(OR($D124&lt;&gt;"Serviço",AND(AUTOEVENTO="Manual",$M124=$A$15),$M124&gt;(ROW(PLE.lastrow)-ROW(PLE.firstrow))),0,
           IF(OFFSET(PLE!$G$15,$M124-$A$15,DA$13)="",10^12,OFFSET(PLE!$G$15,$M124-$A$15,DA$13)))</f>
        <v>1000000000000</v>
      </c>
      <c r="DB124" s="172" cm="1">
        <f t="array" aca="1" ref="DB124" ca="1">IF(OR($D124&lt;&gt;"Serviço",AND(AUTOEVENTO="Manual",$M124=$A$15),$M124&gt;(ROW(PLE.lastrow)-ROW(PLE.firstrow))),0,
           IF(OFFSET(PLE!$G$15,$M124-$A$15,DB$13)="",10^12,OFFSET(PLE!$G$15,$M124-$A$15,DB$13)))</f>
        <v>1000000000000</v>
      </c>
      <c r="DC124" s="172" cm="1">
        <f t="array" aca="1" ref="DC124" ca="1">IF(OR($D124&lt;&gt;"Serviço",AND(AUTOEVENTO="Manual",$M124=$A$15),$M124&gt;(ROW(PLE.lastrow)-ROW(PLE.firstrow))),0,
           IF(OFFSET(PLE!$G$15,$M124-$A$15,DC$13)="",10^12,OFFSET(PLE!$G$15,$M124-$A$15,DC$13)))</f>
        <v>1000000000000</v>
      </c>
      <c r="DD124" s="172" cm="1">
        <f t="array" aca="1" ref="DD124" ca="1">IF(OR($D124&lt;&gt;"Serviço",AND(AUTOEVENTO="Manual",$M124=$A$15),$M124&gt;(ROW(PLE.lastrow)-ROW(PLE.firstrow))),0,
           IF(OFFSET(PLE!$G$15,$M124-$A$15,DD$13)="",10^12,OFFSET(PLE!$G$15,$M124-$A$15,DD$13)))</f>
        <v>1000000000000</v>
      </c>
      <c r="DE124" s="172" cm="1">
        <f t="array" aca="1" ref="DE124" ca="1">IF(OR($D124&lt;&gt;"Serviço",AND(AUTOEVENTO="Manual",$M124=$A$15),$M124&gt;(ROW(PLE.lastrow)-ROW(PLE.firstrow))),0,
           IF(OFFSET(PLE!$G$15,$M124-$A$15,DE$13)="",10^12,OFFSET(PLE!$G$15,$M124-$A$15,DE$13)))</f>
        <v>1000000000000</v>
      </c>
      <c r="DF124" s="172" cm="1">
        <f t="array" aca="1" ref="DF124" ca="1">IF(OR($D124&lt;&gt;"Serviço",AND(AUTOEVENTO="Manual",$M124=$A$15),$M124&gt;(ROW(PLE.lastrow)-ROW(PLE.firstrow))),0,
           IF(OFFSET(PLE!$G$15,$M124-$A$15,DF$13)="",10^12,OFFSET(PLE!$G$15,$M124-$A$15,DF$13)))</f>
        <v>1000000000000</v>
      </c>
      <c r="DG124" s="172" cm="1">
        <f t="array" aca="1" ref="DG124" ca="1">IF(OR($D124&lt;&gt;"Serviço",AND(AUTOEVENTO="Manual",$M124=$A$15),$M124&gt;(ROW(PLE.lastrow)-ROW(PLE.firstrow))),0,
           IF(OFFSET(PLE!$G$15,$M124-$A$15,DG$13)="",10^12,OFFSET(PLE!$G$15,$M124-$A$15,DG$13)))</f>
        <v>1000000000000</v>
      </c>
      <c r="DH124" s="172" cm="1">
        <f t="array" aca="1" ref="DH124" ca="1">IF(OR($D124&lt;&gt;"Serviço",AND(AUTOEVENTO="Manual",$M124=$A$15),$M124&gt;(ROW(PLE.lastrow)-ROW(PLE.firstrow))),0,
           IF(OFFSET(PLE!$G$15,$M124-$A$15,DH$13)="",10^12,OFFSET(PLE!$G$15,$M124-$A$15,DH$13)))</f>
        <v>1000000000000</v>
      </c>
      <c r="DI124" s="172" cm="1">
        <f t="array" aca="1" ref="DI124" ca="1">IF(OR($D124&lt;&gt;"Serviço",AND(AUTOEVENTO="Manual",$M124=$A$15),$M124&gt;(ROW(PLE.lastrow)-ROW(PLE.firstrow))),0,
           IF(OFFSET(PLE!$G$15,$M124-$A$15,DI$13)="",10^12,OFFSET(PLE!$G$15,$M124-$A$15,DI$13)))</f>
        <v>1000000000000</v>
      </c>
      <c r="DJ124" s="172" cm="1">
        <f t="array" aca="1" ref="DJ124" ca="1">IF(OR($D124&lt;&gt;"Serviço",AND(AUTOEVENTO="Manual",$M124=$A$15),$M124&gt;(ROW(PLE.lastrow)-ROW(PLE.firstrow))),0,
           IF(OFFSET(PLE!$G$15,$M124-$A$15,DJ$13)="",10^12,OFFSET(PLE!$G$15,$M124-$A$15,DJ$13)))</f>
        <v>1000000000000</v>
      </c>
      <c r="DK124" s="172" cm="1">
        <f t="array" aca="1" ref="DK124" ca="1">IF(OR($D124&lt;&gt;"Serviço",AND(AUTOEVENTO="Manual",$M124=$A$15),$M124&gt;(ROW(PLE.lastrow)-ROW(PLE.firstrow))),0,
           IF(OFFSET(PLE!$G$15,$M124-$A$15,DK$13)="",10^12,OFFSET(PLE!$G$15,$M124-$A$15,DK$13)))</f>
        <v>1000000000000</v>
      </c>
      <c r="DL124" s="172" cm="1">
        <f t="array" aca="1" ref="DL124" ca="1">IF(OR($D124&lt;&gt;"Serviço",AND(AUTOEVENTO="Manual",$M124=$A$15),$M124&gt;(ROW(PLE.lastrow)-ROW(PLE.firstrow))),0,
           IF(OFFSET(PLE!$G$15,$M124-$A$15,DL$13)="",10^12,OFFSET(PLE!$G$15,$M124-$A$15,DL$13)))</f>
        <v>1000000000000</v>
      </c>
      <c r="DM124" s="172" cm="1">
        <f t="array" aca="1" ref="DM124" ca="1">IF(OR($D124&lt;&gt;"Serviço",AND(AUTOEVENTO="Manual",$M124=$A$15),$M124&gt;(ROW(PLE.lastrow)-ROW(PLE.firstrow))),0,
           IF(OFFSET(PLE!$G$15,$M124-$A$15,DM$13)="",10^12,OFFSET(PLE!$G$15,$M124-$A$15,DM$13)))</f>
        <v>1000000000000</v>
      </c>
      <c r="DN124" s="172" cm="1">
        <f t="array" aca="1" ref="DN124" ca="1">IF(OR($D124&lt;&gt;"Serviço",AND(AUTOEVENTO="Manual",$M124=$A$15),$M124&gt;(ROW(PLE.lastrow)-ROW(PLE.firstrow))),0,
           IF(OFFSET(PLE!$G$15,$M124-$A$15,DN$13)="",10^12,OFFSET(PLE!$G$15,$M124-$A$15,DN$13)))</f>
        <v>1000000000000</v>
      </c>
      <c r="DO124" s="172" cm="1">
        <f t="array" aca="1" ref="DO124" ca="1">IF(OR($D124&lt;&gt;"Serviço",AND(AUTOEVENTO="Manual",$M124=$A$15),$M124&gt;(ROW(PLE.lastrow)-ROW(PLE.firstrow))),0,
           IF(OFFSET(PLE!$G$15,$M124-$A$15,DO$13)="",10^12,OFFSET(PLE!$G$15,$M124-$A$15,DO$13)))</f>
        <v>1000000000000</v>
      </c>
      <c r="DP124" s="172" cm="1">
        <f t="array" aca="1" ref="DP124" ca="1">IF(OR($D124&lt;&gt;"Serviço",AND(AUTOEVENTO="Manual",$M124=$A$15),$M124&gt;(ROW(PLE.lastrow)-ROW(PLE.firstrow))),0,
           IF(OFFSET(PLE!$G$15,$M124-$A$15,DP$13)="",10^12,OFFSET(PLE!$G$15,$M124-$A$15,DP$13)))</f>
        <v>1000000000000</v>
      </c>
      <c r="DQ124" s="172" cm="1">
        <f t="array" aca="1" ref="DQ124" ca="1">IF(OR($D124&lt;&gt;"Serviço",AND(AUTOEVENTO="Manual",$M124=$A$15),$M124&gt;(ROW(PLE.lastrow)-ROW(PLE.firstrow))),0,
           IF(OFFSET(PLE!$G$15,$M124-$A$15,DQ$13)="",10^12,OFFSET(PLE!$G$15,$M124-$A$15,DQ$13)))</f>
        <v>1000000000000</v>
      </c>
      <c r="DR124" s="172" cm="1">
        <f t="array" aca="1" ref="DR124" ca="1">IF(OR($D124&lt;&gt;"Serviço",AND(AUTOEVENTO="Manual",$M124=$A$15),$M124&gt;(ROW(PLE.lastrow)-ROW(PLE.firstrow))),0,
           IF(OFFSET(PLE!$G$15,$M124-$A$15,DR$13)="",10^12,OFFSET(PLE!$G$15,$M124-$A$15,DR$13)))</f>
        <v>1000000000000</v>
      </c>
      <c r="DS124" s="172" cm="1">
        <f t="array" aca="1" ref="DS124" ca="1">IF(OR($D124&lt;&gt;"Serviço",AND(AUTOEVENTO="Manual",$M124=$A$15),$M124&gt;(ROW(PLE.lastrow)-ROW(PLE.firstrow))),0,
           IF(OFFSET(PLE!$G$15,$M124-$A$15,DS$13)="",10^12,OFFSET(PLE!$G$15,$M124-$A$15,DS$13)))</f>
        <v>1000000000000</v>
      </c>
    </row>
    <row r="125" spans="1:123" ht="12.75" x14ac:dyDescent="0.2">
      <c r="A125" s="7">
        <f t="shared" ca="1" si="15"/>
        <v>0</v>
      </c>
      <c r="B125" s="7">
        <f ca="1">OFFSET(ORÇAMENTO!C$15,$L125,0)</f>
        <v>2</v>
      </c>
      <c r="C125" s="7" t="str">
        <f ca="1">OFFSET(ORÇAMENTO!L$15,$L125,0)</f>
        <v>F</v>
      </c>
      <c r="D125" s="116" t="str">
        <f ca="1">OFFSET(ORÇAMENTO!N$15,$L125,0)</f>
        <v>Nível 2</v>
      </c>
      <c r="E125" s="117" t="str">
        <f ca="1">OFFSET(ORÇAMENTO!O$15,$L125,0)</f>
        <v>8.2.</v>
      </c>
      <c r="F125" s="163" t="str">
        <f ca="1">OFFSET(ORÇAMENTO!R$15,$L125,0)</f>
        <v>PISO CIMENTADO</v>
      </c>
      <c r="G125" s="164" t="str">
        <f ca="1">IF($D125&lt;&gt;"Serviço","",OFFSET(ORÇAMENTO!S$15,$L125,0))</f>
        <v/>
      </c>
      <c r="H125" s="122" cm="1">
        <f t="array" aca="1" ref="H125" ca="1">IF($D125&lt;&gt;"Serviço",0,IF(ACOMPANHAMENTO="BM",ROUND(OFFSET(ORÇAMENTO!AJ$15,$L125,0),15-13*ORÇAMENTO!$AF$7),IF(IFERROR(CÁLCULO.FrentesPreenchidas,0)=0,0,SUM(ROUND(OFFSET($P125,0,1,1,CÁLCULO.FrentesPreenchidas),15-13*ORÇAMENTO!$AF$7)))))</f>
        <v>0</v>
      </c>
      <c r="I125" s="468"/>
      <c r="J125" s="651" t="str" cm="1">
        <f t="array" aca="1" ref="J125" ca="1">IF(OR(B125&lt;&gt;"S",CÁLCULO.FrentesPreenchidas=0),"",IF(AND(ACOMPANHAMENTO="PLE",AUTOEVENTO="Manual",OR(H125&gt;0,ORÇAMENTO!AC125="QUANT."),OR(K125="",M125=0,N125="")),"►E",IF(AND(ACOMPANHAMENTO="PLE",ORÇAMENTO!AC125="QUANT."),"►Q",IF(AND(ACOMPANHAMENTO="PLE",H125&lt;&gt;SUMPRODUCT(($Q$1:$AQ$1=1)*ROUND(Q125:AQ125,15))),"►S",IF(AND(COUNTIF($P$11:$AQ$11,"▼")=0,H125&gt;0,I125=""),"◄M","")))))</f>
        <v/>
      </c>
      <c r="K125" s="652"/>
      <c r="L125" s="165">
        <f t="shared" ca="1" si="14"/>
        <v>110</v>
      </c>
      <c r="M125" s="166" t="str">
        <f ca="1">IF($D125&lt;&gt;"Serviço","",
          IF(AUTOEVENTO="manual",$A125,
                IF(ISERROR(MATCH($A125,$A$15:OFFSET($A125,-1,0),0)),MAX($M$15:OFFSET(M125,-1,0))+1,
                      INDEX($M$15:OFFSET(M125,-1,0),MATCH($A125,$A$15:OFFSET($A125,-1,0),0)))))</f>
        <v/>
      </c>
      <c r="N125" s="167" t="str">
        <f ca="1">IF($D125&lt;&gt;"Serviço","",
         IF(AUTOEVENTO="Manual",
                IF($A125=0,"&lt;-- defina o número do agrupador",
                       OFFSET(EVENTOS!$D$15,$A125-$A$15,0)),
                OFFSET($F$15,$A125,0)))</f>
        <v/>
      </c>
      <c r="O125" s="168"/>
      <c r="Q125" s="168"/>
      <c r="R125" s="169"/>
      <c r="S125" s="169"/>
      <c r="T125" s="169"/>
      <c r="U125" s="169"/>
      <c r="V125" s="169"/>
      <c r="W125" s="169"/>
      <c r="X125" s="169"/>
      <c r="Y125" s="169"/>
      <c r="Z125" s="170"/>
      <c r="AA125" s="169"/>
      <c r="AB125" s="169"/>
      <c r="AC125" s="169"/>
      <c r="AD125" s="169"/>
      <c r="AE125" s="169"/>
      <c r="AF125" s="169"/>
      <c r="AG125" s="169"/>
      <c r="AH125" s="170"/>
      <c r="AI125" s="169"/>
      <c r="AJ125" s="169"/>
      <c r="AK125" s="169"/>
      <c r="AL125" s="169"/>
      <c r="AM125" s="169"/>
      <c r="AN125" s="169"/>
      <c r="AO125" s="169"/>
      <c r="AP125" s="170"/>
      <c r="AR125" s="453">
        <f ca="1">IF(AND($D125="Serviço",AR$12&lt;&gt;0,$H125&gt;0,OR(AUTOEVENTO&lt;&gt;"manual",$M125&lt;&gt;$A$15)),
        IF(Import.TipoArredondamento&lt;&gt;"TransfereGOV",
              ROUND(OFFSET($P125,0,AR$13),15-13*ORÇAMENTO!$AF$7)/$H125*OFFSET(ORÇAMENTO!$X$15,ROW(AR125)-ROW(AR$15),0),
              ROUND(ROUND(OFFSET($P125,0,AR$13),15-13*ORÇAMENTO!$AF$7)*OFFSET(ORÇAMENTO!$W$15,ROW(AR125)-ROW(AR$15),0),15-13*ORÇAMENTO!$AF$11)),
         0)</f>
        <v>0</v>
      </c>
      <c r="AS125" s="453">
        <f ca="1">IF(AND($D125="Serviço",AS$12&lt;&gt;0,$H125&gt;0,OR(AUTOEVENTO&lt;&gt;"manual",$M125&lt;&gt;$A$15)),
        IF(Import.TipoArredondamento&lt;&gt;"TransfereGOV",
              ROUND(OFFSET($P125,0,AS$13),15-13*ORÇAMENTO!$AF$7)/$H125*OFFSET(ORÇAMENTO!$X$15,ROW(AS125)-ROW(AS$15),0),
              ROUND(ROUND(OFFSET($P125,0,AS$13),15-13*ORÇAMENTO!$AF$7)*OFFSET(ORÇAMENTO!$W$15,ROW(AS125)-ROW(AS$15),0),15-13*ORÇAMENTO!$AF$11)),
         0)</f>
        <v>0</v>
      </c>
      <c r="AT125" s="453">
        <f ca="1">IF(AND($D125="Serviço",AT$12&lt;&gt;0,$H125&gt;0,OR(AUTOEVENTO&lt;&gt;"manual",$M125&lt;&gt;$A$15)),
        IF(Import.TipoArredondamento&lt;&gt;"TransfereGOV",
              ROUND(OFFSET($P125,0,AT$13),15-13*ORÇAMENTO!$AF$7)/$H125*OFFSET(ORÇAMENTO!$X$15,ROW(AT125)-ROW(AT$15),0),
              ROUND(ROUND(OFFSET($P125,0,AT$13),15-13*ORÇAMENTO!$AF$7)*OFFSET(ORÇAMENTO!$W$15,ROW(AT125)-ROW(AT$15),0),15-13*ORÇAMENTO!$AF$11)),
         0)</f>
        <v>0</v>
      </c>
      <c r="AU125" s="453">
        <f ca="1">IF(AND($D125="Serviço",AU$12&lt;&gt;0,$H125&gt;0,OR(AUTOEVENTO&lt;&gt;"manual",$M125&lt;&gt;$A$15)),
        IF(Import.TipoArredondamento&lt;&gt;"TransfereGOV",
              ROUND(OFFSET($P125,0,AU$13),15-13*ORÇAMENTO!$AF$7)/$H125*OFFSET(ORÇAMENTO!$X$15,ROW(AU125)-ROW(AU$15),0),
              ROUND(ROUND(OFFSET($P125,0,AU$13),15-13*ORÇAMENTO!$AF$7)*OFFSET(ORÇAMENTO!$W$15,ROW(AU125)-ROW(AU$15),0),15-13*ORÇAMENTO!$AF$11)),
         0)</f>
        <v>0</v>
      </c>
      <c r="AV125" s="453">
        <f ca="1">IF(AND($D125="Serviço",AV$12&lt;&gt;0,$H125&gt;0,OR(AUTOEVENTO&lt;&gt;"manual",$M125&lt;&gt;$A$15)),
        IF(Import.TipoArredondamento&lt;&gt;"TransfereGOV",
              ROUND(OFFSET($P125,0,AV$13),15-13*ORÇAMENTO!$AF$7)/$H125*OFFSET(ORÇAMENTO!$X$15,ROW(AV125)-ROW(AV$15),0),
              ROUND(ROUND(OFFSET($P125,0,AV$13),15-13*ORÇAMENTO!$AF$7)*OFFSET(ORÇAMENTO!$W$15,ROW(AV125)-ROW(AV$15),0),15-13*ORÇAMENTO!$AF$11)),
         0)</f>
        <v>0</v>
      </c>
      <c r="AW125" s="453">
        <f ca="1">IF(AND($D125="Serviço",AW$12&lt;&gt;0,$H125&gt;0,OR(AUTOEVENTO&lt;&gt;"manual",$M125&lt;&gt;$A$15)),
        IF(Import.TipoArredondamento&lt;&gt;"TransfereGOV",
              ROUND(OFFSET($P125,0,AW$13),15-13*ORÇAMENTO!$AF$7)/$H125*OFFSET(ORÇAMENTO!$X$15,ROW(AW125)-ROW(AW$15),0),
              ROUND(ROUND(OFFSET($P125,0,AW$13),15-13*ORÇAMENTO!$AF$7)*OFFSET(ORÇAMENTO!$W$15,ROW(AW125)-ROW(AW$15),0),15-13*ORÇAMENTO!$AF$11)),
         0)</f>
        <v>0</v>
      </c>
      <c r="AX125" s="453">
        <f ca="1">IF(AND($D125="Serviço",AX$12&lt;&gt;0,$H125&gt;0,OR(AUTOEVENTO&lt;&gt;"manual",$M125&lt;&gt;$A$15)),
        IF(Import.TipoArredondamento&lt;&gt;"TransfereGOV",
              ROUND(OFFSET($P125,0,AX$13),15-13*ORÇAMENTO!$AF$7)/$H125*OFFSET(ORÇAMENTO!$X$15,ROW(AX125)-ROW(AX$15),0),
              ROUND(ROUND(OFFSET($P125,0,AX$13),15-13*ORÇAMENTO!$AF$7)*OFFSET(ORÇAMENTO!$W$15,ROW(AX125)-ROW(AX$15),0),15-13*ORÇAMENTO!$AF$11)),
         0)</f>
        <v>0</v>
      </c>
      <c r="AY125" s="453">
        <f ca="1">IF(AND($D125="Serviço",AY$12&lt;&gt;0,$H125&gt;0,OR(AUTOEVENTO&lt;&gt;"manual",$M125&lt;&gt;$A$15)),
        IF(Import.TipoArredondamento&lt;&gt;"TransfereGOV",
              ROUND(OFFSET($P125,0,AY$13),15-13*ORÇAMENTO!$AF$7)/$H125*OFFSET(ORÇAMENTO!$X$15,ROW(AY125)-ROW(AY$15),0),
              ROUND(ROUND(OFFSET($P125,0,AY$13),15-13*ORÇAMENTO!$AF$7)*OFFSET(ORÇAMENTO!$W$15,ROW(AY125)-ROW(AY$15),0),15-13*ORÇAMENTO!$AF$11)),
         0)</f>
        <v>0</v>
      </c>
      <c r="AZ125" s="453">
        <f ca="1">IF(AND($D125="Serviço",AZ$12&lt;&gt;0,$H125&gt;0,OR(AUTOEVENTO&lt;&gt;"manual",$M125&lt;&gt;$A$15)),
        IF(Import.TipoArredondamento&lt;&gt;"TransfereGOV",
              ROUND(OFFSET($P125,0,AZ$13),15-13*ORÇAMENTO!$AF$7)/$H125*OFFSET(ORÇAMENTO!$X$15,ROW(AZ125)-ROW(AZ$15),0),
              ROUND(ROUND(OFFSET($P125,0,AZ$13),15-13*ORÇAMENTO!$AF$7)*OFFSET(ORÇAMENTO!$W$15,ROW(AZ125)-ROW(AZ$15),0),15-13*ORÇAMENTO!$AF$11)),
         0)</f>
        <v>0</v>
      </c>
      <c r="BA125" s="453">
        <f ca="1">IF(AND($D125="Serviço",BA$12&lt;&gt;0,$H125&gt;0,OR(AUTOEVENTO&lt;&gt;"manual",$M125&lt;&gt;$A$15)),
        IF(Import.TipoArredondamento&lt;&gt;"TransfereGOV",
              ROUND(OFFSET($P125,0,BA$13),15-13*ORÇAMENTO!$AF$7)/$H125*OFFSET(ORÇAMENTO!$X$15,ROW(BA125)-ROW(BA$15),0),
              ROUND(ROUND(OFFSET($P125,0,BA$13),15-13*ORÇAMENTO!$AF$7)*OFFSET(ORÇAMENTO!$W$15,ROW(BA125)-ROW(BA$15),0),15-13*ORÇAMENTO!$AF$11)),
         0)</f>
        <v>0</v>
      </c>
      <c r="BB125" s="453">
        <f ca="1">IF(AND($D125="Serviço",BB$12&lt;&gt;0,$H125&gt;0,OR(AUTOEVENTO&lt;&gt;"manual",$M125&lt;&gt;$A$15)),
        IF(Import.TipoArredondamento&lt;&gt;"TransfereGOV",
              ROUND(OFFSET($P125,0,BB$13),15-13*ORÇAMENTO!$AF$7)/$H125*OFFSET(ORÇAMENTO!$X$15,ROW(BB125)-ROW(BB$15),0),
              ROUND(ROUND(OFFSET($P125,0,BB$13),15-13*ORÇAMENTO!$AF$7)*OFFSET(ORÇAMENTO!$W$15,ROW(BB125)-ROW(BB$15),0),15-13*ORÇAMENTO!$AF$11)),
         0)</f>
        <v>0</v>
      </c>
      <c r="BC125" s="453">
        <f ca="1">IF(AND($D125="Serviço",BC$12&lt;&gt;0,$H125&gt;0,OR(AUTOEVENTO&lt;&gt;"manual",$M125&lt;&gt;$A$15)),
        IF(Import.TipoArredondamento&lt;&gt;"TransfereGOV",
              ROUND(OFFSET($P125,0,BC$13),15-13*ORÇAMENTO!$AF$7)/$H125*OFFSET(ORÇAMENTO!$X$15,ROW(BC125)-ROW(BC$15),0),
              ROUND(ROUND(OFFSET($P125,0,BC$13),15-13*ORÇAMENTO!$AF$7)*OFFSET(ORÇAMENTO!$W$15,ROW(BC125)-ROW(BC$15),0),15-13*ORÇAMENTO!$AF$11)),
         0)</f>
        <v>0</v>
      </c>
      <c r="BD125" s="453">
        <f ca="1">IF(AND($D125="Serviço",BD$12&lt;&gt;0,$H125&gt;0,OR(AUTOEVENTO&lt;&gt;"manual",$M125&lt;&gt;$A$15)),
        IF(Import.TipoArredondamento&lt;&gt;"TransfereGOV",
              ROUND(OFFSET($P125,0,BD$13),15-13*ORÇAMENTO!$AF$7)/$H125*OFFSET(ORÇAMENTO!$X$15,ROW(BD125)-ROW(BD$15),0),
              ROUND(ROUND(OFFSET($P125,0,BD$13),15-13*ORÇAMENTO!$AF$7)*OFFSET(ORÇAMENTO!$W$15,ROW(BD125)-ROW(BD$15),0),15-13*ORÇAMENTO!$AF$11)),
         0)</f>
        <v>0</v>
      </c>
      <c r="BE125" s="453">
        <f ca="1">IF(AND($D125="Serviço",BE$12&lt;&gt;0,$H125&gt;0,OR(AUTOEVENTO&lt;&gt;"manual",$M125&lt;&gt;$A$15)),
        IF(Import.TipoArredondamento&lt;&gt;"TransfereGOV",
              ROUND(OFFSET($P125,0,BE$13),15-13*ORÇAMENTO!$AF$7)/$H125*OFFSET(ORÇAMENTO!$X$15,ROW(BE125)-ROW(BE$15),0),
              ROUND(ROUND(OFFSET($P125,0,BE$13),15-13*ORÇAMENTO!$AF$7)*OFFSET(ORÇAMENTO!$W$15,ROW(BE125)-ROW(BE$15),0),15-13*ORÇAMENTO!$AF$11)),
         0)</f>
        <v>0</v>
      </c>
      <c r="BF125" s="453">
        <f ca="1">IF(AND($D125="Serviço",BF$12&lt;&gt;0,$H125&gt;0,OR(AUTOEVENTO&lt;&gt;"manual",$M125&lt;&gt;$A$15)),
        IF(Import.TipoArredondamento&lt;&gt;"TransfereGOV",
              ROUND(OFFSET($P125,0,BF$13),15-13*ORÇAMENTO!$AF$7)/$H125*OFFSET(ORÇAMENTO!$X$15,ROW(BF125)-ROW(BF$15),0),
              ROUND(ROUND(OFFSET($P125,0,BF$13),15-13*ORÇAMENTO!$AF$7)*OFFSET(ORÇAMENTO!$W$15,ROW(BF125)-ROW(BF$15),0),15-13*ORÇAMENTO!$AF$11)),
         0)</f>
        <v>0</v>
      </c>
      <c r="BG125" s="453">
        <f ca="1">IF(AND($D125="Serviço",BG$12&lt;&gt;0,$H125&gt;0,OR(AUTOEVENTO&lt;&gt;"manual",$M125&lt;&gt;$A$15)),
        IF(Import.TipoArredondamento&lt;&gt;"TransfereGOV",
              ROUND(OFFSET($P125,0,BG$13),15-13*ORÇAMENTO!$AF$7)/$H125*OFFSET(ORÇAMENTO!$X$15,ROW(BG125)-ROW(BG$15),0),
              ROUND(ROUND(OFFSET($P125,0,BG$13),15-13*ORÇAMENTO!$AF$7)*OFFSET(ORÇAMENTO!$W$15,ROW(BG125)-ROW(BG$15),0),15-13*ORÇAMENTO!$AF$11)),
         0)</f>
        <v>0</v>
      </c>
      <c r="BH125" s="453">
        <f ca="1">IF(AND($D125="Serviço",BH$12&lt;&gt;0,$H125&gt;0,OR(AUTOEVENTO&lt;&gt;"manual",$M125&lt;&gt;$A$15)),
        IF(Import.TipoArredondamento&lt;&gt;"TransfereGOV",
              ROUND(OFFSET($P125,0,BH$13),15-13*ORÇAMENTO!$AF$7)/$H125*OFFSET(ORÇAMENTO!$X$15,ROW(BH125)-ROW(BH$15),0),
              ROUND(ROUND(OFFSET($P125,0,BH$13),15-13*ORÇAMENTO!$AF$7)*OFFSET(ORÇAMENTO!$W$15,ROW(BH125)-ROW(BH$15),0),15-13*ORÇAMENTO!$AF$11)),
         0)</f>
        <v>0</v>
      </c>
      <c r="BI125" s="453">
        <f ca="1">IF(AND($D125="Serviço",BI$12&lt;&gt;0,$H125&gt;0,OR(AUTOEVENTO&lt;&gt;"manual",$M125&lt;&gt;$A$15)),
        IF(Import.TipoArredondamento&lt;&gt;"TransfereGOV",
              ROUND(OFFSET($P125,0,BI$13),15-13*ORÇAMENTO!$AF$7)/$H125*OFFSET(ORÇAMENTO!$X$15,ROW(BI125)-ROW(BI$15),0),
              ROUND(ROUND(OFFSET($P125,0,BI$13),15-13*ORÇAMENTO!$AF$7)*OFFSET(ORÇAMENTO!$W$15,ROW(BI125)-ROW(BI$15),0),15-13*ORÇAMENTO!$AF$11)),
         0)</f>
        <v>0</v>
      </c>
      <c r="BJ125" s="453">
        <f ca="1">IF(AND($D125="Serviço",BJ$12&lt;&gt;0,$H125&gt;0,OR(AUTOEVENTO&lt;&gt;"manual",$M125&lt;&gt;$A$15)),
        IF(Import.TipoArredondamento&lt;&gt;"TransfereGOV",
              ROUND(OFFSET($P125,0,BJ$13),15-13*ORÇAMENTO!$AF$7)/$H125*OFFSET(ORÇAMENTO!$X$15,ROW(BJ125)-ROW(BJ$15),0),
              ROUND(ROUND(OFFSET($P125,0,BJ$13),15-13*ORÇAMENTO!$AF$7)*OFFSET(ORÇAMENTO!$W$15,ROW(BJ125)-ROW(BJ$15),0),15-13*ORÇAMENTO!$AF$11)),
         0)</f>
        <v>0</v>
      </c>
      <c r="BK125" s="453">
        <f ca="1">IF(AND($D125="Serviço",BK$12&lt;&gt;0,$H125&gt;0,OR(AUTOEVENTO&lt;&gt;"manual",$M125&lt;&gt;$A$15)),
        IF(Import.TipoArredondamento&lt;&gt;"TransfereGOV",
              ROUND(OFFSET($P125,0,BK$13),15-13*ORÇAMENTO!$AF$7)/$H125*OFFSET(ORÇAMENTO!$X$15,ROW(BK125)-ROW(BK$15),0),
              ROUND(ROUND(OFFSET($P125,0,BK$13),15-13*ORÇAMENTO!$AF$7)*OFFSET(ORÇAMENTO!$W$15,ROW(BK125)-ROW(BK$15),0),15-13*ORÇAMENTO!$AF$11)),
         0)</f>
        <v>0</v>
      </c>
      <c r="BL125" s="453">
        <f ca="1">IF(AND($D125="Serviço",BL$12&lt;&gt;0,$H125&gt;0,OR(AUTOEVENTO&lt;&gt;"manual",$M125&lt;&gt;$A$15)),
        IF(Import.TipoArredondamento&lt;&gt;"TransfereGOV",
              ROUND(OFFSET($P125,0,BL$13),15-13*ORÇAMENTO!$AF$7)/$H125*OFFSET(ORÇAMENTO!$X$15,ROW(BL125)-ROW(BL$15),0),
              ROUND(ROUND(OFFSET($P125,0,BL$13),15-13*ORÇAMENTO!$AF$7)*OFFSET(ORÇAMENTO!$W$15,ROW(BL125)-ROW(BL$15),0),15-13*ORÇAMENTO!$AF$11)),
         0)</f>
        <v>0</v>
      </c>
      <c r="BM125" s="453">
        <f ca="1">IF(AND($D125="Serviço",BM$12&lt;&gt;0,$H125&gt;0,OR(AUTOEVENTO&lt;&gt;"manual",$M125&lt;&gt;$A$15)),
        IF(Import.TipoArredondamento&lt;&gt;"TransfereGOV",
              ROUND(OFFSET($P125,0,BM$13),15-13*ORÇAMENTO!$AF$7)/$H125*OFFSET(ORÇAMENTO!$X$15,ROW(BM125)-ROW(BM$15),0),
              ROUND(ROUND(OFFSET($P125,0,BM$13),15-13*ORÇAMENTO!$AF$7)*OFFSET(ORÇAMENTO!$W$15,ROW(BM125)-ROW(BM$15),0),15-13*ORÇAMENTO!$AF$11)),
         0)</f>
        <v>0</v>
      </c>
      <c r="BN125" s="453">
        <f ca="1">IF(AND($D125="Serviço",BN$12&lt;&gt;0,$H125&gt;0,OR(AUTOEVENTO&lt;&gt;"manual",$M125&lt;&gt;$A$15)),
        IF(Import.TipoArredondamento&lt;&gt;"TransfereGOV",
              ROUND(OFFSET($P125,0,BN$13),15-13*ORÇAMENTO!$AF$7)/$H125*OFFSET(ORÇAMENTO!$X$15,ROW(BN125)-ROW(BN$15),0),
              ROUND(ROUND(OFFSET($P125,0,BN$13),15-13*ORÇAMENTO!$AF$7)*OFFSET(ORÇAMENTO!$W$15,ROW(BN125)-ROW(BN$15),0),15-13*ORÇAMENTO!$AF$11)),
         0)</f>
        <v>0</v>
      </c>
      <c r="BO125" s="453">
        <f ca="1">IF(AND($D125="Serviço",BO$12&lt;&gt;0,$H125&gt;0,OR(AUTOEVENTO&lt;&gt;"manual",$M125&lt;&gt;$A$15)),
        IF(Import.TipoArredondamento&lt;&gt;"TransfereGOV",
              ROUND(OFFSET($P125,0,BO$13),15-13*ORÇAMENTO!$AF$7)/$H125*OFFSET(ORÇAMENTO!$X$15,ROW(BO125)-ROW(BO$15),0),
              ROUND(ROUND(OFFSET($P125,0,BO$13),15-13*ORÇAMENTO!$AF$7)*OFFSET(ORÇAMENTO!$W$15,ROW(BO125)-ROW(BO$15),0),15-13*ORÇAMENTO!$AF$11)),
         0)</f>
        <v>0</v>
      </c>
      <c r="BP125" s="453">
        <f ca="1">IF(AND($D125="Serviço",BP$12&lt;&gt;0,$H125&gt;0,OR(AUTOEVENTO&lt;&gt;"manual",$M125&lt;&gt;$A$15)),
        IF(Import.TipoArredondamento&lt;&gt;"TransfereGOV",
              ROUND(OFFSET($P125,0,BP$13),15-13*ORÇAMENTO!$AF$7)/$H125*OFFSET(ORÇAMENTO!$X$15,ROW(BP125)-ROW(BP$15),0),
              ROUND(ROUND(OFFSET($P125,0,BP$13),15-13*ORÇAMENTO!$AF$7)*OFFSET(ORÇAMENTO!$W$15,ROW(BP125)-ROW(BP$15),0),15-13*ORÇAMENTO!$AF$11)),
         0)</f>
        <v>0</v>
      </c>
      <c r="BQ125" s="453">
        <f ca="1">IF(AND($D125="Serviço",BQ$12&lt;&gt;0,$H125&gt;0,OR(AUTOEVENTO&lt;&gt;"manual",$M125&lt;&gt;$A$15)),
        IF(Import.TipoArredondamento&lt;&gt;"TransfereGOV",
              ROUND(OFFSET($P125,0,BQ$13),15-13*ORÇAMENTO!$AF$7)/$H125*OFFSET(ORÇAMENTO!$X$15,ROW(BQ125)-ROW(BQ$15),0),
              ROUND(ROUND(OFFSET($P125,0,BQ$13),15-13*ORÇAMENTO!$AF$7)*OFFSET(ORÇAMENTO!$W$15,ROW(BQ125)-ROW(BQ$15),0),15-13*ORÇAMENTO!$AF$11)),
         0)</f>
        <v>0</v>
      </c>
      <c r="BS125" s="171">
        <f ca="1">IF(OR($D125&lt;&gt;"Serviço",AND(AUTOEVENTO="Manual",$M125=$A$15)),0,
         IF(OFFSET(CRONOPLE!$F$15,$M125-$A$15,BS$13)=0,10^12,OFFSET(CRONOPLE!$F$15,$M125-$A$15,BS$13)))</f>
        <v>0</v>
      </c>
      <c r="BT125" s="171">
        <f ca="1">IF(OR($D125&lt;&gt;"Serviço",AND(AUTOEVENTO="Manual",$M125=$A$15)),0,
         IF(OFFSET(CRONOPLE!$F$15,$M125-$A$15,BT$13)=0,10^12,OFFSET(CRONOPLE!$F$15,$M125-$A$15,BT$13)))</f>
        <v>0</v>
      </c>
      <c r="BU125" s="171">
        <f ca="1">IF(OR($D125&lt;&gt;"Serviço",AND(AUTOEVENTO="Manual",$M125=$A$15)),0,
         IF(OFFSET(CRONOPLE!$F$15,$M125-$A$15,BU$13)=0,10^12,OFFSET(CRONOPLE!$F$15,$M125-$A$15,BU$13)))</f>
        <v>0</v>
      </c>
      <c r="BV125" s="171">
        <f ca="1">IF(OR($D125&lt;&gt;"Serviço",AND(AUTOEVENTO="Manual",$M125=$A$15)),0,
         IF(OFFSET(CRONOPLE!$F$15,$M125-$A$15,BV$13)=0,10^12,OFFSET(CRONOPLE!$F$15,$M125-$A$15,BV$13)))</f>
        <v>0</v>
      </c>
      <c r="BW125" s="171">
        <f ca="1">IF(OR($D125&lt;&gt;"Serviço",AND(AUTOEVENTO="Manual",$M125=$A$15)),0,
         IF(OFFSET(CRONOPLE!$F$15,$M125-$A$15,BW$13)=0,10^12,OFFSET(CRONOPLE!$F$15,$M125-$A$15,BW$13)))</f>
        <v>0</v>
      </c>
      <c r="BX125" s="171">
        <f ca="1">IF(OR($D125&lt;&gt;"Serviço",AND(AUTOEVENTO="Manual",$M125=$A$15)),0,
         IF(OFFSET(CRONOPLE!$F$15,$M125-$A$15,BX$13)=0,10^12,OFFSET(CRONOPLE!$F$15,$M125-$A$15,BX$13)))</f>
        <v>0</v>
      </c>
      <c r="BY125" s="171">
        <f ca="1">IF(OR($D125&lt;&gt;"Serviço",AND(AUTOEVENTO="Manual",$M125=$A$15)),0,
         IF(OFFSET(CRONOPLE!$F$15,$M125-$A$15,BY$13)=0,10^12,OFFSET(CRONOPLE!$F$15,$M125-$A$15,BY$13)))</f>
        <v>0</v>
      </c>
      <c r="BZ125" s="171">
        <f ca="1">IF(OR($D125&lt;&gt;"Serviço",AND(AUTOEVENTO="Manual",$M125=$A$15)),0,
         IF(OFFSET(CRONOPLE!$F$15,$M125-$A$15,BZ$13)=0,10^12,OFFSET(CRONOPLE!$F$15,$M125-$A$15,BZ$13)))</f>
        <v>0</v>
      </c>
      <c r="CA125" s="171">
        <f ca="1">IF(OR($D125&lt;&gt;"Serviço",AND(AUTOEVENTO="Manual",$M125=$A$15)),0,
         IF(OFFSET(CRONOPLE!$F$15,$M125-$A$15,CA$13)=0,10^12,OFFSET(CRONOPLE!$F$15,$M125-$A$15,CA$13)))</f>
        <v>0</v>
      </c>
      <c r="CB125" s="171">
        <f ca="1">IF(OR($D125&lt;&gt;"Serviço",AND(AUTOEVENTO="Manual",$M125=$A$15)),0,
         IF(OFFSET(CRONOPLE!$F$15,$M125-$A$15,CB$13)=0,10^12,OFFSET(CRONOPLE!$F$15,$M125-$A$15,CB$13)))</f>
        <v>0</v>
      </c>
      <c r="CC125" s="171">
        <f ca="1">IF(OR($D125&lt;&gt;"Serviço",AND(AUTOEVENTO="Manual",$M125=$A$15)),0,
         IF(OFFSET(CRONOPLE!$F$15,$M125-$A$15,CC$13)=0,10^12,OFFSET(CRONOPLE!$F$15,$M125-$A$15,CC$13)))</f>
        <v>0</v>
      </c>
      <c r="CD125" s="171">
        <f ca="1">IF(OR($D125&lt;&gt;"Serviço",AND(AUTOEVENTO="Manual",$M125=$A$15)),0,
         IF(OFFSET(CRONOPLE!$F$15,$M125-$A$15,CD$13)=0,10^12,OFFSET(CRONOPLE!$F$15,$M125-$A$15,CD$13)))</f>
        <v>0</v>
      </c>
      <c r="CE125" s="171">
        <f ca="1">IF(OR($D125&lt;&gt;"Serviço",AND(AUTOEVENTO="Manual",$M125=$A$15)),0,
         IF(OFFSET(CRONOPLE!$F$15,$M125-$A$15,CE$13)=0,10^12,OFFSET(CRONOPLE!$F$15,$M125-$A$15,CE$13)))</f>
        <v>0</v>
      </c>
      <c r="CF125" s="171">
        <f ca="1">IF(OR($D125&lt;&gt;"Serviço",AND(AUTOEVENTO="Manual",$M125=$A$15)),0,
         IF(OFFSET(CRONOPLE!$F$15,$M125-$A$15,CF$13)=0,10^12,OFFSET(CRONOPLE!$F$15,$M125-$A$15,CF$13)))</f>
        <v>0</v>
      </c>
      <c r="CG125" s="171">
        <f ca="1">IF(OR($D125&lt;&gt;"Serviço",AND(AUTOEVENTO="Manual",$M125=$A$15)),0,
         IF(OFFSET(CRONOPLE!$F$15,$M125-$A$15,CG$13)=0,10^12,OFFSET(CRONOPLE!$F$15,$M125-$A$15,CG$13)))</f>
        <v>0</v>
      </c>
      <c r="CH125" s="171">
        <f ca="1">IF(OR($D125&lt;&gt;"Serviço",AND(AUTOEVENTO="Manual",$M125=$A$15)),0,
         IF(OFFSET(CRONOPLE!$F$15,$M125-$A$15,CH$13)=0,10^12,OFFSET(CRONOPLE!$F$15,$M125-$A$15,CH$13)))</f>
        <v>0</v>
      </c>
      <c r="CI125" s="171">
        <f ca="1">IF(OR($D125&lt;&gt;"Serviço",AND(AUTOEVENTO="Manual",$M125=$A$15)),0,
         IF(OFFSET(CRONOPLE!$F$15,$M125-$A$15,CI$13)=0,10^12,OFFSET(CRONOPLE!$F$15,$M125-$A$15,CI$13)))</f>
        <v>0</v>
      </c>
      <c r="CJ125" s="171">
        <f ca="1">IF(OR($D125&lt;&gt;"Serviço",AND(AUTOEVENTO="Manual",$M125=$A$15)),0,
         IF(OFFSET(CRONOPLE!$F$15,$M125-$A$15,CJ$13)=0,10^12,OFFSET(CRONOPLE!$F$15,$M125-$A$15,CJ$13)))</f>
        <v>0</v>
      </c>
      <c r="CK125" s="171">
        <f ca="1">IF(OR($D125&lt;&gt;"Serviço",AND(AUTOEVENTO="Manual",$M125=$A$15)),0,
         IF(OFFSET(CRONOPLE!$F$15,$M125-$A$15,CK$13)=0,10^12,OFFSET(CRONOPLE!$F$15,$M125-$A$15,CK$13)))</f>
        <v>0</v>
      </c>
      <c r="CL125" s="171">
        <f ca="1">IF(OR($D125&lt;&gt;"Serviço",AND(AUTOEVENTO="Manual",$M125=$A$15)),0,
         IF(OFFSET(CRONOPLE!$F$15,$M125-$A$15,CL$13)=0,10^12,OFFSET(CRONOPLE!$F$15,$M125-$A$15,CL$13)))</f>
        <v>0</v>
      </c>
      <c r="CM125" s="171">
        <f ca="1">IF(OR($D125&lt;&gt;"Serviço",AND(AUTOEVENTO="Manual",$M125=$A$15)),0,
         IF(OFFSET(CRONOPLE!$F$15,$M125-$A$15,CM$13)=0,10^12,OFFSET(CRONOPLE!$F$15,$M125-$A$15,CM$13)))</f>
        <v>0</v>
      </c>
      <c r="CN125" s="171">
        <f ca="1">IF(OR($D125&lt;&gt;"Serviço",AND(AUTOEVENTO="Manual",$M125=$A$15)),0,
         IF(OFFSET(CRONOPLE!$F$15,$M125-$A$15,CN$13)=0,10^12,OFFSET(CRONOPLE!$F$15,$M125-$A$15,CN$13)))</f>
        <v>0</v>
      </c>
      <c r="CO125" s="171">
        <f ca="1">IF(OR($D125&lt;&gt;"Serviço",AND(AUTOEVENTO="Manual",$M125=$A$15)),0,
         IF(OFFSET(CRONOPLE!$F$15,$M125-$A$15,CO$13)=0,10^12,OFFSET(CRONOPLE!$F$15,$M125-$A$15,CO$13)))</f>
        <v>0</v>
      </c>
      <c r="CP125" s="171">
        <f ca="1">IF(OR($D125&lt;&gt;"Serviço",AND(AUTOEVENTO="Manual",$M125=$A$15)),0,
         IF(OFFSET(CRONOPLE!$F$15,$M125-$A$15,CP$13)=0,10^12,OFFSET(CRONOPLE!$F$15,$M125-$A$15,CP$13)))</f>
        <v>0</v>
      </c>
      <c r="CQ125" s="171">
        <f ca="1">IF(OR($D125&lt;&gt;"Serviço",AND(AUTOEVENTO="Manual",$M125=$A$15)),0,
         IF(OFFSET(CRONOPLE!$F$15,$M125-$A$15,CQ$13)=0,10^12,OFFSET(CRONOPLE!$F$15,$M125-$A$15,CQ$13)))</f>
        <v>0</v>
      </c>
      <c r="CR125" s="171">
        <f ca="1">IF(OR($D125&lt;&gt;"Serviço",AND(AUTOEVENTO="Manual",$M125=$A$15)),0,
         IF(OFFSET(CRONOPLE!$F$15,$M125-$A$15,CR$13)=0,10^12,OFFSET(CRONOPLE!$F$15,$M125-$A$15,CR$13)))</f>
        <v>0</v>
      </c>
      <c r="CT125" s="172" cm="1">
        <f t="array" aca="1" ref="CT125" ca="1">IF(OR($D125&lt;&gt;"Serviço",AND(AUTOEVENTO="Manual",$M125=$A$15),$M125&gt;(ROW(PLE.lastrow)-ROW(PLE.firstrow))),0,
           IF(OFFSET(PLE!$G$15,$M125-$A$15,CT$13)="",10^12,OFFSET(PLE!$G$15,$M125-$A$15,CT$13)))</f>
        <v>0</v>
      </c>
      <c r="CU125" s="172" cm="1">
        <f t="array" aca="1" ref="CU125" ca="1">IF(OR($D125&lt;&gt;"Serviço",AND(AUTOEVENTO="Manual",$M125=$A$15),$M125&gt;(ROW(PLE.lastrow)-ROW(PLE.firstrow))),0,
           IF(OFFSET(PLE!$G$15,$M125-$A$15,CU$13)="",10^12,OFFSET(PLE!$G$15,$M125-$A$15,CU$13)))</f>
        <v>0</v>
      </c>
      <c r="CV125" s="172" cm="1">
        <f t="array" aca="1" ref="CV125" ca="1">IF(OR($D125&lt;&gt;"Serviço",AND(AUTOEVENTO="Manual",$M125=$A$15),$M125&gt;(ROW(PLE.lastrow)-ROW(PLE.firstrow))),0,
           IF(OFFSET(PLE!$G$15,$M125-$A$15,CV$13)="",10^12,OFFSET(PLE!$G$15,$M125-$A$15,CV$13)))</f>
        <v>0</v>
      </c>
      <c r="CW125" s="172" cm="1">
        <f t="array" aca="1" ref="CW125" ca="1">IF(OR($D125&lt;&gt;"Serviço",AND(AUTOEVENTO="Manual",$M125=$A$15),$M125&gt;(ROW(PLE.lastrow)-ROW(PLE.firstrow))),0,
           IF(OFFSET(PLE!$G$15,$M125-$A$15,CW$13)="",10^12,OFFSET(PLE!$G$15,$M125-$A$15,CW$13)))</f>
        <v>0</v>
      </c>
      <c r="CX125" s="172" cm="1">
        <f t="array" aca="1" ref="CX125" ca="1">IF(OR($D125&lt;&gt;"Serviço",AND(AUTOEVENTO="Manual",$M125=$A$15),$M125&gt;(ROW(PLE.lastrow)-ROW(PLE.firstrow))),0,
           IF(OFFSET(PLE!$G$15,$M125-$A$15,CX$13)="",10^12,OFFSET(PLE!$G$15,$M125-$A$15,CX$13)))</f>
        <v>0</v>
      </c>
      <c r="CY125" s="172" cm="1">
        <f t="array" aca="1" ref="CY125" ca="1">IF(OR($D125&lt;&gt;"Serviço",AND(AUTOEVENTO="Manual",$M125=$A$15),$M125&gt;(ROW(PLE.lastrow)-ROW(PLE.firstrow))),0,
           IF(OFFSET(PLE!$G$15,$M125-$A$15,CY$13)="",10^12,OFFSET(PLE!$G$15,$M125-$A$15,CY$13)))</f>
        <v>0</v>
      </c>
      <c r="CZ125" s="172" cm="1">
        <f t="array" aca="1" ref="CZ125" ca="1">IF(OR($D125&lt;&gt;"Serviço",AND(AUTOEVENTO="Manual",$M125=$A$15),$M125&gt;(ROW(PLE.lastrow)-ROW(PLE.firstrow))),0,
           IF(OFFSET(PLE!$G$15,$M125-$A$15,CZ$13)="",10^12,OFFSET(PLE!$G$15,$M125-$A$15,CZ$13)))</f>
        <v>0</v>
      </c>
      <c r="DA125" s="172" cm="1">
        <f t="array" aca="1" ref="DA125" ca="1">IF(OR($D125&lt;&gt;"Serviço",AND(AUTOEVENTO="Manual",$M125=$A$15),$M125&gt;(ROW(PLE.lastrow)-ROW(PLE.firstrow))),0,
           IF(OFFSET(PLE!$G$15,$M125-$A$15,DA$13)="",10^12,OFFSET(PLE!$G$15,$M125-$A$15,DA$13)))</f>
        <v>0</v>
      </c>
      <c r="DB125" s="172" cm="1">
        <f t="array" aca="1" ref="DB125" ca="1">IF(OR($D125&lt;&gt;"Serviço",AND(AUTOEVENTO="Manual",$M125=$A$15),$M125&gt;(ROW(PLE.lastrow)-ROW(PLE.firstrow))),0,
           IF(OFFSET(PLE!$G$15,$M125-$A$15,DB$13)="",10^12,OFFSET(PLE!$G$15,$M125-$A$15,DB$13)))</f>
        <v>0</v>
      </c>
      <c r="DC125" s="172" cm="1">
        <f t="array" aca="1" ref="DC125" ca="1">IF(OR($D125&lt;&gt;"Serviço",AND(AUTOEVENTO="Manual",$M125=$A$15),$M125&gt;(ROW(PLE.lastrow)-ROW(PLE.firstrow))),0,
           IF(OFFSET(PLE!$G$15,$M125-$A$15,DC$13)="",10^12,OFFSET(PLE!$G$15,$M125-$A$15,DC$13)))</f>
        <v>0</v>
      </c>
      <c r="DD125" s="172" cm="1">
        <f t="array" aca="1" ref="DD125" ca="1">IF(OR($D125&lt;&gt;"Serviço",AND(AUTOEVENTO="Manual",$M125=$A$15),$M125&gt;(ROW(PLE.lastrow)-ROW(PLE.firstrow))),0,
           IF(OFFSET(PLE!$G$15,$M125-$A$15,DD$13)="",10^12,OFFSET(PLE!$G$15,$M125-$A$15,DD$13)))</f>
        <v>0</v>
      </c>
      <c r="DE125" s="172" cm="1">
        <f t="array" aca="1" ref="DE125" ca="1">IF(OR($D125&lt;&gt;"Serviço",AND(AUTOEVENTO="Manual",$M125=$A$15),$M125&gt;(ROW(PLE.lastrow)-ROW(PLE.firstrow))),0,
           IF(OFFSET(PLE!$G$15,$M125-$A$15,DE$13)="",10^12,OFFSET(PLE!$G$15,$M125-$A$15,DE$13)))</f>
        <v>0</v>
      </c>
      <c r="DF125" s="172" cm="1">
        <f t="array" aca="1" ref="DF125" ca="1">IF(OR($D125&lt;&gt;"Serviço",AND(AUTOEVENTO="Manual",$M125=$A$15),$M125&gt;(ROW(PLE.lastrow)-ROW(PLE.firstrow))),0,
           IF(OFFSET(PLE!$G$15,$M125-$A$15,DF$13)="",10^12,OFFSET(PLE!$G$15,$M125-$A$15,DF$13)))</f>
        <v>0</v>
      </c>
      <c r="DG125" s="172" cm="1">
        <f t="array" aca="1" ref="DG125" ca="1">IF(OR($D125&lt;&gt;"Serviço",AND(AUTOEVENTO="Manual",$M125=$A$15),$M125&gt;(ROW(PLE.lastrow)-ROW(PLE.firstrow))),0,
           IF(OFFSET(PLE!$G$15,$M125-$A$15,DG$13)="",10^12,OFFSET(PLE!$G$15,$M125-$A$15,DG$13)))</f>
        <v>0</v>
      </c>
      <c r="DH125" s="172" cm="1">
        <f t="array" aca="1" ref="DH125" ca="1">IF(OR($D125&lt;&gt;"Serviço",AND(AUTOEVENTO="Manual",$M125=$A$15),$M125&gt;(ROW(PLE.lastrow)-ROW(PLE.firstrow))),0,
           IF(OFFSET(PLE!$G$15,$M125-$A$15,DH$13)="",10^12,OFFSET(PLE!$G$15,$M125-$A$15,DH$13)))</f>
        <v>0</v>
      </c>
      <c r="DI125" s="172" cm="1">
        <f t="array" aca="1" ref="DI125" ca="1">IF(OR($D125&lt;&gt;"Serviço",AND(AUTOEVENTO="Manual",$M125=$A$15),$M125&gt;(ROW(PLE.lastrow)-ROW(PLE.firstrow))),0,
           IF(OFFSET(PLE!$G$15,$M125-$A$15,DI$13)="",10^12,OFFSET(PLE!$G$15,$M125-$A$15,DI$13)))</f>
        <v>0</v>
      </c>
      <c r="DJ125" s="172" cm="1">
        <f t="array" aca="1" ref="DJ125" ca="1">IF(OR($D125&lt;&gt;"Serviço",AND(AUTOEVENTO="Manual",$M125=$A$15),$M125&gt;(ROW(PLE.lastrow)-ROW(PLE.firstrow))),0,
           IF(OFFSET(PLE!$G$15,$M125-$A$15,DJ$13)="",10^12,OFFSET(PLE!$G$15,$M125-$A$15,DJ$13)))</f>
        <v>0</v>
      </c>
      <c r="DK125" s="172" cm="1">
        <f t="array" aca="1" ref="DK125" ca="1">IF(OR($D125&lt;&gt;"Serviço",AND(AUTOEVENTO="Manual",$M125=$A$15),$M125&gt;(ROW(PLE.lastrow)-ROW(PLE.firstrow))),0,
           IF(OFFSET(PLE!$G$15,$M125-$A$15,DK$13)="",10^12,OFFSET(PLE!$G$15,$M125-$A$15,DK$13)))</f>
        <v>0</v>
      </c>
      <c r="DL125" s="172" cm="1">
        <f t="array" aca="1" ref="DL125" ca="1">IF(OR($D125&lt;&gt;"Serviço",AND(AUTOEVENTO="Manual",$M125=$A$15),$M125&gt;(ROW(PLE.lastrow)-ROW(PLE.firstrow))),0,
           IF(OFFSET(PLE!$G$15,$M125-$A$15,DL$13)="",10^12,OFFSET(PLE!$G$15,$M125-$A$15,DL$13)))</f>
        <v>0</v>
      </c>
      <c r="DM125" s="172" cm="1">
        <f t="array" aca="1" ref="DM125" ca="1">IF(OR($D125&lt;&gt;"Serviço",AND(AUTOEVENTO="Manual",$M125=$A$15),$M125&gt;(ROW(PLE.lastrow)-ROW(PLE.firstrow))),0,
           IF(OFFSET(PLE!$G$15,$M125-$A$15,DM$13)="",10^12,OFFSET(PLE!$G$15,$M125-$A$15,DM$13)))</f>
        <v>0</v>
      </c>
      <c r="DN125" s="172" cm="1">
        <f t="array" aca="1" ref="DN125" ca="1">IF(OR($D125&lt;&gt;"Serviço",AND(AUTOEVENTO="Manual",$M125=$A$15),$M125&gt;(ROW(PLE.lastrow)-ROW(PLE.firstrow))),0,
           IF(OFFSET(PLE!$G$15,$M125-$A$15,DN$13)="",10^12,OFFSET(PLE!$G$15,$M125-$A$15,DN$13)))</f>
        <v>0</v>
      </c>
      <c r="DO125" s="172" cm="1">
        <f t="array" aca="1" ref="DO125" ca="1">IF(OR($D125&lt;&gt;"Serviço",AND(AUTOEVENTO="Manual",$M125=$A$15),$M125&gt;(ROW(PLE.lastrow)-ROW(PLE.firstrow))),0,
           IF(OFFSET(PLE!$G$15,$M125-$A$15,DO$13)="",10^12,OFFSET(PLE!$G$15,$M125-$A$15,DO$13)))</f>
        <v>0</v>
      </c>
      <c r="DP125" s="172" cm="1">
        <f t="array" aca="1" ref="DP125" ca="1">IF(OR($D125&lt;&gt;"Serviço",AND(AUTOEVENTO="Manual",$M125=$A$15),$M125&gt;(ROW(PLE.lastrow)-ROW(PLE.firstrow))),0,
           IF(OFFSET(PLE!$G$15,$M125-$A$15,DP$13)="",10^12,OFFSET(PLE!$G$15,$M125-$A$15,DP$13)))</f>
        <v>0</v>
      </c>
      <c r="DQ125" s="172" cm="1">
        <f t="array" aca="1" ref="DQ125" ca="1">IF(OR($D125&lt;&gt;"Serviço",AND(AUTOEVENTO="Manual",$M125=$A$15),$M125&gt;(ROW(PLE.lastrow)-ROW(PLE.firstrow))),0,
           IF(OFFSET(PLE!$G$15,$M125-$A$15,DQ$13)="",10^12,OFFSET(PLE!$G$15,$M125-$A$15,DQ$13)))</f>
        <v>0</v>
      </c>
      <c r="DR125" s="172" cm="1">
        <f t="array" aca="1" ref="DR125" ca="1">IF(OR($D125&lt;&gt;"Serviço",AND(AUTOEVENTO="Manual",$M125=$A$15),$M125&gt;(ROW(PLE.lastrow)-ROW(PLE.firstrow))),0,
           IF(OFFSET(PLE!$G$15,$M125-$A$15,DR$13)="",10^12,OFFSET(PLE!$G$15,$M125-$A$15,DR$13)))</f>
        <v>0</v>
      </c>
      <c r="DS125" s="172" cm="1">
        <f t="array" aca="1" ref="DS125" ca="1">IF(OR($D125&lt;&gt;"Serviço",AND(AUTOEVENTO="Manual",$M125=$A$15),$M125&gt;(ROW(PLE.lastrow)-ROW(PLE.firstrow))),0,
           IF(OFFSET(PLE!$G$15,$M125-$A$15,DS$13)="",10^12,OFFSET(PLE!$G$15,$M125-$A$15,DS$13)))</f>
        <v>0</v>
      </c>
    </row>
    <row r="126" spans="1:123" ht="38.25" x14ac:dyDescent="0.2">
      <c r="A126" s="7">
        <f t="shared" ca="1" si="15"/>
        <v>8</v>
      </c>
      <c r="B126" s="7" t="str">
        <f ca="1">OFFSET(ORÇAMENTO!C$15,$L126,0)</f>
        <v>S</v>
      </c>
      <c r="C126" s="7" t="str">
        <f ca="1">OFFSET(ORÇAMENTO!L$15,$L126,0)</f>
        <v/>
      </c>
      <c r="D126" s="116" t="str">
        <f ca="1">OFFSET(ORÇAMENTO!N$15,$L126,0)</f>
        <v>Serviço</v>
      </c>
      <c r="E126" s="117" t="str">
        <f ca="1">OFFSET(ORÇAMENTO!O$15,$L126,0)</f>
        <v>-</v>
      </c>
      <c r="F126" s="163" t="str">
        <f ca="1">OFFSET(ORÇAMENTO!R$15,$L126,0)</f>
        <v>(Código não identificado nas referências)</v>
      </c>
      <c r="G126" s="164" t="str">
        <f ca="1">IF($D126&lt;&gt;"Serviço","",OFFSET(ORÇAMENTO!S$15,$L126,0))</f>
        <v>-</v>
      </c>
      <c r="H126" s="122" cm="1">
        <f t="array" aca="1" ref="H126" ca="1">IF($D126&lt;&gt;"Serviço",0,IF(ACOMPANHAMENTO="BM",ROUND(OFFSET(ORÇAMENTO!AJ$15,$L126,0),15-13*ORÇAMENTO!$AF$7),IF(IFERROR(CÁLCULO.FrentesPreenchidas,0)=0,0,SUM(ROUND(OFFSET($P126,0,1,1,CÁLCULO.FrentesPreenchidas),15-13*ORÇAMENTO!$AF$7)))))</f>
        <v>322.99999999999994</v>
      </c>
      <c r="I126" s="468" t="s">
        <v>1235</v>
      </c>
      <c r="J126" s="651" t="str" cm="1">
        <f t="array" aca="1" ref="J126" ca="1">IF(OR(B126&lt;&gt;"S",CÁLCULO.FrentesPreenchidas=0),"",IF(AND(ACOMPANHAMENTO="PLE",AUTOEVENTO="Manual",OR(H126&gt;0,ORÇAMENTO!AC126="QUANT."),OR(K126="",M126=0,N126="")),"►E",IF(AND(ACOMPANHAMENTO="PLE",ORÇAMENTO!AC126="QUANT."),"►Q",IF(AND(ACOMPANHAMENTO="PLE",H126&lt;&gt;SUMPRODUCT(($Q$1:$AQ$1=1)*ROUND(Q126:AQ126,15))),"►S",IF(AND(COUNTIF($P$11:$AQ$11,"▼")=0,H126&gt;0,I126=""),"◄M","")))))</f>
        <v/>
      </c>
      <c r="K126" s="652" t="s">
        <v>1256</v>
      </c>
      <c r="L126" s="165">
        <f t="shared" ca="1" si="14"/>
        <v>111</v>
      </c>
      <c r="M126" s="166">
        <f ca="1">IF($D126&lt;&gt;"Serviço","",
          IF(AUTOEVENTO="manual",$A126,
                IF(ISERROR(MATCH($A126,$A$15:OFFSET($A126,-1,0),0)),MAX($M$15:OFFSET(M126,-1,0))+1,
                      INDEX($M$15:OFFSET(M126,-1,0),MATCH($A126,$A$15:OFFSET($A126,-1,0),0)))))</f>
        <v>8</v>
      </c>
      <c r="N126" s="167" t="str">
        <f ca="1">IF($D126&lt;&gt;"Serviço","",
         IF(AUTOEVENTO="Manual",
                IF($A126=0,"&lt;-- defina o número do agrupador",
                       OFFSET(EVENTOS!$D$15,$A126-$A$15,0)),
                OFFSET($F$15,$A126,0)))</f>
        <v>PAVIMENTAÇÕES</v>
      </c>
      <c r="O126" s="168"/>
      <c r="Q126" s="168">
        <v>16.149999999999999</v>
      </c>
      <c r="R126" s="169">
        <v>16.149999999999999</v>
      </c>
      <c r="S126" s="169">
        <v>16.149999999999999</v>
      </c>
      <c r="T126" s="169">
        <v>16.149999999999999</v>
      </c>
      <c r="U126" s="169">
        <v>16.149999999999999</v>
      </c>
      <c r="V126" s="169">
        <v>16.149999999999999</v>
      </c>
      <c r="W126" s="169">
        <v>16.149999999999999</v>
      </c>
      <c r="X126" s="169">
        <v>16.149999999999999</v>
      </c>
      <c r="Y126" s="169">
        <v>16.149999999999999</v>
      </c>
      <c r="Z126" s="170">
        <v>16.149999999999999</v>
      </c>
      <c r="AA126" s="169">
        <v>16.149999999999999</v>
      </c>
      <c r="AB126" s="169">
        <v>16.149999999999999</v>
      </c>
      <c r="AC126" s="169">
        <v>16.149999999999999</v>
      </c>
      <c r="AD126" s="169">
        <v>16.149999999999999</v>
      </c>
      <c r="AE126" s="169">
        <v>16.149999999999999</v>
      </c>
      <c r="AF126" s="169">
        <v>16.149999999999999</v>
      </c>
      <c r="AG126" s="169">
        <v>16.149999999999999</v>
      </c>
      <c r="AH126" s="170">
        <v>16.149999999999999</v>
      </c>
      <c r="AI126" s="169">
        <v>16.149999999999999</v>
      </c>
      <c r="AJ126" s="169">
        <v>16.149999999999999</v>
      </c>
      <c r="AK126" s="169"/>
      <c r="AL126" s="169"/>
      <c r="AM126" s="169"/>
      <c r="AN126" s="169"/>
      <c r="AO126" s="169"/>
      <c r="AP126" s="170"/>
      <c r="AR126" s="453">
        <f ca="1">IF(AND($D126="Serviço",AR$12&lt;&gt;0,$H126&gt;0,OR(AUTOEVENTO&lt;&gt;"manual",$M126&lt;&gt;$A$15)),
        IF(Import.TipoArredondamento&lt;&gt;"TransfereGOV",
              ROUND(OFFSET($P126,0,AR$13),15-13*ORÇAMENTO!$AF$7)/$H126*OFFSET(ORÇAMENTO!$X$15,ROW(AR126)-ROW(AR$15),0),
              ROUND(ROUND(OFFSET($P126,0,AR$13),15-13*ORÇAMENTO!$AF$7)*OFFSET(ORÇAMENTO!$W$15,ROW(AR126)-ROW(AR$15),0),15-13*ORÇAMENTO!$AF$11)),
         0)</f>
        <v>0</v>
      </c>
      <c r="AS126" s="453">
        <f ca="1">IF(AND($D126="Serviço",AS$12&lt;&gt;0,$H126&gt;0,OR(AUTOEVENTO&lt;&gt;"manual",$M126&lt;&gt;$A$15)),
        IF(Import.TipoArredondamento&lt;&gt;"TransfereGOV",
              ROUND(OFFSET($P126,0,AS$13),15-13*ORÇAMENTO!$AF$7)/$H126*OFFSET(ORÇAMENTO!$X$15,ROW(AS126)-ROW(AS$15),0),
              ROUND(ROUND(OFFSET($P126,0,AS$13),15-13*ORÇAMENTO!$AF$7)*OFFSET(ORÇAMENTO!$W$15,ROW(AS126)-ROW(AS$15),0),15-13*ORÇAMENTO!$AF$11)),
         0)</f>
        <v>0</v>
      </c>
      <c r="AT126" s="453">
        <f ca="1">IF(AND($D126="Serviço",AT$12&lt;&gt;0,$H126&gt;0,OR(AUTOEVENTO&lt;&gt;"manual",$M126&lt;&gt;$A$15)),
        IF(Import.TipoArredondamento&lt;&gt;"TransfereGOV",
              ROUND(OFFSET($P126,0,AT$13),15-13*ORÇAMENTO!$AF$7)/$H126*OFFSET(ORÇAMENTO!$X$15,ROW(AT126)-ROW(AT$15),0),
              ROUND(ROUND(OFFSET($P126,0,AT$13),15-13*ORÇAMENTO!$AF$7)*OFFSET(ORÇAMENTO!$W$15,ROW(AT126)-ROW(AT$15),0),15-13*ORÇAMENTO!$AF$11)),
         0)</f>
        <v>0</v>
      </c>
      <c r="AU126" s="453">
        <f ca="1">IF(AND($D126="Serviço",AU$12&lt;&gt;0,$H126&gt;0,OR(AUTOEVENTO&lt;&gt;"manual",$M126&lt;&gt;$A$15)),
        IF(Import.TipoArredondamento&lt;&gt;"TransfereGOV",
              ROUND(OFFSET($P126,0,AU$13),15-13*ORÇAMENTO!$AF$7)/$H126*OFFSET(ORÇAMENTO!$X$15,ROW(AU126)-ROW(AU$15),0),
              ROUND(ROUND(OFFSET($P126,0,AU$13),15-13*ORÇAMENTO!$AF$7)*OFFSET(ORÇAMENTO!$W$15,ROW(AU126)-ROW(AU$15),0),15-13*ORÇAMENTO!$AF$11)),
         0)</f>
        <v>0</v>
      </c>
      <c r="AV126" s="453">
        <f ca="1">IF(AND($D126="Serviço",AV$12&lt;&gt;0,$H126&gt;0,OR(AUTOEVENTO&lt;&gt;"manual",$M126&lt;&gt;$A$15)),
        IF(Import.TipoArredondamento&lt;&gt;"TransfereGOV",
              ROUND(OFFSET($P126,0,AV$13),15-13*ORÇAMENTO!$AF$7)/$H126*OFFSET(ORÇAMENTO!$X$15,ROW(AV126)-ROW(AV$15),0),
              ROUND(ROUND(OFFSET($P126,0,AV$13),15-13*ORÇAMENTO!$AF$7)*OFFSET(ORÇAMENTO!$W$15,ROW(AV126)-ROW(AV$15),0),15-13*ORÇAMENTO!$AF$11)),
         0)</f>
        <v>0</v>
      </c>
      <c r="AW126" s="453">
        <f ca="1">IF(AND($D126="Serviço",AW$12&lt;&gt;0,$H126&gt;0,OR(AUTOEVENTO&lt;&gt;"manual",$M126&lt;&gt;$A$15)),
        IF(Import.TipoArredondamento&lt;&gt;"TransfereGOV",
              ROUND(OFFSET($P126,0,AW$13),15-13*ORÇAMENTO!$AF$7)/$H126*OFFSET(ORÇAMENTO!$X$15,ROW(AW126)-ROW(AW$15),0),
              ROUND(ROUND(OFFSET($P126,0,AW$13),15-13*ORÇAMENTO!$AF$7)*OFFSET(ORÇAMENTO!$W$15,ROW(AW126)-ROW(AW$15),0),15-13*ORÇAMENTO!$AF$11)),
         0)</f>
        <v>0</v>
      </c>
      <c r="AX126" s="453">
        <f ca="1">IF(AND($D126="Serviço",AX$12&lt;&gt;0,$H126&gt;0,OR(AUTOEVENTO&lt;&gt;"manual",$M126&lt;&gt;$A$15)),
        IF(Import.TipoArredondamento&lt;&gt;"TransfereGOV",
              ROUND(OFFSET($P126,0,AX$13),15-13*ORÇAMENTO!$AF$7)/$H126*OFFSET(ORÇAMENTO!$X$15,ROW(AX126)-ROW(AX$15),0),
              ROUND(ROUND(OFFSET($P126,0,AX$13),15-13*ORÇAMENTO!$AF$7)*OFFSET(ORÇAMENTO!$W$15,ROW(AX126)-ROW(AX$15),0),15-13*ORÇAMENTO!$AF$11)),
         0)</f>
        <v>0</v>
      </c>
      <c r="AY126" s="453">
        <f ca="1">IF(AND($D126="Serviço",AY$12&lt;&gt;0,$H126&gt;0,OR(AUTOEVENTO&lt;&gt;"manual",$M126&lt;&gt;$A$15)),
        IF(Import.TipoArredondamento&lt;&gt;"TransfereGOV",
              ROUND(OFFSET($P126,0,AY$13),15-13*ORÇAMENTO!$AF$7)/$H126*OFFSET(ORÇAMENTO!$X$15,ROW(AY126)-ROW(AY$15),0),
              ROUND(ROUND(OFFSET($P126,0,AY$13),15-13*ORÇAMENTO!$AF$7)*OFFSET(ORÇAMENTO!$W$15,ROW(AY126)-ROW(AY$15),0),15-13*ORÇAMENTO!$AF$11)),
         0)</f>
        <v>0</v>
      </c>
      <c r="AZ126" s="453">
        <f ca="1">IF(AND($D126="Serviço",AZ$12&lt;&gt;0,$H126&gt;0,OR(AUTOEVENTO&lt;&gt;"manual",$M126&lt;&gt;$A$15)),
        IF(Import.TipoArredondamento&lt;&gt;"TransfereGOV",
              ROUND(OFFSET($P126,0,AZ$13),15-13*ORÇAMENTO!$AF$7)/$H126*OFFSET(ORÇAMENTO!$X$15,ROW(AZ126)-ROW(AZ$15),0),
              ROUND(ROUND(OFFSET($P126,0,AZ$13),15-13*ORÇAMENTO!$AF$7)*OFFSET(ORÇAMENTO!$W$15,ROW(AZ126)-ROW(AZ$15),0),15-13*ORÇAMENTO!$AF$11)),
         0)</f>
        <v>0</v>
      </c>
      <c r="BA126" s="453">
        <f ca="1">IF(AND($D126="Serviço",BA$12&lt;&gt;0,$H126&gt;0,OR(AUTOEVENTO&lt;&gt;"manual",$M126&lt;&gt;$A$15)),
        IF(Import.TipoArredondamento&lt;&gt;"TransfereGOV",
              ROUND(OFFSET($P126,0,BA$13),15-13*ORÇAMENTO!$AF$7)/$H126*OFFSET(ORÇAMENTO!$X$15,ROW(BA126)-ROW(BA$15),0),
              ROUND(ROUND(OFFSET($P126,0,BA$13),15-13*ORÇAMENTO!$AF$7)*OFFSET(ORÇAMENTO!$W$15,ROW(BA126)-ROW(BA$15),0),15-13*ORÇAMENTO!$AF$11)),
         0)</f>
        <v>0</v>
      </c>
      <c r="BB126" s="453">
        <f ca="1">IF(AND($D126="Serviço",BB$12&lt;&gt;0,$H126&gt;0,OR(AUTOEVENTO&lt;&gt;"manual",$M126&lt;&gt;$A$15)),
        IF(Import.TipoArredondamento&lt;&gt;"TransfereGOV",
              ROUND(OFFSET($P126,0,BB$13),15-13*ORÇAMENTO!$AF$7)/$H126*OFFSET(ORÇAMENTO!$X$15,ROW(BB126)-ROW(BB$15),0),
              ROUND(ROUND(OFFSET($P126,0,BB$13),15-13*ORÇAMENTO!$AF$7)*OFFSET(ORÇAMENTO!$W$15,ROW(BB126)-ROW(BB$15),0),15-13*ORÇAMENTO!$AF$11)),
         0)</f>
        <v>0</v>
      </c>
      <c r="BC126" s="453">
        <f ca="1">IF(AND($D126="Serviço",BC$12&lt;&gt;0,$H126&gt;0,OR(AUTOEVENTO&lt;&gt;"manual",$M126&lt;&gt;$A$15)),
        IF(Import.TipoArredondamento&lt;&gt;"TransfereGOV",
              ROUND(OFFSET($P126,0,BC$13),15-13*ORÇAMENTO!$AF$7)/$H126*OFFSET(ORÇAMENTO!$X$15,ROW(BC126)-ROW(BC$15),0),
              ROUND(ROUND(OFFSET($P126,0,BC$13),15-13*ORÇAMENTO!$AF$7)*OFFSET(ORÇAMENTO!$W$15,ROW(BC126)-ROW(BC$15),0),15-13*ORÇAMENTO!$AF$11)),
         0)</f>
        <v>0</v>
      </c>
      <c r="BD126" s="453">
        <f ca="1">IF(AND($D126="Serviço",BD$12&lt;&gt;0,$H126&gt;0,OR(AUTOEVENTO&lt;&gt;"manual",$M126&lt;&gt;$A$15)),
        IF(Import.TipoArredondamento&lt;&gt;"TransfereGOV",
              ROUND(OFFSET($P126,0,BD$13),15-13*ORÇAMENTO!$AF$7)/$H126*OFFSET(ORÇAMENTO!$X$15,ROW(BD126)-ROW(BD$15),0),
              ROUND(ROUND(OFFSET($P126,0,BD$13),15-13*ORÇAMENTO!$AF$7)*OFFSET(ORÇAMENTO!$W$15,ROW(BD126)-ROW(BD$15),0),15-13*ORÇAMENTO!$AF$11)),
         0)</f>
        <v>0</v>
      </c>
      <c r="BE126" s="453">
        <f ca="1">IF(AND($D126="Serviço",BE$12&lt;&gt;0,$H126&gt;0,OR(AUTOEVENTO&lt;&gt;"manual",$M126&lt;&gt;$A$15)),
        IF(Import.TipoArredondamento&lt;&gt;"TransfereGOV",
              ROUND(OFFSET($P126,0,BE$13),15-13*ORÇAMENTO!$AF$7)/$H126*OFFSET(ORÇAMENTO!$X$15,ROW(BE126)-ROW(BE$15),0),
              ROUND(ROUND(OFFSET($P126,0,BE$13),15-13*ORÇAMENTO!$AF$7)*OFFSET(ORÇAMENTO!$W$15,ROW(BE126)-ROW(BE$15),0),15-13*ORÇAMENTO!$AF$11)),
         0)</f>
        <v>0</v>
      </c>
      <c r="BF126" s="453">
        <f ca="1">IF(AND($D126="Serviço",BF$12&lt;&gt;0,$H126&gt;0,OR(AUTOEVENTO&lt;&gt;"manual",$M126&lt;&gt;$A$15)),
        IF(Import.TipoArredondamento&lt;&gt;"TransfereGOV",
              ROUND(OFFSET($P126,0,BF$13),15-13*ORÇAMENTO!$AF$7)/$H126*OFFSET(ORÇAMENTO!$X$15,ROW(BF126)-ROW(BF$15),0),
              ROUND(ROUND(OFFSET($P126,0,BF$13),15-13*ORÇAMENTO!$AF$7)*OFFSET(ORÇAMENTO!$W$15,ROW(BF126)-ROW(BF$15),0),15-13*ORÇAMENTO!$AF$11)),
         0)</f>
        <v>0</v>
      </c>
      <c r="BG126" s="453">
        <f ca="1">IF(AND($D126="Serviço",BG$12&lt;&gt;0,$H126&gt;0,OR(AUTOEVENTO&lt;&gt;"manual",$M126&lt;&gt;$A$15)),
        IF(Import.TipoArredondamento&lt;&gt;"TransfereGOV",
              ROUND(OFFSET($P126,0,BG$13),15-13*ORÇAMENTO!$AF$7)/$H126*OFFSET(ORÇAMENTO!$X$15,ROW(BG126)-ROW(BG$15),0),
              ROUND(ROUND(OFFSET($P126,0,BG$13),15-13*ORÇAMENTO!$AF$7)*OFFSET(ORÇAMENTO!$W$15,ROW(BG126)-ROW(BG$15),0),15-13*ORÇAMENTO!$AF$11)),
         0)</f>
        <v>0</v>
      </c>
      <c r="BH126" s="453">
        <f ca="1">IF(AND($D126="Serviço",BH$12&lt;&gt;0,$H126&gt;0,OR(AUTOEVENTO&lt;&gt;"manual",$M126&lt;&gt;$A$15)),
        IF(Import.TipoArredondamento&lt;&gt;"TransfereGOV",
              ROUND(OFFSET($P126,0,BH$13),15-13*ORÇAMENTO!$AF$7)/$H126*OFFSET(ORÇAMENTO!$X$15,ROW(BH126)-ROW(BH$15),0),
              ROUND(ROUND(OFFSET($P126,0,BH$13),15-13*ORÇAMENTO!$AF$7)*OFFSET(ORÇAMENTO!$W$15,ROW(BH126)-ROW(BH$15),0),15-13*ORÇAMENTO!$AF$11)),
         0)</f>
        <v>0</v>
      </c>
      <c r="BI126" s="453">
        <f ca="1">IF(AND($D126="Serviço",BI$12&lt;&gt;0,$H126&gt;0,OR(AUTOEVENTO&lt;&gt;"manual",$M126&lt;&gt;$A$15)),
        IF(Import.TipoArredondamento&lt;&gt;"TransfereGOV",
              ROUND(OFFSET($P126,0,BI$13),15-13*ORÇAMENTO!$AF$7)/$H126*OFFSET(ORÇAMENTO!$X$15,ROW(BI126)-ROW(BI$15),0),
              ROUND(ROUND(OFFSET($P126,0,BI$13),15-13*ORÇAMENTO!$AF$7)*OFFSET(ORÇAMENTO!$W$15,ROW(BI126)-ROW(BI$15),0),15-13*ORÇAMENTO!$AF$11)),
         0)</f>
        <v>0</v>
      </c>
      <c r="BJ126" s="453">
        <f ca="1">IF(AND($D126="Serviço",BJ$12&lt;&gt;0,$H126&gt;0,OR(AUTOEVENTO&lt;&gt;"manual",$M126&lt;&gt;$A$15)),
        IF(Import.TipoArredondamento&lt;&gt;"TransfereGOV",
              ROUND(OFFSET($P126,0,BJ$13),15-13*ORÇAMENTO!$AF$7)/$H126*OFFSET(ORÇAMENTO!$X$15,ROW(BJ126)-ROW(BJ$15),0),
              ROUND(ROUND(OFFSET($P126,0,BJ$13),15-13*ORÇAMENTO!$AF$7)*OFFSET(ORÇAMENTO!$W$15,ROW(BJ126)-ROW(BJ$15),0),15-13*ORÇAMENTO!$AF$11)),
         0)</f>
        <v>0</v>
      </c>
      <c r="BK126" s="453">
        <f ca="1">IF(AND($D126="Serviço",BK$12&lt;&gt;0,$H126&gt;0,OR(AUTOEVENTO&lt;&gt;"manual",$M126&lt;&gt;$A$15)),
        IF(Import.TipoArredondamento&lt;&gt;"TransfereGOV",
              ROUND(OFFSET($P126,0,BK$13),15-13*ORÇAMENTO!$AF$7)/$H126*OFFSET(ORÇAMENTO!$X$15,ROW(BK126)-ROW(BK$15),0),
              ROUND(ROUND(OFFSET($P126,0,BK$13),15-13*ORÇAMENTO!$AF$7)*OFFSET(ORÇAMENTO!$W$15,ROW(BK126)-ROW(BK$15),0),15-13*ORÇAMENTO!$AF$11)),
         0)</f>
        <v>0</v>
      </c>
      <c r="BL126" s="453">
        <f ca="1">IF(AND($D126="Serviço",BL$12&lt;&gt;0,$H126&gt;0,OR(AUTOEVENTO&lt;&gt;"manual",$M126&lt;&gt;$A$15)),
        IF(Import.TipoArredondamento&lt;&gt;"TransfereGOV",
              ROUND(OFFSET($P126,0,BL$13),15-13*ORÇAMENTO!$AF$7)/$H126*OFFSET(ORÇAMENTO!$X$15,ROW(BL126)-ROW(BL$15),0),
              ROUND(ROUND(OFFSET($P126,0,BL$13),15-13*ORÇAMENTO!$AF$7)*OFFSET(ORÇAMENTO!$W$15,ROW(BL126)-ROW(BL$15),0),15-13*ORÇAMENTO!$AF$11)),
         0)</f>
        <v>0</v>
      </c>
      <c r="BM126" s="453">
        <f ca="1">IF(AND($D126="Serviço",BM$12&lt;&gt;0,$H126&gt;0,OR(AUTOEVENTO&lt;&gt;"manual",$M126&lt;&gt;$A$15)),
        IF(Import.TipoArredondamento&lt;&gt;"TransfereGOV",
              ROUND(OFFSET($P126,0,BM$13),15-13*ORÇAMENTO!$AF$7)/$H126*OFFSET(ORÇAMENTO!$X$15,ROW(BM126)-ROW(BM$15),0),
              ROUND(ROUND(OFFSET($P126,0,BM$13),15-13*ORÇAMENTO!$AF$7)*OFFSET(ORÇAMENTO!$W$15,ROW(BM126)-ROW(BM$15),0),15-13*ORÇAMENTO!$AF$11)),
         0)</f>
        <v>0</v>
      </c>
      <c r="BN126" s="453">
        <f ca="1">IF(AND($D126="Serviço",BN$12&lt;&gt;0,$H126&gt;0,OR(AUTOEVENTO&lt;&gt;"manual",$M126&lt;&gt;$A$15)),
        IF(Import.TipoArredondamento&lt;&gt;"TransfereGOV",
              ROUND(OFFSET($P126,0,BN$13),15-13*ORÇAMENTO!$AF$7)/$H126*OFFSET(ORÇAMENTO!$X$15,ROW(BN126)-ROW(BN$15),0),
              ROUND(ROUND(OFFSET($P126,0,BN$13),15-13*ORÇAMENTO!$AF$7)*OFFSET(ORÇAMENTO!$W$15,ROW(BN126)-ROW(BN$15),0),15-13*ORÇAMENTO!$AF$11)),
         0)</f>
        <v>0</v>
      </c>
      <c r="BO126" s="453">
        <f ca="1">IF(AND($D126="Serviço",BO$12&lt;&gt;0,$H126&gt;0,OR(AUTOEVENTO&lt;&gt;"manual",$M126&lt;&gt;$A$15)),
        IF(Import.TipoArredondamento&lt;&gt;"TransfereGOV",
              ROUND(OFFSET($P126,0,BO$13),15-13*ORÇAMENTO!$AF$7)/$H126*OFFSET(ORÇAMENTO!$X$15,ROW(BO126)-ROW(BO$15),0),
              ROUND(ROUND(OFFSET($P126,0,BO$13),15-13*ORÇAMENTO!$AF$7)*OFFSET(ORÇAMENTO!$W$15,ROW(BO126)-ROW(BO$15),0),15-13*ORÇAMENTO!$AF$11)),
         0)</f>
        <v>0</v>
      </c>
      <c r="BP126" s="453">
        <f ca="1">IF(AND($D126="Serviço",BP$12&lt;&gt;0,$H126&gt;0,OR(AUTOEVENTO&lt;&gt;"manual",$M126&lt;&gt;$A$15)),
        IF(Import.TipoArredondamento&lt;&gt;"TransfereGOV",
              ROUND(OFFSET($P126,0,BP$13),15-13*ORÇAMENTO!$AF$7)/$H126*OFFSET(ORÇAMENTO!$X$15,ROW(BP126)-ROW(BP$15),0),
              ROUND(ROUND(OFFSET($P126,0,BP$13),15-13*ORÇAMENTO!$AF$7)*OFFSET(ORÇAMENTO!$W$15,ROW(BP126)-ROW(BP$15),0),15-13*ORÇAMENTO!$AF$11)),
         0)</f>
        <v>0</v>
      </c>
      <c r="BQ126" s="453">
        <f ca="1">IF(AND($D126="Serviço",BQ$12&lt;&gt;0,$H126&gt;0,OR(AUTOEVENTO&lt;&gt;"manual",$M126&lt;&gt;$A$15)),
        IF(Import.TipoArredondamento&lt;&gt;"TransfereGOV",
              ROUND(OFFSET($P126,0,BQ$13),15-13*ORÇAMENTO!$AF$7)/$H126*OFFSET(ORÇAMENTO!$X$15,ROW(BQ126)-ROW(BQ$15),0),
              ROUND(ROUND(OFFSET($P126,0,BQ$13),15-13*ORÇAMENTO!$AF$7)*OFFSET(ORÇAMENTO!$W$15,ROW(BQ126)-ROW(BQ$15),0),15-13*ORÇAMENTO!$AF$11)),
         0)</f>
        <v>0</v>
      </c>
      <c r="BS126" s="171">
        <f ca="1">IF(OR($D126&lt;&gt;"Serviço",AND(AUTOEVENTO="Manual",$M126=$A$15)),0,
         IF(OFFSET(CRONOPLE!$F$15,$M126-$A$15,BS$13)=0,10^12,OFFSET(CRONOPLE!$F$15,$M126-$A$15,BS$13)))</f>
        <v>1</v>
      </c>
      <c r="BT126" s="171">
        <f ca="1">IF(OR($D126&lt;&gt;"Serviço",AND(AUTOEVENTO="Manual",$M126=$A$15)),0,
         IF(OFFSET(CRONOPLE!$F$15,$M126-$A$15,BT$13)=0,10^12,OFFSET(CRONOPLE!$F$15,$M126-$A$15,BT$13)))</f>
        <v>2</v>
      </c>
      <c r="BU126" s="171">
        <f ca="1">IF(OR($D126&lt;&gt;"Serviço",AND(AUTOEVENTO="Manual",$M126=$A$15)),0,
         IF(OFFSET(CRONOPLE!$F$15,$M126-$A$15,BU$13)=0,10^12,OFFSET(CRONOPLE!$F$15,$M126-$A$15,BU$13)))</f>
        <v>3</v>
      </c>
      <c r="BV126" s="171">
        <f ca="1">IF(OR($D126&lt;&gt;"Serviço",AND(AUTOEVENTO="Manual",$M126=$A$15)),0,
         IF(OFFSET(CRONOPLE!$F$15,$M126-$A$15,BV$13)=0,10^12,OFFSET(CRONOPLE!$F$15,$M126-$A$15,BV$13)))</f>
        <v>4</v>
      </c>
      <c r="BW126" s="171">
        <f ca="1">IF(OR($D126&lt;&gt;"Serviço",AND(AUTOEVENTO="Manual",$M126=$A$15)),0,
         IF(OFFSET(CRONOPLE!$F$15,$M126-$A$15,BW$13)=0,10^12,OFFSET(CRONOPLE!$F$15,$M126-$A$15,BW$13)))</f>
        <v>5</v>
      </c>
      <c r="BX126" s="171">
        <f ca="1">IF(OR($D126&lt;&gt;"Serviço",AND(AUTOEVENTO="Manual",$M126=$A$15)),0,
         IF(OFFSET(CRONOPLE!$F$15,$M126-$A$15,BX$13)=0,10^12,OFFSET(CRONOPLE!$F$15,$M126-$A$15,BX$13)))</f>
        <v>6</v>
      </c>
      <c r="BY126" s="171">
        <f ca="1">IF(OR($D126&lt;&gt;"Serviço",AND(AUTOEVENTO="Manual",$M126=$A$15)),0,
         IF(OFFSET(CRONOPLE!$F$15,$M126-$A$15,BY$13)=0,10^12,OFFSET(CRONOPLE!$F$15,$M126-$A$15,BY$13)))</f>
        <v>7</v>
      </c>
      <c r="BZ126" s="171">
        <f ca="1">IF(OR($D126&lt;&gt;"Serviço",AND(AUTOEVENTO="Manual",$M126=$A$15)),0,
         IF(OFFSET(CRONOPLE!$F$15,$M126-$A$15,BZ$13)=0,10^12,OFFSET(CRONOPLE!$F$15,$M126-$A$15,BZ$13)))</f>
        <v>8</v>
      </c>
      <c r="CA126" s="171">
        <f ca="1">IF(OR($D126&lt;&gt;"Serviço",AND(AUTOEVENTO="Manual",$M126=$A$15)),0,
         IF(OFFSET(CRONOPLE!$F$15,$M126-$A$15,CA$13)=0,10^12,OFFSET(CRONOPLE!$F$15,$M126-$A$15,CA$13)))</f>
        <v>9</v>
      </c>
      <c r="CB126" s="171">
        <f ca="1">IF(OR($D126&lt;&gt;"Serviço",AND(AUTOEVENTO="Manual",$M126=$A$15)),0,
         IF(OFFSET(CRONOPLE!$F$15,$M126-$A$15,CB$13)=0,10^12,OFFSET(CRONOPLE!$F$15,$M126-$A$15,CB$13)))</f>
        <v>10</v>
      </c>
      <c r="CC126" s="171">
        <f ca="1">IF(OR($D126&lt;&gt;"Serviço",AND(AUTOEVENTO="Manual",$M126=$A$15)),0,
         IF(OFFSET(CRONOPLE!$F$15,$M126-$A$15,CC$13)=0,10^12,OFFSET(CRONOPLE!$F$15,$M126-$A$15,CC$13)))</f>
        <v>11</v>
      </c>
      <c r="CD126" s="171">
        <f ca="1">IF(OR($D126&lt;&gt;"Serviço",AND(AUTOEVENTO="Manual",$M126=$A$15)),0,
         IF(OFFSET(CRONOPLE!$F$15,$M126-$A$15,CD$13)=0,10^12,OFFSET(CRONOPLE!$F$15,$M126-$A$15,CD$13)))</f>
        <v>12</v>
      </c>
      <c r="CE126" s="171">
        <f ca="1">IF(OR($D126&lt;&gt;"Serviço",AND(AUTOEVENTO="Manual",$M126=$A$15)),0,
         IF(OFFSET(CRONOPLE!$F$15,$M126-$A$15,CE$13)=0,10^12,OFFSET(CRONOPLE!$F$15,$M126-$A$15,CE$13)))</f>
        <v>13</v>
      </c>
      <c r="CF126" s="171">
        <f ca="1">IF(OR($D126&lt;&gt;"Serviço",AND(AUTOEVENTO="Manual",$M126=$A$15)),0,
         IF(OFFSET(CRONOPLE!$F$15,$M126-$A$15,CF$13)=0,10^12,OFFSET(CRONOPLE!$F$15,$M126-$A$15,CF$13)))</f>
        <v>14</v>
      </c>
      <c r="CG126" s="171">
        <f ca="1">IF(OR($D126&lt;&gt;"Serviço",AND(AUTOEVENTO="Manual",$M126=$A$15)),0,
         IF(OFFSET(CRONOPLE!$F$15,$M126-$A$15,CG$13)=0,10^12,OFFSET(CRONOPLE!$F$15,$M126-$A$15,CG$13)))</f>
        <v>15</v>
      </c>
      <c r="CH126" s="171">
        <f ca="1">IF(OR($D126&lt;&gt;"Serviço",AND(AUTOEVENTO="Manual",$M126=$A$15)),0,
         IF(OFFSET(CRONOPLE!$F$15,$M126-$A$15,CH$13)=0,10^12,OFFSET(CRONOPLE!$F$15,$M126-$A$15,CH$13)))</f>
        <v>16</v>
      </c>
      <c r="CI126" s="171">
        <f ca="1">IF(OR($D126&lt;&gt;"Serviço",AND(AUTOEVENTO="Manual",$M126=$A$15)),0,
         IF(OFFSET(CRONOPLE!$F$15,$M126-$A$15,CI$13)=0,10^12,OFFSET(CRONOPLE!$F$15,$M126-$A$15,CI$13)))</f>
        <v>17</v>
      </c>
      <c r="CJ126" s="171">
        <f ca="1">IF(OR($D126&lt;&gt;"Serviço",AND(AUTOEVENTO="Manual",$M126=$A$15)),0,
         IF(OFFSET(CRONOPLE!$F$15,$M126-$A$15,CJ$13)=0,10^12,OFFSET(CRONOPLE!$F$15,$M126-$A$15,CJ$13)))</f>
        <v>18</v>
      </c>
      <c r="CK126" s="171">
        <f ca="1">IF(OR($D126&lt;&gt;"Serviço",AND(AUTOEVENTO="Manual",$M126=$A$15)),0,
         IF(OFFSET(CRONOPLE!$F$15,$M126-$A$15,CK$13)=0,10^12,OFFSET(CRONOPLE!$F$15,$M126-$A$15,CK$13)))</f>
        <v>19</v>
      </c>
      <c r="CL126" s="171">
        <f ca="1">IF(OR($D126&lt;&gt;"Serviço",AND(AUTOEVENTO="Manual",$M126=$A$15)),0,
         IF(OFFSET(CRONOPLE!$F$15,$M126-$A$15,CL$13)=0,10^12,OFFSET(CRONOPLE!$F$15,$M126-$A$15,CL$13)))</f>
        <v>20</v>
      </c>
      <c r="CM126" s="171">
        <f ca="1">IF(OR($D126&lt;&gt;"Serviço",AND(AUTOEVENTO="Manual",$M126=$A$15)),0,
         IF(OFFSET(CRONOPLE!$F$15,$M126-$A$15,CM$13)=0,10^12,OFFSET(CRONOPLE!$F$15,$M126-$A$15,CM$13)))</f>
        <v>1000000000000</v>
      </c>
      <c r="CN126" s="171">
        <f ca="1">IF(OR($D126&lt;&gt;"Serviço",AND(AUTOEVENTO="Manual",$M126=$A$15)),0,
         IF(OFFSET(CRONOPLE!$F$15,$M126-$A$15,CN$13)=0,10^12,OFFSET(CRONOPLE!$F$15,$M126-$A$15,CN$13)))</f>
        <v>1000000000000</v>
      </c>
      <c r="CO126" s="171">
        <f ca="1">IF(OR($D126&lt;&gt;"Serviço",AND(AUTOEVENTO="Manual",$M126=$A$15)),0,
         IF(OFFSET(CRONOPLE!$F$15,$M126-$A$15,CO$13)=0,10^12,OFFSET(CRONOPLE!$F$15,$M126-$A$15,CO$13)))</f>
        <v>1000000000000</v>
      </c>
      <c r="CP126" s="171">
        <f ca="1">IF(OR($D126&lt;&gt;"Serviço",AND(AUTOEVENTO="Manual",$M126=$A$15)),0,
         IF(OFFSET(CRONOPLE!$F$15,$M126-$A$15,CP$13)=0,10^12,OFFSET(CRONOPLE!$F$15,$M126-$A$15,CP$13)))</f>
        <v>1000000000000</v>
      </c>
      <c r="CQ126" s="171">
        <f ca="1">IF(OR($D126&lt;&gt;"Serviço",AND(AUTOEVENTO="Manual",$M126=$A$15)),0,
         IF(OFFSET(CRONOPLE!$F$15,$M126-$A$15,CQ$13)=0,10^12,OFFSET(CRONOPLE!$F$15,$M126-$A$15,CQ$13)))</f>
        <v>1000000000000</v>
      </c>
      <c r="CR126" s="171">
        <f ca="1">IF(OR($D126&lt;&gt;"Serviço",AND(AUTOEVENTO="Manual",$M126=$A$15)),0,
         IF(OFFSET(CRONOPLE!$F$15,$M126-$A$15,CR$13)=0,10^12,OFFSET(CRONOPLE!$F$15,$M126-$A$15,CR$13)))</f>
        <v>1000000000000</v>
      </c>
      <c r="CT126" s="172" cm="1">
        <f t="array" aca="1" ref="CT126" ca="1">IF(OR($D126&lt;&gt;"Serviço",AND(AUTOEVENTO="Manual",$M126=$A$15),$M126&gt;(ROW(PLE.lastrow)-ROW(PLE.firstrow))),0,
           IF(OFFSET(PLE!$G$15,$M126-$A$15,CT$13)="",10^12,OFFSET(PLE!$G$15,$M126-$A$15,CT$13)))</f>
        <v>1000000000000</v>
      </c>
      <c r="CU126" s="172" cm="1">
        <f t="array" aca="1" ref="CU126" ca="1">IF(OR($D126&lt;&gt;"Serviço",AND(AUTOEVENTO="Manual",$M126=$A$15),$M126&gt;(ROW(PLE.lastrow)-ROW(PLE.firstrow))),0,
           IF(OFFSET(PLE!$G$15,$M126-$A$15,CU$13)="",10^12,OFFSET(PLE!$G$15,$M126-$A$15,CU$13)))</f>
        <v>1000000000000</v>
      </c>
      <c r="CV126" s="172" cm="1">
        <f t="array" aca="1" ref="CV126" ca="1">IF(OR($D126&lt;&gt;"Serviço",AND(AUTOEVENTO="Manual",$M126=$A$15),$M126&gt;(ROW(PLE.lastrow)-ROW(PLE.firstrow))),0,
           IF(OFFSET(PLE!$G$15,$M126-$A$15,CV$13)="",10^12,OFFSET(PLE!$G$15,$M126-$A$15,CV$13)))</f>
        <v>1000000000000</v>
      </c>
      <c r="CW126" s="172" cm="1">
        <f t="array" aca="1" ref="CW126" ca="1">IF(OR($D126&lt;&gt;"Serviço",AND(AUTOEVENTO="Manual",$M126=$A$15),$M126&gt;(ROW(PLE.lastrow)-ROW(PLE.firstrow))),0,
           IF(OFFSET(PLE!$G$15,$M126-$A$15,CW$13)="",10^12,OFFSET(PLE!$G$15,$M126-$A$15,CW$13)))</f>
        <v>1000000000000</v>
      </c>
      <c r="CX126" s="172" cm="1">
        <f t="array" aca="1" ref="CX126" ca="1">IF(OR($D126&lt;&gt;"Serviço",AND(AUTOEVENTO="Manual",$M126=$A$15),$M126&gt;(ROW(PLE.lastrow)-ROW(PLE.firstrow))),0,
           IF(OFFSET(PLE!$G$15,$M126-$A$15,CX$13)="",10^12,OFFSET(PLE!$G$15,$M126-$A$15,CX$13)))</f>
        <v>1000000000000</v>
      </c>
      <c r="CY126" s="172" cm="1">
        <f t="array" aca="1" ref="CY126" ca="1">IF(OR($D126&lt;&gt;"Serviço",AND(AUTOEVENTO="Manual",$M126=$A$15),$M126&gt;(ROW(PLE.lastrow)-ROW(PLE.firstrow))),0,
           IF(OFFSET(PLE!$G$15,$M126-$A$15,CY$13)="",10^12,OFFSET(PLE!$G$15,$M126-$A$15,CY$13)))</f>
        <v>1000000000000</v>
      </c>
      <c r="CZ126" s="172" cm="1">
        <f t="array" aca="1" ref="CZ126" ca="1">IF(OR($D126&lt;&gt;"Serviço",AND(AUTOEVENTO="Manual",$M126=$A$15),$M126&gt;(ROW(PLE.lastrow)-ROW(PLE.firstrow))),0,
           IF(OFFSET(PLE!$G$15,$M126-$A$15,CZ$13)="",10^12,OFFSET(PLE!$G$15,$M126-$A$15,CZ$13)))</f>
        <v>1000000000000</v>
      </c>
      <c r="DA126" s="172" cm="1">
        <f t="array" aca="1" ref="DA126" ca="1">IF(OR($D126&lt;&gt;"Serviço",AND(AUTOEVENTO="Manual",$M126=$A$15),$M126&gt;(ROW(PLE.lastrow)-ROW(PLE.firstrow))),0,
           IF(OFFSET(PLE!$G$15,$M126-$A$15,DA$13)="",10^12,OFFSET(PLE!$G$15,$M126-$A$15,DA$13)))</f>
        <v>1000000000000</v>
      </c>
      <c r="DB126" s="172" cm="1">
        <f t="array" aca="1" ref="DB126" ca="1">IF(OR($D126&lt;&gt;"Serviço",AND(AUTOEVENTO="Manual",$M126=$A$15),$M126&gt;(ROW(PLE.lastrow)-ROW(PLE.firstrow))),0,
           IF(OFFSET(PLE!$G$15,$M126-$A$15,DB$13)="",10^12,OFFSET(PLE!$G$15,$M126-$A$15,DB$13)))</f>
        <v>1000000000000</v>
      </c>
      <c r="DC126" s="172" cm="1">
        <f t="array" aca="1" ref="DC126" ca="1">IF(OR($D126&lt;&gt;"Serviço",AND(AUTOEVENTO="Manual",$M126=$A$15),$M126&gt;(ROW(PLE.lastrow)-ROW(PLE.firstrow))),0,
           IF(OFFSET(PLE!$G$15,$M126-$A$15,DC$13)="",10^12,OFFSET(PLE!$G$15,$M126-$A$15,DC$13)))</f>
        <v>1000000000000</v>
      </c>
      <c r="DD126" s="172" cm="1">
        <f t="array" aca="1" ref="DD126" ca="1">IF(OR($D126&lt;&gt;"Serviço",AND(AUTOEVENTO="Manual",$M126=$A$15),$M126&gt;(ROW(PLE.lastrow)-ROW(PLE.firstrow))),0,
           IF(OFFSET(PLE!$G$15,$M126-$A$15,DD$13)="",10^12,OFFSET(PLE!$G$15,$M126-$A$15,DD$13)))</f>
        <v>1000000000000</v>
      </c>
      <c r="DE126" s="172" cm="1">
        <f t="array" aca="1" ref="DE126" ca="1">IF(OR($D126&lt;&gt;"Serviço",AND(AUTOEVENTO="Manual",$M126=$A$15),$M126&gt;(ROW(PLE.lastrow)-ROW(PLE.firstrow))),0,
           IF(OFFSET(PLE!$G$15,$M126-$A$15,DE$13)="",10^12,OFFSET(PLE!$G$15,$M126-$A$15,DE$13)))</f>
        <v>1000000000000</v>
      </c>
      <c r="DF126" s="172" cm="1">
        <f t="array" aca="1" ref="DF126" ca="1">IF(OR($D126&lt;&gt;"Serviço",AND(AUTOEVENTO="Manual",$M126=$A$15),$M126&gt;(ROW(PLE.lastrow)-ROW(PLE.firstrow))),0,
           IF(OFFSET(PLE!$G$15,$M126-$A$15,DF$13)="",10^12,OFFSET(PLE!$G$15,$M126-$A$15,DF$13)))</f>
        <v>1000000000000</v>
      </c>
      <c r="DG126" s="172" cm="1">
        <f t="array" aca="1" ref="DG126" ca="1">IF(OR($D126&lt;&gt;"Serviço",AND(AUTOEVENTO="Manual",$M126=$A$15),$M126&gt;(ROW(PLE.lastrow)-ROW(PLE.firstrow))),0,
           IF(OFFSET(PLE!$G$15,$M126-$A$15,DG$13)="",10^12,OFFSET(PLE!$G$15,$M126-$A$15,DG$13)))</f>
        <v>1000000000000</v>
      </c>
      <c r="DH126" s="172" cm="1">
        <f t="array" aca="1" ref="DH126" ca="1">IF(OR($D126&lt;&gt;"Serviço",AND(AUTOEVENTO="Manual",$M126=$A$15),$M126&gt;(ROW(PLE.lastrow)-ROW(PLE.firstrow))),0,
           IF(OFFSET(PLE!$G$15,$M126-$A$15,DH$13)="",10^12,OFFSET(PLE!$G$15,$M126-$A$15,DH$13)))</f>
        <v>1000000000000</v>
      </c>
      <c r="DI126" s="172" cm="1">
        <f t="array" aca="1" ref="DI126" ca="1">IF(OR($D126&lt;&gt;"Serviço",AND(AUTOEVENTO="Manual",$M126=$A$15),$M126&gt;(ROW(PLE.lastrow)-ROW(PLE.firstrow))),0,
           IF(OFFSET(PLE!$G$15,$M126-$A$15,DI$13)="",10^12,OFFSET(PLE!$G$15,$M126-$A$15,DI$13)))</f>
        <v>1000000000000</v>
      </c>
      <c r="DJ126" s="172" cm="1">
        <f t="array" aca="1" ref="DJ126" ca="1">IF(OR($D126&lt;&gt;"Serviço",AND(AUTOEVENTO="Manual",$M126=$A$15),$M126&gt;(ROW(PLE.lastrow)-ROW(PLE.firstrow))),0,
           IF(OFFSET(PLE!$G$15,$M126-$A$15,DJ$13)="",10^12,OFFSET(PLE!$G$15,$M126-$A$15,DJ$13)))</f>
        <v>1000000000000</v>
      </c>
      <c r="DK126" s="172" cm="1">
        <f t="array" aca="1" ref="DK126" ca="1">IF(OR($D126&lt;&gt;"Serviço",AND(AUTOEVENTO="Manual",$M126=$A$15),$M126&gt;(ROW(PLE.lastrow)-ROW(PLE.firstrow))),0,
           IF(OFFSET(PLE!$G$15,$M126-$A$15,DK$13)="",10^12,OFFSET(PLE!$G$15,$M126-$A$15,DK$13)))</f>
        <v>1000000000000</v>
      </c>
      <c r="DL126" s="172" cm="1">
        <f t="array" aca="1" ref="DL126" ca="1">IF(OR($D126&lt;&gt;"Serviço",AND(AUTOEVENTO="Manual",$M126=$A$15),$M126&gt;(ROW(PLE.lastrow)-ROW(PLE.firstrow))),0,
           IF(OFFSET(PLE!$G$15,$M126-$A$15,DL$13)="",10^12,OFFSET(PLE!$G$15,$M126-$A$15,DL$13)))</f>
        <v>1000000000000</v>
      </c>
      <c r="DM126" s="172" cm="1">
        <f t="array" aca="1" ref="DM126" ca="1">IF(OR($D126&lt;&gt;"Serviço",AND(AUTOEVENTO="Manual",$M126=$A$15),$M126&gt;(ROW(PLE.lastrow)-ROW(PLE.firstrow))),0,
           IF(OFFSET(PLE!$G$15,$M126-$A$15,DM$13)="",10^12,OFFSET(PLE!$G$15,$M126-$A$15,DM$13)))</f>
        <v>1000000000000</v>
      </c>
      <c r="DN126" s="172" cm="1">
        <f t="array" aca="1" ref="DN126" ca="1">IF(OR($D126&lt;&gt;"Serviço",AND(AUTOEVENTO="Manual",$M126=$A$15),$M126&gt;(ROW(PLE.lastrow)-ROW(PLE.firstrow))),0,
           IF(OFFSET(PLE!$G$15,$M126-$A$15,DN$13)="",10^12,OFFSET(PLE!$G$15,$M126-$A$15,DN$13)))</f>
        <v>1000000000000</v>
      </c>
      <c r="DO126" s="172" cm="1">
        <f t="array" aca="1" ref="DO126" ca="1">IF(OR($D126&lt;&gt;"Serviço",AND(AUTOEVENTO="Manual",$M126=$A$15),$M126&gt;(ROW(PLE.lastrow)-ROW(PLE.firstrow))),0,
           IF(OFFSET(PLE!$G$15,$M126-$A$15,DO$13)="",10^12,OFFSET(PLE!$G$15,$M126-$A$15,DO$13)))</f>
        <v>1000000000000</v>
      </c>
      <c r="DP126" s="172" cm="1">
        <f t="array" aca="1" ref="DP126" ca="1">IF(OR($D126&lt;&gt;"Serviço",AND(AUTOEVENTO="Manual",$M126=$A$15),$M126&gt;(ROW(PLE.lastrow)-ROW(PLE.firstrow))),0,
           IF(OFFSET(PLE!$G$15,$M126-$A$15,DP$13)="",10^12,OFFSET(PLE!$G$15,$M126-$A$15,DP$13)))</f>
        <v>1000000000000</v>
      </c>
      <c r="DQ126" s="172" cm="1">
        <f t="array" aca="1" ref="DQ126" ca="1">IF(OR($D126&lt;&gt;"Serviço",AND(AUTOEVENTO="Manual",$M126=$A$15),$M126&gt;(ROW(PLE.lastrow)-ROW(PLE.firstrow))),0,
           IF(OFFSET(PLE!$G$15,$M126-$A$15,DQ$13)="",10^12,OFFSET(PLE!$G$15,$M126-$A$15,DQ$13)))</f>
        <v>1000000000000</v>
      </c>
      <c r="DR126" s="172" cm="1">
        <f t="array" aca="1" ref="DR126" ca="1">IF(OR($D126&lt;&gt;"Serviço",AND(AUTOEVENTO="Manual",$M126=$A$15),$M126&gt;(ROW(PLE.lastrow)-ROW(PLE.firstrow))),0,
           IF(OFFSET(PLE!$G$15,$M126-$A$15,DR$13)="",10^12,OFFSET(PLE!$G$15,$M126-$A$15,DR$13)))</f>
        <v>1000000000000</v>
      </c>
      <c r="DS126" s="172" cm="1">
        <f t="array" aca="1" ref="DS126" ca="1">IF(OR($D126&lt;&gt;"Serviço",AND(AUTOEVENTO="Manual",$M126=$A$15),$M126&gt;(ROW(PLE.lastrow)-ROW(PLE.firstrow))),0,
           IF(OFFSET(PLE!$G$15,$M126-$A$15,DS$13)="",10^12,OFFSET(PLE!$G$15,$M126-$A$15,DS$13)))</f>
        <v>1000000000000</v>
      </c>
    </row>
    <row r="127" spans="1:123" ht="38.25" x14ac:dyDescent="0.2">
      <c r="A127" s="7">
        <f t="shared" ca="1" si="15"/>
        <v>8</v>
      </c>
      <c r="B127" s="7" t="str">
        <f ca="1">OFFSET(ORÇAMENTO!C$15,$L127,0)</f>
        <v>S</v>
      </c>
      <c r="C127" s="7" t="str">
        <f ca="1">OFFSET(ORÇAMENTO!L$15,$L127,0)</f>
        <v/>
      </c>
      <c r="D127" s="116" t="str">
        <f ca="1">OFFSET(ORÇAMENTO!N$15,$L127,0)</f>
        <v>Serviço</v>
      </c>
      <c r="E127" s="117" t="str">
        <f ca="1">OFFSET(ORÇAMENTO!O$15,$L127,0)</f>
        <v>-</v>
      </c>
      <c r="F127" s="163" t="str">
        <f ca="1">OFFSET(ORÇAMENTO!R$15,$L127,0)</f>
        <v>(Código não identificado nas referências)</v>
      </c>
      <c r="G127" s="164" t="str">
        <f ca="1">IF($D127&lt;&gt;"Serviço","",OFFSET(ORÇAMENTO!S$15,$L127,0))</f>
        <v>-</v>
      </c>
      <c r="H127" s="122" cm="1">
        <f t="array" aca="1" ref="H127" ca="1">IF($D127&lt;&gt;"Serviço",0,IF(ACOMPANHAMENTO="BM",ROUND(OFFSET(ORÇAMENTO!AJ$15,$L127,0),15-13*ORÇAMENTO!$AF$7),IF(IFERROR(CÁLCULO.FrentesPreenchidas,0)=0,0,SUM(ROUND(OFFSET($P127,0,1,1,CÁLCULO.FrentesPreenchidas),15-13*ORÇAMENTO!$AF$7)))))</f>
        <v>22.599999999999987</v>
      </c>
      <c r="I127" s="468" t="s">
        <v>1235</v>
      </c>
      <c r="J127" s="651" t="str" cm="1">
        <f t="array" aca="1" ref="J127" ca="1">IF(OR(B127&lt;&gt;"S",CÁLCULO.FrentesPreenchidas=0),"",IF(AND(ACOMPANHAMENTO="PLE",AUTOEVENTO="Manual",OR(H127&gt;0,ORÇAMENTO!AC127="QUANT."),OR(K127="",M127=0,N127="")),"►E",IF(AND(ACOMPANHAMENTO="PLE",ORÇAMENTO!AC127="QUANT."),"►Q",IF(AND(ACOMPANHAMENTO="PLE",H127&lt;&gt;SUMPRODUCT(($Q$1:$AQ$1=1)*ROUND(Q127:AQ127,15))),"►S",IF(AND(COUNTIF($P$11:$AQ$11,"▼")=0,H127&gt;0,I127=""),"◄M","")))))</f>
        <v/>
      </c>
      <c r="K127" s="652" t="s">
        <v>1256</v>
      </c>
      <c r="L127" s="165">
        <f t="shared" ca="1" si="14"/>
        <v>112</v>
      </c>
      <c r="M127" s="166">
        <f ca="1">IF($D127&lt;&gt;"Serviço","",
          IF(AUTOEVENTO="manual",$A127,
                IF(ISERROR(MATCH($A127,$A$15:OFFSET($A127,-1,0),0)),MAX($M$15:OFFSET(M127,-1,0))+1,
                      INDEX($M$15:OFFSET(M127,-1,0),MATCH($A127,$A$15:OFFSET($A127,-1,0),0)))))</f>
        <v>8</v>
      </c>
      <c r="N127" s="167" t="str">
        <f ca="1">IF($D127&lt;&gt;"Serviço","",
         IF(AUTOEVENTO="Manual",
                IF($A127=0,"&lt;-- defina o número do agrupador",
                       OFFSET(EVENTOS!$D$15,$A127-$A$15,0)),
                OFFSET($F$15,$A127,0)))</f>
        <v>PAVIMENTAÇÕES</v>
      </c>
      <c r="O127" s="168"/>
      <c r="Q127" s="168">
        <v>1.1299999999999999</v>
      </c>
      <c r="R127" s="169">
        <v>1.1299999999999999</v>
      </c>
      <c r="S127" s="169">
        <v>1.1299999999999999</v>
      </c>
      <c r="T127" s="169">
        <v>1.1299999999999999</v>
      </c>
      <c r="U127" s="169">
        <v>1.1299999999999999</v>
      </c>
      <c r="V127" s="169">
        <v>1.1299999999999999</v>
      </c>
      <c r="W127" s="169">
        <v>1.1299999999999999</v>
      </c>
      <c r="X127" s="169">
        <v>1.1299999999999999</v>
      </c>
      <c r="Y127" s="169">
        <v>1.1299999999999999</v>
      </c>
      <c r="Z127" s="170">
        <v>1.1299999999999999</v>
      </c>
      <c r="AA127" s="169">
        <v>1.1299999999999999</v>
      </c>
      <c r="AB127" s="169">
        <v>1.1299999999999999</v>
      </c>
      <c r="AC127" s="169">
        <v>1.1299999999999999</v>
      </c>
      <c r="AD127" s="169">
        <v>1.1299999999999999</v>
      </c>
      <c r="AE127" s="169">
        <v>1.1299999999999999</v>
      </c>
      <c r="AF127" s="169">
        <v>1.1299999999999999</v>
      </c>
      <c r="AG127" s="169">
        <v>1.1299999999999999</v>
      </c>
      <c r="AH127" s="170">
        <v>1.1299999999999999</v>
      </c>
      <c r="AI127" s="169">
        <v>1.1299999999999999</v>
      </c>
      <c r="AJ127" s="169">
        <v>1.1299999999999999</v>
      </c>
      <c r="AK127" s="169"/>
      <c r="AL127" s="169"/>
      <c r="AM127" s="169"/>
      <c r="AN127" s="169"/>
      <c r="AO127" s="169"/>
      <c r="AP127" s="170"/>
      <c r="AR127" s="453">
        <f ca="1">IF(AND($D127="Serviço",AR$12&lt;&gt;0,$H127&gt;0,OR(AUTOEVENTO&lt;&gt;"manual",$M127&lt;&gt;$A$15)),
        IF(Import.TipoArredondamento&lt;&gt;"TransfereGOV",
              ROUND(OFFSET($P127,0,AR$13),15-13*ORÇAMENTO!$AF$7)/$H127*OFFSET(ORÇAMENTO!$X$15,ROW(AR127)-ROW(AR$15),0),
              ROUND(ROUND(OFFSET($P127,0,AR$13),15-13*ORÇAMENTO!$AF$7)*OFFSET(ORÇAMENTO!$W$15,ROW(AR127)-ROW(AR$15),0),15-13*ORÇAMENTO!$AF$11)),
         0)</f>
        <v>0</v>
      </c>
      <c r="AS127" s="453">
        <f ca="1">IF(AND($D127="Serviço",AS$12&lt;&gt;0,$H127&gt;0,OR(AUTOEVENTO&lt;&gt;"manual",$M127&lt;&gt;$A$15)),
        IF(Import.TipoArredondamento&lt;&gt;"TransfereGOV",
              ROUND(OFFSET($P127,0,AS$13),15-13*ORÇAMENTO!$AF$7)/$H127*OFFSET(ORÇAMENTO!$X$15,ROW(AS127)-ROW(AS$15),0),
              ROUND(ROUND(OFFSET($P127,0,AS$13),15-13*ORÇAMENTO!$AF$7)*OFFSET(ORÇAMENTO!$W$15,ROW(AS127)-ROW(AS$15),0),15-13*ORÇAMENTO!$AF$11)),
         0)</f>
        <v>0</v>
      </c>
      <c r="AT127" s="453">
        <f ca="1">IF(AND($D127="Serviço",AT$12&lt;&gt;0,$H127&gt;0,OR(AUTOEVENTO&lt;&gt;"manual",$M127&lt;&gt;$A$15)),
        IF(Import.TipoArredondamento&lt;&gt;"TransfereGOV",
              ROUND(OFFSET($P127,0,AT$13),15-13*ORÇAMENTO!$AF$7)/$H127*OFFSET(ORÇAMENTO!$X$15,ROW(AT127)-ROW(AT$15),0),
              ROUND(ROUND(OFFSET($P127,0,AT$13),15-13*ORÇAMENTO!$AF$7)*OFFSET(ORÇAMENTO!$W$15,ROW(AT127)-ROW(AT$15),0),15-13*ORÇAMENTO!$AF$11)),
         0)</f>
        <v>0</v>
      </c>
      <c r="AU127" s="453">
        <f ca="1">IF(AND($D127="Serviço",AU$12&lt;&gt;0,$H127&gt;0,OR(AUTOEVENTO&lt;&gt;"manual",$M127&lt;&gt;$A$15)),
        IF(Import.TipoArredondamento&lt;&gt;"TransfereGOV",
              ROUND(OFFSET($P127,0,AU$13),15-13*ORÇAMENTO!$AF$7)/$H127*OFFSET(ORÇAMENTO!$X$15,ROW(AU127)-ROW(AU$15),0),
              ROUND(ROUND(OFFSET($P127,0,AU$13),15-13*ORÇAMENTO!$AF$7)*OFFSET(ORÇAMENTO!$W$15,ROW(AU127)-ROW(AU$15),0),15-13*ORÇAMENTO!$AF$11)),
         0)</f>
        <v>0</v>
      </c>
      <c r="AV127" s="453">
        <f ca="1">IF(AND($D127="Serviço",AV$12&lt;&gt;0,$H127&gt;0,OR(AUTOEVENTO&lt;&gt;"manual",$M127&lt;&gt;$A$15)),
        IF(Import.TipoArredondamento&lt;&gt;"TransfereGOV",
              ROUND(OFFSET($P127,0,AV$13),15-13*ORÇAMENTO!$AF$7)/$H127*OFFSET(ORÇAMENTO!$X$15,ROW(AV127)-ROW(AV$15),0),
              ROUND(ROUND(OFFSET($P127,0,AV$13),15-13*ORÇAMENTO!$AF$7)*OFFSET(ORÇAMENTO!$W$15,ROW(AV127)-ROW(AV$15),0),15-13*ORÇAMENTO!$AF$11)),
         0)</f>
        <v>0</v>
      </c>
      <c r="AW127" s="453">
        <f ca="1">IF(AND($D127="Serviço",AW$12&lt;&gt;0,$H127&gt;0,OR(AUTOEVENTO&lt;&gt;"manual",$M127&lt;&gt;$A$15)),
        IF(Import.TipoArredondamento&lt;&gt;"TransfereGOV",
              ROUND(OFFSET($P127,0,AW$13),15-13*ORÇAMENTO!$AF$7)/$H127*OFFSET(ORÇAMENTO!$X$15,ROW(AW127)-ROW(AW$15),0),
              ROUND(ROUND(OFFSET($P127,0,AW$13),15-13*ORÇAMENTO!$AF$7)*OFFSET(ORÇAMENTO!$W$15,ROW(AW127)-ROW(AW$15),0),15-13*ORÇAMENTO!$AF$11)),
         0)</f>
        <v>0</v>
      </c>
      <c r="AX127" s="453">
        <f ca="1">IF(AND($D127="Serviço",AX$12&lt;&gt;0,$H127&gt;0,OR(AUTOEVENTO&lt;&gt;"manual",$M127&lt;&gt;$A$15)),
        IF(Import.TipoArredondamento&lt;&gt;"TransfereGOV",
              ROUND(OFFSET($P127,0,AX$13),15-13*ORÇAMENTO!$AF$7)/$H127*OFFSET(ORÇAMENTO!$X$15,ROW(AX127)-ROW(AX$15),0),
              ROUND(ROUND(OFFSET($P127,0,AX$13),15-13*ORÇAMENTO!$AF$7)*OFFSET(ORÇAMENTO!$W$15,ROW(AX127)-ROW(AX$15),0),15-13*ORÇAMENTO!$AF$11)),
         0)</f>
        <v>0</v>
      </c>
      <c r="AY127" s="453">
        <f ca="1">IF(AND($D127="Serviço",AY$12&lt;&gt;0,$H127&gt;0,OR(AUTOEVENTO&lt;&gt;"manual",$M127&lt;&gt;$A$15)),
        IF(Import.TipoArredondamento&lt;&gt;"TransfereGOV",
              ROUND(OFFSET($P127,0,AY$13),15-13*ORÇAMENTO!$AF$7)/$H127*OFFSET(ORÇAMENTO!$X$15,ROW(AY127)-ROW(AY$15),0),
              ROUND(ROUND(OFFSET($P127,0,AY$13),15-13*ORÇAMENTO!$AF$7)*OFFSET(ORÇAMENTO!$W$15,ROW(AY127)-ROW(AY$15),0),15-13*ORÇAMENTO!$AF$11)),
         0)</f>
        <v>0</v>
      </c>
      <c r="AZ127" s="453">
        <f ca="1">IF(AND($D127="Serviço",AZ$12&lt;&gt;0,$H127&gt;0,OR(AUTOEVENTO&lt;&gt;"manual",$M127&lt;&gt;$A$15)),
        IF(Import.TipoArredondamento&lt;&gt;"TransfereGOV",
              ROUND(OFFSET($P127,0,AZ$13),15-13*ORÇAMENTO!$AF$7)/$H127*OFFSET(ORÇAMENTO!$X$15,ROW(AZ127)-ROW(AZ$15),0),
              ROUND(ROUND(OFFSET($P127,0,AZ$13),15-13*ORÇAMENTO!$AF$7)*OFFSET(ORÇAMENTO!$W$15,ROW(AZ127)-ROW(AZ$15),0),15-13*ORÇAMENTO!$AF$11)),
         0)</f>
        <v>0</v>
      </c>
      <c r="BA127" s="453">
        <f ca="1">IF(AND($D127="Serviço",BA$12&lt;&gt;0,$H127&gt;0,OR(AUTOEVENTO&lt;&gt;"manual",$M127&lt;&gt;$A$15)),
        IF(Import.TipoArredondamento&lt;&gt;"TransfereGOV",
              ROUND(OFFSET($P127,0,BA$13),15-13*ORÇAMENTO!$AF$7)/$H127*OFFSET(ORÇAMENTO!$X$15,ROW(BA127)-ROW(BA$15),0),
              ROUND(ROUND(OFFSET($P127,0,BA$13),15-13*ORÇAMENTO!$AF$7)*OFFSET(ORÇAMENTO!$W$15,ROW(BA127)-ROW(BA$15),0),15-13*ORÇAMENTO!$AF$11)),
         0)</f>
        <v>0</v>
      </c>
      <c r="BB127" s="453">
        <f ca="1">IF(AND($D127="Serviço",BB$12&lt;&gt;0,$H127&gt;0,OR(AUTOEVENTO&lt;&gt;"manual",$M127&lt;&gt;$A$15)),
        IF(Import.TipoArredondamento&lt;&gt;"TransfereGOV",
              ROUND(OFFSET($P127,0,BB$13),15-13*ORÇAMENTO!$AF$7)/$H127*OFFSET(ORÇAMENTO!$X$15,ROW(BB127)-ROW(BB$15),0),
              ROUND(ROUND(OFFSET($P127,0,BB$13),15-13*ORÇAMENTO!$AF$7)*OFFSET(ORÇAMENTO!$W$15,ROW(BB127)-ROW(BB$15),0),15-13*ORÇAMENTO!$AF$11)),
         0)</f>
        <v>0</v>
      </c>
      <c r="BC127" s="453">
        <f ca="1">IF(AND($D127="Serviço",BC$12&lt;&gt;0,$H127&gt;0,OR(AUTOEVENTO&lt;&gt;"manual",$M127&lt;&gt;$A$15)),
        IF(Import.TipoArredondamento&lt;&gt;"TransfereGOV",
              ROUND(OFFSET($P127,0,BC$13),15-13*ORÇAMENTO!$AF$7)/$H127*OFFSET(ORÇAMENTO!$X$15,ROW(BC127)-ROW(BC$15),0),
              ROUND(ROUND(OFFSET($P127,0,BC$13),15-13*ORÇAMENTO!$AF$7)*OFFSET(ORÇAMENTO!$W$15,ROW(BC127)-ROW(BC$15),0),15-13*ORÇAMENTO!$AF$11)),
         0)</f>
        <v>0</v>
      </c>
      <c r="BD127" s="453">
        <f ca="1">IF(AND($D127="Serviço",BD$12&lt;&gt;0,$H127&gt;0,OR(AUTOEVENTO&lt;&gt;"manual",$M127&lt;&gt;$A$15)),
        IF(Import.TipoArredondamento&lt;&gt;"TransfereGOV",
              ROUND(OFFSET($P127,0,BD$13),15-13*ORÇAMENTO!$AF$7)/$H127*OFFSET(ORÇAMENTO!$X$15,ROW(BD127)-ROW(BD$15),0),
              ROUND(ROUND(OFFSET($P127,0,BD$13),15-13*ORÇAMENTO!$AF$7)*OFFSET(ORÇAMENTO!$W$15,ROW(BD127)-ROW(BD$15),0),15-13*ORÇAMENTO!$AF$11)),
         0)</f>
        <v>0</v>
      </c>
      <c r="BE127" s="453">
        <f ca="1">IF(AND($D127="Serviço",BE$12&lt;&gt;0,$H127&gt;0,OR(AUTOEVENTO&lt;&gt;"manual",$M127&lt;&gt;$A$15)),
        IF(Import.TipoArredondamento&lt;&gt;"TransfereGOV",
              ROUND(OFFSET($P127,0,BE$13),15-13*ORÇAMENTO!$AF$7)/$H127*OFFSET(ORÇAMENTO!$X$15,ROW(BE127)-ROW(BE$15),0),
              ROUND(ROUND(OFFSET($P127,0,BE$13),15-13*ORÇAMENTO!$AF$7)*OFFSET(ORÇAMENTO!$W$15,ROW(BE127)-ROW(BE$15),0),15-13*ORÇAMENTO!$AF$11)),
         0)</f>
        <v>0</v>
      </c>
      <c r="BF127" s="453">
        <f ca="1">IF(AND($D127="Serviço",BF$12&lt;&gt;0,$H127&gt;0,OR(AUTOEVENTO&lt;&gt;"manual",$M127&lt;&gt;$A$15)),
        IF(Import.TipoArredondamento&lt;&gt;"TransfereGOV",
              ROUND(OFFSET($P127,0,BF$13),15-13*ORÇAMENTO!$AF$7)/$H127*OFFSET(ORÇAMENTO!$X$15,ROW(BF127)-ROW(BF$15),0),
              ROUND(ROUND(OFFSET($P127,0,BF$13),15-13*ORÇAMENTO!$AF$7)*OFFSET(ORÇAMENTO!$W$15,ROW(BF127)-ROW(BF$15),0),15-13*ORÇAMENTO!$AF$11)),
         0)</f>
        <v>0</v>
      </c>
      <c r="BG127" s="453">
        <f ca="1">IF(AND($D127="Serviço",BG$12&lt;&gt;0,$H127&gt;0,OR(AUTOEVENTO&lt;&gt;"manual",$M127&lt;&gt;$A$15)),
        IF(Import.TipoArredondamento&lt;&gt;"TransfereGOV",
              ROUND(OFFSET($P127,0,BG$13),15-13*ORÇAMENTO!$AF$7)/$H127*OFFSET(ORÇAMENTO!$X$15,ROW(BG127)-ROW(BG$15),0),
              ROUND(ROUND(OFFSET($P127,0,BG$13),15-13*ORÇAMENTO!$AF$7)*OFFSET(ORÇAMENTO!$W$15,ROW(BG127)-ROW(BG$15),0),15-13*ORÇAMENTO!$AF$11)),
         0)</f>
        <v>0</v>
      </c>
      <c r="BH127" s="453">
        <f ca="1">IF(AND($D127="Serviço",BH$12&lt;&gt;0,$H127&gt;0,OR(AUTOEVENTO&lt;&gt;"manual",$M127&lt;&gt;$A$15)),
        IF(Import.TipoArredondamento&lt;&gt;"TransfereGOV",
              ROUND(OFFSET($P127,0,BH$13),15-13*ORÇAMENTO!$AF$7)/$H127*OFFSET(ORÇAMENTO!$X$15,ROW(BH127)-ROW(BH$15),0),
              ROUND(ROUND(OFFSET($P127,0,BH$13),15-13*ORÇAMENTO!$AF$7)*OFFSET(ORÇAMENTO!$W$15,ROW(BH127)-ROW(BH$15),0),15-13*ORÇAMENTO!$AF$11)),
         0)</f>
        <v>0</v>
      </c>
      <c r="BI127" s="453">
        <f ca="1">IF(AND($D127="Serviço",BI$12&lt;&gt;0,$H127&gt;0,OR(AUTOEVENTO&lt;&gt;"manual",$M127&lt;&gt;$A$15)),
        IF(Import.TipoArredondamento&lt;&gt;"TransfereGOV",
              ROUND(OFFSET($P127,0,BI$13),15-13*ORÇAMENTO!$AF$7)/$H127*OFFSET(ORÇAMENTO!$X$15,ROW(BI127)-ROW(BI$15),0),
              ROUND(ROUND(OFFSET($P127,0,BI$13),15-13*ORÇAMENTO!$AF$7)*OFFSET(ORÇAMENTO!$W$15,ROW(BI127)-ROW(BI$15),0),15-13*ORÇAMENTO!$AF$11)),
         0)</f>
        <v>0</v>
      </c>
      <c r="BJ127" s="453">
        <f ca="1">IF(AND($D127="Serviço",BJ$12&lt;&gt;0,$H127&gt;0,OR(AUTOEVENTO&lt;&gt;"manual",$M127&lt;&gt;$A$15)),
        IF(Import.TipoArredondamento&lt;&gt;"TransfereGOV",
              ROUND(OFFSET($P127,0,BJ$13),15-13*ORÇAMENTO!$AF$7)/$H127*OFFSET(ORÇAMENTO!$X$15,ROW(BJ127)-ROW(BJ$15),0),
              ROUND(ROUND(OFFSET($P127,0,BJ$13),15-13*ORÇAMENTO!$AF$7)*OFFSET(ORÇAMENTO!$W$15,ROW(BJ127)-ROW(BJ$15),0),15-13*ORÇAMENTO!$AF$11)),
         0)</f>
        <v>0</v>
      </c>
      <c r="BK127" s="453">
        <f ca="1">IF(AND($D127="Serviço",BK$12&lt;&gt;0,$H127&gt;0,OR(AUTOEVENTO&lt;&gt;"manual",$M127&lt;&gt;$A$15)),
        IF(Import.TipoArredondamento&lt;&gt;"TransfereGOV",
              ROUND(OFFSET($P127,0,BK$13),15-13*ORÇAMENTO!$AF$7)/$H127*OFFSET(ORÇAMENTO!$X$15,ROW(BK127)-ROW(BK$15),0),
              ROUND(ROUND(OFFSET($P127,0,BK$13),15-13*ORÇAMENTO!$AF$7)*OFFSET(ORÇAMENTO!$W$15,ROW(BK127)-ROW(BK$15),0),15-13*ORÇAMENTO!$AF$11)),
         0)</f>
        <v>0</v>
      </c>
      <c r="BL127" s="453">
        <f ca="1">IF(AND($D127="Serviço",BL$12&lt;&gt;0,$H127&gt;0,OR(AUTOEVENTO&lt;&gt;"manual",$M127&lt;&gt;$A$15)),
        IF(Import.TipoArredondamento&lt;&gt;"TransfereGOV",
              ROUND(OFFSET($P127,0,BL$13),15-13*ORÇAMENTO!$AF$7)/$H127*OFFSET(ORÇAMENTO!$X$15,ROW(BL127)-ROW(BL$15),0),
              ROUND(ROUND(OFFSET($P127,0,BL$13),15-13*ORÇAMENTO!$AF$7)*OFFSET(ORÇAMENTO!$W$15,ROW(BL127)-ROW(BL$15),0),15-13*ORÇAMENTO!$AF$11)),
         0)</f>
        <v>0</v>
      </c>
      <c r="BM127" s="453">
        <f ca="1">IF(AND($D127="Serviço",BM$12&lt;&gt;0,$H127&gt;0,OR(AUTOEVENTO&lt;&gt;"manual",$M127&lt;&gt;$A$15)),
        IF(Import.TipoArredondamento&lt;&gt;"TransfereGOV",
              ROUND(OFFSET($P127,0,BM$13),15-13*ORÇAMENTO!$AF$7)/$H127*OFFSET(ORÇAMENTO!$X$15,ROW(BM127)-ROW(BM$15),0),
              ROUND(ROUND(OFFSET($P127,0,BM$13),15-13*ORÇAMENTO!$AF$7)*OFFSET(ORÇAMENTO!$W$15,ROW(BM127)-ROW(BM$15),0),15-13*ORÇAMENTO!$AF$11)),
         0)</f>
        <v>0</v>
      </c>
      <c r="BN127" s="453">
        <f ca="1">IF(AND($D127="Serviço",BN$12&lt;&gt;0,$H127&gt;0,OR(AUTOEVENTO&lt;&gt;"manual",$M127&lt;&gt;$A$15)),
        IF(Import.TipoArredondamento&lt;&gt;"TransfereGOV",
              ROUND(OFFSET($P127,0,BN$13),15-13*ORÇAMENTO!$AF$7)/$H127*OFFSET(ORÇAMENTO!$X$15,ROW(BN127)-ROW(BN$15),0),
              ROUND(ROUND(OFFSET($P127,0,BN$13),15-13*ORÇAMENTO!$AF$7)*OFFSET(ORÇAMENTO!$W$15,ROW(BN127)-ROW(BN$15),0),15-13*ORÇAMENTO!$AF$11)),
         0)</f>
        <v>0</v>
      </c>
      <c r="BO127" s="453">
        <f ca="1">IF(AND($D127="Serviço",BO$12&lt;&gt;0,$H127&gt;0,OR(AUTOEVENTO&lt;&gt;"manual",$M127&lt;&gt;$A$15)),
        IF(Import.TipoArredondamento&lt;&gt;"TransfereGOV",
              ROUND(OFFSET($P127,0,BO$13),15-13*ORÇAMENTO!$AF$7)/$H127*OFFSET(ORÇAMENTO!$X$15,ROW(BO127)-ROW(BO$15),0),
              ROUND(ROUND(OFFSET($P127,0,BO$13),15-13*ORÇAMENTO!$AF$7)*OFFSET(ORÇAMENTO!$W$15,ROW(BO127)-ROW(BO$15),0),15-13*ORÇAMENTO!$AF$11)),
         0)</f>
        <v>0</v>
      </c>
      <c r="BP127" s="453">
        <f ca="1">IF(AND($D127="Serviço",BP$12&lt;&gt;0,$H127&gt;0,OR(AUTOEVENTO&lt;&gt;"manual",$M127&lt;&gt;$A$15)),
        IF(Import.TipoArredondamento&lt;&gt;"TransfereGOV",
              ROUND(OFFSET($P127,0,BP$13),15-13*ORÇAMENTO!$AF$7)/$H127*OFFSET(ORÇAMENTO!$X$15,ROW(BP127)-ROW(BP$15),0),
              ROUND(ROUND(OFFSET($P127,0,BP$13),15-13*ORÇAMENTO!$AF$7)*OFFSET(ORÇAMENTO!$W$15,ROW(BP127)-ROW(BP$15),0),15-13*ORÇAMENTO!$AF$11)),
         0)</f>
        <v>0</v>
      </c>
      <c r="BQ127" s="453">
        <f ca="1">IF(AND($D127="Serviço",BQ$12&lt;&gt;0,$H127&gt;0,OR(AUTOEVENTO&lt;&gt;"manual",$M127&lt;&gt;$A$15)),
        IF(Import.TipoArredondamento&lt;&gt;"TransfereGOV",
              ROUND(OFFSET($P127,0,BQ$13),15-13*ORÇAMENTO!$AF$7)/$H127*OFFSET(ORÇAMENTO!$X$15,ROW(BQ127)-ROW(BQ$15),0),
              ROUND(ROUND(OFFSET($P127,0,BQ$13),15-13*ORÇAMENTO!$AF$7)*OFFSET(ORÇAMENTO!$W$15,ROW(BQ127)-ROW(BQ$15),0),15-13*ORÇAMENTO!$AF$11)),
         0)</f>
        <v>0</v>
      </c>
      <c r="BS127" s="171">
        <f ca="1">IF(OR($D127&lt;&gt;"Serviço",AND(AUTOEVENTO="Manual",$M127=$A$15)),0,
         IF(OFFSET(CRONOPLE!$F$15,$M127-$A$15,BS$13)=0,10^12,OFFSET(CRONOPLE!$F$15,$M127-$A$15,BS$13)))</f>
        <v>1</v>
      </c>
      <c r="BT127" s="171">
        <f ca="1">IF(OR($D127&lt;&gt;"Serviço",AND(AUTOEVENTO="Manual",$M127=$A$15)),0,
         IF(OFFSET(CRONOPLE!$F$15,$M127-$A$15,BT$13)=0,10^12,OFFSET(CRONOPLE!$F$15,$M127-$A$15,BT$13)))</f>
        <v>2</v>
      </c>
      <c r="BU127" s="171">
        <f ca="1">IF(OR($D127&lt;&gt;"Serviço",AND(AUTOEVENTO="Manual",$M127=$A$15)),0,
         IF(OFFSET(CRONOPLE!$F$15,$M127-$A$15,BU$13)=0,10^12,OFFSET(CRONOPLE!$F$15,$M127-$A$15,BU$13)))</f>
        <v>3</v>
      </c>
      <c r="BV127" s="171">
        <f ca="1">IF(OR($D127&lt;&gt;"Serviço",AND(AUTOEVENTO="Manual",$M127=$A$15)),0,
         IF(OFFSET(CRONOPLE!$F$15,$M127-$A$15,BV$13)=0,10^12,OFFSET(CRONOPLE!$F$15,$M127-$A$15,BV$13)))</f>
        <v>4</v>
      </c>
      <c r="BW127" s="171">
        <f ca="1">IF(OR($D127&lt;&gt;"Serviço",AND(AUTOEVENTO="Manual",$M127=$A$15)),0,
         IF(OFFSET(CRONOPLE!$F$15,$M127-$A$15,BW$13)=0,10^12,OFFSET(CRONOPLE!$F$15,$M127-$A$15,BW$13)))</f>
        <v>5</v>
      </c>
      <c r="BX127" s="171">
        <f ca="1">IF(OR($D127&lt;&gt;"Serviço",AND(AUTOEVENTO="Manual",$M127=$A$15)),0,
         IF(OFFSET(CRONOPLE!$F$15,$M127-$A$15,BX$13)=0,10^12,OFFSET(CRONOPLE!$F$15,$M127-$A$15,BX$13)))</f>
        <v>6</v>
      </c>
      <c r="BY127" s="171">
        <f ca="1">IF(OR($D127&lt;&gt;"Serviço",AND(AUTOEVENTO="Manual",$M127=$A$15)),0,
         IF(OFFSET(CRONOPLE!$F$15,$M127-$A$15,BY$13)=0,10^12,OFFSET(CRONOPLE!$F$15,$M127-$A$15,BY$13)))</f>
        <v>7</v>
      </c>
      <c r="BZ127" s="171">
        <f ca="1">IF(OR($D127&lt;&gt;"Serviço",AND(AUTOEVENTO="Manual",$M127=$A$15)),0,
         IF(OFFSET(CRONOPLE!$F$15,$M127-$A$15,BZ$13)=0,10^12,OFFSET(CRONOPLE!$F$15,$M127-$A$15,BZ$13)))</f>
        <v>8</v>
      </c>
      <c r="CA127" s="171">
        <f ca="1">IF(OR($D127&lt;&gt;"Serviço",AND(AUTOEVENTO="Manual",$M127=$A$15)),0,
         IF(OFFSET(CRONOPLE!$F$15,$M127-$A$15,CA$13)=0,10^12,OFFSET(CRONOPLE!$F$15,$M127-$A$15,CA$13)))</f>
        <v>9</v>
      </c>
      <c r="CB127" s="171">
        <f ca="1">IF(OR($D127&lt;&gt;"Serviço",AND(AUTOEVENTO="Manual",$M127=$A$15)),0,
         IF(OFFSET(CRONOPLE!$F$15,$M127-$A$15,CB$13)=0,10^12,OFFSET(CRONOPLE!$F$15,$M127-$A$15,CB$13)))</f>
        <v>10</v>
      </c>
      <c r="CC127" s="171">
        <f ca="1">IF(OR($D127&lt;&gt;"Serviço",AND(AUTOEVENTO="Manual",$M127=$A$15)),0,
         IF(OFFSET(CRONOPLE!$F$15,$M127-$A$15,CC$13)=0,10^12,OFFSET(CRONOPLE!$F$15,$M127-$A$15,CC$13)))</f>
        <v>11</v>
      </c>
      <c r="CD127" s="171">
        <f ca="1">IF(OR($D127&lt;&gt;"Serviço",AND(AUTOEVENTO="Manual",$M127=$A$15)),0,
         IF(OFFSET(CRONOPLE!$F$15,$M127-$A$15,CD$13)=0,10^12,OFFSET(CRONOPLE!$F$15,$M127-$A$15,CD$13)))</f>
        <v>12</v>
      </c>
      <c r="CE127" s="171">
        <f ca="1">IF(OR($D127&lt;&gt;"Serviço",AND(AUTOEVENTO="Manual",$M127=$A$15)),0,
         IF(OFFSET(CRONOPLE!$F$15,$M127-$A$15,CE$13)=0,10^12,OFFSET(CRONOPLE!$F$15,$M127-$A$15,CE$13)))</f>
        <v>13</v>
      </c>
      <c r="CF127" s="171">
        <f ca="1">IF(OR($D127&lt;&gt;"Serviço",AND(AUTOEVENTO="Manual",$M127=$A$15)),0,
         IF(OFFSET(CRONOPLE!$F$15,$M127-$A$15,CF$13)=0,10^12,OFFSET(CRONOPLE!$F$15,$M127-$A$15,CF$13)))</f>
        <v>14</v>
      </c>
      <c r="CG127" s="171">
        <f ca="1">IF(OR($D127&lt;&gt;"Serviço",AND(AUTOEVENTO="Manual",$M127=$A$15)),0,
         IF(OFFSET(CRONOPLE!$F$15,$M127-$A$15,CG$13)=0,10^12,OFFSET(CRONOPLE!$F$15,$M127-$A$15,CG$13)))</f>
        <v>15</v>
      </c>
      <c r="CH127" s="171">
        <f ca="1">IF(OR($D127&lt;&gt;"Serviço",AND(AUTOEVENTO="Manual",$M127=$A$15)),0,
         IF(OFFSET(CRONOPLE!$F$15,$M127-$A$15,CH$13)=0,10^12,OFFSET(CRONOPLE!$F$15,$M127-$A$15,CH$13)))</f>
        <v>16</v>
      </c>
      <c r="CI127" s="171">
        <f ca="1">IF(OR($D127&lt;&gt;"Serviço",AND(AUTOEVENTO="Manual",$M127=$A$15)),0,
         IF(OFFSET(CRONOPLE!$F$15,$M127-$A$15,CI$13)=0,10^12,OFFSET(CRONOPLE!$F$15,$M127-$A$15,CI$13)))</f>
        <v>17</v>
      </c>
      <c r="CJ127" s="171">
        <f ca="1">IF(OR($D127&lt;&gt;"Serviço",AND(AUTOEVENTO="Manual",$M127=$A$15)),0,
         IF(OFFSET(CRONOPLE!$F$15,$M127-$A$15,CJ$13)=0,10^12,OFFSET(CRONOPLE!$F$15,$M127-$A$15,CJ$13)))</f>
        <v>18</v>
      </c>
      <c r="CK127" s="171">
        <f ca="1">IF(OR($D127&lt;&gt;"Serviço",AND(AUTOEVENTO="Manual",$M127=$A$15)),0,
         IF(OFFSET(CRONOPLE!$F$15,$M127-$A$15,CK$13)=0,10^12,OFFSET(CRONOPLE!$F$15,$M127-$A$15,CK$13)))</f>
        <v>19</v>
      </c>
      <c r="CL127" s="171">
        <f ca="1">IF(OR($D127&lt;&gt;"Serviço",AND(AUTOEVENTO="Manual",$M127=$A$15)),0,
         IF(OFFSET(CRONOPLE!$F$15,$M127-$A$15,CL$13)=0,10^12,OFFSET(CRONOPLE!$F$15,$M127-$A$15,CL$13)))</f>
        <v>20</v>
      </c>
      <c r="CM127" s="171">
        <f ca="1">IF(OR($D127&lt;&gt;"Serviço",AND(AUTOEVENTO="Manual",$M127=$A$15)),0,
         IF(OFFSET(CRONOPLE!$F$15,$M127-$A$15,CM$13)=0,10^12,OFFSET(CRONOPLE!$F$15,$M127-$A$15,CM$13)))</f>
        <v>1000000000000</v>
      </c>
      <c r="CN127" s="171">
        <f ca="1">IF(OR($D127&lt;&gt;"Serviço",AND(AUTOEVENTO="Manual",$M127=$A$15)),0,
         IF(OFFSET(CRONOPLE!$F$15,$M127-$A$15,CN$13)=0,10^12,OFFSET(CRONOPLE!$F$15,$M127-$A$15,CN$13)))</f>
        <v>1000000000000</v>
      </c>
      <c r="CO127" s="171">
        <f ca="1">IF(OR($D127&lt;&gt;"Serviço",AND(AUTOEVENTO="Manual",$M127=$A$15)),0,
         IF(OFFSET(CRONOPLE!$F$15,$M127-$A$15,CO$13)=0,10^12,OFFSET(CRONOPLE!$F$15,$M127-$A$15,CO$13)))</f>
        <v>1000000000000</v>
      </c>
      <c r="CP127" s="171">
        <f ca="1">IF(OR($D127&lt;&gt;"Serviço",AND(AUTOEVENTO="Manual",$M127=$A$15)),0,
         IF(OFFSET(CRONOPLE!$F$15,$M127-$A$15,CP$13)=0,10^12,OFFSET(CRONOPLE!$F$15,$M127-$A$15,CP$13)))</f>
        <v>1000000000000</v>
      </c>
      <c r="CQ127" s="171">
        <f ca="1">IF(OR($D127&lt;&gt;"Serviço",AND(AUTOEVENTO="Manual",$M127=$A$15)),0,
         IF(OFFSET(CRONOPLE!$F$15,$M127-$A$15,CQ$13)=0,10^12,OFFSET(CRONOPLE!$F$15,$M127-$A$15,CQ$13)))</f>
        <v>1000000000000</v>
      </c>
      <c r="CR127" s="171">
        <f ca="1">IF(OR($D127&lt;&gt;"Serviço",AND(AUTOEVENTO="Manual",$M127=$A$15)),0,
         IF(OFFSET(CRONOPLE!$F$15,$M127-$A$15,CR$13)=0,10^12,OFFSET(CRONOPLE!$F$15,$M127-$A$15,CR$13)))</f>
        <v>1000000000000</v>
      </c>
      <c r="CT127" s="172" cm="1">
        <f t="array" aca="1" ref="CT127" ca="1">IF(OR($D127&lt;&gt;"Serviço",AND(AUTOEVENTO="Manual",$M127=$A$15),$M127&gt;(ROW(PLE.lastrow)-ROW(PLE.firstrow))),0,
           IF(OFFSET(PLE!$G$15,$M127-$A$15,CT$13)="",10^12,OFFSET(PLE!$G$15,$M127-$A$15,CT$13)))</f>
        <v>1000000000000</v>
      </c>
      <c r="CU127" s="172" cm="1">
        <f t="array" aca="1" ref="CU127" ca="1">IF(OR($D127&lt;&gt;"Serviço",AND(AUTOEVENTO="Manual",$M127=$A$15),$M127&gt;(ROW(PLE.lastrow)-ROW(PLE.firstrow))),0,
           IF(OFFSET(PLE!$G$15,$M127-$A$15,CU$13)="",10^12,OFFSET(PLE!$G$15,$M127-$A$15,CU$13)))</f>
        <v>1000000000000</v>
      </c>
      <c r="CV127" s="172" cm="1">
        <f t="array" aca="1" ref="CV127" ca="1">IF(OR($D127&lt;&gt;"Serviço",AND(AUTOEVENTO="Manual",$M127=$A$15),$M127&gt;(ROW(PLE.lastrow)-ROW(PLE.firstrow))),0,
           IF(OFFSET(PLE!$G$15,$M127-$A$15,CV$13)="",10^12,OFFSET(PLE!$G$15,$M127-$A$15,CV$13)))</f>
        <v>1000000000000</v>
      </c>
      <c r="CW127" s="172" cm="1">
        <f t="array" aca="1" ref="CW127" ca="1">IF(OR($D127&lt;&gt;"Serviço",AND(AUTOEVENTO="Manual",$M127=$A$15),$M127&gt;(ROW(PLE.lastrow)-ROW(PLE.firstrow))),0,
           IF(OFFSET(PLE!$G$15,$M127-$A$15,CW$13)="",10^12,OFFSET(PLE!$G$15,$M127-$A$15,CW$13)))</f>
        <v>1000000000000</v>
      </c>
      <c r="CX127" s="172" cm="1">
        <f t="array" aca="1" ref="CX127" ca="1">IF(OR($D127&lt;&gt;"Serviço",AND(AUTOEVENTO="Manual",$M127=$A$15),$M127&gt;(ROW(PLE.lastrow)-ROW(PLE.firstrow))),0,
           IF(OFFSET(PLE!$G$15,$M127-$A$15,CX$13)="",10^12,OFFSET(PLE!$G$15,$M127-$A$15,CX$13)))</f>
        <v>1000000000000</v>
      </c>
      <c r="CY127" s="172" cm="1">
        <f t="array" aca="1" ref="CY127" ca="1">IF(OR($D127&lt;&gt;"Serviço",AND(AUTOEVENTO="Manual",$M127=$A$15),$M127&gt;(ROW(PLE.lastrow)-ROW(PLE.firstrow))),0,
           IF(OFFSET(PLE!$G$15,$M127-$A$15,CY$13)="",10^12,OFFSET(PLE!$G$15,$M127-$A$15,CY$13)))</f>
        <v>1000000000000</v>
      </c>
      <c r="CZ127" s="172" cm="1">
        <f t="array" aca="1" ref="CZ127" ca="1">IF(OR($D127&lt;&gt;"Serviço",AND(AUTOEVENTO="Manual",$M127=$A$15),$M127&gt;(ROW(PLE.lastrow)-ROW(PLE.firstrow))),0,
           IF(OFFSET(PLE!$G$15,$M127-$A$15,CZ$13)="",10^12,OFFSET(PLE!$G$15,$M127-$A$15,CZ$13)))</f>
        <v>1000000000000</v>
      </c>
      <c r="DA127" s="172" cm="1">
        <f t="array" aca="1" ref="DA127" ca="1">IF(OR($D127&lt;&gt;"Serviço",AND(AUTOEVENTO="Manual",$M127=$A$15),$M127&gt;(ROW(PLE.lastrow)-ROW(PLE.firstrow))),0,
           IF(OFFSET(PLE!$G$15,$M127-$A$15,DA$13)="",10^12,OFFSET(PLE!$G$15,$M127-$A$15,DA$13)))</f>
        <v>1000000000000</v>
      </c>
      <c r="DB127" s="172" cm="1">
        <f t="array" aca="1" ref="DB127" ca="1">IF(OR($D127&lt;&gt;"Serviço",AND(AUTOEVENTO="Manual",$M127=$A$15),$M127&gt;(ROW(PLE.lastrow)-ROW(PLE.firstrow))),0,
           IF(OFFSET(PLE!$G$15,$M127-$A$15,DB$13)="",10^12,OFFSET(PLE!$G$15,$M127-$A$15,DB$13)))</f>
        <v>1000000000000</v>
      </c>
      <c r="DC127" s="172" cm="1">
        <f t="array" aca="1" ref="DC127" ca="1">IF(OR($D127&lt;&gt;"Serviço",AND(AUTOEVENTO="Manual",$M127=$A$15),$M127&gt;(ROW(PLE.lastrow)-ROW(PLE.firstrow))),0,
           IF(OFFSET(PLE!$G$15,$M127-$A$15,DC$13)="",10^12,OFFSET(PLE!$G$15,$M127-$A$15,DC$13)))</f>
        <v>1000000000000</v>
      </c>
      <c r="DD127" s="172" cm="1">
        <f t="array" aca="1" ref="DD127" ca="1">IF(OR($D127&lt;&gt;"Serviço",AND(AUTOEVENTO="Manual",$M127=$A$15),$M127&gt;(ROW(PLE.lastrow)-ROW(PLE.firstrow))),0,
           IF(OFFSET(PLE!$G$15,$M127-$A$15,DD$13)="",10^12,OFFSET(PLE!$G$15,$M127-$A$15,DD$13)))</f>
        <v>1000000000000</v>
      </c>
      <c r="DE127" s="172" cm="1">
        <f t="array" aca="1" ref="DE127" ca="1">IF(OR($D127&lt;&gt;"Serviço",AND(AUTOEVENTO="Manual",$M127=$A$15),$M127&gt;(ROW(PLE.lastrow)-ROW(PLE.firstrow))),0,
           IF(OFFSET(PLE!$G$15,$M127-$A$15,DE$13)="",10^12,OFFSET(PLE!$G$15,$M127-$A$15,DE$13)))</f>
        <v>1000000000000</v>
      </c>
      <c r="DF127" s="172" cm="1">
        <f t="array" aca="1" ref="DF127" ca="1">IF(OR($D127&lt;&gt;"Serviço",AND(AUTOEVENTO="Manual",$M127=$A$15),$M127&gt;(ROW(PLE.lastrow)-ROW(PLE.firstrow))),0,
           IF(OFFSET(PLE!$G$15,$M127-$A$15,DF$13)="",10^12,OFFSET(PLE!$G$15,$M127-$A$15,DF$13)))</f>
        <v>1000000000000</v>
      </c>
      <c r="DG127" s="172" cm="1">
        <f t="array" aca="1" ref="DG127" ca="1">IF(OR($D127&lt;&gt;"Serviço",AND(AUTOEVENTO="Manual",$M127=$A$15),$M127&gt;(ROW(PLE.lastrow)-ROW(PLE.firstrow))),0,
           IF(OFFSET(PLE!$G$15,$M127-$A$15,DG$13)="",10^12,OFFSET(PLE!$G$15,$M127-$A$15,DG$13)))</f>
        <v>1000000000000</v>
      </c>
      <c r="DH127" s="172" cm="1">
        <f t="array" aca="1" ref="DH127" ca="1">IF(OR($D127&lt;&gt;"Serviço",AND(AUTOEVENTO="Manual",$M127=$A$15),$M127&gt;(ROW(PLE.lastrow)-ROW(PLE.firstrow))),0,
           IF(OFFSET(PLE!$G$15,$M127-$A$15,DH$13)="",10^12,OFFSET(PLE!$G$15,$M127-$A$15,DH$13)))</f>
        <v>1000000000000</v>
      </c>
      <c r="DI127" s="172" cm="1">
        <f t="array" aca="1" ref="DI127" ca="1">IF(OR($D127&lt;&gt;"Serviço",AND(AUTOEVENTO="Manual",$M127=$A$15),$M127&gt;(ROW(PLE.lastrow)-ROW(PLE.firstrow))),0,
           IF(OFFSET(PLE!$G$15,$M127-$A$15,DI$13)="",10^12,OFFSET(PLE!$G$15,$M127-$A$15,DI$13)))</f>
        <v>1000000000000</v>
      </c>
      <c r="DJ127" s="172" cm="1">
        <f t="array" aca="1" ref="DJ127" ca="1">IF(OR($D127&lt;&gt;"Serviço",AND(AUTOEVENTO="Manual",$M127=$A$15),$M127&gt;(ROW(PLE.lastrow)-ROW(PLE.firstrow))),0,
           IF(OFFSET(PLE!$G$15,$M127-$A$15,DJ$13)="",10^12,OFFSET(PLE!$G$15,$M127-$A$15,DJ$13)))</f>
        <v>1000000000000</v>
      </c>
      <c r="DK127" s="172" cm="1">
        <f t="array" aca="1" ref="DK127" ca="1">IF(OR($D127&lt;&gt;"Serviço",AND(AUTOEVENTO="Manual",$M127=$A$15),$M127&gt;(ROW(PLE.lastrow)-ROW(PLE.firstrow))),0,
           IF(OFFSET(PLE!$G$15,$M127-$A$15,DK$13)="",10^12,OFFSET(PLE!$G$15,$M127-$A$15,DK$13)))</f>
        <v>1000000000000</v>
      </c>
      <c r="DL127" s="172" cm="1">
        <f t="array" aca="1" ref="DL127" ca="1">IF(OR($D127&lt;&gt;"Serviço",AND(AUTOEVENTO="Manual",$M127=$A$15),$M127&gt;(ROW(PLE.lastrow)-ROW(PLE.firstrow))),0,
           IF(OFFSET(PLE!$G$15,$M127-$A$15,DL$13)="",10^12,OFFSET(PLE!$G$15,$M127-$A$15,DL$13)))</f>
        <v>1000000000000</v>
      </c>
      <c r="DM127" s="172" cm="1">
        <f t="array" aca="1" ref="DM127" ca="1">IF(OR($D127&lt;&gt;"Serviço",AND(AUTOEVENTO="Manual",$M127=$A$15),$M127&gt;(ROW(PLE.lastrow)-ROW(PLE.firstrow))),0,
           IF(OFFSET(PLE!$G$15,$M127-$A$15,DM$13)="",10^12,OFFSET(PLE!$G$15,$M127-$A$15,DM$13)))</f>
        <v>1000000000000</v>
      </c>
      <c r="DN127" s="172" cm="1">
        <f t="array" aca="1" ref="DN127" ca="1">IF(OR($D127&lt;&gt;"Serviço",AND(AUTOEVENTO="Manual",$M127=$A$15),$M127&gt;(ROW(PLE.lastrow)-ROW(PLE.firstrow))),0,
           IF(OFFSET(PLE!$G$15,$M127-$A$15,DN$13)="",10^12,OFFSET(PLE!$G$15,$M127-$A$15,DN$13)))</f>
        <v>1000000000000</v>
      </c>
      <c r="DO127" s="172" cm="1">
        <f t="array" aca="1" ref="DO127" ca="1">IF(OR($D127&lt;&gt;"Serviço",AND(AUTOEVENTO="Manual",$M127=$A$15),$M127&gt;(ROW(PLE.lastrow)-ROW(PLE.firstrow))),0,
           IF(OFFSET(PLE!$G$15,$M127-$A$15,DO$13)="",10^12,OFFSET(PLE!$G$15,$M127-$A$15,DO$13)))</f>
        <v>1000000000000</v>
      </c>
      <c r="DP127" s="172" cm="1">
        <f t="array" aca="1" ref="DP127" ca="1">IF(OR($D127&lt;&gt;"Serviço",AND(AUTOEVENTO="Manual",$M127=$A$15),$M127&gt;(ROW(PLE.lastrow)-ROW(PLE.firstrow))),0,
           IF(OFFSET(PLE!$G$15,$M127-$A$15,DP$13)="",10^12,OFFSET(PLE!$G$15,$M127-$A$15,DP$13)))</f>
        <v>1000000000000</v>
      </c>
      <c r="DQ127" s="172" cm="1">
        <f t="array" aca="1" ref="DQ127" ca="1">IF(OR($D127&lt;&gt;"Serviço",AND(AUTOEVENTO="Manual",$M127=$A$15),$M127&gt;(ROW(PLE.lastrow)-ROW(PLE.firstrow))),0,
           IF(OFFSET(PLE!$G$15,$M127-$A$15,DQ$13)="",10^12,OFFSET(PLE!$G$15,$M127-$A$15,DQ$13)))</f>
        <v>1000000000000</v>
      </c>
      <c r="DR127" s="172" cm="1">
        <f t="array" aca="1" ref="DR127" ca="1">IF(OR($D127&lt;&gt;"Serviço",AND(AUTOEVENTO="Manual",$M127=$A$15),$M127&gt;(ROW(PLE.lastrow)-ROW(PLE.firstrow))),0,
           IF(OFFSET(PLE!$G$15,$M127-$A$15,DR$13)="",10^12,OFFSET(PLE!$G$15,$M127-$A$15,DR$13)))</f>
        <v>1000000000000</v>
      </c>
      <c r="DS127" s="172" cm="1">
        <f t="array" aca="1" ref="DS127" ca="1">IF(OR($D127&lt;&gt;"Serviço",AND(AUTOEVENTO="Manual",$M127=$A$15),$M127&gt;(ROW(PLE.lastrow)-ROW(PLE.firstrow))),0,
           IF(OFFSET(PLE!$G$15,$M127-$A$15,DS$13)="",10^12,OFFSET(PLE!$G$15,$M127-$A$15,DS$13)))</f>
        <v>1000000000000</v>
      </c>
    </row>
    <row r="128" spans="1:123" ht="12.75" x14ac:dyDescent="0.2">
      <c r="A128" s="7">
        <f t="shared" ca="1" si="15"/>
        <v>0</v>
      </c>
      <c r="B128" s="7">
        <f ca="1">OFFSET(ORÇAMENTO!C$15,$L128,0)</f>
        <v>2</v>
      </c>
      <c r="C128" s="7" t="str">
        <f ca="1">OFFSET(ORÇAMENTO!L$15,$L128,0)</f>
        <v>F</v>
      </c>
      <c r="D128" s="116" t="str">
        <f ca="1">OFFSET(ORÇAMENTO!N$15,$L128,0)</f>
        <v>Nível 2</v>
      </c>
      <c r="E128" s="117" t="str">
        <f ca="1">OFFSET(ORÇAMENTO!O$15,$L128,0)</f>
        <v>8.3.</v>
      </c>
      <c r="F128" s="163" t="str">
        <f ca="1">OFFSET(ORÇAMENTO!R$15,$L128,0)</f>
        <v>RODAPÉS, SOLEIRAS E PEITORIS</v>
      </c>
      <c r="G128" s="164" t="str">
        <f ca="1">IF($D128&lt;&gt;"Serviço","",OFFSET(ORÇAMENTO!S$15,$L128,0))</f>
        <v/>
      </c>
      <c r="H128" s="122" cm="1">
        <f t="array" aca="1" ref="H128" ca="1">IF($D128&lt;&gt;"Serviço",0,IF(ACOMPANHAMENTO="BM",ROUND(OFFSET(ORÇAMENTO!AJ$15,$L128,0),15-13*ORÇAMENTO!$AF$7),IF(IFERROR(CÁLCULO.FrentesPreenchidas,0)=0,0,SUM(ROUND(OFFSET($P128,0,1,1,CÁLCULO.FrentesPreenchidas),15-13*ORÇAMENTO!$AF$7)))))</f>
        <v>0</v>
      </c>
      <c r="I128" s="468"/>
      <c r="J128" s="651" t="str" cm="1">
        <f t="array" aca="1" ref="J128" ca="1">IF(OR(B128&lt;&gt;"S",CÁLCULO.FrentesPreenchidas=0),"",IF(AND(ACOMPANHAMENTO="PLE",AUTOEVENTO="Manual",OR(H128&gt;0,ORÇAMENTO!AC128="QUANT."),OR(K128="",M128=0,N128="")),"►E",IF(AND(ACOMPANHAMENTO="PLE",ORÇAMENTO!AC128="QUANT."),"►Q",IF(AND(ACOMPANHAMENTO="PLE",H128&lt;&gt;SUMPRODUCT(($Q$1:$AQ$1=1)*ROUND(Q128:AQ128,15))),"►S",IF(AND(COUNTIF($P$11:$AQ$11,"▼")=0,H128&gt;0,I128=""),"◄M","")))))</f>
        <v/>
      </c>
      <c r="K128" s="652"/>
      <c r="L128" s="165">
        <f t="shared" ca="1" si="14"/>
        <v>113</v>
      </c>
      <c r="M128" s="166" t="str">
        <f ca="1">IF($D128&lt;&gt;"Serviço","",
          IF(AUTOEVENTO="manual",$A128,
                IF(ISERROR(MATCH($A128,$A$15:OFFSET($A128,-1,0),0)),MAX($M$15:OFFSET(M128,-1,0))+1,
                      INDEX($M$15:OFFSET(M128,-1,0),MATCH($A128,$A$15:OFFSET($A128,-1,0),0)))))</f>
        <v/>
      </c>
      <c r="N128" s="167" t="str">
        <f ca="1">IF($D128&lt;&gt;"Serviço","",
         IF(AUTOEVENTO="Manual",
                IF($A128=0,"&lt;-- defina o número do agrupador",
                       OFFSET(EVENTOS!$D$15,$A128-$A$15,0)),
                OFFSET($F$15,$A128,0)))</f>
        <v/>
      </c>
      <c r="O128" s="168"/>
      <c r="Q128" s="168"/>
      <c r="R128" s="169"/>
      <c r="S128" s="169"/>
      <c r="T128" s="169"/>
      <c r="U128" s="169"/>
      <c r="V128" s="169"/>
      <c r="W128" s="169"/>
      <c r="X128" s="169"/>
      <c r="Y128" s="169"/>
      <c r="Z128" s="170"/>
      <c r="AA128" s="169"/>
      <c r="AB128" s="169"/>
      <c r="AC128" s="169"/>
      <c r="AD128" s="169"/>
      <c r="AE128" s="169"/>
      <c r="AF128" s="169"/>
      <c r="AG128" s="169"/>
      <c r="AH128" s="170"/>
      <c r="AI128" s="169"/>
      <c r="AJ128" s="169"/>
      <c r="AK128" s="169"/>
      <c r="AL128" s="169"/>
      <c r="AM128" s="169"/>
      <c r="AN128" s="169"/>
      <c r="AO128" s="169"/>
      <c r="AP128" s="170"/>
      <c r="AR128" s="453">
        <f ca="1">IF(AND($D128="Serviço",AR$12&lt;&gt;0,$H128&gt;0,OR(AUTOEVENTO&lt;&gt;"manual",$M128&lt;&gt;$A$15)),
        IF(Import.TipoArredondamento&lt;&gt;"TransfereGOV",
              ROUND(OFFSET($P128,0,AR$13),15-13*ORÇAMENTO!$AF$7)/$H128*OFFSET(ORÇAMENTO!$X$15,ROW(AR128)-ROW(AR$15),0),
              ROUND(ROUND(OFFSET($P128,0,AR$13),15-13*ORÇAMENTO!$AF$7)*OFFSET(ORÇAMENTO!$W$15,ROW(AR128)-ROW(AR$15),0),15-13*ORÇAMENTO!$AF$11)),
         0)</f>
        <v>0</v>
      </c>
      <c r="AS128" s="453">
        <f ca="1">IF(AND($D128="Serviço",AS$12&lt;&gt;0,$H128&gt;0,OR(AUTOEVENTO&lt;&gt;"manual",$M128&lt;&gt;$A$15)),
        IF(Import.TipoArredondamento&lt;&gt;"TransfereGOV",
              ROUND(OFFSET($P128,0,AS$13),15-13*ORÇAMENTO!$AF$7)/$H128*OFFSET(ORÇAMENTO!$X$15,ROW(AS128)-ROW(AS$15),0),
              ROUND(ROUND(OFFSET($P128,0,AS$13),15-13*ORÇAMENTO!$AF$7)*OFFSET(ORÇAMENTO!$W$15,ROW(AS128)-ROW(AS$15),0),15-13*ORÇAMENTO!$AF$11)),
         0)</f>
        <v>0</v>
      </c>
      <c r="AT128" s="453">
        <f ca="1">IF(AND($D128="Serviço",AT$12&lt;&gt;0,$H128&gt;0,OR(AUTOEVENTO&lt;&gt;"manual",$M128&lt;&gt;$A$15)),
        IF(Import.TipoArredondamento&lt;&gt;"TransfereGOV",
              ROUND(OFFSET($P128,0,AT$13),15-13*ORÇAMENTO!$AF$7)/$H128*OFFSET(ORÇAMENTO!$X$15,ROW(AT128)-ROW(AT$15),0),
              ROUND(ROUND(OFFSET($P128,0,AT$13),15-13*ORÇAMENTO!$AF$7)*OFFSET(ORÇAMENTO!$W$15,ROW(AT128)-ROW(AT$15),0),15-13*ORÇAMENTO!$AF$11)),
         0)</f>
        <v>0</v>
      </c>
      <c r="AU128" s="453">
        <f ca="1">IF(AND($D128="Serviço",AU$12&lt;&gt;0,$H128&gt;0,OR(AUTOEVENTO&lt;&gt;"manual",$M128&lt;&gt;$A$15)),
        IF(Import.TipoArredondamento&lt;&gt;"TransfereGOV",
              ROUND(OFFSET($P128,0,AU$13),15-13*ORÇAMENTO!$AF$7)/$H128*OFFSET(ORÇAMENTO!$X$15,ROW(AU128)-ROW(AU$15),0),
              ROUND(ROUND(OFFSET($P128,0,AU$13),15-13*ORÇAMENTO!$AF$7)*OFFSET(ORÇAMENTO!$W$15,ROW(AU128)-ROW(AU$15),0),15-13*ORÇAMENTO!$AF$11)),
         0)</f>
        <v>0</v>
      </c>
      <c r="AV128" s="453">
        <f ca="1">IF(AND($D128="Serviço",AV$12&lt;&gt;0,$H128&gt;0,OR(AUTOEVENTO&lt;&gt;"manual",$M128&lt;&gt;$A$15)),
        IF(Import.TipoArredondamento&lt;&gt;"TransfereGOV",
              ROUND(OFFSET($P128,0,AV$13),15-13*ORÇAMENTO!$AF$7)/$H128*OFFSET(ORÇAMENTO!$X$15,ROW(AV128)-ROW(AV$15),0),
              ROUND(ROUND(OFFSET($P128,0,AV$13),15-13*ORÇAMENTO!$AF$7)*OFFSET(ORÇAMENTO!$W$15,ROW(AV128)-ROW(AV$15),0),15-13*ORÇAMENTO!$AF$11)),
         0)</f>
        <v>0</v>
      </c>
      <c r="AW128" s="453">
        <f ca="1">IF(AND($D128="Serviço",AW$12&lt;&gt;0,$H128&gt;0,OR(AUTOEVENTO&lt;&gt;"manual",$M128&lt;&gt;$A$15)),
        IF(Import.TipoArredondamento&lt;&gt;"TransfereGOV",
              ROUND(OFFSET($P128,0,AW$13),15-13*ORÇAMENTO!$AF$7)/$H128*OFFSET(ORÇAMENTO!$X$15,ROW(AW128)-ROW(AW$15),0),
              ROUND(ROUND(OFFSET($P128,0,AW$13),15-13*ORÇAMENTO!$AF$7)*OFFSET(ORÇAMENTO!$W$15,ROW(AW128)-ROW(AW$15),0),15-13*ORÇAMENTO!$AF$11)),
         0)</f>
        <v>0</v>
      </c>
      <c r="AX128" s="453">
        <f ca="1">IF(AND($D128="Serviço",AX$12&lt;&gt;0,$H128&gt;0,OR(AUTOEVENTO&lt;&gt;"manual",$M128&lt;&gt;$A$15)),
        IF(Import.TipoArredondamento&lt;&gt;"TransfereGOV",
              ROUND(OFFSET($P128,0,AX$13),15-13*ORÇAMENTO!$AF$7)/$H128*OFFSET(ORÇAMENTO!$X$15,ROW(AX128)-ROW(AX$15),0),
              ROUND(ROUND(OFFSET($P128,0,AX$13),15-13*ORÇAMENTO!$AF$7)*OFFSET(ORÇAMENTO!$W$15,ROW(AX128)-ROW(AX$15),0),15-13*ORÇAMENTO!$AF$11)),
         0)</f>
        <v>0</v>
      </c>
      <c r="AY128" s="453">
        <f ca="1">IF(AND($D128="Serviço",AY$12&lt;&gt;0,$H128&gt;0,OR(AUTOEVENTO&lt;&gt;"manual",$M128&lt;&gt;$A$15)),
        IF(Import.TipoArredondamento&lt;&gt;"TransfereGOV",
              ROUND(OFFSET($P128,0,AY$13),15-13*ORÇAMENTO!$AF$7)/$H128*OFFSET(ORÇAMENTO!$X$15,ROW(AY128)-ROW(AY$15),0),
              ROUND(ROUND(OFFSET($P128,0,AY$13),15-13*ORÇAMENTO!$AF$7)*OFFSET(ORÇAMENTO!$W$15,ROW(AY128)-ROW(AY$15),0),15-13*ORÇAMENTO!$AF$11)),
         0)</f>
        <v>0</v>
      </c>
      <c r="AZ128" s="453">
        <f ca="1">IF(AND($D128="Serviço",AZ$12&lt;&gt;0,$H128&gt;0,OR(AUTOEVENTO&lt;&gt;"manual",$M128&lt;&gt;$A$15)),
        IF(Import.TipoArredondamento&lt;&gt;"TransfereGOV",
              ROUND(OFFSET($P128,0,AZ$13),15-13*ORÇAMENTO!$AF$7)/$H128*OFFSET(ORÇAMENTO!$X$15,ROW(AZ128)-ROW(AZ$15),0),
              ROUND(ROUND(OFFSET($P128,0,AZ$13),15-13*ORÇAMENTO!$AF$7)*OFFSET(ORÇAMENTO!$W$15,ROW(AZ128)-ROW(AZ$15),0),15-13*ORÇAMENTO!$AF$11)),
         0)</f>
        <v>0</v>
      </c>
      <c r="BA128" s="453">
        <f ca="1">IF(AND($D128="Serviço",BA$12&lt;&gt;0,$H128&gt;0,OR(AUTOEVENTO&lt;&gt;"manual",$M128&lt;&gt;$A$15)),
        IF(Import.TipoArredondamento&lt;&gt;"TransfereGOV",
              ROUND(OFFSET($P128,0,BA$13),15-13*ORÇAMENTO!$AF$7)/$H128*OFFSET(ORÇAMENTO!$X$15,ROW(BA128)-ROW(BA$15),0),
              ROUND(ROUND(OFFSET($P128,0,BA$13),15-13*ORÇAMENTO!$AF$7)*OFFSET(ORÇAMENTO!$W$15,ROW(BA128)-ROW(BA$15),0),15-13*ORÇAMENTO!$AF$11)),
         0)</f>
        <v>0</v>
      </c>
      <c r="BB128" s="453">
        <f ca="1">IF(AND($D128="Serviço",BB$12&lt;&gt;0,$H128&gt;0,OR(AUTOEVENTO&lt;&gt;"manual",$M128&lt;&gt;$A$15)),
        IF(Import.TipoArredondamento&lt;&gt;"TransfereGOV",
              ROUND(OFFSET($P128,0,BB$13),15-13*ORÇAMENTO!$AF$7)/$H128*OFFSET(ORÇAMENTO!$X$15,ROW(BB128)-ROW(BB$15),0),
              ROUND(ROUND(OFFSET($P128,0,BB$13),15-13*ORÇAMENTO!$AF$7)*OFFSET(ORÇAMENTO!$W$15,ROW(BB128)-ROW(BB$15),0),15-13*ORÇAMENTO!$AF$11)),
         0)</f>
        <v>0</v>
      </c>
      <c r="BC128" s="453">
        <f ca="1">IF(AND($D128="Serviço",BC$12&lt;&gt;0,$H128&gt;0,OR(AUTOEVENTO&lt;&gt;"manual",$M128&lt;&gt;$A$15)),
        IF(Import.TipoArredondamento&lt;&gt;"TransfereGOV",
              ROUND(OFFSET($P128,0,BC$13),15-13*ORÇAMENTO!$AF$7)/$H128*OFFSET(ORÇAMENTO!$X$15,ROW(BC128)-ROW(BC$15),0),
              ROUND(ROUND(OFFSET($P128,0,BC$13),15-13*ORÇAMENTO!$AF$7)*OFFSET(ORÇAMENTO!$W$15,ROW(BC128)-ROW(BC$15),0),15-13*ORÇAMENTO!$AF$11)),
         0)</f>
        <v>0</v>
      </c>
      <c r="BD128" s="453">
        <f ca="1">IF(AND($D128="Serviço",BD$12&lt;&gt;0,$H128&gt;0,OR(AUTOEVENTO&lt;&gt;"manual",$M128&lt;&gt;$A$15)),
        IF(Import.TipoArredondamento&lt;&gt;"TransfereGOV",
              ROUND(OFFSET($P128,0,BD$13),15-13*ORÇAMENTO!$AF$7)/$H128*OFFSET(ORÇAMENTO!$X$15,ROW(BD128)-ROW(BD$15),0),
              ROUND(ROUND(OFFSET($P128,0,BD$13),15-13*ORÇAMENTO!$AF$7)*OFFSET(ORÇAMENTO!$W$15,ROW(BD128)-ROW(BD$15),0),15-13*ORÇAMENTO!$AF$11)),
         0)</f>
        <v>0</v>
      </c>
      <c r="BE128" s="453">
        <f ca="1">IF(AND($D128="Serviço",BE$12&lt;&gt;0,$H128&gt;0,OR(AUTOEVENTO&lt;&gt;"manual",$M128&lt;&gt;$A$15)),
        IF(Import.TipoArredondamento&lt;&gt;"TransfereGOV",
              ROUND(OFFSET($P128,0,BE$13),15-13*ORÇAMENTO!$AF$7)/$H128*OFFSET(ORÇAMENTO!$X$15,ROW(BE128)-ROW(BE$15),0),
              ROUND(ROUND(OFFSET($P128,0,BE$13),15-13*ORÇAMENTO!$AF$7)*OFFSET(ORÇAMENTO!$W$15,ROW(BE128)-ROW(BE$15),0),15-13*ORÇAMENTO!$AF$11)),
         0)</f>
        <v>0</v>
      </c>
      <c r="BF128" s="453">
        <f ca="1">IF(AND($D128="Serviço",BF$12&lt;&gt;0,$H128&gt;0,OR(AUTOEVENTO&lt;&gt;"manual",$M128&lt;&gt;$A$15)),
        IF(Import.TipoArredondamento&lt;&gt;"TransfereGOV",
              ROUND(OFFSET($P128,0,BF$13),15-13*ORÇAMENTO!$AF$7)/$H128*OFFSET(ORÇAMENTO!$X$15,ROW(BF128)-ROW(BF$15),0),
              ROUND(ROUND(OFFSET($P128,0,BF$13),15-13*ORÇAMENTO!$AF$7)*OFFSET(ORÇAMENTO!$W$15,ROW(BF128)-ROW(BF$15),0),15-13*ORÇAMENTO!$AF$11)),
         0)</f>
        <v>0</v>
      </c>
      <c r="BG128" s="453">
        <f ca="1">IF(AND($D128="Serviço",BG$12&lt;&gt;0,$H128&gt;0,OR(AUTOEVENTO&lt;&gt;"manual",$M128&lt;&gt;$A$15)),
        IF(Import.TipoArredondamento&lt;&gt;"TransfereGOV",
              ROUND(OFFSET($P128,0,BG$13),15-13*ORÇAMENTO!$AF$7)/$H128*OFFSET(ORÇAMENTO!$X$15,ROW(BG128)-ROW(BG$15),0),
              ROUND(ROUND(OFFSET($P128,0,BG$13),15-13*ORÇAMENTO!$AF$7)*OFFSET(ORÇAMENTO!$W$15,ROW(BG128)-ROW(BG$15),0),15-13*ORÇAMENTO!$AF$11)),
         0)</f>
        <v>0</v>
      </c>
      <c r="BH128" s="453">
        <f ca="1">IF(AND($D128="Serviço",BH$12&lt;&gt;0,$H128&gt;0,OR(AUTOEVENTO&lt;&gt;"manual",$M128&lt;&gt;$A$15)),
        IF(Import.TipoArredondamento&lt;&gt;"TransfereGOV",
              ROUND(OFFSET($P128,0,BH$13),15-13*ORÇAMENTO!$AF$7)/$H128*OFFSET(ORÇAMENTO!$X$15,ROW(BH128)-ROW(BH$15),0),
              ROUND(ROUND(OFFSET($P128,0,BH$13),15-13*ORÇAMENTO!$AF$7)*OFFSET(ORÇAMENTO!$W$15,ROW(BH128)-ROW(BH$15),0),15-13*ORÇAMENTO!$AF$11)),
         0)</f>
        <v>0</v>
      </c>
      <c r="BI128" s="453">
        <f ca="1">IF(AND($D128="Serviço",BI$12&lt;&gt;0,$H128&gt;0,OR(AUTOEVENTO&lt;&gt;"manual",$M128&lt;&gt;$A$15)),
        IF(Import.TipoArredondamento&lt;&gt;"TransfereGOV",
              ROUND(OFFSET($P128,0,BI$13),15-13*ORÇAMENTO!$AF$7)/$H128*OFFSET(ORÇAMENTO!$X$15,ROW(BI128)-ROW(BI$15),0),
              ROUND(ROUND(OFFSET($P128,0,BI$13),15-13*ORÇAMENTO!$AF$7)*OFFSET(ORÇAMENTO!$W$15,ROW(BI128)-ROW(BI$15),0),15-13*ORÇAMENTO!$AF$11)),
         0)</f>
        <v>0</v>
      </c>
      <c r="BJ128" s="453">
        <f ca="1">IF(AND($D128="Serviço",BJ$12&lt;&gt;0,$H128&gt;0,OR(AUTOEVENTO&lt;&gt;"manual",$M128&lt;&gt;$A$15)),
        IF(Import.TipoArredondamento&lt;&gt;"TransfereGOV",
              ROUND(OFFSET($P128,0,BJ$13),15-13*ORÇAMENTO!$AF$7)/$H128*OFFSET(ORÇAMENTO!$X$15,ROW(BJ128)-ROW(BJ$15),0),
              ROUND(ROUND(OFFSET($P128,0,BJ$13),15-13*ORÇAMENTO!$AF$7)*OFFSET(ORÇAMENTO!$W$15,ROW(BJ128)-ROW(BJ$15),0),15-13*ORÇAMENTO!$AF$11)),
         0)</f>
        <v>0</v>
      </c>
      <c r="BK128" s="453">
        <f ca="1">IF(AND($D128="Serviço",BK$12&lt;&gt;0,$H128&gt;0,OR(AUTOEVENTO&lt;&gt;"manual",$M128&lt;&gt;$A$15)),
        IF(Import.TipoArredondamento&lt;&gt;"TransfereGOV",
              ROUND(OFFSET($P128,0,BK$13),15-13*ORÇAMENTO!$AF$7)/$H128*OFFSET(ORÇAMENTO!$X$15,ROW(BK128)-ROW(BK$15),0),
              ROUND(ROUND(OFFSET($P128,0,BK$13),15-13*ORÇAMENTO!$AF$7)*OFFSET(ORÇAMENTO!$W$15,ROW(BK128)-ROW(BK$15),0),15-13*ORÇAMENTO!$AF$11)),
         0)</f>
        <v>0</v>
      </c>
      <c r="BL128" s="453">
        <f ca="1">IF(AND($D128="Serviço",BL$12&lt;&gt;0,$H128&gt;0,OR(AUTOEVENTO&lt;&gt;"manual",$M128&lt;&gt;$A$15)),
        IF(Import.TipoArredondamento&lt;&gt;"TransfereGOV",
              ROUND(OFFSET($P128,0,BL$13),15-13*ORÇAMENTO!$AF$7)/$H128*OFFSET(ORÇAMENTO!$X$15,ROW(BL128)-ROW(BL$15),0),
              ROUND(ROUND(OFFSET($P128,0,BL$13),15-13*ORÇAMENTO!$AF$7)*OFFSET(ORÇAMENTO!$W$15,ROW(BL128)-ROW(BL$15),0),15-13*ORÇAMENTO!$AF$11)),
         0)</f>
        <v>0</v>
      </c>
      <c r="BM128" s="453">
        <f ca="1">IF(AND($D128="Serviço",BM$12&lt;&gt;0,$H128&gt;0,OR(AUTOEVENTO&lt;&gt;"manual",$M128&lt;&gt;$A$15)),
        IF(Import.TipoArredondamento&lt;&gt;"TransfereGOV",
              ROUND(OFFSET($P128,0,BM$13),15-13*ORÇAMENTO!$AF$7)/$H128*OFFSET(ORÇAMENTO!$X$15,ROW(BM128)-ROW(BM$15),0),
              ROUND(ROUND(OFFSET($P128,0,BM$13),15-13*ORÇAMENTO!$AF$7)*OFFSET(ORÇAMENTO!$W$15,ROW(BM128)-ROW(BM$15),0),15-13*ORÇAMENTO!$AF$11)),
         0)</f>
        <v>0</v>
      </c>
      <c r="BN128" s="453">
        <f ca="1">IF(AND($D128="Serviço",BN$12&lt;&gt;0,$H128&gt;0,OR(AUTOEVENTO&lt;&gt;"manual",$M128&lt;&gt;$A$15)),
        IF(Import.TipoArredondamento&lt;&gt;"TransfereGOV",
              ROUND(OFFSET($P128,0,BN$13),15-13*ORÇAMENTO!$AF$7)/$H128*OFFSET(ORÇAMENTO!$X$15,ROW(BN128)-ROW(BN$15),0),
              ROUND(ROUND(OFFSET($P128,0,BN$13),15-13*ORÇAMENTO!$AF$7)*OFFSET(ORÇAMENTO!$W$15,ROW(BN128)-ROW(BN$15),0),15-13*ORÇAMENTO!$AF$11)),
         0)</f>
        <v>0</v>
      </c>
      <c r="BO128" s="453">
        <f ca="1">IF(AND($D128="Serviço",BO$12&lt;&gt;0,$H128&gt;0,OR(AUTOEVENTO&lt;&gt;"manual",$M128&lt;&gt;$A$15)),
        IF(Import.TipoArredondamento&lt;&gt;"TransfereGOV",
              ROUND(OFFSET($P128,0,BO$13),15-13*ORÇAMENTO!$AF$7)/$H128*OFFSET(ORÇAMENTO!$X$15,ROW(BO128)-ROW(BO$15),0),
              ROUND(ROUND(OFFSET($P128,0,BO$13),15-13*ORÇAMENTO!$AF$7)*OFFSET(ORÇAMENTO!$W$15,ROW(BO128)-ROW(BO$15),0),15-13*ORÇAMENTO!$AF$11)),
         0)</f>
        <v>0</v>
      </c>
      <c r="BP128" s="453">
        <f ca="1">IF(AND($D128="Serviço",BP$12&lt;&gt;0,$H128&gt;0,OR(AUTOEVENTO&lt;&gt;"manual",$M128&lt;&gt;$A$15)),
        IF(Import.TipoArredondamento&lt;&gt;"TransfereGOV",
              ROUND(OFFSET($P128,0,BP$13),15-13*ORÇAMENTO!$AF$7)/$H128*OFFSET(ORÇAMENTO!$X$15,ROW(BP128)-ROW(BP$15),0),
              ROUND(ROUND(OFFSET($P128,0,BP$13),15-13*ORÇAMENTO!$AF$7)*OFFSET(ORÇAMENTO!$W$15,ROW(BP128)-ROW(BP$15),0),15-13*ORÇAMENTO!$AF$11)),
         0)</f>
        <v>0</v>
      </c>
      <c r="BQ128" s="453">
        <f ca="1">IF(AND($D128="Serviço",BQ$12&lt;&gt;0,$H128&gt;0,OR(AUTOEVENTO&lt;&gt;"manual",$M128&lt;&gt;$A$15)),
        IF(Import.TipoArredondamento&lt;&gt;"TransfereGOV",
              ROUND(OFFSET($P128,0,BQ$13),15-13*ORÇAMENTO!$AF$7)/$H128*OFFSET(ORÇAMENTO!$X$15,ROW(BQ128)-ROW(BQ$15),0),
              ROUND(ROUND(OFFSET($P128,0,BQ$13),15-13*ORÇAMENTO!$AF$7)*OFFSET(ORÇAMENTO!$W$15,ROW(BQ128)-ROW(BQ$15),0),15-13*ORÇAMENTO!$AF$11)),
         0)</f>
        <v>0</v>
      </c>
      <c r="BS128" s="171">
        <f ca="1">IF(OR($D128&lt;&gt;"Serviço",AND(AUTOEVENTO="Manual",$M128=$A$15)),0,
         IF(OFFSET(CRONOPLE!$F$15,$M128-$A$15,BS$13)=0,10^12,OFFSET(CRONOPLE!$F$15,$M128-$A$15,BS$13)))</f>
        <v>0</v>
      </c>
      <c r="BT128" s="171">
        <f ca="1">IF(OR($D128&lt;&gt;"Serviço",AND(AUTOEVENTO="Manual",$M128=$A$15)),0,
         IF(OFFSET(CRONOPLE!$F$15,$M128-$A$15,BT$13)=0,10^12,OFFSET(CRONOPLE!$F$15,$M128-$A$15,BT$13)))</f>
        <v>0</v>
      </c>
      <c r="BU128" s="171">
        <f ca="1">IF(OR($D128&lt;&gt;"Serviço",AND(AUTOEVENTO="Manual",$M128=$A$15)),0,
         IF(OFFSET(CRONOPLE!$F$15,$M128-$A$15,BU$13)=0,10^12,OFFSET(CRONOPLE!$F$15,$M128-$A$15,BU$13)))</f>
        <v>0</v>
      </c>
      <c r="BV128" s="171">
        <f ca="1">IF(OR($D128&lt;&gt;"Serviço",AND(AUTOEVENTO="Manual",$M128=$A$15)),0,
         IF(OFFSET(CRONOPLE!$F$15,$M128-$A$15,BV$13)=0,10^12,OFFSET(CRONOPLE!$F$15,$M128-$A$15,BV$13)))</f>
        <v>0</v>
      </c>
      <c r="BW128" s="171">
        <f ca="1">IF(OR($D128&lt;&gt;"Serviço",AND(AUTOEVENTO="Manual",$M128=$A$15)),0,
         IF(OFFSET(CRONOPLE!$F$15,$M128-$A$15,BW$13)=0,10^12,OFFSET(CRONOPLE!$F$15,$M128-$A$15,BW$13)))</f>
        <v>0</v>
      </c>
      <c r="BX128" s="171">
        <f ca="1">IF(OR($D128&lt;&gt;"Serviço",AND(AUTOEVENTO="Manual",$M128=$A$15)),0,
         IF(OFFSET(CRONOPLE!$F$15,$M128-$A$15,BX$13)=0,10^12,OFFSET(CRONOPLE!$F$15,$M128-$A$15,BX$13)))</f>
        <v>0</v>
      </c>
      <c r="BY128" s="171">
        <f ca="1">IF(OR($D128&lt;&gt;"Serviço",AND(AUTOEVENTO="Manual",$M128=$A$15)),0,
         IF(OFFSET(CRONOPLE!$F$15,$M128-$A$15,BY$13)=0,10^12,OFFSET(CRONOPLE!$F$15,$M128-$A$15,BY$13)))</f>
        <v>0</v>
      </c>
      <c r="BZ128" s="171">
        <f ca="1">IF(OR($D128&lt;&gt;"Serviço",AND(AUTOEVENTO="Manual",$M128=$A$15)),0,
         IF(OFFSET(CRONOPLE!$F$15,$M128-$A$15,BZ$13)=0,10^12,OFFSET(CRONOPLE!$F$15,$M128-$A$15,BZ$13)))</f>
        <v>0</v>
      </c>
      <c r="CA128" s="171">
        <f ca="1">IF(OR($D128&lt;&gt;"Serviço",AND(AUTOEVENTO="Manual",$M128=$A$15)),0,
         IF(OFFSET(CRONOPLE!$F$15,$M128-$A$15,CA$13)=0,10^12,OFFSET(CRONOPLE!$F$15,$M128-$A$15,CA$13)))</f>
        <v>0</v>
      </c>
      <c r="CB128" s="171">
        <f ca="1">IF(OR($D128&lt;&gt;"Serviço",AND(AUTOEVENTO="Manual",$M128=$A$15)),0,
         IF(OFFSET(CRONOPLE!$F$15,$M128-$A$15,CB$13)=0,10^12,OFFSET(CRONOPLE!$F$15,$M128-$A$15,CB$13)))</f>
        <v>0</v>
      </c>
      <c r="CC128" s="171">
        <f ca="1">IF(OR($D128&lt;&gt;"Serviço",AND(AUTOEVENTO="Manual",$M128=$A$15)),0,
         IF(OFFSET(CRONOPLE!$F$15,$M128-$A$15,CC$13)=0,10^12,OFFSET(CRONOPLE!$F$15,$M128-$A$15,CC$13)))</f>
        <v>0</v>
      </c>
      <c r="CD128" s="171">
        <f ca="1">IF(OR($D128&lt;&gt;"Serviço",AND(AUTOEVENTO="Manual",$M128=$A$15)),0,
         IF(OFFSET(CRONOPLE!$F$15,$M128-$A$15,CD$13)=0,10^12,OFFSET(CRONOPLE!$F$15,$M128-$A$15,CD$13)))</f>
        <v>0</v>
      </c>
      <c r="CE128" s="171">
        <f ca="1">IF(OR($D128&lt;&gt;"Serviço",AND(AUTOEVENTO="Manual",$M128=$A$15)),0,
         IF(OFFSET(CRONOPLE!$F$15,$M128-$A$15,CE$13)=0,10^12,OFFSET(CRONOPLE!$F$15,$M128-$A$15,CE$13)))</f>
        <v>0</v>
      </c>
      <c r="CF128" s="171">
        <f ca="1">IF(OR($D128&lt;&gt;"Serviço",AND(AUTOEVENTO="Manual",$M128=$A$15)),0,
         IF(OFFSET(CRONOPLE!$F$15,$M128-$A$15,CF$13)=0,10^12,OFFSET(CRONOPLE!$F$15,$M128-$A$15,CF$13)))</f>
        <v>0</v>
      </c>
      <c r="CG128" s="171">
        <f ca="1">IF(OR($D128&lt;&gt;"Serviço",AND(AUTOEVENTO="Manual",$M128=$A$15)),0,
         IF(OFFSET(CRONOPLE!$F$15,$M128-$A$15,CG$13)=0,10^12,OFFSET(CRONOPLE!$F$15,$M128-$A$15,CG$13)))</f>
        <v>0</v>
      </c>
      <c r="CH128" s="171">
        <f ca="1">IF(OR($D128&lt;&gt;"Serviço",AND(AUTOEVENTO="Manual",$M128=$A$15)),0,
         IF(OFFSET(CRONOPLE!$F$15,$M128-$A$15,CH$13)=0,10^12,OFFSET(CRONOPLE!$F$15,$M128-$A$15,CH$13)))</f>
        <v>0</v>
      </c>
      <c r="CI128" s="171">
        <f ca="1">IF(OR($D128&lt;&gt;"Serviço",AND(AUTOEVENTO="Manual",$M128=$A$15)),0,
         IF(OFFSET(CRONOPLE!$F$15,$M128-$A$15,CI$13)=0,10^12,OFFSET(CRONOPLE!$F$15,$M128-$A$15,CI$13)))</f>
        <v>0</v>
      </c>
      <c r="CJ128" s="171">
        <f ca="1">IF(OR($D128&lt;&gt;"Serviço",AND(AUTOEVENTO="Manual",$M128=$A$15)),0,
         IF(OFFSET(CRONOPLE!$F$15,$M128-$A$15,CJ$13)=0,10^12,OFFSET(CRONOPLE!$F$15,$M128-$A$15,CJ$13)))</f>
        <v>0</v>
      </c>
      <c r="CK128" s="171">
        <f ca="1">IF(OR($D128&lt;&gt;"Serviço",AND(AUTOEVENTO="Manual",$M128=$A$15)),0,
         IF(OFFSET(CRONOPLE!$F$15,$M128-$A$15,CK$13)=0,10^12,OFFSET(CRONOPLE!$F$15,$M128-$A$15,CK$13)))</f>
        <v>0</v>
      </c>
      <c r="CL128" s="171">
        <f ca="1">IF(OR($D128&lt;&gt;"Serviço",AND(AUTOEVENTO="Manual",$M128=$A$15)),0,
         IF(OFFSET(CRONOPLE!$F$15,$M128-$A$15,CL$13)=0,10^12,OFFSET(CRONOPLE!$F$15,$M128-$A$15,CL$13)))</f>
        <v>0</v>
      </c>
      <c r="CM128" s="171">
        <f ca="1">IF(OR($D128&lt;&gt;"Serviço",AND(AUTOEVENTO="Manual",$M128=$A$15)),0,
         IF(OFFSET(CRONOPLE!$F$15,$M128-$A$15,CM$13)=0,10^12,OFFSET(CRONOPLE!$F$15,$M128-$A$15,CM$13)))</f>
        <v>0</v>
      </c>
      <c r="CN128" s="171">
        <f ca="1">IF(OR($D128&lt;&gt;"Serviço",AND(AUTOEVENTO="Manual",$M128=$A$15)),0,
         IF(OFFSET(CRONOPLE!$F$15,$M128-$A$15,CN$13)=0,10^12,OFFSET(CRONOPLE!$F$15,$M128-$A$15,CN$13)))</f>
        <v>0</v>
      </c>
      <c r="CO128" s="171">
        <f ca="1">IF(OR($D128&lt;&gt;"Serviço",AND(AUTOEVENTO="Manual",$M128=$A$15)),0,
         IF(OFFSET(CRONOPLE!$F$15,$M128-$A$15,CO$13)=0,10^12,OFFSET(CRONOPLE!$F$15,$M128-$A$15,CO$13)))</f>
        <v>0</v>
      </c>
      <c r="CP128" s="171">
        <f ca="1">IF(OR($D128&lt;&gt;"Serviço",AND(AUTOEVENTO="Manual",$M128=$A$15)),0,
         IF(OFFSET(CRONOPLE!$F$15,$M128-$A$15,CP$13)=0,10^12,OFFSET(CRONOPLE!$F$15,$M128-$A$15,CP$13)))</f>
        <v>0</v>
      </c>
      <c r="CQ128" s="171">
        <f ca="1">IF(OR($D128&lt;&gt;"Serviço",AND(AUTOEVENTO="Manual",$M128=$A$15)),0,
         IF(OFFSET(CRONOPLE!$F$15,$M128-$A$15,CQ$13)=0,10^12,OFFSET(CRONOPLE!$F$15,$M128-$A$15,CQ$13)))</f>
        <v>0</v>
      </c>
      <c r="CR128" s="171">
        <f ca="1">IF(OR($D128&lt;&gt;"Serviço",AND(AUTOEVENTO="Manual",$M128=$A$15)),0,
         IF(OFFSET(CRONOPLE!$F$15,$M128-$A$15,CR$13)=0,10^12,OFFSET(CRONOPLE!$F$15,$M128-$A$15,CR$13)))</f>
        <v>0</v>
      </c>
      <c r="CT128" s="172" cm="1">
        <f t="array" aca="1" ref="CT128" ca="1">IF(OR($D128&lt;&gt;"Serviço",AND(AUTOEVENTO="Manual",$M128=$A$15),$M128&gt;(ROW(PLE.lastrow)-ROW(PLE.firstrow))),0,
           IF(OFFSET(PLE!$G$15,$M128-$A$15,CT$13)="",10^12,OFFSET(PLE!$G$15,$M128-$A$15,CT$13)))</f>
        <v>0</v>
      </c>
      <c r="CU128" s="172" cm="1">
        <f t="array" aca="1" ref="CU128" ca="1">IF(OR($D128&lt;&gt;"Serviço",AND(AUTOEVENTO="Manual",$M128=$A$15),$M128&gt;(ROW(PLE.lastrow)-ROW(PLE.firstrow))),0,
           IF(OFFSET(PLE!$G$15,$M128-$A$15,CU$13)="",10^12,OFFSET(PLE!$G$15,$M128-$A$15,CU$13)))</f>
        <v>0</v>
      </c>
      <c r="CV128" s="172" cm="1">
        <f t="array" aca="1" ref="CV128" ca="1">IF(OR($D128&lt;&gt;"Serviço",AND(AUTOEVENTO="Manual",$M128=$A$15),$M128&gt;(ROW(PLE.lastrow)-ROW(PLE.firstrow))),0,
           IF(OFFSET(PLE!$G$15,$M128-$A$15,CV$13)="",10^12,OFFSET(PLE!$G$15,$M128-$A$15,CV$13)))</f>
        <v>0</v>
      </c>
      <c r="CW128" s="172" cm="1">
        <f t="array" aca="1" ref="CW128" ca="1">IF(OR($D128&lt;&gt;"Serviço",AND(AUTOEVENTO="Manual",$M128=$A$15),$M128&gt;(ROW(PLE.lastrow)-ROW(PLE.firstrow))),0,
           IF(OFFSET(PLE!$G$15,$M128-$A$15,CW$13)="",10^12,OFFSET(PLE!$G$15,$M128-$A$15,CW$13)))</f>
        <v>0</v>
      </c>
      <c r="CX128" s="172" cm="1">
        <f t="array" aca="1" ref="CX128" ca="1">IF(OR($D128&lt;&gt;"Serviço",AND(AUTOEVENTO="Manual",$M128=$A$15),$M128&gt;(ROW(PLE.lastrow)-ROW(PLE.firstrow))),0,
           IF(OFFSET(PLE!$G$15,$M128-$A$15,CX$13)="",10^12,OFFSET(PLE!$G$15,$M128-$A$15,CX$13)))</f>
        <v>0</v>
      </c>
      <c r="CY128" s="172" cm="1">
        <f t="array" aca="1" ref="CY128" ca="1">IF(OR($D128&lt;&gt;"Serviço",AND(AUTOEVENTO="Manual",$M128=$A$15),$M128&gt;(ROW(PLE.lastrow)-ROW(PLE.firstrow))),0,
           IF(OFFSET(PLE!$G$15,$M128-$A$15,CY$13)="",10^12,OFFSET(PLE!$G$15,$M128-$A$15,CY$13)))</f>
        <v>0</v>
      </c>
      <c r="CZ128" s="172" cm="1">
        <f t="array" aca="1" ref="CZ128" ca="1">IF(OR($D128&lt;&gt;"Serviço",AND(AUTOEVENTO="Manual",$M128=$A$15),$M128&gt;(ROW(PLE.lastrow)-ROW(PLE.firstrow))),0,
           IF(OFFSET(PLE!$G$15,$M128-$A$15,CZ$13)="",10^12,OFFSET(PLE!$G$15,$M128-$A$15,CZ$13)))</f>
        <v>0</v>
      </c>
      <c r="DA128" s="172" cm="1">
        <f t="array" aca="1" ref="DA128" ca="1">IF(OR($D128&lt;&gt;"Serviço",AND(AUTOEVENTO="Manual",$M128=$A$15),$M128&gt;(ROW(PLE.lastrow)-ROW(PLE.firstrow))),0,
           IF(OFFSET(PLE!$G$15,$M128-$A$15,DA$13)="",10^12,OFFSET(PLE!$G$15,$M128-$A$15,DA$13)))</f>
        <v>0</v>
      </c>
      <c r="DB128" s="172" cm="1">
        <f t="array" aca="1" ref="DB128" ca="1">IF(OR($D128&lt;&gt;"Serviço",AND(AUTOEVENTO="Manual",$M128=$A$15),$M128&gt;(ROW(PLE.lastrow)-ROW(PLE.firstrow))),0,
           IF(OFFSET(PLE!$G$15,$M128-$A$15,DB$13)="",10^12,OFFSET(PLE!$G$15,$M128-$A$15,DB$13)))</f>
        <v>0</v>
      </c>
      <c r="DC128" s="172" cm="1">
        <f t="array" aca="1" ref="DC128" ca="1">IF(OR($D128&lt;&gt;"Serviço",AND(AUTOEVENTO="Manual",$M128=$A$15),$M128&gt;(ROW(PLE.lastrow)-ROW(PLE.firstrow))),0,
           IF(OFFSET(PLE!$G$15,$M128-$A$15,DC$13)="",10^12,OFFSET(PLE!$G$15,$M128-$A$15,DC$13)))</f>
        <v>0</v>
      </c>
      <c r="DD128" s="172" cm="1">
        <f t="array" aca="1" ref="DD128" ca="1">IF(OR($D128&lt;&gt;"Serviço",AND(AUTOEVENTO="Manual",$M128=$A$15),$M128&gt;(ROW(PLE.lastrow)-ROW(PLE.firstrow))),0,
           IF(OFFSET(PLE!$G$15,$M128-$A$15,DD$13)="",10^12,OFFSET(PLE!$G$15,$M128-$A$15,DD$13)))</f>
        <v>0</v>
      </c>
      <c r="DE128" s="172" cm="1">
        <f t="array" aca="1" ref="DE128" ca="1">IF(OR($D128&lt;&gt;"Serviço",AND(AUTOEVENTO="Manual",$M128=$A$15),$M128&gt;(ROW(PLE.lastrow)-ROW(PLE.firstrow))),0,
           IF(OFFSET(PLE!$G$15,$M128-$A$15,DE$13)="",10^12,OFFSET(PLE!$G$15,$M128-$A$15,DE$13)))</f>
        <v>0</v>
      </c>
      <c r="DF128" s="172" cm="1">
        <f t="array" aca="1" ref="DF128" ca="1">IF(OR($D128&lt;&gt;"Serviço",AND(AUTOEVENTO="Manual",$M128=$A$15),$M128&gt;(ROW(PLE.lastrow)-ROW(PLE.firstrow))),0,
           IF(OFFSET(PLE!$G$15,$M128-$A$15,DF$13)="",10^12,OFFSET(PLE!$G$15,$M128-$A$15,DF$13)))</f>
        <v>0</v>
      </c>
      <c r="DG128" s="172" cm="1">
        <f t="array" aca="1" ref="DG128" ca="1">IF(OR($D128&lt;&gt;"Serviço",AND(AUTOEVENTO="Manual",$M128=$A$15),$M128&gt;(ROW(PLE.lastrow)-ROW(PLE.firstrow))),0,
           IF(OFFSET(PLE!$G$15,$M128-$A$15,DG$13)="",10^12,OFFSET(PLE!$G$15,$M128-$A$15,DG$13)))</f>
        <v>0</v>
      </c>
      <c r="DH128" s="172" cm="1">
        <f t="array" aca="1" ref="DH128" ca="1">IF(OR($D128&lt;&gt;"Serviço",AND(AUTOEVENTO="Manual",$M128=$A$15),$M128&gt;(ROW(PLE.lastrow)-ROW(PLE.firstrow))),0,
           IF(OFFSET(PLE!$G$15,$M128-$A$15,DH$13)="",10^12,OFFSET(PLE!$G$15,$M128-$A$15,DH$13)))</f>
        <v>0</v>
      </c>
      <c r="DI128" s="172" cm="1">
        <f t="array" aca="1" ref="DI128" ca="1">IF(OR($D128&lt;&gt;"Serviço",AND(AUTOEVENTO="Manual",$M128=$A$15),$M128&gt;(ROW(PLE.lastrow)-ROW(PLE.firstrow))),0,
           IF(OFFSET(PLE!$G$15,$M128-$A$15,DI$13)="",10^12,OFFSET(PLE!$G$15,$M128-$A$15,DI$13)))</f>
        <v>0</v>
      </c>
      <c r="DJ128" s="172" cm="1">
        <f t="array" aca="1" ref="DJ128" ca="1">IF(OR($D128&lt;&gt;"Serviço",AND(AUTOEVENTO="Manual",$M128=$A$15),$M128&gt;(ROW(PLE.lastrow)-ROW(PLE.firstrow))),0,
           IF(OFFSET(PLE!$G$15,$M128-$A$15,DJ$13)="",10^12,OFFSET(PLE!$G$15,$M128-$A$15,DJ$13)))</f>
        <v>0</v>
      </c>
      <c r="DK128" s="172" cm="1">
        <f t="array" aca="1" ref="DK128" ca="1">IF(OR($D128&lt;&gt;"Serviço",AND(AUTOEVENTO="Manual",$M128=$A$15),$M128&gt;(ROW(PLE.lastrow)-ROW(PLE.firstrow))),0,
           IF(OFFSET(PLE!$G$15,$M128-$A$15,DK$13)="",10^12,OFFSET(PLE!$G$15,$M128-$A$15,DK$13)))</f>
        <v>0</v>
      </c>
      <c r="DL128" s="172" cm="1">
        <f t="array" aca="1" ref="DL128" ca="1">IF(OR($D128&lt;&gt;"Serviço",AND(AUTOEVENTO="Manual",$M128=$A$15),$M128&gt;(ROW(PLE.lastrow)-ROW(PLE.firstrow))),0,
           IF(OFFSET(PLE!$G$15,$M128-$A$15,DL$13)="",10^12,OFFSET(PLE!$G$15,$M128-$A$15,DL$13)))</f>
        <v>0</v>
      </c>
      <c r="DM128" s="172" cm="1">
        <f t="array" aca="1" ref="DM128" ca="1">IF(OR($D128&lt;&gt;"Serviço",AND(AUTOEVENTO="Manual",$M128=$A$15),$M128&gt;(ROW(PLE.lastrow)-ROW(PLE.firstrow))),0,
           IF(OFFSET(PLE!$G$15,$M128-$A$15,DM$13)="",10^12,OFFSET(PLE!$G$15,$M128-$A$15,DM$13)))</f>
        <v>0</v>
      </c>
      <c r="DN128" s="172" cm="1">
        <f t="array" aca="1" ref="DN128" ca="1">IF(OR($D128&lt;&gt;"Serviço",AND(AUTOEVENTO="Manual",$M128=$A$15),$M128&gt;(ROW(PLE.lastrow)-ROW(PLE.firstrow))),0,
           IF(OFFSET(PLE!$G$15,$M128-$A$15,DN$13)="",10^12,OFFSET(PLE!$G$15,$M128-$A$15,DN$13)))</f>
        <v>0</v>
      </c>
      <c r="DO128" s="172" cm="1">
        <f t="array" aca="1" ref="DO128" ca="1">IF(OR($D128&lt;&gt;"Serviço",AND(AUTOEVENTO="Manual",$M128=$A$15),$M128&gt;(ROW(PLE.lastrow)-ROW(PLE.firstrow))),0,
           IF(OFFSET(PLE!$G$15,$M128-$A$15,DO$13)="",10^12,OFFSET(PLE!$G$15,$M128-$A$15,DO$13)))</f>
        <v>0</v>
      </c>
      <c r="DP128" s="172" cm="1">
        <f t="array" aca="1" ref="DP128" ca="1">IF(OR($D128&lt;&gt;"Serviço",AND(AUTOEVENTO="Manual",$M128=$A$15),$M128&gt;(ROW(PLE.lastrow)-ROW(PLE.firstrow))),0,
           IF(OFFSET(PLE!$G$15,$M128-$A$15,DP$13)="",10^12,OFFSET(PLE!$G$15,$M128-$A$15,DP$13)))</f>
        <v>0</v>
      </c>
      <c r="DQ128" s="172" cm="1">
        <f t="array" aca="1" ref="DQ128" ca="1">IF(OR($D128&lt;&gt;"Serviço",AND(AUTOEVENTO="Manual",$M128=$A$15),$M128&gt;(ROW(PLE.lastrow)-ROW(PLE.firstrow))),0,
           IF(OFFSET(PLE!$G$15,$M128-$A$15,DQ$13)="",10^12,OFFSET(PLE!$G$15,$M128-$A$15,DQ$13)))</f>
        <v>0</v>
      </c>
      <c r="DR128" s="172" cm="1">
        <f t="array" aca="1" ref="DR128" ca="1">IF(OR($D128&lt;&gt;"Serviço",AND(AUTOEVENTO="Manual",$M128=$A$15),$M128&gt;(ROW(PLE.lastrow)-ROW(PLE.firstrow))),0,
           IF(OFFSET(PLE!$G$15,$M128-$A$15,DR$13)="",10^12,OFFSET(PLE!$G$15,$M128-$A$15,DR$13)))</f>
        <v>0</v>
      </c>
      <c r="DS128" s="172" cm="1">
        <f t="array" aca="1" ref="DS128" ca="1">IF(OR($D128&lt;&gt;"Serviço",AND(AUTOEVENTO="Manual",$M128=$A$15),$M128&gt;(ROW(PLE.lastrow)-ROW(PLE.firstrow))),0,
           IF(OFFSET(PLE!$G$15,$M128-$A$15,DS$13)="",10^12,OFFSET(PLE!$G$15,$M128-$A$15,DS$13)))</f>
        <v>0</v>
      </c>
    </row>
    <row r="129" spans="1:123" ht="25.5" x14ac:dyDescent="0.2">
      <c r="A129" s="7">
        <f t="shared" ca="1" si="15"/>
        <v>8</v>
      </c>
      <c r="B129" s="7" t="str">
        <f ca="1">OFFSET(ORÇAMENTO!C$15,$L129,0)</f>
        <v>S</v>
      </c>
      <c r="C129" s="7" t="str">
        <f ca="1">OFFSET(ORÇAMENTO!L$15,$L129,0)</f>
        <v/>
      </c>
      <c r="D129" s="116" t="str">
        <f ca="1">OFFSET(ORÇAMENTO!N$15,$L129,0)</f>
        <v>Serviço</v>
      </c>
      <c r="E129" s="117" t="str">
        <f ca="1">OFFSET(ORÇAMENTO!O$15,$L129,0)</f>
        <v>-</v>
      </c>
      <c r="F129" s="163" t="str">
        <f ca="1">OFFSET(ORÇAMENTO!R$15,$L129,0)</f>
        <v>(Código não identificado nas referências)</v>
      </c>
      <c r="G129" s="164" t="str">
        <f ca="1">IF($D129&lt;&gt;"Serviço","",OFFSET(ORÇAMENTO!S$15,$L129,0))</f>
        <v>-</v>
      </c>
      <c r="H129" s="122" cm="1">
        <f t="array" aca="1" ref="H129" ca="1">IF($D129&lt;&gt;"Serviço",0,IF(ACOMPANHAMENTO="BM",ROUND(OFFSET(ORÇAMENTO!AJ$15,$L129,0),15-13*ORÇAMENTO!$AF$7),IF(IFERROR(CÁLCULO.FrentesPreenchidas,0)=0,0,SUM(ROUND(OFFSET($P129,0,1,1,CÁLCULO.FrentesPreenchidas),15-13*ORÇAMENTO!$AF$7)))))</f>
        <v>50.40000000000002</v>
      </c>
      <c r="I129" s="468" t="s">
        <v>1235</v>
      </c>
      <c r="J129" s="651" t="str" cm="1">
        <f t="array" aca="1" ref="J129" ca="1">IF(OR(B129&lt;&gt;"S",CÁLCULO.FrentesPreenchidas=0),"",IF(AND(ACOMPANHAMENTO="PLE",AUTOEVENTO="Manual",OR(H129&gt;0,ORÇAMENTO!AC129="QUANT."),OR(K129="",M129=0,N129="")),"►E",IF(AND(ACOMPANHAMENTO="PLE",ORÇAMENTO!AC129="QUANT."),"►Q",IF(AND(ACOMPANHAMENTO="PLE",H129&lt;&gt;SUMPRODUCT(($Q$1:$AQ$1=1)*ROUND(Q129:AQ129,15))),"►S",IF(AND(COUNTIF($P$11:$AQ$11,"▼")=0,H129&gt;0,I129=""),"◄M","")))))</f>
        <v/>
      </c>
      <c r="K129" s="652" t="s">
        <v>1256</v>
      </c>
      <c r="L129" s="165">
        <f t="shared" ca="1" si="14"/>
        <v>114</v>
      </c>
      <c r="M129" s="166">
        <f ca="1">IF($D129&lt;&gt;"Serviço","",
          IF(AUTOEVENTO="manual",$A129,
                IF(ISERROR(MATCH($A129,$A$15:OFFSET($A129,-1,0),0)),MAX($M$15:OFFSET(M129,-1,0))+1,
                      INDEX($M$15:OFFSET(M129,-1,0),MATCH($A129,$A$15:OFFSET($A129,-1,0),0)))))</f>
        <v>8</v>
      </c>
      <c r="N129" s="167" t="str">
        <f ca="1">IF($D129&lt;&gt;"Serviço","",
         IF(AUTOEVENTO="Manual",
                IF($A129=0,"&lt;-- defina o número do agrupador",
                       OFFSET(EVENTOS!$D$15,$A129-$A$15,0)),
                OFFSET($F$15,$A129,0)))</f>
        <v>PAVIMENTAÇÕES</v>
      </c>
      <c r="O129" s="168"/>
      <c r="Q129" s="168">
        <v>2.52</v>
      </c>
      <c r="R129" s="169">
        <v>2.52</v>
      </c>
      <c r="S129" s="169">
        <v>2.52</v>
      </c>
      <c r="T129" s="169">
        <v>2.52</v>
      </c>
      <c r="U129" s="169">
        <v>2.52</v>
      </c>
      <c r="V129" s="169">
        <v>2.52</v>
      </c>
      <c r="W129" s="169">
        <v>2.52</v>
      </c>
      <c r="X129" s="169">
        <v>2.52</v>
      </c>
      <c r="Y129" s="169">
        <v>2.52</v>
      </c>
      <c r="Z129" s="170">
        <v>2.52</v>
      </c>
      <c r="AA129" s="169">
        <v>2.52</v>
      </c>
      <c r="AB129" s="169">
        <v>2.52</v>
      </c>
      <c r="AC129" s="169">
        <v>2.52</v>
      </c>
      <c r="AD129" s="169">
        <v>2.52</v>
      </c>
      <c r="AE129" s="169">
        <v>2.52</v>
      </c>
      <c r="AF129" s="169">
        <v>2.52</v>
      </c>
      <c r="AG129" s="169">
        <v>2.52</v>
      </c>
      <c r="AH129" s="170">
        <v>2.52</v>
      </c>
      <c r="AI129" s="169">
        <v>2.52</v>
      </c>
      <c r="AJ129" s="169">
        <v>2.52</v>
      </c>
      <c r="AK129" s="169"/>
      <c r="AL129" s="169"/>
      <c r="AM129" s="169"/>
      <c r="AN129" s="169"/>
      <c r="AO129" s="169"/>
      <c r="AP129" s="170"/>
      <c r="AR129" s="453">
        <f ca="1">IF(AND($D129="Serviço",AR$12&lt;&gt;0,$H129&gt;0,OR(AUTOEVENTO&lt;&gt;"manual",$M129&lt;&gt;$A$15)),
        IF(Import.TipoArredondamento&lt;&gt;"TransfereGOV",
              ROUND(OFFSET($P129,0,AR$13),15-13*ORÇAMENTO!$AF$7)/$H129*OFFSET(ORÇAMENTO!$X$15,ROW(AR129)-ROW(AR$15),0),
              ROUND(ROUND(OFFSET($P129,0,AR$13),15-13*ORÇAMENTO!$AF$7)*OFFSET(ORÇAMENTO!$W$15,ROW(AR129)-ROW(AR$15),0),15-13*ORÇAMENTO!$AF$11)),
         0)</f>
        <v>0</v>
      </c>
      <c r="AS129" s="453">
        <f ca="1">IF(AND($D129="Serviço",AS$12&lt;&gt;0,$H129&gt;0,OR(AUTOEVENTO&lt;&gt;"manual",$M129&lt;&gt;$A$15)),
        IF(Import.TipoArredondamento&lt;&gt;"TransfereGOV",
              ROUND(OFFSET($P129,0,AS$13),15-13*ORÇAMENTO!$AF$7)/$H129*OFFSET(ORÇAMENTO!$X$15,ROW(AS129)-ROW(AS$15),0),
              ROUND(ROUND(OFFSET($P129,0,AS$13),15-13*ORÇAMENTO!$AF$7)*OFFSET(ORÇAMENTO!$W$15,ROW(AS129)-ROW(AS$15),0),15-13*ORÇAMENTO!$AF$11)),
         0)</f>
        <v>0</v>
      </c>
      <c r="AT129" s="453">
        <f ca="1">IF(AND($D129="Serviço",AT$12&lt;&gt;0,$H129&gt;0,OR(AUTOEVENTO&lt;&gt;"manual",$M129&lt;&gt;$A$15)),
        IF(Import.TipoArredondamento&lt;&gt;"TransfereGOV",
              ROUND(OFFSET($P129,0,AT$13),15-13*ORÇAMENTO!$AF$7)/$H129*OFFSET(ORÇAMENTO!$X$15,ROW(AT129)-ROW(AT$15),0),
              ROUND(ROUND(OFFSET($P129,0,AT$13),15-13*ORÇAMENTO!$AF$7)*OFFSET(ORÇAMENTO!$W$15,ROW(AT129)-ROW(AT$15),0),15-13*ORÇAMENTO!$AF$11)),
         0)</f>
        <v>0</v>
      </c>
      <c r="AU129" s="453">
        <f ca="1">IF(AND($D129="Serviço",AU$12&lt;&gt;0,$H129&gt;0,OR(AUTOEVENTO&lt;&gt;"manual",$M129&lt;&gt;$A$15)),
        IF(Import.TipoArredondamento&lt;&gt;"TransfereGOV",
              ROUND(OFFSET($P129,0,AU$13),15-13*ORÇAMENTO!$AF$7)/$H129*OFFSET(ORÇAMENTO!$X$15,ROW(AU129)-ROW(AU$15),0),
              ROUND(ROUND(OFFSET($P129,0,AU$13),15-13*ORÇAMENTO!$AF$7)*OFFSET(ORÇAMENTO!$W$15,ROW(AU129)-ROW(AU$15),0),15-13*ORÇAMENTO!$AF$11)),
         0)</f>
        <v>0</v>
      </c>
      <c r="AV129" s="453">
        <f ca="1">IF(AND($D129="Serviço",AV$12&lt;&gt;0,$H129&gt;0,OR(AUTOEVENTO&lt;&gt;"manual",$M129&lt;&gt;$A$15)),
        IF(Import.TipoArredondamento&lt;&gt;"TransfereGOV",
              ROUND(OFFSET($P129,0,AV$13),15-13*ORÇAMENTO!$AF$7)/$H129*OFFSET(ORÇAMENTO!$X$15,ROW(AV129)-ROW(AV$15),0),
              ROUND(ROUND(OFFSET($P129,0,AV$13),15-13*ORÇAMENTO!$AF$7)*OFFSET(ORÇAMENTO!$W$15,ROW(AV129)-ROW(AV$15),0),15-13*ORÇAMENTO!$AF$11)),
         0)</f>
        <v>0</v>
      </c>
      <c r="AW129" s="453">
        <f ca="1">IF(AND($D129="Serviço",AW$12&lt;&gt;0,$H129&gt;0,OR(AUTOEVENTO&lt;&gt;"manual",$M129&lt;&gt;$A$15)),
        IF(Import.TipoArredondamento&lt;&gt;"TransfereGOV",
              ROUND(OFFSET($P129,0,AW$13),15-13*ORÇAMENTO!$AF$7)/$H129*OFFSET(ORÇAMENTO!$X$15,ROW(AW129)-ROW(AW$15),0),
              ROUND(ROUND(OFFSET($P129,0,AW$13),15-13*ORÇAMENTO!$AF$7)*OFFSET(ORÇAMENTO!$W$15,ROW(AW129)-ROW(AW$15),0),15-13*ORÇAMENTO!$AF$11)),
         0)</f>
        <v>0</v>
      </c>
      <c r="AX129" s="453">
        <f ca="1">IF(AND($D129="Serviço",AX$12&lt;&gt;0,$H129&gt;0,OR(AUTOEVENTO&lt;&gt;"manual",$M129&lt;&gt;$A$15)),
        IF(Import.TipoArredondamento&lt;&gt;"TransfereGOV",
              ROUND(OFFSET($P129,0,AX$13),15-13*ORÇAMENTO!$AF$7)/$H129*OFFSET(ORÇAMENTO!$X$15,ROW(AX129)-ROW(AX$15),0),
              ROUND(ROUND(OFFSET($P129,0,AX$13),15-13*ORÇAMENTO!$AF$7)*OFFSET(ORÇAMENTO!$W$15,ROW(AX129)-ROW(AX$15),0),15-13*ORÇAMENTO!$AF$11)),
         0)</f>
        <v>0</v>
      </c>
      <c r="AY129" s="453">
        <f ca="1">IF(AND($D129="Serviço",AY$12&lt;&gt;0,$H129&gt;0,OR(AUTOEVENTO&lt;&gt;"manual",$M129&lt;&gt;$A$15)),
        IF(Import.TipoArredondamento&lt;&gt;"TransfereGOV",
              ROUND(OFFSET($P129,0,AY$13),15-13*ORÇAMENTO!$AF$7)/$H129*OFFSET(ORÇAMENTO!$X$15,ROW(AY129)-ROW(AY$15),0),
              ROUND(ROUND(OFFSET($P129,0,AY$13),15-13*ORÇAMENTO!$AF$7)*OFFSET(ORÇAMENTO!$W$15,ROW(AY129)-ROW(AY$15),0),15-13*ORÇAMENTO!$AF$11)),
         0)</f>
        <v>0</v>
      </c>
      <c r="AZ129" s="453">
        <f ca="1">IF(AND($D129="Serviço",AZ$12&lt;&gt;0,$H129&gt;0,OR(AUTOEVENTO&lt;&gt;"manual",$M129&lt;&gt;$A$15)),
        IF(Import.TipoArredondamento&lt;&gt;"TransfereGOV",
              ROUND(OFFSET($P129,0,AZ$13),15-13*ORÇAMENTO!$AF$7)/$H129*OFFSET(ORÇAMENTO!$X$15,ROW(AZ129)-ROW(AZ$15),0),
              ROUND(ROUND(OFFSET($P129,0,AZ$13),15-13*ORÇAMENTO!$AF$7)*OFFSET(ORÇAMENTO!$W$15,ROW(AZ129)-ROW(AZ$15),0),15-13*ORÇAMENTO!$AF$11)),
         0)</f>
        <v>0</v>
      </c>
      <c r="BA129" s="453">
        <f ca="1">IF(AND($D129="Serviço",BA$12&lt;&gt;0,$H129&gt;0,OR(AUTOEVENTO&lt;&gt;"manual",$M129&lt;&gt;$A$15)),
        IF(Import.TipoArredondamento&lt;&gt;"TransfereGOV",
              ROUND(OFFSET($P129,0,BA$13),15-13*ORÇAMENTO!$AF$7)/$H129*OFFSET(ORÇAMENTO!$X$15,ROW(BA129)-ROW(BA$15),0),
              ROUND(ROUND(OFFSET($P129,0,BA$13),15-13*ORÇAMENTO!$AF$7)*OFFSET(ORÇAMENTO!$W$15,ROW(BA129)-ROW(BA$15),0),15-13*ORÇAMENTO!$AF$11)),
         0)</f>
        <v>0</v>
      </c>
      <c r="BB129" s="453">
        <f ca="1">IF(AND($D129="Serviço",BB$12&lt;&gt;0,$H129&gt;0,OR(AUTOEVENTO&lt;&gt;"manual",$M129&lt;&gt;$A$15)),
        IF(Import.TipoArredondamento&lt;&gt;"TransfereGOV",
              ROUND(OFFSET($P129,0,BB$13),15-13*ORÇAMENTO!$AF$7)/$H129*OFFSET(ORÇAMENTO!$X$15,ROW(BB129)-ROW(BB$15),0),
              ROUND(ROUND(OFFSET($P129,0,BB$13),15-13*ORÇAMENTO!$AF$7)*OFFSET(ORÇAMENTO!$W$15,ROW(BB129)-ROW(BB$15),0),15-13*ORÇAMENTO!$AF$11)),
         0)</f>
        <v>0</v>
      </c>
      <c r="BC129" s="453">
        <f ca="1">IF(AND($D129="Serviço",BC$12&lt;&gt;0,$H129&gt;0,OR(AUTOEVENTO&lt;&gt;"manual",$M129&lt;&gt;$A$15)),
        IF(Import.TipoArredondamento&lt;&gt;"TransfereGOV",
              ROUND(OFFSET($P129,0,BC$13),15-13*ORÇAMENTO!$AF$7)/$H129*OFFSET(ORÇAMENTO!$X$15,ROW(BC129)-ROW(BC$15),0),
              ROUND(ROUND(OFFSET($P129,0,BC$13),15-13*ORÇAMENTO!$AF$7)*OFFSET(ORÇAMENTO!$W$15,ROW(BC129)-ROW(BC$15),0),15-13*ORÇAMENTO!$AF$11)),
         0)</f>
        <v>0</v>
      </c>
      <c r="BD129" s="453">
        <f ca="1">IF(AND($D129="Serviço",BD$12&lt;&gt;0,$H129&gt;0,OR(AUTOEVENTO&lt;&gt;"manual",$M129&lt;&gt;$A$15)),
        IF(Import.TipoArredondamento&lt;&gt;"TransfereGOV",
              ROUND(OFFSET($P129,0,BD$13),15-13*ORÇAMENTO!$AF$7)/$H129*OFFSET(ORÇAMENTO!$X$15,ROW(BD129)-ROW(BD$15),0),
              ROUND(ROUND(OFFSET($P129,0,BD$13),15-13*ORÇAMENTO!$AF$7)*OFFSET(ORÇAMENTO!$W$15,ROW(BD129)-ROW(BD$15),0),15-13*ORÇAMENTO!$AF$11)),
         0)</f>
        <v>0</v>
      </c>
      <c r="BE129" s="453">
        <f ca="1">IF(AND($D129="Serviço",BE$12&lt;&gt;0,$H129&gt;0,OR(AUTOEVENTO&lt;&gt;"manual",$M129&lt;&gt;$A$15)),
        IF(Import.TipoArredondamento&lt;&gt;"TransfereGOV",
              ROUND(OFFSET($P129,0,BE$13),15-13*ORÇAMENTO!$AF$7)/$H129*OFFSET(ORÇAMENTO!$X$15,ROW(BE129)-ROW(BE$15),0),
              ROUND(ROUND(OFFSET($P129,0,BE$13),15-13*ORÇAMENTO!$AF$7)*OFFSET(ORÇAMENTO!$W$15,ROW(BE129)-ROW(BE$15),0),15-13*ORÇAMENTO!$AF$11)),
         0)</f>
        <v>0</v>
      </c>
      <c r="BF129" s="453">
        <f ca="1">IF(AND($D129="Serviço",BF$12&lt;&gt;0,$H129&gt;0,OR(AUTOEVENTO&lt;&gt;"manual",$M129&lt;&gt;$A$15)),
        IF(Import.TipoArredondamento&lt;&gt;"TransfereGOV",
              ROUND(OFFSET($P129,0,BF$13),15-13*ORÇAMENTO!$AF$7)/$H129*OFFSET(ORÇAMENTO!$X$15,ROW(BF129)-ROW(BF$15),0),
              ROUND(ROUND(OFFSET($P129,0,BF$13),15-13*ORÇAMENTO!$AF$7)*OFFSET(ORÇAMENTO!$W$15,ROW(BF129)-ROW(BF$15),0),15-13*ORÇAMENTO!$AF$11)),
         0)</f>
        <v>0</v>
      </c>
      <c r="BG129" s="453">
        <f ca="1">IF(AND($D129="Serviço",BG$12&lt;&gt;0,$H129&gt;0,OR(AUTOEVENTO&lt;&gt;"manual",$M129&lt;&gt;$A$15)),
        IF(Import.TipoArredondamento&lt;&gt;"TransfereGOV",
              ROUND(OFFSET($P129,0,BG$13),15-13*ORÇAMENTO!$AF$7)/$H129*OFFSET(ORÇAMENTO!$X$15,ROW(BG129)-ROW(BG$15),0),
              ROUND(ROUND(OFFSET($P129,0,BG$13),15-13*ORÇAMENTO!$AF$7)*OFFSET(ORÇAMENTO!$W$15,ROW(BG129)-ROW(BG$15),0),15-13*ORÇAMENTO!$AF$11)),
         0)</f>
        <v>0</v>
      </c>
      <c r="BH129" s="453">
        <f ca="1">IF(AND($D129="Serviço",BH$12&lt;&gt;0,$H129&gt;0,OR(AUTOEVENTO&lt;&gt;"manual",$M129&lt;&gt;$A$15)),
        IF(Import.TipoArredondamento&lt;&gt;"TransfereGOV",
              ROUND(OFFSET($P129,0,BH$13),15-13*ORÇAMENTO!$AF$7)/$H129*OFFSET(ORÇAMENTO!$X$15,ROW(BH129)-ROW(BH$15),0),
              ROUND(ROUND(OFFSET($P129,0,BH$13),15-13*ORÇAMENTO!$AF$7)*OFFSET(ORÇAMENTO!$W$15,ROW(BH129)-ROW(BH$15),0),15-13*ORÇAMENTO!$AF$11)),
         0)</f>
        <v>0</v>
      </c>
      <c r="BI129" s="453">
        <f ca="1">IF(AND($D129="Serviço",BI$12&lt;&gt;0,$H129&gt;0,OR(AUTOEVENTO&lt;&gt;"manual",$M129&lt;&gt;$A$15)),
        IF(Import.TipoArredondamento&lt;&gt;"TransfereGOV",
              ROUND(OFFSET($P129,0,BI$13),15-13*ORÇAMENTO!$AF$7)/$H129*OFFSET(ORÇAMENTO!$X$15,ROW(BI129)-ROW(BI$15),0),
              ROUND(ROUND(OFFSET($P129,0,BI$13),15-13*ORÇAMENTO!$AF$7)*OFFSET(ORÇAMENTO!$W$15,ROW(BI129)-ROW(BI$15),0),15-13*ORÇAMENTO!$AF$11)),
         0)</f>
        <v>0</v>
      </c>
      <c r="BJ129" s="453">
        <f ca="1">IF(AND($D129="Serviço",BJ$12&lt;&gt;0,$H129&gt;0,OR(AUTOEVENTO&lt;&gt;"manual",$M129&lt;&gt;$A$15)),
        IF(Import.TipoArredondamento&lt;&gt;"TransfereGOV",
              ROUND(OFFSET($P129,0,BJ$13),15-13*ORÇAMENTO!$AF$7)/$H129*OFFSET(ORÇAMENTO!$X$15,ROW(BJ129)-ROW(BJ$15),0),
              ROUND(ROUND(OFFSET($P129,0,BJ$13),15-13*ORÇAMENTO!$AF$7)*OFFSET(ORÇAMENTO!$W$15,ROW(BJ129)-ROW(BJ$15),0),15-13*ORÇAMENTO!$AF$11)),
         0)</f>
        <v>0</v>
      </c>
      <c r="BK129" s="453">
        <f ca="1">IF(AND($D129="Serviço",BK$12&lt;&gt;0,$H129&gt;0,OR(AUTOEVENTO&lt;&gt;"manual",$M129&lt;&gt;$A$15)),
        IF(Import.TipoArredondamento&lt;&gt;"TransfereGOV",
              ROUND(OFFSET($P129,0,BK$13),15-13*ORÇAMENTO!$AF$7)/$H129*OFFSET(ORÇAMENTO!$X$15,ROW(BK129)-ROW(BK$15),0),
              ROUND(ROUND(OFFSET($P129,0,BK$13),15-13*ORÇAMENTO!$AF$7)*OFFSET(ORÇAMENTO!$W$15,ROW(BK129)-ROW(BK$15),0),15-13*ORÇAMENTO!$AF$11)),
         0)</f>
        <v>0</v>
      </c>
      <c r="BL129" s="453">
        <f ca="1">IF(AND($D129="Serviço",BL$12&lt;&gt;0,$H129&gt;0,OR(AUTOEVENTO&lt;&gt;"manual",$M129&lt;&gt;$A$15)),
        IF(Import.TipoArredondamento&lt;&gt;"TransfereGOV",
              ROUND(OFFSET($P129,0,BL$13),15-13*ORÇAMENTO!$AF$7)/$H129*OFFSET(ORÇAMENTO!$X$15,ROW(BL129)-ROW(BL$15),0),
              ROUND(ROUND(OFFSET($P129,0,BL$13),15-13*ORÇAMENTO!$AF$7)*OFFSET(ORÇAMENTO!$W$15,ROW(BL129)-ROW(BL$15),0),15-13*ORÇAMENTO!$AF$11)),
         0)</f>
        <v>0</v>
      </c>
      <c r="BM129" s="453">
        <f ca="1">IF(AND($D129="Serviço",BM$12&lt;&gt;0,$H129&gt;0,OR(AUTOEVENTO&lt;&gt;"manual",$M129&lt;&gt;$A$15)),
        IF(Import.TipoArredondamento&lt;&gt;"TransfereGOV",
              ROUND(OFFSET($P129,0,BM$13),15-13*ORÇAMENTO!$AF$7)/$H129*OFFSET(ORÇAMENTO!$X$15,ROW(BM129)-ROW(BM$15),0),
              ROUND(ROUND(OFFSET($P129,0,BM$13),15-13*ORÇAMENTO!$AF$7)*OFFSET(ORÇAMENTO!$W$15,ROW(BM129)-ROW(BM$15),0),15-13*ORÇAMENTO!$AF$11)),
         0)</f>
        <v>0</v>
      </c>
      <c r="BN129" s="453">
        <f ca="1">IF(AND($D129="Serviço",BN$12&lt;&gt;0,$H129&gt;0,OR(AUTOEVENTO&lt;&gt;"manual",$M129&lt;&gt;$A$15)),
        IF(Import.TipoArredondamento&lt;&gt;"TransfereGOV",
              ROUND(OFFSET($P129,0,BN$13),15-13*ORÇAMENTO!$AF$7)/$H129*OFFSET(ORÇAMENTO!$X$15,ROW(BN129)-ROW(BN$15),0),
              ROUND(ROUND(OFFSET($P129,0,BN$13),15-13*ORÇAMENTO!$AF$7)*OFFSET(ORÇAMENTO!$W$15,ROW(BN129)-ROW(BN$15),0),15-13*ORÇAMENTO!$AF$11)),
         0)</f>
        <v>0</v>
      </c>
      <c r="BO129" s="453">
        <f ca="1">IF(AND($D129="Serviço",BO$12&lt;&gt;0,$H129&gt;0,OR(AUTOEVENTO&lt;&gt;"manual",$M129&lt;&gt;$A$15)),
        IF(Import.TipoArredondamento&lt;&gt;"TransfereGOV",
              ROUND(OFFSET($P129,0,BO$13),15-13*ORÇAMENTO!$AF$7)/$H129*OFFSET(ORÇAMENTO!$X$15,ROW(BO129)-ROW(BO$15),0),
              ROUND(ROUND(OFFSET($P129,0,BO$13),15-13*ORÇAMENTO!$AF$7)*OFFSET(ORÇAMENTO!$W$15,ROW(BO129)-ROW(BO$15),0),15-13*ORÇAMENTO!$AF$11)),
         0)</f>
        <v>0</v>
      </c>
      <c r="BP129" s="453">
        <f ca="1">IF(AND($D129="Serviço",BP$12&lt;&gt;0,$H129&gt;0,OR(AUTOEVENTO&lt;&gt;"manual",$M129&lt;&gt;$A$15)),
        IF(Import.TipoArredondamento&lt;&gt;"TransfereGOV",
              ROUND(OFFSET($P129,0,BP$13),15-13*ORÇAMENTO!$AF$7)/$H129*OFFSET(ORÇAMENTO!$X$15,ROW(BP129)-ROW(BP$15),0),
              ROUND(ROUND(OFFSET($P129,0,BP$13),15-13*ORÇAMENTO!$AF$7)*OFFSET(ORÇAMENTO!$W$15,ROW(BP129)-ROW(BP$15),0),15-13*ORÇAMENTO!$AF$11)),
         0)</f>
        <v>0</v>
      </c>
      <c r="BQ129" s="453">
        <f ca="1">IF(AND($D129="Serviço",BQ$12&lt;&gt;0,$H129&gt;0,OR(AUTOEVENTO&lt;&gt;"manual",$M129&lt;&gt;$A$15)),
        IF(Import.TipoArredondamento&lt;&gt;"TransfereGOV",
              ROUND(OFFSET($P129,0,BQ$13),15-13*ORÇAMENTO!$AF$7)/$H129*OFFSET(ORÇAMENTO!$X$15,ROW(BQ129)-ROW(BQ$15),0),
              ROUND(ROUND(OFFSET($P129,0,BQ$13),15-13*ORÇAMENTO!$AF$7)*OFFSET(ORÇAMENTO!$W$15,ROW(BQ129)-ROW(BQ$15),0),15-13*ORÇAMENTO!$AF$11)),
         0)</f>
        <v>0</v>
      </c>
      <c r="BS129" s="171">
        <f ca="1">IF(OR($D129&lt;&gt;"Serviço",AND(AUTOEVENTO="Manual",$M129=$A$15)),0,
         IF(OFFSET(CRONOPLE!$F$15,$M129-$A$15,BS$13)=0,10^12,OFFSET(CRONOPLE!$F$15,$M129-$A$15,BS$13)))</f>
        <v>1</v>
      </c>
      <c r="BT129" s="171">
        <f ca="1">IF(OR($D129&lt;&gt;"Serviço",AND(AUTOEVENTO="Manual",$M129=$A$15)),0,
         IF(OFFSET(CRONOPLE!$F$15,$M129-$A$15,BT$13)=0,10^12,OFFSET(CRONOPLE!$F$15,$M129-$A$15,BT$13)))</f>
        <v>2</v>
      </c>
      <c r="BU129" s="171">
        <f ca="1">IF(OR($D129&lt;&gt;"Serviço",AND(AUTOEVENTO="Manual",$M129=$A$15)),0,
         IF(OFFSET(CRONOPLE!$F$15,$M129-$A$15,BU$13)=0,10^12,OFFSET(CRONOPLE!$F$15,$M129-$A$15,BU$13)))</f>
        <v>3</v>
      </c>
      <c r="BV129" s="171">
        <f ca="1">IF(OR($D129&lt;&gt;"Serviço",AND(AUTOEVENTO="Manual",$M129=$A$15)),0,
         IF(OFFSET(CRONOPLE!$F$15,$M129-$A$15,BV$13)=0,10^12,OFFSET(CRONOPLE!$F$15,$M129-$A$15,BV$13)))</f>
        <v>4</v>
      </c>
      <c r="BW129" s="171">
        <f ca="1">IF(OR($D129&lt;&gt;"Serviço",AND(AUTOEVENTO="Manual",$M129=$A$15)),0,
         IF(OFFSET(CRONOPLE!$F$15,$M129-$A$15,BW$13)=0,10^12,OFFSET(CRONOPLE!$F$15,$M129-$A$15,BW$13)))</f>
        <v>5</v>
      </c>
      <c r="BX129" s="171">
        <f ca="1">IF(OR($D129&lt;&gt;"Serviço",AND(AUTOEVENTO="Manual",$M129=$A$15)),0,
         IF(OFFSET(CRONOPLE!$F$15,$M129-$A$15,BX$13)=0,10^12,OFFSET(CRONOPLE!$F$15,$M129-$A$15,BX$13)))</f>
        <v>6</v>
      </c>
      <c r="BY129" s="171">
        <f ca="1">IF(OR($D129&lt;&gt;"Serviço",AND(AUTOEVENTO="Manual",$M129=$A$15)),0,
         IF(OFFSET(CRONOPLE!$F$15,$M129-$A$15,BY$13)=0,10^12,OFFSET(CRONOPLE!$F$15,$M129-$A$15,BY$13)))</f>
        <v>7</v>
      </c>
      <c r="BZ129" s="171">
        <f ca="1">IF(OR($D129&lt;&gt;"Serviço",AND(AUTOEVENTO="Manual",$M129=$A$15)),0,
         IF(OFFSET(CRONOPLE!$F$15,$M129-$A$15,BZ$13)=0,10^12,OFFSET(CRONOPLE!$F$15,$M129-$A$15,BZ$13)))</f>
        <v>8</v>
      </c>
      <c r="CA129" s="171">
        <f ca="1">IF(OR($D129&lt;&gt;"Serviço",AND(AUTOEVENTO="Manual",$M129=$A$15)),0,
         IF(OFFSET(CRONOPLE!$F$15,$M129-$A$15,CA$13)=0,10^12,OFFSET(CRONOPLE!$F$15,$M129-$A$15,CA$13)))</f>
        <v>9</v>
      </c>
      <c r="CB129" s="171">
        <f ca="1">IF(OR($D129&lt;&gt;"Serviço",AND(AUTOEVENTO="Manual",$M129=$A$15)),0,
         IF(OFFSET(CRONOPLE!$F$15,$M129-$A$15,CB$13)=0,10^12,OFFSET(CRONOPLE!$F$15,$M129-$A$15,CB$13)))</f>
        <v>10</v>
      </c>
      <c r="CC129" s="171">
        <f ca="1">IF(OR($D129&lt;&gt;"Serviço",AND(AUTOEVENTO="Manual",$M129=$A$15)),0,
         IF(OFFSET(CRONOPLE!$F$15,$M129-$A$15,CC$13)=0,10^12,OFFSET(CRONOPLE!$F$15,$M129-$A$15,CC$13)))</f>
        <v>11</v>
      </c>
      <c r="CD129" s="171">
        <f ca="1">IF(OR($D129&lt;&gt;"Serviço",AND(AUTOEVENTO="Manual",$M129=$A$15)),0,
         IF(OFFSET(CRONOPLE!$F$15,$M129-$A$15,CD$13)=0,10^12,OFFSET(CRONOPLE!$F$15,$M129-$A$15,CD$13)))</f>
        <v>12</v>
      </c>
      <c r="CE129" s="171">
        <f ca="1">IF(OR($D129&lt;&gt;"Serviço",AND(AUTOEVENTO="Manual",$M129=$A$15)),0,
         IF(OFFSET(CRONOPLE!$F$15,$M129-$A$15,CE$13)=0,10^12,OFFSET(CRONOPLE!$F$15,$M129-$A$15,CE$13)))</f>
        <v>13</v>
      </c>
      <c r="CF129" s="171">
        <f ca="1">IF(OR($D129&lt;&gt;"Serviço",AND(AUTOEVENTO="Manual",$M129=$A$15)),0,
         IF(OFFSET(CRONOPLE!$F$15,$M129-$A$15,CF$13)=0,10^12,OFFSET(CRONOPLE!$F$15,$M129-$A$15,CF$13)))</f>
        <v>14</v>
      </c>
      <c r="CG129" s="171">
        <f ca="1">IF(OR($D129&lt;&gt;"Serviço",AND(AUTOEVENTO="Manual",$M129=$A$15)),0,
         IF(OFFSET(CRONOPLE!$F$15,$M129-$A$15,CG$13)=0,10^12,OFFSET(CRONOPLE!$F$15,$M129-$A$15,CG$13)))</f>
        <v>15</v>
      </c>
      <c r="CH129" s="171">
        <f ca="1">IF(OR($D129&lt;&gt;"Serviço",AND(AUTOEVENTO="Manual",$M129=$A$15)),0,
         IF(OFFSET(CRONOPLE!$F$15,$M129-$A$15,CH$13)=0,10^12,OFFSET(CRONOPLE!$F$15,$M129-$A$15,CH$13)))</f>
        <v>16</v>
      </c>
      <c r="CI129" s="171">
        <f ca="1">IF(OR($D129&lt;&gt;"Serviço",AND(AUTOEVENTO="Manual",$M129=$A$15)),0,
         IF(OFFSET(CRONOPLE!$F$15,$M129-$A$15,CI$13)=0,10^12,OFFSET(CRONOPLE!$F$15,$M129-$A$15,CI$13)))</f>
        <v>17</v>
      </c>
      <c r="CJ129" s="171">
        <f ca="1">IF(OR($D129&lt;&gt;"Serviço",AND(AUTOEVENTO="Manual",$M129=$A$15)),0,
         IF(OFFSET(CRONOPLE!$F$15,$M129-$A$15,CJ$13)=0,10^12,OFFSET(CRONOPLE!$F$15,$M129-$A$15,CJ$13)))</f>
        <v>18</v>
      </c>
      <c r="CK129" s="171">
        <f ca="1">IF(OR($D129&lt;&gt;"Serviço",AND(AUTOEVENTO="Manual",$M129=$A$15)),0,
         IF(OFFSET(CRONOPLE!$F$15,$M129-$A$15,CK$13)=0,10^12,OFFSET(CRONOPLE!$F$15,$M129-$A$15,CK$13)))</f>
        <v>19</v>
      </c>
      <c r="CL129" s="171">
        <f ca="1">IF(OR($D129&lt;&gt;"Serviço",AND(AUTOEVENTO="Manual",$M129=$A$15)),0,
         IF(OFFSET(CRONOPLE!$F$15,$M129-$A$15,CL$13)=0,10^12,OFFSET(CRONOPLE!$F$15,$M129-$A$15,CL$13)))</f>
        <v>20</v>
      </c>
      <c r="CM129" s="171">
        <f ca="1">IF(OR($D129&lt;&gt;"Serviço",AND(AUTOEVENTO="Manual",$M129=$A$15)),0,
         IF(OFFSET(CRONOPLE!$F$15,$M129-$A$15,CM$13)=0,10^12,OFFSET(CRONOPLE!$F$15,$M129-$A$15,CM$13)))</f>
        <v>1000000000000</v>
      </c>
      <c r="CN129" s="171">
        <f ca="1">IF(OR($D129&lt;&gt;"Serviço",AND(AUTOEVENTO="Manual",$M129=$A$15)),0,
         IF(OFFSET(CRONOPLE!$F$15,$M129-$A$15,CN$13)=0,10^12,OFFSET(CRONOPLE!$F$15,$M129-$A$15,CN$13)))</f>
        <v>1000000000000</v>
      </c>
      <c r="CO129" s="171">
        <f ca="1">IF(OR($D129&lt;&gt;"Serviço",AND(AUTOEVENTO="Manual",$M129=$A$15)),0,
         IF(OFFSET(CRONOPLE!$F$15,$M129-$A$15,CO$13)=0,10^12,OFFSET(CRONOPLE!$F$15,$M129-$A$15,CO$13)))</f>
        <v>1000000000000</v>
      </c>
      <c r="CP129" s="171">
        <f ca="1">IF(OR($D129&lt;&gt;"Serviço",AND(AUTOEVENTO="Manual",$M129=$A$15)),0,
         IF(OFFSET(CRONOPLE!$F$15,$M129-$A$15,CP$13)=0,10^12,OFFSET(CRONOPLE!$F$15,$M129-$A$15,CP$13)))</f>
        <v>1000000000000</v>
      </c>
      <c r="CQ129" s="171">
        <f ca="1">IF(OR($D129&lt;&gt;"Serviço",AND(AUTOEVENTO="Manual",$M129=$A$15)),0,
         IF(OFFSET(CRONOPLE!$F$15,$M129-$A$15,CQ$13)=0,10^12,OFFSET(CRONOPLE!$F$15,$M129-$A$15,CQ$13)))</f>
        <v>1000000000000</v>
      </c>
      <c r="CR129" s="171">
        <f ca="1">IF(OR($D129&lt;&gt;"Serviço",AND(AUTOEVENTO="Manual",$M129=$A$15)),0,
         IF(OFFSET(CRONOPLE!$F$15,$M129-$A$15,CR$13)=0,10^12,OFFSET(CRONOPLE!$F$15,$M129-$A$15,CR$13)))</f>
        <v>1000000000000</v>
      </c>
      <c r="CT129" s="172" cm="1">
        <f t="array" aca="1" ref="CT129" ca="1">IF(OR($D129&lt;&gt;"Serviço",AND(AUTOEVENTO="Manual",$M129=$A$15),$M129&gt;(ROW(PLE.lastrow)-ROW(PLE.firstrow))),0,
           IF(OFFSET(PLE!$G$15,$M129-$A$15,CT$13)="",10^12,OFFSET(PLE!$G$15,$M129-$A$15,CT$13)))</f>
        <v>1000000000000</v>
      </c>
      <c r="CU129" s="172" cm="1">
        <f t="array" aca="1" ref="CU129" ca="1">IF(OR($D129&lt;&gt;"Serviço",AND(AUTOEVENTO="Manual",$M129=$A$15),$M129&gt;(ROW(PLE.lastrow)-ROW(PLE.firstrow))),0,
           IF(OFFSET(PLE!$G$15,$M129-$A$15,CU$13)="",10^12,OFFSET(PLE!$G$15,$M129-$A$15,CU$13)))</f>
        <v>1000000000000</v>
      </c>
      <c r="CV129" s="172" cm="1">
        <f t="array" aca="1" ref="CV129" ca="1">IF(OR($D129&lt;&gt;"Serviço",AND(AUTOEVENTO="Manual",$M129=$A$15),$M129&gt;(ROW(PLE.lastrow)-ROW(PLE.firstrow))),0,
           IF(OFFSET(PLE!$G$15,$M129-$A$15,CV$13)="",10^12,OFFSET(PLE!$G$15,$M129-$A$15,CV$13)))</f>
        <v>1000000000000</v>
      </c>
      <c r="CW129" s="172" cm="1">
        <f t="array" aca="1" ref="CW129" ca="1">IF(OR($D129&lt;&gt;"Serviço",AND(AUTOEVENTO="Manual",$M129=$A$15),$M129&gt;(ROW(PLE.lastrow)-ROW(PLE.firstrow))),0,
           IF(OFFSET(PLE!$G$15,$M129-$A$15,CW$13)="",10^12,OFFSET(PLE!$G$15,$M129-$A$15,CW$13)))</f>
        <v>1000000000000</v>
      </c>
      <c r="CX129" s="172" cm="1">
        <f t="array" aca="1" ref="CX129" ca="1">IF(OR($D129&lt;&gt;"Serviço",AND(AUTOEVENTO="Manual",$M129=$A$15),$M129&gt;(ROW(PLE.lastrow)-ROW(PLE.firstrow))),0,
           IF(OFFSET(PLE!$G$15,$M129-$A$15,CX$13)="",10^12,OFFSET(PLE!$G$15,$M129-$A$15,CX$13)))</f>
        <v>1000000000000</v>
      </c>
      <c r="CY129" s="172" cm="1">
        <f t="array" aca="1" ref="CY129" ca="1">IF(OR($D129&lt;&gt;"Serviço",AND(AUTOEVENTO="Manual",$M129=$A$15),$M129&gt;(ROW(PLE.lastrow)-ROW(PLE.firstrow))),0,
           IF(OFFSET(PLE!$G$15,$M129-$A$15,CY$13)="",10^12,OFFSET(PLE!$G$15,$M129-$A$15,CY$13)))</f>
        <v>1000000000000</v>
      </c>
      <c r="CZ129" s="172" cm="1">
        <f t="array" aca="1" ref="CZ129" ca="1">IF(OR($D129&lt;&gt;"Serviço",AND(AUTOEVENTO="Manual",$M129=$A$15),$M129&gt;(ROW(PLE.lastrow)-ROW(PLE.firstrow))),0,
           IF(OFFSET(PLE!$G$15,$M129-$A$15,CZ$13)="",10^12,OFFSET(PLE!$G$15,$M129-$A$15,CZ$13)))</f>
        <v>1000000000000</v>
      </c>
      <c r="DA129" s="172" cm="1">
        <f t="array" aca="1" ref="DA129" ca="1">IF(OR($D129&lt;&gt;"Serviço",AND(AUTOEVENTO="Manual",$M129=$A$15),$M129&gt;(ROW(PLE.lastrow)-ROW(PLE.firstrow))),0,
           IF(OFFSET(PLE!$G$15,$M129-$A$15,DA$13)="",10^12,OFFSET(PLE!$G$15,$M129-$A$15,DA$13)))</f>
        <v>1000000000000</v>
      </c>
      <c r="DB129" s="172" cm="1">
        <f t="array" aca="1" ref="DB129" ca="1">IF(OR($D129&lt;&gt;"Serviço",AND(AUTOEVENTO="Manual",$M129=$A$15),$M129&gt;(ROW(PLE.lastrow)-ROW(PLE.firstrow))),0,
           IF(OFFSET(PLE!$G$15,$M129-$A$15,DB$13)="",10^12,OFFSET(PLE!$G$15,$M129-$A$15,DB$13)))</f>
        <v>1000000000000</v>
      </c>
      <c r="DC129" s="172" cm="1">
        <f t="array" aca="1" ref="DC129" ca="1">IF(OR($D129&lt;&gt;"Serviço",AND(AUTOEVENTO="Manual",$M129=$A$15),$M129&gt;(ROW(PLE.lastrow)-ROW(PLE.firstrow))),0,
           IF(OFFSET(PLE!$G$15,$M129-$A$15,DC$13)="",10^12,OFFSET(PLE!$G$15,$M129-$A$15,DC$13)))</f>
        <v>1000000000000</v>
      </c>
      <c r="DD129" s="172" cm="1">
        <f t="array" aca="1" ref="DD129" ca="1">IF(OR($D129&lt;&gt;"Serviço",AND(AUTOEVENTO="Manual",$M129=$A$15),$M129&gt;(ROW(PLE.lastrow)-ROW(PLE.firstrow))),0,
           IF(OFFSET(PLE!$G$15,$M129-$A$15,DD$13)="",10^12,OFFSET(PLE!$G$15,$M129-$A$15,DD$13)))</f>
        <v>1000000000000</v>
      </c>
      <c r="DE129" s="172" cm="1">
        <f t="array" aca="1" ref="DE129" ca="1">IF(OR($D129&lt;&gt;"Serviço",AND(AUTOEVENTO="Manual",$M129=$A$15),$M129&gt;(ROW(PLE.lastrow)-ROW(PLE.firstrow))),0,
           IF(OFFSET(PLE!$G$15,$M129-$A$15,DE$13)="",10^12,OFFSET(PLE!$G$15,$M129-$A$15,DE$13)))</f>
        <v>1000000000000</v>
      </c>
      <c r="DF129" s="172" cm="1">
        <f t="array" aca="1" ref="DF129" ca="1">IF(OR($D129&lt;&gt;"Serviço",AND(AUTOEVENTO="Manual",$M129=$A$15),$M129&gt;(ROW(PLE.lastrow)-ROW(PLE.firstrow))),0,
           IF(OFFSET(PLE!$G$15,$M129-$A$15,DF$13)="",10^12,OFFSET(PLE!$G$15,$M129-$A$15,DF$13)))</f>
        <v>1000000000000</v>
      </c>
      <c r="DG129" s="172" cm="1">
        <f t="array" aca="1" ref="DG129" ca="1">IF(OR($D129&lt;&gt;"Serviço",AND(AUTOEVENTO="Manual",$M129=$A$15),$M129&gt;(ROW(PLE.lastrow)-ROW(PLE.firstrow))),0,
           IF(OFFSET(PLE!$G$15,$M129-$A$15,DG$13)="",10^12,OFFSET(PLE!$G$15,$M129-$A$15,DG$13)))</f>
        <v>1000000000000</v>
      </c>
      <c r="DH129" s="172" cm="1">
        <f t="array" aca="1" ref="DH129" ca="1">IF(OR($D129&lt;&gt;"Serviço",AND(AUTOEVENTO="Manual",$M129=$A$15),$M129&gt;(ROW(PLE.lastrow)-ROW(PLE.firstrow))),0,
           IF(OFFSET(PLE!$G$15,$M129-$A$15,DH$13)="",10^12,OFFSET(PLE!$G$15,$M129-$A$15,DH$13)))</f>
        <v>1000000000000</v>
      </c>
      <c r="DI129" s="172" cm="1">
        <f t="array" aca="1" ref="DI129" ca="1">IF(OR($D129&lt;&gt;"Serviço",AND(AUTOEVENTO="Manual",$M129=$A$15),$M129&gt;(ROW(PLE.lastrow)-ROW(PLE.firstrow))),0,
           IF(OFFSET(PLE!$G$15,$M129-$A$15,DI$13)="",10^12,OFFSET(PLE!$G$15,$M129-$A$15,DI$13)))</f>
        <v>1000000000000</v>
      </c>
      <c r="DJ129" s="172" cm="1">
        <f t="array" aca="1" ref="DJ129" ca="1">IF(OR($D129&lt;&gt;"Serviço",AND(AUTOEVENTO="Manual",$M129=$A$15),$M129&gt;(ROW(PLE.lastrow)-ROW(PLE.firstrow))),0,
           IF(OFFSET(PLE!$G$15,$M129-$A$15,DJ$13)="",10^12,OFFSET(PLE!$G$15,$M129-$A$15,DJ$13)))</f>
        <v>1000000000000</v>
      </c>
      <c r="DK129" s="172" cm="1">
        <f t="array" aca="1" ref="DK129" ca="1">IF(OR($D129&lt;&gt;"Serviço",AND(AUTOEVENTO="Manual",$M129=$A$15),$M129&gt;(ROW(PLE.lastrow)-ROW(PLE.firstrow))),0,
           IF(OFFSET(PLE!$G$15,$M129-$A$15,DK$13)="",10^12,OFFSET(PLE!$G$15,$M129-$A$15,DK$13)))</f>
        <v>1000000000000</v>
      </c>
      <c r="DL129" s="172" cm="1">
        <f t="array" aca="1" ref="DL129" ca="1">IF(OR($D129&lt;&gt;"Serviço",AND(AUTOEVENTO="Manual",$M129=$A$15),$M129&gt;(ROW(PLE.lastrow)-ROW(PLE.firstrow))),0,
           IF(OFFSET(PLE!$G$15,$M129-$A$15,DL$13)="",10^12,OFFSET(PLE!$G$15,$M129-$A$15,DL$13)))</f>
        <v>1000000000000</v>
      </c>
      <c r="DM129" s="172" cm="1">
        <f t="array" aca="1" ref="DM129" ca="1">IF(OR($D129&lt;&gt;"Serviço",AND(AUTOEVENTO="Manual",$M129=$A$15),$M129&gt;(ROW(PLE.lastrow)-ROW(PLE.firstrow))),0,
           IF(OFFSET(PLE!$G$15,$M129-$A$15,DM$13)="",10^12,OFFSET(PLE!$G$15,$M129-$A$15,DM$13)))</f>
        <v>1000000000000</v>
      </c>
      <c r="DN129" s="172" cm="1">
        <f t="array" aca="1" ref="DN129" ca="1">IF(OR($D129&lt;&gt;"Serviço",AND(AUTOEVENTO="Manual",$M129=$A$15),$M129&gt;(ROW(PLE.lastrow)-ROW(PLE.firstrow))),0,
           IF(OFFSET(PLE!$G$15,$M129-$A$15,DN$13)="",10^12,OFFSET(PLE!$G$15,$M129-$A$15,DN$13)))</f>
        <v>1000000000000</v>
      </c>
      <c r="DO129" s="172" cm="1">
        <f t="array" aca="1" ref="DO129" ca="1">IF(OR($D129&lt;&gt;"Serviço",AND(AUTOEVENTO="Manual",$M129=$A$15),$M129&gt;(ROW(PLE.lastrow)-ROW(PLE.firstrow))),0,
           IF(OFFSET(PLE!$G$15,$M129-$A$15,DO$13)="",10^12,OFFSET(PLE!$G$15,$M129-$A$15,DO$13)))</f>
        <v>1000000000000</v>
      </c>
      <c r="DP129" s="172" cm="1">
        <f t="array" aca="1" ref="DP129" ca="1">IF(OR($D129&lt;&gt;"Serviço",AND(AUTOEVENTO="Manual",$M129=$A$15),$M129&gt;(ROW(PLE.lastrow)-ROW(PLE.firstrow))),0,
           IF(OFFSET(PLE!$G$15,$M129-$A$15,DP$13)="",10^12,OFFSET(PLE!$G$15,$M129-$A$15,DP$13)))</f>
        <v>1000000000000</v>
      </c>
      <c r="DQ129" s="172" cm="1">
        <f t="array" aca="1" ref="DQ129" ca="1">IF(OR($D129&lt;&gt;"Serviço",AND(AUTOEVENTO="Manual",$M129=$A$15),$M129&gt;(ROW(PLE.lastrow)-ROW(PLE.firstrow))),0,
           IF(OFFSET(PLE!$G$15,$M129-$A$15,DQ$13)="",10^12,OFFSET(PLE!$G$15,$M129-$A$15,DQ$13)))</f>
        <v>1000000000000</v>
      </c>
      <c r="DR129" s="172" cm="1">
        <f t="array" aca="1" ref="DR129" ca="1">IF(OR($D129&lt;&gt;"Serviço",AND(AUTOEVENTO="Manual",$M129=$A$15),$M129&gt;(ROW(PLE.lastrow)-ROW(PLE.firstrow))),0,
           IF(OFFSET(PLE!$G$15,$M129-$A$15,DR$13)="",10^12,OFFSET(PLE!$G$15,$M129-$A$15,DR$13)))</f>
        <v>1000000000000</v>
      </c>
      <c r="DS129" s="172" cm="1">
        <f t="array" aca="1" ref="DS129" ca="1">IF(OR($D129&lt;&gt;"Serviço",AND(AUTOEVENTO="Manual",$M129=$A$15),$M129&gt;(ROW(PLE.lastrow)-ROW(PLE.firstrow))),0,
           IF(OFFSET(PLE!$G$15,$M129-$A$15,DS$13)="",10^12,OFFSET(PLE!$G$15,$M129-$A$15,DS$13)))</f>
        <v>1000000000000</v>
      </c>
    </row>
    <row r="130" spans="1:123" ht="25.5" x14ac:dyDescent="0.2">
      <c r="A130" s="7">
        <f t="shared" ca="1" si="15"/>
        <v>8</v>
      </c>
      <c r="B130" s="7" t="str">
        <f ca="1">OFFSET(ORÇAMENTO!C$15,$L130,0)</f>
        <v>S</v>
      </c>
      <c r="C130" s="7" t="str">
        <f ca="1">OFFSET(ORÇAMENTO!L$15,$L130,0)</f>
        <v/>
      </c>
      <c r="D130" s="116" t="str">
        <f ca="1">OFFSET(ORÇAMENTO!N$15,$L130,0)</f>
        <v>Serviço</v>
      </c>
      <c r="E130" s="117" t="str">
        <f ca="1">OFFSET(ORÇAMENTO!O$15,$L130,0)</f>
        <v>-</v>
      </c>
      <c r="F130" s="163" t="str">
        <f ca="1">OFFSET(ORÇAMENTO!R$15,$L130,0)</f>
        <v>(Código não identificado nas referências)</v>
      </c>
      <c r="G130" s="164" t="str">
        <f ca="1">IF($D130&lt;&gt;"Serviço","",OFFSET(ORÇAMENTO!S$15,$L130,0))</f>
        <v>-</v>
      </c>
      <c r="H130" s="122" cm="1">
        <f t="array" aca="1" ref="H130" ca="1">IF($D130&lt;&gt;"Serviço",0,IF(ACOMPANHAMENTO="BM",ROUND(OFFSET(ORÇAMENTO!AJ$15,$L130,0),15-13*ORÇAMENTO!$AF$7),IF(IFERROR(CÁLCULO.FrentesPreenchidas,0)=0,0,SUM(ROUND(OFFSET($P130,0,1,1,CÁLCULO.FrentesPreenchidas),15-13*ORÇAMENTO!$AF$7)))))</f>
        <v>774.00000000000023</v>
      </c>
      <c r="I130" s="468" t="s">
        <v>1235</v>
      </c>
      <c r="J130" s="651" t="str" cm="1">
        <f t="array" aca="1" ref="J130" ca="1">IF(OR(B130&lt;&gt;"S",CÁLCULO.FrentesPreenchidas=0),"",IF(AND(ACOMPANHAMENTO="PLE",AUTOEVENTO="Manual",OR(H130&gt;0,ORÇAMENTO!AC130="QUANT."),OR(K130="",M130=0,N130="")),"►E",IF(AND(ACOMPANHAMENTO="PLE",ORÇAMENTO!AC130="QUANT."),"►Q",IF(AND(ACOMPANHAMENTO="PLE",H130&lt;&gt;SUMPRODUCT(($Q$1:$AQ$1=1)*ROUND(Q130:AQ130,15))),"►S",IF(AND(COUNTIF($P$11:$AQ$11,"▼")=0,H130&gt;0,I130=""),"◄M","")))))</f>
        <v/>
      </c>
      <c r="K130" s="652" t="s">
        <v>1256</v>
      </c>
      <c r="L130" s="165">
        <f t="shared" ca="1" si="14"/>
        <v>115</v>
      </c>
      <c r="M130" s="166">
        <f ca="1">IF($D130&lt;&gt;"Serviço","",
          IF(AUTOEVENTO="manual",$A130,
                IF(ISERROR(MATCH($A130,$A$15:OFFSET($A130,-1,0),0)),MAX($M$15:OFFSET(M130,-1,0))+1,
                      INDEX($M$15:OFFSET(M130,-1,0),MATCH($A130,$A$15:OFFSET($A130,-1,0),0)))))</f>
        <v>8</v>
      </c>
      <c r="N130" s="167" t="str">
        <f ca="1">IF($D130&lt;&gt;"Serviço","",
         IF(AUTOEVENTO="Manual",
                IF($A130=0,"&lt;-- defina o número do agrupador",
                       OFFSET(EVENTOS!$D$15,$A130-$A$15,0)),
                OFFSET($F$15,$A130,0)))</f>
        <v>PAVIMENTAÇÕES</v>
      </c>
      <c r="O130" s="168"/>
      <c r="Q130" s="168">
        <v>38.700000000000003</v>
      </c>
      <c r="R130" s="169">
        <v>38.700000000000003</v>
      </c>
      <c r="S130" s="169">
        <v>38.700000000000003</v>
      </c>
      <c r="T130" s="169">
        <v>38.700000000000003</v>
      </c>
      <c r="U130" s="169">
        <v>38.700000000000003</v>
      </c>
      <c r="V130" s="169">
        <v>38.700000000000003</v>
      </c>
      <c r="W130" s="169">
        <v>38.700000000000003</v>
      </c>
      <c r="X130" s="169">
        <v>38.700000000000003</v>
      </c>
      <c r="Y130" s="169">
        <v>38.700000000000003</v>
      </c>
      <c r="Z130" s="170">
        <v>38.700000000000003</v>
      </c>
      <c r="AA130" s="169">
        <v>38.700000000000003</v>
      </c>
      <c r="AB130" s="169">
        <v>38.700000000000003</v>
      </c>
      <c r="AC130" s="169">
        <v>38.700000000000003</v>
      </c>
      <c r="AD130" s="169">
        <v>38.700000000000003</v>
      </c>
      <c r="AE130" s="169">
        <v>38.700000000000003</v>
      </c>
      <c r="AF130" s="169">
        <v>38.700000000000003</v>
      </c>
      <c r="AG130" s="169">
        <v>38.700000000000003</v>
      </c>
      <c r="AH130" s="170">
        <v>38.700000000000003</v>
      </c>
      <c r="AI130" s="169">
        <v>38.700000000000003</v>
      </c>
      <c r="AJ130" s="169">
        <v>38.700000000000003</v>
      </c>
      <c r="AK130" s="169"/>
      <c r="AL130" s="169"/>
      <c r="AM130" s="169"/>
      <c r="AN130" s="169"/>
      <c r="AO130" s="169"/>
      <c r="AP130" s="170"/>
      <c r="AR130" s="453">
        <f ca="1">IF(AND($D130="Serviço",AR$12&lt;&gt;0,$H130&gt;0,OR(AUTOEVENTO&lt;&gt;"manual",$M130&lt;&gt;$A$15)),
        IF(Import.TipoArredondamento&lt;&gt;"TransfereGOV",
              ROUND(OFFSET($P130,0,AR$13),15-13*ORÇAMENTO!$AF$7)/$H130*OFFSET(ORÇAMENTO!$X$15,ROW(AR130)-ROW(AR$15),0),
              ROUND(ROUND(OFFSET($P130,0,AR$13),15-13*ORÇAMENTO!$AF$7)*OFFSET(ORÇAMENTO!$W$15,ROW(AR130)-ROW(AR$15),0),15-13*ORÇAMENTO!$AF$11)),
         0)</f>
        <v>0</v>
      </c>
      <c r="AS130" s="453">
        <f ca="1">IF(AND($D130="Serviço",AS$12&lt;&gt;0,$H130&gt;0,OR(AUTOEVENTO&lt;&gt;"manual",$M130&lt;&gt;$A$15)),
        IF(Import.TipoArredondamento&lt;&gt;"TransfereGOV",
              ROUND(OFFSET($P130,0,AS$13),15-13*ORÇAMENTO!$AF$7)/$H130*OFFSET(ORÇAMENTO!$X$15,ROW(AS130)-ROW(AS$15),0),
              ROUND(ROUND(OFFSET($P130,0,AS$13),15-13*ORÇAMENTO!$AF$7)*OFFSET(ORÇAMENTO!$W$15,ROW(AS130)-ROW(AS$15),0),15-13*ORÇAMENTO!$AF$11)),
         0)</f>
        <v>0</v>
      </c>
      <c r="AT130" s="453">
        <f ca="1">IF(AND($D130="Serviço",AT$12&lt;&gt;0,$H130&gt;0,OR(AUTOEVENTO&lt;&gt;"manual",$M130&lt;&gt;$A$15)),
        IF(Import.TipoArredondamento&lt;&gt;"TransfereGOV",
              ROUND(OFFSET($P130,0,AT$13),15-13*ORÇAMENTO!$AF$7)/$H130*OFFSET(ORÇAMENTO!$X$15,ROW(AT130)-ROW(AT$15),0),
              ROUND(ROUND(OFFSET($P130,0,AT$13),15-13*ORÇAMENTO!$AF$7)*OFFSET(ORÇAMENTO!$W$15,ROW(AT130)-ROW(AT$15),0),15-13*ORÇAMENTO!$AF$11)),
         0)</f>
        <v>0</v>
      </c>
      <c r="AU130" s="453">
        <f ca="1">IF(AND($D130="Serviço",AU$12&lt;&gt;0,$H130&gt;0,OR(AUTOEVENTO&lt;&gt;"manual",$M130&lt;&gt;$A$15)),
        IF(Import.TipoArredondamento&lt;&gt;"TransfereGOV",
              ROUND(OFFSET($P130,0,AU$13),15-13*ORÇAMENTO!$AF$7)/$H130*OFFSET(ORÇAMENTO!$X$15,ROW(AU130)-ROW(AU$15),0),
              ROUND(ROUND(OFFSET($P130,0,AU$13),15-13*ORÇAMENTO!$AF$7)*OFFSET(ORÇAMENTO!$W$15,ROW(AU130)-ROW(AU$15),0),15-13*ORÇAMENTO!$AF$11)),
         0)</f>
        <v>0</v>
      </c>
      <c r="AV130" s="453">
        <f ca="1">IF(AND($D130="Serviço",AV$12&lt;&gt;0,$H130&gt;0,OR(AUTOEVENTO&lt;&gt;"manual",$M130&lt;&gt;$A$15)),
        IF(Import.TipoArredondamento&lt;&gt;"TransfereGOV",
              ROUND(OFFSET($P130,0,AV$13),15-13*ORÇAMENTO!$AF$7)/$H130*OFFSET(ORÇAMENTO!$X$15,ROW(AV130)-ROW(AV$15),0),
              ROUND(ROUND(OFFSET($P130,0,AV$13),15-13*ORÇAMENTO!$AF$7)*OFFSET(ORÇAMENTO!$W$15,ROW(AV130)-ROW(AV$15),0),15-13*ORÇAMENTO!$AF$11)),
         0)</f>
        <v>0</v>
      </c>
      <c r="AW130" s="453">
        <f ca="1">IF(AND($D130="Serviço",AW$12&lt;&gt;0,$H130&gt;0,OR(AUTOEVENTO&lt;&gt;"manual",$M130&lt;&gt;$A$15)),
        IF(Import.TipoArredondamento&lt;&gt;"TransfereGOV",
              ROUND(OFFSET($P130,0,AW$13),15-13*ORÇAMENTO!$AF$7)/$H130*OFFSET(ORÇAMENTO!$X$15,ROW(AW130)-ROW(AW$15),0),
              ROUND(ROUND(OFFSET($P130,0,AW$13),15-13*ORÇAMENTO!$AF$7)*OFFSET(ORÇAMENTO!$W$15,ROW(AW130)-ROW(AW$15),0),15-13*ORÇAMENTO!$AF$11)),
         0)</f>
        <v>0</v>
      </c>
      <c r="AX130" s="453">
        <f ca="1">IF(AND($D130="Serviço",AX$12&lt;&gt;0,$H130&gt;0,OR(AUTOEVENTO&lt;&gt;"manual",$M130&lt;&gt;$A$15)),
        IF(Import.TipoArredondamento&lt;&gt;"TransfereGOV",
              ROUND(OFFSET($P130,0,AX$13),15-13*ORÇAMENTO!$AF$7)/$H130*OFFSET(ORÇAMENTO!$X$15,ROW(AX130)-ROW(AX$15),0),
              ROUND(ROUND(OFFSET($P130,0,AX$13),15-13*ORÇAMENTO!$AF$7)*OFFSET(ORÇAMENTO!$W$15,ROW(AX130)-ROW(AX$15),0),15-13*ORÇAMENTO!$AF$11)),
         0)</f>
        <v>0</v>
      </c>
      <c r="AY130" s="453">
        <f ca="1">IF(AND($D130="Serviço",AY$12&lt;&gt;0,$H130&gt;0,OR(AUTOEVENTO&lt;&gt;"manual",$M130&lt;&gt;$A$15)),
        IF(Import.TipoArredondamento&lt;&gt;"TransfereGOV",
              ROUND(OFFSET($P130,0,AY$13),15-13*ORÇAMENTO!$AF$7)/$H130*OFFSET(ORÇAMENTO!$X$15,ROW(AY130)-ROW(AY$15),0),
              ROUND(ROUND(OFFSET($P130,0,AY$13),15-13*ORÇAMENTO!$AF$7)*OFFSET(ORÇAMENTO!$W$15,ROW(AY130)-ROW(AY$15),0),15-13*ORÇAMENTO!$AF$11)),
         0)</f>
        <v>0</v>
      </c>
      <c r="AZ130" s="453">
        <f ca="1">IF(AND($D130="Serviço",AZ$12&lt;&gt;0,$H130&gt;0,OR(AUTOEVENTO&lt;&gt;"manual",$M130&lt;&gt;$A$15)),
        IF(Import.TipoArredondamento&lt;&gt;"TransfereGOV",
              ROUND(OFFSET($P130,0,AZ$13),15-13*ORÇAMENTO!$AF$7)/$H130*OFFSET(ORÇAMENTO!$X$15,ROW(AZ130)-ROW(AZ$15),0),
              ROUND(ROUND(OFFSET($P130,0,AZ$13),15-13*ORÇAMENTO!$AF$7)*OFFSET(ORÇAMENTO!$W$15,ROW(AZ130)-ROW(AZ$15),0),15-13*ORÇAMENTO!$AF$11)),
         0)</f>
        <v>0</v>
      </c>
      <c r="BA130" s="453">
        <f ca="1">IF(AND($D130="Serviço",BA$12&lt;&gt;0,$H130&gt;0,OR(AUTOEVENTO&lt;&gt;"manual",$M130&lt;&gt;$A$15)),
        IF(Import.TipoArredondamento&lt;&gt;"TransfereGOV",
              ROUND(OFFSET($P130,0,BA$13),15-13*ORÇAMENTO!$AF$7)/$H130*OFFSET(ORÇAMENTO!$X$15,ROW(BA130)-ROW(BA$15),0),
              ROUND(ROUND(OFFSET($P130,0,BA$13),15-13*ORÇAMENTO!$AF$7)*OFFSET(ORÇAMENTO!$W$15,ROW(BA130)-ROW(BA$15),0),15-13*ORÇAMENTO!$AF$11)),
         0)</f>
        <v>0</v>
      </c>
      <c r="BB130" s="453">
        <f ca="1">IF(AND($D130="Serviço",BB$12&lt;&gt;0,$H130&gt;0,OR(AUTOEVENTO&lt;&gt;"manual",$M130&lt;&gt;$A$15)),
        IF(Import.TipoArredondamento&lt;&gt;"TransfereGOV",
              ROUND(OFFSET($P130,0,BB$13),15-13*ORÇAMENTO!$AF$7)/$H130*OFFSET(ORÇAMENTO!$X$15,ROW(BB130)-ROW(BB$15),0),
              ROUND(ROUND(OFFSET($P130,0,BB$13),15-13*ORÇAMENTO!$AF$7)*OFFSET(ORÇAMENTO!$W$15,ROW(BB130)-ROW(BB$15),0),15-13*ORÇAMENTO!$AF$11)),
         0)</f>
        <v>0</v>
      </c>
      <c r="BC130" s="453">
        <f ca="1">IF(AND($D130="Serviço",BC$12&lt;&gt;0,$H130&gt;0,OR(AUTOEVENTO&lt;&gt;"manual",$M130&lt;&gt;$A$15)),
        IF(Import.TipoArredondamento&lt;&gt;"TransfereGOV",
              ROUND(OFFSET($P130,0,BC$13),15-13*ORÇAMENTO!$AF$7)/$H130*OFFSET(ORÇAMENTO!$X$15,ROW(BC130)-ROW(BC$15),0),
              ROUND(ROUND(OFFSET($P130,0,BC$13),15-13*ORÇAMENTO!$AF$7)*OFFSET(ORÇAMENTO!$W$15,ROW(BC130)-ROW(BC$15),0),15-13*ORÇAMENTO!$AF$11)),
         0)</f>
        <v>0</v>
      </c>
      <c r="BD130" s="453">
        <f ca="1">IF(AND($D130="Serviço",BD$12&lt;&gt;0,$H130&gt;0,OR(AUTOEVENTO&lt;&gt;"manual",$M130&lt;&gt;$A$15)),
        IF(Import.TipoArredondamento&lt;&gt;"TransfereGOV",
              ROUND(OFFSET($P130,0,BD$13),15-13*ORÇAMENTO!$AF$7)/$H130*OFFSET(ORÇAMENTO!$X$15,ROW(BD130)-ROW(BD$15),0),
              ROUND(ROUND(OFFSET($P130,0,BD$13),15-13*ORÇAMENTO!$AF$7)*OFFSET(ORÇAMENTO!$W$15,ROW(BD130)-ROW(BD$15),0),15-13*ORÇAMENTO!$AF$11)),
         0)</f>
        <v>0</v>
      </c>
      <c r="BE130" s="453">
        <f ca="1">IF(AND($D130="Serviço",BE$12&lt;&gt;0,$H130&gt;0,OR(AUTOEVENTO&lt;&gt;"manual",$M130&lt;&gt;$A$15)),
        IF(Import.TipoArredondamento&lt;&gt;"TransfereGOV",
              ROUND(OFFSET($P130,0,BE$13),15-13*ORÇAMENTO!$AF$7)/$H130*OFFSET(ORÇAMENTO!$X$15,ROW(BE130)-ROW(BE$15),0),
              ROUND(ROUND(OFFSET($P130,0,BE$13),15-13*ORÇAMENTO!$AF$7)*OFFSET(ORÇAMENTO!$W$15,ROW(BE130)-ROW(BE$15),0),15-13*ORÇAMENTO!$AF$11)),
         0)</f>
        <v>0</v>
      </c>
      <c r="BF130" s="453">
        <f ca="1">IF(AND($D130="Serviço",BF$12&lt;&gt;0,$H130&gt;0,OR(AUTOEVENTO&lt;&gt;"manual",$M130&lt;&gt;$A$15)),
        IF(Import.TipoArredondamento&lt;&gt;"TransfereGOV",
              ROUND(OFFSET($P130,0,BF$13),15-13*ORÇAMENTO!$AF$7)/$H130*OFFSET(ORÇAMENTO!$X$15,ROW(BF130)-ROW(BF$15),0),
              ROUND(ROUND(OFFSET($P130,0,BF$13),15-13*ORÇAMENTO!$AF$7)*OFFSET(ORÇAMENTO!$W$15,ROW(BF130)-ROW(BF$15),0),15-13*ORÇAMENTO!$AF$11)),
         0)</f>
        <v>0</v>
      </c>
      <c r="BG130" s="453">
        <f ca="1">IF(AND($D130="Serviço",BG$12&lt;&gt;0,$H130&gt;0,OR(AUTOEVENTO&lt;&gt;"manual",$M130&lt;&gt;$A$15)),
        IF(Import.TipoArredondamento&lt;&gt;"TransfereGOV",
              ROUND(OFFSET($P130,0,BG$13),15-13*ORÇAMENTO!$AF$7)/$H130*OFFSET(ORÇAMENTO!$X$15,ROW(BG130)-ROW(BG$15),0),
              ROUND(ROUND(OFFSET($P130,0,BG$13),15-13*ORÇAMENTO!$AF$7)*OFFSET(ORÇAMENTO!$W$15,ROW(BG130)-ROW(BG$15),0),15-13*ORÇAMENTO!$AF$11)),
         0)</f>
        <v>0</v>
      </c>
      <c r="BH130" s="453">
        <f ca="1">IF(AND($D130="Serviço",BH$12&lt;&gt;0,$H130&gt;0,OR(AUTOEVENTO&lt;&gt;"manual",$M130&lt;&gt;$A$15)),
        IF(Import.TipoArredondamento&lt;&gt;"TransfereGOV",
              ROUND(OFFSET($P130,0,BH$13),15-13*ORÇAMENTO!$AF$7)/$H130*OFFSET(ORÇAMENTO!$X$15,ROW(BH130)-ROW(BH$15),0),
              ROUND(ROUND(OFFSET($P130,0,BH$13),15-13*ORÇAMENTO!$AF$7)*OFFSET(ORÇAMENTO!$W$15,ROW(BH130)-ROW(BH$15),0),15-13*ORÇAMENTO!$AF$11)),
         0)</f>
        <v>0</v>
      </c>
      <c r="BI130" s="453">
        <f ca="1">IF(AND($D130="Serviço",BI$12&lt;&gt;0,$H130&gt;0,OR(AUTOEVENTO&lt;&gt;"manual",$M130&lt;&gt;$A$15)),
        IF(Import.TipoArredondamento&lt;&gt;"TransfereGOV",
              ROUND(OFFSET($P130,0,BI$13),15-13*ORÇAMENTO!$AF$7)/$H130*OFFSET(ORÇAMENTO!$X$15,ROW(BI130)-ROW(BI$15),0),
              ROUND(ROUND(OFFSET($P130,0,BI$13),15-13*ORÇAMENTO!$AF$7)*OFFSET(ORÇAMENTO!$W$15,ROW(BI130)-ROW(BI$15),0),15-13*ORÇAMENTO!$AF$11)),
         0)</f>
        <v>0</v>
      </c>
      <c r="BJ130" s="453">
        <f ca="1">IF(AND($D130="Serviço",BJ$12&lt;&gt;0,$H130&gt;0,OR(AUTOEVENTO&lt;&gt;"manual",$M130&lt;&gt;$A$15)),
        IF(Import.TipoArredondamento&lt;&gt;"TransfereGOV",
              ROUND(OFFSET($P130,0,BJ$13),15-13*ORÇAMENTO!$AF$7)/$H130*OFFSET(ORÇAMENTO!$X$15,ROW(BJ130)-ROW(BJ$15),0),
              ROUND(ROUND(OFFSET($P130,0,BJ$13),15-13*ORÇAMENTO!$AF$7)*OFFSET(ORÇAMENTO!$W$15,ROW(BJ130)-ROW(BJ$15),0),15-13*ORÇAMENTO!$AF$11)),
         0)</f>
        <v>0</v>
      </c>
      <c r="BK130" s="453">
        <f ca="1">IF(AND($D130="Serviço",BK$12&lt;&gt;0,$H130&gt;0,OR(AUTOEVENTO&lt;&gt;"manual",$M130&lt;&gt;$A$15)),
        IF(Import.TipoArredondamento&lt;&gt;"TransfereGOV",
              ROUND(OFFSET($P130,0,BK$13),15-13*ORÇAMENTO!$AF$7)/$H130*OFFSET(ORÇAMENTO!$X$15,ROW(BK130)-ROW(BK$15),0),
              ROUND(ROUND(OFFSET($P130,0,BK$13),15-13*ORÇAMENTO!$AF$7)*OFFSET(ORÇAMENTO!$W$15,ROW(BK130)-ROW(BK$15),0),15-13*ORÇAMENTO!$AF$11)),
         0)</f>
        <v>0</v>
      </c>
      <c r="BL130" s="453">
        <f ca="1">IF(AND($D130="Serviço",BL$12&lt;&gt;0,$H130&gt;0,OR(AUTOEVENTO&lt;&gt;"manual",$M130&lt;&gt;$A$15)),
        IF(Import.TipoArredondamento&lt;&gt;"TransfereGOV",
              ROUND(OFFSET($P130,0,BL$13),15-13*ORÇAMENTO!$AF$7)/$H130*OFFSET(ORÇAMENTO!$X$15,ROW(BL130)-ROW(BL$15),0),
              ROUND(ROUND(OFFSET($P130,0,BL$13),15-13*ORÇAMENTO!$AF$7)*OFFSET(ORÇAMENTO!$W$15,ROW(BL130)-ROW(BL$15),0),15-13*ORÇAMENTO!$AF$11)),
         0)</f>
        <v>0</v>
      </c>
      <c r="BM130" s="453">
        <f ca="1">IF(AND($D130="Serviço",BM$12&lt;&gt;0,$H130&gt;0,OR(AUTOEVENTO&lt;&gt;"manual",$M130&lt;&gt;$A$15)),
        IF(Import.TipoArredondamento&lt;&gt;"TransfereGOV",
              ROUND(OFFSET($P130,0,BM$13),15-13*ORÇAMENTO!$AF$7)/$H130*OFFSET(ORÇAMENTO!$X$15,ROW(BM130)-ROW(BM$15),0),
              ROUND(ROUND(OFFSET($P130,0,BM$13),15-13*ORÇAMENTO!$AF$7)*OFFSET(ORÇAMENTO!$W$15,ROW(BM130)-ROW(BM$15),0),15-13*ORÇAMENTO!$AF$11)),
         0)</f>
        <v>0</v>
      </c>
      <c r="BN130" s="453">
        <f ca="1">IF(AND($D130="Serviço",BN$12&lt;&gt;0,$H130&gt;0,OR(AUTOEVENTO&lt;&gt;"manual",$M130&lt;&gt;$A$15)),
        IF(Import.TipoArredondamento&lt;&gt;"TransfereGOV",
              ROUND(OFFSET($P130,0,BN$13),15-13*ORÇAMENTO!$AF$7)/$H130*OFFSET(ORÇAMENTO!$X$15,ROW(BN130)-ROW(BN$15),0),
              ROUND(ROUND(OFFSET($P130,0,BN$13),15-13*ORÇAMENTO!$AF$7)*OFFSET(ORÇAMENTO!$W$15,ROW(BN130)-ROW(BN$15),0),15-13*ORÇAMENTO!$AF$11)),
         0)</f>
        <v>0</v>
      </c>
      <c r="BO130" s="453">
        <f ca="1">IF(AND($D130="Serviço",BO$12&lt;&gt;0,$H130&gt;0,OR(AUTOEVENTO&lt;&gt;"manual",$M130&lt;&gt;$A$15)),
        IF(Import.TipoArredondamento&lt;&gt;"TransfereGOV",
              ROUND(OFFSET($P130,0,BO$13),15-13*ORÇAMENTO!$AF$7)/$H130*OFFSET(ORÇAMENTO!$X$15,ROW(BO130)-ROW(BO$15),0),
              ROUND(ROUND(OFFSET($P130,0,BO$13),15-13*ORÇAMENTO!$AF$7)*OFFSET(ORÇAMENTO!$W$15,ROW(BO130)-ROW(BO$15),0),15-13*ORÇAMENTO!$AF$11)),
         0)</f>
        <v>0</v>
      </c>
      <c r="BP130" s="453">
        <f ca="1">IF(AND($D130="Serviço",BP$12&lt;&gt;0,$H130&gt;0,OR(AUTOEVENTO&lt;&gt;"manual",$M130&lt;&gt;$A$15)),
        IF(Import.TipoArredondamento&lt;&gt;"TransfereGOV",
              ROUND(OFFSET($P130,0,BP$13),15-13*ORÇAMENTO!$AF$7)/$H130*OFFSET(ORÇAMENTO!$X$15,ROW(BP130)-ROW(BP$15),0),
              ROUND(ROUND(OFFSET($P130,0,BP$13),15-13*ORÇAMENTO!$AF$7)*OFFSET(ORÇAMENTO!$W$15,ROW(BP130)-ROW(BP$15),0),15-13*ORÇAMENTO!$AF$11)),
         0)</f>
        <v>0</v>
      </c>
      <c r="BQ130" s="453">
        <f ca="1">IF(AND($D130="Serviço",BQ$12&lt;&gt;0,$H130&gt;0,OR(AUTOEVENTO&lt;&gt;"manual",$M130&lt;&gt;$A$15)),
        IF(Import.TipoArredondamento&lt;&gt;"TransfereGOV",
              ROUND(OFFSET($P130,0,BQ$13),15-13*ORÇAMENTO!$AF$7)/$H130*OFFSET(ORÇAMENTO!$X$15,ROW(BQ130)-ROW(BQ$15),0),
              ROUND(ROUND(OFFSET($P130,0,BQ$13),15-13*ORÇAMENTO!$AF$7)*OFFSET(ORÇAMENTO!$W$15,ROW(BQ130)-ROW(BQ$15),0),15-13*ORÇAMENTO!$AF$11)),
         0)</f>
        <v>0</v>
      </c>
      <c r="BS130" s="171">
        <f ca="1">IF(OR($D130&lt;&gt;"Serviço",AND(AUTOEVENTO="Manual",$M130=$A$15)),0,
         IF(OFFSET(CRONOPLE!$F$15,$M130-$A$15,BS$13)=0,10^12,OFFSET(CRONOPLE!$F$15,$M130-$A$15,BS$13)))</f>
        <v>1</v>
      </c>
      <c r="BT130" s="171">
        <f ca="1">IF(OR($D130&lt;&gt;"Serviço",AND(AUTOEVENTO="Manual",$M130=$A$15)),0,
         IF(OFFSET(CRONOPLE!$F$15,$M130-$A$15,BT$13)=0,10^12,OFFSET(CRONOPLE!$F$15,$M130-$A$15,BT$13)))</f>
        <v>2</v>
      </c>
      <c r="BU130" s="171">
        <f ca="1">IF(OR($D130&lt;&gt;"Serviço",AND(AUTOEVENTO="Manual",$M130=$A$15)),0,
         IF(OFFSET(CRONOPLE!$F$15,$M130-$A$15,BU$13)=0,10^12,OFFSET(CRONOPLE!$F$15,$M130-$A$15,BU$13)))</f>
        <v>3</v>
      </c>
      <c r="BV130" s="171">
        <f ca="1">IF(OR($D130&lt;&gt;"Serviço",AND(AUTOEVENTO="Manual",$M130=$A$15)),0,
         IF(OFFSET(CRONOPLE!$F$15,$M130-$A$15,BV$13)=0,10^12,OFFSET(CRONOPLE!$F$15,$M130-$A$15,BV$13)))</f>
        <v>4</v>
      </c>
      <c r="BW130" s="171">
        <f ca="1">IF(OR($D130&lt;&gt;"Serviço",AND(AUTOEVENTO="Manual",$M130=$A$15)),0,
         IF(OFFSET(CRONOPLE!$F$15,$M130-$A$15,BW$13)=0,10^12,OFFSET(CRONOPLE!$F$15,$M130-$A$15,BW$13)))</f>
        <v>5</v>
      </c>
      <c r="BX130" s="171">
        <f ca="1">IF(OR($D130&lt;&gt;"Serviço",AND(AUTOEVENTO="Manual",$M130=$A$15)),0,
         IF(OFFSET(CRONOPLE!$F$15,$M130-$A$15,BX$13)=0,10^12,OFFSET(CRONOPLE!$F$15,$M130-$A$15,BX$13)))</f>
        <v>6</v>
      </c>
      <c r="BY130" s="171">
        <f ca="1">IF(OR($D130&lt;&gt;"Serviço",AND(AUTOEVENTO="Manual",$M130=$A$15)),0,
         IF(OFFSET(CRONOPLE!$F$15,$M130-$A$15,BY$13)=0,10^12,OFFSET(CRONOPLE!$F$15,$M130-$A$15,BY$13)))</f>
        <v>7</v>
      </c>
      <c r="BZ130" s="171">
        <f ca="1">IF(OR($D130&lt;&gt;"Serviço",AND(AUTOEVENTO="Manual",$M130=$A$15)),0,
         IF(OFFSET(CRONOPLE!$F$15,$M130-$A$15,BZ$13)=0,10^12,OFFSET(CRONOPLE!$F$15,$M130-$A$15,BZ$13)))</f>
        <v>8</v>
      </c>
      <c r="CA130" s="171">
        <f ca="1">IF(OR($D130&lt;&gt;"Serviço",AND(AUTOEVENTO="Manual",$M130=$A$15)),0,
         IF(OFFSET(CRONOPLE!$F$15,$M130-$A$15,CA$13)=0,10^12,OFFSET(CRONOPLE!$F$15,$M130-$A$15,CA$13)))</f>
        <v>9</v>
      </c>
      <c r="CB130" s="171">
        <f ca="1">IF(OR($D130&lt;&gt;"Serviço",AND(AUTOEVENTO="Manual",$M130=$A$15)),0,
         IF(OFFSET(CRONOPLE!$F$15,$M130-$A$15,CB$13)=0,10^12,OFFSET(CRONOPLE!$F$15,$M130-$A$15,CB$13)))</f>
        <v>10</v>
      </c>
      <c r="CC130" s="171">
        <f ca="1">IF(OR($D130&lt;&gt;"Serviço",AND(AUTOEVENTO="Manual",$M130=$A$15)),0,
         IF(OFFSET(CRONOPLE!$F$15,$M130-$A$15,CC$13)=0,10^12,OFFSET(CRONOPLE!$F$15,$M130-$A$15,CC$13)))</f>
        <v>11</v>
      </c>
      <c r="CD130" s="171">
        <f ca="1">IF(OR($D130&lt;&gt;"Serviço",AND(AUTOEVENTO="Manual",$M130=$A$15)),0,
         IF(OFFSET(CRONOPLE!$F$15,$M130-$A$15,CD$13)=0,10^12,OFFSET(CRONOPLE!$F$15,$M130-$A$15,CD$13)))</f>
        <v>12</v>
      </c>
      <c r="CE130" s="171">
        <f ca="1">IF(OR($D130&lt;&gt;"Serviço",AND(AUTOEVENTO="Manual",$M130=$A$15)),0,
         IF(OFFSET(CRONOPLE!$F$15,$M130-$A$15,CE$13)=0,10^12,OFFSET(CRONOPLE!$F$15,$M130-$A$15,CE$13)))</f>
        <v>13</v>
      </c>
      <c r="CF130" s="171">
        <f ca="1">IF(OR($D130&lt;&gt;"Serviço",AND(AUTOEVENTO="Manual",$M130=$A$15)),0,
         IF(OFFSET(CRONOPLE!$F$15,$M130-$A$15,CF$13)=0,10^12,OFFSET(CRONOPLE!$F$15,$M130-$A$15,CF$13)))</f>
        <v>14</v>
      </c>
      <c r="CG130" s="171">
        <f ca="1">IF(OR($D130&lt;&gt;"Serviço",AND(AUTOEVENTO="Manual",$M130=$A$15)),0,
         IF(OFFSET(CRONOPLE!$F$15,$M130-$A$15,CG$13)=0,10^12,OFFSET(CRONOPLE!$F$15,$M130-$A$15,CG$13)))</f>
        <v>15</v>
      </c>
      <c r="CH130" s="171">
        <f ca="1">IF(OR($D130&lt;&gt;"Serviço",AND(AUTOEVENTO="Manual",$M130=$A$15)),0,
         IF(OFFSET(CRONOPLE!$F$15,$M130-$A$15,CH$13)=0,10^12,OFFSET(CRONOPLE!$F$15,$M130-$A$15,CH$13)))</f>
        <v>16</v>
      </c>
      <c r="CI130" s="171">
        <f ca="1">IF(OR($D130&lt;&gt;"Serviço",AND(AUTOEVENTO="Manual",$M130=$A$15)),0,
         IF(OFFSET(CRONOPLE!$F$15,$M130-$A$15,CI$13)=0,10^12,OFFSET(CRONOPLE!$F$15,$M130-$A$15,CI$13)))</f>
        <v>17</v>
      </c>
      <c r="CJ130" s="171">
        <f ca="1">IF(OR($D130&lt;&gt;"Serviço",AND(AUTOEVENTO="Manual",$M130=$A$15)),0,
         IF(OFFSET(CRONOPLE!$F$15,$M130-$A$15,CJ$13)=0,10^12,OFFSET(CRONOPLE!$F$15,$M130-$A$15,CJ$13)))</f>
        <v>18</v>
      </c>
      <c r="CK130" s="171">
        <f ca="1">IF(OR($D130&lt;&gt;"Serviço",AND(AUTOEVENTO="Manual",$M130=$A$15)),0,
         IF(OFFSET(CRONOPLE!$F$15,$M130-$A$15,CK$13)=0,10^12,OFFSET(CRONOPLE!$F$15,$M130-$A$15,CK$13)))</f>
        <v>19</v>
      </c>
      <c r="CL130" s="171">
        <f ca="1">IF(OR($D130&lt;&gt;"Serviço",AND(AUTOEVENTO="Manual",$M130=$A$15)),0,
         IF(OFFSET(CRONOPLE!$F$15,$M130-$A$15,CL$13)=0,10^12,OFFSET(CRONOPLE!$F$15,$M130-$A$15,CL$13)))</f>
        <v>20</v>
      </c>
      <c r="CM130" s="171">
        <f ca="1">IF(OR($D130&lt;&gt;"Serviço",AND(AUTOEVENTO="Manual",$M130=$A$15)),0,
         IF(OFFSET(CRONOPLE!$F$15,$M130-$A$15,CM$13)=0,10^12,OFFSET(CRONOPLE!$F$15,$M130-$A$15,CM$13)))</f>
        <v>1000000000000</v>
      </c>
      <c r="CN130" s="171">
        <f ca="1">IF(OR($D130&lt;&gt;"Serviço",AND(AUTOEVENTO="Manual",$M130=$A$15)),0,
         IF(OFFSET(CRONOPLE!$F$15,$M130-$A$15,CN$13)=0,10^12,OFFSET(CRONOPLE!$F$15,$M130-$A$15,CN$13)))</f>
        <v>1000000000000</v>
      </c>
      <c r="CO130" s="171">
        <f ca="1">IF(OR($D130&lt;&gt;"Serviço",AND(AUTOEVENTO="Manual",$M130=$A$15)),0,
         IF(OFFSET(CRONOPLE!$F$15,$M130-$A$15,CO$13)=0,10^12,OFFSET(CRONOPLE!$F$15,$M130-$A$15,CO$13)))</f>
        <v>1000000000000</v>
      </c>
      <c r="CP130" s="171">
        <f ca="1">IF(OR($D130&lt;&gt;"Serviço",AND(AUTOEVENTO="Manual",$M130=$A$15)),0,
         IF(OFFSET(CRONOPLE!$F$15,$M130-$A$15,CP$13)=0,10^12,OFFSET(CRONOPLE!$F$15,$M130-$A$15,CP$13)))</f>
        <v>1000000000000</v>
      </c>
      <c r="CQ130" s="171">
        <f ca="1">IF(OR($D130&lt;&gt;"Serviço",AND(AUTOEVENTO="Manual",$M130=$A$15)),0,
         IF(OFFSET(CRONOPLE!$F$15,$M130-$A$15,CQ$13)=0,10^12,OFFSET(CRONOPLE!$F$15,$M130-$A$15,CQ$13)))</f>
        <v>1000000000000</v>
      </c>
      <c r="CR130" s="171">
        <f ca="1">IF(OR($D130&lt;&gt;"Serviço",AND(AUTOEVENTO="Manual",$M130=$A$15)),0,
         IF(OFFSET(CRONOPLE!$F$15,$M130-$A$15,CR$13)=0,10^12,OFFSET(CRONOPLE!$F$15,$M130-$A$15,CR$13)))</f>
        <v>1000000000000</v>
      </c>
      <c r="CT130" s="172" cm="1">
        <f t="array" aca="1" ref="CT130" ca="1">IF(OR($D130&lt;&gt;"Serviço",AND(AUTOEVENTO="Manual",$M130=$A$15),$M130&gt;(ROW(PLE.lastrow)-ROW(PLE.firstrow))),0,
           IF(OFFSET(PLE!$G$15,$M130-$A$15,CT$13)="",10^12,OFFSET(PLE!$G$15,$M130-$A$15,CT$13)))</f>
        <v>1000000000000</v>
      </c>
      <c r="CU130" s="172" cm="1">
        <f t="array" aca="1" ref="CU130" ca="1">IF(OR($D130&lt;&gt;"Serviço",AND(AUTOEVENTO="Manual",$M130=$A$15),$M130&gt;(ROW(PLE.lastrow)-ROW(PLE.firstrow))),0,
           IF(OFFSET(PLE!$G$15,$M130-$A$15,CU$13)="",10^12,OFFSET(PLE!$G$15,$M130-$A$15,CU$13)))</f>
        <v>1000000000000</v>
      </c>
      <c r="CV130" s="172" cm="1">
        <f t="array" aca="1" ref="CV130" ca="1">IF(OR($D130&lt;&gt;"Serviço",AND(AUTOEVENTO="Manual",$M130=$A$15),$M130&gt;(ROW(PLE.lastrow)-ROW(PLE.firstrow))),0,
           IF(OFFSET(PLE!$G$15,$M130-$A$15,CV$13)="",10^12,OFFSET(PLE!$G$15,$M130-$A$15,CV$13)))</f>
        <v>1000000000000</v>
      </c>
      <c r="CW130" s="172" cm="1">
        <f t="array" aca="1" ref="CW130" ca="1">IF(OR($D130&lt;&gt;"Serviço",AND(AUTOEVENTO="Manual",$M130=$A$15),$M130&gt;(ROW(PLE.lastrow)-ROW(PLE.firstrow))),0,
           IF(OFFSET(PLE!$G$15,$M130-$A$15,CW$13)="",10^12,OFFSET(PLE!$G$15,$M130-$A$15,CW$13)))</f>
        <v>1000000000000</v>
      </c>
      <c r="CX130" s="172" cm="1">
        <f t="array" aca="1" ref="CX130" ca="1">IF(OR($D130&lt;&gt;"Serviço",AND(AUTOEVENTO="Manual",$M130=$A$15),$M130&gt;(ROW(PLE.lastrow)-ROW(PLE.firstrow))),0,
           IF(OFFSET(PLE!$G$15,$M130-$A$15,CX$13)="",10^12,OFFSET(PLE!$G$15,$M130-$A$15,CX$13)))</f>
        <v>1000000000000</v>
      </c>
      <c r="CY130" s="172" cm="1">
        <f t="array" aca="1" ref="CY130" ca="1">IF(OR($D130&lt;&gt;"Serviço",AND(AUTOEVENTO="Manual",$M130=$A$15),$M130&gt;(ROW(PLE.lastrow)-ROW(PLE.firstrow))),0,
           IF(OFFSET(PLE!$G$15,$M130-$A$15,CY$13)="",10^12,OFFSET(PLE!$G$15,$M130-$A$15,CY$13)))</f>
        <v>1000000000000</v>
      </c>
      <c r="CZ130" s="172" cm="1">
        <f t="array" aca="1" ref="CZ130" ca="1">IF(OR($D130&lt;&gt;"Serviço",AND(AUTOEVENTO="Manual",$M130=$A$15),$M130&gt;(ROW(PLE.lastrow)-ROW(PLE.firstrow))),0,
           IF(OFFSET(PLE!$G$15,$M130-$A$15,CZ$13)="",10^12,OFFSET(PLE!$G$15,$M130-$A$15,CZ$13)))</f>
        <v>1000000000000</v>
      </c>
      <c r="DA130" s="172" cm="1">
        <f t="array" aca="1" ref="DA130" ca="1">IF(OR($D130&lt;&gt;"Serviço",AND(AUTOEVENTO="Manual",$M130=$A$15),$M130&gt;(ROW(PLE.lastrow)-ROW(PLE.firstrow))),0,
           IF(OFFSET(PLE!$G$15,$M130-$A$15,DA$13)="",10^12,OFFSET(PLE!$G$15,$M130-$A$15,DA$13)))</f>
        <v>1000000000000</v>
      </c>
      <c r="DB130" s="172" cm="1">
        <f t="array" aca="1" ref="DB130" ca="1">IF(OR($D130&lt;&gt;"Serviço",AND(AUTOEVENTO="Manual",$M130=$A$15),$M130&gt;(ROW(PLE.lastrow)-ROW(PLE.firstrow))),0,
           IF(OFFSET(PLE!$G$15,$M130-$A$15,DB$13)="",10^12,OFFSET(PLE!$G$15,$M130-$A$15,DB$13)))</f>
        <v>1000000000000</v>
      </c>
      <c r="DC130" s="172" cm="1">
        <f t="array" aca="1" ref="DC130" ca="1">IF(OR($D130&lt;&gt;"Serviço",AND(AUTOEVENTO="Manual",$M130=$A$15),$M130&gt;(ROW(PLE.lastrow)-ROW(PLE.firstrow))),0,
           IF(OFFSET(PLE!$G$15,$M130-$A$15,DC$13)="",10^12,OFFSET(PLE!$G$15,$M130-$A$15,DC$13)))</f>
        <v>1000000000000</v>
      </c>
      <c r="DD130" s="172" cm="1">
        <f t="array" aca="1" ref="DD130" ca="1">IF(OR($D130&lt;&gt;"Serviço",AND(AUTOEVENTO="Manual",$M130=$A$15),$M130&gt;(ROW(PLE.lastrow)-ROW(PLE.firstrow))),0,
           IF(OFFSET(PLE!$G$15,$M130-$A$15,DD$13)="",10^12,OFFSET(PLE!$G$15,$M130-$A$15,DD$13)))</f>
        <v>1000000000000</v>
      </c>
      <c r="DE130" s="172" cm="1">
        <f t="array" aca="1" ref="DE130" ca="1">IF(OR($D130&lt;&gt;"Serviço",AND(AUTOEVENTO="Manual",$M130=$A$15),$M130&gt;(ROW(PLE.lastrow)-ROW(PLE.firstrow))),0,
           IF(OFFSET(PLE!$G$15,$M130-$A$15,DE$13)="",10^12,OFFSET(PLE!$G$15,$M130-$A$15,DE$13)))</f>
        <v>1000000000000</v>
      </c>
      <c r="DF130" s="172" cm="1">
        <f t="array" aca="1" ref="DF130" ca="1">IF(OR($D130&lt;&gt;"Serviço",AND(AUTOEVENTO="Manual",$M130=$A$15),$M130&gt;(ROW(PLE.lastrow)-ROW(PLE.firstrow))),0,
           IF(OFFSET(PLE!$G$15,$M130-$A$15,DF$13)="",10^12,OFFSET(PLE!$G$15,$M130-$A$15,DF$13)))</f>
        <v>1000000000000</v>
      </c>
      <c r="DG130" s="172" cm="1">
        <f t="array" aca="1" ref="DG130" ca="1">IF(OR($D130&lt;&gt;"Serviço",AND(AUTOEVENTO="Manual",$M130=$A$15),$M130&gt;(ROW(PLE.lastrow)-ROW(PLE.firstrow))),0,
           IF(OFFSET(PLE!$G$15,$M130-$A$15,DG$13)="",10^12,OFFSET(PLE!$G$15,$M130-$A$15,DG$13)))</f>
        <v>1000000000000</v>
      </c>
      <c r="DH130" s="172" cm="1">
        <f t="array" aca="1" ref="DH130" ca="1">IF(OR($D130&lt;&gt;"Serviço",AND(AUTOEVENTO="Manual",$M130=$A$15),$M130&gt;(ROW(PLE.lastrow)-ROW(PLE.firstrow))),0,
           IF(OFFSET(PLE!$G$15,$M130-$A$15,DH$13)="",10^12,OFFSET(PLE!$G$15,$M130-$A$15,DH$13)))</f>
        <v>1000000000000</v>
      </c>
      <c r="DI130" s="172" cm="1">
        <f t="array" aca="1" ref="DI130" ca="1">IF(OR($D130&lt;&gt;"Serviço",AND(AUTOEVENTO="Manual",$M130=$A$15),$M130&gt;(ROW(PLE.lastrow)-ROW(PLE.firstrow))),0,
           IF(OFFSET(PLE!$G$15,$M130-$A$15,DI$13)="",10^12,OFFSET(PLE!$G$15,$M130-$A$15,DI$13)))</f>
        <v>1000000000000</v>
      </c>
      <c r="DJ130" s="172" cm="1">
        <f t="array" aca="1" ref="DJ130" ca="1">IF(OR($D130&lt;&gt;"Serviço",AND(AUTOEVENTO="Manual",$M130=$A$15),$M130&gt;(ROW(PLE.lastrow)-ROW(PLE.firstrow))),0,
           IF(OFFSET(PLE!$G$15,$M130-$A$15,DJ$13)="",10^12,OFFSET(PLE!$G$15,$M130-$A$15,DJ$13)))</f>
        <v>1000000000000</v>
      </c>
      <c r="DK130" s="172" cm="1">
        <f t="array" aca="1" ref="DK130" ca="1">IF(OR($D130&lt;&gt;"Serviço",AND(AUTOEVENTO="Manual",$M130=$A$15),$M130&gt;(ROW(PLE.lastrow)-ROW(PLE.firstrow))),0,
           IF(OFFSET(PLE!$G$15,$M130-$A$15,DK$13)="",10^12,OFFSET(PLE!$G$15,$M130-$A$15,DK$13)))</f>
        <v>1000000000000</v>
      </c>
      <c r="DL130" s="172" cm="1">
        <f t="array" aca="1" ref="DL130" ca="1">IF(OR($D130&lt;&gt;"Serviço",AND(AUTOEVENTO="Manual",$M130=$A$15),$M130&gt;(ROW(PLE.lastrow)-ROW(PLE.firstrow))),0,
           IF(OFFSET(PLE!$G$15,$M130-$A$15,DL$13)="",10^12,OFFSET(PLE!$G$15,$M130-$A$15,DL$13)))</f>
        <v>1000000000000</v>
      </c>
      <c r="DM130" s="172" cm="1">
        <f t="array" aca="1" ref="DM130" ca="1">IF(OR($D130&lt;&gt;"Serviço",AND(AUTOEVENTO="Manual",$M130=$A$15),$M130&gt;(ROW(PLE.lastrow)-ROW(PLE.firstrow))),0,
           IF(OFFSET(PLE!$G$15,$M130-$A$15,DM$13)="",10^12,OFFSET(PLE!$G$15,$M130-$A$15,DM$13)))</f>
        <v>1000000000000</v>
      </c>
      <c r="DN130" s="172" cm="1">
        <f t="array" aca="1" ref="DN130" ca="1">IF(OR($D130&lt;&gt;"Serviço",AND(AUTOEVENTO="Manual",$M130=$A$15),$M130&gt;(ROW(PLE.lastrow)-ROW(PLE.firstrow))),0,
           IF(OFFSET(PLE!$G$15,$M130-$A$15,DN$13)="",10^12,OFFSET(PLE!$G$15,$M130-$A$15,DN$13)))</f>
        <v>1000000000000</v>
      </c>
      <c r="DO130" s="172" cm="1">
        <f t="array" aca="1" ref="DO130" ca="1">IF(OR($D130&lt;&gt;"Serviço",AND(AUTOEVENTO="Manual",$M130=$A$15),$M130&gt;(ROW(PLE.lastrow)-ROW(PLE.firstrow))),0,
           IF(OFFSET(PLE!$G$15,$M130-$A$15,DO$13)="",10^12,OFFSET(PLE!$G$15,$M130-$A$15,DO$13)))</f>
        <v>1000000000000</v>
      </c>
      <c r="DP130" s="172" cm="1">
        <f t="array" aca="1" ref="DP130" ca="1">IF(OR($D130&lt;&gt;"Serviço",AND(AUTOEVENTO="Manual",$M130=$A$15),$M130&gt;(ROW(PLE.lastrow)-ROW(PLE.firstrow))),0,
           IF(OFFSET(PLE!$G$15,$M130-$A$15,DP$13)="",10^12,OFFSET(PLE!$G$15,$M130-$A$15,DP$13)))</f>
        <v>1000000000000</v>
      </c>
      <c r="DQ130" s="172" cm="1">
        <f t="array" aca="1" ref="DQ130" ca="1">IF(OR($D130&lt;&gt;"Serviço",AND(AUTOEVENTO="Manual",$M130=$A$15),$M130&gt;(ROW(PLE.lastrow)-ROW(PLE.firstrow))),0,
           IF(OFFSET(PLE!$G$15,$M130-$A$15,DQ$13)="",10^12,OFFSET(PLE!$G$15,$M130-$A$15,DQ$13)))</f>
        <v>1000000000000</v>
      </c>
      <c r="DR130" s="172" cm="1">
        <f t="array" aca="1" ref="DR130" ca="1">IF(OR($D130&lt;&gt;"Serviço",AND(AUTOEVENTO="Manual",$M130=$A$15),$M130&gt;(ROW(PLE.lastrow)-ROW(PLE.firstrow))),0,
           IF(OFFSET(PLE!$G$15,$M130-$A$15,DR$13)="",10^12,OFFSET(PLE!$G$15,$M130-$A$15,DR$13)))</f>
        <v>1000000000000</v>
      </c>
      <c r="DS130" s="172" cm="1">
        <f t="array" aca="1" ref="DS130" ca="1">IF(OR($D130&lt;&gt;"Serviço",AND(AUTOEVENTO="Manual",$M130=$A$15),$M130&gt;(ROW(PLE.lastrow)-ROW(PLE.firstrow))),0,
           IF(OFFSET(PLE!$G$15,$M130-$A$15,DS$13)="",10^12,OFFSET(PLE!$G$15,$M130-$A$15,DS$13)))</f>
        <v>1000000000000</v>
      </c>
    </row>
    <row r="131" spans="1:123" ht="25.5" x14ac:dyDescent="0.2">
      <c r="A131" s="7">
        <f t="shared" ca="1" si="15"/>
        <v>8</v>
      </c>
      <c r="B131" s="7" t="str">
        <f ca="1">OFFSET(ORÇAMENTO!C$15,$L131,0)</f>
        <v>S</v>
      </c>
      <c r="C131" s="7" t="str">
        <f ca="1">OFFSET(ORÇAMENTO!L$15,$L131,0)</f>
        <v/>
      </c>
      <c r="D131" s="116" t="str">
        <f ca="1">OFFSET(ORÇAMENTO!N$15,$L131,0)</f>
        <v>Serviço</v>
      </c>
      <c r="E131" s="117" t="str">
        <f ca="1">OFFSET(ORÇAMENTO!O$15,$L131,0)</f>
        <v>-</v>
      </c>
      <c r="F131" s="163" t="str">
        <f ca="1">OFFSET(ORÇAMENTO!R$15,$L131,0)</f>
        <v>(Código não identificado nas referências)</v>
      </c>
      <c r="G131" s="164" t="str">
        <f ca="1">IF($D131&lt;&gt;"Serviço","",OFFSET(ORÇAMENTO!S$15,$L131,0))</f>
        <v>-</v>
      </c>
      <c r="H131" s="122" cm="1">
        <f t="array" aca="1" ref="H131" ca="1">IF($D131&lt;&gt;"Serviço",0,IF(ACOMPANHAMENTO="BM",ROUND(OFFSET(ORÇAMENTO!AJ$15,$L131,0),15-13*ORÇAMENTO!$AF$7),IF(IFERROR(CÁLCULO.FrentesPreenchidas,0)=0,0,SUM(ROUND(OFFSET($P131,0,1,1,CÁLCULO.FrentesPreenchidas),15-13*ORÇAMENTO!$AF$7)))))</f>
        <v>130</v>
      </c>
      <c r="I131" s="468" t="s">
        <v>1235</v>
      </c>
      <c r="J131" s="651" t="str" cm="1">
        <f t="array" aca="1" ref="J131" ca="1">IF(OR(B131&lt;&gt;"S",CÁLCULO.FrentesPreenchidas=0),"",IF(AND(ACOMPANHAMENTO="PLE",AUTOEVENTO="Manual",OR(H131&gt;0,ORÇAMENTO!AC131="QUANT."),OR(K131="",M131=0,N131="")),"►E",IF(AND(ACOMPANHAMENTO="PLE",ORÇAMENTO!AC131="QUANT."),"►Q",IF(AND(ACOMPANHAMENTO="PLE",H131&lt;&gt;SUMPRODUCT(($Q$1:$AQ$1=1)*ROUND(Q131:AQ131,15))),"►S",IF(AND(COUNTIF($P$11:$AQ$11,"▼")=0,H131&gt;0,I131=""),"◄M","")))))</f>
        <v/>
      </c>
      <c r="K131" s="652" t="s">
        <v>1256</v>
      </c>
      <c r="L131" s="165">
        <f t="shared" ca="1" si="14"/>
        <v>116</v>
      </c>
      <c r="M131" s="166">
        <f ca="1">IF($D131&lt;&gt;"Serviço","",
          IF(AUTOEVENTO="manual",$A131,
                IF(ISERROR(MATCH($A131,$A$15:OFFSET($A131,-1,0),0)),MAX($M$15:OFFSET(M131,-1,0))+1,
                      INDEX($M$15:OFFSET(M131,-1,0),MATCH($A131,$A$15:OFFSET($A131,-1,0),0)))))</f>
        <v>8</v>
      </c>
      <c r="N131" s="167" t="str">
        <f ca="1">IF($D131&lt;&gt;"Serviço","",
         IF(AUTOEVENTO="Manual",
                IF($A131=0,"&lt;-- defina o número do agrupador",
                       OFFSET(EVENTOS!$D$15,$A131-$A$15,0)),
                OFFSET($F$15,$A131,0)))</f>
        <v>PAVIMENTAÇÕES</v>
      </c>
      <c r="O131" s="168"/>
      <c r="Q131" s="168">
        <v>6.5</v>
      </c>
      <c r="R131" s="169">
        <v>6.5</v>
      </c>
      <c r="S131" s="169">
        <v>6.5</v>
      </c>
      <c r="T131" s="169">
        <v>6.5</v>
      </c>
      <c r="U131" s="169">
        <v>6.5</v>
      </c>
      <c r="V131" s="169">
        <v>6.5</v>
      </c>
      <c r="W131" s="169">
        <v>6.5</v>
      </c>
      <c r="X131" s="169">
        <v>6.5</v>
      </c>
      <c r="Y131" s="169">
        <v>6.5</v>
      </c>
      <c r="Z131" s="170">
        <v>6.5</v>
      </c>
      <c r="AA131" s="169">
        <v>6.5</v>
      </c>
      <c r="AB131" s="169">
        <v>6.5</v>
      </c>
      <c r="AC131" s="169">
        <v>6.5</v>
      </c>
      <c r="AD131" s="169">
        <v>6.5</v>
      </c>
      <c r="AE131" s="169">
        <v>6.5</v>
      </c>
      <c r="AF131" s="169">
        <v>6.5</v>
      </c>
      <c r="AG131" s="169">
        <v>6.5</v>
      </c>
      <c r="AH131" s="170">
        <v>6.5</v>
      </c>
      <c r="AI131" s="169">
        <v>6.5</v>
      </c>
      <c r="AJ131" s="169">
        <v>6.5</v>
      </c>
      <c r="AK131" s="169"/>
      <c r="AL131" s="169"/>
      <c r="AM131" s="169"/>
      <c r="AN131" s="169"/>
      <c r="AO131" s="169"/>
      <c r="AP131" s="170"/>
      <c r="AR131" s="453">
        <f ca="1">IF(AND($D131="Serviço",AR$12&lt;&gt;0,$H131&gt;0,OR(AUTOEVENTO&lt;&gt;"manual",$M131&lt;&gt;$A$15)),
        IF(Import.TipoArredondamento&lt;&gt;"TransfereGOV",
              ROUND(OFFSET($P131,0,AR$13),15-13*ORÇAMENTO!$AF$7)/$H131*OFFSET(ORÇAMENTO!$X$15,ROW(AR131)-ROW(AR$15),0),
              ROUND(ROUND(OFFSET($P131,0,AR$13),15-13*ORÇAMENTO!$AF$7)*OFFSET(ORÇAMENTO!$W$15,ROW(AR131)-ROW(AR$15),0),15-13*ORÇAMENTO!$AF$11)),
         0)</f>
        <v>0</v>
      </c>
      <c r="AS131" s="453">
        <f ca="1">IF(AND($D131="Serviço",AS$12&lt;&gt;0,$H131&gt;0,OR(AUTOEVENTO&lt;&gt;"manual",$M131&lt;&gt;$A$15)),
        IF(Import.TipoArredondamento&lt;&gt;"TransfereGOV",
              ROUND(OFFSET($P131,0,AS$13),15-13*ORÇAMENTO!$AF$7)/$H131*OFFSET(ORÇAMENTO!$X$15,ROW(AS131)-ROW(AS$15),0),
              ROUND(ROUND(OFFSET($P131,0,AS$13),15-13*ORÇAMENTO!$AF$7)*OFFSET(ORÇAMENTO!$W$15,ROW(AS131)-ROW(AS$15),0),15-13*ORÇAMENTO!$AF$11)),
         0)</f>
        <v>0</v>
      </c>
      <c r="AT131" s="453">
        <f ca="1">IF(AND($D131="Serviço",AT$12&lt;&gt;0,$H131&gt;0,OR(AUTOEVENTO&lt;&gt;"manual",$M131&lt;&gt;$A$15)),
        IF(Import.TipoArredondamento&lt;&gt;"TransfereGOV",
              ROUND(OFFSET($P131,0,AT$13),15-13*ORÇAMENTO!$AF$7)/$H131*OFFSET(ORÇAMENTO!$X$15,ROW(AT131)-ROW(AT$15),0),
              ROUND(ROUND(OFFSET($P131,0,AT$13),15-13*ORÇAMENTO!$AF$7)*OFFSET(ORÇAMENTO!$W$15,ROW(AT131)-ROW(AT$15),0),15-13*ORÇAMENTO!$AF$11)),
         0)</f>
        <v>0</v>
      </c>
      <c r="AU131" s="453">
        <f ca="1">IF(AND($D131="Serviço",AU$12&lt;&gt;0,$H131&gt;0,OR(AUTOEVENTO&lt;&gt;"manual",$M131&lt;&gt;$A$15)),
        IF(Import.TipoArredondamento&lt;&gt;"TransfereGOV",
              ROUND(OFFSET($P131,0,AU$13),15-13*ORÇAMENTO!$AF$7)/$H131*OFFSET(ORÇAMENTO!$X$15,ROW(AU131)-ROW(AU$15),0),
              ROUND(ROUND(OFFSET($P131,0,AU$13),15-13*ORÇAMENTO!$AF$7)*OFFSET(ORÇAMENTO!$W$15,ROW(AU131)-ROW(AU$15),0),15-13*ORÇAMENTO!$AF$11)),
         0)</f>
        <v>0</v>
      </c>
      <c r="AV131" s="453">
        <f ca="1">IF(AND($D131="Serviço",AV$12&lt;&gt;0,$H131&gt;0,OR(AUTOEVENTO&lt;&gt;"manual",$M131&lt;&gt;$A$15)),
        IF(Import.TipoArredondamento&lt;&gt;"TransfereGOV",
              ROUND(OFFSET($P131,0,AV$13),15-13*ORÇAMENTO!$AF$7)/$H131*OFFSET(ORÇAMENTO!$X$15,ROW(AV131)-ROW(AV$15),0),
              ROUND(ROUND(OFFSET($P131,0,AV$13),15-13*ORÇAMENTO!$AF$7)*OFFSET(ORÇAMENTO!$W$15,ROW(AV131)-ROW(AV$15),0),15-13*ORÇAMENTO!$AF$11)),
         0)</f>
        <v>0</v>
      </c>
      <c r="AW131" s="453">
        <f ca="1">IF(AND($D131="Serviço",AW$12&lt;&gt;0,$H131&gt;0,OR(AUTOEVENTO&lt;&gt;"manual",$M131&lt;&gt;$A$15)),
        IF(Import.TipoArredondamento&lt;&gt;"TransfereGOV",
              ROUND(OFFSET($P131,0,AW$13),15-13*ORÇAMENTO!$AF$7)/$H131*OFFSET(ORÇAMENTO!$X$15,ROW(AW131)-ROW(AW$15),0),
              ROUND(ROUND(OFFSET($P131,0,AW$13),15-13*ORÇAMENTO!$AF$7)*OFFSET(ORÇAMENTO!$W$15,ROW(AW131)-ROW(AW$15),0),15-13*ORÇAMENTO!$AF$11)),
         0)</f>
        <v>0</v>
      </c>
      <c r="AX131" s="453">
        <f ca="1">IF(AND($D131="Serviço",AX$12&lt;&gt;0,$H131&gt;0,OR(AUTOEVENTO&lt;&gt;"manual",$M131&lt;&gt;$A$15)),
        IF(Import.TipoArredondamento&lt;&gt;"TransfereGOV",
              ROUND(OFFSET($P131,0,AX$13),15-13*ORÇAMENTO!$AF$7)/$H131*OFFSET(ORÇAMENTO!$X$15,ROW(AX131)-ROW(AX$15),0),
              ROUND(ROUND(OFFSET($P131,0,AX$13),15-13*ORÇAMENTO!$AF$7)*OFFSET(ORÇAMENTO!$W$15,ROW(AX131)-ROW(AX$15),0),15-13*ORÇAMENTO!$AF$11)),
         0)</f>
        <v>0</v>
      </c>
      <c r="AY131" s="453">
        <f ca="1">IF(AND($D131="Serviço",AY$12&lt;&gt;0,$H131&gt;0,OR(AUTOEVENTO&lt;&gt;"manual",$M131&lt;&gt;$A$15)),
        IF(Import.TipoArredondamento&lt;&gt;"TransfereGOV",
              ROUND(OFFSET($P131,0,AY$13),15-13*ORÇAMENTO!$AF$7)/$H131*OFFSET(ORÇAMENTO!$X$15,ROW(AY131)-ROW(AY$15),0),
              ROUND(ROUND(OFFSET($P131,0,AY$13),15-13*ORÇAMENTO!$AF$7)*OFFSET(ORÇAMENTO!$W$15,ROW(AY131)-ROW(AY$15),0),15-13*ORÇAMENTO!$AF$11)),
         0)</f>
        <v>0</v>
      </c>
      <c r="AZ131" s="453">
        <f ca="1">IF(AND($D131="Serviço",AZ$12&lt;&gt;0,$H131&gt;0,OR(AUTOEVENTO&lt;&gt;"manual",$M131&lt;&gt;$A$15)),
        IF(Import.TipoArredondamento&lt;&gt;"TransfereGOV",
              ROUND(OFFSET($P131,0,AZ$13),15-13*ORÇAMENTO!$AF$7)/$H131*OFFSET(ORÇAMENTO!$X$15,ROW(AZ131)-ROW(AZ$15),0),
              ROUND(ROUND(OFFSET($P131,0,AZ$13),15-13*ORÇAMENTO!$AF$7)*OFFSET(ORÇAMENTO!$W$15,ROW(AZ131)-ROW(AZ$15),0),15-13*ORÇAMENTO!$AF$11)),
         0)</f>
        <v>0</v>
      </c>
      <c r="BA131" s="453">
        <f ca="1">IF(AND($D131="Serviço",BA$12&lt;&gt;0,$H131&gt;0,OR(AUTOEVENTO&lt;&gt;"manual",$M131&lt;&gt;$A$15)),
        IF(Import.TipoArredondamento&lt;&gt;"TransfereGOV",
              ROUND(OFFSET($P131,0,BA$13),15-13*ORÇAMENTO!$AF$7)/$H131*OFFSET(ORÇAMENTO!$X$15,ROW(BA131)-ROW(BA$15),0),
              ROUND(ROUND(OFFSET($P131,0,BA$13),15-13*ORÇAMENTO!$AF$7)*OFFSET(ORÇAMENTO!$W$15,ROW(BA131)-ROW(BA$15),0),15-13*ORÇAMENTO!$AF$11)),
         0)</f>
        <v>0</v>
      </c>
      <c r="BB131" s="453">
        <f ca="1">IF(AND($D131="Serviço",BB$12&lt;&gt;0,$H131&gt;0,OR(AUTOEVENTO&lt;&gt;"manual",$M131&lt;&gt;$A$15)),
        IF(Import.TipoArredondamento&lt;&gt;"TransfereGOV",
              ROUND(OFFSET($P131,0,BB$13),15-13*ORÇAMENTO!$AF$7)/$H131*OFFSET(ORÇAMENTO!$X$15,ROW(BB131)-ROW(BB$15),0),
              ROUND(ROUND(OFFSET($P131,0,BB$13),15-13*ORÇAMENTO!$AF$7)*OFFSET(ORÇAMENTO!$W$15,ROW(BB131)-ROW(BB$15),0),15-13*ORÇAMENTO!$AF$11)),
         0)</f>
        <v>0</v>
      </c>
      <c r="BC131" s="453">
        <f ca="1">IF(AND($D131="Serviço",BC$12&lt;&gt;0,$H131&gt;0,OR(AUTOEVENTO&lt;&gt;"manual",$M131&lt;&gt;$A$15)),
        IF(Import.TipoArredondamento&lt;&gt;"TransfereGOV",
              ROUND(OFFSET($P131,0,BC$13),15-13*ORÇAMENTO!$AF$7)/$H131*OFFSET(ORÇAMENTO!$X$15,ROW(BC131)-ROW(BC$15),0),
              ROUND(ROUND(OFFSET($P131,0,BC$13),15-13*ORÇAMENTO!$AF$7)*OFFSET(ORÇAMENTO!$W$15,ROW(BC131)-ROW(BC$15),0),15-13*ORÇAMENTO!$AF$11)),
         0)</f>
        <v>0</v>
      </c>
      <c r="BD131" s="453">
        <f ca="1">IF(AND($D131="Serviço",BD$12&lt;&gt;0,$H131&gt;0,OR(AUTOEVENTO&lt;&gt;"manual",$M131&lt;&gt;$A$15)),
        IF(Import.TipoArredondamento&lt;&gt;"TransfereGOV",
              ROUND(OFFSET($P131,0,BD$13),15-13*ORÇAMENTO!$AF$7)/$H131*OFFSET(ORÇAMENTO!$X$15,ROW(BD131)-ROW(BD$15),0),
              ROUND(ROUND(OFFSET($P131,0,BD$13),15-13*ORÇAMENTO!$AF$7)*OFFSET(ORÇAMENTO!$W$15,ROW(BD131)-ROW(BD$15),0),15-13*ORÇAMENTO!$AF$11)),
         0)</f>
        <v>0</v>
      </c>
      <c r="BE131" s="453">
        <f ca="1">IF(AND($D131="Serviço",BE$12&lt;&gt;0,$H131&gt;0,OR(AUTOEVENTO&lt;&gt;"manual",$M131&lt;&gt;$A$15)),
        IF(Import.TipoArredondamento&lt;&gt;"TransfereGOV",
              ROUND(OFFSET($P131,0,BE$13),15-13*ORÇAMENTO!$AF$7)/$H131*OFFSET(ORÇAMENTO!$X$15,ROW(BE131)-ROW(BE$15),0),
              ROUND(ROUND(OFFSET($P131,0,BE$13),15-13*ORÇAMENTO!$AF$7)*OFFSET(ORÇAMENTO!$W$15,ROW(BE131)-ROW(BE$15),0),15-13*ORÇAMENTO!$AF$11)),
         0)</f>
        <v>0</v>
      </c>
      <c r="BF131" s="453">
        <f ca="1">IF(AND($D131="Serviço",BF$12&lt;&gt;0,$H131&gt;0,OR(AUTOEVENTO&lt;&gt;"manual",$M131&lt;&gt;$A$15)),
        IF(Import.TipoArredondamento&lt;&gt;"TransfereGOV",
              ROUND(OFFSET($P131,0,BF$13),15-13*ORÇAMENTO!$AF$7)/$H131*OFFSET(ORÇAMENTO!$X$15,ROW(BF131)-ROW(BF$15),0),
              ROUND(ROUND(OFFSET($P131,0,BF$13),15-13*ORÇAMENTO!$AF$7)*OFFSET(ORÇAMENTO!$W$15,ROW(BF131)-ROW(BF$15),0),15-13*ORÇAMENTO!$AF$11)),
         0)</f>
        <v>0</v>
      </c>
      <c r="BG131" s="453">
        <f ca="1">IF(AND($D131="Serviço",BG$12&lt;&gt;0,$H131&gt;0,OR(AUTOEVENTO&lt;&gt;"manual",$M131&lt;&gt;$A$15)),
        IF(Import.TipoArredondamento&lt;&gt;"TransfereGOV",
              ROUND(OFFSET($P131,0,BG$13),15-13*ORÇAMENTO!$AF$7)/$H131*OFFSET(ORÇAMENTO!$X$15,ROW(BG131)-ROW(BG$15),0),
              ROUND(ROUND(OFFSET($P131,0,BG$13),15-13*ORÇAMENTO!$AF$7)*OFFSET(ORÇAMENTO!$W$15,ROW(BG131)-ROW(BG$15),0),15-13*ORÇAMENTO!$AF$11)),
         0)</f>
        <v>0</v>
      </c>
      <c r="BH131" s="453">
        <f ca="1">IF(AND($D131="Serviço",BH$12&lt;&gt;0,$H131&gt;0,OR(AUTOEVENTO&lt;&gt;"manual",$M131&lt;&gt;$A$15)),
        IF(Import.TipoArredondamento&lt;&gt;"TransfereGOV",
              ROUND(OFFSET($P131,0,BH$13),15-13*ORÇAMENTO!$AF$7)/$H131*OFFSET(ORÇAMENTO!$X$15,ROW(BH131)-ROW(BH$15),0),
              ROUND(ROUND(OFFSET($P131,0,BH$13),15-13*ORÇAMENTO!$AF$7)*OFFSET(ORÇAMENTO!$W$15,ROW(BH131)-ROW(BH$15),0),15-13*ORÇAMENTO!$AF$11)),
         0)</f>
        <v>0</v>
      </c>
      <c r="BI131" s="453">
        <f ca="1">IF(AND($D131="Serviço",BI$12&lt;&gt;0,$H131&gt;0,OR(AUTOEVENTO&lt;&gt;"manual",$M131&lt;&gt;$A$15)),
        IF(Import.TipoArredondamento&lt;&gt;"TransfereGOV",
              ROUND(OFFSET($P131,0,BI$13),15-13*ORÇAMENTO!$AF$7)/$H131*OFFSET(ORÇAMENTO!$X$15,ROW(BI131)-ROW(BI$15),0),
              ROUND(ROUND(OFFSET($P131,0,BI$13),15-13*ORÇAMENTO!$AF$7)*OFFSET(ORÇAMENTO!$W$15,ROW(BI131)-ROW(BI$15),0),15-13*ORÇAMENTO!$AF$11)),
         0)</f>
        <v>0</v>
      </c>
      <c r="BJ131" s="453">
        <f ca="1">IF(AND($D131="Serviço",BJ$12&lt;&gt;0,$H131&gt;0,OR(AUTOEVENTO&lt;&gt;"manual",$M131&lt;&gt;$A$15)),
        IF(Import.TipoArredondamento&lt;&gt;"TransfereGOV",
              ROUND(OFFSET($P131,0,BJ$13),15-13*ORÇAMENTO!$AF$7)/$H131*OFFSET(ORÇAMENTO!$X$15,ROW(BJ131)-ROW(BJ$15),0),
              ROUND(ROUND(OFFSET($P131,0,BJ$13),15-13*ORÇAMENTO!$AF$7)*OFFSET(ORÇAMENTO!$W$15,ROW(BJ131)-ROW(BJ$15),0),15-13*ORÇAMENTO!$AF$11)),
         0)</f>
        <v>0</v>
      </c>
      <c r="BK131" s="453">
        <f ca="1">IF(AND($D131="Serviço",BK$12&lt;&gt;0,$H131&gt;0,OR(AUTOEVENTO&lt;&gt;"manual",$M131&lt;&gt;$A$15)),
        IF(Import.TipoArredondamento&lt;&gt;"TransfereGOV",
              ROUND(OFFSET($P131,0,BK$13),15-13*ORÇAMENTO!$AF$7)/$H131*OFFSET(ORÇAMENTO!$X$15,ROW(BK131)-ROW(BK$15),0),
              ROUND(ROUND(OFFSET($P131,0,BK$13),15-13*ORÇAMENTO!$AF$7)*OFFSET(ORÇAMENTO!$W$15,ROW(BK131)-ROW(BK$15),0),15-13*ORÇAMENTO!$AF$11)),
         0)</f>
        <v>0</v>
      </c>
      <c r="BL131" s="453">
        <f ca="1">IF(AND($D131="Serviço",BL$12&lt;&gt;0,$H131&gt;0,OR(AUTOEVENTO&lt;&gt;"manual",$M131&lt;&gt;$A$15)),
        IF(Import.TipoArredondamento&lt;&gt;"TransfereGOV",
              ROUND(OFFSET($P131,0,BL$13),15-13*ORÇAMENTO!$AF$7)/$H131*OFFSET(ORÇAMENTO!$X$15,ROW(BL131)-ROW(BL$15),0),
              ROUND(ROUND(OFFSET($P131,0,BL$13),15-13*ORÇAMENTO!$AF$7)*OFFSET(ORÇAMENTO!$W$15,ROW(BL131)-ROW(BL$15),0),15-13*ORÇAMENTO!$AF$11)),
         0)</f>
        <v>0</v>
      </c>
      <c r="BM131" s="453">
        <f ca="1">IF(AND($D131="Serviço",BM$12&lt;&gt;0,$H131&gt;0,OR(AUTOEVENTO&lt;&gt;"manual",$M131&lt;&gt;$A$15)),
        IF(Import.TipoArredondamento&lt;&gt;"TransfereGOV",
              ROUND(OFFSET($P131,0,BM$13),15-13*ORÇAMENTO!$AF$7)/$H131*OFFSET(ORÇAMENTO!$X$15,ROW(BM131)-ROW(BM$15),0),
              ROUND(ROUND(OFFSET($P131,0,BM$13),15-13*ORÇAMENTO!$AF$7)*OFFSET(ORÇAMENTO!$W$15,ROW(BM131)-ROW(BM$15),0),15-13*ORÇAMENTO!$AF$11)),
         0)</f>
        <v>0</v>
      </c>
      <c r="BN131" s="453">
        <f ca="1">IF(AND($D131="Serviço",BN$12&lt;&gt;0,$H131&gt;0,OR(AUTOEVENTO&lt;&gt;"manual",$M131&lt;&gt;$A$15)),
        IF(Import.TipoArredondamento&lt;&gt;"TransfereGOV",
              ROUND(OFFSET($P131,0,BN$13),15-13*ORÇAMENTO!$AF$7)/$H131*OFFSET(ORÇAMENTO!$X$15,ROW(BN131)-ROW(BN$15),0),
              ROUND(ROUND(OFFSET($P131,0,BN$13),15-13*ORÇAMENTO!$AF$7)*OFFSET(ORÇAMENTO!$W$15,ROW(BN131)-ROW(BN$15),0),15-13*ORÇAMENTO!$AF$11)),
         0)</f>
        <v>0</v>
      </c>
      <c r="BO131" s="453">
        <f ca="1">IF(AND($D131="Serviço",BO$12&lt;&gt;0,$H131&gt;0,OR(AUTOEVENTO&lt;&gt;"manual",$M131&lt;&gt;$A$15)),
        IF(Import.TipoArredondamento&lt;&gt;"TransfereGOV",
              ROUND(OFFSET($P131,0,BO$13),15-13*ORÇAMENTO!$AF$7)/$H131*OFFSET(ORÇAMENTO!$X$15,ROW(BO131)-ROW(BO$15),0),
              ROUND(ROUND(OFFSET($P131,0,BO$13),15-13*ORÇAMENTO!$AF$7)*OFFSET(ORÇAMENTO!$W$15,ROW(BO131)-ROW(BO$15),0),15-13*ORÇAMENTO!$AF$11)),
         0)</f>
        <v>0</v>
      </c>
      <c r="BP131" s="453">
        <f ca="1">IF(AND($D131="Serviço",BP$12&lt;&gt;0,$H131&gt;0,OR(AUTOEVENTO&lt;&gt;"manual",$M131&lt;&gt;$A$15)),
        IF(Import.TipoArredondamento&lt;&gt;"TransfereGOV",
              ROUND(OFFSET($P131,0,BP$13),15-13*ORÇAMENTO!$AF$7)/$H131*OFFSET(ORÇAMENTO!$X$15,ROW(BP131)-ROW(BP$15),0),
              ROUND(ROUND(OFFSET($P131,0,BP$13),15-13*ORÇAMENTO!$AF$7)*OFFSET(ORÇAMENTO!$W$15,ROW(BP131)-ROW(BP$15),0),15-13*ORÇAMENTO!$AF$11)),
         0)</f>
        <v>0</v>
      </c>
      <c r="BQ131" s="453">
        <f ca="1">IF(AND($D131="Serviço",BQ$12&lt;&gt;0,$H131&gt;0,OR(AUTOEVENTO&lt;&gt;"manual",$M131&lt;&gt;$A$15)),
        IF(Import.TipoArredondamento&lt;&gt;"TransfereGOV",
              ROUND(OFFSET($P131,0,BQ$13),15-13*ORÇAMENTO!$AF$7)/$H131*OFFSET(ORÇAMENTO!$X$15,ROW(BQ131)-ROW(BQ$15),0),
              ROUND(ROUND(OFFSET($P131,0,BQ$13),15-13*ORÇAMENTO!$AF$7)*OFFSET(ORÇAMENTO!$W$15,ROW(BQ131)-ROW(BQ$15),0),15-13*ORÇAMENTO!$AF$11)),
         0)</f>
        <v>0</v>
      </c>
      <c r="BS131" s="171">
        <f ca="1">IF(OR($D131&lt;&gt;"Serviço",AND(AUTOEVENTO="Manual",$M131=$A$15)),0,
         IF(OFFSET(CRONOPLE!$F$15,$M131-$A$15,BS$13)=0,10^12,OFFSET(CRONOPLE!$F$15,$M131-$A$15,BS$13)))</f>
        <v>1</v>
      </c>
      <c r="BT131" s="171">
        <f ca="1">IF(OR($D131&lt;&gt;"Serviço",AND(AUTOEVENTO="Manual",$M131=$A$15)),0,
         IF(OFFSET(CRONOPLE!$F$15,$M131-$A$15,BT$13)=0,10^12,OFFSET(CRONOPLE!$F$15,$M131-$A$15,BT$13)))</f>
        <v>2</v>
      </c>
      <c r="BU131" s="171">
        <f ca="1">IF(OR($D131&lt;&gt;"Serviço",AND(AUTOEVENTO="Manual",$M131=$A$15)),0,
         IF(OFFSET(CRONOPLE!$F$15,$M131-$A$15,BU$13)=0,10^12,OFFSET(CRONOPLE!$F$15,$M131-$A$15,BU$13)))</f>
        <v>3</v>
      </c>
      <c r="BV131" s="171">
        <f ca="1">IF(OR($D131&lt;&gt;"Serviço",AND(AUTOEVENTO="Manual",$M131=$A$15)),0,
         IF(OFFSET(CRONOPLE!$F$15,$M131-$A$15,BV$13)=0,10^12,OFFSET(CRONOPLE!$F$15,$M131-$A$15,BV$13)))</f>
        <v>4</v>
      </c>
      <c r="BW131" s="171">
        <f ca="1">IF(OR($D131&lt;&gt;"Serviço",AND(AUTOEVENTO="Manual",$M131=$A$15)),0,
         IF(OFFSET(CRONOPLE!$F$15,$M131-$A$15,BW$13)=0,10^12,OFFSET(CRONOPLE!$F$15,$M131-$A$15,BW$13)))</f>
        <v>5</v>
      </c>
      <c r="BX131" s="171">
        <f ca="1">IF(OR($D131&lt;&gt;"Serviço",AND(AUTOEVENTO="Manual",$M131=$A$15)),0,
         IF(OFFSET(CRONOPLE!$F$15,$M131-$A$15,BX$13)=0,10^12,OFFSET(CRONOPLE!$F$15,$M131-$A$15,BX$13)))</f>
        <v>6</v>
      </c>
      <c r="BY131" s="171">
        <f ca="1">IF(OR($D131&lt;&gt;"Serviço",AND(AUTOEVENTO="Manual",$M131=$A$15)),0,
         IF(OFFSET(CRONOPLE!$F$15,$M131-$A$15,BY$13)=0,10^12,OFFSET(CRONOPLE!$F$15,$M131-$A$15,BY$13)))</f>
        <v>7</v>
      </c>
      <c r="BZ131" s="171">
        <f ca="1">IF(OR($D131&lt;&gt;"Serviço",AND(AUTOEVENTO="Manual",$M131=$A$15)),0,
         IF(OFFSET(CRONOPLE!$F$15,$M131-$A$15,BZ$13)=0,10^12,OFFSET(CRONOPLE!$F$15,$M131-$A$15,BZ$13)))</f>
        <v>8</v>
      </c>
      <c r="CA131" s="171">
        <f ca="1">IF(OR($D131&lt;&gt;"Serviço",AND(AUTOEVENTO="Manual",$M131=$A$15)),0,
         IF(OFFSET(CRONOPLE!$F$15,$M131-$A$15,CA$13)=0,10^12,OFFSET(CRONOPLE!$F$15,$M131-$A$15,CA$13)))</f>
        <v>9</v>
      </c>
      <c r="CB131" s="171">
        <f ca="1">IF(OR($D131&lt;&gt;"Serviço",AND(AUTOEVENTO="Manual",$M131=$A$15)),0,
         IF(OFFSET(CRONOPLE!$F$15,$M131-$A$15,CB$13)=0,10^12,OFFSET(CRONOPLE!$F$15,$M131-$A$15,CB$13)))</f>
        <v>10</v>
      </c>
      <c r="CC131" s="171">
        <f ca="1">IF(OR($D131&lt;&gt;"Serviço",AND(AUTOEVENTO="Manual",$M131=$A$15)),0,
         IF(OFFSET(CRONOPLE!$F$15,$M131-$A$15,CC$13)=0,10^12,OFFSET(CRONOPLE!$F$15,$M131-$A$15,CC$13)))</f>
        <v>11</v>
      </c>
      <c r="CD131" s="171">
        <f ca="1">IF(OR($D131&lt;&gt;"Serviço",AND(AUTOEVENTO="Manual",$M131=$A$15)),0,
         IF(OFFSET(CRONOPLE!$F$15,$M131-$A$15,CD$13)=0,10^12,OFFSET(CRONOPLE!$F$15,$M131-$A$15,CD$13)))</f>
        <v>12</v>
      </c>
      <c r="CE131" s="171">
        <f ca="1">IF(OR($D131&lt;&gt;"Serviço",AND(AUTOEVENTO="Manual",$M131=$A$15)),0,
         IF(OFFSET(CRONOPLE!$F$15,$M131-$A$15,CE$13)=0,10^12,OFFSET(CRONOPLE!$F$15,$M131-$A$15,CE$13)))</f>
        <v>13</v>
      </c>
      <c r="CF131" s="171">
        <f ca="1">IF(OR($D131&lt;&gt;"Serviço",AND(AUTOEVENTO="Manual",$M131=$A$15)),0,
         IF(OFFSET(CRONOPLE!$F$15,$M131-$A$15,CF$13)=0,10^12,OFFSET(CRONOPLE!$F$15,$M131-$A$15,CF$13)))</f>
        <v>14</v>
      </c>
      <c r="CG131" s="171">
        <f ca="1">IF(OR($D131&lt;&gt;"Serviço",AND(AUTOEVENTO="Manual",$M131=$A$15)),0,
         IF(OFFSET(CRONOPLE!$F$15,$M131-$A$15,CG$13)=0,10^12,OFFSET(CRONOPLE!$F$15,$M131-$A$15,CG$13)))</f>
        <v>15</v>
      </c>
      <c r="CH131" s="171">
        <f ca="1">IF(OR($D131&lt;&gt;"Serviço",AND(AUTOEVENTO="Manual",$M131=$A$15)),0,
         IF(OFFSET(CRONOPLE!$F$15,$M131-$A$15,CH$13)=0,10^12,OFFSET(CRONOPLE!$F$15,$M131-$A$15,CH$13)))</f>
        <v>16</v>
      </c>
      <c r="CI131" s="171">
        <f ca="1">IF(OR($D131&lt;&gt;"Serviço",AND(AUTOEVENTO="Manual",$M131=$A$15)),0,
         IF(OFFSET(CRONOPLE!$F$15,$M131-$A$15,CI$13)=0,10^12,OFFSET(CRONOPLE!$F$15,$M131-$A$15,CI$13)))</f>
        <v>17</v>
      </c>
      <c r="CJ131" s="171">
        <f ca="1">IF(OR($D131&lt;&gt;"Serviço",AND(AUTOEVENTO="Manual",$M131=$A$15)),0,
         IF(OFFSET(CRONOPLE!$F$15,$M131-$A$15,CJ$13)=0,10^12,OFFSET(CRONOPLE!$F$15,$M131-$A$15,CJ$13)))</f>
        <v>18</v>
      </c>
      <c r="CK131" s="171">
        <f ca="1">IF(OR($D131&lt;&gt;"Serviço",AND(AUTOEVENTO="Manual",$M131=$A$15)),0,
         IF(OFFSET(CRONOPLE!$F$15,$M131-$A$15,CK$13)=0,10^12,OFFSET(CRONOPLE!$F$15,$M131-$A$15,CK$13)))</f>
        <v>19</v>
      </c>
      <c r="CL131" s="171">
        <f ca="1">IF(OR($D131&lt;&gt;"Serviço",AND(AUTOEVENTO="Manual",$M131=$A$15)),0,
         IF(OFFSET(CRONOPLE!$F$15,$M131-$A$15,CL$13)=0,10^12,OFFSET(CRONOPLE!$F$15,$M131-$A$15,CL$13)))</f>
        <v>20</v>
      </c>
      <c r="CM131" s="171">
        <f ca="1">IF(OR($D131&lt;&gt;"Serviço",AND(AUTOEVENTO="Manual",$M131=$A$15)),0,
         IF(OFFSET(CRONOPLE!$F$15,$M131-$A$15,CM$13)=0,10^12,OFFSET(CRONOPLE!$F$15,$M131-$A$15,CM$13)))</f>
        <v>1000000000000</v>
      </c>
      <c r="CN131" s="171">
        <f ca="1">IF(OR($D131&lt;&gt;"Serviço",AND(AUTOEVENTO="Manual",$M131=$A$15)),0,
         IF(OFFSET(CRONOPLE!$F$15,$M131-$A$15,CN$13)=0,10^12,OFFSET(CRONOPLE!$F$15,$M131-$A$15,CN$13)))</f>
        <v>1000000000000</v>
      </c>
      <c r="CO131" s="171">
        <f ca="1">IF(OR($D131&lt;&gt;"Serviço",AND(AUTOEVENTO="Manual",$M131=$A$15)),0,
         IF(OFFSET(CRONOPLE!$F$15,$M131-$A$15,CO$13)=0,10^12,OFFSET(CRONOPLE!$F$15,$M131-$A$15,CO$13)))</f>
        <v>1000000000000</v>
      </c>
      <c r="CP131" s="171">
        <f ca="1">IF(OR($D131&lt;&gt;"Serviço",AND(AUTOEVENTO="Manual",$M131=$A$15)),0,
         IF(OFFSET(CRONOPLE!$F$15,$M131-$A$15,CP$13)=0,10^12,OFFSET(CRONOPLE!$F$15,$M131-$A$15,CP$13)))</f>
        <v>1000000000000</v>
      </c>
      <c r="CQ131" s="171">
        <f ca="1">IF(OR($D131&lt;&gt;"Serviço",AND(AUTOEVENTO="Manual",$M131=$A$15)),0,
         IF(OFFSET(CRONOPLE!$F$15,$M131-$A$15,CQ$13)=0,10^12,OFFSET(CRONOPLE!$F$15,$M131-$A$15,CQ$13)))</f>
        <v>1000000000000</v>
      </c>
      <c r="CR131" s="171">
        <f ca="1">IF(OR($D131&lt;&gt;"Serviço",AND(AUTOEVENTO="Manual",$M131=$A$15)),0,
         IF(OFFSET(CRONOPLE!$F$15,$M131-$A$15,CR$13)=0,10^12,OFFSET(CRONOPLE!$F$15,$M131-$A$15,CR$13)))</f>
        <v>1000000000000</v>
      </c>
      <c r="CT131" s="172" cm="1">
        <f t="array" aca="1" ref="CT131" ca="1">IF(OR($D131&lt;&gt;"Serviço",AND(AUTOEVENTO="Manual",$M131=$A$15),$M131&gt;(ROW(PLE.lastrow)-ROW(PLE.firstrow))),0,
           IF(OFFSET(PLE!$G$15,$M131-$A$15,CT$13)="",10^12,OFFSET(PLE!$G$15,$M131-$A$15,CT$13)))</f>
        <v>1000000000000</v>
      </c>
      <c r="CU131" s="172" cm="1">
        <f t="array" aca="1" ref="CU131" ca="1">IF(OR($D131&lt;&gt;"Serviço",AND(AUTOEVENTO="Manual",$M131=$A$15),$M131&gt;(ROW(PLE.lastrow)-ROW(PLE.firstrow))),0,
           IF(OFFSET(PLE!$G$15,$M131-$A$15,CU$13)="",10^12,OFFSET(PLE!$G$15,$M131-$A$15,CU$13)))</f>
        <v>1000000000000</v>
      </c>
      <c r="CV131" s="172" cm="1">
        <f t="array" aca="1" ref="CV131" ca="1">IF(OR($D131&lt;&gt;"Serviço",AND(AUTOEVENTO="Manual",$M131=$A$15),$M131&gt;(ROW(PLE.lastrow)-ROW(PLE.firstrow))),0,
           IF(OFFSET(PLE!$G$15,$M131-$A$15,CV$13)="",10^12,OFFSET(PLE!$G$15,$M131-$A$15,CV$13)))</f>
        <v>1000000000000</v>
      </c>
      <c r="CW131" s="172" cm="1">
        <f t="array" aca="1" ref="CW131" ca="1">IF(OR($D131&lt;&gt;"Serviço",AND(AUTOEVENTO="Manual",$M131=$A$15),$M131&gt;(ROW(PLE.lastrow)-ROW(PLE.firstrow))),0,
           IF(OFFSET(PLE!$G$15,$M131-$A$15,CW$13)="",10^12,OFFSET(PLE!$G$15,$M131-$A$15,CW$13)))</f>
        <v>1000000000000</v>
      </c>
      <c r="CX131" s="172" cm="1">
        <f t="array" aca="1" ref="CX131" ca="1">IF(OR($D131&lt;&gt;"Serviço",AND(AUTOEVENTO="Manual",$M131=$A$15),$M131&gt;(ROW(PLE.lastrow)-ROW(PLE.firstrow))),0,
           IF(OFFSET(PLE!$G$15,$M131-$A$15,CX$13)="",10^12,OFFSET(PLE!$G$15,$M131-$A$15,CX$13)))</f>
        <v>1000000000000</v>
      </c>
      <c r="CY131" s="172" cm="1">
        <f t="array" aca="1" ref="CY131" ca="1">IF(OR($D131&lt;&gt;"Serviço",AND(AUTOEVENTO="Manual",$M131=$A$15),$M131&gt;(ROW(PLE.lastrow)-ROW(PLE.firstrow))),0,
           IF(OFFSET(PLE!$G$15,$M131-$A$15,CY$13)="",10^12,OFFSET(PLE!$G$15,$M131-$A$15,CY$13)))</f>
        <v>1000000000000</v>
      </c>
      <c r="CZ131" s="172" cm="1">
        <f t="array" aca="1" ref="CZ131" ca="1">IF(OR($D131&lt;&gt;"Serviço",AND(AUTOEVENTO="Manual",$M131=$A$15),$M131&gt;(ROW(PLE.lastrow)-ROW(PLE.firstrow))),0,
           IF(OFFSET(PLE!$G$15,$M131-$A$15,CZ$13)="",10^12,OFFSET(PLE!$G$15,$M131-$A$15,CZ$13)))</f>
        <v>1000000000000</v>
      </c>
      <c r="DA131" s="172" cm="1">
        <f t="array" aca="1" ref="DA131" ca="1">IF(OR($D131&lt;&gt;"Serviço",AND(AUTOEVENTO="Manual",$M131=$A$15),$M131&gt;(ROW(PLE.lastrow)-ROW(PLE.firstrow))),0,
           IF(OFFSET(PLE!$G$15,$M131-$A$15,DA$13)="",10^12,OFFSET(PLE!$G$15,$M131-$A$15,DA$13)))</f>
        <v>1000000000000</v>
      </c>
      <c r="DB131" s="172" cm="1">
        <f t="array" aca="1" ref="DB131" ca="1">IF(OR($D131&lt;&gt;"Serviço",AND(AUTOEVENTO="Manual",$M131=$A$15),$M131&gt;(ROW(PLE.lastrow)-ROW(PLE.firstrow))),0,
           IF(OFFSET(PLE!$G$15,$M131-$A$15,DB$13)="",10^12,OFFSET(PLE!$G$15,$M131-$A$15,DB$13)))</f>
        <v>1000000000000</v>
      </c>
      <c r="DC131" s="172" cm="1">
        <f t="array" aca="1" ref="DC131" ca="1">IF(OR($D131&lt;&gt;"Serviço",AND(AUTOEVENTO="Manual",$M131=$A$15),$M131&gt;(ROW(PLE.lastrow)-ROW(PLE.firstrow))),0,
           IF(OFFSET(PLE!$G$15,$M131-$A$15,DC$13)="",10^12,OFFSET(PLE!$G$15,$M131-$A$15,DC$13)))</f>
        <v>1000000000000</v>
      </c>
      <c r="DD131" s="172" cm="1">
        <f t="array" aca="1" ref="DD131" ca="1">IF(OR($D131&lt;&gt;"Serviço",AND(AUTOEVENTO="Manual",$M131=$A$15),$M131&gt;(ROW(PLE.lastrow)-ROW(PLE.firstrow))),0,
           IF(OFFSET(PLE!$G$15,$M131-$A$15,DD$13)="",10^12,OFFSET(PLE!$G$15,$M131-$A$15,DD$13)))</f>
        <v>1000000000000</v>
      </c>
      <c r="DE131" s="172" cm="1">
        <f t="array" aca="1" ref="DE131" ca="1">IF(OR($D131&lt;&gt;"Serviço",AND(AUTOEVENTO="Manual",$M131=$A$15),$M131&gt;(ROW(PLE.lastrow)-ROW(PLE.firstrow))),0,
           IF(OFFSET(PLE!$G$15,$M131-$A$15,DE$13)="",10^12,OFFSET(PLE!$G$15,$M131-$A$15,DE$13)))</f>
        <v>1000000000000</v>
      </c>
      <c r="DF131" s="172" cm="1">
        <f t="array" aca="1" ref="DF131" ca="1">IF(OR($D131&lt;&gt;"Serviço",AND(AUTOEVENTO="Manual",$M131=$A$15),$M131&gt;(ROW(PLE.lastrow)-ROW(PLE.firstrow))),0,
           IF(OFFSET(PLE!$G$15,$M131-$A$15,DF$13)="",10^12,OFFSET(PLE!$G$15,$M131-$A$15,DF$13)))</f>
        <v>1000000000000</v>
      </c>
      <c r="DG131" s="172" cm="1">
        <f t="array" aca="1" ref="DG131" ca="1">IF(OR($D131&lt;&gt;"Serviço",AND(AUTOEVENTO="Manual",$M131=$A$15),$M131&gt;(ROW(PLE.lastrow)-ROW(PLE.firstrow))),0,
           IF(OFFSET(PLE!$G$15,$M131-$A$15,DG$13)="",10^12,OFFSET(PLE!$G$15,$M131-$A$15,DG$13)))</f>
        <v>1000000000000</v>
      </c>
      <c r="DH131" s="172" cm="1">
        <f t="array" aca="1" ref="DH131" ca="1">IF(OR($D131&lt;&gt;"Serviço",AND(AUTOEVENTO="Manual",$M131=$A$15),$M131&gt;(ROW(PLE.lastrow)-ROW(PLE.firstrow))),0,
           IF(OFFSET(PLE!$G$15,$M131-$A$15,DH$13)="",10^12,OFFSET(PLE!$G$15,$M131-$A$15,DH$13)))</f>
        <v>1000000000000</v>
      </c>
      <c r="DI131" s="172" cm="1">
        <f t="array" aca="1" ref="DI131" ca="1">IF(OR($D131&lt;&gt;"Serviço",AND(AUTOEVENTO="Manual",$M131=$A$15),$M131&gt;(ROW(PLE.lastrow)-ROW(PLE.firstrow))),0,
           IF(OFFSET(PLE!$G$15,$M131-$A$15,DI$13)="",10^12,OFFSET(PLE!$G$15,$M131-$A$15,DI$13)))</f>
        <v>1000000000000</v>
      </c>
      <c r="DJ131" s="172" cm="1">
        <f t="array" aca="1" ref="DJ131" ca="1">IF(OR($D131&lt;&gt;"Serviço",AND(AUTOEVENTO="Manual",$M131=$A$15),$M131&gt;(ROW(PLE.lastrow)-ROW(PLE.firstrow))),0,
           IF(OFFSET(PLE!$G$15,$M131-$A$15,DJ$13)="",10^12,OFFSET(PLE!$G$15,$M131-$A$15,DJ$13)))</f>
        <v>1000000000000</v>
      </c>
      <c r="DK131" s="172" cm="1">
        <f t="array" aca="1" ref="DK131" ca="1">IF(OR($D131&lt;&gt;"Serviço",AND(AUTOEVENTO="Manual",$M131=$A$15),$M131&gt;(ROW(PLE.lastrow)-ROW(PLE.firstrow))),0,
           IF(OFFSET(PLE!$G$15,$M131-$A$15,DK$13)="",10^12,OFFSET(PLE!$G$15,$M131-$A$15,DK$13)))</f>
        <v>1000000000000</v>
      </c>
      <c r="DL131" s="172" cm="1">
        <f t="array" aca="1" ref="DL131" ca="1">IF(OR($D131&lt;&gt;"Serviço",AND(AUTOEVENTO="Manual",$M131=$A$15),$M131&gt;(ROW(PLE.lastrow)-ROW(PLE.firstrow))),0,
           IF(OFFSET(PLE!$G$15,$M131-$A$15,DL$13)="",10^12,OFFSET(PLE!$G$15,$M131-$A$15,DL$13)))</f>
        <v>1000000000000</v>
      </c>
      <c r="DM131" s="172" cm="1">
        <f t="array" aca="1" ref="DM131" ca="1">IF(OR($D131&lt;&gt;"Serviço",AND(AUTOEVENTO="Manual",$M131=$A$15),$M131&gt;(ROW(PLE.lastrow)-ROW(PLE.firstrow))),0,
           IF(OFFSET(PLE!$G$15,$M131-$A$15,DM$13)="",10^12,OFFSET(PLE!$G$15,$M131-$A$15,DM$13)))</f>
        <v>1000000000000</v>
      </c>
      <c r="DN131" s="172" cm="1">
        <f t="array" aca="1" ref="DN131" ca="1">IF(OR($D131&lt;&gt;"Serviço",AND(AUTOEVENTO="Manual",$M131=$A$15),$M131&gt;(ROW(PLE.lastrow)-ROW(PLE.firstrow))),0,
           IF(OFFSET(PLE!$G$15,$M131-$A$15,DN$13)="",10^12,OFFSET(PLE!$G$15,$M131-$A$15,DN$13)))</f>
        <v>1000000000000</v>
      </c>
      <c r="DO131" s="172" cm="1">
        <f t="array" aca="1" ref="DO131" ca="1">IF(OR($D131&lt;&gt;"Serviço",AND(AUTOEVENTO="Manual",$M131=$A$15),$M131&gt;(ROW(PLE.lastrow)-ROW(PLE.firstrow))),0,
           IF(OFFSET(PLE!$G$15,$M131-$A$15,DO$13)="",10^12,OFFSET(PLE!$G$15,$M131-$A$15,DO$13)))</f>
        <v>1000000000000</v>
      </c>
      <c r="DP131" s="172" cm="1">
        <f t="array" aca="1" ref="DP131" ca="1">IF(OR($D131&lt;&gt;"Serviço",AND(AUTOEVENTO="Manual",$M131=$A$15),$M131&gt;(ROW(PLE.lastrow)-ROW(PLE.firstrow))),0,
           IF(OFFSET(PLE!$G$15,$M131-$A$15,DP$13)="",10^12,OFFSET(PLE!$G$15,$M131-$A$15,DP$13)))</f>
        <v>1000000000000</v>
      </c>
      <c r="DQ131" s="172" cm="1">
        <f t="array" aca="1" ref="DQ131" ca="1">IF(OR($D131&lt;&gt;"Serviço",AND(AUTOEVENTO="Manual",$M131=$A$15),$M131&gt;(ROW(PLE.lastrow)-ROW(PLE.firstrow))),0,
           IF(OFFSET(PLE!$G$15,$M131-$A$15,DQ$13)="",10^12,OFFSET(PLE!$G$15,$M131-$A$15,DQ$13)))</f>
        <v>1000000000000</v>
      </c>
      <c r="DR131" s="172" cm="1">
        <f t="array" aca="1" ref="DR131" ca="1">IF(OR($D131&lt;&gt;"Serviço",AND(AUTOEVENTO="Manual",$M131=$A$15),$M131&gt;(ROW(PLE.lastrow)-ROW(PLE.firstrow))),0,
           IF(OFFSET(PLE!$G$15,$M131-$A$15,DR$13)="",10^12,OFFSET(PLE!$G$15,$M131-$A$15,DR$13)))</f>
        <v>1000000000000</v>
      </c>
      <c r="DS131" s="172" cm="1">
        <f t="array" aca="1" ref="DS131" ca="1">IF(OR($D131&lt;&gt;"Serviço",AND(AUTOEVENTO="Manual",$M131=$A$15),$M131&gt;(ROW(PLE.lastrow)-ROW(PLE.firstrow))),0,
           IF(OFFSET(PLE!$G$15,$M131-$A$15,DS$13)="",10^12,OFFSET(PLE!$G$15,$M131-$A$15,DS$13)))</f>
        <v>1000000000000</v>
      </c>
    </row>
    <row r="132" spans="1:123" ht="12.75" x14ac:dyDescent="0.2">
      <c r="A132" s="7">
        <f t="shared" ca="1" si="15"/>
        <v>0</v>
      </c>
      <c r="B132" s="7">
        <f ca="1">OFFSET(ORÇAMENTO!C$15,$L132,0)</f>
        <v>1</v>
      </c>
      <c r="C132" s="7" t="str">
        <f ca="1">OFFSET(ORÇAMENTO!L$15,$L132,0)</f>
        <v>F</v>
      </c>
      <c r="D132" s="116" t="str">
        <f ca="1">OFFSET(ORÇAMENTO!N$15,$L132,0)</f>
        <v>Meta</v>
      </c>
      <c r="E132" s="117" t="str">
        <f ca="1">OFFSET(ORÇAMENTO!O$15,$L132,0)</f>
        <v>9.</v>
      </c>
      <c r="F132" s="163" t="str">
        <f ca="1">OFFSET(ORÇAMENTO!R$15,$L132,0)</f>
        <v>INSTALAÇÕES</v>
      </c>
      <c r="G132" s="164" t="str">
        <f ca="1">IF($D132&lt;&gt;"Serviço","",OFFSET(ORÇAMENTO!S$15,$L132,0))</f>
        <v/>
      </c>
      <c r="H132" s="122" cm="1">
        <f t="array" aca="1" ref="H132" ca="1">IF($D132&lt;&gt;"Serviço",0,IF(ACOMPANHAMENTO="BM",ROUND(OFFSET(ORÇAMENTO!AJ$15,$L132,0),15-13*ORÇAMENTO!$AF$7),IF(IFERROR(CÁLCULO.FrentesPreenchidas,0)=0,0,SUM(ROUND(OFFSET($P132,0,1,1,CÁLCULO.FrentesPreenchidas),15-13*ORÇAMENTO!$AF$7)))))</f>
        <v>0</v>
      </c>
      <c r="I132" s="468"/>
      <c r="J132" s="651" t="str" cm="1">
        <f t="array" aca="1" ref="J132" ca="1">IF(OR(B132&lt;&gt;"S",CÁLCULO.FrentesPreenchidas=0),"",IF(AND(ACOMPANHAMENTO="PLE",AUTOEVENTO="Manual",OR(H132&gt;0,ORÇAMENTO!AC132="QUANT."),OR(K132="",M132=0,N132="")),"►E",IF(AND(ACOMPANHAMENTO="PLE",ORÇAMENTO!AC132="QUANT."),"►Q",IF(AND(ACOMPANHAMENTO="PLE",H132&lt;&gt;SUMPRODUCT(($Q$1:$AQ$1=1)*ROUND(Q132:AQ132,15))),"►S",IF(AND(COUNTIF($P$11:$AQ$11,"▼")=0,H132&gt;0,I132=""),"◄M","")))))</f>
        <v/>
      </c>
      <c r="K132" s="652"/>
      <c r="L132" s="165">
        <f t="shared" ca="1" si="14"/>
        <v>117</v>
      </c>
      <c r="M132" s="166" t="str">
        <f ca="1">IF($D132&lt;&gt;"Serviço","",
          IF(AUTOEVENTO="manual",$A132,
                IF(ISERROR(MATCH($A132,$A$15:OFFSET($A132,-1,0),0)),MAX($M$15:OFFSET(M132,-1,0))+1,
                      INDEX($M$15:OFFSET(M132,-1,0),MATCH($A132,$A$15:OFFSET($A132,-1,0),0)))))</f>
        <v/>
      </c>
      <c r="N132" s="167" t="str">
        <f ca="1">IF($D132&lt;&gt;"Serviço","",
         IF(AUTOEVENTO="Manual",
                IF($A132=0,"&lt;-- defina o número do agrupador",
                       OFFSET(EVENTOS!$D$15,$A132-$A$15,0)),
                OFFSET($F$15,$A132,0)))</f>
        <v/>
      </c>
      <c r="O132" s="168"/>
      <c r="Q132" s="168"/>
      <c r="R132" s="169"/>
      <c r="S132" s="169"/>
      <c r="T132" s="169"/>
      <c r="U132" s="169"/>
      <c r="V132" s="169"/>
      <c r="W132" s="169"/>
      <c r="X132" s="169"/>
      <c r="Y132" s="169"/>
      <c r="Z132" s="170"/>
      <c r="AA132" s="169"/>
      <c r="AB132" s="169"/>
      <c r="AC132" s="169"/>
      <c r="AD132" s="169"/>
      <c r="AE132" s="169"/>
      <c r="AF132" s="169"/>
      <c r="AG132" s="169"/>
      <c r="AH132" s="170"/>
      <c r="AI132" s="169"/>
      <c r="AJ132" s="169"/>
      <c r="AK132" s="169"/>
      <c r="AL132" s="169"/>
      <c r="AM132" s="169"/>
      <c r="AN132" s="169"/>
      <c r="AO132" s="169"/>
      <c r="AP132" s="170"/>
      <c r="AR132" s="453">
        <f ca="1">IF(AND($D132="Serviço",AR$12&lt;&gt;0,$H132&gt;0,OR(AUTOEVENTO&lt;&gt;"manual",$M132&lt;&gt;$A$15)),
        IF(Import.TipoArredondamento&lt;&gt;"TransfereGOV",
              ROUND(OFFSET($P132,0,AR$13),15-13*ORÇAMENTO!$AF$7)/$H132*OFFSET(ORÇAMENTO!$X$15,ROW(AR132)-ROW(AR$15),0),
              ROUND(ROUND(OFFSET($P132,0,AR$13),15-13*ORÇAMENTO!$AF$7)*OFFSET(ORÇAMENTO!$W$15,ROW(AR132)-ROW(AR$15),0),15-13*ORÇAMENTO!$AF$11)),
         0)</f>
        <v>0</v>
      </c>
      <c r="AS132" s="453">
        <f ca="1">IF(AND($D132="Serviço",AS$12&lt;&gt;0,$H132&gt;0,OR(AUTOEVENTO&lt;&gt;"manual",$M132&lt;&gt;$A$15)),
        IF(Import.TipoArredondamento&lt;&gt;"TransfereGOV",
              ROUND(OFFSET($P132,0,AS$13),15-13*ORÇAMENTO!$AF$7)/$H132*OFFSET(ORÇAMENTO!$X$15,ROW(AS132)-ROW(AS$15),0),
              ROUND(ROUND(OFFSET($P132,0,AS$13),15-13*ORÇAMENTO!$AF$7)*OFFSET(ORÇAMENTO!$W$15,ROW(AS132)-ROW(AS$15),0),15-13*ORÇAMENTO!$AF$11)),
         0)</f>
        <v>0</v>
      </c>
      <c r="AT132" s="453">
        <f ca="1">IF(AND($D132="Serviço",AT$12&lt;&gt;0,$H132&gt;0,OR(AUTOEVENTO&lt;&gt;"manual",$M132&lt;&gt;$A$15)),
        IF(Import.TipoArredondamento&lt;&gt;"TransfereGOV",
              ROUND(OFFSET($P132,0,AT$13),15-13*ORÇAMENTO!$AF$7)/$H132*OFFSET(ORÇAMENTO!$X$15,ROW(AT132)-ROW(AT$15),0),
              ROUND(ROUND(OFFSET($P132,0,AT$13),15-13*ORÇAMENTO!$AF$7)*OFFSET(ORÇAMENTO!$W$15,ROW(AT132)-ROW(AT$15),0),15-13*ORÇAMENTO!$AF$11)),
         0)</f>
        <v>0</v>
      </c>
      <c r="AU132" s="453">
        <f ca="1">IF(AND($D132="Serviço",AU$12&lt;&gt;0,$H132&gt;0,OR(AUTOEVENTO&lt;&gt;"manual",$M132&lt;&gt;$A$15)),
        IF(Import.TipoArredondamento&lt;&gt;"TransfereGOV",
              ROUND(OFFSET($P132,0,AU$13),15-13*ORÇAMENTO!$AF$7)/$H132*OFFSET(ORÇAMENTO!$X$15,ROW(AU132)-ROW(AU$15),0),
              ROUND(ROUND(OFFSET($P132,0,AU$13),15-13*ORÇAMENTO!$AF$7)*OFFSET(ORÇAMENTO!$W$15,ROW(AU132)-ROW(AU$15),0),15-13*ORÇAMENTO!$AF$11)),
         0)</f>
        <v>0</v>
      </c>
      <c r="AV132" s="453">
        <f ca="1">IF(AND($D132="Serviço",AV$12&lt;&gt;0,$H132&gt;0,OR(AUTOEVENTO&lt;&gt;"manual",$M132&lt;&gt;$A$15)),
        IF(Import.TipoArredondamento&lt;&gt;"TransfereGOV",
              ROUND(OFFSET($P132,0,AV$13),15-13*ORÇAMENTO!$AF$7)/$H132*OFFSET(ORÇAMENTO!$X$15,ROW(AV132)-ROW(AV$15),0),
              ROUND(ROUND(OFFSET($P132,0,AV$13),15-13*ORÇAMENTO!$AF$7)*OFFSET(ORÇAMENTO!$W$15,ROW(AV132)-ROW(AV$15),0),15-13*ORÇAMENTO!$AF$11)),
         0)</f>
        <v>0</v>
      </c>
      <c r="AW132" s="453">
        <f ca="1">IF(AND($D132="Serviço",AW$12&lt;&gt;0,$H132&gt;0,OR(AUTOEVENTO&lt;&gt;"manual",$M132&lt;&gt;$A$15)),
        IF(Import.TipoArredondamento&lt;&gt;"TransfereGOV",
              ROUND(OFFSET($P132,0,AW$13),15-13*ORÇAMENTO!$AF$7)/$H132*OFFSET(ORÇAMENTO!$X$15,ROW(AW132)-ROW(AW$15),0),
              ROUND(ROUND(OFFSET($P132,0,AW$13),15-13*ORÇAMENTO!$AF$7)*OFFSET(ORÇAMENTO!$W$15,ROW(AW132)-ROW(AW$15),0),15-13*ORÇAMENTO!$AF$11)),
         0)</f>
        <v>0</v>
      </c>
      <c r="AX132" s="453">
        <f ca="1">IF(AND($D132="Serviço",AX$12&lt;&gt;0,$H132&gt;0,OR(AUTOEVENTO&lt;&gt;"manual",$M132&lt;&gt;$A$15)),
        IF(Import.TipoArredondamento&lt;&gt;"TransfereGOV",
              ROUND(OFFSET($P132,0,AX$13),15-13*ORÇAMENTO!$AF$7)/$H132*OFFSET(ORÇAMENTO!$X$15,ROW(AX132)-ROW(AX$15),0),
              ROUND(ROUND(OFFSET($P132,0,AX$13),15-13*ORÇAMENTO!$AF$7)*OFFSET(ORÇAMENTO!$W$15,ROW(AX132)-ROW(AX$15),0),15-13*ORÇAMENTO!$AF$11)),
         0)</f>
        <v>0</v>
      </c>
      <c r="AY132" s="453">
        <f ca="1">IF(AND($D132="Serviço",AY$12&lt;&gt;0,$H132&gt;0,OR(AUTOEVENTO&lt;&gt;"manual",$M132&lt;&gt;$A$15)),
        IF(Import.TipoArredondamento&lt;&gt;"TransfereGOV",
              ROUND(OFFSET($P132,0,AY$13),15-13*ORÇAMENTO!$AF$7)/$H132*OFFSET(ORÇAMENTO!$X$15,ROW(AY132)-ROW(AY$15),0),
              ROUND(ROUND(OFFSET($P132,0,AY$13),15-13*ORÇAMENTO!$AF$7)*OFFSET(ORÇAMENTO!$W$15,ROW(AY132)-ROW(AY$15),0),15-13*ORÇAMENTO!$AF$11)),
         0)</f>
        <v>0</v>
      </c>
      <c r="AZ132" s="453">
        <f ca="1">IF(AND($D132="Serviço",AZ$12&lt;&gt;0,$H132&gt;0,OR(AUTOEVENTO&lt;&gt;"manual",$M132&lt;&gt;$A$15)),
        IF(Import.TipoArredondamento&lt;&gt;"TransfereGOV",
              ROUND(OFFSET($P132,0,AZ$13),15-13*ORÇAMENTO!$AF$7)/$H132*OFFSET(ORÇAMENTO!$X$15,ROW(AZ132)-ROW(AZ$15),0),
              ROUND(ROUND(OFFSET($P132,0,AZ$13),15-13*ORÇAMENTO!$AF$7)*OFFSET(ORÇAMENTO!$W$15,ROW(AZ132)-ROW(AZ$15),0),15-13*ORÇAMENTO!$AF$11)),
         0)</f>
        <v>0</v>
      </c>
      <c r="BA132" s="453">
        <f ca="1">IF(AND($D132="Serviço",BA$12&lt;&gt;0,$H132&gt;0,OR(AUTOEVENTO&lt;&gt;"manual",$M132&lt;&gt;$A$15)),
        IF(Import.TipoArredondamento&lt;&gt;"TransfereGOV",
              ROUND(OFFSET($P132,0,BA$13),15-13*ORÇAMENTO!$AF$7)/$H132*OFFSET(ORÇAMENTO!$X$15,ROW(BA132)-ROW(BA$15),0),
              ROUND(ROUND(OFFSET($P132,0,BA$13),15-13*ORÇAMENTO!$AF$7)*OFFSET(ORÇAMENTO!$W$15,ROW(BA132)-ROW(BA$15),0),15-13*ORÇAMENTO!$AF$11)),
         0)</f>
        <v>0</v>
      </c>
      <c r="BB132" s="453">
        <f ca="1">IF(AND($D132="Serviço",BB$12&lt;&gt;0,$H132&gt;0,OR(AUTOEVENTO&lt;&gt;"manual",$M132&lt;&gt;$A$15)),
        IF(Import.TipoArredondamento&lt;&gt;"TransfereGOV",
              ROUND(OFFSET($P132,0,BB$13),15-13*ORÇAMENTO!$AF$7)/$H132*OFFSET(ORÇAMENTO!$X$15,ROW(BB132)-ROW(BB$15),0),
              ROUND(ROUND(OFFSET($P132,0,BB$13),15-13*ORÇAMENTO!$AF$7)*OFFSET(ORÇAMENTO!$W$15,ROW(BB132)-ROW(BB$15),0),15-13*ORÇAMENTO!$AF$11)),
         0)</f>
        <v>0</v>
      </c>
      <c r="BC132" s="453">
        <f ca="1">IF(AND($D132="Serviço",BC$12&lt;&gt;0,$H132&gt;0,OR(AUTOEVENTO&lt;&gt;"manual",$M132&lt;&gt;$A$15)),
        IF(Import.TipoArredondamento&lt;&gt;"TransfereGOV",
              ROUND(OFFSET($P132,0,BC$13),15-13*ORÇAMENTO!$AF$7)/$H132*OFFSET(ORÇAMENTO!$X$15,ROW(BC132)-ROW(BC$15),0),
              ROUND(ROUND(OFFSET($P132,0,BC$13),15-13*ORÇAMENTO!$AF$7)*OFFSET(ORÇAMENTO!$W$15,ROW(BC132)-ROW(BC$15),0),15-13*ORÇAMENTO!$AF$11)),
         0)</f>
        <v>0</v>
      </c>
      <c r="BD132" s="453">
        <f ca="1">IF(AND($D132="Serviço",BD$12&lt;&gt;0,$H132&gt;0,OR(AUTOEVENTO&lt;&gt;"manual",$M132&lt;&gt;$A$15)),
        IF(Import.TipoArredondamento&lt;&gt;"TransfereGOV",
              ROUND(OFFSET($P132,0,BD$13),15-13*ORÇAMENTO!$AF$7)/$H132*OFFSET(ORÇAMENTO!$X$15,ROW(BD132)-ROW(BD$15),0),
              ROUND(ROUND(OFFSET($P132,0,BD$13),15-13*ORÇAMENTO!$AF$7)*OFFSET(ORÇAMENTO!$W$15,ROW(BD132)-ROW(BD$15),0),15-13*ORÇAMENTO!$AF$11)),
         0)</f>
        <v>0</v>
      </c>
      <c r="BE132" s="453">
        <f ca="1">IF(AND($D132="Serviço",BE$12&lt;&gt;0,$H132&gt;0,OR(AUTOEVENTO&lt;&gt;"manual",$M132&lt;&gt;$A$15)),
        IF(Import.TipoArredondamento&lt;&gt;"TransfereGOV",
              ROUND(OFFSET($P132,0,BE$13),15-13*ORÇAMENTO!$AF$7)/$H132*OFFSET(ORÇAMENTO!$X$15,ROW(BE132)-ROW(BE$15),0),
              ROUND(ROUND(OFFSET($P132,0,BE$13),15-13*ORÇAMENTO!$AF$7)*OFFSET(ORÇAMENTO!$W$15,ROW(BE132)-ROW(BE$15),0),15-13*ORÇAMENTO!$AF$11)),
         0)</f>
        <v>0</v>
      </c>
      <c r="BF132" s="453">
        <f ca="1">IF(AND($D132="Serviço",BF$12&lt;&gt;0,$H132&gt;0,OR(AUTOEVENTO&lt;&gt;"manual",$M132&lt;&gt;$A$15)),
        IF(Import.TipoArredondamento&lt;&gt;"TransfereGOV",
              ROUND(OFFSET($P132,0,BF$13),15-13*ORÇAMENTO!$AF$7)/$H132*OFFSET(ORÇAMENTO!$X$15,ROW(BF132)-ROW(BF$15),0),
              ROUND(ROUND(OFFSET($P132,0,BF$13),15-13*ORÇAMENTO!$AF$7)*OFFSET(ORÇAMENTO!$W$15,ROW(BF132)-ROW(BF$15),0),15-13*ORÇAMENTO!$AF$11)),
         0)</f>
        <v>0</v>
      </c>
      <c r="BG132" s="453">
        <f ca="1">IF(AND($D132="Serviço",BG$12&lt;&gt;0,$H132&gt;0,OR(AUTOEVENTO&lt;&gt;"manual",$M132&lt;&gt;$A$15)),
        IF(Import.TipoArredondamento&lt;&gt;"TransfereGOV",
              ROUND(OFFSET($P132,0,BG$13),15-13*ORÇAMENTO!$AF$7)/$H132*OFFSET(ORÇAMENTO!$X$15,ROW(BG132)-ROW(BG$15),0),
              ROUND(ROUND(OFFSET($P132,0,BG$13),15-13*ORÇAMENTO!$AF$7)*OFFSET(ORÇAMENTO!$W$15,ROW(BG132)-ROW(BG$15),0),15-13*ORÇAMENTO!$AF$11)),
         0)</f>
        <v>0</v>
      </c>
      <c r="BH132" s="453">
        <f ca="1">IF(AND($D132="Serviço",BH$12&lt;&gt;0,$H132&gt;0,OR(AUTOEVENTO&lt;&gt;"manual",$M132&lt;&gt;$A$15)),
        IF(Import.TipoArredondamento&lt;&gt;"TransfereGOV",
              ROUND(OFFSET($P132,0,BH$13),15-13*ORÇAMENTO!$AF$7)/$H132*OFFSET(ORÇAMENTO!$X$15,ROW(BH132)-ROW(BH$15),0),
              ROUND(ROUND(OFFSET($P132,0,BH$13),15-13*ORÇAMENTO!$AF$7)*OFFSET(ORÇAMENTO!$W$15,ROW(BH132)-ROW(BH$15),0),15-13*ORÇAMENTO!$AF$11)),
         0)</f>
        <v>0</v>
      </c>
      <c r="BI132" s="453">
        <f ca="1">IF(AND($D132="Serviço",BI$12&lt;&gt;0,$H132&gt;0,OR(AUTOEVENTO&lt;&gt;"manual",$M132&lt;&gt;$A$15)),
        IF(Import.TipoArredondamento&lt;&gt;"TransfereGOV",
              ROUND(OFFSET($P132,0,BI$13),15-13*ORÇAMENTO!$AF$7)/$H132*OFFSET(ORÇAMENTO!$X$15,ROW(BI132)-ROW(BI$15),0),
              ROUND(ROUND(OFFSET($P132,0,BI$13),15-13*ORÇAMENTO!$AF$7)*OFFSET(ORÇAMENTO!$W$15,ROW(BI132)-ROW(BI$15),0),15-13*ORÇAMENTO!$AF$11)),
         0)</f>
        <v>0</v>
      </c>
      <c r="BJ132" s="453">
        <f ca="1">IF(AND($D132="Serviço",BJ$12&lt;&gt;0,$H132&gt;0,OR(AUTOEVENTO&lt;&gt;"manual",$M132&lt;&gt;$A$15)),
        IF(Import.TipoArredondamento&lt;&gt;"TransfereGOV",
              ROUND(OFFSET($P132,0,BJ$13),15-13*ORÇAMENTO!$AF$7)/$H132*OFFSET(ORÇAMENTO!$X$15,ROW(BJ132)-ROW(BJ$15),0),
              ROUND(ROUND(OFFSET($P132,0,BJ$13),15-13*ORÇAMENTO!$AF$7)*OFFSET(ORÇAMENTO!$W$15,ROW(BJ132)-ROW(BJ$15),0),15-13*ORÇAMENTO!$AF$11)),
         0)</f>
        <v>0</v>
      </c>
      <c r="BK132" s="453">
        <f ca="1">IF(AND($D132="Serviço",BK$12&lt;&gt;0,$H132&gt;0,OR(AUTOEVENTO&lt;&gt;"manual",$M132&lt;&gt;$A$15)),
        IF(Import.TipoArredondamento&lt;&gt;"TransfereGOV",
              ROUND(OFFSET($P132,0,BK$13),15-13*ORÇAMENTO!$AF$7)/$H132*OFFSET(ORÇAMENTO!$X$15,ROW(BK132)-ROW(BK$15),0),
              ROUND(ROUND(OFFSET($P132,0,BK$13),15-13*ORÇAMENTO!$AF$7)*OFFSET(ORÇAMENTO!$W$15,ROW(BK132)-ROW(BK$15),0),15-13*ORÇAMENTO!$AF$11)),
         0)</f>
        <v>0</v>
      </c>
      <c r="BL132" s="453">
        <f ca="1">IF(AND($D132="Serviço",BL$12&lt;&gt;0,$H132&gt;0,OR(AUTOEVENTO&lt;&gt;"manual",$M132&lt;&gt;$A$15)),
        IF(Import.TipoArredondamento&lt;&gt;"TransfereGOV",
              ROUND(OFFSET($P132,0,BL$13),15-13*ORÇAMENTO!$AF$7)/$H132*OFFSET(ORÇAMENTO!$X$15,ROW(BL132)-ROW(BL$15),0),
              ROUND(ROUND(OFFSET($P132,0,BL$13),15-13*ORÇAMENTO!$AF$7)*OFFSET(ORÇAMENTO!$W$15,ROW(BL132)-ROW(BL$15),0),15-13*ORÇAMENTO!$AF$11)),
         0)</f>
        <v>0</v>
      </c>
      <c r="BM132" s="453">
        <f ca="1">IF(AND($D132="Serviço",BM$12&lt;&gt;0,$H132&gt;0,OR(AUTOEVENTO&lt;&gt;"manual",$M132&lt;&gt;$A$15)),
        IF(Import.TipoArredondamento&lt;&gt;"TransfereGOV",
              ROUND(OFFSET($P132,0,BM$13),15-13*ORÇAMENTO!$AF$7)/$H132*OFFSET(ORÇAMENTO!$X$15,ROW(BM132)-ROW(BM$15),0),
              ROUND(ROUND(OFFSET($P132,0,BM$13),15-13*ORÇAMENTO!$AF$7)*OFFSET(ORÇAMENTO!$W$15,ROW(BM132)-ROW(BM$15),0),15-13*ORÇAMENTO!$AF$11)),
         0)</f>
        <v>0</v>
      </c>
      <c r="BN132" s="453">
        <f ca="1">IF(AND($D132="Serviço",BN$12&lt;&gt;0,$H132&gt;0,OR(AUTOEVENTO&lt;&gt;"manual",$M132&lt;&gt;$A$15)),
        IF(Import.TipoArredondamento&lt;&gt;"TransfereGOV",
              ROUND(OFFSET($P132,0,BN$13),15-13*ORÇAMENTO!$AF$7)/$H132*OFFSET(ORÇAMENTO!$X$15,ROW(BN132)-ROW(BN$15),0),
              ROUND(ROUND(OFFSET($P132,0,BN$13),15-13*ORÇAMENTO!$AF$7)*OFFSET(ORÇAMENTO!$W$15,ROW(BN132)-ROW(BN$15),0),15-13*ORÇAMENTO!$AF$11)),
         0)</f>
        <v>0</v>
      </c>
      <c r="BO132" s="453">
        <f ca="1">IF(AND($D132="Serviço",BO$12&lt;&gt;0,$H132&gt;0,OR(AUTOEVENTO&lt;&gt;"manual",$M132&lt;&gt;$A$15)),
        IF(Import.TipoArredondamento&lt;&gt;"TransfereGOV",
              ROUND(OFFSET($P132,0,BO$13),15-13*ORÇAMENTO!$AF$7)/$H132*OFFSET(ORÇAMENTO!$X$15,ROW(BO132)-ROW(BO$15),0),
              ROUND(ROUND(OFFSET($P132,0,BO$13),15-13*ORÇAMENTO!$AF$7)*OFFSET(ORÇAMENTO!$W$15,ROW(BO132)-ROW(BO$15),0),15-13*ORÇAMENTO!$AF$11)),
         0)</f>
        <v>0</v>
      </c>
      <c r="BP132" s="453">
        <f ca="1">IF(AND($D132="Serviço",BP$12&lt;&gt;0,$H132&gt;0,OR(AUTOEVENTO&lt;&gt;"manual",$M132&lt;&gt;$A$15)),
        IF(Import.TipoArredondamento&lt;&gt;"TransfereGOV",
              ROUND(OFFSET($P132,0,BP$13),15-13*ORÇAMENTO!$AF$7)/$H132*OFFSET(ORÇAMENTO!$X$15,ROW(BP132)-ROW(BP$15),0),
              ROUND(ROUND(OFFSET($P132,0,BP$13),15-13*ORÇAMENTO!$AF$7)*OFFSET(ORÇAMENTO!$W$15,ROW(BP132)-ROW(BP$15),0),15-13*ORÇAMENTO!$AF$11)),
         0)</f>
        <v>0</v>
      </c>
      <c r="BQ132" s="453">
        <f ca="1">IF(AND($D132="Serviço",BQ$12&lt;&gt;0,$H132&gt;0,OR(AUTOEVENTO&lt;&gt;"manual",$M132&lt;&gt;$A$15)),
        IF(Import.TipoArredondamento&lt;&gt;"TransfereGOV",
              ROUND(OFFSET($P132,0,BQ$13),15-13*ORÇAMENTO!$AF$7)/$H132*OFFSET(ORÇAMENTO!$X$15,ROW(BQ132)-ROW(BQ$15),0),
              ROUND(ROUND(OFFSET($P132,0,BQ$13),15-13*ORÇAMENTO!$AF$7)*OFFSET(ORÇAMENTO!$W$15,ROW(BQ132)-ROW(BQ$15),0),15-13*ORÇAMENTO!$AF$11)),
         0)</f>
        <v>0</v>
      </c>
      <c r="BS132" s="171">
        <f ca="1">IF(OR($D132&lt;&gt;"Serviço",AND(AUTOEVENTO="Manual",$M132=$A$15)),0,
         IF(OFFSET(CRONOPLE!$F$15,$M132-$A$15,BS$13)=0,10^12,OFFSET(CRONOPLE!$F$15,$M132-$A$15,BS$13)))</f>
        <v>0</v>
      </c>
      <c r="BT132" s="171">
        <f ca="1">IF(OR($D132&lt;&gt;"Serviço",AND(AUTOEVENTO="Manual",$M132=$A$15)),0,
         IF(OFFSET(CRONOPLE!$F$15,$M132-$A$15,BT$13)=0,10^12,OFFSET(CRONOPLE!$F$15,$M132-$A$15,BT$13)))</f>
        <v>0</v>
      </c>
      <c r="BU132" s="171">
        <f ca="1">IF(OR($D132&lt;&gt;"Serviço",AND(AUTOEVENTO="Manual",$M132=$A$15)),0,
         IF(OFFSET(CRONOPLE!$F$15,$M132-$A$15,BU$13)=0,10^12,OFFSET(CRONOPLE!$F$15,$M132-$A$15,BU$13)))</f>
        <v>0</v>
      </c>
      <c r="BV132" s="171">
        <f ca="1">IF(OR($D132&lt;&gt;"Serviço",AND(AUTOEVENTO="Manual",$M132=$A$15)),0,
         IF(OFFSET(CRONOPLE!$F$15,$M132-$A$15,BV$13)=0,10^12,OFFSET(CRONOPLE!$F$15,$M132-$A$15,BV$13)))</f>
        <v>0</v>
      </c>
      <c r="BW132" s="171">
        <f ca="1">IF(OR($D132&lt;&gt;"Serviço",AND(AUTOEVENTO="Manual",$M132=$A$15)),0,
         IF(OFFSET(CRONOPLE!$F$15,$M132-$A$15,BW$13)=0,10^12,OFFSET(CRONOPLE!$F$15,$M132-$A$15,BW$13)))</f>
        <v>0</v>
      </c>
      <c r="BX132" s="171">
        <f ca="1">IF(OR($D132&lt;&gt;"Serviço",AND(AUTOEVENTO="Manual",$M132=$A$15)),0,
         IF(OFFSET(CRONOPLE!$F$15,$M132-$A$15,BX$13)=0,10^12,OFFSET(CRONOPLE!$F$15,$M132-$A$15,BX$13)))</f>
        <v>0</v>
      </c>
      <c r="BY132" s="171">
        <f ca="1">IF(OR($D132&lt;&gt;"Serviço",AND(AUTOEVENTO="Manual",$M132=$A$15)),0,
         IF(OFFSET(CRONOPLE!$F$15,$M132-$A$15,BY$13)=0,10^12,OFFSET(CRONOPLE!$F$15,$M132-$A$15,BY$13)))</f>
        <v>0</v>
      </c>
      <c r="BZ132" s="171">
        <f ca="1">IF(OR($D132&lt;&gt;"Serviço",AND(AUTOEVENTO="Manual",$M132=$A$15)),0,
         IF(OFFSET(CRONOPLE!$F$15,$M132-$A$15,BZ$13)=0,10^12,OFFSET(CRONOPLE!$F$15,$M132-$A$15,BZ$13)))</f>
        <v>0</v>
      </c>
      <c r="CA132" s="171">
        <f ca="1">IF(OR($D132&lt;&gt;"Serviço",AND(AUTOEVENTO="Manual",$M132=$A$15)),0,
         IF(OFFSET(CRONOPLE!$F$15,$M132-$A$15,CA$13)=0,10^12,OFFSET(CRONOPLE!$F$15,$M132-$A$15,CA$13)))</f>
        <v>0</v>
      </c>
      <c r="CB132" s="171">
        <f ca="1">IF(OR($D132&lt;&gt;"Serviço",AND(AUTOEVENTO="Manual",$M132=$A$15)),0,
         IF(OFFSET(CRONOPLE!$F$15,$M132-$A$15,CB$13)=0,10^12,OFFSET(CRONOPLE!$F$15,$M132-$A$15,CB$13)))</f>
        <v>0</v>
      </c>
      <c r="CC132" s="171">
        <f ca="1">IF(OR($D132&lt;&gt;"Serviço",AND(AUTOEVENTO="Manual",$M132=$A$15)),0,
         IF(OFFSET(CRONOPLE!$F$15,$M132-$A$15,CC$13)=0,10^12,OFFSET(CRONOPLE!$F$15,$M132-$A$15,CC$13)))</f>
        <v>0</v>
      </c>
      <c r="CD132" s="171">
        <f ca="1">IF(OR($D132&lt;&gt;"Serviço",AND(AUTOEVENTO="Manual",$M132=$A$15)),0,
         IF(OFFSET(CRONOPLE!$F$15,$M132-$A$15,CD$13)=0,10^12,OFFSET(CRONOPLE!$F$15,$M132-$A$15,CD$13)))</f>
        <v>0</v>
      </c>
      <c r="CE132" s="171">
        <f ca="1">IF(OR($D132&lt;&gt;"Serviço",AND(AUTOEVENTO="Manual",$M132=$A$15)),0,
         IF(OFFSET(CRONOPLE!$F$15,$M132-$A$15,CE$13)=0,10^12,OFFSET(CRONOPLE!$F$15,$M132-$A$15,CE$13)))</f>
        <v>0</v>
      </c>
      <c r="CF132" s="171">
        <f ca="1">IF(OR($D132&lt;&gt;"Serviço",AND(AUTOEVENTO="Manual",$M132=$A$15)),0,
         IF(OFFSET(CRONOPLE!$F$15,$M132-$A$15,CF$13)=0,10^12,OFFSET(CRONOPLE!$F$15,$M132-$A$15,CF$13)))</f>
        <v>0</v>
      </c>
      <c r="CG132" s="171">
        <f ca="1">IF(OR($D132&lt;&gt;"Serviço",AND(AUTOEVENTO="Manual",$M132=$A$15)),0,
         IF(OFFSET(CRONOPLE!$F$15,$M132-$A$15,CG$13)=0,10^12,OFFSET(CRONOPLE!$F$15,$M132-$A$15,CG$13)))</f>
        <v>0</v>
      </c>
      <c r="CH132" s="171">
        <f ca="1">IF(OR($D132&lt;&gt;"Serviço",AND(AUTOEVENTO="Manual",$M132=$A$15)),0,
         IF(OFFSET(CRONOPLE!$F$15,$M132-$A$15,CH$13)=0,10^12,OFFSET(CRONOPLE!$F$15,$M132-$A$15,CH$13)))</f>
        <v>0</v>
      </c>
      <c r="CI132" s="171">
        <f ca="1">IF(OR($D132&lt;&gt;"Serviço",AND(AUTOEVENTO="Manual",$M132=$A$15)),0,
         IF(OFFSET(CRONOPLE!$F$15,$M132-$A$15,CI$13)=0,10^12,OFFSET(CRONOPLE!$F$15,$M132-$A$15,CI$13)))</f>
        <v>0</v>
      </c>
      <c r="CJ132" s="171">
        <f ca="1">IF(OR($D132&lt;&gt;"Serviço",AND(AUTOEVENTO="Manual",$M132=$A$15)),0,
         IF(OFFSET(CRONOPLE!$F$15,$M132-$A$15,CJ$13)=0,10^12,OFFSET(CRONOPLE!$F$15,$M132-$A$15,CJ$13)))</f>
        <v>0</v>
      </c>
      <c r="CK132" s="171">
        <f ca="1">IF(OR($D132&lt;&gt;"Serviço",AND(AUTOEVENTO="Manual",$M132=$A$15)),0,
         IF(OFFSET(CRONOPLE!$F$15,$M132-$A$15,CK$13)=0,10^12,OFFSET(CRONOPLE!$F$15,$M132-$A$15,CK$13)))</f>
        <v>0</v>
      </c>
      <c r="CL132" s="171">
        <f ca="1">IF(OR($D132&lt;&gt;"Serviço",AND(AUTOEVENTO="Manual",$M132=$A$15)),0,
         IF(OFFSET(CRONOPLE!$F$15,$M132-$A$15,CL$13)=0,10^12,OFFSET(CRONOPLE!$F$15,$M132-$A$15,CL$13)))</f>
        <v>0</v>
      </c>
      <c r="CM132" s="171">
        <f ca="1">IF(OR($D132&lt;&gt;"Serviço",AND(AUTOEVENTO="Manual",$M132=$A$15)),0,
         IF(OFFSET(CRONOPLE!$F$15,$M132-$A$15,CM$13)=0,10^12,OFFSET(CRONOPLE!$F$15,$M132-$A$15,CM$13)))</f>
        <v>0</v>
      </c>
      <c r="CN132" s="171">
        <f ca="1">IF(OR($D132&lt;&gt;"Serviço",AND(AUTOEVENTO="Manual",$M132=$A$15)),0,
         IF(OFFSET(CRONOPLE!$F$15,$M132-$A$15,CN$13)=0,10^12,OFFSET(CRONOPLE!$F$15,$M132-$A$15,CN$13)))</f>
        <v>0</v>
      </c>
      <c r="CO132" s="171">
        <f ca="1">IF(OR($D132&lt;&gt;"Serviço",AND(AUTOEVENTO="Manual",$M132=$A$15)),0,
         IF(OFFSET(CRONOPLE!$F$15,$M132-$A$15,CO$13)=0,10^12,OFFSET(CRONOPLE!$F$15,$M132-$A$15,CO$13)))</f>
        <v>0</v>
      </c>
      <c r="CP132" s="171">
        <f ca="1">IF(OR($D132&lt;&gt;"Serviço",AND(AUTOEVENTO="Manual",$M132=$A$15)),0,
         IF(OFFSET(CRONOPLE!$F$15,$M132-$A$15,CP$13)=0,10^12,OFFSET(CRONOPLE!$F$15,$M132-$A$15,CP$13)))</f>
        <v>0</v>
      </c>
      <c r="CQ132" s="171">
        <f ca="1">IF(OR($D132&lt;&gt;"Serviço",AND(AUTOEVENTO="Manual",$M132=$A$15)),0,
         IF(OFFSET(CRONOPLE!$F$15,$M132-$A$15,CQ$13)=0,10^12,OFFSET(CRONOPLE!$F$15,$M132-$A$15,CQ$13)))</f>
        <v>0</v>
      </c>
      <c r="CR132" s="171">
        <f ca="1">IF(OR($D132&lt;&gt;"Serviço",AND(AUTOEVENTO="Manual",$M132=$A$15)),0,
         IF(OFFSET(CRONOPLE!$F$15,$M132-$A$15,CR$13)=0,10^12,OFFSET(CRONOPLE!$F$15,$M132-$A$15,CR$13)))</f>
        <v>0</v>
      </c>
      <c r="CT132" s="172" cm="1">
        <f t="array" aca="1" ref="CT132" ca="1">IF(OR($D132&lt;&gt;"Serviço",AND(AUTOEVENTO="Manual",$M132=$A$15),$M132&gt;(ROW(PLE.lastrow)-ROW(PLE.firstrow))),0,
           IF(OFFSET(PLE!$G$15,$M132-$A$15,CT$13)="",10^12,OFFSET(PLE!$G$15,$M132-$A$15,CT$13)))</f>
        <v>0</v>
      </c>
      <c r="CU132" s="172" cm="1">
        <f t="array" aca="1" ref="CU132" ca="1">IF(OR($D132&lt;&gt;"Serviço",AND(AUTOEVENTO="Manual",$M132=$A$15),$M132&gt;(ROW(PLE.lastrow)-ROW(PLE.firstrow))),0,
           IF(OFFSET(PLE!$G$15,$M132-$A$15,CU$13)="",10^12,OFFSET(PLE!$G$15,$M132-$A$15,CU$13)))</f>
        <v>0</v>
      </c>
      <c r="CV132" s="172" cm="1">
        <f t="array" aca="1" ref="CV132" ca="1">IF(OR($D132&lt;&gt;"Serviço",AND(AUTOEVENTO="Manual",$M132=$A$15),$M132&gt;(ROW(PLE.lastrow)-ROW(PLE.firstrow))),0,
           IF(OFFSET(PLE!$G$15,$M132-$A$15,CV$13)="",10^12,OFFSET(PLE!$G$15,$M132-$A$15,CV$13)))</f>
        <v>0</v>
      </c>
      <c r="CW132" s="172" cm="1">
        <f t="array" aca="1" ref="CW132" ca="1">IF(OR($D132&lt;&gt;"Serviço",AND(AUTOEVENTO="Manual",$M132=$A$15),$M132&gt;(ROW(PLE.lastrow)-ROW(PLE.firstrow))),0,
           IF(OFFSET(PLE!$G$15,$M132-$A$15,CW$13)="",10^12,OFFSET(PLE!$G$15,$M132-$A$15,CW$13)))</f>
        <v>0</v>
      </c>
      <c r="CX132" s="172" cm="1">
        <f t="array" aca="1" ref="CX132" ca="1">IF(OR($D132&lt;&gt;"Serviço",AND(AUTOEVENTO="Manual",$M132=$A$15),$M132&gt;(ROW(PLE.lastrow)-ROW(PLE.firstrow))),0,
           IF(OFFSET(PLE!$G$15,$M132-$A$15,CX$13)="",10^12,OFFSET(PLE!$G$15,$M132-$A$15,CX$13)))</f>
        <v>0</v>
      </c>
      <c r="CY132" s="172" cm="1">
        <f t="array" aca="1" ref="CY132" ca="1">IF(OR($D132&lt;&gt;"Serviço",AND(AUTOEVENTO="Manual",$M132=$A$15),$M132&gt;(ROW(PLE.lastrow)-ROW(PLE.firstrow))),0,
           IF(OFFSET(PLE!$G$15,$M132-$A$15,CY$13)="",10^12,OFFSET(PLE!$G$15,$M132-$A$15,CY$13)))</f>
        <v>0</v>
      </c>
      <c r="CZ132" s="172" cm="1">
        <f t="array" aca="1" ref="CZ132" ca="1">IF(OR($D132&lt;&gt;"Serviço",AND(AUTOEVENTO="Manual",$M132=$A$15),$M132&gt;(ROW(PLE.lastrow)-ROW(PLE.firstrow))),0,
           IF(OFFSET(PLE!$G$15,$M132-$A$15,CZ$13)="",10^12,OFFSET(PLE!$G$15,$M132-$A$15,CZ$13)))</f>
        <v>0</v>
      </c>
      <c r="DA132" s="172" cm="1">
        <f t="array" aca="1" ref="DA132" ca="1">IF(OR($D132&lt;&gt;"Serviço",AND(AUTOEVENTO="Manual",$M132=$A$15),$M132&gt;(ROW(PLE.lastrow)-ROW(PLE.firstrow))),0,
           IF(OFFSET(PLE!$G$15,$M132-$A$15,DA$13)="",10^12,OFFSET(PLE!$G$15,$M132-$A$15,DA$13)))</f>
        <v>0</v>
      </c>
      <c r="DB132" s="172" cm="1">
        <f t="array" aca="1" ref="DB132" ca="1">IF(OR($D132&lt;&gt;"Serviço",AND(AUTOEVENTO="Manual",$M132=$A$15),$M132&gt;(ROW(PLE.lastrow)-ROW(PLE.firstrow))),0,
           IF(OFFSET(PLE!$G$15,$M132-$A$15,DB$13)="",10^12,OFFSET(PLE!$G$15,$M132-$A$15,DB$13)))</f>
        <v>0</v>
      </c>
      <c r="DC132" s="172" cm="1">
        <f t="array" aca="1" ref="DC132" ca="1">IF(OR($D132&lt;&gt;"Serviço",AND(AUTOEVENTO="Manual",$M132=$A$15),$M132&gt;(ROW(PLE.lastrow)-ROW(PLE.firstrow))),0,
           IF(OFFSET(PLE!$G$15,$M132-$A$15,DC$13)="",10^12,OFFSET(PLE!$G$15,$M132-$A$15,DC$13)))</f>
        <v>0</v>
      </c>
      <c r="DD132" s="172" cm="1">
        <f t="array" aca="1" ref="DD132" ca="1">IF(OR($D132&lt;&gt;"Serviço",AND(AUTOEVENTO="Manual",$M132=$A$15),$M132&gt;(ROW(PLE.lastrow)-ROW(PLE.firstrow))),0,
           IF(OFFSET(PLE!$G$15,$M132-$A$15,DD$13)="",10^12,OFFSET(PLE!$G$15,$M132-$A$15,DD$13)))</f>
        <v>0</v>
      </c>
      <c r="DE132" s="172" cm="1">
        <f t="array" aca="1" ref="DE132" ca="1">IF(OR($D132&lt;&gt;"Serviço",AND(AUTOEVENTO="Manual",$M132=$A$15),$M132&gt;(ROW(PLE.lastrow)-ROW(PLE.firstrow))),0,
           IF(OFFSET(PLE!$G$15,$M132-$A$15,DE$13)="",10^12,OFFSET(PLE!$G$15,$M132-$A$15,DE$13)))</f>
        <v>0</v>
      </c>
      <c r="DF132" s="172" cm="1">
        <f t="array" aca="1" ref="DF132" ca="1">IF(OR($D132&lt;&gt;"Serviço",AND(AUTOEVENTO="Manual",$M132=$A$15),$M132&gt;(ROW(PLE.lastrow)-ROW(PLE.firstrow))),0,
           IF(OFFSET(PLE!$G$15,$M132-$A$15,DF$13)="",10^12,OFFSET(PLE!$G$15,$M132-$A$15,DF$13)))</f>
        <v>0</v>
      </c>
      <c r="DG132" s="172" cm="1">
        <f t="array" aca="1" ref="DG132" ca="1">IF(OR($D132&lt;&gt;"Serviço",AND(AUTOEVENTO="Manual",$M132=$A$15),$M132&gt;(ROW(PLE.lastrow)-ROW(PLE.firstrow))),0,
           IF(OFFSET(PLE!$G$15,$M132-$A$15,DG$13)="",10^12,OFFSET(PLE!$G$15,$M132-$A$15,DG$13)))</f>
        <v>0</v>
      </c>
      <c r="DH132" s="172" cm="1">
        <f t="array" aca="1" ref="DH132" ca="1">IF(OR($D132&lt;&gt;"Serviço",AND(AUTOEVENTO="Manual",$M132=$A$15),$M132&gt;(ROW(PLE.lastrow)-ROW(PLE.firstrow))),0,
           IF(OFFSET(PLE!$G$15,$M132-$A$15,DH$13)="",10^12,OFFSET(PLE!$G$15,$M132-$A$15,DH$13)))</f>
        <v>0</v>
      </c>
      <c r="DI132" s="172" cm="1">
        <f t="array" aca="1" ref="DI132" ca="1">IF(OR($D132&lt;&gt;"Serviço",AND(AUTOEVENTO="Manual",$M132=$A$15),$M132&gt;(ROW(PLE.lastrow)-ROW(PLE.firstrow))),0,
           IF(OFFSET(PLE!$G$15,$M132-$A$15,DI$13)="",10^12,OFFSET(PLE!$G$15,$M132-$A$15,DI$13)))</f>
        <v>0</v>
      </c>
      <c r="DJ132" s="172" cm="1">
        <f t="array" aca="1" ref="DJ132" ca="1">IF(OR($D132&lt;&gt;"Serviço",AND(AUTOEVENTO="Manual",$M132=$A$15),$M132&gt;(ROW(PLE.lastrow)-ROW(PLE.firstrow))),0,
           IF(OFFSET(PLE!$G$15,$M132-$A$15,DJ$13)="",10^12,OFFSET(PLE!$G$15,$M132-$A$15,DJ$13)))</f>
        <v>0</v>
      </c>
      <c r="DK132" s="172" cm="1">
        <f t="array" aca="1" ref="DK132" ca="1">IF(OR($D132&lt;&gt;"Serviço",AND(AUTOEVENTO="Manual",$M132=$A$15),$M132&gt;(ROW(PLE.lastrow)-ROW(PLE.firstrow))),0,
           IF(OFFSET(PLE!$G$15,$M132-$A$15,DK$13)="",10^12,OFFSET(PLE!$G$15,$M132-$A$15,DK$13)))</f>
        <v>0</v>
      </c>
      <c r="DL132" s="172" cm="1">
        <f t="array" aca="1" ref="DL132" ca="1">IF(OR($D132&lt;&gt;"Serviço",AND(AUTOEVENTO="Manual",$M132=$A$15),$M132&gt;(ROW(PLE.lastrow)-ROW(PLE.firstrow))),0,
           IF(OFFSET(PLE!$G$15,$M132-$A$15,DL$13)="",10^12,OFFSET(PLE!$G$15,$M132-$A$15,DL$13)))</f>
        <v>0</v>
      </c>
      <c r="DM132" s="172" cm="1">
        <f t="array" aca="1" ref="DM132" ca="1">IF(OR($D132&lt;&gt;"Serviço",AND(AUTOEVENTO="Manual",$M132=$A$15),$M132&gt;(ROW(PLE.lastrow)-ROW(PLE.firstrow))),0,
           IF(OFFSET(PLE!$G$15,$M132-$A$15,DM$13)="",10^12,OFFSET(PLE!$G$15,$M132-$A$15,DM$13)))</f>
        <v>0</v>
      </c>
      <c r="DN132" s="172" cm="1">
        <f t="array" aca="1" ref="DN132" ca="1">IF(OR($D132&lt;&gt;"Serviço",AND(AUTOEVENTO="Manual",$M132=$A$15),$M132&gt;(ROW(PLE.lastrow)-ROW(PLE.firstrow))),0,
           IF(OFFSET(PLE!$G$15,$M132-$A$15,DN$13)="",10^12,OFFSET(PLE!$G$15,$M132-$A$15,DN$13)))</f>
        <v>0</v>
      </c>
      <c r="DO132" s="172" cm="1">
        <f t="array" aca="1" ref="DO132" ca="1">IF(OR($D132&lt;&gt;"Serviço",AND(AUTOEVENTO="Manual",$M132=$A$15),$M132&gt;(ROW(PLE.lastrow)-ROW(PLE.firstrow))),0,
           IF(OFFSET(PLE!$G$15,$M132-$A$15,DO$13)="",10^12,OFFSET(PLE!$G$15,$M132-$A$15,DO$13)))</f>
        <v>0</v>
      </c>
      <c r="DP132" s="172" cm="1">
        <f t="array" aca="1" ref="DP132" ca="1">IF(OR($D132&lt;&gt;"Serviço",AND(AUTOEVENTO="Manual",$M132=$A$15),$M132&gt;(ROW(PLE.lastrow)-ROW(PLE.firstrow))),0,
           IF(OFFSET(PLE!$G$15,$M132-$A$15,DP$13)="",10^12,OFFSET(PLE!$G$15,$M132-$A$15,DP$13)))</f>
        <v>0</v>
      </c>
      <c r="DQ132" s="172" cm="1">
        <f t="array" aca="1" ref="DQ132" ca="1">IF(OR($D132&lt;&gt;"Serviço",AND(AUTOEVENTO="Manual",$M132=$A$15),$M132&gt;(ROW(PLE.lastrow)-ROW(PLE.firstrow))),0,
           IF(OFFSET(PLE!$G$15,$M132-$A$15,DQ$13)="",10^12,OFFSET(PLE!$G$15,$M132-$A$15,DQ$13)))</f>
        <v>0</v>
      </c>
      <c r="DR132" s="172" cm="1">
        <f t="array" aca="1" ref="DR132" ca="1">IF(OR($D132&lt;&gt;"Serviço",AND(AUTOEVENTO="Manual",$M132=$A$15),$M132&gt;(ROW(PLE.lastrow)-ROW(PLE.firstrow))),0,
           IF(OFFSET(PLE!$G$15,$M132-$A$15,DR$13)="",10^12,OFFSET(PLE!$G$15,$M132-$A$15,DR$13)))</f>
        <v>0</v>
      </c>
      <c r="DS132" s="172" cm="1">
        <f t="array" aca="1" ref="DS132" ca="1">IF(OR($D132&lt;&gt;"Serviço",AND(AUTOEVENTO="Manual",$M132=$A$15),$M132&gt;(ROW(PLE.lastrow)-ROW(PLE.firstrow))),0,
           IF(OFFSET(PLE!$G$15,$M132-$A$15,DS$13)="",10^12,OFFSET(PLE!$G$15,$M132-$A$15,DS$13)))</f>
        <v>0</v>
      </c>
    </row>
    <row r="133" spans="1:123" ht="12.75" x14ac:dyDescent="0.2">
      <c r="A133" s="7">
        <f t="shared" ca="1" si="15"/>
        <v>0</v>
      </c>
      <c r="B133" s="7">
        <f ca="1">OFFSET(ORÇAMENTO!C$15,$L133,0)</f>
        <v>2</v>
      </c>
      <c r="C133" s="7" t="str">
        <f ca="1">OFFSET(ORÇAMENTO!L$15,$L133,0)</f>
        <v>F</v>
      </c>
      <c r="D133" s="116" t="str">
        <f ca="1">OFFSET(ORÇAMENTO!N$15,$L133,0)</f>
        <v>Nível 2</v>
      </c>
      <c r="E133" s="117" t="str">
        <f ca="1">OFFSET(ORÇAMENTO!O$15,$L133,0)</f>
        <v>9.1.</v>
      </c>
      <c r="F133" s="163" t="str">
        <f ca="1">OFFSET(ORÇAMENTO!R$15,$L133,0)</f>
        <v>ELÉTRICAS / TELEFÔNICAS</v>
      </c>
      <c r="G133" s="164" t="str">
        <f ca="1">IF($D133&lt;&gt;"Serviço","",OFFSET(ORÇAMENTO!S$15,$L133,0))</f>
        <v/>
      </c>
      <c r="H133" s="122" cm="1">
        <f t="array" aca="1" ref="H133" ca="1">IF($D133&lt;&gt;"Serviço",0,IF(ACOMPANHAMENTO="BM",ROUND(OFFSET(ORÇAMENTO!AJ$15,$L133,0),15-13*ORÇAMENTO!$AF$7),IF(IFERROR(CÁLCULO.FrentesPreenchidas,0)=0,0,SUM(ROUND(OFFSET($P133,0,1,1,CÁLCULO.FrentesPreenchidas),15-13*ORÇAMENTO!$AF$7)))))</f>
        <v>0</v>
      </c>
      <c r="I133" s="468"/>
      <c r="J133" s="651" t="str" cm="1">
        <f t="array" aca="1" ref="J133" ca="1">IF(OR(B133&lt;&gt;"S",CÁLCULO.FrentesPreenchidas=0),"",IF(AND(ACOMPANHAMENTO="PLE",AUTOEVENTO="Manual",OR(H133&gt;0,ORÇAMENTO!AC133="QUANT."),OR(K133="",M133=0,N133="")),"►E",IF(AND(ACOMPANHAMENTO="PLE",ORÇAMENTO!AC133="QUANT."),"►Q",IF(AND(ACOMPANHAMENTO="PLE",H133&lt;&gt;SUMPRODUCT(($Q$1:$AQ$1=1)*ROUND(Q133:AQ133,15))),"►S",IF(AND(COUNTIF($P$11:$AQ$11,"▼")=0,H133&gt;0,I133=""),"◄M","")))))</f>
        <v/>
      </c>
      <c r="K133" s="652"/>
      <c r="L133" s="165">
        <f t="shared" ca="1" si="14"/>
        <v>118</v>
      </c>
      <c r="M133" s="166" t="str">
        <f ca="1">IF($D133&lt;&gt;"Serviço","",
          IF(AUTOEVENTO="manual",$A133,
                IF(ISERROR(MATCH($A133,$A$15:OFFSET($A133,-1,0),0)),MAX($M$15:OFFSET(M133,-1,0))+1,
                      INDEX($M$15:OFFSET(M133,-1,0),MATCH($A133,$A$15:OFFSET($A133,-1,0),0)))))</f>
        <v/>
      </c>
      <c r="N133" s="167" t="str">
        <f ca="1">IF($D133&lt;&gt;"Serviço","",
         IF(AUTOEVENTO="Manual",
                IF($A133=0,"&lt;-- defina o número do agrupador",
                       OFFSET(EVENTOS!$D$15,$A133-$A$15,0)),
                OFFSET($F$15,$A133,0)))</f>
        <v/>
      </c>
      <c r="O133" s="168"/>
      <c r="Q133" s="168"/>
      <c r="R133" s="169"/>
      <c r="S133" s="169"/>
      <c r="T133" s="169"/>
      <c r="U133" s="169"/>
      <c r="V133" s="169"/>
      <c r="W133" s="169"/>
      <c r="X133" s="169"/>
      <c r="Y133" s="169"/>
      <c r="Z133" s="170"/>
      <c r="AA133" s="169"/>
      <c r="AB133" s="169"/>
      <c r="AC133" s="169"/>
      <c r="AD133" s="169"/>
      <c r="AE133" s="169"/>
      <c r="AF133" s="169"/>
      <c r="AG133" s="169"/>
      <c r="AH133" s="170"/>
      <c r="AI133" s="169"/>
      <c r="AJ133" s="169"/>
      <c r="AK133" s="169"/>
      <c r="AL133" s="169"/>
      <c r="AM133" s="169"/>
      <c r="AN133" s="169"/>
      <c r="AO133" s="169"/>
      <c r="AP133" s="170"/>
      <c r="AR133" s="453">
        <f ca="1">IF(AND($D133="Serviço",AR$12&lt;&gt;0,$H133&gt;0,OR(AUTOEVENTO&lt;&gt;"manual",$M133&lt;&gt;$A$15)),
        IF(Import.TipoArredondamento&lt;&gt;"TransfereGOV",
              ROUND(OFFSET($P133,0,AR$13),15-13*ORÇAMENTO!$AF$7)/$H133*OFFSET(ORÇAMENTO!$X$15,ROW(AR133)-ROW(AR$15),0),
              ROUND(ROUND(OFFSET($P133,0,AR$13),15-13*ORÇAMENTO!$AF$7)*OFFSET(ORÇAMENTO!$W$15,ROW(AR133)-ROW(AR$15),0),15-13*ORÇAMENTO!$AF$11)),
         0)</f>
        <v>0</v>
      </c>
      <c r="AS133" s="453">
        <f ca="1">IF(AND($D133="Serviço",AS$12&lt;&gt;0,$H133&gt;0,OR(AUTOEVENTO&lt;&gt;"manual",$M133&lt;&gt;$A$15)),
        IF(Import.TipoArredondamento&lt;&gt;"TransfereGOV",
              ROUND(OFFSET($P133,0,AS$13),15-13*ORÇAMENTO!$AF$7)/$H133*OFFSET(ORÇAMENTO!$X$15,ROW(AS133)-ROW(AS$15),0),
              ROUND(ROUND(OFFSET($P133,0,AS$13),15-13*ORÇAMENTO!$AF$7)*OFFSET(ORÇAMENTO!$W$15,ROW(AS133)-ROW(AS$15),0),15-13*ORÇAMENTO!$AF$11)),
         0)</f>
        <v>0</v>
      </c>
      <c r="AT133" s="453">
        <f ca="1">IF(AND($D133="Serviço",AT$12&lt;&gt;0,$H133&gt;0,OR(AUTOEVENTO&lt;&gt;"manual",$M133&lt;&gt;$A$15)),
        IF(Import.TipoArredondamento&lt;&gt;"TransfereGOV",
              ROUND(OFFSET($P133,0,AT$13),15-13*ORÇAMENTO!$AF$7)/$H133*OFFSET(ORÇAMENTO!$X$15,ROW(AT133)-ROW(AT$15),0),
              ROUND(ROUND(OFFSET($P133,0,AT$13),15-13*ORÇAMENTO!$AF$7)*OFFSET(ORÇAMENTO!$W$15,ROW(AT133)-ROW(AT$15),0),15-13*ORÇAMENTO!$AF$11)),
         0)</f>
        <v>0</v>
      </c>
      <c r="AU133" s="453">
        <f ca="1">IF(AND($D133="Serviço",AU$12&lt;&gt;0,$H133&gt;0,OR(AUTOEVENTO&lt;&gt;"manual",$M133&lt;&gt;$A$15)),
        IF(Import.TipoArredondamento&lt;&gt;"TransfereGOV",
              ROUND(OFFSET($P133,0,AU$13),15-13*ORÇAMENTO!$AF$7)/$H133*OFFSET(ORÇAMENTO!$X$15,ROW(AU133)-ROW(AU$15),0),
              ROUND(ROUND(OFFSET($P133,0,AU$13),15-13*ORÇAMENTO!$AF$7)*OFFSET(ORÇAMENTO!$W$15,ROW(AU133)-ROW(AU$15),0),15-13*ORÇAMENTO!$AF$11)),
         0)</f>
        <v>0</v>
      </c>
      <c r="AV133" s="453">
        <f ca="1">IF(AND($D133="Serviço",AV$12&lt;&gt;0,$H133&gt;0,OR(AUTOEVENTO&lt;&gt;"manual",$M133&lt;&gt;$A$15)),
        IF(Import.TipoArredondamento&lt;&gt;"TransfereGOV",
              ROUND(OFFSET($P133,0,AV$13),15-13*ORÇAMENTO!$AF$7)/$H133*OFFSET(ORÇAMENTO!$X$15,ROW(AV133)-ROW(AV$15),0),
              ROUND(ROUND(OFFSET($P133,0,AV$13),15-13*ORÇAMENTO!$AF$7)*OFFSET(ORÇAMENTO!$W$15,ROW(AV133)-ROW(AV$15),0),15-13*ORÇAMENTO!$AF$11)),
         0)</f>
        <v>0</v>
      </c>
      <c r="AW133" s="453">
        <f ca="1">IF(AND($D133="Serviço",AW$12&lt;&gt;0,$H133&gt;0,OR(AUTOEVENTO&lt;&gt;"manual",$M133&lt;&gt;$A$15)),
        IF(Import.TipoArredondamento&lt;&gt;"TransfereGOV",
              ROUND(OFFSET($P133,0,AW$13),15-13*ORÇAMENTO!$AF$7)/$H133*OFFSET(ORÇAMENTO!$X$15,ROW(AW133)-ROW(AW$15),0),
              ROUND(ROUND(OFFSET($P133,0,AW$13),15-13*ORÇAMENTO!$AF$7)*OFFSET(ORÇAMENTO!$W$15,ROW(AW133)-ROW(AW$15),0),15-13*ORÇAMENTO!$AF$11)),
         0)</f>
        <v>0</v>
      </c>
      <c r="AX133" s="453">
        <f ca="1">IF(AND($D133="Serviço",AX$12&lt;&gt;0,$H133&gt;0,OR(AUTOEVENTO&lt;&gt;"manual",$M133&lt;&gt;$A$15)),
        IF(Import.TipoArredondamento&lt;&gt;"TransfereGOV",
              ROUND(OFFSET($P133,0,AX$13),15-13*ORÇAMENTO!$AF$7)/$H133*OFFSET(ORÇAMENTO!$X$15,ROW(AX133)-ROW(AX$15),0),
              ROUND(ROUND(OFFSET($P133,0,AX$13),15-13*ORÇAMENTO!$AF$7)*OFFSET(ORÇAMENTO!$W$15,ROW(AX133)-ROW(AX$15),0),15-13*ORÇAMENTO!$AF$11)),
         0)</f>
        <v>0</v>
      </c>
      <c r="AY133" s="453">
        <f ca="1">IF(AND($D133="Serviço",AY$12&lt;&gt;0,$H133&gt;0,OR(AUTOEVENTO&lt;&gt;"manual",$M133&lt;&gt;$A$15)),
        IF(Import.TipoArredondamento&lt;&gt;"TransfereGOV",
              ROUND(OFFSET($P133,0,AY$13),15-13*ORÇAMENTO!$AF$7)/$H133*OFFSET(ORÇAMENTO!$X$15,ROW(AY133)-ROW(AY$15),0),
              ROUND(ROUND(OFFSET($P133,0,AY$13),15-13*ORÇAMENTO!$AF$7)*OFFSET(ORÇAMENTO!$W$15,ROW(AY133)-ROW(AY$15),0),15-13*ORÇAMENTO!$AF$11)),
         0)</f>
        <v>0</v>
      </c>
      <c r="AZ133" s="453">
        <f ca="1">IF(AND($D133="Serviço",AZ$12&lt;&gt;0,$H133&gt;0,OR(AUTOEVENTO&lt;&gt;"manual",$M133&lt;&gt;$A$15)),
        IF(Import.TipoArredondamento&lt;&gt;"TransfereGOV",
              ROUND(OFFSET($P133,0,AZ$13),15-13*ORÇAMENTO!$AF$7)/$H133*OFFSET(ORÇAMENTO!$X$15,ROW(AZ133)-ROW(AZ$15),0),
              ROUND(ROUND(OFFSET($P133,0,AZ$13),15-13*ORÇAMENTO!$AF$7)*OFFSET(ORÇAMENTO!$W$15,ROW(AZ133)-ROW(AZ$15),0),15-13*ORÇAMENTO!$AF$11)),
         0)</f>
        <v>0</v>
      </c>
      <c r="BA133" s="453">
        <f ca="1">IF(AND($D133="Serviço",BA$12&lt;&gt;0,$H133&gt;0,OR(AUTOEVENTO&lt;&gt;"manual",$M133&lt;&gt;$A$15)),
        IF(Import.TipoArredondamento&lt;&gt;"TransfereGOV",
              ROUND(OFFSET($P133,0,BA$13),15-13*ORÇAMENTO!$AF$7)/$H133*OFFSET(ORÇAMENTO!$X$15,ROW(BA133)-ROW(BA$15),0),
              ROUND(ROUND(OFFSET($P133,0,BA$13),15-13*ORÇAMENTO!$AF$7)*OFFSET(ORÇAMENTO!$W$15,ROW(BA133)-ROW(BA$15),0),15-13*ORÇAMENTO!$AF$11)),
         0)</f>
        <v>0</v>
      </c>
      <c r="BB133" s="453">
        <f ca="1">IF(AND($D133="Serviço",BB$12&lt;&gt;0,$H133&gt;0,OR(AUTOEVENTO&lt;&gt;"manual",$M133&lt;&gt;$A$15)),
        IF(Import.TipoArredondamento&lt;&gt;"TransfereGOV",
              ROUND(OFFSET($P133,0,BB$13),15-13*ORÇAMENTO!$AF$7)/$H133*OFFSET(ORÇAMENTO!$X$15,ROW(BB133)-ROW(BB$15),0),
              ROUND(ROUND(OFFSET($P133,0,BB$13),15-13*ORÇAMENTO!$AF$7)*OFFSET(ORÇAMENTO!$W$15,ROW(BB133)-ROW(BB$15),0),15-13*ORÇAMENTO!$AF$11)),
         0)</f>
        <v>0</v>
      </c>
      <c r="BC133" s="453">
        <f ca="1">IF(AND($D133="Serviço",BC$12&lt;&gt;0,$H133&gt;0,OR(AUTOEVENTO&lt;&gt;"manual",$M133&lt;&gt;$A$15)),
        IF(Import.TipoArredondamento&lt;&gt;"TransfereGOV",
              ROUND(OFFSET($P133,0,BC$13),15-13*ORÇAMENTO!$AF$7)/$H133*OFFSET(ORÇAMENTO!$X$15,ROW(BC133)-ROW(BC$15),0),
              ROUND(ROUND(OFFSET($P133,0,BC$13),15-13*ORÇAMENTO!$AF$7)*OFFSET(ORÇAMENTO!$W$15,ROW(BC133)-ROW(BC$15),0),15-13*ORÇAMENTO!$AF$11)),
         0)</f>
        <v>0</v>
      </c>
      <c r="BD133" s="453">
        <f ca="1">IF(AND($D133="Serviço",BD$12&lt;&gt;0,$H133&gt;0,OR(AUTOEVENTO&lt;&gt;"manual",$M133&lt;&gt;$A$15)),
        IF(Import.TipoArredondamento&lt;&gt;"TransfereGOV",
              ROUND(OFFSET($P133,0,BD$13),15-13*ORÇAMENTO!$AF$7)/$H133*OFFSET(ORÇAMENTO!$X$15,ROW(BD133)-ROW(BD$15),0),
              ROUND(ROUND(OFFSET($P133,0,BD$13),15-13*ORÇAMENTO!$AF$7)*OFFSET(ORÇAMENTO!$W$15,ROW(BD133)-ROW(BD$15),0),15-13*ORÇAMENTO!$AF$11)),
         0)</f>
        <v>0</v>
      </c>
      <c r="BE133" s="453">
        <f ca="1">IF(AND($D133="Serviço",BE$12&lt;&gt;0,$H133&gt;0,OR(AUTOEVENTO&lt;&gt;"manual",$M133&lt;&gt;$A$15)),
        IF(Import.TipoArredondamento&lt;&gt;"TransfereGOV",
              ROUND(OFFSET($P133,0,BE$13),15-13*ORÇAMENTO!$AF$7)/$H133*OFFSET(ORÇAMENTO!$X$15,ROW(BE133)-ROW(BE$15),0),
              ROUND(ROUND(OFFSET($P133,0,BE$13),15-13*ORÇAMENTO!$AF$7)*OFFSET(ORÇAMENTO!$W$15,ROW(BE133)-ROW(BE$15),0),15-13*ORÇAMENTO!$AF$11)),
         0)</f>
        <v>0</v>
      </c>
      <c r="BF133" s="453">
        <f ca="1">IF(AND($D133="Serviço",BF$12&lt;&gt;0,$H133&gt;0,OR(AUTOEVENTO&lt;&gt;"manual",$M133&lt;&gt;$A$15)),
        IF(Import.TipoArredondamento&lt;&gt;"TransfereGOV",
              ROUND(OFFSET($P133,0,BF$13),15-13*ORÇAMENTO!$AF$7)/$H133*OFFSET(ORÇAMENTO!$X$15,ROW(BF133)-ROW(BF$15),0),
              ROUND(ROUND(OFFSET($P133,0,BF$13),15-13*ORÇAMENTO!$AF$7)*OFFSET(ORÇAMENTO!$W$15,ROW(BF133)-ROW(BF$15),0),15-13*ORÇAMENTO!$AF$11)),
         0)</f>
        <v>0</v>
      </c>
      <c r="BG133" s="453">
        <f ca="1">IF(AND($D133="Serviço",BG$12&lt;&gt;0,$H133&gt;0,OR(AUTOEVENTO&lt;&gt;"manual",$M133&lt;&gt;$A$15)),
        IF(Import.TipoArredondamento&lt;&gt;"TransfereGOV",
              ROUND(OFFSET($P133,0,BG$13),15-13*ORÇAMENTO!$AF$7)/$H133*OFFSET(ORÇAMENTO!$X$15,ROW(BG133)-ROW(BG$15),0),
              ROUND(ROUND(OFFSET($P133,0,BG$13),15-13*ORÇAMENTO!$AF$7)*OFFSET(ORÇAMENTO!$W$15,ROW(BG133)-ROW(BG$15),0),15-13*ORÇAMENTO!$AF$11)),
         0)</f>
        <v>0</v>
      </c>
      <c r="BH133" s="453">
        <f ca="1">IF(AND($D133="Serviço",BH$12&lt;&gt;0,$H133&gt;0,OR(AUTOEVENTO&lt;&gt;"manual",$M133&lt;&gt;$A$15)),
        IF(Import.TipoArredondamento&lt;&gt;"TransfereGOV",
              ROUND(OFFSET($P133,0,BH$13),15-13*ORÇAMENTO!$AF$7)/$H133*OFFSET(ORÇAMENTO!$X$15,ROW(BH133)-ROW(BH$15),0),
              ROUND(ROUND(OFFSET($P133,0,BH$13),15-13*ORÇAMENTO!$AF$7)*OFFSET(ORÇAMENTO!$W$15,ROW(BH133)-ROW(BH$15),0),15-13*ORÇAMENTO!$AF$11)),
         0)</f>
        <v>0</v>
      </c>
      <c r="BI133" s="453">
        <f ca="1">IF(AND($D133="Serviço",BI$12&lt;&gt;0,$H133&gt;0,OR(AUTOEVENTO&lt;&gt;"manual",$M133&lt;&gt;$A$15)),
        IF(Import.TipoArredondamento&lt;&gt;"TransfereGOV",
              ROUND(OFFSET($P133,0,BI$13),15-13*ORÇAMENTO!$AF$7)/$H133*OFFSET(ORÇAMENTO!$X$15,ROW(BI133)-ROW(BI$15),0),
              ROUND(ROUND(OFFSET($P133,0,BI$13),15-13*ORÇAMENTO!$AF$7)*OFFSET(ORÇAMENTO!$W$15,ROW(BI133)-ROW(BI$15),0),15-13*ORÇAMENTO!$AF$11)),
         0)</f>
        <v>0</v>
      </c>
      <c r="BJ133" s="453">
        <f ca="1">IF(AND($D133="Serviço",BJ$12&lt;&gt;0,$H133&gt;0,OR(AUTOEVENTO&lt;&gt;"manual",$M133&lt;&gt;$A$15)),
        IF(Import.TipoArredondamento&lt;&gt;"TransfereGOV",
              ROUND(OFFSET($P133,0,BJ$13),15-13*ORÇAMENTO!$AF$7)/$H133*OFFSET(ORÇAMENTO!$X$15,ROW(BJ133)-ROW(BJ$15),0),
              ROUND(ROUND(OFFSET($P133,0,BJ$13),15-13*ORÇAMENTO!$AF$7)*OFFSET(ORÇAMENTO!$W$15,ROW(BJ133)-ROW(BJ$15),0),15-13*ORÇAMENTO!$AF$11)),
         0)</f>
        <v>0</v>
      </c>
      <c r="BK133" s="453">
        <f ca="1">IF(AND($D133="Serviço",BK$12&lt;&gt;0,$H133&gt;0,OR(AUTOEVENTO&lt;&gt;"manual",$M133&lt;&gt;$A$15)),
        IF(Import.TipoArredondamento&lt;&gt;"TransfereGOV",
              ROUND(OFFSET($P133,0,BK$13),15-13*ORÇAMENTO!$AF$7)/$H133*OFFSET(ORÇAMENTO!$X$15,ROW(BK133)-ROW(BK$15),0),
              ROUND(ROUND(OFFSET($P133,0,BK$13),15-13*ORÇAMENTO!$AF$7)*OFFSET(ORÇAMENTO!$W$15,ROW(BK133)-ROW(BK$15),0),15-13*ORÇAMENTO!$AF$11)),
         0)</f>
        <v>0</v>
      </c>
      <c r="BL133" s="453">
        <f ca="1">IF(AND($D133="Serviço",BL$12&lt;&gt;0,$H133&gt;0,OR(AUTOEVENTO&lt;&gt;"manual",$M133&lt;&gt;$A$15)),
        IF(Import.TipoArredondamento&lt;&gt;"TransfereGOV",
              ROUND(OFFSET($P133,0,BL$13),15-13*ORÇAMENTO!$AF$7)/$H133*OFFSET(ORÇAMENTO!$X$15,ROW(BL133)-ROW(BL$15),0),
              ROUND(ROUND(OFFSET($P133,0,BL$13),15-13*ORÇAMENTO!$AF$7)*OFFSET(ORÇAMENTO!$W$15,ROW(BL133)-ROW(BL$15),0),15-13*ORÇAMENTO!$AF$11)),
         0)</f>
        <v>0</v>
      </c>
      <c r="BM133" s="453">
        <f ca="1">IF(AND($D133="Serviço",BM$12&lt;&gt;0,$H133&gt;0,OR(AUTOEVENTO&lt;&gt;"manual",$M133&lt;&gt;$A$15)),
        IF(Import.TipoArredondamento&lt;&gt;"TransfereGOV",
              ROUND(OFFSET($P133,0,BM$13),15-13*ORÇAMENTO!$AF$7)/$H133*OFFSET(ORÇAMENTO!$X$15,ROW(BM133)-ROW(BM$15),0),
              ROUND(ROUND(OFFSET($P133,0,BM$13),15-13*ORÇAMENTO!$AF$7)*OFFSET(ORÇAMENTO!$W$15,ROW(BM133)-ROW(BM$15),0),15-13*ORÇAMENTO!$AF$11)),
         0)</f>
        <v>0</v>
      </c>
      <c r="BN133" s="453">
        <f ca="1">IF(AND($D133="Serviço",BN$12&lt;&gt;0,$H133&gt;0,OR(AUTOEVENTO&lt;&gt;"manual",$M133&lt;&gt;$A$15)),
        IF(Import.TipoArredondamento&lt;&gt;"TransfereGOV",
              ROUND(OFFSET($P133,0,BN$13),15-13*ORÇAMENTO!$AF$7)/$H133*OFFSET(ORÇAMENTO!$X$15,ROW(BN133)-ROW(BN$15),0),
              ROUND(ROUND(OFFSET($P133,0,BN$13),15-13*ORÇAMENTO!$AF$7)*OFFSET(ORÇAMENTO!$W$15,ROW(BN133)-ROW(BN$15),0),15-13*ORÇAMENTO!$AF$11)),
         0)</f>
        <v>0</v>
      </c>
      <c r="BO133" s="453">
        <f ca="1">IF(AND($D133="Serviço",BO$12&lt;&gt;0,$H133&gt;0,OR(AUTOEVENTO&lt;&gt;"manual",$M133&lt;&gt;$A$15)),
        IF(Import.TipoArredondamento&lt;&gt;"TransfereGOV",
              ROUND(OFFSET($P133,0,BO$13),15-13*ORÇAMENTO!$AF$7)/$H133*OFFSET(ORÇAMENTO!$X$15,ROW(BO133)-ROW(BO$15),0),
              ROUND(ROUND(OFFSET($P133,0,BO$13),15-13*ORÇAMENTO!$AF$7)*OFFSET(ORÇAMENTO!$W$15,ROW(BO133)-ROW(BO$15),0),15-13*ORÇAMENTO!$AF$11)),
         0)</f>
        <v>0</v>
      </c>
      <c r="BP133" s="453">
        <f ca="1">IF(AND($D133="Serviço",BP$12&lt;&gt;0,$H133&gt;0,OR(AUTOEVENTO&lt;&gt;"manual",$M133&lt;&gt;$A$15)),
        IF(Import.TipoArredondamento&lt;&gt;"TransfereGOV",
              ROUND(OFFSET($P133,0,BP$13),15-13*ORÇAMENTO!$AF$7)/$H133*OFFSET(ORÇAMENTO!$X$15,ROW(BP133)-ROW(BP$15),0),
              ROUND(ROUND(OFFSET($P133,0,BP$13),15-13*ORÇAMENTO!$AF$7)*OFFSET(ORÇAMENTO!$W$15,ROW(BP133)-ROW(BP$15),0),15-13*ORÇAMENTO!$AF$11)),
         0)</f>
        <v>0</v>
      </c>
      <c r="BQ133" s="453">
        <f ca="1">IF(AND($D133="Serviço",BQ$12&lt;&gt;0,$H133&gt;0,OR(AUTOEVENTO&lt;&gt;"manual",$M133&lt;&gt;$A$15)),
        IF(Import.TipoArredondamento&lt;&gt;"TransfereGOV",
              ROUND(OFFSET($P133,0,BQ$13),15-13*ORÇAMENTO!$AF$7)/$H133*OFFSET(ORÇAMENTO!$X$15,ROW(BQ133)-ROW(BQ$15),0),
              ROUND(ROUND(OFFSET($P133,0,BQ$13),15-13*ORÇAMENTO!$AF$7)*OFFSET(ORÇAMENTO!$W$15,ROW(BQ133)-ROW(BQ$15),0),15-13*ORÇAMENTO!$AF$11)),
         0)</f>
        <v>0</v>
      </c>
      <c r="BS133" s="171">
        <f ca="1">IF(OR($D133&lt;&gt;"Serviço",AND(AUTOEVENTO="Manual",$M133=$A$15)),0,
         IF(OFFSET(CRONOPLE!$F$15,$M133-$A$15,BS$13)=0,10^12,OFFSET(CRONOPLE!$F$15,$M133-$A$15,BS$13)))</f>
        <v>0</v>
      </c>
      <c r="BT133" s="171">
        <f ca="1">IF(OR($D133&lt;&gt;"Serviço",AND(AUTOEVENTO="Manual",$M133=$A$15)),0,
         IF(OFFSET(CRONOPLE!$F$15,$M133-$A$15,BT$13)=0,10^12,OFFSET(CRONOPLE!$F$15,$M133-$A$15,BT$13)))</f>
        <v>0</v>
      </c>
      <c r="BU133" s="171">
        <f ca="1">IF(OR($D133&lt;&gt;"Serviço",AND(AUTOEVENTO="Manual",$M133=$A$15)),0,
         IF(OFFSET(CRONOPLE!$F$15,$M133-$A$15,BU$13)=0,10^12,OFFSET(CRONOPLE!$F$15,$M133-$A$15,BU$13)))</f>
        <v>0</v>
      </c>
      <c r="BV133" s="171">
        <f ca="1">IF(OR($D133&lt;&gt;"Serviço",AND(AUTOEVENTO="Manual",$M133=$A$15)),0,
         IF(OFFSET(CRONOPLE!$F$15,$M133-$A$15,BV$13)=0,10^12,OFFSET(CRONOPLE!$F$15,$M133-$A$15,BV$13)))</f>
        <v>0</v>
      </c>
      <c r="BW133" s="171">
        <f ca="1">IF(OR($D133&lt;&gt;"Serviço",AND(AUTOEVENTO="Manual",$M133=$A$15)),0,
         IF(OFFSET(CRONOPLE!$F$15,$M133-$A$15,BW$13)=0,10^12,OFFSET(CRONOPLE!$F$15,$M133-$A$15,BW$13)))</f>
        <v>0</v>
      </c>
      <c r="BX133" s="171">
        <f ca="1">IF(OR($D133&lt;&gt;"Serviço",AND(AUTOEVENTO="Manual",$M133=$A$15)),0,
         IF(OFFSET(CRONOPLE!$F$15,$M133-$A$15,BX$13)=0,10^12,OFFSET(CRONOPLE!$F$15,$M133-$A$15,BX$13)))</f>
        <v>0</v>
      </c>
      <c r="BY133" s="171">
        <f ca="1">IF(OR($D133&lt;&gt;"Serviço",AND(AUTOEVENTO="Manual",$M133=$A$15)),0,
         IF(OFFSET(CRONOPLE!$F$15,$M133-$A$15,BY$13)=0,10^12,OFFSET(CRONOPLE!$F$15,$M133-$A$15,BY$13)))</f>
        <v>0</v>
      </c>
      <c r="BZ133" s="171">
        <f ca="1">IF(OR($D133&lt;&gt;"Serviço",AND(AUTOEVENTO="Manual",$M133=$A$15)),0,
         IF(OFFSET(CRONOPLE!$F$15,$M133-$A$15,BZ$13)=0,10^12,OFFSET(CRONOPLE!$F$15,$M133-$A$15,BZ$13)))</f>
        <v>0</v>
      </c>
      <c r="CA133" s="171">
        <f ca="1">IF(OR($D133&lt;&gt;"Serviço",AND(AUTOEVENTO="Manual",$M133=$A$15)),0,
         IF(OFFSET(CRONOPLE!$F$15,$M133-$A$15,CA$13)=0,10^12,OFFSET(CRONOPLE!$F$15,$M133-$A$15,CA$13)))</f>
        <v>0</v>
      </c>
      <c r="CB133" s="171">
        <f ca="1">IF(OR($D133&lt;&gt;"Serviço",AND(AUTOEVENTO="Manual",$M133=$A$15)),0,
         IF(OFFSET(CRONOPLE!$F$15,$M133-$A$15,CB$13)=0,10^12,OFFSET(CRONOPLE!$F$15,$M133-$A$15,CB$13)))</f>
        <v>0</v>
      </c>
      <c r="CC133" s="171">
        <f ca="1">IF(OR($D133&lt;&gt;"Serviço",AND(AUTOEVENTO="Manual",$M133=$A$15)),0,
         IF(OFFSET(CRONOPLE!$F$15,$M133-$A$15,CC$13)=0,10^12,OFFSET(CRONOPLE!$F$15,$M133-$A$15,CC$13)))</f>
        <v>0</v>
      </c>
      <c r="CD133" s="171">
        <f ca="1">IF(OR($D133&lt;&gt;"Serviço",AND(AUTOEVENTO="Manual",$M133=$A$15)),0,
         IF(OFFSET(CRONOPLE!$F$15,$M133-$A$15,CD$13)=0,10^12,OFFSET(CRONOPLE!$F$15,$M133-$A$15,CD$13)))</f>
        <v>0</v>
      </c>
      <c r="CE133" s="171">
        <f ca="1">IF(OR($D133&lt;&gt;"Serviço",AND(AUTOEVENTO="Manual",$M133=$A$15)),0,
         IF(OFFSET(CRONOPLE!$F$15,$M133-$A$15,CE$13)=0,10^12,OFFSET(CRONOPLE!$F$15,$M133-$A$15,CE$13)))</f>
        <v>0</v>
      </c>
      <c r="CF133" s="171">
        <f ca="1">IF(OR($D133&lt;&gt;"Serviço",AND(AUTOEVENTO="Manual",$M133=$A$15)),0,
         IF(OFFSET(CRONOPLE!$F$15,$M133-$A$15,CF$13)=0,10^12,OFFSET(CRONOPLE!$F$15,$M133-$A$15,CF$13)))</f>
        <v>0</v>
      </c>
      <c r="CG133" s="171">
        <f ca="1">IF(OR($D133&lt;&gt;"Serviço",AND(AUTOEVENTO="Manual",$M133=$A$15)),0,
         IF(OFFSET(CRONOPLE!$F$15,$M133-$A$15,CG$13)=0,10^12,OFFSET(CRONOPLE!$F$15,$M133-$A$15,CG$13)))</f>
        <v>0</v>
      </c>
      <c r="CH133" s="171">
        <f ca="1">IF(OR($D133&lt;&gt;"Serviço",AND(AUTOEVENTO="Manual",$M133=$A$15)),0,
         IF(OFFSET(CRONOPLE!$F$15,$M133-$A$15,CH$13)=0,10^12,OFFSET(CRONOPLE!$F$15,$M133-$A$15,CH$13)))</f>
        <v>0</v>
      </c>
      <c r="CI133" s="171">
        <f ca="1">IF(OR($D133&lt;&gt;"Serviço",AND(AUTOEVENTO="Manual",$M133=$A$15)),0,
         IF(OFFSET(CRONOPLE!$F$15,$M133-$A$15,CI$13)=0,10^12,OFFSET(CRONOPLE!$F$15,$M133-$A$15,CI$13)))</f>
        <v>0</v>
      </c>
      <c r="CJ133" s="171">
        <f ca="1">IF(OR($D133&lt;&gt;"Serviço",AND(AUTOEVENTO="Manual",$M133=$A$15)),0,
         IF(OFFSET(CRONOPLE!$F$15,$M133-$A$15,CJ$13)=0,10^12,OFFSET(CRONOPLE!$F$15,$M133-$A$15,CJ$13)))</f>
        <v>0</v>
      </c>
      <c r="CK133" s="171">
        <f ca="1">IF(OR($D133&lt;&gt;"Serviço",AND(AUTOEVENTO="Manual",$M133=$A$15)),0,
         IF(OFFSET(CRONOPLE!$F$15,$M133-$A$15,CK$13)=0,10^12,OFFSET(CRONOPLE!$F$15,$M133-$A$15,CK$13)))</f>
        <v>0</v>
      </c>
      <c r="CL133" s="171">
        <f ca="1">IF(OR($D133&lt;&gt;"Serviço",AND(AUTOEVENTO="Manual",$M133=$A$15)),0,
         IF(OFFSET(CRONOPLE!$F$15,$M133-$A$15,CL$13)=0,10^12,OFFSET(CRONOPLE!$F$15,$M133-$A$15,CL$13)))</f>
        <v>0</v>
      </c>
      <c r="CM133" s="171">
        <f ca="1">IF(OR($D133&lt;&gt;"Serviço",AND(AUTOEVENTO="Manual",$M133=$A$15)),0,
         IF(OFFSET(CRONOPLE!$F$15,$M133-$A$15,CM$13)=0,10^12,OFFSET(CRONOPLE!$F$15,$M133-$A$15,CM$13)))</f>
        <v>0</v>
      </c>
      <c r="CN133" s="171">
        <f ca="1">IF(OR($D133&lt;&gt;"Serviço",AND(AUTOEVENTO="Manual",$M133=$A$15)),0,
         IF(OFFSET(CRONOPLE!$F$15,$M133-$A$15,CN$13)=0,10^12,OFFSET(CRONOPLE!$F$15,$M133-$A$15,CN$13)))</f>
        <v>0</v>
      </c>
      <c r="CO133" s="171">
        <f ca="1">IF(OR($D133&lt;&gt;"Serviço",AND(AUTOEVENTO="Manual",$M133=$A$15)),0,
         IF(OFFSET(CRONOPLE!$F$15,$M133-$A$15,CO$13)=0,10^12,OFFSET(CRONOPLE!$F$15,$M133-$A$15,CO$13)))</f>
        <v>0</v>
      </c>
      <c r="CP133" s="171">
        <f ca="1">IF(OR($D133&lt;&gt;"Serviço",AND(AUTOEVENTO="Manual",$M133=$A$15)),0,
         IF(OFFSET(CRONOPLE!$F$15,$M133-$A$15,CP$13)=0,10^12,OFFSET(CRONOPLE!$F$15,$M133-$A$15,CP$13)))</f>
        <v>0</v>
      </c>
      <c r="CQ133" s="171">
        <f ca="1">IF(OR($D133&lt;&gt;"Serviço",AND(AUTOEVENTO="Manual",$M133=$A$15)),0,
         IF(OFFSET(CRONOPLE!$F$15,$M133-$A$15,CQ$13)=0,10^12,OFFSET(CRONOPLE!$F$15,$M133-$A$15,CQ$13)))</f>
        <v>0</v>
      </c>
      <c r="CR133" s="171">
        <f ca="1">IF(OR($D133&lt;&gt;"Serviço",AND(AUTOEVENTO="Manual",$M133=$A$15)),0,
         IF(OFFSET(CRONOPLE!$F$15,$M133-$A$15,CR$13)=0,10^12,OFFSET(CRONOPLE!$F$15,$M133-$A$15,CR$13)))</f>
        <v>0</v>
      </c>
      <c r="CT133" s="172" cm="1">
        <f t="array" aca="1" ref="CT133" ca="1">IF(OR($D133&lt;&gt;"Serviço",AND(AUTOEVENTO="Manual",$M133=$A$15),$M133&gt;(ROW(PLE.lastrow)-ROW(PLE.firstrow))),0,
           IF(OFFSET(PLE!$G$15,$M133-$A$15,CT$13)="",10^12,OFFSET(PLE!$G$15,$M133-$A$15,CT$13)))</f>
        <v>0</v>
      </c>
      <c r="CU133" s="172" cm="1">
        <f t="array" aca="1" ref="CU133" ca="1">IF(OR($D133&lt;&gt;"Serviço",AND(AUTOEVENTO="Manual",$M133=$A$15),$M133&gt;(ROW(PLE.lastrow)-ROW(PLE.firstrow))),0,
           IF(OFFSET(PLE!$G$15,$M133-$A$15,CU$13)="",10^12,OFFSET(PLE!$G$15,$M133-$A$15,CU$13)))</f>
        <v>0</v>
      </c>
      <c r="CV133" s="172" cm="1">
        <f t="array" aca="1" ref="CV133" ca="1">IF(OR($D133&lt;&gt;"Serviço",AND(AUTOEVENTO="Manual",$M133=$A$15),$M133&gt;(ROW(PLE.lastrow)-ROW(PLE.firstrow))),0,
           IF(OFFSET(PLE!$G$15,$M133-$A$15,CV$13)="",10^12,OFFSET(PLE!$G$15,$M133-$A$15,CV$13)))</f>
        <v>0</v>
      </c>
      <c r="CW133" s="172" cm="1">
        <f t="array" aca="1" ref="CW133" ca="1">IF(OR($D133&lt;&gt;"Serviço",AND(AUTOEVENTO="Manual",$M133=$A$15),$M133&gt;(ROW(PLE.lastrow)-ROW(PLE.firstrow))),0,
           IF(OFFSET(PLE!$G$15,$M133-$A$15,CW$13)="",10^12,OFFSET(PLE!$G$15,$M133-$A$15,CW$13)))</f>
        <v>0</v>
      </c>
      <c r="CX133" s="172" cm="1">
        <f t="array" aca="1" ref="CX133" ca="1">IF(OR($D133&lt;&gt;"Serviço",AND(AUTOEVENTO="Manual",$M133=$A$15),$M133&gt;(ROW(PLE.lastrow)-ROW(PLE.firstrow))),0,
           IF(OFFSET(PLE!$G$15,$M133-$A$15,CX$13)="",10^12,OFFSET(PLE!$G$15,$M133-$A$15,CX$13)))</f>
        <v>0</v>
      </c>
      <c r="CY133" s="172" cm="1">
        <f t="array" aca="1" ref="CY133" ca="1">IF(OR($D133&lt;&gt;"Serviço",AND(AUTOEVENTO="Manual",$M133=$A$15),$M133&gt;(ROW(PLE.lastrow)-ROW(PLE.firstrow))),0,
           IF(OFFSET(PLE!$G$15,$M133-$A$15,CY$13)="",10^12,OFFSET(PLE!$G$15,$M133-$A$15,CY$13)))</f>
        <v>0</v>
      </c>
      <c r="CZ133" s="172" cm="1">
        <f t="array" aca="1" ref="CZ133" ca="1">IF(OR($D133&lt;&gt;"Serviço",AND(AUTOEVENTO="Manual",$M133=$A$15),$M133&gt;(ROW(PLE.lastrow)-ROW(PLE.firstrow))),0,
           IF(OFFSET(PLE!$G$15,$M133-$A$15,CZ$13)="",10^12,OFFSET(PLE!$G$15,$M133-$A$15,CZ$13)))</f>
        <v>0</v>
      </c>
      <c r="DA133" s="172" cm="1">
        <f t="array" aca="1" ref="DA133" ca="1">IF(OR($D133&lt;&gt;"Serviço",AND(AUTOEVENTO="Manual",$M133=$A$15),$M133&gt;(ROW(PLE.lastrow)-ROW(PLE.firstrow))),0,
           IF(OFFSET(PLE!$G$15,$M133-$A$15,DA$13)="",10^12,OFFSET(PLE!$G$15,$M133-$A$15,DA$13)))</f>
        <v>0</v>
      </c>
      <c r="DB133" s="172" cm="1">
        <f t="array" aca="1" ref="DB133" ca="1">IF(OR($D133&lt;&gt;"Serviço",AND(AUTOEVENTO="Manual",$M133=$A$15),$M133&gt;(ROW(PLE.lastrow)-ROW(PLE.firstrow))),0,
           IF(OFFSET(PLE!$G$15,$M133-$A$15,DB$13)="",10^12,OFFSET(PLE!$G$15,$M133-$A$15,DB$13)))</f>
        <v>0</v>
      </c>
      <c r="DC133" s="172" cm="1">
        <f t="array" aca="1" ref="DC133" ca="1">IF(OR($D133&lt;&gt;"Serviço",AND(AUTOEVENTO="Manual",$M133=$A$15),$M133&gt;(ROW(PLE.lastrow)-ROW(PLE.firstrow))),0,
           IF(OFFSET(PLE!$G$15,$M133-$A$15,DC$13)="",10^12,OFFSET(PLE!$G$15,$M133-$A$15,DC$13)))</f>
        <v>0</v>
      </c>
      <c r="DD133" s="172" cm="1">
        <f t="array" aca="1" ref="DD133" ca="1">IF(OR($D133&lt;&gt;"Serviço",AND(AUTOEVENTO="Manual",$M133=$A$15),$M133&gt;(ROW(PLE.lastrow)-ROW(PLE.firstrow))),0,
           IF(OFFSET(PLE!$G$15,$M133-$A$15,DD$13)="",10^12,OFFSET(PLE!$G$15,$M133-$A$15,DD$13)))</f>
        <v>0</v>
      </c>
      <c r="DE133" s="172" cm="1">
        <f t="array" aca="1" ref="DE133" ca="1">IF(OR($D133&lt;&gt;"Serviço",AND(AUTOEVENTO="Manual",$M133=$A$15),$M133&gt;(ROW(PLE.lastrow)-ROW(PLE.firstrow))),0,
           IF(OFFSET(PLE!$G$15,$M133-$A$15,DE$13)="",10^12,OFFSET(PLE!$G$15,$M133-$A$15,DE$13)))</f>
        <v>0</v>
      </c>
      <c r="DF133" s="172" cm="1">
        <f t="array" aca="1" ref="DF133" ca="1">IF(OR($D133&lt;&gt;"Serviço",AND(AUTOEVENTO="Manual",$M133=$A$15),$M133&gt;(ROW(PLE.lastrow)-ROW(PLE.firstrow))),0,
           IF(OFFSET(PLE!$G$15,$M133-$A$15,DF$13)="",10^12,OFFSET(PLE!$G$15,$M133-$A$15,DF$13)))</f>
        <v>0</v>
      </c>
      <c r="DG133" s="172" cm="1">
        <f t="array" aca="1" ref="DG133" ca="1">IF(OR($D133&lt;&gt;"Serviço",AND(AUTOEVENTO="Manual",$M133=$A$15),$M133&gt;(ROW(PLE.lastrow)-ROW(PLE.firstrow))),0,
           IF(OFFSET(PLE!$G$15,$M133-$A$15,DG$13)="",10^12,OFFSET(PLE!$G$15,$M133-$A$15,DG$13)))</f>
        <v>0</v>
      </c>
      <c r="DH133" s="172" cm="1">
        <f t="array" aca="1" ref="DH133" ca="1">IF(OR($D133&lt;&gt;"Serviço",AND(AUTOEVENTO="Manual",$M133=$A$15),$M133&gt;(ROW(PLE.lastrow)-ROW(PLE.firstrow))),0,
           IF(OFFSET(PLE!$G$15,$M133-$A$15,DH$13)="",10^12,OFFSET(PLE!$G$15,$M133-$A$15,DH$13)))</f>
        <v>0</v>
      </c>
      <c r="DI133" s="172" cm="1">
        <f t="array" aca="1" ref="DI133" ca="1">IF(OR($D133&lt;&gt;"Serviço",AND(AUTOEVENTO="Manual",$M133=$A$15),$M133&gt;(ROW(PLE.lastrow)-ROW(PLE.firstrow))),0,
           IF(OFFSET(PLE!$G$15,$M133-$A$15,DI$13)="",10^12,OFFSET(PLE!$G$15,$M133-$A$15,DI$13)))</f>
        <v>0</v>
      </c>
      <c r="DJ133" s="172" cm="1">
        <f t="array" aca="1" ref="DJ133" ca="1">IF(OR($D133&lt;&gt;"Serviço",AND(AUTOEVENTO="Manual",$M133=$A$15),$M133&gt;(ROW(PLE.lastrow)-ROW(PLE.firstrow))),0,
           IF(OFFSET(PLE!$G$15,$M133-$A$15,DJ$13)="",10^12,OFFSET(PLE!$G$15,$M133-$A$15,DJ$13)))</f>
        <v>0</v>
      </c>
      <c r="DK133" s="172" cm="1">
        <f t="array" aca="1" ref="DK133" ca="1">IF(OR($D133&lt;&gt;"Serviço",AND(AUTOEVENTO="Manual",$M133=$A$15),$M133&gt;(ROW(PLE.lastrow)-ROW(PLE.firstrow))),0,
           IF(OFFSET(PLE!$G$15,$M133-$A$15,DK$13)="",10^12,OFFSET(PLE!$G$15,$M133-$A$15,DK$13)))</f>
        <v>0</v>
      </c>
      <c r="DL133" s="172" cm="1">
        <f t="array" aca="1" ref="DL133" ca="1">IF(OR($D133&lt;&gt;"Serviço",AND(AUTOEVENTO="Manual",$M133=$A$15),$M133&gt;(ROW(PLE.lastrow)-ROW(PLE.firstrow))),0,
           IF(OFFSET(PLE!$G$15,$M133-$A$15,DL$13)="",10^12,OFFSET(PLE!$G$15,$M133-$A$15,DL$13)))</f>
        <v>0</v>
      </c>
      <c r="DM133" s="172" cm="1">
        <f t="array" aca="1" ref="DM133" ca="1">IF(OR($D133&lt;&gt;"Serviço",AND(AUTOEVENTO="Manual",$M133=$A$15),$M133&gt;(ROW(PLE.lastrow)-ROW(PLE.firstrow))),0,
           IF(OFFSET(PLE!$G$15,$M133-$A$15,DM$13)="",10^12,OFFSET(PLE!$G$15,$M133-$A$15,DM$13)))</f>
        <v>0</v>
      </c>
      <c r="DN133" s="172" cm="1">
        <f t="array" aca="1" ref="DN133" ca="1">IF(OR($D133&lt;&gt;"Serviço",AND(AUTOEVENTO="Manual",$M133=$A$15),$M133&gt;(ROW(PLE.lastrow)-ROW(PLE.firstrow))),0,
           IF(OFFSET(PLE!$G$15,$M133-$A$15,DN$13)="",10^12,OFFSET(PLE!$G$15,$M133-$A$15,DN$13)))</f>
        <v>0</v>
      </c>
      <c r="DO133" s="172" cm="1">
        <f t="array" aca="1" ref="DO133" ca="1">IF(OR($D133&lt;&gt;"Serviço",AND(AUTOEVENTO="Manual",$M133=$A$15),$M133&gt;(ROW(PLE.lastrow)-ROW(PLE.firstrow))),0,
           IF(OFFSET(PLE!$G$15,$M133-$A$15,DO$13)="",10^12,OFFSET(PLE!$G$15,$M133-$A$15,DO$13)))</f>
        <v>0</v>
      </c>
      <c r="DP133" s="172" cm="1">
        <f t="array" aca="1" ref="DP133" ca="1">IF(OR($D133&lt;&gt;"Serviço",AND(AUTOEVENTO="Manual",$M133=$A$15),$M133&gt;(ROW(PLE.lastrow)-ROW(PLE.firstrow))),0,
           IF(OFFSET(PLE!$G$15,$M133-$A$15,DP$13)="",10^12,OFFSET(PLE!$G$15,$M133-$A$15,DP$13)))</f>
        <v>0</v>
      </c>
      <c r="DQ133" s="172" cm="1">
        <f t="array" aca="1" ref="DQ133" ca="1">IF(OR($D133&lt;&gt;"Serviço",AND(AUTOEVENTO="Manual",$M133=$A$15),$M133&gt;(ROW(PLE.lastrow)-ROW(PLE.firstrow))),0,
           IF(OFFSET(PLE!$G$15,$M133-$A$15,DQ$13)="",10^12,OFFSET(PLE!$G$15,$M133-$A$15,DQ$13)))</f>
        <v>0</v>
      </c>
      <c r="DR133" s="172" cm="1">
        <f t="array" aca="1" ref="DR133" ca="1">IF(OR($D133&lt;&gt;"Serviço",AND(AUTOEVENTO="Manual",$M133=$A$15),$M133&gt;(ROW(PLE.lastrow)-ROW(PLE.firstrow))),0,
           IF(OFFSET(PLE!$G$15,$M133-$A$15,DR$13)="",10^12,OFFSET(PLE!$G$15,$M133-$A$15,DR$13)))</f>
        <v>0</v>
      </c>
      <c r="DS133" s="172" cm="1">
        <f t="array" aca="1" ref="DS133" ca="1">IF(OR($D133&lt;&gt;"Serviço",AND(AUTOEVENTO="Manual",$M133=$A$15),$M133&gt;(ROW(PLE.lastrow)-ROW(PLE.firstrow))),0,
           IF(OFFSET(PLE!$G$15,$M133-$A$15,DS$13)="",10^12,OFFSET(PLE!$G$15,$M133-$A$15,DS$13)))</f>
        <v>0</v>
      </c>
    </row>
    <row r="134" spans="1:123" ht="12.75" x14ac:dyDescent="0.2">
      <c r="A134" s="7">
        <f t="shared" ca="1" si="15"/>
        <v>0</v>
      </c>
      <c r="B134" s="7">
        <f ca="1">OFFSET(ORÇAMENTO!C$15,$L134,0)</f>
        <v>3</v>
      </c>
      <c r="C134" s="7" t="str">
        <f ca="1">OFFSET(ORÇAMENTO!L$15,$L134,0)</f>
        <v>F</v>
      </c>
      <c r="D134" s="116" t="str">
        <f ca="1">OFFSET(ORÇAMENTO!N$15,$L134,0)</f>
        <v>Nível 3</v>
      </c>
      <c r="E134" s="117" t="str">
        <f ca="1">OFFSET(ORÇAMENTO!O$15,$L134,0)</f>
        <v>9.1.1.</v>
      </c>
      <c r="F134" s="163" t="str">
        <f ca="1">OFFSET(ORÇAMENTO!R$15,$L134,0)</f>
        <v>CENTRO DE DISTRIBUIÇÃO ELÉTRICA</v>
      </c>
      <c r="G134" s="164" t="str">
        <f ca="1">IF($D134&lt;&gt;"Serviço","",OFFSET(ORÇAMENTO!S$15,$L134,0))</f>
        <v/>
      </c>
      <c r="H134" s="122" cm="1">
        <f t="array" aca="1" ref="H134" ca="1">IF($D134&lt;&gt;"Serviço",0,IF(ACOMPANHAMENTO="BM",ROUND(OFFSET(ORÇAMENTO!AJ$15,$L134,0),15-13*ORÇAMENTO!$AF$7),IF(IFERROR(CÁLCULO.FrentesPreenchidas,0)=0,0,SUM(ROUND(OFFSET($P134,0,1,1,CÁLCULO.FrentesPreenchidas),15-13*ORÇAMENTO!$AF$7)))))</f>
        <v>0</v>
      </c>
      <c r="I134" s="468"/>
      <c r="J134" s="651" t="str" cm="1">
        <f t="array" aca="1" ref="J134" ca="1">IF(OR(B134&lt;&gt;"S",CÁLCULO.FrentesPreenchidas=0),"",IF(AND(ACOMPANHAMENTO="PLE",AUTOEVENTO="Manual",OR(H134&gt;0,ORÇAMENTO!AC134="QUANT."),OR(K134="",M134=0,N134="")),"►E",IF(AND(ACOMPANHAMENTO="PLE",ORÇAMENTO!AC134="QUANT."),"►Q",IF(AND(ACOMPANHAMENTO="PLE",H134&lt;&gt;SUMPRODUCT(($Q$1:$AQ$1=1)*ROUND(Q134:AQ134,15))),"►S",IF(AND(COUNTIF($P$11:$AQ$11,"▼")=0,H134&gt;0,I134=""),"◄M","")))))</f>
        <v/>
      </c>
      <c r="K134" s="652"/>
      <c r="L134" s="165">
        <f t="shared" ca="1" si="14"/>
        <v>119</v>
      </c>
      <c r="M134" s="166" t="str">
        <f ca="1">IF($D134&lt;&gt;"Serviço","",
          IF(AUTOEVENTO="manual",$A134,
                IF(ISERROR(MATCH($A134,$A$15:OFFSET($A134,-1,0),0)),MAX($M$15:OFFSET(M134,-1,0))+1,
                      INDEX($M$15:OFFSET(M134,-1,0),MATCH($A134,$A$15:OFFSET($A134,-1,0),0)))))</f>
        <v/>
      </c>
      <c r="N134" s="167" t="str">
        <f ca="1">IF($D134&lt;&gt;"Serviço","",
         IF(AUTOEVENTO="Manual",
                IF($A134=0,"&lt;-- defina o número do agrupador",
                       OFFSET(EVENTOS!$D$15,$A134-$A$15,0)),
                OFFSET($F$15,$A134,0)))</f>
        <v/>
      </c>
      <c r="O134" s="168"/>
      <c r="Q134" s="168"/>
      <c r="R134" s="169"/>
      <c r="S134" s="169"/>
      <c r="T134" s="169"/>
      <c r="U134" s="169"/>
      <c r="V134" s="169"/>
      <c r="W134" s="169"/>
      <c r="X134" s="169"/>
      <c r="Y134" s="169"/>
      <c r="Z134" s="170"/>
      <c r="AA134" s="169"/>
      <c r="AB134" s="169"/>
      <c r="AC134" s="169"/>
      <c r="AD134" s="169"/>
      <c r="AE134" s="169"/>
      <c r="AF134" s="169"/>
      <c r="AG134" s="169"/>
      <c r="AH134" s="170"/>
      <c r="AI134" s="169"/>
      <c r="AJ134" s="169"/>
      <c r="AK134" s="169"/>
      <c r="AL134" s="169"/>
      <c r="AM134" s="169"/>
      <c r="AN134" s="169"/>
      <c r="AO134" s="169"/>
      <c r="AP134" s="170"/>
      <c r="AR134" s="453">
        <f ca="1">IF(AND($D134="Serviço",AR$12&lt;&gt;0,$H134&gt;0,OR(AUTOEVENTO&lt;&gt;"manual",$M134&lt;&gt;$A$15)),
        IF(Import.TipoArredondamento&lt;&gt;"TransfereGOV",
              ROUND(OFFSET($P134,0,AR$13),15-13*ORÇAMENTO!$AF$7)/$H134*OFFSET(ORÇAMENTO!$X$15,ROW(AR134)-ROW(AR$15),0),
              ROUND(ROUND(OFFSET($P134,0,AR$13),15-13*ORÇAMENTO!$AF$7)*OFFSET(ORÇAMENTO!$W$15,ROW(AR134)-ROW(AR$15),0),15-13*ORÇAMENTO!$AF$11)),
         0)</f>
        <v>0</v>
      </c>
      <c r="AS134" s="453">
        <f ca="1">IF(AND($D134="Serviço",AS$12&lt;&gt;0,$H134&gt;0,OR(AUTOEVENTO&lt;&gt;"manual",$M134&lt;&gt;$A$15)),
        IF(Import.TipoArredondamento&lt;&gt;"TransfereGOV",
              ROUND(OFFSET($P134,0,AS$13),15-13*ORÇAMENTO!$AF$7)/$H134*OFFSET(ORÇAMENTO!$X$15,ROW(AS134)-ROW(AS$15),0),
              ROUND(ROUND(OFFSET($P134,0,AS$13),15-13*ORÇAMENTO!$AF$7)*OFFSET(ORÇAMENTO!$W$15,ROW(AS134)-ROW(AS$15),0),15-13*ORÇAMENTO!$AF$11)),
         0)</f>
        <v>0</v>
      </c>
      <c r="AT134" s="453">
        <f ca="1">IF(AND($D134="Serviço",AT$12&lt;&gt;0,$H134&gt;0,OR(AUTOEVENTO&lt;&gt;"manual",$M134&lt;&gt;$A$15)),
        IF(Import.TipoArredondamento&lt;&gt;"TransfereGOV",
              ROUND(OFFSET($P134,0,AT$13),15-13*ORÇAMENTO!$AF$7)/$H134*OFFSET(ORÇAMENTO!$X$15,ROW(AT134)-ROW(AT$15),0),
              ROUND(ROUND(OFFSET($P134,0,AT$13),15-13*ORÇAMENTO!$AF$7)*OFFSET(ORÇAMENTO!$W$15,ROW(AT134)-ROW(AT$15),0),15-13*ORÇAMENTO!$AF$11)),
         0)</f>
        <v>0</v>
      </c>
      <c r="AU134" s="453">
        <f ca="1">IF(AND($D134="Serviço",AU$12&lt;&gt;0,$H134&gt;0,OR(AUTOEVENTO&lt;&gt;"manual",$M134&lt;&gt;$A$15)),
        IF(Import.TipoArredondamento&lt;&gt;"TransfereGOV",
              ROUND(OFFSET($P134,0,AU$13),15-13*ORÇAMENTO!$AF$7)/$H134*OFFSET(ORÇAMENTO!$X$15,ROW(AU134)-ROW(AU$15),0),
              ROUND(ROUND(OFFSET($P134,0,AU$13),15-13*ORÇAMENTO!$AF$7)*OFFSET(ORÇAMENTO!$W$15,ROW(AU134)-ROW(AU$15),0),15-13*ORÇAMENTO!$AF$11)),
         0)</f>
        <v>0</v>
      </c>
      <c r="AV134" s="453">
        <f ca="1">IF(AND($D134="Serviço",AV$12&lt;&gt;0,$H134&gt;0,OR(AUTOEVENTO&lt;&gt;"manual",$M134&lt;&gt;$A$15)),
        IF(Import.TipoArredondamento&lt;&gt;"TransfereGOV",
              ROUND(OFFSET($P134,0,AV$13),15-13*ORÇAMENTO!$AF$7)/$H134*OFFSET(ORÇAMENTO!$X$15,ROW(AV134)-ROW(AV$15),0),
              ROUND(ROUND(OFFSET($P134,0,AV$13),15-13*ORÇAMENTO!$AF$7)*OFFSET(ORÇAMENTO!$W$15,ROW(AV134)-ROW(AV$15),0),15-13*ORÇAMENTO!$AF$11)),
         0)</f>
        <v>0</v>
      </c>
      <c r="AW134" s="453">
        <f ca="1">IF(AND($D134="Serviço",AW$12&lt;&gt;0,$H134&gt;0,OR(AUTOEVENTO&lt;&gt;"manual",$M134&lt;&gt;$A$15)),
        IF(Import.TipoArredondamento&lt;&gt;"TransfereGOV",
              ROUND(OFFSET($P134,0,AW$13),15-13*ORÇAMENTO!$AF$7)/$H134*OFFSET(ORÇAMENTO!$X$15,ROW(AW134)-ROW(AW$15),0),
              ROUND(ROUND(OFFSET($P134,0,AW$13),15-13*ORÇAMENTO!$AF$7)*OFFSET(ORÇAMENTO!$W$15,ROW(AW134)-ROW(AW$15),0),15-13*ORÇAMENTO!$AF$11)),
         0)</f>
        <v>0</v>
      </c>
      <c r="AX134" s="453">
        <f ca="1">IF(AND($D134="Serviço",AX$12&lt;&gt;0,$H134&gt;0,OR(AUTOEVENTO&lt;&gt;"manual",$M134&lt;&gt;$A$15)),
        IF(Import.TipoArredondamento&lt;&gt;"TransfereGOV",
              ROUND(OFFSET($P134,0,AX$13),15-13*ORÇAMENTO!$AF$7)/$H134*OFFSET(ORÇAMENTO!$X$15,ROW(AX134)-ROW(AX$15),0),
              ROUND(ROUND(OFFSET($P134,0,AX$13),15-13*ORÇAMENTO!$AF$7)*OFFSET(ORÇAMENTO!$W$15,ROW(AX134)-ROW(AX$15),0),15-13*ORÇAMENTO!$AF$11)),
         0)</f>
        <v>0</v>
      </c>
      <c r="AY134" s="453">
        <f ca="1">IF(AND($D134="Serviço",AY$12&lt;&gt;0,$H134&gt;0,OR(AUTOEVENTO&lt;&gt;"manual",$M134&lt;&gt;$A$15)),
        IF(Import.TipoArredondamento&lt;&gt;"TransfereGOV",
              ROUND(OFFSET($P134,0,AY$13),15-13*ORÇAMENTO!$AF$7)/$H134*OFFSET(ORÇAMENTO!$X$15,ROW(AY134)-ROW(AY$15),0),
              ROUND(ROUND(OFFSET($P134,0,AY$13),15-13*ORÇAMENTO!$AF$7)*OFFSET(ORÇAMENTO!$W$15,ROW(AY134)-ROW(AY$15),0),15-13*ORÇAMENTO!$AF$11)),
         0)</f>
        <v>0</v>
      </c>
      <c r="AZ134" s="453">
        <f ca="1">IF(AND($D134="Serviço",AZ$12&lt;&gt;0,$H134&gt;0,OR(AUTOEVENTO&lt;&gt;"manual",$M134&lt;&gt;$A$15)),
        IF(Import.TipoArredondamento&lt;&gt;"TransfereGOV",
              ROUND(OFFSET($P134,0,AZ$13),15-13*ORÇAMENTO!$AF$7)/$H134*OFFSET(ORÇAMENTO!$X$15,ROW(AZ134)-ROW(AZ$15),0),
              ROUND(ROUND(OFFSET($P134,0,AZ$13),15-13*ORÇAMENTO!$AF$7)*OFFSET(ORÇAMENTO!$W$15,ROW(AZ134)-ROW(AZ$15),0),15-13*ORÇAMENTO!$AF$11)),
         0)</f>
        <v>0</v>
      </c>
      <c r="BA134" s="453">
        <f ca="1">IF(AND($D134="Serviço",BA$12&lt;&gt;0,$H134&gt;0,OR(AUTOEVENTO&lt;&gt;"manual",$M134&lt;&gt;$A$15)),
        IF(Import.TipoArredondamento&lt;&gt;"TransfereGOV",
              ROUND(OFFSET($P134,0,BA$13),15-13*ORÇAMENTO!$AF$7)/$H134*OFFSET(ORÇAMENTO!$X$15,ROW(BA134)-ROW(BA$15),0),
              ROUND(ROUND(OFFSET($P134,0,BA$13),15-13*ORÇAMENTO!$AF$7)*OFFSET(ORÇAMENTO!$W$15,ROW(BA134)-ROW(BA$15),0),15-13*ORÇAMENTO!$AF$11)),
         0)</f>
        <v>0</v>
      </c>
      <c r="BB134" s="453">
        <f ca="1">IF(AND($D134="Serviço",BB$12&lt;&gt;0,$H134&gt;0,OR(AUTOEVENTO&lt;&gt;"manual",$M134&lt;&gt;$A$15)),
        IF(Import.TipoArredondamento&lt;&gt;"TransfereGOV",
              ROUND(OFFSET($P134,0,BB$13),15-13*ORÇAMENTO!$AF$7)/$H134*OFFSET(ORÇAMENTO!$X$15,ROW(BB134)-ROW(BB$15),0),
              ROUND(ROUND(OFFSET($P134,0,BB$13),15-13*ORÇAMENTO!$AF$7)*OFFSET(ORÇAMENTO!$W$15,ROW(BB134)-ROW(BB$15),0),15-13*ORÇAMENTO!$AF$11)),
         0)</f>
        <v>0</v>
      </c>
      <c r="BC134" s="453">
        <f ca="1">IF(AND($D134="Serviço",BC$12&lt;&gt;0,$H134&gt;0,OR(AUTOEVENTO&lt;&gt;"manual",$M134&lt;&gt;$A$15)),
        IF(Import.TipoArredondamento&lt;&gt;"TransfereGOV",
              ROUND(OFFSET($P134,0,BC$13),15-13*ORÇAMENTO!$AF$7)/$H134*OFFSET(ORÇAMENTO!$X$15,ROW(BC134)-ROW(BC$15),0),
              ROUND(ROUND(OFFSET($P134,0,BC$13),15-13*ORÇAMENTO!$AF$7)*OFFSET(ORÇAMENTO!$W$15,ROW(BC134)-ROW(BC$15),0),15-13*ORÇAMENTO!$AF$11)),
         0)</f>
        <v>0</v>
      </c>
      <c r="BD134" s="453">
        <f ca="1">IF(AND($D134="Serviço",BD$12&lt;&gt;0,$H134&gt;0,OR(AUTOEVENTO&lt;&gt;"manual",$M134&lt;&gt;$A$15)),
        IF(Import.TipoArredondamento&lt;&gt;"TransfereGOV",
              ROUND(OFFSET($P134,0,BD$13),15-13*ORÇAMENTO!$AF$7)/$H134*OFFSET(ORÇAMENTO!$X$15,ROW(BD134)-ROW(BD$15),0),
              ROUND(ROUND(OFFSET($P134,0,BD$13),15-13*ORÇAMENTO!$AF$7)*OFFSET(ORÇAMENTO!$W$15,ROW(BD134)-ROW(BD$15),0),15-13*ORÇAMENTO!$AF$11)),
         0)</f>
        <v>0</v>
      </c>
      <c r="BE134" s="453">
        <f ca="1">IF(AND($D134="Serviço",BE$12&lt;&gt;0,$H134&gt;0,OR(AUTOEVENTO&lt;&gt;"manual",$M134&lt;&gt;$A$15)),
        IF(Import.TipoArredondamento&lt;&gt;"TransfereGOV",
              ROUND(OFFSET($P134,0,BE$13),15-13*ORÇAMENTO!$AF$7)/$H134*OFFSET(ORÇAMENTO!$X$15,ROW(BE134)-ROW(BE$15),0),
              ROUND(ROUND(OFFSET($P134,0,BE$13),15-13*ORÇAMENTO!$AF$7)*OFFSET(ORÇAMENTO!$W$15,ROW(BE134)-ROW(BE$15),0),15-13*ORÇAMENTO!$AF$11)),
         0)</f>
        <v>0</v>
      </c>
      <c r="BF134" s="453">
        <f ca="1">IF(AND($D134="Serviço",BF$12&lt;&gt;0,$H134&gt;0,OR(AUTOEVENTO&lt;&gt;"manual",$M134&lt;&gt;$A$15)),
        IF(Import.TipoArredondamento&lt;&gt;"TransfereGOV",
              ROUND(OFFSET($P134,0,BF$13),15-13*ORÇAMENTO!$AF$7)/$H134*OFFSET(ORÇAMENTO!$X$15,ROW(BF134)-ROW(BF$15),0),
              ROUND(ROUND(OFFSET($P134,0,BF$13),15-13*ORÇAMENTO!$AF$7)*OFFSET(ORÇAMENTO!$W$15,ROW(BF134)-ROW(BF$15),0),15-13*ORÇAMENTO!$AF$11)),
         0)</f>
        <v>0</v>
      </c>
      <c r="BG134" s="453">
        <f ca="1">IF(AND($D134="Serviço",BG$12&lt;&gt;0,$H134&gt;0,OR(AUTOEVENTO&lt;&gt;"manual",$M134&lt;&gt;$A$15)),
        IF(Import.TipoArredondamento&lt;&gt;"TransfereGOV",
              ROUND(OFFSET($P134,0,BG$13),15-13*ORÇAMENTO!$AF$7)/$H134*OFFSET(ORÇAMENTO!$X$15,ROW(BG134)-ROW(BG$15),0),
              ROUND(ROUND(OFFSET($P134,0,BG$13),15-13*ORÇAMENTO!$AF$7)*OFFSET(ORÇAMENTO!$W$15,ROW(BG134)-ROW(BG$15),0),15-13*ORÇAMENTO!$AF$11)),
         0)</f>
        <v>0</v>
      </c>
      <c r="BH134" s="453">
        <f ca="1">IF(AND($D134="Serviço",BH$12&lt;&gt;0,$H134&gt;0,OR(AUTOEVENTO&lt;&gt;"manual",$M134&lt;&gt;$A$15)),
        IF(Import.TipoArredondamento&lt;&gt;"TransfereGOV",
              ROUND(OFFSET($P134,0,BH$13),15-13*ORÇAMENTO!$AF$7)/$H134*OFFSET(ORÇAMENTO!$X$15,ROW(BH134)-ROW(BH$15),0),
              ROUND(ROUND(OFFSET($P134,0,BH$13),15-13*ORÇAMENTO!$AF$7)*OFFSET(ORÇAMENTO!$W$15,ROW(BH134)-ROW(BH$15),0),15-13*ORÇAMENTO!$AF$11)),
         0)</f>
        <v>0</v>
      </c>
      <c r="BI134" s="453">
        <f ca="1">IF(AND($D134="Serviço",BI$12&lt;&gt;0,$H134&gt;0,OR(AUTOEVENTO&lt;&gt;"manual",$M134&lt;&gt;$A$15)),
        IF(Import.TipoArredondamento&lt;&gt;"TransfereGOV",
              ROUND(OFFSET($P134,0,BI$13),15-13*ORÇAMENTO!$AF$7)/$H134*OFFSET(ORÇAMENTO!$X$15,ROW(BI134)-ROW(BI$15),0),
              ROUND(ROUND(OFFSET($P134,0,BI$13),15-13*ORÇAMENTO!$AF$7)*OFFSET(ORÇAMENTO!$W$15,ROW(BI134)-ROW(BI$15),0),15-13*ORÇAMENTO!$AF$11)),
         0)</f>
        <v>0</v>
      </c>
      <c r="BJ134" s="453">
        <f ca="1">IF(AND($D134="Serviço",BJ$12&lt;&gt;0,$H134&gt;0,OR(AUTOEVENTO&lt;&gt;"manual",$M134&lt;&gt;$A$15)),
        IF(Import.TipoArredondamento&lt;&gt;"TransfereGOV",
              ROUND(OFFSET($P134,0,BJ$13),15-13*ORÇAMENTO!$AF$7)/$H134*OFFSET(ORÇAMENTO!$X$15,ROW(BJ134)-ROW(BJ$15),0),
              ROUND(ROUND(OFFSET($P134,0,BJ$13),15-13*ORÇAMENTO!$AF$7)*OFFSET(ORÇAMENTO!$W$15,ROW(BJ134)-ROW(BJ$15),0),15-13*ORÇAMENTO!$AF$11)),
         0)</f>
        <v>0</v>
      </c>
      <c r="BK134" s="453">
        <f ca="1">IF(AND($D134="Serviço",BK$12&lt;&gt;0,$H134&gt;0,OR(AUTOEVENTO&lt;&gt;"manual",$M134&lt;&gt;$A$15)),
        IF(Import.TipoArredondamento&lt;&gt;"TransfereGOV",
              ROUND(OFFSET($P134,0,BK$13),15-13*ORÇAMENTO!$AF$7)/$H134*OFFSET(ORÇAMENTO!$X$15,ROW(BK134)-ROW(BK$15),0),
              ROUND(ROUND(OFFSET($P134,0,BK$13),15-13*ORÇAMENTO!$AF$7)*OFFSET(ORÇAMENTO!$W$15,ROW(BK134)-ROW(BK$15),0),15-13*ORÇAMENTO!$AF$11)),
         0)</f>
        <v>0</v>
      </c>
      <c r="BL134" s="453">
        <f ca="1">IF(AND($D134="Serviço",BL$12&lt;&gt;0,$H134&gt;0,OR(AUTOEVENTO&lt;&gt;"manual",$M134&lt;&gt;$A$15)),
        IF(Import.TipoArredondamento&lt;&gt;"TransfereGOV",
              ROUND(OFFSET($P134,0,BL$13),15-13*ORÇAMENTO!$AF$7)/$H134*OFFSET(ORÇAMENTO!$X$15,ROW(BL134)-ROW(BL$15),0),
              ROUND(ROUND(OFFSET($P134,0,BL$13),15-13*ORÇAMENTO!$AF$7)*OFFSET(ORÇAMENTO!$W$15,ROW(BL134)-ROW(BL$15),0),15-13*ORÇAMENTO!$AF$11)),
         0)</f>
        <v>0</v>
      </c>
      <c r="BM134" s="453">
        <f ca="1">IF(AND($D134="Serviço",BM$12&lt;&gt;0,$H134&gt;0,OR(AUTOEVENTO&lt;&gt;"manual",$M134&lt;&gt;$A$15)),
        IF(Import.TipoArredondamento&lt;&gt;"TransfereGOV",
              ROUND(OFFSET($P134,0,BM$13),15-13*ORÇAMENTO!$AF$7)/$H134*OFFSET(ORÇAMENTO!$X$15,ROW(BM134)-ROW(BM$15),0),
              ROUND(ROUND(OFFSET($P134,0,BM$13),15-13*ORÇAMENTO!$AF$7)*OFFSET(ORÇAMENTO!$W$15,ROW(BM134)-ROW(BM$15),0),15-13*ORÇAMENTO!$AF$11)),
         0)</f>
        <v>0</v>
      </c>
      <c r="BN134" s="453">
        <f ca="1">IF(AND($D134="Serviço",BN$12&lt;&gt;0,$H134&gt;0,OR(AUTOEVENTO&lt;&gt;"manual",$M134&lt;&gt;$A$15)),
        IF(Import.TipoArredondamento&lt;&gt;"TransfereGOV",
              ROUND(OFFSET($P134,0,BN$13),15-13*ORÇAMENTO!$AF$7)/$H134*OFFSET(ORÇAMENTO!$X$15,ROW(BN134)-ROW(BN$15),0),
              ROUND(ROUND(OFFSET($P134,0,BN$13),15-13*ORÇAMENTO!$AF$7)*OFFSET(ORÇAMENTO!$W$15,ROW(BN134)-ROW(BN$15),0),15-13*ORÇAMENTO!$AF$11)),
         0)</f>
        <v>0</v>
      </c>
      <c r="BO134" s="453">
        <f ca="1">IF(AND($D134="Serviço",BO$12&lt;&gt;0,$H134&gt;0,OR(AUTOEVENTO&lt;&gt;"manual",$M134&lt;&gt;$A$15)),
        IF(Import.TipoArredondamento&lt;&gt;"TransfereGOV",
              ROUND(OFFSET($P134,0,BO$13),15-13*ORÇAMENTO!$AF$7)/$H134*OFFSET(ORÇAMENTO!$X$15,ROW(BO134)-ROW(BO$15),0),
              ROUND(ROUND(OFFSET($P134,0,BO$13),15-13*ORÇAMENTO!$AF$7)*OFFSET(ORÇAMENTO!$W$15,ROW(BO134)-ROW(BO$15),0),15-13*ORÇAMENTO!$AF$11)),
         0)</f>
        <v>0</v>
      </c>
      <c r="BP134" s="453">
        <f ca="1">IF(AND($D134="Serviço",BP$12&lt;&gt;0,$H134&gt;0,OR(AUTOEVENTO&lt;&gt;"manual",$M134&lt;&gt;$A$15)),
        IF(Import.TipoArredondamento&lt;&gt;"TransfereGOV",
              ROUND(OFFSET($P134,0,BP$13),15-13*ORÇAMENTO!$AF$7)/$H134*OFFSET(ORÇAMENTO!$X$15,ROW(BP134)-ROW(BP$15),0),
              ROUND(ROUND(OFFSET($P134,0,BP$13),15-13*ORÇAMENTO!$AF$7)*OFFSET(ORÇAMENTO!$W$15,ROW(BP134)-ROW(BP$15),0),15-13*ORÇAMENTO!$AF$11)),
         0)</f>
        <v>0</v>
      </c>
      <c r="BQ134" s="453">
        <f ca="1">IF(AND($D134="Serviço",BQ$12&lt;&gt;0,$H134&gt;0,OR(AUTOEVENTO&lt;&gt;"manual",$M134&lt;&gt;$A$15)),
        IF(Import.TipoArredondamento&lt;&gt;"TransfereGOV",
              ROUND(OFFSET($P134,0,BQ$13),15-13*ORÇAMENTO!$AF$7)/$H134*OFFSET(ORÇAMENTO!$X$15,ROW(BQ134)-ROW(BQ$15),0),
              ROUND(ROUND(OFFSET($P134,0,BQ$13),15-13*ORÇAMENTO!$AF$7)*OFFSET(ORÇAMENTO!$W$15,ROW(BQ134)-ROW(BQ$15),0),15-13*ORÇAMENTO!$AF$11)),
         0)</f>
        <v>0</v>
      </c>
      <c r="BS134" s="171">
        <f ca="1">IF(OR($D134&lt;&gt;"Serviço",AND(AUTOEVENTO="Manual",$M134=$A$15)),0,
         IF(OFFSET(CRONOPLE!$F$15,$M134-$A$15,BS$13)=0,10^12,OFFSET(CRONOPLE!$F$15,$M134-$A$15,BS$13)))</f>
        <v>0</v>
      </c>
      <c r="BT134" s="171">
        <f ca="1">IF(OR($D134&lt;&gt;"Serviço",AND(AUTOEVENTO="Manual",$M134=$A$15)),0,
         IF(OFFSET(CRONOPLE!$F$15,$M134-$A$15,BT$13)=0,10^12,OFFSET(CRONOPLE!$F$15,$M134-$A$15,BT$13)))</f>
        <v>0</v>
      </c>
      <c r="BU134" s="171">
        <f ca="1">IF(OR($D134&lt;&gt;"Serviço",AND(AUTOEVENTO="Manual",$M134=$A$15)),0,
         IF(OFFSET(CRONOPLE!$F$15,$M134-$A$15,BU$13)=0,10^12,OFFSET(CRONOPLE!$F$15,$M134-$A$15,BU$13)))</f>
        <v>0</v>
      </c>
      <c r="BV134" s="171">
        <f ca="1">IF(OR($D134&lt;&gt;"Serviço",AND(AUTOEVENTO="Manual",$M134=$A$15)),0,
         IF(OFFSET(CRONOPLE!$F$15,$M134-$A$15,BV$13)=0,10^12,OFFSET(CRONOPLE!$F$15,$M134-$A$15,BV$13)))</f>
        <v>0</v>
      </c>
      <c r="BW134" s="171">
        <f ca="1">IF(OR($D134&lt;&gt;"Serviço",AND(AUTOEVENTO="Manual",$M134=$A$15)),0,
         IF(OFFSET(CRONOPLE!$F$15,$M134-$A$15,BW$13)=0,10^12,OFFSET(CRONOPLE!$F$15,$M134-$A$15,BW$13)))</f>
        <v>0</v>
      </c>
      <c r="BX134" s="171">
        <f ca="1">IF(OR($D134&lt;&gt;"Serviço",AND(AUTOEVENTO="Manual",$M134=$A$15)),0,
         IF(OFFSET(CRONOPLE!$F$15,$M134-$A$15,BX$13)=0,10^12,OFFSET(CRONOPLE!$F$15,$M134-$A$15,BX$13)))</f>
        <v>0</v>
      </c>
      <c r="BY134" s="171">
        <f ca="1">IF(OR($D134&lt;&gt;"Serviço",AND(AUTOEVENTO="Manual",$M134=$A$15)),0,
         IF(OFFSET(CRONOPLE!$F$15,$M134-$A$15,BY$13)=0,10^12,OFFSET(CRONOPLE!$F$15,$M134-$A$15,BY$13)))</f>
        <v>0</v>
      </c>
      <c r="BZ134" s="171">
        <f ca="1">IF(OR($D134&lt;&gt;"Serviço",AND(AUTOEVENTO="Manual",$M134=$A$15)),0,
         IF(OFFSET(CRONOPLE!$F$15,$M134-$A$15,BZ$13)=0,10^12,OFFSET(CRONOPLE!$F$15,$M134-$A$15,BZ$13)))</f>
        <v>0</v>
      </c>
      <c r="CA134" s="171">
        <f ca="1">IF(OR($D134&lt;&gt;"Serviço",AND(AUTOEVENTO="Manual",$M134=$A$15)),0,
         IF(OFFSET(CRONOPLE!$F$15,$M134-$A$15,CA$13)=0,10^12,OFFSET(CRONOPLE!$F$15,$M134-$A$15,CA$13)))</f>
        <v>0</v>
      </c>
      <c r="CB134" s="171">
        <f ca="1">IF(OR($D134&lt;&gt;"Serviço",AND(AUTOEVENTO="Manual",$M134=$A$15)),0,
         IF(OFFSET(CRONOPLE!$F$15,$M134-$A$15,CB$13)=0,10^12,OFFSET(CRONOPLE!$F$15,$M134-$A$15,CB$13)))</f>
        <v>0</v>
      </c>
      <c r="CC134" s="171">
        <f ca="1">IF(OR($D134&lt;&gt;"Serviço",AND(AUTOEVENTO="Manual",$M134=$A$15)),0,
         IF(OFFSET(CRONOPLE!$F$15,$M134-$A$15,CC$13)=0,10^12,OFFSET(CRONOPLE!$F$15,$M134-$A$15,CC$13)))</f>
        <v>0</v>
      </c>
      <c r="CD134" s="171">
        <f ca="1">IF(OR($D134&lt;&gt;"Serviço",AND(AUTOEVENTO="Manual",$M134=$A$15)),0,
         IF(OFFSET(CRONOPLE!$F$15,$M134-$A$15,CD$13)=0,10^12,OFFSET(CRONOPLE!$F$15,$M134-$A$15,CD$13)))</f>
        <v>0</v>
      </c>
      <c r="CE134" s="171">
        <f ca="1">IF(OR($D134&lt;&gt;"Serviço",AND(AUTOEVENTO="Manual",$M134=$A$15)),0,
         IF(OFFSET(CRONOPLE!$F$15,$M134-$A$15,CE$13)=0,10^12,OFFSET(CRONOPLE!$F$15,$M134-$A$15,CE$13)))</f>
        <v>0</v>
      </c>
      <c r="CF134" s="171">
        <f ca="1">IF(OR($D134&lt;&gt;"Serviço",AND(AUTOEVENTO="Manual",$M134=$A$15)),0,
         IF(OFFSET(CRONOPLE!$F$15,$M134-$A$15,CF$13)=0,10^12,OFFSET(CRONOPLE!$F$15,$M134-$A$15,CF$13)))</f>
        <v>0</v>
      </c>
      <c r="CG134" s="171">
        <f ca="1">IF(OR($D134&lt;&gt;"Serviço",AND(AUTOEVENTO="Manual",$M134=$A$15)),0,
         IF(OFFSET(CRONOPLE!$F$15,$M134-$A$15,CG$13)=0,10^12,OFFSET(CRONOPLE!$F$15,$M134-$A$15,CG$13)))</f>
        <v>0</v>
      </c>
      <c r="CH134" s="171">
        <f ca="1">IF(OR($D134&lt;&gt;"Serviço",AND(AUTOEVENTO="Manual",$M134=$A$15)),0,
         IF(OFFSET(CRONOPLE!$F$15,$M134-$A$15,CH$13)=0,10^12,OFFSET(CRONOPLE!$F$15,$M134-$A$15,CH$13)))</f>
        <v>0</v>
      </c>
      <c r="CI134" s="171">
        <f ca="1">IF(OR($D134&lt;&gt;"Serviço",AND(AUTOEVENTO="Manual",$M134=$A$15)),0,
         IF(OFFSET(CRONOPLE!$F$15,$M134-$A$15,CI$13)=0,10^12,OFFSET(CRONOPLE!$F$15,$M134-$A$15,CI$13)))</f>
        <v>0</v>
      </c>
      <c r="CJ134" s="171">
        <f ca="1">IF(OR($D134&lt;&gt;"Serviço",AND(AUTOEVENTO="Manual",$M134=$A$15)),0,
         IF(OFFSET(CRONOPLE!$F$15,$M134-$A$15,CJ$13)=0,10^12,OFFSET(CRONOPLE!$F$15,$M134-$A$15,CJ$13)))</f>
        <v>0</v>
      </c>
      <c r="CK134" s="171">
        <f ca="1">IF(OR($D134&lt;&gt;"Serviço",AND(AUTOEVENTO="Manual",$M134=$A$15)),0,
         IF(OFFSET(CRONOPLE!$F$15,$M134-$A$15,CK$13)=0,10^12,OFFSET(CRONOPLE!$F$15,$M134-$A$15,CK$13)))</f>
        <v>0</v>
      </c>
      <c r="CL134" s="171">
        <f ca="1">IF(OR($D134&lt;&gt;"Serviço",AND(AUTOEVENTO="Manual",$M134=$A$15)),0,
         IF(OFFSET(CRONOPLE!$F$15,$M134-$A$15,CL$13)=0,10^12,OFFSET(CRONOPLE!$F$15,$M134-$A$15,CL$13)))</f>
        <v>0</v>
      </c>
      <c r="CM134" s="171">
        <f ca="1">IF(OR($D134&lt;&gt;"Serviço",AND(AUTOEVENTO="Manual",$M134=$A$15)),0,
         IF(OFFSET(CRONOPLE!$F$15,$M134-$A$15,CM$13)=0,10^12,OFFSET(CRONOPLE!$F$15,$M134-$A$15,CM$13)))</f>
        <v>0</v>
      </c>
      <c r="CN134" s="171">
        <f ca="1">IF(OR($D134&lt;&gt;"Serviço",AND(AUTOEVENTO="Manual",$M134=$A$15)),0,
         IF(OFFSET(CRONOPLE!$F$15,$M134-$A$15,CN$13)=0,10^12,OFFSET(CRONOPLE!$F$15,$M134-$A$15,CN$13)))</f>
        <v>0</v>
      </c>
      <c r="CO134" s="171">
        <f ca="1">IF(OR($D134&lt;&gt;"Serviço",AND(AUTOEVENTO="Manual",$M134=$A$15)),0,
         IF(OFFSET(CRONOPLE!$F$15,$M134-$A$15,CO$13)=0,10^12,OFFSET(CRONOPLE!$F$15,$M134-$A$15,CO$13)))</f>
        <v>0</v>
      </c>
      <c r="CP134" s="171">
        <f ca="1">IF(OR($D134&lt;&gt;"Serviço",AND(AUTOEVENTO="Manual",$M134=$A$15)),0,
         IF(OFFSET(CRONOPLE!$F$15,$M134-$A$15,CP$13)=0,10^12,OFFSET(CRONOPLE!$F$15,$M134-$A$15,CP$13)))</f>
        <v>0</v>
      </c>
      <c r="CQ134" s="171">
        <f ca="1">IF(OR($D134&lt;&gt;"Serviço",AND(AUTOEVENTO="Manual",$M134=$A$15)),0,
         IF(OFFSET(CRONOPLE!$F$15,$M134-$A$15,CQ$13)=0,10^12,OFFSET(CRONOPLE!$F$15,$M134-$A$15,CQ$13)))</f>
        <v>0</v>
      </c>
      <c r="CR134" s="171">
        <f ca="1">IF(OR($D134&lt;&gt;"Serviço",AND(AUTOEVENTO="Manual",$M134=$A$15)),0,
         IF(OFFSET(CRONOPLE!$F$15,$M134-$A$15,CR$13)=0,10^12,OFFSET(CRONOPLE!$F$15,$M134-$A$15,CR$13)))</f>
        <v>0</v>
      </c>
      <c r="CT134" s="172" cm="1">
        <f t="array" aca="1" ref="CT134" ca="1">IF(OR($D134&lt;&gt;"Serviço",AND(AUTOEVENTO="Manual",$M134=$A$15),$M134&gt;(ROW(PLE.lastrow)-ROW(PLE.firstrow))),0,
           IF(OFFSET(PLE!$G$15,$M134-$A$15,CT$13)="",10^12,OFFSET(PLE!$G$15,$M134-$A$15,CT$13)))</f>
        <v>0</v>
      </c>
      <c r="CU134" s="172" cm="1">
        <f t="array" aca="1" ref="CU134" ca="1">IF(OR($D134&lt;&gt;"Serviço",AND(AUTOEVENTO="Manual",$M134=$A$15),$M134&gt;(ROW(PLE.lastrow)-ROW(PLE.firstrow))),0,
           IF(OFFSET(PLE!$G$15,$M134-$A$15,CU$13)="",10^12,OFFSET(PLE!$G$15,$M134-$A$15,CU$13)))</f>
        <v>0</v>
      </c>
      <c r="CV134" s="172" cm="1">
        <f t="array" aca="1" ref="CV134" ca="1">IF(OR($D134&lt;&gt;"Serviço",AND(AUTOEVENTO="Manual",$M134=$A$15),$M134&gt;(ROW(PLE.lastrow)-ROW(PLE.firstrow))),0,
           IF(OFFSET(PLE!$G$15,$M134-$A$15,CV$13)="",10^12,OFFSET(PLE!$G$15,$M134-$A$15,CV$13)))</f>
        <v>0</v>
      </c>
      <c r="CW134" s="172" cm="1">
        <f t="array" aca="1" ref="CW134" ca="1">IF(OR($D134&lt;&gt;"Serviço",AND(AUTOEVENTO="Manual",$M134=$A$15),$M134&gt;(ROW(PLE.lastrow)-ROW(PLE.firstrow))),0,
           IF(OFFSET(PLE!$G$15,$M134-$A$15,CW$13)="",10^12,OFFSET(PLE!$G$15,$M134-$A$15,CW$13)))</f>
        <v>0</v>
      </c>
      <c r="CX134" s="172" cm="1">
        <f t="array" aca="1" ref="CX134" ca="1">IF(OR($D134&lt;&gt;"Serviço",AND(AUTOEVENTO="Manual",$M134=$A$15),$M134&gt;(ROW(PLE.lastrow)-ROW(PLE.firstrow))),0,
           IF(OFFSET(PLE!$G$15,$M134-$A$15,CX$13)="",10^12,OFFSET(PLE!$G$15,$M134-$A$15,CX$13)))</f>
        <v>0</v>
      </c>
      <c r="CY134" s="172" cm="1">
        <f t="array" aca="1" ref="CY134" ca="1">IF(OR($D134&lt;&gt;"Serviço",AND(AUTOEVENTO="Manual",$M134=$A$15),$M134&gt;(ROW(PLE.lastrow)-ROW(PLE.firstrow))),0,
           IF(OFFSET(PLE!$G$15,$M134-$A$15,CY$13)="",10^12,OFFSET(PLE!$G$15,$M134-$A$15,CY$13)))</f>
        <v>0</v>
      </c>
      <c r="CZ134" s="172" cm="1">
        <f t="array" aca="1" ref="CZ134" ca="1">IF(OR($D134&lt;&gt;"Serviço",AND(AUTOEVENTO="Manual",$M134=$A$15),$M134&gt;(ROW(PLE.lastrow)-ROW(PLE.firstrow))),0,
           IF(OFFSET(PLE!$G$15,$M134-$A$15,CZ$13)="",10^12,OFFSET(PLE!$G$15,$M134-$A$15,CZ$13)))</f>
        <v>0</v>
      </c>
      <c r="DA134" s="172" cm="1">
        <f t="array" aca="1" ref="DA134" ca="1">IF(OR($D134&lt;&gt;"Serviço",AND(AUTOEVENTO="Manual",$M134=$A$15),$M134&gt;(ROW(PLE.lastrow)-ROW(PLE.firstrow))),0,
           IF(OFFSET(PLE!$G$15,$M134-$A$15,DA$13)="",10^12,OFFSET(PLE!$G$15,$M134-$A$15,DA$13)))</f>
        <v>0</v>
      </c>
      <c r="DB134" s="172" cm="1">
        <f t="array" aca="1" ref="DB134" ca="1">IF(OR($D134&lt;&gt;"Serviço",AND(AUTOEVENTO="Manual",$M134=$A$15),$M134&gt;(ROW(PLE.lastrow)-ROW(PLE.firstrow))),0,
           IF(OFFSET(PLE!$G$15,$M134-$A$15,DB$13)="",10^12,OFFSET(PLE!$G$15,$M134-$A$15,DB$13)))</f>
        <v>0</v>
      </c>
      <c r="DC134" s="172" cm="1">
        <f t="array" aca="1" ref="DC134" ca="1">IF(OR($D134&lt;&gt;"Serviço",AND(AUTOEVENTO="Manual",$M134=$A$15),$M134&gt;(ROW(PLE.lastrow)-ROW(PLE.firstrow))),0,
           IF(OFFSET(PLE!$G$15,$M134-$A$15,DC$13)="",10^12,OFFSET(PLE!$G$15,$M134-$A$15,DC$13)))</f>
        <v>0</v>
      </c>
      <c r="DD134" s="172" cm="1">
        <f t="array" aca="1" ref="DD134" ca="1">IF(OR($D134&lt;&gt;"Serviço",AND(AUTOEVENTO="Manual",$M134=$A$15),$M134&gt;(ROW(PLE.lastrow)-ROW(PLE.firstrow))),0,
           IF(OFFSET(PLE!$G$15,$M134-$A$15,DD$13)="",10^12,OFFSET(PLE!$G$15,$M134-$A$15,DD$13)))</f>
        <v>0</v>
      </c>
      <c r="DE134" s="172" cm="1">
        <f t="array" aca="1" ref="DE134" ca="1">IF(OR($D134&lt;&gt;"Serviço",AND(AUTOEVENTO="Manual",$M134=$A$15),$M134&gt;(ROW(PLE.lastrow)-ROW(PLE.firstrow))),0,
           IF(OFFSET(PLE!$G$15,$M134-$A$15,DE$13)="",10^12,OFFSET(PLE!$G$15,$M134-$A$15,DE$13)))</f>
        <v>0</v>
      </c>
      <c r="DF134" s="172" cm="1">
        <f t="array" aca="1" ref="DF134" ca="1">IF(OR($D134&lt;&gt;"Serviço",AND(AUTOEVENTO="Manual",$M134=$A$15),$M134&gt;(ROW(PLE.lastrow)-ROW(PLE.firstrow))),0,
           IF(OFFSET(PLE!$G$15,$M134-$A$15,DF$13)="",10^12,OFFSET(PLE!$G$15,$M134-$A$15,DF$13)))</f>
        <v>0</v>
      </c>
      <c r="DG134" s="172" cm="1">
        <f t="array" aca="1" ref="DG134" ca="1">IF(OR($D134&lt;&gt;"Serviço",AND(AUTOEVENTO="Manual",$M134=$A$15),$M134&gt;(ROW(PLE.lastrow)-ROW(PLE.firstrow))),0,
           IF(OFFSET(PLE!$G$15,$M134-$A$15,DG$13)="",10^12,OFFSET(PLE!$G$15,$M134-$A$15,DG$13)))</f>
        <v>0</v>
      </c>
      <c r="DH134" s="172" cm="1">
        <f t="array" aca="1" ref="DH134" ca="1">IF(OR($D134&lt;&gt;"Serviço",AND(AUTOEVENTO="Manual",$M134=$A$15),$M134&gt;(ROW(PLE.lastrow)-ROW(PLE.firstrow))),0,
           IF(OFFSET(PLE!$G$15,$M134-$A$15,DH$13)="",10^12,OFFSET(PLE!$G$15,$M134-$A$15,DH$13)))</f>
        <v>0</v>
      </c>
      <c r="DI134" s="172" cm="1">
        <f t="array" aca="1" ref="DI134" ca="1">IF(OR($D134&lt;&gt;"Serviço",AND(AUTOEVENTO="Manual",$M134=$A$15),$M134&gt;(ROW(PLE.lastrow)-ROW(PLE.firstrow))),0,
           IF(OFFSET(PLE!$G$15,$M134-$A$15,DI$13)="",10^12,OFFSET(PLE!$G$15,$M134-$A$15,DI$13)))</f>
        <v>0</v>
      </c>
      <c r="DJ134" s="172" cm="1">
        <f t="array" aca="1" ref="DJ134" ca="1">IF(OR($D134&lt;&gt;"Serviço",AND(AUTOEVENTO="Manual",$M134=$A$15),$M134&gt;(ROW(PLE.lastrow)-ROW(PLE.firstrow))),0,
           IF(OFFSET(PLE!$G$15,$M134-$A$15,DJ$13)="",10^12,OFFSET(PLE!$G$15,$M134-$A$15,DJ$13)))</f>
        <v>0</v>
      </c>
      <c r="DK134" s="172" cm="1">
        <f t="array" aca="1" ref="DK134" ca="1">IF(OR($D134&lt;&gt;"Serviço",AND(AUTOEVENTO="Manual",$M134=$A$15),$M134&gt;(ROW(PLE.lastrow)-ROW(PLE.firstrow))),0,
           IF(OFFSET(PLE!$G$15,$M134-$A$15,DK$13)="",10^12,OFFSET(PLE!$G$15,$M134-$A$15,DK$13)))</f>
        <v>0</v>
      </c>
      <c r="DL134" s="172" cm="1">
        <f t="array" aca="1" ref="DL134" ca="1">IF(OR($D134&lt;&gt;"Serviço",AND(AUTOEVENTO="Manual",$M134=$A$15),$M134&gt;(ROW(PLE.lastrow)-ROW(PLE.firstrow))),0,
           IF(OFFSET(PLE!$G$15,$M134-$A$15,DL$13)="",10^12,OFFSET(PLE!$G$15,$M134-$A$15,DL$13)))</f>
        <v>0</v>
      </c>
      <c r="DM134" s="172" cm="1">
        <f t="array" aca="1" ref="DM134" ca="1">IF(OR($D134&lt;&gt;"Serviço",AND(AUTOEVENTO="Manual",$M134=$A$15),$M134&gt;(ROW(PLE.lastrow)-ROW(PLE.firstrow))),0,
           IF(OFFSET(PLE!$G$15,$M134-$A$15,DM$13)="",10^12,OFFSET(PLE!$G$15,$M134-$A$15,DM$13)))</f>
        <v>0</v>
      </c>
      <c r="DN134" s="172" cm="1">
        <f t="array" aca="1" ref="DN134" ca="1">IF(OR($D134&lt;&gt;"Serviço",AND(AUTOEVENTO="Manual",$M134=$A$15),$M134&gt;(ROW(PLE.lastrow)-ROW(PLE.firstrow))),0,
           IF(OFFSET(PLE!$G$15,$M134-$A$15,DN$13)="",10^12,OFFSET(PLE!$G$15,$M134-$A$15,DN$13)))</f>
        <v>0</v>
      </c>
      <c r="DO134" s="172" cm="1">
        <f t="array" aca="1" ref="DO134" ca="1">IF(OR($D134&lt;&gt;"Serviço",AND(AUTOEVENTO="Manual",$M134=$A$15),$M134&gt;(ROW(PLE.lastrow)-ROW(PLE.firstrow))),0,
           IF(OFFSET(PLE!$G$15,$M134-$A$15,DO$13)="",10^12,OFFSET(PLE!$G$15,$M134-$A$15,DO$13)))</f>
        <v>0</v>
      </c>
      <c r="DP134" s="172" cm="1">
        <f t="array" aca="1" ref="DP134" ca="1">IF(OR($D134&lt;&gt;"Serviço",AND(AUTOEVENTO="Manual",$M134=$A$15),$M134&gt;(ROW(PLE.lastrow)-ROW(PLE.firstrow))),0,
           IF(OFFSET(PLE!$G$15,$M134-$A$15,DP$13)="",10^12,OFFSET(PLE!$G$15,$M134-$A$15,DP$13)))</f>
        <v>0</v>
      </c>
      <c r="DQ134" s="172" cm="1">
        <f t="array" aca="1" ref="DQ134" ca="1">IF(OR($D134&lt;&gt;"Serviço",AND(AUTOEVENTO="Manual",$M134=$A$15),$M134&gt;(ROW(PLE.lastrow)-ROW(PLE.firstrow))),0,
           IF(OFFSET(PLE!$G$15,$M134-$A$15,DQ$13)="",10^12,OFFSET(PLE!$G$15,$M134-$A$15,DQ$13)))</f>
        <v>0</v>
      </c>
      <c r="DR134" s="172" cm="1">
        <f t="array" aca="1" ref="DR134" ca="1">IF(OR($D134&lt;&gt;"Serviço",AND(AUTOEVENTO="Manual",$M134=$A$15),$M134&gt;(ROW(PLE.lastrow)-ROW(PLE.firstrow))),0,
           IF(OFFSET(PLE!$G$15,$M134-$A$15,DR$13)="",10^12,OFFSET(PLE!$G$15,$M134-$A$15,DR$13)))</f>
        <v>0</v>
      </c>
      <c r="DS134" s="172" cm="1">
        <f t="array" aca="1" ref="DS134" ca="1">IF(OR($D134&lt;&gt;"Serviço",AND(AUTOEVENTO="Manual",$M134=$A$15),$M134&gt;(ROW(PLE.lastrow)-ROW(PLE.firstrow))),0,
           IF(OFFSET(PLE!$G$15,$M134-$A$15,DS$13)="",10^12,OFFSET(PLE!$G$15,$M134-$A$15,DS$13)))</f>
        <v>0</v>
      </c>
    </row>
    <row r="135" spans="1:123" ht="25.5" x14ac:dyDescent="0.2">
      <c r="A135" s="7">
        <f t="shared" ca="1" si="15"/>
        <v>9</v>
      </c>
      <c r="B135" s="7" t="str">
        <f ca="1">OFFSET(ORÇAMENTO!C$15,$L135,0)</f>
        <v>S</v>
      </c>
      <c r="C135" s="7" t="str">
        <f ca="1">OFFSET(ORÇAMENTO!L$15,$L135,0)</f>
        <v/>
      </c>
      <c r="D135" s="116" t="str">
        <f ca="1">OFFSET(ORÇAMENTO!N$15,$L135,0)</f>
        <v>Serviço</v>
      </c>
      <c r="E135" s="117" t="str">
        <f ca="1">OFFSET(ORÇAMENTO!O$15,$L135,0)</f>
        <v>-</v>
      </c>
      <c r="F135" s="163" t="str">
        <f ca="1">OFFSET(ORÇAMENTO!R$15,$L135,0)</f>
        <v>(Código não identificado nas referências)</v>
      </c>
      <c r="G135" s="164" t="str">
        <f ca="1">IF($D135&lt;&gt;"Serviço","",OFFSET(ORÇAMENTO!S$15,$L135,0))</f>
        <v>-</v>
      </c>
      <c r="H135" s="122" cm="1">
        <f t="array" aca="1" ref="H135" ca="1">IF($D135&lt;&gt;"Serviço",0,IF(ACOMPANHAMENTO="BM",ROUND(OFFSET(ORÇAMENTO!AJ$15,$L135,0),15-13*ORÇAMENTO!$AF$7),IF(IFERROR(CÁLCULO.FrentesPreenchidas,0)=0,0,SUM(ROUND(OFFSET($P135,0,1,1,CÁLCULO.FrentesPreenchidas),15-13*ORÇAMENTO!$AF$7)))))</f>
        <v>40</v>
      </c>
      <c r="I135" s="468" t="s">
        <v>1235</v>
      </c>
      <c r="J135" s="651" t="str" cm="1">
        <f t="array" aca="1" ref="J135" ca="1">IF(OR(B135&lt;&gt;"S",CÁLCULO.FrentesPreenchidas=0),"",IF(AND(ACOMPANHAMENTO="PLE",AUTOEVENTO="Manual",OR(H135&gt;0,ORÇAMENTO!AC135="QUANT."),OR(K135="",M135=0,N135="")),"►E",IF(AND(ACOMPANHAMENTO="PLE",ORÇAMENTO!AC135="QUANT."),"►Q",IF(AND(ACOMPANHAMENTO="PLE",H135&lt;&gt;SUMPRODUCT(($Q$1:$AQ$1=1)*ROUND(Q135:AQ135,15))),"►S",IF(AND(COUNTIF($P$11:$AQ$11,"▼")=0,H135&gt;0,I135=""),"◄M","")))))</f>
        <v/>
      </c>
      <c r="K135" s="652" t="s">
        <v>1257</v>
      </c>
      <c r="L135" s="165">
        <f t="shared" ca="1" si="14"/>
        <v>120</v>
      </c>
      <c r="M135" s="166">
        <f ca="1">IF($D135&lt;&gt;"Serviço","",
          IF(AUTOEVENTO="manual",$A135,
                IF(ISERROR(MATCH($A135,$A$15:OFFSET($A135,-1,0),0)),MAX($M$15:OFFSET(M135,-1,0))+1,
                      INDEX($M$15:OFFSET(M135,-1,0),MATCH($A135,$A$15:OFFSET($A135,-1,0),0)))))</f>
        <v>9</v>
      </c>
      <c r="N135" s="167" t="str">
        <f ca="1">IF($D135&lt;&gt;"Serviço","",
         IF(AUTOEVENTO="Manual",
                IF($A135=0,"&lt;-- defina o número do agrupador",
                       OFFSET(EVENTOS!$D$15,$A135-$A$15,0)),
                OFFSET($F$15,$A135,0)))</f>
        <v>INSTALAÇÕES</v>
      </c>
      <c r="O135" s="168"/>
      <c r="Q135" s="168">
        <v>2</v>
      </c>
      <c r="R135" s="169">
        <v>2</v>
      </c>
      <c r="S135" s="169">
        <v>2</v>
      </c>
      <c r="T135" s="169">
        <v>2</v>
      </c>
      <c r="U135" s="169">
        <v>2</v>
      </c>
      <c r="V135" s="169">
        <v>2</v>
      </c>
      <c r="W135" s="169">
        <v>2</v>
      </c>
      <c r="X135" s="169">
        <v>2</v>
      </c>
      <c r="Y135" s="169">
        <v>2</v>
      </c>
      <c r="Z135" s="170">
        <v>2</v>
      </c>
      <c r="AA135" s="169">
        <v>2</v>
      </c>
      <c r="AB135" s="169">
        <v>2</v>
      </c>
      <c r="AC135" s="169">
        <v>2</v>
      </c>
      <c r="AD135" s="169">
        <v>2</v>
      </c>
      <c r="AE135" s="169">
        <v>2</v>
      </c>
      <c r="AF135" s="169">
        <v>2</v>
      </c>
      <c r="AG135" s="169">
        <v>2</v>
      </c>
      <c r="AH135" s="170">
        <v>2</v>
      </c>
      <c r="AI135" s="169">
        <v>2</v>
      </c>
      <c r="AJ135" s="169">
        <v>2</v>
      </c>
      <c r="AK135" s="169"/>
      <c r="AL135" s="169"/>
      <c r="AM135" s="169"/>
      <c r="AN135" s="169"/>
      <c r="AO135" s="169"/>
      <c r="AP135" s="170"/>
      <c r="AR135" s="453">
        <f ca="1">IF(AND($D135="Serviço",AR$12&lt;&gt;0,$H135&gt;0,OR(AUTOEVENTO&lt;&gt;"manual",$M135&lt;&gt;$A$15)),
        IF(Import.TipoArredondamento&lt;&gt;"TransfereGOV",
              ROUND(OFFSET($P135,0,AR$13),15-13*ORÇAMENTO!$AF$7)/$H135*OFFSET(ORÇAMENTO!$X$15,ROW(AR135)-ROW(AR$15),0),
              ROUND(ROUND(OFFSET($P135,0,AR$13),15-13*ORÇAMENTO!$AF$7)*OFFSET(ORÇAMENTO!$W$15,ROW(AR135)-ROW(AR$15),0),15-13*ORÇAMENTO!$AF$11)),
         0)</f>
        <v>0</v>
      </c>
      <c r="AS135" s="453">
        <f ca="1">IF(AND($D135="Serviço",AS$12&lt;&gt;0,$H135&gt;0,OR(AUTOEVENTO&lt;&gt;"manual",$M135&lt;&gt;$A$15)),
        IF(Import.TipoArredondamento&lt;&gt;"TransfereGOV",
              ROUND(OFFSET($P135,0,AS$13),15-13*ORÇAMENTO!$AF$7)/$H135*OFFSET(ORÇAMENTO!$X$15,ROW(AS135)-ROW(AS$15),0),
              ROUND(ROUND(OFFSET($P135,0,AS$13),15-13*ORÇAMENTO!$AF$7)*OFFSET(ORÇAMENTO!$W$15,ROW(AS135)-ROW(AS$15),0),15-13*ORÇAMENTO!$AF$11)),
         0)</f>
        <v>0</v>
      </c>
      <c r="AT135" s="453">
        <f ca="1">IF(AND($D135="Serviço",AT$12&lt;&gt;0,$H135&gt;0,OR(AUTOEVENTO&lt;&gt;"manual",$M135&lt;&gt;$A$15)),
        IF(Import.TipoArredondamento&lt;&gt;"TransfereGOV",
              ROUND(OFFSET($P135,0,AT$13),15-13*ORÇAMENTO!$AF$7)/$H135*OFFSET(ORÇAMENTO!$X$15,ROW(AT135)-ROW(AT$15),0),
              ROUND(ROUND(OFFSET($P135,0,AT$13),15-13*ORÇAMENTO!$AF$7)*OFFSET(ORÇAMENTO!$W$15,ROW(AT135)-ROW(AT$15),0),15-13*ORÇAMENTO!$AF$11)),
         0)</f>
        <v>0</v>
      </c>
      <c r="AU135" s="453">
        <f ca="1">IF(AND($D135="Serviço",AU$12&lt;&gt;0,$H135&gt;0,OR(AUTOEVENTO&lt;&gt;"manual",$M135&lt;&gt;$A$15)),
        IF(Import.TipoArredondamento&lt;&gt;"TransfereGOV",
              ROUND(OFFSET($P135,0,AU$13),15-13*ORÇAMENTO!$AF$7)/$H135*OFFSET(ORÇAMENTO!$X$15,ROW(AU135)-ROW(AU$15),0),
              ROUND(ROUND(OFFSET($P135,0,AU$13),15-13*ORÇAMENTO!$AF$7)*OFFSET(ORÇAMENTO!$W$15,ROW(AU135)-ROW(AU$15),0),15-13*ORÇAMENTO!$AF$11)),
         0)</f>
        <v>0</v>
      </c>
      <c r="AV135" s="453">
        <f ca="1">IF(AND($D135="Serviço",AV$12&lt;&gt;0,$H135&gt;0,OR(AUTOEVENTO&lt;&gt;"manual",$M135&lt;&gt;$A$15)),
        IF(Import.TipoArredondamento&lt;&gt;"TransfereGOV",
              ROUND(OFFSET($P135,0,AV$13),15-13*ORÇAMENTO!$AF$7)/$H135*OFFSET(ORÇAMENTO!$X$15,ROW(AV135)-ROW(AV$15),0),
              ROUND(ROUND(OFFSET($P135,0,AV$13),15-13*ORÇAMENTO!$AF$7)*OFFSET(ORÇAMENTO!$W$15,ROW(AV135)-ROW(AV$15),0),15-13*ORÇAMENTO!$AF$11)),
         0)</f>
        <v>0</v>
      </c>
      <c r="AW135" s="453">
        <f ca="1">IF(AND($D135="Serviço",AW$12&lt;&gt;0,$H135&gt;0,OR(AUTOEVENTO&lt;&gt;"manual",$M135&lt;&gt;$A$15)),
        IF(Import.TipoArredondamento&lt;&gt;"TransfereGOV",
              ROUND(OFFSET($P135,0,AW$13),15-13*ORÇAMENTO!$AF$7)/$H135*OFFSET(ORÇAMENTO!$X$15,ROW(AW135)-ROW(AW$15),0),
              ROUND(ROUND(OFFSET($P135,0,AW$13),15-13*ORÇAMENTO!$AF$7)*OFFSET(ORÇAMENTO!$W$15,ROW(AW135)-ROW(AW$15),0),15-13*ORÇAMENTO!$AF$11)),
         0)</f>
        <v>0</v>
      </c>
      <c r="AX135" s="453">
        <f ca="1">IF(AND($D135="Serviço",AX$12&lt;&gt;0,$H135&gt;0,OR(AUTOEVENTO&lt;&gt;"manual",$M135&lt;&gt;$A$15)),
        IF(Import.TipoArredondamento&lt;&gt;"TransfereGOV",
              ROUND(OFFSET($P135,0,AX$13),15-13*ORÇAMENTO!$AF$7)/$H135*OFFSET(ORÇAMENTO!$X$15,ROW(AX135)-ROW(AX$15),0),
              ROUND(ROUND(OFFSET($P135,0,AX$13),15-13*ORÇAMENTO!$AF$7)*OFFSET(ORÇAMENTO!$W$15,ROW(AX135)-ROW(AX$15),0),15-13*ORÇAMENTO!$AF$11)),
         0)</f>
        <v>0</v>
      </c>
      <c r="AY135" s="453">
        <f ca="1">IF(AND($D135="Serviço",AY$12&lt;&gt;0,$H135&gt;0,OR(AUTOEVENTO&lt;&gt;"manual",$M135&lt;&gt;$A$15)),
        IF(Import.TipoArredondamento&lt;&gt;"TransfereGOV",
              ROUND(OFFSET($P135,0,AY$13),15-13*ORÇAMENTO!$AF$7)/$H135*OFFSET(ORÇAMENTO!$X$15,ROW(AY135)-ROW(AY$15),0),
              ROUND(ROUND(OFFSET($P135,0,AY$13),15-13*ORÇAMENTO!$AF$7)*OFFSET(ORÇAMENTO!$W$15,ROW(AY135)-ROW(AY$15),0),15-13*ORÇAMENTO!$AF$11)),
         0)</f>
        <v>0</v>
      </c>
      <c r="AZ135" s="453">
        <f ca="1">IF(AND($D135="Serviço",AZ$12&lt;&gt;0,$H135&gt;0,OR(AUTOEVENTO&lt;&gt;"manual",$M135&lt;&gt;$A$15)),
        IF(Import.TipoArredondamento&lt;&gt;"TransfereGOV",
              ROUND(OFFSET($P135,0,AZ$13),15-13*ORÇAMENTO!$AF$7)/$H135*OFFSET(ORÇAMENTO!$X$15,ROW(AZ135)-ROW(AZ$15),0),
              ROUND(ROUND(OFFSET($P135,0,AZ$13),15-13*ORÇAMENTO!$AF$7)*OFFSET(ORÇAMENTO!$W$15,ROW(AZ135)-ROW(AZ$15),0),15-13*ORÇAMENTO!$AF$11)),
         0)</f>
        <v>0</v>
      </c>
      <c r="BA135" s="453">
        <f ca="1">IF(AND($D135="Serviço",BA$12&lt;&gt;0,$H135&gt;0,OR(AUTOEVENTO&lt;&gt;"manual",$M135&lt;&gt;$A$15)),
        IF(Import.TipoArredondamento&lt;&gt;"TransfereGOV",
              ROUND(OFFSET($P135,0,BA$13),15-13*ORÇAMENTO!$AF$7)/$H135*OFFSET(ORÇAMENTO!$X$15,ROW(BA135)-ROW(BA$15),0),
              ROUND(ROUND(OFFSET($P135,0,BA$13),15-13*ORÇAMENTO!$AF$7)*OFFSET(ORÇAMENTO!$W$15,ROW(BA135)-ROW(BA$15),0),15-13*ORÇAMENTO!$AF$11)),
         0)</f>
        <v>0</v>
      </c>
      <c r="BB135" s="453">
        <f ca="1">IF(AND($D135="Serviço",BB$12&lt;&gt;0,$H135&gt;0,OR(AUTOEVENTO&lt;&gt;"manual",$M135&lt;&gt;$A$15)),
        IF(Import.TipoArredondamento&lt;&gt;"TransfereGOV",
              ROUND(OFFSET($P135,0,BB$13),15-13*ORÇAMENTO!$AF$7)/$H135*OFFSET(ORÇAMENTO!$X$15,ROW(BB135)-ROW(BB$15),0),
              ROUND(ROUND(OFFSET($P135,0,BB$13),15-13*ORÇAMENTO!$AF$7)*OFFSET(ORÇAMENTO!$W$15,ROW(BB135)-ROW(BB$15),0),15-13*ORÇAMENTO!$AF$11)),
         0)</f>
        <v>0</v>
      </c>
      <c r="BC135" s="453">
        <f ca="1">IF(AND($D135="Serviço",BC$12&lt;&gt;0,$H135&gt;0,OR(AUTOEVENTO&lt;&gt;"manual",$M135&lt;&gt;$A$15)),
        IF(Import.TipoArredondamento&lt;&gt;"TransfereGOV",
              ROUND(OFFSET($P135,0,BC$13),15-13*ORÇAMENTO!$AF$7)/$H135*OFFSET(ORÇAMENTO!$X$15,ROW(BC135)-ROW(BC$15),0),
              ROUND(ROUND(OFFSET($P135,0,BC$13),15-13*ORÇAMENTO!$AF$7)*OFFSET(ORÇAMENTO!$W$15,ROW(BC135)-ROW(BC$15),0),15-13*ORÇAMENTO!$AF$11)),
         0)</f>
        <v>0</v>
      </c>
      <c r="BD135" s="453">
        <f ca="1">IF(AND($D135="Serviço",BD$12&lt;&gt;0,$H135&gt;0,OR(AUTOEVENTO&lt;&gt;"manual",$M135&lt;&gt;$A$15)),
        IF(Import.TipoArredondamento&lt;&gt;"TransfereGOV",
              ROUND(OFFSET($P135,0,BD$13),15-13*ORÇAMENTO!$AF$7)/$H135*OFFSET(ORÇAMENTO!$X$15,ROW(BD135)-ROW(BD$15),0),
              ROUND(ROUND(OFFSET($P135,0,BD$13),15-13*ORÇAMENTO!$AF$7)*OFFSET(ORÇAMENTO!$W$15,ROW(BD135)-ROW(BD$15),0),15-13*ORÇAMENTO!$AF$11)),
         0)</f>
        <v>0</v>
      </c>
      <c r="BE135" s="453">
        <f ca="1">IF(AND($D135="Serviço",BE$12&lt;&gt;0,$H135&gt;0,OR(AUTOEVENTO&lt;&gt;"manual",$M135&lt;&gt;$A$15)),
        IF(Import.TipoArredondamento&lt;&gt;"TransfereGOV",
              ROUND(OFFSET($P135,0,BE$13),15-13*ORÇAMENTO!$AF$7)/$H135*OFFSET(ORÇAMENTO!$X$15,ROW(BE135)-ROW(BE$15),0),
              ROUND(ROUND(OFFSET($P135,0,BE$13),15-13*ORÇAMENTO!$AF$7)*OFFSET(ORÇAMENTO!$W$15,ROW(BE135)-ROW(BE$15),0),15-13*ORÇAMENTO!$AF$11)),
         0)</f>
        <v>0</v>
      </c>
      <c r="BF135" s="453">
        <f ca="1">IF(AND($D135="Serviço",BF$12&lt;&gt;0,$H135&gt;0,OR(AUTOEVENTO&lt;&gt;"manual",$M135&lt;&gt;$A$15)),
        IF(Import.TipoArredondamento&lt;&gt;"TransfereGOV",
              ROUND(OFFSET($P135,0,BF$13),15-13*ORÇAMENTO!$AF$7)/$H135*OFFSET(ORÇAMENTO!$X$15,ROW(BF135)-ROW(BF$15),0),
              ROUND(ROUND(OFFSET($P135,0,BF$13),15-13*ORÇAMENTO!$AF$7)*OFFSET(ORÇAMENTO!$W$15,ROW(BF135)-ROW(BF$15),0),15-13*ORÇAMENTO!$AF$11)),
         0)</f>
        <v>0</v>
      </c>
      <c r="BG135" s="453">
        <f ca="1">IF(AND($D135="Serviço",BG$12&lt;&gt;0,$H135&gt;0,OR(AUTOEVENTO&lt;&gt;"manual",$M135&lt;&gt;$A$15)),
        IF(Import.TipoArredondamento&lt;&gt;"TransfereGOV",
              ROUND(OFFSET($P135,0,BG$13),15-13*ORÇAMENTO!$AF$7)/$H135*OFFSET(ORÇAMENTO!$X$15,ROW(BG135)-ROW(BG$15),0),
              ROUND(ROUND(OFFSET($P135,0,BG$13),15-13*ORÇAMENTO!$AF$7)*OFFSET(ORÇAMENTO!$W$15,ROW(BG135)-ROW(BG$15),0),15-13*ORÇAMENTO!$AF$11)),
         0)</f>
        <v>0</v>
      </c>
      <c r="BH135" s="453">
        <f ca="1">IF(AND($D135="Serviço",BH$12&lt;&gt;0,$H135&gt;0,OR(AUTOEVENTO&lt;&gt;"manual",$M135&lt;&gt;$A$15)),
        IF(Import.TipoArredondamento&lt;&gt;"TransfereGOV",
              ROUND(OFFSET($P135,0,BH$13),15-13*ORÇAMENTO!$AF$7)/$H135*OFFSET(ORÇAMENTO!$X$15,ROW(BH135)-ROW(BH$15),0),
              ROUND(ROUND(OFFSET($P135,0,BH$13),15-13*ORÇAMENTO!$AF$7)*OFFSET(ORÇAMENTO!$W$15,ROW(BH135)-ROW(BH$15),0),15-13*ORÇAMENTO!$AF$11)),
         0)</f>
        <v>0</v>
      </c>
      <c r="BI135" s="453">
        <f ca="1">IF(AND($D135="Serviço",BI$12&lt;&gt;0,$H135&gt;0,OR(AUTOEVENTO&lt;&gt;"manual",$M135&lt;&gt;$A$15)),
        IF(Import.TipoArredondamento&lt;&gt;"TransfereGOV",
              ROUND(OFFSET($P135,0,BI$13),15-13*ORÇAMENTO!$AF$7)/$H135*OFFSET(ORÇAMENTO!$X$15,ROW(BI135)-ROW(BI$15),0),
              ROUND(ROUND(OFFSET($P135,0,BI$13),15-13*ORÇAMENTO!$AF$7)*OFFSET(ORÇAMENTO!$W$15,ROW(BI135)-ROW(BI$15),0),15-13*ORÇAMENTO!$AF$11)),
         0)</f>
        <v>0</v>
      </c>
      <c r="BJ135" s="453">
        <f ca="1">IF(AND($D135="Serviço",BJ$12&lt;&gt;0,$H135&gt;0,OR(AUTOEVENTO&lt;&gt;"manual",$M135&lt;&gt;$A$15)),
        IF(Import.TipoArredondamento&lt;&gt;"TransfereGOV",
              ROUND(OFFSET($P135,0,BJ$13),15-13*ORÇAMENTO!$AF$7)/$H135*OFFSET(ORÇAMENTO!$X$15,ROW(BJ135)-ROW(BJ$15),0),
              ROUND(ROUND(OFFSET($P135,0,BJ$13),15-13*ORÇAMENTO!$AF$7)*OFFSET(ORÇAMENTO!$W$15,ROW(BJ135)-ROW(BJ$15),0),15-13*ORÇAMENTO!$AF$11)),
         0)</f>
        <v>0</v>
      </c>
      <c r="BK135" s="453">
        <f ca="1">IF(AND($D135="Serviço",BK$12&lt;&gt;0,$H135&gt;0,OR(AUTOEVENTO&lt;&gt;"manual",$M135&lt;&gt;$A$15)),
        IF(Import.TipoArredondamento&lt;&gt;"TransfereGOV",
              ROUND(OFFSET($P135,0,BK$13),15-13*ORÇAMENTO!$AF$7)/$H135*OFFSET(ORÇAMENTO!$X$15,ROW(BK135)-ROW(BK$15),0),
              ROUND(ROUND(OFFSET($P135,0,BK$13),15-13*ORÇAMENTO!$AF$7)*OFFSET(ORÇAMENTO!$W$15,ROW(BK135)-ROW(BK$15),0),15-13*ORÇAMENTO!$AF$11)),
         0)</f>
        <v>0</v>
      </c>
      <c r="BL135" s="453">
        <f ca="1">IF(AND($D135="Serviço",BL$12&lt;&gt;0,$H135&gt;0,OR(AUTOEVENTO&lt;&gt;"manual",$M135&lt;&gt;$A$15)),
        IF(Import.TipoArredondamento&lt;&gt;"TransfereGOV",
              ROUND(OFFSET($P135,0,BL$13),15-13*ORÇAMENTO!$AF$7)/$H135*OFFSET(ORÇAMENTO!$X$15,ROW(BL135)-ROW(BL$15),0),
              ROUND(ROUND(OFFSET($P135,0,BL$13),15-13*ORÇAMENTO!$AF$7)*OFFSET(ORÇAMENTO!$W$15,ROW(BL135)-ROW(BL$15),0),15-13*ORÇAMENTO!$AF$11)),
         0)</f>
        <v>0</v>
      </c>
      <c r="BM135" s="453">
        <f ca="1">IF(AND($D135="Serviço",BM$12&lt;&gt;0,$H135&gt;0,OR(AUTOEVENTO&lt;&gt;"manual",$M135&lt;&gt;$A$15)),
        IF(Import.TipoArredondamento&lt;&gt;"TransfereGOV",
              ROUND(OFFSET($P135,0,BM$13),15-13*ORÇAMENTO!$AF$7)/$H135*OFFSET(ORÇAMENTO!$X$15,ROW(BM135)-ROW(BM$15),0),
              ROUND(ROUND(OFFSET($P135,0,BM$13),15-13*ORÇAMENTO!$AF$7)*OFFSET(ORÇAMENTO!$W$15,ROW(BM135)-ROW(BM$15),0),15-13*ORÇAMENTO!$AF$11)),
         0)</f>
        <v>0</v>
      </c>
      <c r="BN135" s="453">
        <f ca="1">IF(AND($D135="Serviço",BN$12&lt;&gt;0,$H135&gt;0,OR(AUTOEVENTO&lt;&gt;"manual",$M135&lt;&gt;$A$15)),
        IF(Import.TipoArredondamento&lt;&gt;"TransfereGOV",
              ROUND(OFFSET($P135,0,BN$13),15-13*ORÇAMENTO!$AF$7)/$H135*OFFSET(ORÇAMENTO!$X$15,ROW(BN135)-ROW(BN$15),0),
              ROUND(ROUND(OFFSET($P135,0,BN$13),15-13*ORÇAMENTO!$AF$7)*OFFSET(ORÇAMENTO!$W$15,ROW(BN135)-ROW(BN$15),0),15-13*ORÇAMENTO!$AF$11)),
         0)</f>
        <v>0</v>
      </c>
      <c r="BO135" s="453">
        <f ca="1">IF(AND($D135="Serviço",BO$12&lt;&gt;0,$H135&gt;0,OR(AUTOEVENTO&lt;&gt;"manual",$M135&lt;&gt;$A$15)),
        IF(Import.TipoArredondamento&lt;&gt;"TransfereGOV",
              ROUND(OFFSET($P135,0,BO$13),15-13*ORÇAMENTO!$AF$7)/$H135*OFFSET(ORÇAMENTO!$X$15,ROW(BO135)-ROW(BO$15),0),
              ROUND(ROUND(OFFSET($P135,0,BO$13),15-13*ORÇAMENTO!$AF$7)*OFFSET(ORÇAMENTO!$W$15,ROW(BO135)-ROW(BO$15),0),15-13*ORÇAMENTO!$AF$11)),
         0)</f>
        <v>0</v>
      </c>
      <c r="BP135" s="453">
        <f ca="1">IF(AND($D135="Serviço",BP$12&lt;&gt;0,$H135&gt;0,OR(AUTOEVENTO&lt;&gt;"manual",$M135&lt;&gt;$A$15)),
        IF(Import.TipoArredondamento&lt;&gt;"TransfereGOV",
              ROUND(OFFSET($P135,0,BP$13),15-13*ORÇAMENTO!$AF$7)/$H135*OFFSET(ORÇAMENTO!$X$15,ROW(BP135)-ROW(BP$15),0),
              ROUND(ROUND(OFFSET($P135,0,BP$13),15-13*ORÇAMENTO!$AF$7)*OFFSET(ORÇAMENTO!$W$15,ROW(BP135)-ROW(BP$15),0),15-13*ORÇAMENTO!$AF$11)),
         0)</f>
        <v>0</v>
      </c>
      <c r="BQ135" s="453">
        <f ca="1">IF(AND($D135="Serviço",BQ$12&lt;&gt;0,$H135&gt;0,OR(AUTOEVENTO&lt;&gt;"manual",$M135&lt;&gt;$A$15)),
        IF(Import.TipoArredondamento&lt;&gt;"TransfereGOV",
              ROUND(OFFSET($P135,0,BQ$13),15-13*ORÇAMENTO!$AF$7)/$H135*OFFSET(ORÇAMENTO!$X$15,ROW(BQ135)-ROW(BQ$15),0),
              ROUND(ROUND(OFFSET($P135,0,BQ$13),15-13*ORÇAMENTO!$AF$7)*OFFSET(ORÇAMENTO!$W$15,ROW(BQ135)-ROW(BQ$15),0),15-13*ORÇAMENTO!$AF$11)),
         0)</f>
        <v>0</v>
      </c>
      <c r="BS135" s="171">
        <f ca="1">IF(OR($D135&lt;&gt;"Serviço",AND(AUTOEVENTO="Manual",$M135=$A$15)),0,
         IF(OFFSET(CRONOPLE!$F$15,$M135-$A$15,BS$13)=0,10^12,OFFSET(CRONOPLE!$F$15,$M135-$A$15,BS$13)))</f>
        <v>1</v>
      </c>
      <c r="BT135" s="171">
        <f ca="1">IF(OR($D135&lt;&gt;"Serviço",AND(AUTOEVENTO="Manual",$M135=$A$15)),0,
         IF(OFFSET(CRONOPLE!$F$15,$M135-$A$15,BT$13)=0,10^12,OFFSET(CRONOPLE!$F$15,$M135-$A$15,BT$13)))</f>
        <v>2</v>
      </c>
      <c r="BU135" s="171">
        <f ca="1">IF(OR($D135&lt;&gt;"Serviço",AND(AUTOEVENTO="Manual",$M135=$A$15)),0,
         IF(OFFSET(CRONOPLE!$F$15,$M135-$A$15,BU$13)=0,10^12,OFFSET(CRONOPLE!$F$15,$M135-$A$15,BU$13)))</f>
        <v>3</v>
      </c>
      <c r="BV135" s="171">
        <f ca="1">IF(OR($D135&lt;&gt;"Serviço",AND(AUTOEVENTO="Manual",$M135=$A$15)),0,
         IF(OFFSET(CRONOPLE!$F$15,$M135-$A$15,BV$13)=0,10^12,OFFSET(CRONOPLE!$F$15,$M135-$A$15,BV$13)))</f>
        <v>4</v>
      </c>
      <c r="BW135" s="171">
        <f ca="1">IF(OR($D135&lt;&gt;"Serviço",AND(AUTOEVENTO="Manual",$M135=$A$15)),0,
         IF(OFFSET(CRONOPLE!$F$15,$M135-$A$15,BW$13)=0,10^12,OFFSET(CRONOPLE!$F$15,$M135-$A$15,BW$13)))</f>
        <v>5</v>
      </c>
      <c r="BX135" s="171">
        <f ca="1">IF(OR($D135&lt;&gt;"Serviço",AND(AUTOEVENTO="Manual",$M135=$A$15)),0,
         IF(OFFSET(CRONOPLE!$F$15,$M135-$A$15,BX$13)=0,10^12,OFFSET(CRONOPLE!$F$15,$M135-$A$15,BX$13)))</f>
        <v>6</v>
      </c>
      <c r="BY135" s="171">
        <f ca="1">IF(OR($D135&lt;&gt;"Serviço",AND(AUTOEVENTO="Manual",$M135=$A$15)),0,
         IF(OFFSET(CRONOPLE!$F$15,$M135-$A$15,BY$13)=0,10^12,OFFSET(CRONOPLE!$F$15,$M135-$A$15,BY$13)))</f>
        <v>7</v>
      </c>
      <c r="BZ135" s="171">
        <f ca="1">IF(OR($D135&lt;&gt;"Serviço",AND(AUTOEVENTO="Manual",$M135=$A$15)),0,
         IF(OFFSET(CRONOPLE!$F$15,$M135-$A$15,BZ$13)=0,10^12,OFFSET(CRONOPLE!$F$15,$M135-$A$15,BZ$13)))</f>
        <v>8</v>
      </c>
      <c r="CA135" s="171">
        <f ca="1">IF(OR($D135&lt;&gt;"Serviço",AND(AUTOEVENTO="Manual",$M135=$A$15)),0,
         IF(OFFSET(CRONOPLE!$F$15,$M135-$A$15,CA$13)=0,10^12,OFFSET(CRONOPLE!$F$15,$M135-$A$15,CA$13)))</f>
        <v>9</v>
      </c>
      <c r="CB135" s="171">
        <f ca="1">IF(OR($D135&lt;&gt;"Serviço",AND(AUTOEVENTO="Manual",$M135=$A$15)),0,
         IF(OFFSET(CRONOPLE!$F$15,$M135-$A$15,CB$13)=0,10^12,OFFSET(CRONOPLE!$F$15,$M135-$A$15,CB$13)))</f>
        <v>10</v>
      </c>
      <c r="CC135" s="171">
        <f ca="1">IF(OR($D135&lt;&gt;"Serviço",AND(AUTOEVENTO="Manual",$M135=$A$15)),0,
         IF(OFFSET(CRONOPLE!$F$15,$M135-$A$15,CC$13)=0,10^12,OFFSET(CRONOPLE!$F$15,$M135-$A$15,CC$13)))</f>
        <v>11</v>
      </c>
      <c r="CD135" s="171">
        <f ca="1">IF(OR($D135&lt;&gt;"Serviço",AND(AUTOEVENTO="Manual",$M135=$A$15)),0,
         IF(OFFSET(CRONOPLE!$F$15,$M135-$A$15,CD$13)=0,10^12,OFFSET(CRONOPLE!$F$15,$M135-$A$15,CD$13)))</f>
        <v>12</v>
      </c>
      <c r="CE135" s="171">
        <f ca="1">IF(OR($D135&lt;&gt;"Serviço",AND(AUTOEVENTO="Manual",$M135=$A$15)),0,
         IF(OFFSET(CRONOPLE!$F$15,$M135-$A$15,CE$13)=0,10^12,OFFSET(CRONOPLE!$F$15,$M135-$A$15,CE$13)))</f>
        <v>13</v>
      </c>
      <c r="CF135" s="171">
        <f ca="1">IF(OR($D135&lt;&gt;"Serviço",AND(AUTOEVENTO="Manual",$M135=$A$15)),0,
         IF(OFFSET(CRONOPLE!$F$15,$M135-$A$15,CF$13)=0,10^12,OFFSET(CRONOPLE!$F$15,$M135-$A$15,CF$13)))</f>
        <v>14</v>
      </c>
      <c r="CG135" s="171">
        <f ca="1">IF(OR($D135&lt;&gt;"Serviço",AND(AUTOEVENTO="Manual",$M135=$A$15)),0,
         IF(OFFSET(CRONOPLE!$F$15,$M135-$A$15,CG$13)=0,10^12,OFFSET(CRONOPLE!$F$15,$M135-$A$15,CG$13)))</f>
        <v>15</v>
      </c>
      <c r="CH135" s="171">
        <f ca="1">IF(OR($D135&lt;&gt;"Serviço",AND(AUTOEVENTO="Manual",$M135=$A$15)),0,
         IF(OFFSET(CRONOPLE!$F$15,$M135-$A$15,CH$13)=0,10^12,OFFSET(CRONOPLE!$F$15,$M135-$A$15,CH$13)))</f>
        <v>16</v>
      </c>
      <c r="CI135" s="171">
        <f ca="1">IF(OR($D135&lt;&gt;"Serviço",AND(AUTOEVENTO="Manual",$M135=$A$15)),0,
         IF(OFFSET(CRONOPLE!$F$15,$M135-$A$15,CI$13)=0,10^12,OFFSET(CRONOPLE!$F$15,$M135-$A$15,CI$13)))</f>
        <v>17</v>
      </c>
      <c r="CJ135" s="171">
        <f ca="1">IF(OR($D135&lt;&gt;"Serviço",AND(AUTOEVENTO="Manual",$M135=$A$15)),0,
         IF(OFFSET(CRONOPLE!$F$15,$M135-$A$15,CJ$13)=0,10^12,OFFSET(CRONOPLE!$F$15,$M135-$A$15,CJ$13)))</f>
        <v>18</v>
      </c>
      <c r="CK135" s="171">
        <f ca="1">IF(OR($D135&lt;&gt;"Serviço",AND(AUTOEVENTO="Manual",$M135=$A$15)),0,
         IF(OFFSET(CRONOPLE!$F$15,$M135-$A$15,CK$13)=0,10^12,OFFSET(CRONOPLE!$F$15,$M135-$A$15,CK$13)))</f>
        <v>19</v>
      </c>
      <c r="CL135" s="171">
        <f ca="1">IF(OR($D135&lt;&gt;"Serviço",AND(AUTOEVENTO="Manual",$M135=$A$15)),0,
         IF(OFFSET(CRONOPLE!$F$15,$M135-$A$15,CL$13)=0,10^12,OFFSET(CRONOPLE!$F$15,$M135-$A$15,CL$13)))</f>
        <v>20</v>
      </c>
      <c r="CM135" s="171">
        <f ca="1">IF(OR($D135&lt;&gt;"Serviço",AND(AUTOEVENTO="Manual",$M135=$A$15)),0,
         IF(OFFSET(CRONOPLE!$F$15,$M135-$A$15,CM$13)=0,10^12,OFFSET(CRONOPLE!$F$15,$M135-$A$15,CM$13)))</f>
        <v>1000000000000</v>
      </c>
      <c r="CN135" s="171">
        <f ca="1">IF(OR($D135&lt;&gt;"Serviço",AND(AUTOEVENTO="Manual",$M135=$A$15)),0,
         IF(OFFSET(CRONOPLE!$F$15,$M135-$A$15,CN$13)=0,10^12,OFFSET(CRONOPLE!$F$15,$M135-$A$15,CN$13)))</f>
        <v>1000000000000</v>
      </c>
      <c r="CO135" s="171">
        <f ca="1">IF(OR($D135&lt;&gt;"Serviço",AND(AUTOEVENTO="Manual",$M135=$A$15)),0,
         IF(OFFSET(CRONOPLE!$F$15,$M135-$A$15,CO$13)=0,10^12,OFFSET(CRONOPLE!$F$15,$M135-$A$15,CO$13)))</f>
        <v>1000000000000</v>
      </c>
      <c r="CP135" s="171">
        <f ca="1">IF(OR($D135&lt;&gt;"Serviço",AND(AUTOEVENTO="Manual",$M135=$A$15)),0,
         IF(OFFSET(CRONOPLE!$F$15,$M135-$A$15,CP$13)=0,10^12,OFFSET(CRONOPLE!$F$15,$M135-$A$15,CP$13)))</f>
        <v>1000000000000</v>
      </c>
      <c r="CQ135" s="171">
        <f ca="1">IF(OR($D135&lt;&gt;"Serviço",AND(AUTOEVENTO="Manual",$M135=$A$15)),0,
         IF(OFFSET(CRONOPLE!$F$15,$M135-$A$15,CQ$13)=0,10^12,OFFSET(CRONOPLE!$F$15,$M135-$A$15,CQ$13)))</f>
        <v>1000000000000</v>
      </c>
      <c r="CR135" s="171">
        <f ca="1">IF(OR($D135&lt;&gt;"Serviço",AND(AUTOEVENTO="Manual",$M135=$A$15)),0,
         IF(OFFSET(CRONOPLE!$F$15,$M135-$A$15,CR$13)=0,10^12,OFFSET(CRONOPLE!$F$15,$M135-$A$15,CR$13)))</f>
        <v>1000000000000</v>
      </c>
      <c r="CT135" s="172" cm="1">
        <f t="array" aca="1" ref="CT135" ca="1">IF(OR($D135&lt;&gt;"Serviço",AND(AUTOEVENTO="Manual",$M135=$A$15),$M135&gt;(ROW(PLE.lastrow)-ROW(PLE.firstrow))),0,
           IF(OFFSET(PLE!$G$15,$M135-$A$15,CT$13)="",10^12,OFFSET(PLE!$G$15,$M135-$A$15,CT$13)))</f>
        <v>1000000000000</v>
      </c>
      <c r="CU135" s="172" cm="1">
        <f t="array" aca="1" ref="CU135" ca="1">IF(OR($D135&lt;&gt;"Serviço",AND(AUTOEVENTO="Manual",$M135=$A$15),$M135&gt;(ROW(PLE.lastrow)-ROW(PLE.firstrow))),0,
           IF(OFFSET(PLE!$G$15,$M135-$A$15,CU$13)="",10^12,OFFSET(PLE!$G$15,$M135-$A$15,CU$13)))</f>
        <v>1000000000000</v>
      </c>
      <c r="CV135" s="172" cm="1">
        <f t="array" aca="1" ref="CV135" ca="1">IF(OR($D135&lt;&gt;"Serviço",AND(AUTOEVENTO="Manual",$M135=$A$15),$M135&gt;(ROW(PLE.lastrow)-ROW(PLE.firstrow))),0,
           IF(OFFSET(PLE!$G$15,$M135-$A$15,CV$13)="",10^12,OFFSET(PLE!$G$15,$M135-$A$15,CV$13)))</f>
        <v>1000000000000</v>
      </c>
      <c r="CW135" s="172" cm="1">
        <f t="array" aca="1" ref="CW135" ca="1">IF(OR($D135&lt;&gt;"Serviço",AND(AUTOEVENTO="Manual",$M135=$A$15),$M135&gt;(ROW(PLE.lastrow)-ROW(PLE.firstrow))),0,
           IF(OFFSET(PLE!$G$15,$M135-$A$15,CW$13)="",10^12,OFFSET(PLE!$G$15,$M135-$A$15,CW$13)))</f>
        <v>1000000000000</v>
      </c>
      <c r="CX135" s="172" cm="1">
        <f t="array" aca="1" ref="CX135" ca="1">IF(OR($D135&lt;&gt;"Serviço",AND(AUTOEVENTO="Manual",$M135=$A$15),$M135&gt;(ROW(PLE.lastrow)-ROW(PLE.firstrow))),0,
           IF(OFFSET(PLE!$G$15,$M135-$A$15,CX$13)="",10^12,OFFSET(PLE!$G$15,$M135-$A$15,CX$13)))</f>
        <v>1000000000000</v>
      </c>
      <c r="CY135" s="172" cm="1">
        <f t="array" aca="1" ref="CY135" ca="1">IF(OR($D135&lt;&gt;"Serviço",AND(AUTOEVENTO="Manual",$M135=$A$15),$M135&gt;(ROW(PLE.lastrow)-ROW(PLE.firstrow))),0,
           IF(OFFSET(PLE!$G$15,$M135-$A$15,CY$13)="",10^12,OFFSET(PLE!$G$15,$M135-$A$15,CY$13)))</f>
        <v>1000000000000</v>
      </c>
      <c r="CZ135" s="172" cm="1">
        <f t="array" aca="1" ref="CZ135" ca="1">IF(OR($D135&lt;&gt;"Serviço",AND(AUTOEVENTO="Manual",$M135=$A$15),$M135&gt;(ROW(PLE.lastrow)-ROW(PLE.firstrow))),0,
           IF(OFFSET(PLE!$G$15,$M135-$A$15,CZ$13)="",10^12,OFFSET(PLE!$G$15,$M135-$A$15,CZ$13)))</f>
        <v>1000000000000</v>
      </c>
      <c r="DA135" s="172" cm="1">
        <f t="array" aca="1" ref="DA135" ca="1">IF(OR($D135&lt;&gt;"Serviço",AND(AUTOEVENTO="Manual",$M135=$A$15),$M135&gt;(ROW(PLE.lastrow)-ROW(PLE.firstrow))),0,
           IF(OFFSET(PLE!$G$15,$M135-$A$15,DA$13)="",10^12,OFFSET(PLE!$G$15,$M135-$A$15,DA$13)))</f>
        <v>1000000000000</v>
      </c>
      <c r="DB135" s="172" cm="1">
        <f t="array" aca="1" ref="DB135" ca="1">IF(OR($D135&lt;&gt;"Serviço",AND(AUTOEVENTO="Manual",$M135=$A$15),$M135&gt;(ROW(PLE.lastrow)-ROW(PLE.firstrow))),0,
           IF(OFFSET(PLE!$G$15,$M135-$A$15,DB$13)="",10^12,OFFSET(PLE!$G$15,$M135-$A$15,DB$13)))</f>
        <v>1000000000000</v>
      </c>
      <c r="DC135" s="172" cm="1">
        <f t="array" aca="1" ref="DC135" ca="1">IF(OR($D135&lt;&gt;"Serviço",AND(AUTOEVENTO="Manual",$M135=$A$15),$M135&gt;(ROW(PLE.lastrow)-ROW(PLE.firstrow))),0,
           IF(OFFSET(PLE!$G$15,$M135-$A$15,DC$13)="",10^12,OFFSET(PLE!$G$15,$M135-$A$15,DC$13)))</f>
        <v>1000000000000</v>
      </c>
      <c r="DD135" s="172" cm="1">
        <f t="array" aca="1" ref="DD135" ca="1">IF(OR($D135&lt;&gt;"Serviço",AND(AUTOEVENTO="Manual",$M135=$A$15),$M135&gt;(ROW(PLE.lastrow)-ROW(PLE.firstrow))),0,
           IF(OFFSET(PLE!$G$15,$M135-$A$15,DD$13)="",10^12,OFFSET(PLE!$G$15,$M135-$A$15,DD$13)))</f>
        <v>1000000000000</v>
      </c>
      <c r="DE135" s="172" cm="1">
        <f t="array" aca="1" ref="DE135" ca="1">IF(OR($D135&lt;&gt;"Serviço",AND(AUTOEVENTO="Manual",$M135=$A$15),$M135&gt;(ROW(PLE.lastrow)-ROW(PLE.firstrow))),0,
           IF(OFFSET(PLE!$G$15,$M135-$A$15,DE$13)="",10^12,OFFSET(PLE!$G$15,$M135-$A$15,DE$13)))</f>
        <v>1000000000000</v>
      </c>
      <c r="DF135" s="172" cm="1">
        <f t="array" aca="1" ref="DF135" ca="1">IF(OR($D135&lt;&gt;"Serviço",AND(AUTOEVENTO="Manual",$M135=$A$15),$M135&gt;(ROW(PLE.lastrow)-ROW(PLE.firstrow))),0,
           IF(OFFSET(PLE!$G$15,$M135-$A$15,DF$13)="",10^12,OFFSET(PLE!$G$15,$M135-$A$15,DF$13)))</f>
        <v>1000000000000</v>
      </c>
      <c r="DG135" s="172" cm="1">
        <f t="array" aca="1" ref="DG135" ca="1">IF(OR($D135&lt;&gt;"Serviço",AND(AUTOEVENTO="Manual",$M135=$A$15),$M135&gt;(ROW(PLE.lastrow)-ROW(PLE.firstrow))),0,
           IF(OFFSET(PLE!$G$15,$M135-$A$15,DG$13)="",10^12,OFFSET(PLE!$G$15,$M135-$A$15,DG$13)))</f>
        <v>1000000000000</v>
      </c>
      <c r="DH135" s="172" cm="1">
        <f t="array" aca="1" ref="DH135" ca="1">IF(OR($D135&lt;&gt;"Serviço",AND(AUTOEVENTO="Manual",$M135=$A$15),$M135&gt;(ROW(PLE.lastrow)-ROW(PLE.firstrow))),0,
           IF(OFFSET(PLE!$G$15,$M135-$A$15,DH$13)="",10^12,OFFSET(PLE!$G$15,$M135-$A$15,DH$13)))</f>
        <v>1000000000000</v>
      </c>
      <c r="DI135" s="172" cm="1">
        <f t="array" aca="1" ref="DI135" ca="1">IF(OR($D135&lt;&gt;"Serviço",AND(AUTOEVENTO="Manual",$M135=$A$15),$M135&gt;(ROW(PLE.lastrow)-ROW(PLE.firstrow))),0,
           IF(OFFSET(PLE!$G$15,$M135-$A$15,DI$13)="",10^12,OFFSET(PLE!$G$15,$M135-$A$15,DI$13)))</f>
        <v>1000000000000</v>
      </c>
      <c r="DJ135" s="172" cm="1">
        <f t="array" aca="1" ref="DJ135" ca="1">IF(OR($D135&lt;&gt;"Serviço",AND(AUTOEVENTO="Manual",$M135=$A$15),$M135&gt;(ROW(PLE.lastrow)-ROW(PLE.firstrow))),0,
           IF(OFFSET(PLE!$G$15,$M135-$A$15,DJ$13)="",10^12,OFFSET(PLE!$G$15,$M135-$A$15,DJ$13)))</f>
        <v>1000000000000</v>
      </c>
      <c r="DK135" s="172" cm="1">
        <f t="array" aca="1" ref="DK135" ca="1">IF(OR($D135&lt;&gt;"Serviço",AND(AUTOEVENTO="Manual",$M135=$A$15),$M135&gt;(ROW(PLE.lastrow)-ROW(PLE.firstrow))),0,
           IF(OFFSET(PLE!$G$15,$M135-$A$15,DK$13)="",10^12,OFFSET(PLE!$G$15,$M135-$A$15,DK$13)))</f>
        <v>1000000000000</v>
      </c>
      <c r="DL135" s="172" cm="1">
        <f t="array" aca="1" ref="DL135" ca="1">IF(OR($D135&lt;&gt;"Serviço",AND(AUTOEVENTO="Manual",$M135=$A$15),$M135&gt;(ROW(PLE.lastrow)-ROW(PLE.firstrow))),0,
           IF(OFFSET(PLE!$G$15,$M135-$A$15,DL$13)="",10^12,OFFSET(PLE!$G$15,$M135-$A$15,DL$13)))</f>
        <v>1000000000000</v>
      </c>
      <c r="DM135" s="172" cm="1">
        <f t="array" aca="1" ref="DM135" ca="1">IF(OR($D135&lt;&gt;"Serviço",AND(AUTOEVENTO="Manual",$M135=$A$15),$M135&gt;(ROW(PLE.lastrow)-ROW(PLE.firstrow))),0,
           IF(OFFSET(PLE!$G$15,$M135-$A$15,DM$13)="",10^12,OFFSET(PLE!$G$15,$M135-$A$15,DM$13)))</f>
        <v>1000000000000</v>
      </c>
      <c r="DN135" s="172" cm="1">
        <f t="array" aca="1" ref="DN135" ca="1">IF(OR($D135&lt;&gt;"Serviço",AND(AUTOEVENTO="Manual",$M135=$A$15),$M135&gt;(ROW(PLE.lastrow)-ROW(PLE.firstrow))),0,
           IF(OFFSET(PLE!$G$15,$M135-$A$15,DN$13)="",10^12,OFFSET(PLE!$G$15,$M135-$A$15,DN$13)))</f>
        <v>1000000000000</v>
      </c>
      <c r="DO135" s="172" cm="1">
        <f t="array" aca="1" ref="DO135" ca="1">IF(OR($D135&lt;&gt;"Serviço",AND(AUTOEVENTO="Manual",$M135=$A$15),$M135&gt;(ROW(PLE.lastrow)-ROW(PLE.firstrow))),0,
           IF(OFFSET(PLE!$G$15,$M135-$A$15,DO$13)="",10^12,OFFSET(PLE!$G$15,$M135-$A$15,DO$13)))</f>
        <v>1000000000000</v>
      </c>
      <c r="DP135" s="172" cm="1">
        <f t="array" aca="1" ref="DP135" ca="1">IF(OR($D135&lt;&gt;"Serviço",AND(AUTOEVENTO="Manual",$M135=$A$15),$M135&gt;(ROW(PLE.lastrow)-ROW(PLE.firstrow))),0,
           IF(OFFSET(PLE!$G$15,$M135-$A$15,DP$13)="",10^12,OFFSET(PLE!$G$15,$M135-$A$15,DP$13)))</f>
        <v>1000000000000</v>
      </c>
      <c r="DQ135" s="172" cm="1">
        <f t="array" aca="1" ref="DQ135" ca="1">IF(OR($D135&lt;&gt;"Serviço",AND(AUTOEVENTO="Manual",$M135=$A$15),$M135&gt;(ROW(PLE.lastrow)-ROW(PLE.firstrow))),0,
           IF(OFFSET(PLE!$G$15,$M135-$A$15,DQ$13)="",10^12,OFFSET(PLE!$G$15,$M135-$A$15,DQ$13)))</f>
        <v>1000000000000</v>
      </c>
      <c r="DR135" s="172" cm="1">
        <f t="array" aca="1" ref="DR135" ca="1">IF(OR($D135&lt;&gt;"Serviço",AND(AUTOEVENTO="Manual",$M135=$A$15),$M135&gt;(ROW(PLE.lastrow)-ROW(PLE.firstrow))),0,
           IF(OFFSET(PLE!$G$15,$M135-$A$15,DR$13)="",10^12,OFFSET(PLE!$G$15,$M135-$A$15,DR$13)))</f>
        <v>1000000000000</v>
      </c>
      <c r="DS135" s="172" cm="1">
        <f t="array" aca="1" ref="DS135" ca="1">IF(OR($D135&lt;&gt;"Serviço",AND(AUTOEVENTO="Manual",$M135=$A$15),$M135&gt;(ROW(PLE.lastrow)-ROW(PLE.firstrow))),0,
           IF(OFFSET(PLE!$G$15,$M135-$A$15,DS$13)="",10^12,OFFSET(PLE!$G$15,$M135-$A$15,DS$13)))</f>
        <v>1000000000000</v>
      </c>
    </row>
    <row r="136" spans="1:123" ht="25.5" x14ac:dyDescent="0.2">
      <c r="A136" s="7">
        <f t="shared" ca="1" si="15"/>
        <v>9</v>
      </c>
      <c r="B136" s="7" t="str">
        <f ca="1">OFFSET(ORÇAMENTO!C$15,$L136,0)</f>
        <v>S</v>
      </c>
      <c r="C136" s="7" t="str">
        <f ca="1">OFFSET(ORÇAMENTO!L$15,$L136,0)</f>
        <v/>
      </c>
      <c r="D136" s="116" t="str">
        <f ca="1">OFFSET(ORÇAMENTO!N$15,$L136,0)</f>
        <v>Serviço</v>
      </c>
      <c r="E136" s="117" t="str">
        <f ca="1">OFFSET(ORÇAMENTO!O$15,$L136,0)</f>
        <v>-</v>
      </c>
      <c r="F136" s="163" t="str">
        <f ca="1">OFFSET(ORÇAMENTO!R$15,$L136,0)</f>
        <v>(Código não identificado nas referências)</v>
      </c>
      <c r="G136" s="164" t="str">
        <f ca="1">IF($D136&lt;&gt;"Serviço","",OFFSET(ORÇAMENTO!S$15,$L136,0))</f>
        <v>-</v>
      </c>
      <c r="H136" s="122" cm="1">
        <f t="array" aca="1" ref="H136" ca="1">IF($D136&lt;&gt;"Serviço",0,IF(ACOMPANHAMENTO="BM",ROUND(OFFSET(ORÇAMENTO!AJ$15,$L136,0),15-13*ORÇAMENTO!$AF$7),IF(IFERROR(CÁLCULO.FrentesPreenchidas,0)=0,0,SUM(ROUND(OFFSET($P136,0,1,1,CÁLCULO.FrentesPreenchidas),15-13*ORÇAMENTO!$AF$7)))))</f>
        <v>20</v>
      </c>
      <c r="I136" s="468" t="s">
        <v>1235</v>
      </c>
      <c r="J136" s="651" t="str" cm="1">
        <f t="array" aca="1" ref="J136" ca="1">IF(OR(B136&lt;&gt;"S",CÁLCULO.FrentesPreenchidas=0),"",IF(AND(ACOMPANHAMENTO="PLE",AUTOEVENTO="Manual",OR(H136&gt;0,ORÇAMENTO!AC136="QUANT."),OR(K136="",M136=0,N136="")),"►E",IF(AND(ACOMPANHAMENTO="PLE",ORÇAMENTO!AC136="QUANT."),"►Q",IF(AND(ACOMPANHAMENTO="PLE",H136&lt;&gt;SUMPRODUCT(($Q$1:$AQ$1=1)*ROUND(Q136:AQ136,15))),"►S",IF(AND(COUNTIF($P$11:$AQ$11,"▼")=0,H136&gt;0,I136=""),"◄M","")))))</f>
        <v/>
      </c>
      <c r="K136" s="652" t="s">
        <v>1257</v>
      </c>
      <c r="L136" s="165">
        <f t="shared" ca="1" si="14"/>
        <v>121</v>
      </c>
      <c r="M136" s="166">
        <f ca="1">IF($D136&lt;&gt;"Serviço","",
          IF(AUTOEVENTO="manual",$A136,
                IF(ISERROR(MATCH($A136,$A$15:OFFSET($A136,-1,0),0)),MAX($M$15:OFFSET(M136,-1,0))+1,
                      INDEX($M$15:OFFSET(M136,-1,0),MATCH($A136,$A$15:OFFSET($A136,-1,0),0)))))</f>
        <v>9</v>
      </c>
      <c r="N136" s="167" t="str">
        <f ca="1">IF($D136&lt;&gt;"Serviço","",
         IF(AUTOEVENTO="Manual",
                IF($A136=0,"&lt;-- defina o número do agrupador",
                       OFFSET(EVENTOS!$D$15,$A136-$A$15,0)),
                OFFSET($F$15,$A136,0)))</f>
        <v>INSTALAÇÕES</v>
      </c>
      <c r="O136" s="168"/>
      <c r="Q136" s="168">
        <v>1</v>
      </c>
      <c r="R136" s="169">
        <v>1</v>
      </c>
      <c r="S136" s="169">
        <v>1</v>
      </c>
      <c r="T136" s="169">
        <v>1</v>
      </c>
      <c r="U136" s="169">
        <v>1</v>
      </c>
      <c r="V136" s="169">
        <v>1</v>
      </c>
      <c r="W136" s="169">
        <v>1</v>
      </c>
      <c r="X136" s="169">
        <v>1</v>
      </c>
      <c r="Y136" s="169">
        <v>1</v>
      </c>
      <c r="Z136" s="170">
        <v>1</v>
      </c>
      <c r="AA136" s="169">
        <v>1</v>
      </c>
      <c r="AB136" s="169">
        <v>1</v>
      </c>
      <c r="AC136" s="169">
        <v>1</v>
      </c>
      <c r="AD136" s="169">
        <v>1</v>
      </c>
      <c r="AE136" s="169">
        <v>1</v>
      </c>
      <c r="AF136" s="169">
        <v>1</v>
      </c>
      <c r="AG136" s="169">
        <v>1</v>
      </c>
      <c r="AH136" s="170">
        <v>1</v>
      </c>
      <c r="AI136" s="169">
        <v>1</v>
      </c>
      <c r="AJ136" s="169">
        <v>1</v>
      </c>
      <c r="AK136" s="169"/>
      <c r="AL136" s="169"/>
      <c r="AM136" s="169"/>
      <c r="AN136" s="169"/>
      <c r="AO136" s="169"/>
      <c r="AP136" s="170"/>
      <c r="AR136" s="453">
        <f ca="1">IF(AND($D136="Serviço",AR$12&lt;&gt;0,$H136&gt;0,OR(AUTOEVENTO&lt;&gt;"manual",$M136&lt;&gt;$A$15)),
        IF(Import.TipoArredondamento&lt;&gt;"TransfereGOV",
              ROUND(OFFSET($P136,0,AR$13),15-13*ORÇAMENTO!$AF$7)/$H136*OFFSET(ORÇAMENTO!$X$15,ROW(AR136)-ROW(AR$15),0),
              ROUND(ROUND(OFFSET($P136,0,AR$13),15-13*ORÇAMENTO!$AF$7)*OFFSET(ORÇAMENTO!$W$15,ROW(AR136)-ROW(AR$15),0),15-13*ORÇAMENTO!$AF$11)),
         0)</f>
        <v>0</v>
      </c>
      <c r="AS136" s="453">
        <f ca="1">IF(AND($D136="Serviço",AS$12&lt;&gt;0,$H136&gt;0,OR(AUTOEVENTO&lt;&gt;"manual",$M136&lt;&gt;$A$15)),
        IF(Import.TipoArredondamento&lt;&gt;"TransfereGOV",
              ROUND(OFFSET($P136,0,AS$13),15-13*ORÇAMENTO!$AF$7)/$H136*OFFSET(ORÇAMENTO!$X$15,ROW(AS136)-ROW(AS$15),0),
              ROUND(ROUND(OFFSET($P136,0,AS$13),15-13*ORÇAMENTO!$AF$7)*OFFSET(ORÇAMENTO!$W$15,ROW(AS136)-ROW(AS$15),0),15-13*ORÇAMENTO!$AF$11)),
         0)</f>
        <v>0</v>
      </c>
      <c r="AT136" s="453">
        <f ca="1">IF(AND($D136="Serviço",AT$12&lt;&gt;0,$H136&gt;0,OR(AUTOEVENTO&lt;&gt;"manual",$M136&lt;&gt;$A$15)),
        IF(Import.TipoArredondamento&lt;&gt;"TransfereGOV",
              ROUND(OFFSET($P136,0,AT$13),15-13*ORÇAMENTO!$AF$7)/$H136*OFFSET(ORÇAMENTO!$X$15,ROW(AT136)-ROW(AT$15),0),
              ROUND(ROUND(OFFSET($P136,0,AT$13),15-13*ORÇAMENTO!$AF$7)*OFFSET(ORÇAMENTO!$W$15,ROW(AT136)-ROW(AT$15),0),15-13*ORÇAMENTO!$AF$11)),
         0)</f>
        <v>0</v>
      </c>
      <c r="AU136" s="453">
        <f ca="1">IF(AND($D136="Serviço",AU$12&lt;&gt;0,$H136&gt;0,OR(AUTOEVENTO&lt;&gt;"manual",$M136&lt;&gt;$A$15)),
        IF(Import.TipoArredondamento&lt;&gt;"TransfereGOV",
              ROUND(OFFSET($P136,0,AU$13),15-13*ORÇAMENTO!$AF$7)/$H136*OFFSET(ORÇAMENTO!$X$15,ROW(AU136)-ROW(AU$15),0),
              ROUND(ROUND(OFFSET($P136,0,AU$13),15-13*ORÇAMENTO!$AF$7)*OFFSET(ORÇAMENTO!$W$15,ROW(AU136)-ROW(AU$15),0),15-13*ORÇAMENTO!$AF$11)),
         0)</f>
        <v>0</v>
      </c>
      <c r="AV136" s="453">
        <f ca="1">IF(AND($D136="Serviço",AV$12&lt;&gt;0,$H136&gt;0,OR(AUTOEVENTO&lt;&gt;"manual",$M136&lt;&gt;$A$15)),
        IF(Import.TipoArredondamento&lt;&gt;"TransfereGOV",
              ROUND(OFFSET($P136,0,AV$13),15-13*ORÇAMENTO!$AF$7)/$H136*OFFSET(ORÇAMENTO!$X$15,ROW(AV136)-ROW(AV$15),0),
              ROUND(ROUND(OFFSET($P136,0,AV$13),15-13*ORÇAMENTO!$AF$7)*OFFSET(ORÇAMENTO!$W$15,ROW(AV136)-ROW(AV$15),0),15-13*ORÇAMENTO!$AF$11)),
         0)</f>
        <v>0</v>
      </c>
      <c r="AW136" s="453">
        <f ca="1">IF(AND($D136="Serviço",AW$12&lt;&gt;0,$H136&gt;0,OR(AUTOEVENTO&lt;&gt;"manual",$M136&lt;&gt;$A$15)),
        IF(Import.TipoArredondamento&lt;&gt;"TransfereGOV",
              ROUND(OFFSET($P136,0,AW$13),15-13*ORÇAMENTO!$AF$7)/$H136*OFFSET(ORÇAMENTO!$X$15,ROW(AW136)-ROW(AW$15),0),
              ROUND(ROUND(OFFSET($P136,0,AW$13),15-13*ORÇAMENTO!$AF$7)*OFFSET(ORÇAMENTO!$W$15,ROW(AW136)-ROW(AW$15),0),15-13*ORÇAMENTO!$AF$11)),
         0)</f>
        <v>0</v>
      </c>
      <c r="AX136" s="453">
        <f ca="1">IF(AND($D136="Serviço",AX$12&lt;&gt;0,$H136&gt;0,OR(AUTOEVENTO&lt;&gt;"manual",$M136&lt;&gt;$A$15)),
        IF(Import.TipoArredondamento&lt;&gt;"TransfereGOV",
              ROUND(OFFSET($P136,0,AX$13),15-13*ORÇAMENTO!$AF$7)/$H136*OFFSET(ORÇAMENTO!$X$15,ROW(AX136)-ROW(AX$15),0),
              ROUND(ROUND(OFFSET($P136,0,AX$13),15-13*ORÇAMENTO!$AF$7)*OFFSET(ORÇAMENTO!$W$15,ROW(AX136)-ROW(AX$15),0),15-13*ORÇAMENTO!$AF$11)),
         0)</f>
        <v>0</v>
      </c>
      <c r="AY136" s="453">
        <f ca="1">IF(AND($D136="Serviço",AY$12&lt;&gt;0,$H136&gt;0,OR(AUTOEVENTO&lt;&gt;"manual",$M136&lt;&gt;$A$15)),
        IF(Import.TipoArredondamento&lt;&gt;"TransfereGOV",
              ROUND(OFFSET($P136,0,AY$13),15-13*ORÇAMENTO!$AF$7)/$H136*OFFSET(ORÇAMENTO!$X$15,ROW(AY136)-ROW(AY$15),0),
              ROUND(ROUND(OFFSET($P136,0,AY$13),15-13*ORÇAMENTO!$AF$7)*OFFSET(ORÇAMENTO!$W$15,ROW(AY136)-ROW(AY$15),0),15-13*ORÇAMENTO!$AF$11)),
         0)</f>
        <v>0</v>
      </c>
      <c r="AZ136" s="453">
        <f ca="1">IF(AND($D136="Serviço",AZ$12&lt;&gt;0,$H136&gt;0,OR(AUTOEVENTO&lt;&gt;"manual",$M136&lt;&gt;$A$15)),
        IF(Import.TipoArredondamento&lt;&gt;"TransfereGOV",
              ROUND(OFFSET($P136,0,AZ$13),15-13*ORÇAMENTO!$AF$7)/$H136*OFFSET(ORÇAMENTO!$X$15,ROW(AZ136)-ROW(AZ$15),0),
              ROUND(ROUND(OFFSET($P136,0,AZ$13),15-13*ORÇAMENTO!$AF$7)*OFFSET(ORÇAMENTO!$W$15,ROW(AZ136)-ROW(AZ$15),0),15-13*ORÇAMENTO!$AF$11)),
         0)</f>
        <v>0</v>
      </c>
      <c r="BA136" s="453">
        <f ca="1">IF(AND($D136="Serviço",BA$12&lt;&gt;0,$H136&gt;0,OR(AUTOEVENTO&lt;&gt;"manual",$M136&lt;&gt;$A$15)),
        IF(Import.TipoArredondamento&lt;&gt;"TransfereGOV",
              ROUND(OFFSET($P136,0,BA$13),15-13*ORÇAMENTO!$AF$7)/$H136*OFFSET(ORÇAMENTO!$X$15,ROW(BA136)-ROW(BA$15),0),
              ROUND(ROUND(OFFSET($P136,0,BA$13),15-13*ORÇAMENTO!$AF$7)*OFFSET(ORÇAMENTO!$W$15,ROW(BA136)-ROW(BA$15),0),15-13*ORÇAMENTO!$AF$11)),
         0)</f>
        <v>0</v>
      </c>
      <c r="BB136" s="453">
        <f ca="1">IF(AND($D136="Serviço",BB$12&lt;&gt;0,$H136&gt;0,OR(AUTOEVENTO&lt;&gt;"manual",$M136&lt;&gt;$A$15)),
        IF(Import.TipoArredondamento&lt;&gt;"TransfereGOV",
              ROUND(OFFSET($P136,0,BB$13),15-13*ORÇAMENTO!$AF$7)/$H136*OFFSET(ORÇAMENTO!$X$15,ROW(BB136)-ROW(BB$15),0),
              ROUND(ROUND(OFFSET($P136,0,BB$13),15-13*ORÇAMENTO!$AF$7)*OFFSET(ORÇAMENTO!$W$15,ROW(BB136)-ROW(BB$15),0),15-13*ORÇAMENTO!$AF$11)),
         0)</f>
        <v>0</v>
      </c>
      <c r="BC136" s="453">
        <f ca="1">IF(AND($D136="Serviço",BC$12&lt;&gt;0,$H136&gt;0,OR(AUTOEVENTO&lt;&gt;"manual",$M136&lt;&gt;$A$15)),
        IF(Import.TipoArredondamento&lt;&gt;"TransfereGOV",
              ROUND(OFFSET($P136,0,BC$13),15-13*ORÇAMENTO!$AF$7)/$H136*OFFSET(ORÇAMENTO!$X$15,ROW(BC136)-ROW(BC$15),0),
              ROUND(ROUND(OFFSET($P136,0,BC$13),15-13*ORÇAMENTO!$AF$7)*OFFSET(ORÇAMENTO!$W$15,ROW(BC136)-ROW(BC$15),0),15-13*ORÇAMENTO!$AF$11)),
         0)</f>
        <v>0</v>
      </c>
      <c r="BD136" s="453">
        <f ca="1">IF(AND($D136="Serviço",BD$12&lt;&gt;0,$H136&gt;0,OR(AUTOEVENTO&lt;&gt;"manual",$M136&lt;&gt;$A$15)),
        IF(Import.TipoArredondamento&lt;&gt;"TransfereGOV",
              ROUND(OFFSET($P136,0,BD$13),15-13*ORÇAMENTO!$AF$7)/$H136*OFFSET(ORÇAMENTO!$X$15,ROW(BD136)-ROW(BD$15),0),
              ROUND(ROUND(OFFSET($P136,0,BD$13),15-13*ORÇAMENTO!$AF$7)*OFFSET(ORÇAMENTO!$W$15,ROW(BD136)-ROW(BD$15),0),15-13*ORÇAMENTO!$AF$11)),
         0)</f>
        <v>0</v>
      </c>
      <c r="BE136" s="453">
        <f ca="1">IF(AND($D136="Serviço",BE$12&lt;&gt;0,$H136&gt;0,OR(AUTOEVENTO&lt;&gt;"manual",$M136&lt;&gt;$A$15)),
        IF(Import.TipoArredondamento&lt;&gt;"TransfereGOV",
              ROUND(OFFSET($P136,0,BE$13),15-13*ORÇAMENTO!$AF$7)/$H136*OFFSET(ORÇAMENTO!$X$15,ROW(BE136)-ROW(BE$15),0),
              ROUND(ROUND(OFFSET($P136,0,BE$13),15-13*ORÇAMENTO!$AF$7)*OFFSET(ORÇAMENTO!$W$15,ROW(BE136)-ROW(BE$15),0),15-13*ORÇAMENTO!$AF$11)),
         0)</f>
        <v>0</v>
      </c>
      <c r="BF136" s="453">
        <f ca="1">IF(AND($D136="Serviço",BF$12&lt;&gt;0,$H136&gt;0,OR(AUTOEVENTO&lt;&gt;"manual",$M136&lt;&gt;$A$15)),
        IF(Import.TipoArredondamento&lt;&gt;"TransfereGOV",
              ROUND(OFFSET($P136,0,BF$13),15-13*ORÇAMENTO!$AF$7)/$H136*OFFSET(ORÇAMENTO!$X$15,ROW(BF136)-ROW(BF$15),0),
              ROUND(ROUND(OFFSET($P136,0,BF$13),15-13*ORÇAMENTO!$AF$7)*OFFSET(ORÇAMENTO!$W$15,ROW(BF136)-ROW(BF$15),0),15-13*ORÇAMENTO!$AF$11)),
         0)</f>
        <v>0</v>
      </c>
      <c r="BG136" s="453">
        <f ca="1">IF(AND($D136="Serviço",BG$12&lt;&gt;0,$H136&gt;0,OR(AUTOEVENTO&lt;&gt;"manual",$M136&lt;&gt;$A$15)),
        IF(Import.TipoArredondamento&lt;&gt;"TransfereGOV",
              ROUND(OFFSET($P136,0,BG$13),15-13*ORÇAMENTO!$AF$7)/$H136*OFFSET(ORÇAMENTO!$X$15,ROW(BG136)-ROW(BG$15),0),
              ROUND(ROUND(OFFSET($P136,0,BG$13),15-13*ORÇAMENTO!$AF$7)*OFFSET(ORÇAMENTO!$W$15,ROW(BG136)-ROW(BG$15),0),15-13*ORÇAMENTO!$AF$11)),
         0)</f>
        <v>0</v>
      </c>
      <c r="BH136" s="453">
        <f ca="1">IF(AND($D136="Serviço",BH$12&lt;&gt;0,$H136&gt;0,OR(AUTOEVENTO&lt;&gt;"manual",$M136&lt;&gt;$A$15)),
        IF(Import.TipoArredondamento&lt;&gt;"TransfereGOV",
              ROUND(OFFSET($P136,0,BH$13),15-13*ORÇAMENTO!$AF$7)/$H136*OFFSET(ORÇAMENTO!$X$15,ROW(BH136)-ROW(BH$15),0),
              ROUND(ROUND(OFFSET($P136,0,BH$13),15-13*ORÇAMENTO!$AF$7)*OFFSET(ORÇAMENTO!$W$15,ROW(BH136)-ROW(BH$15),0),15-13*ORÇAMENTO!$AF$11)),
         0)</f>
        <v>0</v>
      </c>
      <c r="BI136" s="453">
        <f ca="1">IF(AND($D136="Serviço",BI$12&lt;&gt;0,$H136&gt;0,OR(AUTOEVENTO&lt;&gt;"manual",$M136&lt;&gt;$A$15)),
        IF(Import.TipoArredondamento&lt;&gt;"TransfereGOV",
              ROUND(OFFSET($P136,0,BI$13),15-13*ORÇAMENTO!$AF$7)/$H136*OFFSET(ORÇAMENTO!$X$15,ROW(BI136)-ROW(BI$15),0),
              ROUND(ROUND(OFFSET($P136,0,BI$13),15-13*ORÇAMENTO!$AF$7)*OFFSET(ORÇAMENTO!$W$15,ROW(BI136)-ROW(BI$15),0),15-13*ORÇAMENTO!$AF$11)),
         0)</f>
        <v>0</v>
      </c>
      <c r="BJ136" s="453">
        <f ca="1">IF(AND($D136="Serviço",BJ$12&lt;&gt;0,$H136&gt;0,OR(AUTOEVENTO&lt;&gt;"manual",$M136&lt;&gt;$A$15)),
        IF(Import.TipoArredondamento&lt;&gt;"TransfereGOV",
              ROUND(OFFSET($P136,0,BJ$13),15-13*ORÇAMENTO!$AF$7)/$H136*OFFSET(ORÇAMENTO!$X$15,ROW(BJ136)-ROW(BJ$15),0),
              ROUND(ROUND(OFFSET($P136,0,BJ$13),15-13*ORÇAMENTO!$AF$7)*OFFSET(ORÇAMENTO!$W$15,ROW(BJ136)-ROW(BJ$15),0),15-13*ORÇAMENTO!$AF$11)),
         0)</f>
        <v>0</v>
      </c>
      <c r="BK136" s="453">
        <f ca="1">IF(AND($D136="Serviço",BK$12&lt;&gt;0,$H136&gt;0,OR(AUTOEVENTO&lt;&gt;"manual",$M136&lt;&gt;$A$15)),
        IF(Import.TipoArredondamento&lt;&gt;"TransfereGOV",
              ROUND(OFFSET($P136,0,BK$13),15-13*ORÇAMENTO!$AF$7)/$H136*OFFSET(ORÇAMENTO!$X$15,ROW(BK136)-ROW(BK$15),0),
              ROUND(ROUND(OFFSET($P136,0,BK$13),15-13*ORÇAMENTO!$AF$7)*OFFSET(ORÇAMENTO!$W$15,ROW(BK136)-ROW(BK$15),0),15-13*ORÇAMENTO!$AF$11)),
         0)</f>
        <v>0</v>
      </c>
      <c r="BL136" s="453">
        <f ca="1">IF(AND($D136="Serviço",BL$12&lt;&gt;0,$H136&gt;0,OR(AUTOEVENTO&lt;&gt;"manual",$M136&lt;&gt;$A$15)),
        IF(Import.TipoArredondamento&lt;&gt;"TransfereGOV",
              ROUND(OFFSET($P136,0,BL$13),15-13*ORÇAMENTO!$AF$7)/$H136*OFFSET(ORÇAMENTO!$X$15,ROW(BL136)-ROW(BL$15),0),
              ROUND(ROUND(OFFSET($P136,0,BL$13),15-13*ORÇAMENTO!$AF$7)*OFFSET(ORÇAMENTO!$W$15,ROW(BL136)-ROW(BL$15),0),15-13*ORÇAMENTO!$AF$11)),
         0)</f>
        <v>0</v>
      </c>
      <c r="BM136" s="453">
        <f ca="1">IF(AND($D136="Serviço",BM$12&lt;&gt;0,$H136&gt;0,OR(AUTOEVENTO&lt;&gt;"manual",$M136&lt;&gt;$A$15)),
        IF(Import.TipoArredondamento&lt;&gt;"TransfereGOV",
              ROUND(OFFSET($P136,0,BM$13),15-13*ORÇAMENTO!$AF$7)/$H136*OFFSET(ORÇAMENTO!$X$15,ROW(BM136)-ROW(BM$15),0),
              ROUND(ROUND(OFFSET($P136,0,BM$13),15-13*ORÇAMENTO!$AF$7)*OFFSET(ORÇAMENTO!$W$15,ROW(BM136)-ROW(BM$15),0),15-13*ORÇAMENTO!$AF$11)),
         0)</f>
        <v>0</v>
      </c>
      <c r="BN136" s="453">
        <f ca="1">IF(AND($D136="Serviço",BN$12&lt;&gt;0,$H136&gt;0,OR(AUTOEVENTO&lt;&gt;"manual",$M136&lt;&gt;$A$15)),
        IF(Import.TipoArredondamento&lt;&gt;"TransfereGOV",
              ROUND(OFFSET($P136,0,BN$13),15-13*ORÇAMENTO!$AF$7)/$H136*OFFSET(ORÇAMENTO!$X$15,ROW(BN136)-ROW(BN$15),0),
              ROUND(ROUND(OFFSET($P136,0,BN$13),15-13*ORÇAMENTO!$AF$7)*OFFSET(ORÇAMENTO!$W$15,ROW(BN136)-ROW(BN$15),0),15-13*ORÇAMENTO!$AF$11)),
         0)</f>
        <v>0</v>
      </c>
      <c r="BO136" s="453">
        <f ca="1">IF(AND($D136="Serviço",BO$12&lt;&gt;0,$H136&gt;0,OR(AUTOEVENTO&lt;&gt;"manual",$M136&lt;&gt;$A$15)),
        IF(Import.TipoArredondamento&lt;&gt;"TransfereGOV",
              ROUND(OFFSET($P136,0,BO$13),15-13*ORÇAMENTO!$AF$7)/$H136*OFFSET(ORÇAMENTO!$X$15,ROW(BO136)-ROW(BO$15),0),
              ROUND(ROUND(OFFSET($P136,0,BO$13),15-13*ORÇAMENTO!$AF$7)*OFFSET(ORÇAMENTO!$W$15,ROW(BO136)-ROW(BO$15),0),15-13*ORÇAMENTO!$AF$11)),
         0)</f>
        <v>0</v>
      </c>
      <c r="BP136" s="453">
        <f ca="1">IF(AND($D136="Serviço",BP$12&lt;&gt;0,$H136&gt;0,OR(AUTOEVENTO&lt;&gt;"manual",$M136&lt;&gt;$A$15)),
        IF(Import.TipoArredondamento&lt;&gt;"TransfereGOV",
              ROUND(OFFSET($P136,0,BP$13),15-13*ORÇAMENTO!$AF$7)/$H136*OFFSET(ORÇAMENTO!$X$15,ROW(BP136)-ROW(BP$15),0),
              ROUND(ROUND(OFFSET($P136,0,BP$13),15-13*ORÇAMENTO!$AF$7)*OFFSET(ORÇAMENTO!$W$15,ROW(BP136)-ROW(BP$15),0),15-13*ORÇAMENTO!$AF$11)),
         0)</f>
        <v>0</v>
      </c>
      <c r="BQ136" s="453">
        <f ca="1">IF(AND($D136="Serviço",BQ$12&lt;&gt;0,$H136&gt;0,OR(AUTOEVENTO&lt;&gt;"manual",$M136&lt;&gt;$A$15)),
        IF(Import.TipoArredondamento&lt;&gt;"TransfereGOV",
              ROUND(OFFSET($P136,0,BQ$13),15-13*ORÇAMENTO!$AF$7)/$H136*OFFSET(ORÇAMENTO!$X$15,ROW(BQ136)-ROW(BQ$15),0),
              ROUND(ROUND(OFFSET($P136,0,BQ$13),15-13*ORÇAMENTO!$AF$7)*OFFSET(ORÇAMENTO!$W$15,ROW(BQ136)-ROW(BQ$15),0),15-13*ORÇAMENTO!$AF$11)),
         0)</f>
        <v>0</v>
      </c>
      <c r="BS136" s="171">
        <f ca="1">IF(OR($D136&lt;&gt;"Serviço",AND(AUTOEVENTO="Manual",$M136=$A$15)),0,
         IF(OFFSET(CRONOPLE!$F$15,$M136-$A$15,BS$13)=0,10^12,OFFSET(CRONOPLE!$F$15,$M136-$A$15,BS$13)))</f>
        <v>1</v>
      </c>
      <c r="BT136" s="171">
        <f ca="1">IF(OR($D136&lt;&gt;"Serviço",AND(AUTOEVENTO="Manual",$M136=$A$15)),0,
         IF(OFFSET(CRONOPLE!$F$15,$M136-$A$15,BT$13)=0,10^12,OFFSET(CRONOPLE!$F$15,$M136-$A$15,BT$13)))</f>
        <v>2</v>
      </c>
      <c r="BU136" s="171">
        <f ca="1">IF(OR($D136&lt;&gt;"Serviço",AND(AUTOEVENTO="Manual",$M136=$A$15)),0,
         IF(OFFSET(CRONOPLE!$F$15,$M136-$A$15,BU$13)=0,10^12,OFFSET(CRONOPLE!$F$15,$M136-$A$15,BU$13)))</f>
        <v>3</v>
      </c>
      <c r="BV136" s="171">
        <f ca="1">IF(OR($D136&lt;&gt;"Serviço",AND(AUTOEVENTO="Manual",$M136=$A$15)),0,
         IF(OFFSET(CRONOPLE!$F$15,$M136-$A$15,BV$13)=0,10^12,OFFSET(CRONOPLE!$F$15,$M136-$A$15,BV$13)))</f>
        <v>4</v>
      </c>
      <c r="BW136" s="171">
        <f ca="1">IF(OR($D136&lt;&gt;"Serviço",AND(AUTOEVENTO="Manual",$M136=$A$15)),0,
         IF(OFFSET(CRONOPLE!$F$15,$M136-$A$15,BW$13)=0,10^12,OFFSET(CRONOPLE!$F$15,$M136-$A$15,BW$13)))</f>
        <v>5</v>
      </c>
      <c r="BX136" s="171">
        <f ca="1">IF(OR($D136&lt;&gt;"Serviço",AND(AUTOEVENTO="Manual",$M136=$A$15)),0,
         IF(OFFSET(CRONOPLE!$F$15,$M136-$A$15,BX$13)=0,10^12,OFFSET(CRONOPLE!$F$15,$M136-$A$15,BX$13)))</f>
        <v>6</v>
      </c>
      <c r="BY136" s="171">
        <f ca="1">IF(OR($D136&lt;&gt;"Serviço",AND(AUTOEVENTO="Manual",$M136=$A$15)),0,
         IF(OFFSET(CRONOPLE!$F$15,$M136-$A$15,BY$13)=0,10^12,OFFSET(CRONOPLE!$F$15,$M136-$A$15,BY$13)))</f>
        <v>7</v>
      </c>
      <c r="BZ136" s="171">
        <f ca="1">IF(OR($D136&lt;&gt;"Serviço",AND(AUTOEVENTO="Manual",$M136=$A$15)),0,
         IF(OFFSET(CRONOPLE!$F$15,$M136-$A$15,BZ$13)=0,10^12,OFFSET(CRONOPLE!$F$15,$M136-$A$15,BZ$13)))</f>
        <v>8</v>
      </c>
      <c r="CA136" s="171">
        <f ca="1">IF(OR($D136&lt;&gt;"Serviço",AND(AUTOEVENTO="Manual",$M136=$A$15)),0,
         IF(OFFSET(CRONOPLE!$F$15,$M136-$A$15,CA$13)=0,10^12,OFFSET(CRONOPLE!$F$15,$M136-$A$15,CA$13)))</f>
        <v>9</v>
      </c>
      <c r="CB136" s="171">
        <f ca="1">IF(OR($D136&lt;&gt;"Serviço",AND(AUTOEVENTO="Manual",$M136=$A$15)),0,
         IF(OFFSET(CRONOPLE!$F$15,$M136-$A$15,CB$13)=0,10^12,OFFSET(CRONOPLE!$F$15,$M136-$A$15,CB$13)))</f>
        <v>10</v>
      </c>
      <c r="CC136" s="171">
        <f ca="1">IF(OR($D136&lt;&gt;"Serviço",AND(AUTOEVENTO="Manual",$M136=$A$15)),0,
         IF(OFFSET(CRONOPLE!$F$15,$M136-$A$15,CC$13)=0,10^12,OFFSET(CRONOPLE!$F$15,$M136-$A$15,CC$13)))</f>
        <v>11</v>
      </c>
      <c r="CD136" s="171">
        <f ca="1">IF(OR($D136&lt;&gt;"Serviço",AND(AUTOEVENTO="Manual",$M136=$A$15)),0,
         IF(OFFSET(CRONOPLE!$F$15,$M136-$A$15,CD$13)=0,10^12,OFFSET(CRONOPLE!$F$15,$M136-$A$15,CD$13)))</f>
        <v>12</v>
      </c>
      <c r="CE136" s="171">
        <f ca="1">IF(OR($D136&lt;&gt;"Serviço",AND(AUTOEVENTO="Manual",$M136=$A$15)),0,
         IF(OFFSET(CRONOPLE!$F$15,$M136-$A$15,CE$13)=0,10^12,OFFSET(CRONOPLE!$F$15,$M136-$A$15,CE$13)))</f>
        <v>13</v>
      </c>
      <c r="CF136" s="171">
        <f ca="1">IF(OR($D136&lt;&gt;"Serviço",AND(AUTOEVENTO="Manual",$M136=$A$15)),0,
         IF(OFFSET(CRONOPLE!$F$15,$M136-$A$15,CF$13)=0,10^12,OFFSET(CRONOPLE!$F$15,$M136-$A$15,CF$13)))</f>
        <v>14</v>
      </c>
      <c r="CG136" s="171">
        <f ca="1">IF(OR($D136&lt;&gt;"Serviço",AND(AUTOEVENTO="Manual",$M136=$A$15)),0,
         IF(OFFSET(CRONOPLE!$F$15,$M136-$A$15,CG$13)=0,10^12,OFFSET(CRONOPLE!$F$15,$M136-$A$15,CG$13)))</f>
        <v>15</v>
      </c>
      <c r="CH136" s="171">
        <f ca="1">IF(OR($D136&lt;&gt;"Serviço",AND(AUTOEVENTO="Manual",$M136=$A$15)),0,
         IF(OFFSET(CRONOPLE!$F$15,$M136-$A$15,CH$13)=0,10^12,OFFSET(CRONOPLE!$F$15,$M136-$A$15,CH$13)))</f>
        <v>16</v>
      </c>
      <c r="CI136" s="171">
        <f ca="1">IF(OR($D136&lt;&gt;"Serviço",AND(AUTOEVENTO="Manual",$M136=$A$15)),0,
         IF(OFFSET(CRONOPLE!$F$15,$M136-$A$15,CI$13)=0,10^12,OFFSET(CRONOPLE!$F$15,$M136-$A$15,CI$13)))</f>
        <v>17</v>
      </c>
      <c r="CJ136" s="171">
        <f ca="1">IF(OR($D136&lt;&gt;"Serviço",AND(AUTOEVENTO="Manual",$M136=$A$15)),0,
         IF(OFFSET(CRONOPLE!$F$15,$M136-$A$15,CJ$13)=0,10^12,OFFSET(CRONOPLE!$F$15,$M136-$A$15,CJ$13)))</f>
        <v>18</v>
      </c>
      <c r="CK136" s="171">
        <f ca="1">IF(OR($D136&lt;&gt;"Serviço",AND(AUTOEVENTO="Manual",$M136=$A$15)),0,
         IF(OFFSET(CRONOPLE!$F$15,$M136-$A$15,CK$13)=0,10^12,OFFSET(CRONOPLE!$F$15,$M136-$A$15,CK$13)))</f>
        <v>19</v>
      </c>
      <c r="CL136" s="171">
        <f ca="1">IF(OR($D136&lt;&gt;"Serviço",AND(AUTOEVENTO="Manual",$M136=$A$15)),0,
         IF(OFFSET(CRONOPLE!$F$15,$M136-$A$15,CL$13)=0,10^12,OFFSET(CRONOPLE!$F$15,$M136-$A$15,CL$13)))</f>
        <v>20</v>
      </c>
      <c r="CM136" s="171">
        <f ca="1">IF(OR($D136&lt;&gt;"Serviço",AND(AUTOEVENTO="Manual",$M136=$A$15)),0,
         IF(OFFSET(CRONOPLE!$F$15,$M136-$A$15,CM$13)=0,10^12,OFFSET(CRONOPLE!$F$15,$M136-$A$15,CM$13)))</f>
        <v>1000000000000</v>
      </c>
      <c r="CN136" s="171">
        <f ca="1">IF(OR($D136&lt;&gt;"Serviço",AND(AUTOEVENTO="Manual",$M136=$A$15)),0,
         IF(OFFSET(CRONOPLE!$F$15,$M136-$A$15,CN$13)=0,10^12,OFFSET(CRONOPLE!$F$15,$M136-$A$15,CN$13)))</f>
        <v>1000000000000</v>
      </c>
      <c r="CO136" s="171">
        <f ca="1">IF(OR($D136&lt;&gt;"Serviço",AND(AUTOEVENTO="Manual",$M136=$A$15)),0,
         IF(OFFSET(CRONOPLE!$F$15,$M136-$A$15,CO$13)=0,10^12,OFFSET(CRONOPLE!$F$15,$M136-$A$15,CO$13)))</f>
        <v>1000000000000</v>
      </c>
      <c r="CP136" s="171">
        <f ca="1">IF(OR($D136&lt;&gt;"Serviço",AND(AUTOEVENTO="Manual",$M136=$A$15)),0,
         IF(OFFSET(CRONOPLE!$F$15,$M136-$A$15,CP$13)=0,10^12,OFFSET(CRONOPLE!$F$15,$M136-$A$15,CP$13)))</f>
        <v>1000000000000</v>
      </c>
      <c r="CQ136" s="171">
        <f ca="1">IF(OR($D136&lt;&gt;"Serviço",AND(AUTOEVENTO="Manual",$M136=$A$15)),0,
         IF(OFFSET(CRONOPLE!$F$15,$M136-$A$15,CQ$13)=0,10^12,OFFSET(CRONOPLE!$F$15,$M136-$A$15,CQ$13)))</f>
        <v>1000000000000</v>
      </c>
      <c r="CR136" s="171">
        <f ca="1">IF(OR($D136&lt;&gt;"Serviço",AND(AUTOEVENTO="Manual",$M136=$A$15)),0,
         IF(OFFSET(CRONOPLE!$F$15,$M136-$A$15,CR$13)=0,10^12,OFFSET(CRONOPLE!$F$15,$M136-$A$15,CR$13)))</f>
        <v>1000000000000</v>
      </c>
      <c r="CT136" s="172" cm="1">
        <f t="array" aca="1" ref="CT136" ca="1">IF(OR($D136&lt;&gt;"Serviço",AND(AUTOEVENTO="Manual",$M136=$A$15),$M136&gt;(ROW(PLE.lastrow)-ROW(PLE.firstrow))),0,
           IF(OFFSET(PLE!$G$15,$M136-$A$15,CT$13)="",10^12,OFFSET(PLE!$G$15,$M136-$A$15,CT$13)))</f>
        <v>1000000000000</v>
      </c>
      <c r="CU136" s="172" cm="1">
        <f t="array" aca="1" ref="CU136" ca="1">IF(OR($D136&lt;&gt;"Serviço",AND(AUTOEVENTO="Manual",$M136=$A$15),$M136&gt;(ROW(PLE.lastrow)-ROW(PLE.firstrow))),0,
           IF(OFFSET(PLE!$G$15,$M136-$A$15,CU$13)="",10^12,OFFSET(PLE!$G$15,$M136-$A$15,CU$13)))</f>
        <v>1000000000000</v>
      </c>
      <c r="CV136" s="172" cm="1">
        <f t="array" aca="1" ref="CV136" ca="1">IF(OR($D136&lt;&gt;"Serviço",AND(AUTOEVENTO="Manual",$M136=$A$15),$M136&gt;(ROW(PLE.lastrow)-ROW(PLE.firstrow))),0,
           IF(OFFSET(PLE!$G$15,$M136-$A$15,CV$13)="",10^12,OFFSET(PLE!$G$15,$M136-$A$15,CV$13)))</f>
        <v>1000000000000</v>
      </c>
      <c r="CW136" s="172" cm="1">
        <f t="array" aca="1" ref="CW136" ca="1">IF(OR($D136&lt;&gt;"Serviço",AND(AUTOEVENTO="Manual",$M136=$A$15),$M136&gt;(ROW(PLE.lastrow)-ROW(PLE.firstrow))),0,
           IF(OFFSET(PLE!$G$15,$M136-$A$15,CW$13)="",10^12,OFFSET(PLE!$G$15,$M136-$A$15,CW$13)))</f>
        <v>1000000000000</v>
      </c>
      <c r="CX136" s="172" cm="1">
        <f t="array" aca="1" ref="CX136" ca="1">IF(OR($D136&lt;&gt;"Serviço",AND(AUTOEVENTO="Manual",$M136=$A$15),$M136&gt;(ROW(PLE.lastrow)-ROW(PLE.firstrow))),0,
           IF(OFFSET(PLE!$G$15,$M136-$A$15,CX$13)="",10^12,OFFSET(PLE!$G$15,$M136-$A$15,CX$13)))</f>
        <v>1000000000000</v>
      </c>
      <c r="CY136" s="172" cm="1">
        <f t="array" aca="1" ref="CY136" ca="1">IF(OR($D136&lt;&gt;"Serviço",AND(AUTOEVENTO="Manual",$M136=$A$15),$M136&gt;(ROW(PLE.lastrow)-ROW(PLE.firstrow))),0,
           IF(OFFSET(PLE!$G$15,$M136-$A$15,CY$13)="",10^12,OFFSET(PLE!$G$15,$M136-$A$15,CY$13)))</f>
        <v>1000000000000</v>
      </c>
      <c r="CZ136" s="172" cm="1">
        <f t="array" aca="1" ref="CZ136" ca="1">IF(OR($D136&lt;&gt;"Serviço",AND(AUTOEVENTO="Manual",$M136=$A$15),$M136&gt;(ROW(PLE.lastrow)-ROW(PLE.firstrow))),0,
           IF(OFFSET(PLE!$G$15,$M136-$A$15,CZ$13)="",10^12,OFFSET(PLE!$G$15,$M136-$A$15,CZ$13)))</f>
        <v>1000000000000</v>
      </c>
      <c r="DA136" s="172" cm="1">
        <f t="array" aca="1" ref="DA136" ca="1">IF(OR($D136&lt;&gt;"Serviço",AND(AUTOEVENTO="Manual",$M136=$A$15),$M136&gt;(ROW(PLE.lastrow)-ROW(PLE.firstrow))),0,
           IF(OFFSET(PLE!$G$15,$M136-$A$15,DA$13)="",10^12,OFFSET(PLE!$G$15,$M136-$A$15,DA$13)))</f>
        <v>1000000000000</v>
      </c>
      <c r="DB136" s="172" cm="1">
        <f t="array" aca="1" ref="DB136" ca="1">IF(OR($D136&lt;&gt;"Serviço",AND(AUTOEVENTO="Manual",$M136=$A$15),$M136&gt;(ROW(PLE.lastrow)-ROW(PLE.firstrow))),0,
           IF(OFFSET(PLE!$G$15,$M136-$A$15,DB$13)="",10^12,OFFSET(PLE!$G$15,$M136-$A$15,DB$13)))</f>
        <v>1000000000000</v>
      </c>
      <c r="DC136" s="172" cm="1">
        <f t="array" aca="1" ref="DC136" ca="1">IF(OR($D136&lt;&gt;"Serviço",AND(AUTOEVENTO="Manual",$M136=$A$15),$M136&gt;(ROW(PLE.lastrow)-ROW(PLE.firstrow))),0,
           IF(OFFSET(PLE!$G$15,$M136-$A$15,DC$13)="",10^12,OFFSET(PLE!$G$15,$M136-$A$15,DC$13)))</f>
        <v>1000000000000</v>
      </c>
      <c r="DD136" s="172" cm="1">
        <f t="array" aca="1" ref="DD136" ca="1">IF(OR($D136&lt;&gt;"Serviço",AND(AUTOEVENTO="Manual",$M136=$A$15),$M136&gt;(ROW(PLE.lastrow)-ROW(PLE.firstrow))),0,
           IF(OFFSET(PLE!$G$15,$M136-$A$15,DD$13)="",10^12,OFFSET(PLE!$G$15,$M136-$A$15,DD$13)))</f>
        <v>1000000000000</v>
      </c>
      <c r="DE136" s="172" cm="1">
        <f t="array" aca="1" ref="DE136" ca="1">IF(OR($D136&lt;&gt;"Serviço",AND(AUTOEVENTO="Manual",$M136=$A$15),$M136&gt;(ROW(PLE.lastrow)-ROW(PLE.firstrow))),0,
           IF(OFFSET(PLE!$G$15,$M136-$A$15,DE$13)="",10^12,OFFSET(PLE!$G$15,$M136-$A$15,DE$13)))</f>
        <v>1000000000000</v>
      </c>
      <c r="DF136" s="172" cm="1">
        <f t="array" aca="1" ref="DF136" ca="1">IF(OR($D136&lt;&gt;"Serviço",AND(AUTOEVENTO="Manual",$M136=$A$15),$M136&gt;(ROW(PLE.lastrow)-ROW(PLE.firstrow))),0,
           IF(OFFSET(PLE!$G$15,$M136-$A$15,DF$13)="",10^12,OFFSET(PLE!$G$15,$M136-$A$15,DF$13)))</f>
        <v>1000000000000</v>
      </c>
      <c r="DG136" s="172" cm="1">
        <f t="array" aca="1" ref="DG136" ca="1">IF(OR($D136&lt;&gt;"Serviço",AND(AUTOEVENTO="Manual",$M136=$A$15),$M136&gt;(ROW(PLE.lastrow)-ROW(PLE.firstrow))),0,
           IF(OFFSET(PLE!$G$15,$M136-$A$15,DG$13)="",10^12,OFFSET(PLE!$G$15,$M136-$A$15,DG$13)))</f>
        <v>1000000000000</v>
      </c>
      <c r="DH136" s="172" cm="1">
        <f t="array" aca="1" ref="DH136" ca="1">IF(OR($D136&lt;&gt;"Serviço",AND(AUTOEVENTO="Manual",$M136=$A$15),$M136&gt;(ROW(PLE.lastrow)-ROW(PLE.firstrow))),0,
           IF(OFFSET(PLE!$G$15,$M136-$A$15,DH$13)="",10^12,OFFSET(PLE!$G$15,$M136-$A$15,DH$13)))</f>
        <v>1000000000000</v>
      </c>
      <c r="DI136" s="172" cm="1">
        <f t="array" aca="1" ref="DI136" ca="1">IF(OR($D136&lt;&gt;"Serviço",AND(AUTOEVENTO="Manual",$M136=$A$15),$M136&gt;(ROW(PLE.lastrow)-ROW(PLE.firstrow))),0,
           IF(OFFSET(PLE!$G$15,$M136-$A$15,DI$13)="",10^12,OFFSET(PLE!$G$15,$M136-$A$15,DI$13)))</f>
        <v>1000000000000</v>
      </c>
      <c r="DJ136" s="172" cm="1">
        <f t="array" aca="1" ref="DJ136" ca="1">IF(OR($D136&lt;&gt;"Serviço",AND(AUTOEVENTO="Manual",$M136=$A$15),$M136&gt;(ROW(PLE.lastrow)-ROW(PLE.firstrow))),0,
           IF(OFFSET(PLE!$G$15,$M136-$A$15,DJ$13)="",10^12,OFFSET(PLE!$G$15,$M136-$A$15,DJ$13)))</f>
        <v>1000000000000</v>
      </c>
      <c r="DK136" s="172" cm="1">
        <f t="array" aca="1" ref="DK136" ca="1">IF(OR($D136&lt;&gt;"Serviço",AND(AUTOEVENTO="Manual",$M136=$A$15),$M136&gt;(ROW(PLE.lastrow)-ROW(PLE.firstrow))),0,
           IF(OFFSET(PLE!$G$15,$M136-$A$15,DK$13)="",10^12,OFFSET(PLE!$G$15,$M136-$A$15,DK$13)))</f>
        <v>1000000000000</v>
      </c>
      <c r="DL136" s="172" cm="1">
        <f t="array" aca="1" ref="DL136" ca="1">IF(OR($D136&lt;&gt;"Serviço",AND(AUTOEVENTO="Manual",$M136=$A$15),$M136&gt;(ROW(PLE.lastrow)-ROW(PLE.firstrow))),0,
           IF(OFFSET(PLE!$G$15,$M136-$A$15,DL$13)="",10^12,OFFSET(PLE!$G$15,$M136-$A$15,DL$13)))</f>
        <v>1000000000000</v>
      </c>
      <c r="DM136" s="172" cm="1">
        <f t="array" aca="1" ref="DM136" ca="1">IF(OR($D136&lt;&gt;"Serviço",AND(AUTOEVENTO="Manual",$M136=$A$15),$M136&gt;(ROW(PLE.lastrow)-ROW(PLE.firstrow))),0,
           IF(OFFSET(PLE!$G$15,$M136-$A$15,DM$13)="",10^12,OFFSET(PLE!$G$15,$M136-$A$15,DM$13)))</f>
        <v>1000000000000</v>
      </c>
      <c r="DN136" s="172" cm="1">
        <f t="array" aca="1" ref="DN136" ca="1">IF(OR($D136&lt;&gt;"Serviço",AND(AUTOEVENTO="Manual",$M136=$A$15),$M136&gt;(ROW(PLE.lastrow)-ROW(PLE.firstrow))),0,
           IF(OFFSET(PLE!$G$15,$M136-$A$15,DN$13)="",10^12,OFFSET(PLE!$G$15,$M136-$A$15,DN$13)))</f>
        <v>1000000000000</v>
      </c>
      <c r="DO136" s="172" cm="1">
        <f t="array" aca="1" ref="DO136" ca="1">IF(OR($D136&lt;&gt;"Serviço",AND(AUTOEVENTO="Manual",$M136=$A$15),$M136&gt;(ROW(PLE.lastrow)-ROW(PLE.firstrow))),0,
           IF(OFFSET(PLE!$G$15,$M136-$A$15,DO$13)="",10^12,OFFSET(PLE!$G$15,$M136-$A$15,DO$13)))</f>
        <v>1000000000000</v>
      </c>
      <c r="DP136" s="172" cm="1">
        <f t="array" aca="1" ref="DP136" ca="1">IF(OR($D136&lt;&gt;"Serviço",AND(AUTOEVENTO="Manual",$M136=$A$15),$M136&gt;(ROW(PLE.lastrow)-ROW(PLE.firstrow))),0,
           IF(OFFSET(PLE!$G$15,$M136-$A$15,DP$13)="",10^12,OFFSET(PLE!$G$15,$M136-$A$15,DP$13)))</f>
        <v>1000000000000</v>
      </c>
      <c r="DQ136" s="172" cm="1">
        <f t="array" aca="1" ref="DQ136" ca="1">IF(OR($D136&lt;&gt;"Serviço",AND(AUTOEVENTO="Manual",$M136=$A$15),$M136&gt;(ROW(PLE.lastrow)-ROW(PLE.firstrow))),0,
           IF(OFFSET(PLE!$G$15,$M136-$A$15,DQ$13)="",10^12,OFFSET(PLE!$G$15,$M136-$A$15,DQ$13)))</f>
        <v>1000000000000</v>
      </c>
      <c r="DR136" s="172" cm="1">
        <f t="array" aca="1" ref="DR136" ca="1">IF(OR($D136&lt;&gt;"Serviço",AND(AUTOEVENTO="Manual",$M136=$A$15),$M136&gt;(ROW(PLE.lastrow)-ROW(PLE.firstrow))),0,
           IF(OFFSET(PLE!$G$15,$M136-$A$15,DR$13)="",10^12,OFFSET(PLE!$G$15,$M136-$A$15,DR$13)))</f>
        <v>1000000000000</v>
      </c>
      <c r="DS136" s="172" cm="1">
        <f t="array" aca="1" ref="DS136" ca="1">IF(OR($D136&lt;&gt;"Serviço",AND(AUTOEVENTO="Manual",$M136=$A$15),$M136&gt;(ROW(PLE.lastrow)-ROW(PLE.firstrow))),0,
           IF(OFFSET(PLE!$G$15,$M136-$A$15,DS$13)="",10^12,OFFSET(PLE!$G$15,$M136-$A$15,DS$13)))</f>
        <v>1000000000000</v>
      </c>
    </row>
    <row r="137" spans="1:123" ht="25.5" x14ac:dyDescent="0.2">
      <c r="A137" s="7">
        <f t="shared" ca="1" si="15"/>
        <v>9</v>
      </c>
      <c r="B137" s="7" t="str">
        <f ca="1">OFFSET(ORÇAMENTO!C$15,$L137,0)</f>
        <v>S</v>
      </c>
      <c r="C137" s="7" t="str">
        <f ca="1">OFFSET(ORÇAMENTO!L$15,$L137,0)</f>
        <v/>
      </c>
      <c r="D137" s="116" t="str">
        <f ca="1">OFFSET(ORÇAMENTO!N$15,$L137,0)</f>
        <v>Serviço</v>
      </c>
      <c r="E137" s="117" t="str">
        <f ca="1">OFFSET(ORÇAMENTO!O$15,$L137,0)</f>
        <v>-</v>
      </c>
      <c r="F137" s="163" t="str">
        <f ca="1">OFFSET(ORÇAMENTO!R$15,$L137,0)</f>
        <v>(Código não identificado nas referências)</v>
      </c>
      <c r="G137" s="164" t="str">
        <f ca="1">IF($D137&lt;&gt;"Serviço","",OFFSET(ORÇAMENTO!S$15,$L137,0))</f>
        <v>-</v>
      </c>
      <c r="H137" s="122" cm="1">
        <f t="array" aca="1" ref="H137" ca="1">IF($D137&lt;&gt;"Serviço",0,IF(ACOMPANHAMENTO="BM",ROUND(OFFSET(ORÇAMENTO!AJ$15,$L137,0),15-13*ORÇAMENTO!$AF$7),IF(IFERROR(CÁLCULO.FrentesPreenchidas,0)=0,0,SUM(ROUND(OFFSET($P137,0,1,1,CÁLCULO.FrentesPreenchidas),15-13*ORÇAMENTO!$AF$7)))))</f>
        <v>20</v>
      </c>
      <c r="I137" s="468" t="s">
        <v>1235</v>
      </c>
      <c r="J137" s="651" t="str" cm="1">
        <f t="array" aca="1" ref="J137" ca="1">IF(OR(B137&lt;&gt;"S",CÁLCULO.FrentesPreenchidas=0),"",IF(AND(ACOMPANHAMENTO="PLE",AUTOEVENTO="Manual",OR(H137&gt;0,ORÇAMENTO!AC137="QUANT."),OR(K137="",M137=0,N137="")),"►E",IF(AND(ACOMPANHAMENTO="PLE",ORÇAMENTO!AC137="QUANT."),"►Q",IF(AND(ACOMPANHAMENTO="PLE",H137&lt;&gt;SUMPRODUCT(($Q$1:$AQ$1=1)*ROUND(Q137:AQ137,15))),"►S",IF(AND(COUNTIF($P$11:$AQ$11,"▼")=0,H137&gt;0,I137=""),"◄M","")))))</f>
        <v/>
      </c>
      <c r="K137" s="652" t="s">
        <v>1257</v>
      </c>
      <c r="L137" s="165">
        <f t="shared" ca="1" si="14"/>
        <v>122</v>
      </c>
      <c r="M137" s="166">
        <f ca="1">IF($D137&lt;&gt;"Serviço","",
          IF(AUTOEVENTO="manual",$A137,
                IF(ISERROR(MATCH($A137,$A$15:OFFSET($A137,-1,0),0)),MAX($M$15:OFFSET(M137,-1,0))+1,
                      INDEX($M$15:OFFSET(M137,-1,0),MATCH($A137,$A$15:OFFSET($A137,-1,0),0)))))</f>
        <v>9</v>
      </c>
      <c r="N137" s="167" t="str">
        <f ca="1">IF($D137&lt;&gt;"Serviço","",
         IF(AUTOEVENTO="Manual",
                IF($A137=0,"&lt;-- defina o número do agrupador",
                       OFFSET(EVENTOS!$D$15,$A137-$A$15,0)),
                OFFSET($F$15,$A137,0)))</f>
        <v>INSTALAÇÕES</v>
      </c>
      <c r="O137" s="168"/>
      <c r="Q137" s="168">
        <v>1</v>
      </c>
      <c r="R137" s="169">
        <v>1</v>
      </c>
      <c r="S137" s="169">
        <v>1</v>
      </c>
      <c r="T137" s="169">
        <v>1</v>
      </c>
      <c r="U137" s="169">
        <v>1</v>
      </c>
      <c r="V137" s="169">
        <v>1</v>
      </c>
      <c r="W137" s="169">
        <v>1</v>
      </c>
      <c r="X137" s="169">
        <v>1</v>
      </c>
      <c r="Y137" s="169">
        <v>1</v>
      </c>
      <c r="Z137" s="170">
        <v>1</v>
      </c>
      <c r="AA137" s="169">
        <v>1</v>
      </c>
      <c r="AB137" s="169">
        <v>1</v>
      </c>
      <c r="AC137" s="169">
        <v>1</v>
      </c>
      <c r="AD137" s="169">
        <v>1</v>
      </c>
      <c r="AE137" s="169">
        <v>1</v>
      </c>
      <c r="AF137" s="169">
        <v>1</v>
      </c>
      <c r="AG137" s="169">
        <v>1</v>
      </c>
      <c r="AH137" s="170">
        <v>1</v>
      </c>
      <c r="AI137" s="169">
        <v>1</v>
      </c>
      <c r="AJ137" s="169">
        <v>1</v>
      </c>
      <c r="AK137" s="169"/>
      <c r="AL137" s="169"/>
      <c r="AM137" s="169"/>
      <c r="AN137" s="169"/>
      <c r="AO137" s="169"/>
      <c r="AP137" s="170"/>
      <c r="AR137" s="453">
        <f ca="1">IF(AND($D137="Serviço",AR$12&lt;&gt;0,$H137&gt;0,OR(AUTOEVENTO&lt;&gt;"manual",$M137&lt;&gt;$A$15)),
        IF(Import.TipoArredondamento&lt;&gt;"TransfereGOV",
              ROUND(OFFSET($P137,0,AR$13),15-13*ORÇAMENTO!$AF$7)/$H137*OFFSET(ORÇAMENTO!$X$15,ROW(AR137)-ROW(AR$15),0),
              ROUND(ROUND(OFFSET($P137,0,AR$13),15-13*ORÇAMENTO!$AF$7)*OFFSET(ORÇAMENTO!$W$15,ROW(AR137)-ROW(AR$15),0),15-13*ORÇAMENTO!$AF$11)),
         0)</f>
        <v>0</v>
      </c>
      <c r="AS137" s="453">
        <f ca="1">IF(AND($D137="Serviço",AS$12&lt;&gt;0,$H137&gt;0,OR(AUTOEVENTO&lt;&gt;"manual",$M137&lt;&gt;$A$15)),
        IF(Import.TipoArredondamento&lt;&gt;"TransfereGOV",
              ROUND(OFFSET($P137,0,AS$13),15-13*ORÇAMENTO!$AF$7)/$H137*OFFSET(ORÇAMENTO!$X$15,ROW(AS137)-ROW(AS$15),0),
              ROUND(ROUND(OFFSET($P137,0,AS$13),15-13*ORÇAMENTO!$AF$7)*OFFSET(ORÇAMENTO!$W$15,ROW(AS137)-ROW(AS$15),0),15-13*ORÇAMENTO!$AF$11)),
         0)</f>
        <v>0</v>
      </c>
      <c r="AT137" s="453">
        <f ca="1">IF(AND($D137="Serviço",AT$12&lt;&gt;0,$H137&gt;0,OR(AUTOEVENTO&lt;&gt;"manual",$M137&lt;&gt;$A$15)),
        IF(Import.TipoArredondamento&lt;&gt;"TransfereGOV",
              ROUND(OFFSET($P137,0,AT$13),15-13*ORÇAMENTO!$AF$7)/$H137*OFFSET(ORÇAMENTO!$X$15,ROW(AT137)-ROW(AT$15),0),
              ROUND(ROUND(OFFSET($P137,0,AT$13),15-13*ORÇAMENTO!$AF$7)*OFFSET(ORÇAMENTO!$W$15,ROW(AT137)-ROW(AT$15),0),15-13*ORÇAMENTO!$AF$11)),
         0)</f>
        <v>0</v>
      </c>
      <c r="AU137" s="453">
        <f ca="1">IF(AND($D137="Serviço",AU$12&lt;&gt;0,$H137&gt;0,OR(AUTOEVENTO&lt;&gt;"manual",$M137&lt;&gt;$A$15)),
        IF(Import.TipoArredondamento&lt;&gt;"TransfereGOV",
              ROUND(OFFSET($P137,0,AU$13),15-13*ORÇAMENTO!$AF$7)/$H137*OFFSET(ORÇAMENTO!$X$15,ROW(AU137)-ROW(AU$15),0),
              ROUND(ROUND(OFFSET($P137,0,AU$13),15-13*ORÇAMENTO!$AF$7)*OFFSET(ORÇAMENTO!$W$15,ROW(AU137)-ROW(AU$15),0),15-13*ORÇAMENTO!$AF$11)),
         0)</f>
        <v>0</v>
      </c>
      <c r="AV137" s="453">
        <f ca="1">IF(AND($D137="Serviço",AV$12&lt;&gt;0,$H137&gt;0,OR(AUTOEVENTO&lt;&gt;"manual",$M137&lt;&gt;$A$15)),
        IF(Import.TipoArredondamento&lt;&gt;"TransfereGOV",
              ROUND(OFFSET($P137,0,AV$13),15-13*ORÇAMENTO!$AF$7)/$H137*OFFSET(ORÇAMENTO!$X$15,ROW(AV137)-ROW(AV$15),0),
              ROUND(ROUND(OFFSET($P137,0,AV$13),15-13*ORÇAMENTO!$AF$7)*OFFSET(ORÇAMENTO!$W$15,ROW(AV137)-ROW(AV$15),0),15-13*ORÇAMENTO!$AF$11)),
         0)</f>
        <v>0</v>
      </c>
      <c r="AW137" s="453">
        <f ca="1">IF(AND($D137="Serviço",AW$12&lt;&gt;0,$H137&gt;0,OR(AUTOEVENTO&lt;&gt;"manual",$M137&lt;&gt;$A$15)),
        IF(Import.TipoArredondamento&lt;&gt;"TransfereGOV",
              ROUND(OFFSET($P137,0,AW$13),15-13*ORÇAMENTO!$AF$7)/$H137*OFFSET(ORÇAMENTO!$X$15,ROW(AW137)-ROW(AW$15),0),
              ROUND(ROUND(OFFSET($P137,0,AW$13),15-13*ORÇAMENTO!$AF$7)*OFFSET(ORÇAMENTO!$W$15,ROW(AW137)-ROW(AW$15),0),15-13*ORÇAMENTO!$AF$11)),
         0)</f>
        <v>0</v>
      </c>
      <c r="AX137" s="453">
        <f ca="1">IF(AND($D137="Serviço",AX$12&lt;&gt;0,$H137&gt;0,OR(AUTOEVENTO&lt;&gt;"manual",$M137&lt;&gt;$A$15)),
        IF(Import.TipoArredondamento&lt;&gt;"TransfereGOV",
              ROUND(OFFSET($P137,0,AX$13),15-13*ORÇAMENTO!$AF$7)/$H137*OFFSET(ORÇAMENTO!$X$15,ROW(AX137)-ROW(AX$15),0),
              ROUND(ROUND(OFFSET($P137,0,AX$13),15-13*ORÇAMENTO!$AF$7)*OFFSET(ORÇAMENTO!$W$15,ROW(AX137)-ROW(AX$15),0),15-13*ORÇAMENTO!$AF$11)),
         0)</f>
        <v>0</v>
      </c>
      <c r="AY137" s="453">
        <f ca="1">IF(AND($D137="Serviço",AY$12&lt;&gt;0,$H137&gt;0,OR(AUTOEVENTO&lt;&gt;"manual",$M137&lt;&gt;$A$15)),
        IF(Import.TipoArredondamento&lt;&gt;"TransfereGOV",
              ROUND(OFFSET($P137,0,AY$13),15-13*ORÇAMENTO!$AF$7)/$H137*OFFSET(ORÇAMENTO!$X$15,ROW(AY137)-ROW(AY$15),0),
              ROUND(ROUND(OFFSET($P137,0,AY$13),15-13*ORÇAMENTO!$AF$7)*OFFSET(ORÇAMENTO!$W$15,ROW(AY137)-ROW(AY$15),0),15-13*ORÇAMENTO!$AF$11)),
         0)</f>
        <v>0</v>
      </c>
      <c r="AZ137" s="453">
        <f ca="1">IF(AND($D137="Serviço",AZ$12&lt;&gt;0,$H137&gt;0,OR(AUTOEVENTO&lt;&gt;"manual",$M137&lt;&gt;$A$15)),
        IF(Import.TipoArredondamento&lt;&gt;"TransfereGOV",
              ROUND(OFFSET($P137,0,AZ$13),15-13*ORÇAMENTO!$AF$7)/$H137*OFFSET(ORÇAMENTO!$X$15,ROW(AZ137)-ROW(AZ$15),0),
              ROUND(ROUND(OFFSET($P137,0,AZ$13),15-13*ORÇAMENTO!$AF$7)*OFFSET(ORÇAMENTO!$W$15,ROW(AZ137)-ROW(AZ$15),0),15-13*ORÇAMENTO!$AF$11)),
         0)</f>
        <v>0</v>
      </c>
      <c r="BA137" s="453">
        <f ca="1">IF(AND($D137="Serviço",BA$12&lt;&gt;0,$H137&gt;0,OR(AUTOEVENTO&lt;&gt;"manual",$M137&lt;&gt;$A$15)),
        IF(Import.TipoArredondamento&lt;&gt;"TransfereGOV",
              ROUND(OFFSET($P137,0,BA$13),15-13*ORÇAMENTO!$AF$7)/$H137*OFFSET(ORÇAMENTO!$X$15,ROW(BA137)-ROW(BA$15),0),
              ROUND(ROUND(OFFSET($P137,0,BA$13),15-13*ORÇAMENTO!$AF$7)*OFFSET(ORÇAMENTO!$W$15,ROW(BA137)-ROW(BA$15),0),15-13*ORÇAMENTO!$AF$11)),
         0)</f>
        <v>0</v>
      </c>
      <c r="BB137" s="453">
        <f ca="1">IF(AND($D137="Serviço",BB$12&lt;&gt;0,$H137&gt;0,OR(AUTOEVENTO&lt;&gt;"manual",$M137&lt;&gt;$A$15)),
        IF(Import.TipoArredondamento&lt;&gt;"TransfereGOV",
              ROUND(OFFSET($P137,0,BB$13),15-13*ORÇAMENTO!$AF$7)/$H137*OFFSET(ORÇAMENTO!$X$15,ROW(BB137)-ROW(BB$15),0),
              ROUND(ROUND(OFFSET($P137,0,BB$13),15-13*ORÇAMENTO!$AF$7)*OFFSET(ORÇAMENTO!$W$15,ROW(BB137)-ROW(BB$15),0),15-13*ORÇAMENTO!$AF$11)),
         0)</f>
        <v>0</v>
      </c>
      <c r="BC137" s="453">
        <f ca="1">IF(AND($D137="Serviço",BC$12&lt;&gt;0,$H137&gt;0,OR(AUTOEVENTO&lt;&gt;"manual",$M137&lt;&gt;$A$15)),
        IF(Import.TipoArredondamento&lt;&gt;"TransfereGOV",
              ROUND(OFFSET($P137,0,BC$13),15-13*ORÇAMENTO!$AF$7)/$H137*OFFSET(ORÇAMENTO!$X$15,ROW(BC137)-ROW(BC$15),0),
              ROUND(ROUND(OFFSET($P137,0,BC$13),15-13*ORÇAMENTO!$AF$7)*OFFSET(ORÇAMENTO!$W$15,ROW(BC137)-ROW(BC$15),0),15-13*ORÇAMENTO!$AF$11)),
         0)</f>
        <v>0</v>
      </c>
      <c r="BD137" s="453">
        <f ca="1">IF(AND($D137="Serviço",BD$12&lt;&gt;0,$H137&gt;0,OR(AUTOEVENTO&lt;&gt;"manual",$M137&lt;&gt;$A$15)),
        IF(Import.TipoArredondamento&lt;&gt;"TransfereGOV",
              ROUND(OFFSET($P137,0,BD$13),15-13*ORÇAMENTO!$AF$7)/$H137*OFFSET(ORÇAMENTO!$X$15,ROW(BD137)-ROW(BD$15),0),
              ROUND(ROUND(OFFSET($P137,0,BD$13),15-13*ORÇAMENTO!$AF$7)*OFFSET(ORÇAMENTO!$W$15,ROW(BD137)-ROW(BD$15),0),15-13*ORÇAMENTO!$AF$11)),
         0)</f>
        <v>0</v>
      </c>
      <c r="BE137" s="453">
        <f ca="1">IF(AND($D137="Serviço",BE$12&lt;&gt;0,$H137&gt;0,OR(AUTOEVENTO&lt;&gt;"manual",$M137&lt;&gt;$A$15)),
        IF(Import.TipoArredondamento&lt;&gt;"TransfereGOV",
              ROUND(OFFSET($P137,0,BE$13),15-13*ORÇAMENTO!$AF$7)/$H137*OFFSET(ORÇAMENTO!$X$15,ROW(BE137)-ROW(BE$15),0),
              ROUND(ROUND(OFFSET($P137,0,BE$13),15-13*ORÇAMENTO!$AF$7)*OFFSET(ORÇAMENTO!$W$15,ROW(BE137)-ROW(BE$15),0),15-13*ORÇAMENTO!$AF$11)),
         0)</f>
        <v>0</v>
      </c>
      <c r="BF137" s="453">
        <f ca="1">IF(AND($D137="Serviço",BF$12&lt;&gt;0,$H137&gt;0,OR(AUTOEVENTO&lt;&gt;"manual",$M137&lt;&gt;$A$15)),
        IF(Import.TipoArredondamento&lt;&gt;"TransfereGOV",
              ROUND(OFFSET($P137,0,BF$13),15-13*ORÇAMENTO!$AF$7)/$H137*OFFSET(ORÇAMENTO!$X$15,ROW(BF137)-ROW(BF$15),0),
              ROUND(ROUND(OFFSET($P137,0,BF$13),15-13*ORÇAMENTO!$AF$7)*OFFSET(ORÇAMENTO!$W$15,ROW(BF137)-ROW(BF$15),0),15-13*ORÇAMENTO!$AF$11)),
         0)</f>
        <v>0</v>
      </c>
      <c r="BG137" s="453">
        <f ca="1">IF(AND($D137="Serviço",BG$12&lt;&gt;0,$H137&gt;0,OR(AUTOEVENTO&lt;&gt;"manual",$M137&lt;&gt;$A$15)),
        IF(Import.TipoArredondamento&lt;&gt;"TransfereGOV",
              ROUND(OFFSET($P137,0,BG$13),15-13*ORÇAMENTO!$AF$7)/$H137*OFFSET(ORÇAMENTO!$X$15,ROW(BG137)-ROW(BG$15),0),
              ROUND(ROUND(OFFSET($P137,0,BG$13),15-13*ORÇAMENTO!$AF$7)*OFFSET(ORÇAMENTO!$W$15,ROW(BG137)-ROW(BG$15),0),15-13*ORÇAMENTO!$AF$11)),
         0)</f>
        <v>0</v>
      </c>
      <c r="BH137" s="453">
        <f ca="1">IF(AND($D137="Serviço",BH$12&lt;&gt;0,$H137&gt;0,OR(AUTOEVENTO&lt;&gt;"manual",$M137&lt;&gt;$A$15)),
        IF(Import.TipoArredondamento&lt;&gt;"TransfereGOV",
              ROUND(OFFSET($P137,0,BH$13),15-13*ORÇAMENTO!$AF$7)/$H137*OFFSET(ORÇAMENTO!$X$15,ROW(BH137)-ROW(BH$15),0),
              ROUND(ROUND(OFFSET($P137,0,BH$13),15-13*ORÇAMENTO!$AF$7)*OFFSET(ORÇAMENTO!$W$15,ROW(BH137)-ROW(BH$15),0),15-13*ORÇAMENTO!$AF$11)),
         0)</f>
        <v>0</v>
      </c>
      <c r="BI137" s="453">
        <f ca="1">IF(AND($D137="Serviço",BI$12&lt;&gt;0,$H137&gt;0,OR(AUTOEVENTO&lt;&gt;"manual",$M137&lt;&gt;$A$15)),
        IF(Import.TipoArredondamento&lt;&gt;"TransfereGOV",
              ROUND(OFFSET($P137,0,BI$13),15-13*ORÇAMENTO!$AF$7)/$H137*OFFSET(ORÇAMENTO!$X$15,ROW(BI137)-ROW(BI$15),0),
              ROUND(ROUND(OFFSET($P137,0,BI$13),15-13*ORÇAMENTO!$AF$7)*OFFSET(ORÇAMENTO!$W$15,ROW(BI137)-ROW(BI$15),0),15-13*ORÇAMENTO!$AF$11)),
         0)</f>
        <v>0</v>
      </c>
      <c r="BJ137" s="453">
        <f ca="1">IF(AND($D137="Serviço",BJ$12&lt;&gt;0,$H137&gt;0,OR(AUTOEVENTO&lt;&gt;"manual",$M137&lt;&gt;$A$15)),
        IF(Import.TipoArredondamento&lt;&gt;"TransfereGOV",
              ROUND(OFFSET($P137,0,BJ$13),15-13*ORÇAMENTO!$AF$7)/$H137*OFFSET(ORÇAMENTO!$X$15,ROW(BJ137)-ROW(BJ$15),0),
              ROUND(ROUND(OFFSET($P137,0,BJ$13),15-13*ORÇAMENTO!$AF$7)*OFFSET(ORÇAMENTO!$W$15,ROW(BJ137)-ROW(BJ$15),0),15-13*ORÇAMENTO!$AF$11)),
         0)</f>
        <v>0</v>
      </c>
      <c r="BK137" s="453">
        <f ca="1">IF(AND($D137="Serviço",BK$12&lt;&gt;0,$H137&gt;0,OR(AUTOEVENTO&lt;&gt;"manual",$M137&lt;&gt;$A$15)),
        IF(Import.TipoArredondamento&lt;&gt;"TransfereGOV",
              ROUND(OFFSET($P137,0,BK$13),15-13*ORÇAMENTO!$AF$7)/$H137*OFFSET(ORÇAMENTO!$X$15,ROW(BK137)-ROW(BK$15),0),
              ROUND(ROUND(OFFSET($P137,0,BK$13),15-13*ORÇAMENTO!$AF$7)*OFFSET(ORÇAMENTO!$W$15,ROW(BK137)-ROW(BK$15),0),15-13*ORÇAMENTO!$AF$11)),
         0)</f>
        <v>0</v>
      </c>
      <c r="BL137" s="453">
        <f ca="1">IF(AND($D137="Serviço",BL$12&lt;&gt;0,$H137&gt;0,OR(AUTOEVENTO&lt;&gt;"manual",$M137&lt;&gt;$A$15)),
        IF(Import.TipoArredondamento&lt;&gt;"TransfereGOV",
              ROUND(OFFSET($P137,0,BL$13),15-13*ORÇAMENTO!$AF$7)/$H137*OFFSET(ORÇAMENTO!$X$15,ROW(BL137)-ROW(BL$15),0),
              ROUND(ROUND(OFFSET($P137,0,BL$13),15-13*ORÇAMENTO!$AF$7)*OFFSET(ORÇAMENTO!$W$15,ROW(BL137)-ROW(BL$15),0),15-13*ORÇAMENTO!$AF$11)),
         0)</f>
        <v>0</v>
      </c>
      <c r="BM137" s="453">
        <f ca="1">IF(AND($D137="Serviço",BM$12&lt;&gt;0,$H137&gt;0,OR(AUTOEVENTO&lt;&gt;"manual",$M137&lt;&gt;$A$15)),
        IF(Import.TipoArredondamento&lt;&gt;"TransfereGOV",
              ROUND(OFFSET($P137,0,BM$13),15-13*ORÇAMENTO!$AF$7)/$H137*OFFSET(ORÇAMENTO!$X$15,ROW(BM137)-ROW(BM$15),0),
              ROUND(ROUND(OFFSET($P137,0,BM$13),15-13*ORÇAMENTO!$AF$7)*OFFSET(ORÇAMENTO!$W$15,ROW(BM137)-ROW(BM$15),0),15-13*ORÇAMENTO!$AF$11)),
         0)</f>
        <v>0</v>
      </c>
      <c r="BN137" s="453">
        <f ca="1">IF(AND($D137="Serviço",BN$12&lt;&gt;0,$H137&gt;0,OR(AUTOEVENTO&lt;&gt;"manual",$M137&lt;&gt;$A$15)),
        IF(Import.TipoArredondamento&lt;&gt;"TransfereGOV",
              ROUND(OFFSET($P137,0,BN$13),15-13*ORÇAMENTO!$AF$7)/$H137*OFFSET(ORÇAMENTO!$X$15,ROW(BN137)-ROW(BN$15),0),
              ROUND(ROUND(OFFSET($P137,0,BN$13),15-13*ORÇAMENTO!$AF$7)*OFFSET(ORÇAMENTO!$W$15,ROW(BN137)-ROW(BN$15),0),15-13*ORÇAMENTO!$AF$11)),
         0)</f>
        <v>0</v>
      </c>
      <c r="BO137" s="453">
        <f ca="1">IF(AND($D137="Serviço",BO$12&lt;&gt;0,$H137&gt;0,OR(AUTOEVENTO&lt;&gt;"manual",$M137&lt;&gt;$A$15)),
        IF(Import.TipoArredondamento&lt;&gt;"TransfereGOV",
              ROUND(OFFSET($P137,0,BO$13),15-13*ORÇAMENTO!$AF$7)/$H137*OFFSET(ORÇAMENTO!$X$15,ROW(BO137)-ROW(BO$15),0),
              ROUND(ROUND(OFFSET($P137,0,BO$13),15-13*ORÇAMENTO!$AF$7)*OFFSET(ORÇAMENTO!$W$15,ROW(BO137)-ROW(BO$15),0),15-13*ORÇAMENTO!$AF$11)),
         0)</f>
        <v>0</v>
      </c>
      <c r="BP137" s="453">
        <f ca="1">IF(AND($D137="Serviço",BP$12&lt;&gt;0,$H137&gt;0,OR(AUTOEVENTO&lt;&gt;"manual",$M137&lt;&gt;$A$15)),
        IF(Import.TipoArredondamento&lt;&gt;"TransfereGOV",
              ROUND(OFFSET($P137,0,BP$13),15-13*ORÇAMENTO!$AF$7)/$H137*OFFSET(ORÇAMENTO!$X$15,ROW(BP137)-ROW(BP$15),0),
              ROUND(ROUND(OFFSET($P137,0,BP$13),15-13*ORÇAMENTO!$AF$7)*OFFSET(ORÇAMENTO!$W$15,ROW(BP137)-ROW(BP$15),0),15-13*ORÇAMENTO!$AF$11)),
         0)</f>
        <v>0</v>
      </c>
      <c r="BQ137" s="453">
        <f ca="1">IF(AND($D137="Serviço",BQ$12&lt;&gt;0,$H137&gt;0,OR(AUTOEVENTO&lt;&gt;"manual",$M137&lt;&gt;$A$15)),
        IF(Import.TipoArredondamento&lt;&gt;"TransfereGOV",
              ROUND(OFFSET($P137,0,BQ$13),15-13*ORÇAMENTO!$AF$7)/$H137*OFFSET(ORÇAMENTO!$X$15,ROW(BQ137)-ROW(BQ$15),0),
              ROUND(ROUND(OFFSET($P137,0,BQ$13),15-13*ORÇAMENTO!$AF$7)*OFFSET(ORÇAMENTO!$W$15,ROW(BQ137)-ROW(BQ$15),0),15-13*ORÇAMENTO!$AF$11)),
         0)</f>
        <v>0</v>
      </c>
      <c r="BS137" s="171">
        <f ca="1">IF(OR($D137&lt;&gt;"Serviço",AND(AUTOEVENTO="Manual",$M137=$A$15)),0,
         IF(OFFSET(CRONOPLE!$F$15,$M137-$A$15,BS$13)=0,10^12,OFFSET(CRONOPLE!$F$15,$M137-$A$15,BS$13)))</f>
        <v>1</v>
      </c>
      <c r="BT137" s="171">
        <f ca="1">IF(OR($D137&lt;&gt;"Serviço",AND(AUTOEVENTO="Manual",$M137=$A$15)),0,
         IF(OFFSET(CRONOPLE!$F$15,$M137-$A$15,BT$13)=0,10^12,OFFSET(CRONOPLE!$F$15,$M137-$A$15,BT$13)))</f>
        <v>2</v>
      </c>
      <c r="BU137" s="171">
        <f ca="1">IF(OR($D137&lt;&gt;"Serviço",AND(AUTOEVENTO="Manual",$M137=$A$15)),0,
         IF(OFFSET(CRONOPLE!$F$15,$M137-$A$15,BU$13)=0,10^12,OFFSET(CRONOPLE!$F$15,$M137-$A$15,BU$13)))</f>
        <v>3</v>
      </c>
      <c r="BV137" s="171">
        <f ca="1">IF(OR($D137&lt;&gt;"Serviço",AND(AUTOEVENTO="Manual",$M137=$A$15)),0,
         IF(OFFSET(CRONOPLE!$F$15,$M137-$A$15,BV$13)=0,10^12,OFFSET(CRONOPLE!$F$15,$M137-$A$15,BV$13)))</f>
        <v>4</v>
      </c>
      <c r="BW137" s="171">
        <f ca="1">IF(OR($D137&lt;&gt;"Serviço",AND(AUTOEVENTO="Manual",$M137=$A$15)),0,
         IF(OFFSET(CRONOPLE!$F$15,$M137-$A$15,BW$13)=0,10^12,OFFSET(CRONOPLE!$F$15,$M137-$A$15,BW$13)))</f>
        <v>5</v>
      </c>
      <c r="BX137" s="171">
        <f ca="1">IF(OR($D137&lt;&gt;"Serviço",AND(AUTOEVENTO="Manual",$M137=$A$15)),0,
         IF(OFFSET(CRONOPLE!$F$15,$M137-$A$15,BX$13)=0,10^12,OFFSET(CRONOPLE!$F$15,$M137-$A$15,BX$13)))</f>
        <v>6</v>
      </c>
      <c r="BY137" s="171">
        <f ca="1">IF(OR($D137&lt;&gt;"Serviço",AND(AUTOEVENTO="Manual",$M137=$A$15)),0,
         IF(OFFSET(CRONOPLE!$F$15,$M137-$A$15,BY$13)=0,10^12,OFFSET(CRONOPLE!$F$15,$M137-$A$15,BY$13)))</f>
        <v>7</v>
      </c>
      <c r="BZ137" s="171">
        <f ca="1">IF(OR($D137&lt;&gt;"Serviço",AND(AUTOEVENTO="Manual",$M137=$A$15)),0,
         IF(OFFSET(CRONOPLE!$F$15,$M137-$A$15,BZ$13)=0,10^12,OFFSET(CRONOPLE!$F$15,$M137-$A$15,BZ$13)))</f>
        <v>8</v>
      </c>
      <c r="CA137" s="171">
        <f ca="1">IF(OR($D137&lt;&gt;"Serviço",AND(AUTOEVENTO="Manual",$M137=$A$15)),0,
         IF(OFFSET(CRONOPLE!$F$15,$M137-$A$15,CA$13)=0,10^12,OFFSET(CRONOPLE!$F$15,$M137-$A$15,CA$13)))</f>
        <v>9</v>
      </c>
      <c r="CB137" s="171">
        <f ca="1">IF(OR($D137&lt;&gt;"Serviço",AND(AUTOEVENTO="Manual",$M137=$A$15)),0,
         IF(OFFSET(CRONOPLE!$F$15,$M137-$A$15,CB$13)=0,10^12,OFFSET(CRONOPLE!$F$15,$M137-$A$15,CB$13)))</f>
        <v>10</v>
      </c>
      <c r="CC137" s="171">
        <f ca="1">IF(OR($D137&lt;&gt;"Serviço",AND(AUTOEVENTO="Manual",$M137=$A$15)),0,
         IF(OFFSET(CRONOPLE!$F$15,$M137-$A$15,CC$13)=0,10^12,OFFSET(CRONOPLE!$F$15,$M137-$A$15,CC$13)))</f>
        <v>11</v>
      </c>
      <c r="CD137" s="171">
        <f ca="1">IF(OR($D137&lt;&gt;"Serviço",AND(AUTOEVENTO="Manual",$M137=$A$15)),0,
         IF(OFFSET(CRONOPLE!$F$15,$M137-$A$15,CD$13)=0,10^12,OFFSET(CRONOPLE!$F$15,$M137-$A$15,CD$13)))</f>
        <v>12</v>
      </c>
      <c r="CE137" s="171">
        <f ca="1">IF(OR($D137&lt;&gt;"Serviço",AND(AUTOEVENTO="Manual",$M137=$A$15)),0,
         IF(OFFSET(CRONOPLE!$F$15,$M137-$A$15,CE$13)=0,10^12,OFFSET(CRONOPLE!$F$15,$M137-$A$15,CE$13)))</f>
        <v>13</v>
      </c>
      <c r="CF137" s="171">
        <f ca="1">IF(OR($D137&lt;&gt;"Serviço",AND(AUTOEVENTO="Manual",$M137=$A$15)),0,
         IF(OFFSET(CRONOPLE!$F$15,$M137-$A$15,CF$13)=0,10^12,OFFSET(CRONOPLE!$F$15,$M137-$A$15,CF$13)))</f>
        <v>14</v>
      </c>
      <c r="CG137" s="171">
        <f ca="1">IF(OR($D137&lt;&gt;"Serviço",AND(AUTOEVENTO="Manual",$M137=$A$15)),0,
         IF(OFFSET(CRONOPLE!$F$15,$M137-$A$15,CG$13)=0,10^12,OFFSET(CRONOPLE!$F$15,$M137-$A$15,CG$13)))</f>
        <v>15</v>
      </c>
      <c r="CH137" s="171">
        <f ca="1">IF(OR($D137&lt;&gt;"Serviço",AND(AUTOEVENTO="Manual",$M137=$A$15)),0,
         IF(OFFSET(CRONOPLE!$F$15,$M137-$A$15,CH$13)=0,10^12,OFFSET(CRONOPLE!$F$15,$M137-$A$15,CH$13)))</f>
        <v>16</v>
      </c>
      <c r="CI137" s="171">
        <f ca="1">IF(OR($D137&lt;&gt;"Serviço",AND(AUTOEVENTO="Manual",$M137=$A$15)),0,
         IF(OFFSET(CRONOPLE!$F$15,$M137-$A$15,CI$13)=0,10^12,OFFSET(CRONOPLE!$F$15,$M137-$A$15,CI$13)))</f>
        <v>17</v>
      </c>
      <c r="CJ137" s="171">
        <f ca="1">IF(OR($D137&lt;&gt;"Serviço",AND(AUTOEVENTO="Manual",$M137=$A$15)),0,
         IF(OFFSET(CRONOPLE!$F$15,$M137-$A$15,CJ$13)=0,10^12,OFFSET(CRONOPLE!$F$15,$M137-$A$15,CJ$13)))</f>
        <v>18</v>
      </c>
      <c r="CK137" s="171">
        <f ca="1">IF(OR($D137&lt;&gt;"Serviço",AND(AUTOEVENTO="Manual",$M137=$A$15)),0,
         IF(OFFSET(CRONOPLE!$F$15,$M137-$A$15,CK$13)=0,10^12,OFFSET(CRONOPLE!$F$15,$M137-$A$15,CK$13)))</f>
        <v>19</v>
      </c>
      <c r="CL137" s="171">
        <f ca="1">IF(OR($D137&lt;&gt;"Serviço",AND(AUTOEVENTO="Manual",$M137=$A$15)),0,
         IF(OFFSET(CRONOPLE!$F$15,$M137-$A$15,CL$13)=0,10^12,OFFSET(CRONOPLE!$F$15,$M137-$A$15,CL$13)))</f>
        <v>20</v>
      </c>
      <c r="CM137" s="171">
        <f ca="1">IF(OR($D137&lt;&gt;"Serviço",AND(AUTOEVENTO="Manual",$M137=$A$15)),0,
         IF(OFFSET(CRONOPLE!$F$15,$M137-$A$15,CM$13)=0,10^12,OFFSET(CRONOPLE!$F$15,$M137-$A$15,CM$13)))</f>
        <v>1000000000000</v>
      </c>
      <c r="CN137" s="171">
        <f ca="1">IF(OR($D137&lt;&gt;"Serviço",AND(AUTOEVENTO="Manual",$M137=$A$15)),0,
         IF(OFFSET(CRONOPLE!$F$15,$M137-$A$15,CN$13)=0,10^12,OFFSET(CRONOPLE!$F$15,$M137-$A$15,CN$13)))</f>
        <v>1000000000000</v>
      </c>
      <c r="CO137" s="171">
        <f ca="1">IF(OR($D137&lt;&gt;"Serviço",AND(AUTOEVENTO="Manual",$M137=$A$15)),0,
         IF(OFFSET(CRONOPLE!$F$15,$M137-$A$15,CO$13)=0,10^12,OFFSET(CRONOPLE!$F$15,$M137-$A$15,CO$13)))</f>
        <v>1000000000000</v>
      </c>
      <c r="CP137" s="171">
        <f ca="1">IF(OR($D137&lt;&gt;"Serviço",AND(AUTOEVENTO="Manual",$M137=$A$15)),0,
         IF(OFFSET(CRONOPLE!$F$15,$M137-$A$15,CP$13)=0,10^12,OFFSET(CRONOPLE!$F$15,$M137-$A$15,CP$13)))</f>
        <v>1000000000000</v>
      </c>
      <c r="CQ137" s="171">
        <f ca="1">IF(OR($D137&lt;&gt;"Serviço",AND(AUTOEVENTO="Manual",$M137=$A$15)),0,
         IF(OFFSET(CRONOPLE!$F$15,$M137-$A$15,CQ$13)=0,10^12,OFFSET(CRONOPLE!$F$15,$M137-$A$15,CQ$13)))</f>
        <v>1000000000000</v>
      </c>
      <c r="CR137" s="171">
        <f ca="1">IF(OR($D137&lt;&gt;"Serviço",AND(AUTOEVENTO="Manual",$M137=$A$15)),0,
         IF(OFFSET(CRONOPLE!$F$15,$M137-$A$15,CR$13)=0,10^12,OFFSET(CRONOPLE!$F$15,$M137-$A$15,CR$13)))</f>
        <v>1000000000000</v>
      </c>
      <c r="CT137" s="172" cm="1">
        <f t="array" aca="1" ref="CT137" ca="1">IF(OR($D137&lt;&gt;"Serviço",AND(AUTOEVENTO="Manual",$M137=$A$15),$M137&gt;(ROW(PLE.lastrow)-ROW(PLE.firstrow))),0,
           IF(OFFSET(PLE!$G$15,$M137-$A$15,CT$13)="",10^12,OFFSET(PLE!$G$15,$M137-$A$15,CT$13)))</f>
        <v>1000000000000</v>
      </c>
      <c r="CU137" s="172" cm="1">
        <f t="array" aca="1" ref="CU137" ca="1">IF(OR($D137&lt;&gt;"Serviço",AND(AUTOEVENTO="Manual",$M137=$A$15),$M137&gt;(ROW(PLE.lastrow)-ROW(PLE.firstrow))),0,
           IF(OFFSET(PLE!$G$15,$M137-$A$15,CU$13)="",10^12,OFFSET(PLE!$G$15,$M137-$A$15,CU$13)))</f>
        <v>1000000000000</v>
      </c>
      <c r="CV137" s="172" cm="1">
        <f t="array" aca="1" ref="CV137" ca="1">IF(OR($D137&lt;&gt;"Serviço",AND(AUTOEVENTO="Manual",$M137=$A$15),$M137&gt;(ROW(PLE.lastrow)-ROW(PLE.firstrow))),0,
           IF(OFFSET(PLE!$G$15,$M137-$A$15,CV$13)="",10^12,OFFSET(PLE!$G$15,$M137-$A$15,CV$13)))</f>
        <v>1000000000000</v>
      </c>
      <c r="CW137" s="172" cm="1">
        <f t="array" aca="1" ref="CW137" ca="1">IF(OR($D137&lt;&gt;"Serviço",AND(AUTOEVENTO="Manual",$M137=$A$15),$M137&gt;(ROW(PLE.lastrow)-ROW(PLE.firstrow))),0,
           IF(OFFSET(PLE!$G$15,$M137-$A$15,CW$13)="",10^12,OFFSET(PLE!$G$15,$M137-$A$15,CW$13)))</f>
        <v>1000000000000</v>
      </c>
      <c r="CX137" s="172" cm="1">
        <f t="array" aca="1" ref="CX137" ca="1">IF(OR($D137&lt;&gt;"Serviço",AND(AUTOEVENTO="Manual",$M137=$A$15),$M137&gt;(ROW(PLE.lastrow)-ROW(PLE.firstrow))),0,
           IF(OFFSET(PLE!$G$15,$M137-$A$15,CX$13)="",10^12,OFFSET(PLE!$G$15,$M137-$A$15,CX$13)))</f>
        <v>1000000000000</v>
      </c>
      <c r="CY137" s="172" cm="1">
        <f t="array" aca="1" ref="CY137" ca="1">IF(OR($D137&lt;&gt;"Serviço",AND(AUTOEVENTO="Manual",$M137=$A$15),$M137&gt;(ROW(PLE.lastrow)-ROW(PLE.firstrow))),0,
           IF(OFFSET(PLE!$G$15,$M137-$A$15,CY$13)="",10^12,OFFSET(PLE!$G$15,$M137-$A$15,CY$13)))</f>
        <v>1000000000000</v>
      </c>
      <c r="CZ137" s="172" cm="1">
        <f t="array" aca="1" ref="CZ137" ca="1">IF(OR($D137&lt;&gt;"Serviço",AND(AUTOEVENTO="Manual",$M137=$A$15),$M137&gt;(ROW(PLE.lastrow)-ROW(PLE.firstrow))),0,
           IF(OFFSET(PLE!$G$15,$M137-$A$15,CZ$13)="",10^12,OFFSET(PLE!$G$15,$M137-$A$15,CZ$13)))</f>
        <v>1000000000000</v>
      </c>
      <c r="DA137" s="172" cm="1">
        <f t="array" aca="1" ref="DA137" ca="1">IF(OR($D137&lt;&gt;"Serviço",AND(AUTOEVENTO="Manual",$M137=$A$15),$M137&gt;(ROW(PLE.lastrow)-ROW(PLE.firstrow))),0,
           IF(OFFSET(PLE!$G$15,$M137-$A$15,DA$13)="",10^12,OFFSET(PLE!$G$15,$M137-$A$15,DA$13)))</f>
        <v>1000000000000</v>
      </c>
      <c r="DB137" s="172" cm="1">
        <f t="array" aca="1" ref="DB137" ca="1">IF(OR($D137&lt;&gt;"Serviço",AND(AUTOEVENTO="Manual",$M137=$A$15),$M137&gt;(ROW(PLE.lastrow)-ROW(PLE.firstrow))),0,
           IF(OFFSET(PLE!$G$15,$M137-$A$15,DB$13)="",10^12,OFFSET(PLE!$G$15,$M137-$A$15,DB$13)))</f>
        <v>1000000000000</v>
      </c>
      <c r="DC137" s="172" cm="1">
        <f t="array" aca="1" ref="DC137" ca="1">IF(OR($D137&lt;&gt;"Serviço",AND(AUTOEVENTO="Manual",$M137=$A$15),$M137&gt;(ROW(PLE.lastrow)-ROW(PLE.firstrow))),0,
           IF(OFFSET(PLE!$G$15,$M137-$A$15,DC$13)="",10^12,OFFSET(PLE!$G$15,$M137-$A$15,DC$13)))</f>
        <v>1000000000000</v>
      </c>
      <c r="DD137" s="172" cm="1">
        <f t="array" aca="1" ref="DD137" ca="1">IF(OR($D137&lt;&gt;"Serviço",AND(AUTOEVENTO="Manual",$M137=$A$15),$M137&gt;(ROW(PLE.lastrow)-ROW(PLE.firstrow))),0,
           IF(OFFSET(PLE!$G$15,$M137-$A$15,DD$13)="",10^12,OFFSET(PLE!$G$15,$M137-$A$15,DD$13)))</f>
        <v>1000000000000</v>
      </c>
      <c r="DE137" s="172" cm="1">
        <f t="array" aca="1" ref="DE137" ca="1">IF(OR($D137&lt;&gt;"Serviço",AND(AUTOEVENTO="Manual",$M137=$A$15),$M137&gt;(ROW(PLE.lastrow)-ROW(PLE.firstrow))),0,
           IF(OFFSET(PLE!$G$15,$M137-$A$15,DE$13)="",10^12,OFFSET(PLE!$G$15,$M137-$A$15,DE$13)))</f>
        <v>1000000000000</v>
      </c>
      <c r="DF137" s="172" cm="1">
        <f t="array" aca="1" ref="DF137" ca="1">IF(OR($D137&lt;&gt;"Serviço",AND(AUTOEVENTO="Manual",$M137=$A$15),$M137&gt;(ROW(PLE.lastrow)-ROW(PLE.firstrow))),0,
           IF(OFFSET(PLE!$G$15,$M137-$A$15,DF$13)="",10^12,OFFSET(PLE!$G$15,$M137-$A$15,DF$13)))</f>
        <v>1000000000000</v>
      </c>
      <c r="DG137" s="172" cm="1">
        <f t="array" aca="1" ref="DG137" ca="1">IF(OR($D137&lt;&gt;"Serviço",AND(AUTOEVENTO="Manual",$M137=$A$15),$M137&gt;(ROW(PLE.lastrow)-ROW(PLE.firstrow))),0,
           IF(OFFSET(PLE!$G$15,$M137-$A$15,DG$13)="",10^12,OFFSET(PLE!$G$15,$M137-$A$15,DG$13)))</f>
        <v>1000000000000</v>
      </c>
      <c r="DH137" s="172" cm="1">
        <f t="array" aca="1" ref="DH137" ca="1">IF(OR($D137&lt;&gt;"Serviço",AND(AUTOEVENTO="Manual",$M137=$A$15),$M137&gt;(ROW(PLE.lastrow)-ROW(PLE.firstrow))),0,
           IF(OFFSET(PLE!$G$15,$M137-$A$15,DH$13)="",10^12,OFFSET(PLE!$G$15,$M137-$A$15,DH$13)))</f>
        <v>1000000000000</v>
      </c>
      <c r="DI137" s="172" cm="1">
        <f t="array" aca="1" ref="DI137" ca="1">IF(OR($D137&lt;&gt;"Serviço",AND(AUTOEVENTO="Manual",$M137=$A$15),$M137&gt;(ROW(PLE.lastrow)-ROW(PLE.firstrow))),0,
           IF(OFFSET(PLE!$G$15,$M137-$A$15,DI$13)="",10^12,OFFSET(PLE!$G$15,$M137-$A$15,DI$13)))</f>
        <v>1000000000000</v>
      </c>
      <c r="DJ137" s="172" cm="1">
        <f t="array" aca="1" ref="DJ137" ca="1">IF(OR($D137&lt;&gt;"Serviço",AND(AUTOEVENTO="Manual",$M137=$A$15),$M137&gt;(ROW(PLE.lastrow)-ROW(PLE.firstrow))),0,
           IF(OFFSET(PLE!$G$15,$M137-$A$15,DJ$13)="",10^12,OFFSET(PLE!$G$15,$M137-$A$15,DJ$13)))</f>
        <v>1000000000000</v>
      </c>
      <c r="DK137" s="172" cm="1">
        <f t="array" aca="1" ref="DK137" ca="1">IF(OR($D137&lt;&gt;"Serviço",AND(AUTOEVENTO="Manual",$M137=$A$15),$M137&gt;(ROW(PLE.lastrow)-ROW(PLE.firstrow))),0,
           IF(OFFSET(PLE!$G$15,$M137-$A$15,DK$13)="",10^12,OFFSET(PLE!$G$15,$M137-$A$15,DK$13)))</f>
        <v>1000000000000</v>
      </c>
      <c r="DL137" s="172" cm="1">
        <f t="array" aca="1" ref="DL137" ca="1">IF(OR($D137&lt;&gt;"Serviço",AND(AUTOEVENTO="Manual",$M137=$A$15),$M137&gt;(ROW(PLE.lastrow)-ROW(PLE.firstrow))),0,
           IF(OFFSET(PLE!$G$15,$M137-$A$15,DL$13)="",10^12,OFFSET(PLE!$G$15,$M137-$A$15,DL$13)))</f>
        <v>1000000000000</v>
      </c>
      <c r="DM137" s="172" cm="1">
        <f t="array" aca="1" ref="DM137" ca="1">IF(OR($D137&lt;&gt;"Serviço",AND(AUTOEVENTO="Manual",$M137=$A$15),$M137&gt;(ROW(PLE.lastrow)-ROW(PLE.firstrow))),0,
           IF(OFFSET(PLE!$G$15,$M137-$A$15,DM$13)="",10^12,OFFSET(PLE!$G$15,$M137-$A$15,DM$13)))</f>
        <v>1000000000000</v>
      </c>
      <c r="DN137" s="172" cm="1">
        <f t="array" aca="1" ref="DN137" ca="1">IF(OR($D137&lt;&gt;"Serviço",AND(AUTOEVENTO="Manual",$M137=$A$15),$M137&gt;(ROW(PLE.lastrow)-ROW(PLE.firstrow))),0,
           IF(OFFSET(PLE!$G$15,$M137-$A$15,DN$13)="",10^12,OFFSET(PLE!$G$15,$M137-$A$15,DN$13)))</f>
        <v>1000000000000</v>
      </c>
      <c r="DO137" s="172" cm="1">
        <f t="array" aca="1" ref="DO137" ca="1">IF(OR($D137&lt;&gt;"Serviço",AND(AUTOEVENTO="Manual",$M137=$A$15),$M137&gt;(ROW(PLE.lastrow)-ROW(PLE.firstrow))),0,
           IF(OFFSET(PLE!$G$15,$M137-$A$15,DO$13)="",10^12,OFFSET(PLE!$G$15,$M137-$A$15,DO$13)))</f>
        <v>1000000000000</v>
      </c>
      <c r="DP137" s="172" cm="1">
        <f t="array" aca="1" ref="DP137" ca="1">IF(OR($D137&lt;&gt;"Serviço",AND(AUTOEVENTO="Manual",$M137=$A$15),$M137&gt;(ROW(PLE.lastrow)-ROW(PLE.firstrow))),0,
           IF(OFFSET(PLE!$G$15,$M137-$A$15,DP$13)="",10^12,OFFSET(PLE!$G$15,$M137-$A$15,DP$13)))</f>
        <v>1000000000000</v>
      </c>
      <c r="DQ137" s="172" cm="1">
        <f t="array" aca="1" ref="DQ137" ca="1">IF(OR($D137&lt;&gt;"Serviço",AND(AUTOEVENTO="Manual",$M137=$A$15),$M137&gt;(ROW(PLE.lastrow)-ROW(PLE.firstrow))),0,
           IF(OFFSET(PLE!$G$15,$M137-$A$15,DQ$13)="",10^12,OFFSET(PLE!$G$15,$M137-$A$15,DQ$13)))</f>
        <v>1000000000000</v>
      </c>
      <c r="DR137" s="172" cm="1">
        <f t="array" aca="1" ref="DR137" ca="1">IF(OR($D137&lt;&gt;"Serviço",AND(AUTOEVENTO="Manual",$M137=$A$15),$M137&gt;(ROW(PLE.lastrow)-ROW(PLE.firstrow))),0,
           IF(OFFSET(PLE!$G$15,$M137-$A$15,DR$13)="",10^12,OFFSET(PLE!$G$15,$M137-$A$15,DR$13)))</f>
        <v>1000000000000</v>
      </c>
      <c r="DS137" s="172" cm="1">
        <f t="array" aca="1" ref="DS137" ca="1">IF(OR($D137&lt;&gt;"Serviço",AND(AUTOEVENTO="Manual",$M137=$A$15),$M137&gt;(ROW(PLE.lastrow)-ROW(PLE.firstrow))),0,
           IF(OFFSET(PLE!$G$15,$M137-$A$15,DS$13)="",10^12,OFFSET(PLE!$G$15,$M137-$A$15,DS$13)))</f>
        <v>1000000000000</v>
      </c>
    </row>
    <row r="138" spans="1:123" ht="25.5" x14ac:dyDescent="0.2">
      <c r="A138" s="7">
        <f t="shared" ca="1" si="15"/>
        <v>9</v>
      </c>
      <c r="B138" s="7" t="str">
        <f ca="1">OFFSET(ORÇAMENTO!C$15,$L138,0)</f>
        <v>S</v>
      </c>
      <c r="C138" s="7" t="str">
        <f ca="1">OFFSET(ORÇAMENTO!L$15,$L138,0)</f>
        <v/>
      </c>
      <c r="D138" s="116" t="str">
        <f ca="1">OFFSET(ORÇAMENTO!N$15,$L138,0)</f>
        <v>Serviço</v>
      </c>
      <c r="E138" s="117" t="str">
        <f ca="1">OFFSET(ORÇAMENTO!O$15,$L138,0)</f>
        <v>-</v>
      </c>
      <c r="F138" s="163" t="str">
        <f ca="1">OFFSET(ORÇAMENTO!R$15,$L138,0)</f>
        <v>(Código não identificado nas referências)</v>
      </c>
      <c r="G138" s="164" t="str">
        <f ca="1">IF($D138&lt;&gt;"Serviço","",OFFSET(ORÇAMENTO!S$15,$L138,0))</f>
        <v>-</v>
      </c>
      <c r="H138" s="122" cm="1">
        <f t="array" aca="1" ref="H138" ca="1">IF($D138&lt;&gt;"Serviço",0,IF(ACOMPANHAMENTO="BM",ROUND(OFFSET(ORÇAMENTO!AJ$15,$L138,0),15-13*ORÇAMENTO!$AF$7),IF(IFERROR(CÁLCULO.FrentesPreenchidas,0)=0,0,SUM(ROUND(OFFSET($P138,0,1,1,CÁLCULO.FrentesPreenchidas),15-13*ORÇAMENTO!$AF$7)))))</f>
        <v>20</v>
      </c>
      <c r="I138" s="468" t="s">
        <v>1235</v>
      </c>
      <c r="J138" s="651" t="str" cm="1">
        <f t="array" aca="1" ref="J138" ca="1">IF(OR(B138&lt;&gt;"S",CÁLCULO.FrentesPreenchidas=0),"",IF(AND(ACOMPANHAMENTO="PLE",AUTOEVENTO="Manual",OR(H138&gt;0,ORÇAMENTO!AC138="QUANT."),OR(K138="",M138=0,N138="")),"►E",IF(AND(ACOMPANHAMENTO="PLE",ORÇAMENTO!AC138="QUANT."),"►Q",IF(AND(ACOMPANHAMENTO="PLE",H138&lt;&gt;SUMPRODUCT(($Q$1:$AQ$1=1)*ROUND(Q138:AQ138,15))),"►S",IF(AND(COUNTIF($P$11:$AQ$11,"▼")=0,H138&gt;0,I138=""),"◄M","")))))</f>
        <v/>
      </c>
      <c r="K138" s="652" t="s">
        <v>1257</v>
      </c>
      <c r="L138" s="165">
        <f t="shared" ca="1" si="14"/>
        <v>123</v>
      </c>
      <c r="M138" s="166">
        <f ca="1">IF($D138&lt;&gt;"Serviço","",
          IF(AUTOEVENTO="manual",$A138,
                IF(ISERROR(MATCH($A138,$A$15:OFFSET($A138,-1,0),0)),MAX($M$15:OFFSET(M138,-1,0))+1,
                      INDEX($M$15:OFFSET(M138,-1,0),MATCH($A138,$A$15:OFFSET($A138,-1,0),0)))))</f>
        <v>9</v>
      </c>
      <c r="N138" s="167" t="str">
        <f ca="1">IF($D138&lt;&gt;"Serviço","",
         IF(AUTOEVENTO="Manual",
                IF($A138=0,"&lt;-- defina o número do agrupador",
                       OFFSET(EVENTOS!$D$15,$A138-$A$15,0)),
                OFFSET($F$15,$A138,0)))</f>
        <v>INSTALAÇÕES</v>
      </c>
      <c r="O138" s="168"/>
      <c r="Q138" s="168">
        <v>1</v>
      </c>
      <c r="R138" s="169">
        <v>1</v>
      </c>
      <c r="S138" s="169">
        <v>1</v>
      </c>
      <c r="T138" s="169">
        <v>1</v>
      </c>
      <c r="U138" s="169">
        <v>1</v>
      </c>
      <c r="V138" s="169">
        <v>1</v>
      </c>
      <c r="W138" s="169">
        <v>1</v>
      </c>
      <c r="X138" s="169">
        <v>1</v>
      </c>
      <c r="Y138" s="169">
        <v>1</v>
      </c>
      <c r="Z138" s="170">
        <v>1</v>
      </c>
      <c r="AA138" s="169">
        <v>1</v>
      </c>
      <c r="AB138" s="169">
        <v>1</v>
      </c>
      <c r="AC138" s="169">
        <v>1</v>
      </c>
      <c r="AD138" s="169">
        <v>1</v>
      </c>
      <c r="AE138" s="169">
        <v>1</v>
      </c>
      <c r="AF138" s="169">
        <v>1</v>
      </c>
      <c r="AG138" s="169">
        <v>1</v>
      </c>
      <c r="AH138" s="170">
        <v>1</v>
      </c>
      <c r="AI138" s="169">
        <v>1</v>
      </c>
      <c r="AJ138" s="169">
        <v>1</v>
      </c>
      <c r="AK138" s="169"/>
      <c r="AL138" s="169"/>
      <c r="AM138" s="169"/>
      <c r="AN138" s="169"/>
      <c r="AO138" s="169"/>
      <c r="AP138" s="170"/>
      <c r="AR138" s="453">
        <f ca="1">IF(AND($D138="Serviço",AR$12&lt;&gt;0,$H138&gt;0,OR(AUTOEVENTO&lt;&gt;"manual",$M138&lt;&gt;$A$15)),
        IF(Import.TipoArredondamento&lt;&gt;"TransfereGOV",
              ROUND(OFFSET($P138,0,AR$13),15-13*ORÇAMENTO!$AF$7)/$H138*OFFSET(ORÇAMENTO!$X$15,ROW(AR138)-ROW(AR$15),0),
              ROUND(ROUND(OFFSET($P138,0,AR$13),15-13*ORÇAMENTO!$AF$7)*OFFSET(ORÇAMENTO!$W$15,ROW(AR138)-ROW(AR$15),0),15-13*ORÇAMENTO!$AF$11)),
         0)</f>
        <v>0</v>
      </c>
      <c r="AS138" s="453">
        <f ca="1">IF(AND($D138="Serviço",AS$12&lt;&gt;0,$H138&gt;0,OR(AUTOEVENTO&lt;&gt;"manual",$M138&lt;&gt;$A$15)),
        IF(Import.TipoArredondamento&lt;&gt;"TransfereGOV",
              ROUND(OFFSET($P138,0,AS$13),15-13*ORÇAMENTO!$AF$7)/$H138*OFFSET(ORÇAMENTO!$X$15,ROW(AS138)-ROW(AS$15),0),
              ROUND(ROUND(OFFSET($P138,0,AS$13),15-13*ORÇAMENTO!$AF$7)*OFFSET(ORÇAMENTO!$W$15,ROW(AS138)-ROW(AS$15),0),15-13*ORÇAMENTO!$AF$11)),
         0)</f>
        <v>0</v>
      </c>
      <c r="AT138" s="453">
        <f ca="1">IF(AND($D138="Serviço",AT$12&lt;&gt;0,$H138&gt;0,OR(AUTOEVENTO&lt;&gt;"manual",$M138&lt;&gt;$A$15)),
        IF(Import.TipoArredondamento&lt;&gt;"TransfereGOV",
              ROUND(OFFSET($P138,0,AT$13),15-13*ORÇAMENTO!$AF$7)/$H138*OFFSET(ORÇAMENTO!$X$15,ROW(AT138)-ROW(AT$15),0),
              ROUND(ROUND(OFFSET($P138,0,AT$13),15-13*ORÇAMENTO!$AF$7)*OFFSET(ORÇAMENTO!$W$15,ROW(AT138)-ROW(AT$15),0),15-13*ORÇAMENTO!$AF$11)),
         0)</f>
        <v>0</v>
      </c>
      <c r="AU138" s="453">
        <f ca="1">IF(AND($D138="Serviço",AU$12&lt;&gt;0,$H138&gt;0,OR(AUTOEVENTO&lt;&gt;"manual",$M138&lt;&gt;$A$15)),
        IF(Import.TipoArredondamento&lt;&gt;"TransfereGOV",
              ROUND(OFFSET($P138,0,AU$13),15-13*ORÇAMENTO!$AF$7)/$H138*OFFSET(ORÇAMENTO!$X$15,ROW(AU138)-ROW(AU$15),0),
              ROUND(ROUND(OFFSET($P138,0,AU$13),15-13*ORÇAMENTO!$AF$7)*OFFSET(ORÇAMENTO!$W$15,ROW(AU138)-ROW(AU$15),0),15-13*ORÇAMENTO!$AF$11)),
         0)</f>
        <v>0</v>
      </c>
      <c r="AV138" s="453">
        <f ca="1">IF(AND($D138="Serviço",AV$12&lt;&gt;0,$H138&gt;0,OR(AUTOEVENTO&lt;&gt;"manual",$M138&lt;&gt;$A$15)),
        IF(Import.TipoArredondamento&lt;&gt;"TransfereGOV",
              ROUND(OFFSET($P138,0,AV$13),15-13*ORÇAMENTO!$AF$7)/$H138*OFFSET(ORÇAMENTO!$X$15,ROW(AV138)-ROW(AV$15),0),
              ROUND(ROUND(OFFSET($P138,0,AV$13),15-13*ORÇAMENTO!$AF$7)*OFFSET(ORÇAMENTO!$W$15,ROW(AV138)-ROW(AV$15),0),15-13*ORÇAMENTO!$AF$11)),
         0)</f>
        <v>0</v>
      </c>
      <c r="AW138" s="453">
        <f ca="1">IF(AND($D138="Serviço",AW$12&lt;&gt;0,$H138&gt;0,OR(AUTOEVENTO&lt;&gt;"manual",$M138&lt;&gt;$A$15)),
        IF(Import.TipoArredondamento&lt;&gt;"TransfereGOV",
              ROUND(OFFSET($P138,0,AW$13),15-13*ORÇAMENTO!$AF$7)/$H138*OFFSET(ORÇAMENTO!$X$15,ROW(AW138)-ROW(AW$15),0),
              ROUND(ROUND(OFFSET($P138,0,AW$13),15-13*ORÇAMENTO!$AF$7)*OFFSET(ORÇAMENTO!$W$15,ROW(AW138)-ROW(AW$15),0),15-13*ORÇAMENTO!$AF$11)),
         0)</f>
        <v>0</v>
      </c>
      <c r="AX138" s="453">
        <f ca="1">IF(AND($D138="Serviço",AX$12&lt;&gt;0,$H138&gt;0,OR(AUTOEVENTO&lt;&gt;"manual",$M138&lt;&gt;$A$15)),
        IF(Import.TipoArredondamento&lt;&gt;"TransfereGOV",
              ROUND(OFFSET($P138,0,AX$13),15-13*ORÇAMENTO!$AF$7)/$H138*OFFSET(ORÇAMENTO!$X$15,ROW(AX138)-ROW(AX$15),0),
              ROUND(ROUND(OFFSET($P138,0,AX$13),15-13*ORÇAMENTO!$AF$7)*OFFSET(ORÇAMENTO!$W$15,ROW(AX138)-ROW(AX$15),0),15-13*ORÇAMENTO!$AF$11)),
         0)</f>
        <v>0</v>
      </c>
      <c r="AY138" s="453">
        <f ca="1">IF(AND($D138="Serviço",AY$12&lt;&gt;0,$H138&gt;0,OR(AUTOEVENTO&lt;&gt;"manual",$M138&lt;&gt;$A$15)),
        IF(Import.TipoArredondamento&lt;&gt;"TransfereGOV",
              ROUND(OFFSET($P138,0,AY$13),15-13*ORÇAMENTO!$AF$7)/$H138*OFFSET(ORÇAMENTO!$X$15,ROW(AY138)-ROW(AY$15),0),
              ROUND(ROUND(OFFSET($P138,0,AY$13),15-13*ORÇAMENTO!$AF$7)*OFFSET(ORÇAMENTO!$W$15,ROW(AY138)-ROW(AY$15),0),15-13*ORÇAMENTO!$AF$11)),
         0)</f>
        <v>0</v>
      </c>
      <c r="AZ138" s="453">
        <f ca="1">IF(AND($D138="Serviço",AZ$12&lt;&gt;0,$H138&gt;0,OR(AUTOEVENTO&lt;&gt;"manual",$M138&lt;&gt;$A$15)),
        IF(Import.TipoArredondamento&lt;&gt;"TransfereGOV",
              ROUND(OFFSET($P138,0,AZ$13),15-13*ORÇAMENTO!$AF$7)/$H138*OFFSET(ORÇAMENTO!$X$15,ROW(AZ138)-ROW(AZ$15),0),
              ROUND(ROUND(OFFSET($P138,0,AZ$13),15-13*ORÇAMENTO!$AF$7)*OFFSET(ORÇAMENTO!$W$15,ROW(AZ138)-ROW(AZ$15),0),15-13*ORÇAMENTO!$AF$11)),
         0)</f>
        <v>0</v>
      </c>
      <c r="BA138" s="453">
        <f ca="1">IF(AND($D138="Serviço",BA$12&lt;&gt;0,$H138&gt;0,OR(AUTOEVENTO&lt;&gt;"manual",$M138&lt;&gt;$A$15)),
        IF(Import.TipoArredondamento&lt;&gt;"TransfereGOV",
              ROUND(OFFSET($P138,0,BA$13),15-13*ORÇAMENTO!$AF$7)/$H138*OFFSET(ORÇAMENTO!$X$15,ROW(BA138)-ROW(BA$15),0),
              ROUND(ROUND(OFFSET($P138,0,BA$13),15-13*ORÇAMENTO!$AF$7)*OFFSET(ORÇAMENTO!$W$15,ROW(BA138)-ROW(BA$15),0),15-13*ORÇAMENTO!$AF$11)),
         0)</f>
        <v>0</v>
      </c>
      <c r="BB138" s="453">
        <f ca="1">IF(AND($D138="Serviço",BB$12&lt;&gt;0,$H138&gt;0,OR(AUTOEVENTO&lt;&gt;"manual",$M138&lt;&gt;$A$15)),
        IF(Import.TipoArredondamento&lt;&gt;"TransfereGOV",
              ROUND(OFFSET($P138,0,BB$13),15-13*ORÇAMENTO!$AF$7)/$H138*OFFSET(ORÇAMENTO!$X$15,ROW(BB138)-ROW(BB$15),0),
              ROUND(ROUND(OFFSET($P138,0,BB$13),15-13*ORÇAMENTO!$AF$7)*OFFSET(ORÇAMENTO!$W$15,ROW(BB138)-ROW(BB$15),0),15-13*ORÇAMENTO!$AF$11)),
         0)</f>
        <v>0</v>
      </c>
      <c r="BC138" s="453">
        <f ca="1">IF(AND($D138="Serviço",BC$12&lt;&gt;0,$H138&gt;0,OR(AUTOEVENTO&lt;&gt;"manual",$M138&lt;&gt;$A$15)),
        IF(Import.TipoArredondamento&lt;&gt;"TransfereGOV",
              ROUND(OFFSET($P138,0,BC$13),15-13*ORÇAMENTO!$AF$7)/$H138*OFFSET(ORÇAMENTO!$X$15,ROW(BC138)-ROW(BC$15),0),
              ROUND(ROUND(OFFSET($P138,0,BC$13),15-13*ORÇAMENTO!$AF$7)*OFFSET(ORÇAMENTO!$W$15,ROW(BC138)-ROW(BC$15),0),15-13*ORÇAMENTO!$AF$11)),
         0)</f>
        <v>0</v>
      </c>
      <c r="BD138" s="453">
        <f ca="1">IF(AND($D138="Serviço",BD$12&lt;&gt;0,$H138&gt;0,OR(AUTOEVENTO&lt;&gt;"manual",$M138&lt;&gt;$A$15)),
        IF(Import.TipoArredondamento&lt;&gt;"TransfereGOV",
              ROUND(OFFSET($P138,0,BD$13),15-13*ORÇAMENTO!$AF$7)/$H138*OFFSET(ORÇAMENTO!$X$15,ROW(BD138)-ROW(BD$15),0),
              ROUND(ROUND(OFFSET($P138,0,BD$13),15-13*ORÇAMENTO!$AF$7)*OFFSET(ORÇAMENTO!$W$15,ROW(BD138)-ROW(BD$15),0),15-13*ORÇAMENTO!$AF$11)),
         0)</f>
        <v>0</v>
      </c>
      <c r="BE138" s="453">
        <f ca="1">IF(AND($D138="Serviço",BE$12&lt;&gt;0,$H138&gt;0,OR(AUTOEVENTO&lt;&gt;"manual",$M138&lt;&gt;$A$15)),
        IF(Import.TipoArredondamento&lt;&gt;"TransfereGOV",
              ROUND(OFFSET($P138,0,BE$13),15-13*ORÇAMENTO!$AF$7)/$H138*OFFSET(ORÇAMENTO!$X$15,ROW(BE138)-ROW(BE$15),0),
              ROUND(ROUND(OFFSET($P138,0,BE$13),15-13*ORÇAMENTO!$AF$7)*OFFSET(ORÇAMENTO!$W$15,ROW(BE138)-ROW(BE$15),0),15-13*ORÇAMENTO!$AF$11)),
         0)</f>
        <v>0</v>
      </c>
      <c r="BF138" s="453">
        <f ca="1">IF(AND($D138="Serviço",BF$12&lt;&gt;0,$H138&gt;0,OR(AUTOEVENTO&lt;&gt;"manual",$M138&lt;&gt;$A$15)),
        IF(Import.TipoArredondamento&lt;&gt;"TransfereGOV",
              ROUND(OFFSET($P138,0,BF$13),15-13*ORÇAMENTO!$AF$7)/$H138*OFFSET(ORÇAMENTO!$X$15,ROW(BF138)-ROW(BF$15),0),
              ROUND(ROUND(OFFSET($P138,0,BF$13),15-13*ORÇAMENTO!$AF$7)*OFFSET(ORÇAMENTO!$W$15,ROW(BF138)-ROW(BF$15),0),15-13*ORÇAMENTO!$AF$11)),
         0)</f>
        <v>0</v>
      </c>
      <c r="BG138" s="453">
        <f ca="1">IF(AND($D138="Serviço",BG$12&lt;&gt;0,$H138&gt;0,OR(AUTOEVENTO&lt;&gt;"manual",$M138&lt;&gt;$A$15)),
        IF(Import.TipoArredondamento&lt;&gt;"TransfereGOV",
              ROUND(OFFSET($P138,0,BG$13),15-13*ORÇAMENTO!$AF$7)/$H138*OFFSET(ORÇAMENTO!$X$15,ROW(BG138)-ROW(BG$15),0),
              ROUND(ROUND(OFFSET($P138,0,BG$13),15-13*ORÇAMENTO!$AF$7)*OFFSET(ORÇAMENTO!$W$15,ROW(BG138)-ROW(BG$15),0),15-13*ORÇAMENTO!$AF$11)),
         0)</f>
        <v>0</v>
      </c>
      <c r="BH138" s="453">
        <f ca="1">IF(AND($D138="Serviço",BH$12&lt;&gt;0,$H138&gt;0,OR(AUTOEVENTO&lt;&gt;"manual",$M138&lt;&gt;$A$15)),
        IF(Import.TipoArredondamento&lt;&gt;"TransfereGOV",
              ROUND(OFFSET($P138,0,BH$13),15-13*ORÇAMENTO!$AF$7)/$H138*OFFSET(ORÇAMENTO!$X$15,ROW(BH138)-ROW(BH$15),0),
              ROUND(ROUND(OFFSET($P138,0,BH$13),15-13*ORÇAMENTO!$AF$7)*OFFSET(ORÇAMENTO!$W$15,ROW(BH138)-ROW(BH$15),0),15-13*ORÇAMENTO!$AF$11)),
         0)</f>
        <v>0</v>
      </c>
      <c r="BI138" s="453">
        <f ca="1">IF(AND($D138="Serviço",BI$12&lt;&gt;0,$H138&gt;0,OR(AUTOEVENTO&lt;&gt;"manual",$M138&lt;&gt;$A$15)),
        IF(Import.TipoArredondamento&lt;&gt;"TransfereGOV",
              ROUND(OFFSET($P138,0,BI$13),15-13*ORÇAMENTO!$AF$7)/$H138*OFFSET(ORÇAMENTO!$X$15,ROW(BI138)-ROW(BI$15),0),
              ROUND(ROUND(OFFSET($P138,0,BI$13),15-13*ORÇAMENTO!$AF$7)*OFFSET(ORÇAMENTO!$W$15,ROW(BI138)-ROW(BI$15),0),15-13*ORÇAMENTO!$AF$11)),
         0)</f>
        <v>0</v>
      </c>
      <c r="BJ138" s="453">
        <f ca="1">IF(AND($D138="Serviço",BJ$12&lt;&gt;0,$H138&gt;0,OR(AUTOEVENTO&lt;&gt;"manual",$M138&lt;&gt;$A$15)),
        IF(Import.TipoArredondamento&lt;&gt;"TransfereGOV",
              ROUND(OFFSET($P138,0,BJ$13),15-13*ORÇAMENTO!$AF$7)/$H138*OFFSET(ORÇAMENTO!$X$15,ROW(BJ138)-ROW(BJ$15),0),
              ROUND(ROUND(OFFSET($P138,0,BJ$13),15-13*ORÇAMENTO!$AF$7)*OFFSET(ORÇAMENTO!$W$15,ROW(BJ138)-ROW(BJ$15),0),15-13*ORÇAMENTO!$AF$11)),
         0)</f>
        <v>0</v>
      </c>
      <c r="BK138" s="453">
        <f ca="1">IF(AND($D138="Serviço",BK$12&lt;&gt;0,$H138&gt;0,OR(AUTOEVENTO&lt;&gt;"manual",$M138&lt;&gt;$A$15)),
        IF(Import.TipoArredondamento&lt;&gt;"TransfereGOV",
              ROUND(OFFSET($P138,0,BK$13),15-13*ORÇAMENTO!$AF$7)/$H138*OFFSET(ORÇAMENTO!$X$15,ROW(BK138)-ROW(BK$15),0),
              ROUND(ROUND(OFFSET($P138,0,BK$13),15-13*ORÇAMENTO!$AF$7)*OFFSET(ORÇAMENTO!$W$15,ROW(BK138)-ROW(BK$15),0),15-13*ORÇAMENTO!$AF$11)),
         0)</f>
        <v>0</v>
      </c>
      <c r="BL138" s="453">
        <f ca="1">IF(AND($D138="Serviço",BL$12&lt;&gt;0,$H138&gt;0,OR(AUTOEVENTO&lt;&gt;"manual",$M138&lt;&gt;$A$15)),
        IF(Import.TipoArredondamento&lt;&gt;"TransfereGOV",
              ROUND(OFFSET($P138,0,BL$13),15-13*ORÇAMENTO!$AF$7)/$H138*OFFSET(ORÇAMENTO!$X$15,ROW(BL138)-ROW(BL$15),0),
              ROUND(ROUND(OFFSET($P138,0,BL$13),15-13*ORÇAMENTO!$AF$7)*OFFSET(ORÇAMENTO!$W$15,ROW(BL138)-ROW(BL$15),0),15-13*ORÇAMENTO!$AF$11)),
         0)</f>
        <v>0</v>
      </c>
      <c r="BM138" s="453">
        <f ca="1">IF(AND($D138="Serviço",BM$12&lt;&gt;0,$H138&gt;0,OR(AUTOEVENTO&lt;&gt;"manual",$M138&lt;&gt;$A$15)),
        IF(Import.TipoArredondamento&lt;&gt;"TransfereGOV",
              ROUND(OFFSET($P138,0,BM$13),15-13*ORÇAMENTO!$AF$7)/$H138*OFFSET(ORÇAMENTO!$X$15,ROW(BM138)-ROW(BM$15),0),
              ROUND(ROUND(OFFSET($P138,0,BM$13),15-13*ORÇAMENTO!$AF$7)*OFFSET(ORÇAMENTO!$W$15,ROW(BM138)-ROW(BM$15),0),15-13*ORÇAMENTO!$AF$11)),
         0)</f>
        <v>0</v>
      </c>
      <c r="BN138" s="453">
        <f ca="1">IF(AND($D138="Serviço",BN$12&lt;&gt;0,$H138&gt;0,OR(AUTOEVENTO&lt;&gt;"manual",$M138&lt;&gt;$A$15)),
        IF(Import.TipoArredondamento&lt;&gt;"TransfereGOV",
              ROUND(OFFSET($P138,0,BN$13),15-13*ORÇAMENTO!$AF$7)/$H138*OFFSET(ORÇAMENTO!$X$15,ROW(BN138)-ROW(BN$15),0),
              ROUND(ROUND(OFFSET($P138,0,BN$13),15-13*ORÇAMENTO!$AF$7)*OFFSET(ORÇAMENTO!$W$15,ROW(BN138)-ROW(BN$15),0),15-13*ORÇAMENTO!$AF$11)),
         0)</f>
        <v>0</v>
      </c>
      <c r="BO138" s="453">
        <f ca="1">IF(AND($D138="Serviço",BO$12&lt;&gt;0,$H138&gt;0,OR(AUTOEVENTO&lt;&gt;"manual",$M138&lt;&gt;$A$15)),
        IF(Import.TipoArredondamento&lt;&gt;"TransfereGOV",
              ROUND(OFFSET($P138,0,BO$13),15-13*ORÇAMENTO!$AF$7)/$H138*OFFSET(ORÇAMENTO!$X$15,ROW(BO138)-ROW(BO$15),0),
              ROUND(ROUND(OFFSET($P138,0,BO$13),15-13*ORÇAMENTO!$AF$7)*OFFSET(ORÇAMENTO!$W$15,ROW(BO138)-ROW(BO$15),0),15-13*ORÇAMENTO!$AF$11)),
         0)</f>
        <v>0</v>
      </c>
      <c r="BP138" s="453">
        <f ca="1">IF(AND($D138="Serviço",BP$12&lt;&gt;0,$H138&gt;0,OR(AUTOEVENTO&lt;&gt;"manual",$M138&lt;&gt;$A$15)),
        IF(Import.TipoArredondamento&lt;&gt;"TransfereGOV",
              ROUND(OFFSET($P138,0,BP$13),15-13*ORÇAMENTO!$AF$7)/$H138*OFFSET(ORÇAMENTO!$X$15,ROW(BP138)-ROW(BP$15),0),
              ROUND(ROUND(OFFSET($P138,0,BP$13),15-13*ORÇAMENTO!$AF$7)*OFFSET(ORÇAMENTO!$W$15,ROW(BP138)-ROW(BP$15),0),15-13*ORÇAMENTO!$AF$11)),
         0)</f>
        <v>0</v>
      </c>
      <c r="BQ138" s="453">
        <f ca="1">IF(AND($D138="Serviço",BQ$12&lt;&gt;0,$H138&gt;0,OR(AUTOEVENTO&lt;&gt;"manual",$M138&lt;&gt;$A$15)),
        IF(Import.TipoArredondamento&lt;&gt;"TransfereGOV",
              ROUND(OFFSET($P138,0,BQ$13),15-13*ORÇAMENTO!$AF$7)/$H138*OFFSET(ORÇAMENTO!$X$15,ROW(BQ138)-ROW(BQ$15),0),
              ROUND(ROUND(OFFSET($P138,0,BQ$13),15-13*ORÇAMENTO!$AF$7)*OFFSET(ORÇAMENTO!$W$15,ROW(BQ138)-ROW(BQ$15),0),15-13*ORÇAMENTO!$AF$11)),
         0)</f>
        <v>0</v>
      </c>
      <c r="BS138" s="171">
        <f ca="1">IF(OR($D138&lt;&gt;"Serviço",AND(AUTOEVENTO="Manual",$M138=$A$15)),0,
         IF(OFFSET(CRONOPLE!$F$15,$M138-$A$15,BS$13)=0,10^12,OFFSET(CRONOPLE!$F$15,$M138-$A$15,BS$13)))</f>
        <v>1</v>
      </c>
      <c r="BT138" s="171">
        <f ca="1">IF(OR($D138&lt;&gt;"Serviço",AND(AUTOEVENTO="Manual",$M138=$A$15)),0,
         IF(OFFSET(CRONOPLE!$F$15,$M138-$A$15,BT$13)=0,10^12,OFFSET(CRONOPLE!$F$15,$M138-$A$15,BT$13)))</f>
        <v>2</v>
      </c>
      <c r="BU138" s="171">
        <f ca="1">IF(OR($D138&lt;&gt;"Serviço",AND(AUTOEVENTO="Manual",$M138=$A$15)),0,
         IF(OFFSET(CRONOPLE!$F$15,$M138-$A$15,BU$13)=0,10^12,OFFSET(CRONOPLE!$F$15,$M138-$A$15,BU$13)))</f>
        <v>3</v>
      </c>
      <c r="BV138" s="171">
        <f ca="1">IF(OR($D138&lt;&gt;"Serviço",AND(AUTOEVENTO="Manual",$M138=$A$15)),0,
         IF(OFFSET(CRONOPLE!$F$15,$M138-$A$15,BV$13)=0,10^12,OFFSET(CRONOPLE!$F$15,$M138-$A$15,BV$13)))</f>
        <v>4</v>
      </c>
      <c r="BW138" s="171">
        <f ca="1">IF(OR($D138&lt;&gt;"Serviço",AND(AUTOEVENTO="Manual",$M138=$A$15)),0,
         IF(OFFSET(CRONOPLE!$F$15,$M138-$A$15,BW$13)=0,10^12,OFFSET(CRONOPLE!$F$15,$M138-$A$15,BW$13)))</f>
        <v>5</v>
      </c>
      <c r="BX138" s="171">
        <f ca="1">IF(OR($D138&lt;&gt;"Serviço",AND(AUTOEVENTO="Manual",$M138=$A$15)),0,
         IF(OFFSET(CRONOPLE!$F$15,$M138-$A$15,BX$13)=0,10^12,OFFSET(CRONOPLE!$F$15,$M138-$A$15,BX$13)))</f>
        <v>6</v>
      </c>
      <c r="BY138" s="171">
        <f ca="1">IF(OR($D138&lt;&gt;"Serviço",AND(AUTOEVENTO="Manual",$M138=$A$15)),0,
         IF(OFFSET(CRONOPLE!$F$15,$M138-$A$15,BY$13)=0,10^12,OFFSET(CRONOPLE!$F$15,$M138-$A$15,BY$13)))</f>
        <v>7</v>
      </c>
      <c r="BZ138" s="171">
        <f ca="1">IF(OR($D138&lt;&gt;"Serviço",AND(AUTOEVENTO="Manual",$M138=$A$15)),0,
         IF(OFFSET(CRONOPLE!$F$15,$M138-$A$15,BZ$13)=0,10^12,OFFSET(CRONOPLE!$F$15,$M138-$A$15,BZ$13)))</f>
        <v>8</v>
      </c>
      <c r="CA138" s="171">
        <f ca="1">IF(OR($D138&lt;&gt;"Serviço",AND(AUTOEVENTO="Manual",$M138=$A$15)),0,
         IF(OFFSET(CRONOPLE!$F$15,$M138-$A$15,CA$13)=0,10^12,OFFSET(CRONOPLE!$F$15,$M138-$A$15,CA$13)))</f>
        <v>9</v>
      </c>
      <c r="CB138" s="171">
        <f ca="1">IF(OR($D138&lt;&gt;"Serviço",AND(AUTOEVENTO="Manual",$M138=$A$15)),0,
         IF(OFFSET(CRONOPLE!$F$15,$M138-$A$15,CB$13)=0,10^12,OFFSET(CRONOPLE!$F$15,$M138-$A$15,CB$13)))</f>
        <v>10</v>
      </c>
      <c r="CC138" s="171">
        <f ca="1">IF(OR($D138&lt;&gt;"Serviço",AND(AUTOEVENTO="Manual",$M138=$A$15)),0,
         IF(OFFSET(CRONOPLE!$F$15,$M138-$A$15,CC$13)=0,10^12,OFFSET(CRONOPLE!$F$15,$M138-$A$15,CC$13)))</f>
        <v>11</v>
      </c>
      <c r="CD138" s="171">
        <f ca="1">IF(OR($D138&lt;&gt;"Serviço",AND(AUTOEVENTO="Manual",$M138=$A$15)),0,
         IF(OFFSET(CRONOPLE!$F$15,$M138-$A$15,CD$13)=0,10^12,OFFSET(CRONOPLE!$F$15,$M138-$A$15,CD$13)))</f>
        <v>12</v>
      </c>
      <c r="CE138" s="171">
        <f ca="1">IF(OR($D138&lt;&gt;"Serviço",AND(AUTOEVENTO="Manual",$M138=$A$15)),0,
         IF(OFFSET(CRONOPLE!$F$15,$M138-$A$15,CE$13)=0,10^12,OFFSET(CRONOPLE!$F$15,$M138-$A$15,CE$13)))</f>
        <v>13</v>
      </c>
      <c r="CF138" s="171">
        <f ca="1">IF(OR($D138&lt;&gt;"Serviço",AND(AUTOEVENTO="Manual",$M138=$A$15)),0,
         IF(OFFSET(CRONOPLE!$F$15,$M138-$A$15,CF$13)=0,10^12,OFFSET(CRONOPLE!$F$15,$M138-$A$15,CF$13)))</f>
        <v>14</v>
      </c>
      <c r="CG138" s="171">
        <f ca="1">IF(OR($D138&lt;&gt;"Serviço",AND(AUTOEVENTO="Manual",$M138=$A$15)),0,
         IF(OFFSET(CRONOPLE!$F$15,$M138-$A$15,CG$13)=0,10^12,OFFSET(CRONOPLE!$F$15,$M138-$A$15,CG$13)))</f>
        <v>15</v>
      </c>
      <c r="CH138" s="171">
        <f ca="1">IF(OR($D138&lt;&gt;"Serviço",AND(AUTOEVENTO="Manual",$M138=$A$15)),0,
         IF(OFFSET(CRONOPLE!$F$15,$M138-$A$15,CH$13)=0,10^12,OFFSET(CRONOPLE!$F$15,$M138-$A$15,CH$13)))</f>
        <v>16</v>
      </c>
      <c r="CI138" s="171">
        <f ca="1">IF(OR($D138&lt;&gt;"Serviço",AND(AUTOEVENTO="Manual",$M138=$A$15)),0,
         IF(OFFSET(CRONOPLE!$F$15,$M138-$A$15,CI$13)=0,10^12,OFFSET(CRONOPLE!$F$15,$M138-$A$15,CI$13)))</f>
        <v>17</v>
      </c>
      <c r="CJ138" s="171">
        <f ca="1">IF(OR($D138&lt;&gt;"Serviço",AND(AUTOEVENTO="Manual",$M138=$A$15)),0,
         IF(OFFSET(CRONOPLE!$F$15,$M138-$A$15,CJ$13)=0,10^12,OFFSET(CRONOPLE!$F$15,$M138-$A$15,CJ$13)))</f>
        <v>18</v>
      </c>
      <c r="CK138" s="171">
        <f ca="1">IF(OR($D138&lt;&gt;"Serviço",AND(AUTOEVENTO="Manual",$M138=$A$15)),0,
         IF(OFFSET(CRONOPLE!$F$15,$M138-$A$15,CK$13)=0,10^12,OFFSET(CRONOPLE!$F$15,$M138-$A$15,CK$13)))</f>
        <v>19</v>
      </c>
      <c r="CL138" s="171">
        <f ca="1">IF(OR($D138&lt;&gt;"Serviço",AND(AUTOEVENTO="Manual",$M138=$A$15)),0,
         IF(OFFSET(CRONOPLE!$F$15,$M138-$A$15,CL$13)=0,10^12,OFFSET(CRONOPLE!$F$15,$M138-$A$15,CL$13)))</f>
        <v>20</v>
      </c>
      <c r="CM138" s="171">
        <f ca="1">IF(OR($D138&lt;&gt;"Serviço",AND(AUTOEVENTO="Manual",$M138=$A$15)),0,
         IF(OFFSET(CRONOPLE!$F$15,$M138-$A$15,CM$13)=0,10^12,OFFSET(CRONOPLE!$F$15,$M138-$A$15,CM$13)))</f>
        <v>1000000000000</v>
      </c>
      <c r="CN138" s="171">
        <f ca="1">IF(OR($D138&lt;&gt;"Serviço",AND(AUTOEVENTO="Manual",$M138=$A$15)),0,
         IF(OFFSET(CRONOPLE!$F$15,$M138-$A$15,CN$13)=0,10^12,OFFSET(CRONOPLE!$F$15,$M138-$A$15,CN$13)))</f>
        <v>1000000000000</v>
      </c>
      <c r="CO138" s="171">
        <f ca="1">IF(OR($D138&lt;&gt;"Serviço",AND(AUTOEVENTO="Manual",$M138=$A$15)),0,
         IF(OFFSET(CRONOPLE!$F$15,$M138-$A$15,CO$13)=0,10^12,OFFSET(CRONOPLE!$F$15,$M138-$A$15,CO$13)))</f>
        <v>1000000000000</v>
      </c>
      <c r="CP138" s="171">
        <f ca="1">IF(OR($D138&lt;&gt;"Serviço",AND(AUTOEVENTO="Manual",$M138=$A$15)),0,
         IF(OFFSET(CRONOPLE!$F$15,$M138-$A$15,CP$13)=0,10^12,OFFSET(CRONOPLE!$F$15,$M138-$A$15,CP$13)))</f>
        <v>1000000000000</v>
      </c>
      <c r="CQ138" s="171">
        <f ca="1">IF(OR($D138&lt;&gt;"Serviço",AND(AUTOEVENTO="Manual",$M138=$A$15)),0,
         IF(OFFSET(CRONOPLE!$F$15,$M138-$A$15,CQ$13)=0,10^12,OFFSET(CRONOPLE!$F$15,$M138-$A$15,CQ$13)))</f>
        <v>1000000000000</v>
      </c>
      <c r="CR138" s="171">
        <f ca="1">IF(OR($D138&lt;&gt;"Serviço",AND(AUTOEVENTO="Manual",$M138=$A$15)),0,
         IF(OFFSET(CRONOPLE!$F$15,$M138-$A$15,CR$13)=0,10^12,OFFSET(CRONOPLE!$F$15,$M138-$A$15,CR$13)))</f>
        <v>1000000000000</v>
      </c>
      <c r="CT138" s="172" cm="1">
        <f t="array" aca="1" ref="CT138" ca="1">IF(OR($D138&lt;&gt;"Serviço",AND(AUTOEVENTO="Manual",$M138=$A$15),$M138&gt;(ROW(PLE.lastrow)-ROW(PLE.firstrow))),0,
           IF(OFFSET(PLE!$G$15,$M138-$A$15,CT$13)="",10^12,OFFSET(PLE!$G$15,$M138-$A$15,CT$13)))</f>
        <v>1000000000000</v>
      </c>
      <c r="CU138" s="172" cm="1">
        <f t="array" aca="1" ref="CU138" ca="1">IF(OR($D138&lt;&gt;"Serviço",AND(AUTOEVENTO="Manual",$M138=$A$15),$M138&gt;(ROW(PLE.lastrow)-ROW(PLE.firstrow))),0,
           IF(OFFSET(PLE!$G$15,$M138-$A$15,CU$13)="",10^12,OFFSET(PLE!$G$15,$M138-$A$15,CU$13)))</f>
        <v>1000000000000</v>
      </c>
      <c r="CV138" s="172" cm="1">
        <f t="array" aca="1" ref="CV138" ca="1">IF(OR($D138&lt;&gt;"Serviço",AND(AUTOEVENTO="Manual",$M138=$A$15),$M138&gt;(ROW(PLE.lastrow)-ROW(PLE.firstrow))),0,
           IF(OFFSET(PLE!$G$15,$M138-$A$15,CV$13)="",10^12,OFFSET(PLE!$G$15,$M138-$A$15,CV$13)))</f>
        <v>1000000000000</v>
      </c>
      <c r="CW138" s="172" cm="1">
        <f t="array" aca="1" ref="CW138" ca="1">IF(OR($D138&lt;&gt;"Serviço",AND(AUTOEVENTO="Manual",$M138=$A$15),$M138&gt;(ROW(PLE.lastrow)-ROW(PLE.firstrow))),0,
           IF(OFFSET(PLE!$G$15,$M138-$A$15,CW$13)="",10^12,OFFSET(PLE!$G$15,$M138-$A$15,CW$13)))</f>
        <v>1000000000000</v>
      </c>
      <c r="CX138" s="172" cm="1">
        <f t="array" aca="1" ref="CX138" ca="1">IF(OR($D138&lt;&gt;"Serviço",AND(AUTOEVENTO="Manual",$M138=$A$15),$M138&gt;(ROW(PLE.lastrow)-ROW(PLE.firstrow))),0,
           IF(OFFSET(PLE!$G$15,$M138-$A$15,CX$13)="",10^12,OFFSET(PLE!$G$15,$M138-$A$15,CX$13)))</f>
        <v>1000000000000</v>
      </c>
      <c r="CY138" s="172" cm="1">
        <f t="array" aca="1" ref="CY138" ca="1">IF(OR($D138&lt;&gt;"Serviço",AND(AUTOEVENTO="Manual",$M138=$A$15),$M138&gt;(ROW(PLE.lastrow)-ROW(PLE.firstrow))),0,
           IF(OFFSET(PLE!$G$15,$M138-$A$15,CY$13)="",10^12,OFFSET(PLE!$G$15,$M138-$A$15,CY$13)))</f>
        <v>1000000000000</v>
      </c>
      <c r="CZ138" s="172" cm="1">
        <f t="array" aca="1" ref="CZ138" ca="1">IF(OR($D138&lt;&gt;"Serviço",AND(AUTOEVENTO="Manual",$M138=$A$15),$M138&gt;(ROW(PLE.lastrow)-ROW(PLE.firstrow))),0,
           IF(OFFSET(PLE!$G$15,$M138-$A$15,CZ$13)="",10^12,OFFSET(PLE!$G$15,$M138-$A$15,CZ$13)))</f>
        <v>1000000000000</v>
      </c>
      <c r="DA138" s="172" cm="1">
        <f t="array" aca="1" ref="DA138" ca="1">IF(OR($D138&lt;&gt;"Serviço",AND(AUTOEVENTO="Manual",$M138=$A$15),$M138&gt;(ROW(PLE.lastrow)-ROW(PLE.firstrow))),0,
           IF(OFFSET(PLE!$G$15,$M138-$A$15,DA$13)="",10^12,OFFSET(PLE!$G$15,$M138-$A$15,DA$13)))</f>
        <v>1000000000000</v>
      </c>
      <c r="DB138" s="172" cm="1">
        <f t="array" aca="1" ref="DB138" ca="1">IF(OR($D138&lt;&gt;"Serviço",AND(AUTOEVENTO="Manual",$M138=$A$15),$M138&gt;(ROW(PLE.lastrow)-ROW(PLE.firstrow))),0,
           IF(OFFSET(PLE!$G$15,$M138-$A$15,DB$13)="",10^12,OFFSET(PLE!$G$15,$M138-$A$15,DB$13)))</f>
        <v>1000000000000</v>
      </c>
      <c r="DC138" s="172" cm="1">
        <f t="array" aca="1" ref="DC138" ca="1">IF(OR($D138&lt;&gt;"Serviço",AND(AUTOEVENTO="Manual",$M138=$A$15),$M138&gt;(ROW(PLE.lastrow)-ROW(PLE.firstrow))),0,
           IF(OFFSET(PLE!$G$15,$M138-$A$15,DC$13)="",10^12,OFFSET(PLE!$G$15,$M138-$A$15,DC$13)))</f>
        <v>1000000000000</v>
      </c>
      <c r="DD138" s="172" cm="1">
        <f t="array" aca="1" ref="DD138" ca="1">IF(OR($D138&lt;&gt;"Serviço",AND(AUTOEVENTO="Manual",$M138=$A$15),$M138&gt;(ROW(PLE.lastrow)-ROW(PLE.firstrow))),0,
           IF(OFFSET(PLE!$G$15,$M138-$A$15,DD$13)="",10^12,OFFSET(PLE!$G$15,$M138-$A$15,DD$13)))</f>
        <v>1000000000000</v>
      </c>
      <c r="DE138" s="172" cm="1">
        <f t="array" aca="1" ref="DE138" ca="1">IF(OR($D138&lt;&gt;"Serviço",AND(AUTOEVENTO="Manual",$M138=$A$15),$M138&gt;(ROW(PLE.lastrow)-ROW(PLE.firstrow))),0,
           IF(OFFSET(PLE!$G$15,$M138-$A$15,DE$13)="",10^12,OFFSET(PLE!$G$15,$M138-$A$15,DE$13)))</f>
        <v>1000000000000</v>
      </c>
      <c r="DF138" s="172" cm="1">
        <f t="array" aca="1" ref="DF138" ca="1">IF(OR($D138&lt;&gt;"Serviço",AND(AUTOEVENTO="Manual",$M138=$A$15),$M138&gt;(ROW(PLE.lastrow)-ROW(PLE.firstrow))),0,
           IF(OFFSET(PLE!$G$15,$M138-$A$15,DF$13)="",10^12,OFFSET(PLE!$G$15,$M138-$A$15,DF$13)))</f>
        <v>1000000000000</v>
      </c>
      <c r="DG138" s="172" cm="1">
        <f t="array" aca="1" ref="DG138" ca="1">IF(OR($D138&lt;&gt;"Serviço",AND(AUTOEVENTO="Manual",$M138=$A$15),$M138&gt;(ROW(PLE.lastrow)-ROW(PLE.firstrow))),0,
           IF(OFFSET(PLE!$G$15,$M138-$A$15,DG$13)="",10^12,OFFSET(PLE!$G$15,$M138-$A$15,DG$13)))</f>
        <v>1000000000000</v>
      </c>
      <c r="DH138" s="172" cm="1">
        <f t="array" aca="1" ref="DH138" ca="1">IF(OR($D138&lt;&gt;"Serviço",AND(AUTOEVENTO="Manual",$M138=$A$15),$M138&gt;(ROW(PLE.lastrow)-ROW(PLE.firstrow))),0,
           IF(OFFSET(PLE!$G$15,$M138-$A$15,DH$13)="",10^12,OFFSET(PLE!$G$15,$M138-$A$15,DH$13)))</f>
        <v>1000000000000</v>
      </c>
      <c r="DI138" s="172" cm="1">
        <f t="array" aca="1" ref="DI138" ca="1">IF(OR($D138&lt;&gt;"Serviço",AND(AUTOEVENTO="Manual",$M138=$A$15),$M138&gt;(ROW(PLE.lastrow)-ROW(PLE.firstrow))),0,
           IF(OFFSET(PLE!$G$15,$M138-$A$15,DI$13)="",10^12,OFFSET(PLE!$G$15,$M138-$A$15,DI$13)))</f>
        <v>1000000000000</v>
      </c>
      <c r="DJ138" s="172" cm="1">
        <f t="array" aca="1" ref="DJ138" ca="1">IF(OR($D138&lt;&gt;"Serviço",AND(AUTOEVENTO="Manual",$M138=$A$15),$M138&gt;(ROW(PLE.lastrow)-ROW(PLE.firstrow))),0,
           IF(OFFSET(PLE!$G$15,$M138-$A$15,DJ$13)="",10^12,OFFSET(PLE!$G$15,$M138-$A$15,DJ$13)))</f>
        <v>1000000000000</v>
      </c>
      <c r="DK138" s="172" cm="1">
        <f t="array" aca="1" ref="DK138" ca="1">IF(OR($D138&lt;&gt;"Serviço",AND(AUTOEVENTO="Manual",$M138=$A$15),$M138&gt;(ROW(PLE.lastrow)-ROW(PLE.firstrow))),0,
           IF(OFFSET(PLE!$G$15,$M138-$A$15,DK$13)="",10^12,OFFSET(PLE!$G$15,$M138-$A$15,DK$13)))</f>
        <v>1000000000000</v>
      </c>
      <c r="DL138" s="172" cm="1">
        <f t="array" aca="1" ref="DL138" ca="1">IF(OR($D138&lt;&gt;"Serviço",AND(AUTOEVENTO="Manual",$M138=$A$15),$M138&gt;(ROW(PLE.lastrow)-ROW(PLE.firstrow))),0,
           IF(OFFSET(PLE!$G$15,$M138-$A$15,DL$13)="",10^12,OFFSET(PLE!$G$15,$M138-$A$15,DL$13)))</f>
        <v>1000000000000</v>
      </c>
      <c r="DM138" s="172" cm="1">
        <f t="array" aca="1" ref="DM138" ca="1">IF(OR($D138&lt;&gt;"Serviço",AND(AUTOEVENTO="Manual",$M138=$A$15),$M138&gt;(ROW(PLE.lastrow)-ROW(PLE.firstrow))),0,
           IF(OFFSET(PLE!$G$15,$M138-$A$15,DM$13)="",10^12,OFFSET(PLE!$G$15,$M138-$A$15,DM$13)))</f>
        <v>1000000000000</v>
      </c>
      <c r="DN138" s="172" cm="1">
        <f t="array" aca="1" ref="DN138" ca="1">IF(OR($D138&lt;&gt;"Serviço",AND(AUTOEVENTO="Manual",$M138=$A$15),$M138&gt;(ROW(PLE.lastrow)-ROW(PLE.firstrow))),0,
           IF(OFFSET(PLE!$G$15,$M138-$A$15,DN$13)="",10^12,OFFSET(PLE!$G$15,$M138-$A$15,DN$13)))</f>
        <v>1000000000000</v>
      </c>
      <c r="DO138" s="172" cm="1">
        <f t="array" aca="1" ref="DO138" ca="1">IF(OR($D138&lt;&gt;"Serviço",AND(AUTOEVENTO="Manual",$M138=$A$15),$M138&gt;(ROW(PLE.lastrow)-ROW(PLE.firstrow))),0,
           IF(OFFSET(PLE!$G$15,$M138-$A$15,DO$13)="",10^12,OFFSET(PLE!$G$15,$M138-$A$15,DO$13)))</f>
        <v>1000000000000</v>
      </c>
      <c r="DP138" s="172" cm="1">
        <f t="array" aca="1" ref="DP138" ca="1">IF(OR($D138&lt;&gt;"Serviço",AND(AUTOEVENTO="Manual",$M138=$A$15),$M138&gt;(ROW(PLE.lastrow)-ROW(PLE.firstrow))),0,
           IF(OFFSET(PLE!$G$15,$M138-$A$15,DP$13)="",10^12,OFFSET(PLE!$G$15,$M138-$A$15,DP$13)))</f>
        <v>1000000000000</v>
      </c>
      <c r="DQ138" s="172" cm="1">
        <f t="array" aca="1" ref="DQ138" ca="1">IF(OR($D138&lt;&gt;"Serviço",AND(AUTOEVENTO="Manual",$M138=$A$15),$M138&gt;(ROW(PLE.lastrow)-ROW(PLE.firstrow))),0,
           IF(OFFSET(PLE!$G$15,$M138-$A$15,DQ$13)="",10^12,OFFSET(PLE!$G$15,$M138-$A$15,DQ$13)))</f>
        <v>1000000000000</v>
      </c>
      <c r="DR138" s="172" cm="1">
        <f t="array" aca="1" ref="DR138" ca="1">IF(OR($D138&lt;&gt;"Serviço",AND(AUTOEVENTO="Manual",$M138=$A$15),$M138&gt;(ROW(PLE.lastrow)-ROW(PLE.firstrow))),0,
           IF(OFFSET(PLE!$G$15,$M138-$A$15,DR$13)="",10^12,OFFSET(PLE!$G$15,$M138-$A$15,DR$13)))</f>
        <v>1000000000000</v>
      </c>
      <c r="DS138" s="172" cm="1">
        <f t="array" aca="1" ref="DS138" ca="1">IF(OR($D138&lt;&gt;"Serviço",AND(AUTOEVENTO="Manual",$M138=$A$15),$M138&gt;(ROW(PLE.lastrow)-ROW(PLE.firstrow))),0,
           IF(OFFSET(PLE!$G$15,$M138-$A$15,DS$13)="",10^12,OFFSET(PLE!$G$15,$M138-$A$15,DS$13)))</f>
        <v>1000000000000</v>
      </c>
    </row>
    <row r="139" spans="1:123" ht="25.5" x14ac:dyDescent="0.2">
      <c r="A139" s="7">
        <f t="shared" ca="1" si="15"/>
        <v>9</v>
      </c>
      <c r="B139" s="7" t="str">
        <f ca="1">OFFSET(ORÇAMENTO!C$15,$L139,0)</f>
        <v>S</v>
      </c>
      <c r="C139" s="7" t="str">
        <f ca="1">OFFSET(ORÇAMENTO!L$15,$L139,0)</f>
        <v/>
      </c>
      <c r="D139" s="116" t="str">
        <f ca="1">OFFSET(ORÇAMENTO!N$15,$L139,0)</f>
        <v>Serviço</v>
      </c>
      <c r="E139" s="117" t="str">
        <f ca="1">OFFSET(ORÇAMENTO!O$15,$L139,0)</f>
        <v>-</v>
      </c>
      <c r="F139" s="163" t="str">
        <f ca="1">OFFSET(ORÇAMENTO!R$15,$L139,0)</f>
        <v>(Código não identificado nas referências)</v>
      </c>
      <c r="G139" s="164" t="str">
        <f ca="1">IF($D139&lt;&gt;"Serviço","",OFFSET(ORÇAMENTO!S$15,$L139,0))</f>
        <v>-</v>
      </c>
      <c r="H139" s="122" cm="1">
        <f t="array" aca="1" ref="H139" ca="1">IF($D139&lt;&gt;"Serviço",0,IF(ACOMPANHAMENTO="BM",ROUND(OFFSET(ORÇAMENTO!AJ$15,$L139,0),15-13*ORÇAMENTO!$AF$7),IF(IFERROR(CÁLCULO.FrentesPreenchidas,0)=0,0,SUM(ROUND(OFFSET($P139,0,1,1,CÁLCULO.FrentesPreenchidas),15-13*ORÇAMENTO!$AF$7)))))</f>
        <v>40</v>
      </c>
      <c r="I139" s="468" t="s">
        <v>1235</v>
      </c>
      <c r="J139" s="651" t="str" cm="1">
        <f t="array" aca="1" ref="J139" ca="1">IF(OR(B139&lt;&gt;"S",CÁLCULO.FrentesPreenchidas=0),"",IF(AND(ACOMPANHAMENTO="PLE",AUTOEVENTO="Manual",OR(H139&gt;0,ORÇAMENTO!AC139="QUANT."),OR(K139="",M139=0,N139="")),"►E",IF(AND(ACOMPANHAMENTO="PLE",ORÇAMENTO!AC139="QUANT."),"►Q",IF(AND(ACOMPANHAMENTO="PLE",H139&lt;&gt;SUMPRODUCT(($Q$1:$AQ$1=1)*ROUND(Q139:AQ139,15))),"►S",IF(AND(COUNTIF($P$11:$AQ$11,"▼")=0,H139&gt;0,I139=""),"◄M","")))))</f>
        <v/>
      </c>
      <c r="K139" s="652" t="s">
        <v>1257</v>
      </c>
      <c r="L139" s="165">
        <f t="shared" ca="1" si="14"/>
        <v>124</v>
      </c>
      <c r="M139" s="166">
        <f ca="1">IF($D139&lt;&gt;"Serviço","",
          IF(AUTOEVENTO="manual",$A139,
                IF(ISERROR(MATCH($A139,$A$15:OFFSET($A139,-1,0),0)),MAX($M$15:OFFSET(M139,-1,0))+1,
                      INDEX($M$15:OFFSET(M139,-1,0),MATCH($A139,$A$15:OFFSET($A139,-1,0),0)))))</f>
        <v>9</v>
      </c>
      <c r="N139" s="167" t="str">
        <f ca="1">IF($D139&lt;&gt;"Serviço","",
         IF(AUTOEVENTO="Manual",
                IF($A139=0,"&lt;-- defina o número do agrupador",
                       OFFSET(EVENTOS!$D$15,$A139-$A$15,0)),
                OFFSET($F$15,$A139,0)))</f>
        <v>INSTALAÇÕES</v>
      </c>
      <c r="O139" s="168"/>
      <c r="Q139" s="168">
        <v>2</v>
      </c>
      <c r="R139" s="169">
        <v>2</v>
      </c>
      <c r="S139" s="169">
        <v>2</v>
      </c>
      <c r="T139" s="169">
        <v>2</v>
      </c>
      <c r="U139" s="169">
        <v>2</v>
      </c>
      <c r="V139" s="169">
        <v>2</v>
      </c>
      <c r="W139" s="169">
        <v>2</v>
      </c>
      <c r="X139" s="169">
        <v>2</v>
      </c>
      <c r="Y139" s="169">
        <v>2</v>
      </c>
      <c r="Z139" s="170">
        <v>2</v>
      </c>
      <c r="AA139" s="169">
        <v>2</v>
      </c>
      <c r="AB139" s="169">
        <v>2</v>
      </c>
      <c r="AC139" s="169">
        <v>2</v>
      </c>
      <c r="AD139" s="169">
        <v>2</v>
      </c>
      <c r="AE139" s="169">
        <v>2</v>
      </c>
      <c r="AF139" s="169">
        <v>2</v>
      </c>
      <c r="AG139" s="169">
        <v>2</v>
      </c>
      <c r="AH139" s="170">
        <v>2</v>
      </c>
      <c r="AI139" s="169">
        <v>2</v>
      </c>
      <c r="AJ139" s="169">
        <v>2</v>
      </c>
      <c r="AK139" s="169"/>
      <c r="AL139" s="169"/>
      <c r="AM139" s="169"/>
      <c r="AN139" s="169"/>
      <c r="AO139" s="169"/>
      <c r="AP139" s="170"/>
      <c r="AR139" s="453">
        <f ca="1">IF(AND($D139="Serviço",AR$12&lt;&gt;0,$H139&gt;0,OR(AUTOEVENTO&lt;&gt;"manual",$M139&lt;&gt;$A$15)),
        IF(Import.TipoArredondamento&lt;&gt;"TransfereGOV",
              ROUND(OFFSET($P139,0,AR$13),15-13*ORÇAMENTO!$AF$7)/$H139*OFFSET(ORÇAMENTO!$X$15,ROW(AR139)-ROW(AR$15),0),
              ROUND(ROUND(OFFSET($P139,0,AR$13),15-13*ORÇAMENTO!$AF$7)*OFFSET(ORÇAMENTO!$W$15,ROW(AR139)-ROW(AR$15),0),15-13*ORÇAMENTO!$AF$11)),
         0)</f>
        <v>0</v>
      </c>
      <c r="AS139" s="453">
        <f ca="1">IF(AND($D139="Serviço",AS$12&lt;&gt;0,$H139&gt;0,OR(AUTOEVENTO&lt;&gt;"manual",$M139&lt;&gt;$A$15)),
        IF(Import.TipoArredondamento&lt;&gt;"TransfereGOV",
              ROUND(OFFSET($P139,0,AS$13),15-13*ORÇAMENTO!$AF$7)/$H139*OFFSET(ORÇAMENTO!$X$15,ROW(AS139)-ROW(AS$15),0),
              ROUND(ROUND(OFFSET($P139,0,AS$13),15-13*ORÇAMENTO!$AF$7)*OFFSET(ORÇAMENTO!$W$15,ROW(AS139)-ROW(AS$15),0),15-13*ORÇAMENTO!$AF$11)),
         0)</f>
        <v>0</v>
      </c>
      <c r="AT139" s="453">
        <f ca="1">IF(AND($D139="Serviço",AT$12&lt;&gt;0,$H139&gt;0,OR(AUTOEVENTO&lt;&gt;"manual",$M139&lt;&gt;$A$15)),
        IF(Import.TipoArredondamento&lt;&gt;"TransfereGOV",
              ROUND(OFFSET($P139,0,AT$13),15-13*ORÇAMENTO!$AF$7)/$H139*OFFSET(ORÇAMENTO!$X$15,ROW(AT139)-ROW(AT$15),0),
              ROUND(ROUND(OFFSET($P139,0,AT$13),15-13*ORÇAMENTO!$AF$7)*OFFSET(ORÇAMENTO!$W$15,ROW(AT139)-ROW(AT$15),0),15-13*ORÇAMENTO!$AF$11)),
         0)</f>
        <v>0</v>
      </c>
      <c r="AU139" s="453">
        <f ca="1">IF(AND($D139="Serviço",AU$12&lt;&gt;0,$H139&gt;0,OR(AUTOEVENTO&lt;&gt;"manual",$M139&lt;&gt;$A$15)),
        IF(Import.TipoArredondamento&lt;&gt;"TransfereGOV",
              ROUND(OFFSET($P139,0,AU$13),15-13*ORÇAMENTO!$AF$7)/$H139*OFFSET(ORÇAMENTO!$X$15,ROW(AU139)-ROW(AU$15),0),
              ROUND(ROUND(OFFSET($P139,0,AU$13),15-13*ORÇAMENTO!$AF$7)*OFFSET(ORÇAMENTO!$W$15,ROW(AU139)-ROW(AU$15),0),15-13*ORÇAMENTO!$AF$11)),
         0)</f>
        <v>0</v>
      </c>
      <c r="AV139" s="453">
        <f ca="1">IF(AND($D139="Serviço",AV$12&lt;&gt;0,$H139&gt;0,OR(AUTOEVENTO&lt;&gt;"manual",$M139&lt;&gt;$A$15)),
        IF(Import.TipoArredondamento&lt;&gt;"TransfereGOV",
              ROUND(OFFSET($P139,0,AV$13),15-13*ORÇAMENTO!$AF$7)/$H139*OFFSET(ORÇAMENTO!$X$15,ROW(AV139)-ROW(AV$15),0),
              ROUND(ROUND(OFFSET($P139,0,AV$13),15-13*ORÇAMENTO!$AF$7)*OFFSET(ORÇAMENTO!$W$15,ROW(AV139)-ROW(AV$15),0),15-13*ORÇAMENTO!$AF$11)),
         0)</f>
        <v>0</v>
      </c>
      <c r="AW139" s="453">
        <f ca="1">IF(AND($D139="Serviço",AW$12&lt;&gt;0,$H139&gt;0,OR(AUTOEVENTO&lt;&gt;"manual",$M139&lt;&gt;$A$15)),
        IF(Import.TipoArredondamento&lt;&gt;"TransfereGOV",
              ROUND(OFFSET($P139,0,AW$13),15-13*ORÇAMENTO!$AF$7)/$H139*OFFSET(ORÇAMENTO!$X$15,ROW(AW139)-ROW(AW$15),0),
              ROUND(ROUND(OFFSET($P139,0,AW$13),15-13*ORÇAMENTO!$AF$7)*OFFSET(ORÇAMENTO!$W$15,ROW(AW139)-ROW(AW$15),0),15-13*ORÇAMENTO!$AF$11)),
         0)</f>
        <v>0</v>
      </c>
      <c r="AX139" s="453">
        <f ca="1">IF(AND($D139="Serviço",AX$12&lt;&gt;0,$H139&gt;0,OR(AUTOEVENTO&lt;&gt;"manual",$M139&lt;&gt;$A$15)),
        IF(Import.TipoArredondamento&lt;&gt;"TransfereGOV",
              ROUND(OFFSET($P139,0,AX$13),15-13*ORÇAMENTO!$AF$7)/$H139*OFFSET(ORÇAMENTO!$X$15,ROW(AX139)-ROW(AX$15),0),
              ROUND(ROUND(OFFSET($P139,0,AX$13),15-13*ORÇAMENTO!$AF$7)*OFFSET(ORÇAMENTO!$W$15,ROW(AX139)-ROW(AX$15),0),15-13*ORÇAMENTO!$AF$11)),
         0)</f>
        <v>0</v>
      </c>
      <c r="AY139" s="453">
        <f ca="1">IF(AND($D139="Serviço",AY$12&lt;&gt;0,$H139&gt;0,OR(AUTOEVENTO&lt;&gt;"manual",$M139&lt;&gt;$A$15)),
        IF(Import.TipoArredondamento&lt;&gt;"TransfereGOV",
              ROUND(OFFSET($P139,0,AY$13),15-13*ORÇAMENTO!$AF$7)/$H139*OFFSET(ORÇAMENTO!$X$15,ROW(AY139)-ROW(AY$15),0),
              ROUND(ROUND(OFFSET($P139,0,AY$13),15-13*ORÇAMENTO!$AF$7)*OFFSET(ORÇAMENTO!$W$15,ROW(AY139)-ROW(AY$15),0),15-13*ORÇAMENTO!$AF$11)),
         0)</f>
        <v>0</v>
      </c>
      <c r="AZ139" s="453">
        <f ca="1">IF(AND($D139="Serviço",AZ$12&lt;&gt;0,$H139&gt;0,OR(AUTOEVENTO&lt;&gt;"manual",$M139&lt;&gt;$A$15)),
        IF(Import.TipoArredondamento&lt;&gt;"TransfereGOV",
              ROUND(OFFSET($P139,0,AZ$13),15-13*ORÇAMENTO!$AF$7)/$H139*OFFSET(ORÇAMENTO!$X$15,ROW(AZ139)-ROW(AZ$15),0),
              ROUND(ROUND(OFFSET($P139,0,AZ$13),15-13*ORÇAMENTO!$AF$7)*OFFSET(ORÇAMENTO!$W$15,ROW(AZ139)-ROW(AZ$15),0),15-13*ORÇAMENTO!$AF$11)),
         0)</f>
        <v>0</v>
      </c>
      <c r="BA139" s="453">
        <f ca="1">IF(AND($D139="Serviço",BA$12&lt;&gt;0,$H139&gt;0,OR(AUTOEVENTO&lt;&gt;"manual",$M139&lt;&gt;$A$15)),
        IF(Import.TipoArredondamento&lt;&gt;"TransfereGOV",
              ROUND(OFFSET($P139,0,BA$13),15-13*ORÇAMENTO!$AF$7)/$H139*OFFSET(ORÇAMENTO!$X$15,ROW(BA139)-ROW(BA$15),0),
              ROUND(ROUND(OFFSET($P139,0,BA$13),15-13*ORÇAMENTO!$AF$7)*OFFSET(ORÇAMENTO!$W$15,ROW(BA139)-ROW(BA$15),0),15-13*ORÇAMENTO!$AF$11)),
         0)</f>
        <v>0</v>
      </c>
      <c r="BB139" s="453">
        <f ca="1">IF(AND($D139="Serviço",BB$12&lt;&gt;0,$H139&gt;0,OR(AUTOEVENTO&lt;&gt;"manual",$M139&lt;&gt;$A$15)),
        IF(Import.TipoArredondamento&lt;&gt;"TransfereGOV",
              ROUND(OFFSET($P139,0,BB$13),15-13*ORÇAMENTO!$AF$7)/$H139*OFFSET(ORÇAMENTO!$X$15,ROW(BB139)-ROW(BB$15),0),
              ROUND(ROUND(OFFSET($P139,0,BB$13),15-13*ORÇAMENTO!$AF$7)*OFFSET(ORÇAMENTO!$W$15,ROW(BB139)-ROW(BB$15),0),15-13*ORÇAMENTO!$AF$11)),
         0)</f>
        <v>0</v>
      </c>
      <c r="BC139" s="453">
        <f ca="1">IF(AND($D139="Serviço",BC$12&lt;&gt;0,$H139&gt;0,OR(AUTOEVENTO&lt;&gt;"manual",$M139&lt;&gt;$A$15)),
        IF(Import.TipoArredondamento&lt;&gt;"TransfereGOV",
              ROUND(OFFSET($P139,0,BC$13),15-13*ORÇAMENTO!$AF$7)/$H139*OFFSET(ORÇAMENTO!$X$15,ROW(BC139)-ROW(BC$15),0),
              ROUND(ROUND(OFFSET($P139,0,BC$13),15-13*ORÇAMENTO!$AF$7)*OFFSET(ORÇAMENTO!$W$15,ROW(BC139)-ROW(BC$15),0),15-13*ORÇAMENTO!$AF$11)),
         0)</f>
        <v>0</v>
      </c>
      <c r="BD139" s="453">
        <f ca="1">IF(AND($D139="Serviço",BD$12&lt;&gt;0,$H139&gt;0,OR(AUTOEVENTO&lt;&gt;"manual",$M139&lt;&gt;$A$15)),
        IF(Import.TipoArredondamento&lt;&gt;"TransfereGOV",
              ROUND(OFFSET($P139,0,BD$13),15-13*ORÇAMENTO!$AF$7)/$H139*OFFSET(ORÇAMENTO!$X$15,ROW(BD139)-ROW(BD$15),0),
              ROUND(ROUND(OFFSET($P139,0,BD$13),15-13*ORÇAMENTO!$AF$7)*OFFSET(ORÇAMENTO!$W$15,ROW(BD139)-ROW(BD$15),0),15-13*ORÇAMENTO!$AF$11)),
         0)</f>
        <v>0</v>
      </c>
      <c r="BE139" s="453">
        <f ca="1">IF(AND($D139="Serviço",BE$12&lt;&gt;0,$H139&gt;0,OR(AUTOEVENTO&lt;&gt;"manual",$M139&lt;&gt;$A$15)),
        IF(Import.TipoArredondamento&lt;&gt;"TransfereGOV",
              ROUND(OFFSET($P139,0,BE$13),15-13*ORÇAMENTO!$AF$7)/$H139*OFFSET(ORÇAMENTO!$X$15,ROW(BE139)-ROW(BE$15),0),
              ROUND(ROUND(OFFSET($P139,0,BE$13),15-13*ORÇAMENTO!$AF$7)*OFFSET(ORÇAMENTO!$W$15,ROW(BE139)-ROW(BE$15),0),15-13*ORÇAMENTO!$AF$11)),
         0)</f>
        <v>0</v>
      </c>
      <c r="BF139" s="453">
        <f ca="1">IF(AND($D139="Serviço",BF$12&lt;&gt;0,$H139&gt;0,OR(AUTOEVENTO&lt;&gt;"manual",$M139&lt;&gt;$A$15)),
        IF(Import.TipoArredondamento&lt;&gt;"TransfereGOV",
              ROUND(OFFSET($P139,0,BF$13),15-13*ORÇAMENTO!$AF$7)/$H139*OFFSET(ORÇAMENTO!$X$15,ROW(BF139)-ROW(BF$15),0),
              ROUND(ROUND(OFFSET($P139,0,BF$13),15-13*ORÇAMENTO!$AF$7)*OFFSET(ORÇAMENTO!$W$15,ROW(BF139)-ROW(BF$15),0),15-13*ORÇAMENTO!$AF$11)),
         0)</f>
        <v>0</v>
      </c>
      <c r="BG139" s="453">
        <f ca="1">IF(AND($D139="Serviço",BG$12&lt;&gt;0,$H139&gt;0,OR(AUTOEVENTO&lt;&gt;"manual",$M139&lt;&gt;$A$15)),
        IF(Import.TipoArredondamento&lt;&gt;"TransfereGOV",
              ROUND(OFFSET($P139,0,BG$13),15-13*ORÇAMENTO!$AF$7)/$H139*OFFSET(ORÇAMENTO!$X$15,ROW(BG139)-ROW(BG$15),0),
              ROUND(ROUND(OFFSET($P139,0,BG$13),15-13*ORÇAMENTO!$AF$7)*OFFSET(ORÇAMENTO!$W$15,ROW(BG139)-ROW(BG$15),0),15-13*ORÇAMENTO!$AF$11)),
         0)</f>
        <v>0</v>
      </c>
      <c r="BH139" s="453">
        <f ca="1">IF(AND($D139="Serviço",BH$12&lt;&gt;0,$H139&gt;0,OR(AUTOEVENTO&lt;&gt;"manual",$M139&lt;&gt;$A$15)),
        IF(Import.TipoArredondamento&lt;&gt;"TransfereGOV",
              ROUND(OFFSET($P139,0,BH$13),15-13*ORÇAMENTO!$AF$7)/$H139*OFFSET(ORÇAMENTO!$X$15,ROW(BH139)-ROW(BH$15),0),
              ROUND(ROUND(OFFSET($P139,0,BH$13),15-13*ORÇAMENTO!$AF$7)*OFFSET(ORÇAMENTO!$W$15,ROW(BH139)-ROW(BH$15),0),15-13*ORÇAMENTO!$AF$11)),
         0)</f>
        <v>0</v>
      </c>
      <c r="BI139" s="453">
        <f ca="1">IF(AND($D139="Serviço",BI$12&lt;&gt;0,$H139&gt;0,OR(AUTOEVENTO&lt;&gt;"manual",$M139&lt;&gt;$A$15)),
        IF(Import.TipoArredondamento&lt;&gt;"TransfereGOV",
              ROUND(OFFSET($P139,0,BI$13),15-13*ORÇAMENTO!$AF$7)/$H139*OFFSET(ORÇAMENTO!$X$15,ROW(BI139)-ROW(BI$15),0),
              ROUND(ROUND(OFFSET($P139,0,BI$13),15-13*ORÇAMENTO!$AF$7)*OFFSET(ORÇAMENTO!$W$15,ROW(BI139)-ROW(BI$15),0),15-13*ORÇAMENTO!$AF$11)),
         0)</f>
        <v>0</v>
      </c>
      <c r="BJ139" s="453">
        <f ca="1">IF(AND($D139="Serviço",BJ$12&lt;&gt;0,$H139&gt;0,OR(AUTOEVENTO&lt;&gt;"manual",$M139&lt;&gt;$A$15)),
        IF(Import.TipoArredondamento&lt;&gt;"TransfereGOV",
              ROUND(OFFSET($P139,0,BJ$13),15-13*ORÇAMENTO!$AF$7)/$H139*OFFSET(ORÇAMENTO!$X$15,ROW(BJ139)-ROW(BJ$15),0),
              ROUND(ROUND(OFFSET($P139,0,BJ$13),15-13*ORÇAMENTO!$AF$7)*OFFSET(ORÇAMENTO!$W$15,ROW(BJ139)-ROW(BJ$15),0),15-13*ORÇAMENTO!$AF$11)),
         0)</f>
        <v>0</v>
      </c>
      <c r="BK139" s="453">
        <f ca="1">IF(AND($D139="Serviço",BK$12&lt;&gt;0,$H139&gt;0,OR(AUTOEVENTO&lt;&gt;"manual",$M139&lt;&gt;$A$15)),
        IF(Import.TipoArredondamento&lt;&gt;"TransfereGOV",
              ROUND(OFFSET($P139,0,BK$13),15-13*ORÇAMENTO!$AF$7)/$H139*OFFSET(ORÇAMENTO!$X$15,ROW(BK139)-ROW(BK$15),0),
              ROUND(ROUND(OFFSET($P139,0,BK$13),15-13*ORÇAMENTO!$AF$7)*OFFSET(ORÇAMENTO!$W$15,ROW(BK139)-ROW(BK$15),0),15-13*ORÇAMENTO!$AF$11)),
         0)</f>
        <v>0</v>
      </c>
      <c r="BL139" s="453">
        <f ca="1">IF(AND($D139="Serviço",BL$12&lt;&gt;0,$H139&gt;0,OR(AUTOEVENTO&lt;&gt;"manual",$M139&lt;&gt;$A$15)),
        IF(Import.TipoArredondamento&lt;&gt;"TransfereGOV",
              ROUND(OFFSET($P139,0,BL$13),15-13*ORÇAMENTO!$AF$7)/$H139*OFFSET(ORÇAMENTO!$X$15,ROW(BL139)-ROW(BL$15),0),
              ROUND(ROUND(OFFSET($P139,0,BL$13),15-13*ORÇAMENTO!$AF$7)*OFFSET(ORÇAMENTO!$W$15,ROW(BL139)-ROW(BL$15),0),15-13*ORÇAMENTO!$AF$11)),
         0)</f>
        <v>0</v>
      </c>
      <c r="BM139" s="453">
        <f ca="1">IF(AND($D139="Serviço",BM$12&lt;&gt;0,$H139&gt;0,OR(AUTOEVENTO&lt;&gt;"manual",$M139&lt;&gt;$A$15)),
        IF(Import.TipoArredondamento&lt;&gt;"TransfereGOV",
              ROUND(OFFSET($P139,0,BM$13),15-13*ORÇAMENTO!$AF$7)/$H139*OFFSET(ORÇAMENTO!$X$15,ROW(BM139)-ROW(BM$15),0),
              ROUND(ROUND(OFFSET($P139,0,BM$13),15-13*ORÇAMENTO!$AF$7)*OFFSET(ORÇAMENTO!$W$15,ROW(BM139)-ROW(BM$15),0),15-13*ORÇAMENTO!$AF$11)),
         0)</f>
        <v>0</v>
      </c>
      <c r="BN139" s="453">
        <f ca="1">IF(AND($D139="Serviço",BN$12&lt;&gt;0,$H139&gt;0,OR(AUTOEVENTO&lt;&gt;"manual",$M139&lt;&gt;$A$15)),
        IF(Import.TipoArredondamento&lt;&gt;"TransfereGOV",
              ROUND(OFFSET($P139,0,BN$13),15-13*ORÇAMENTO!$AF$7)/$H139*OFFSET(ORÇAMENTO!$X$15,ROW(BN139)-ROW(BN$15),0),
              ROUND(ROUND(OFFSET($P139,0,BN$13),15-13*ORÇAMENTO!$AF$7)*OFFSET(ORÇAMENTO!$W$15,ROW(BN139)-ROW(BN$15),0),15-13*ORÇAMENTO!$AF$11)),
         0)</f>
        <v>0</v>
      </c>
      <c r="BO139" s="453">
        <f ca="1">IF(AND($D139="Serviço",BO$12&lt;&gt;0,$H139&gt;0,OR(AUTOEVENTO&lt;&gt;"manual",$M139&lt;&gt;$A$15)),
        IF(Import.TipoArredondamento&lt;&gt;"TransfereGOV",
              ROUND(OFFSET($P139,0,BO$13),15-13*ORÇAMENTO!$AF$7)/$H139*OFFSET(ORÇAMENTO!$X$15,ROW(BO139)-ROW(BO$15),0),
              ROUND(ROUND(OFFSET($P139,0,BO$13),15-13*ORÇAMENTO!$AF$7)*OFFSET(ORÇAMENTO!$W$15,ROW(BO139)-ROW(BO$15),0),15-13*ORÇAMENTO!$AF$11)),
         0)</f>
        <v>0</v>
      </c>
      <c r="BP139" s="453">
        <f ca="1">IF(AND($D139="Serviço",BP$12&lt;&gt;0,$H139&gt;0,OR(AUTOEVENTO&lt;&gt;"manual",$M139&lt;&gt;$A$15)),
        IF(Import.TipoArredondamento&lt;&gt;"TransfereGOV",
              ROUND(OFFSET($P139,0,BP$13),15-13*ORÇAMENTO!$AF$7)/$H139*OFFSET(ORÇAMENTO!$X$15,ROW(BP139)-ROW(BP$15),0),
              ROUND(ROUND(OFFSET($P139,0,BP$13),15-13*ORÇAMENTO!$AF$7)*OFFSET(ORÇAMENTO!$W$15,ROW(BP139)-ROW(BP$15),0),15-13*ORÇAMENTO!$AF$11)),
         0)</f>
        <v>0</v>
      </c>
      <c r="BQ139" s="453">
        <f ca="1">IF(AND($D139="Serviço",BQ$12&lt;&gt;0,$H139&gt;0,OR(AUTOEVENTO&lt;&gt;"manual",$M139&lt;&gt;$A$15)),
        IF(Import.TipoArredondamento&lt;&gt;"TransfereGOV",
              ROUND(OFFSET($P139,0,BQ$13),15-13*ORÇAMENTO!$AF$7)/$H139*OFFSET(ORÇAMENTO!$X$15,ROW(BQ139)-ROW(BQ$15),0),
              ROUND(ROUND(OFFSET($P139,0,BQ$13),15-13*ORÇAMENTO!$AF$7)*OFFSET(ORÇAMENTO!$W$15,ROW(BQ139)-ROW(BQ$15),0),15-13*ORÇAMENTO!$AF$11)),
         0)</f>
        <v>0</v>
      </c>
      <c r="BS139" s="171">
        <f ca="1">IF(OR($D139&lt;&gt;"Serviço",AND(AUTOEVENTO="Manual",$M139=$A$15)),0,
         IF(OFFSET(CRONOPLE!$F$15,$M139-$A$15,BS$13)=0,10^12,OFFSET(CRONOPLE!$F$15,$M139-$A$15,BS$13)))</f>
        <v>1</v>
      </c>
      <c r="BT139" s="171">
        <f ca="1">IF(OR($D139&lt;&gt;"Serviço",AND(AUTOEVENTO="Manual",$M139=$A$15)),0,
         IF(OFFSET(CRONOPLE!$F$15,$M139-$A$15,BT$13)=0,10^12,OFFSET(CRONOPLE!$F$15,$M139-$A$15,BT$13)))</f>
        <v>2</v>
      </c>
      <c r="BU139" s="171">
        <f ca="1">IF(OR($D139&lt;&gt;"Serviço",AND(AUTOEVENTO="Manual",$M139=$A$15)),0,
         IF(OFFSET(CRONOPLE!$F$15,$M139-$A$15,BU$13)=0,10^12,OFFSET(CRONOPLE!$F$15,$M139-$A$15,BU$13)))</f>
        <v>3</v>
      </c>
      <c r="BV139" s="171">
        <f ca="1">IF(OR($D139&lt;&gt;"Serviço",AND(AUTOEVENTO="Manual",$M139=$A$15)),0,
         IF(OFFSET(CRONOPLE!$F$15,$M139-$A$15,BV$13)=0,10^12,OFFSET(CRONOPLE!$F$15,$M139-$A$15,BV$13)))</f>
        <v>4</v>
      </c>
      <c r="BW139" s="171">
        <f ca="1">IF(OR($D139&lt;&gt;"Serviço",AND(AUTOEVENTO="Manual",$M139=$A$15)),0,
         IF(OFFSET(CRONOPLE!$F$15,$M139-$A$15,BW$13)=0,10^12,OFFSET(CRONOPLE!$F$15,$M139-$A$15,BW$13)))</f>
        <v>5</v>
      </c>
      <c r="BX139" s="171">
        <f ca="1">IF(OR($D139&lt;&gt;"Serviço",AND(AUTOEVENTO="Manual",$M139=$A$15)),0,
         IF(OFFSET(CRONOPLE!$F$15,$M139-$A$15,BX$13)=0,10^12,OFFSET(CRONOPLE!$F$15,$M139-$A$15,BX$13)))</f>
        <v>6</v>
      </c>
      <c r="BY139" s="171">
        <f ca="1">IF(OR($D139&lt;&gt;"Serviço",AND(AUTOEVENTO="Manual",$M139=$A$15)),0,
         IF(OFFSET(CRONOPLE!$F$15,$M139-$A$15,BY$13)=0,10^12,OFFSET(CRONOPLE!$F$15,$M139-$A$15,BY$13)))</f>
        <v>7</v>
      </c>
      <c r="BZ139" s="171">
        <f ca="1">IF(OR($D139&lt;&gt;"Serviço",AND(AUTOEVENTO="Manual",$M139=$A$15)),0,
         IF(OFFSET(CRONOPLE!$F$15,$M139-$A$15,BZ$13)=0,10^12,OFFSET(CRONOPLE!$F$15,$M139-$A$15,BZ$13)))</f>
        <v>8</v>
      </c>
      <c r="CA139" s="171">
        <f ca="1">IF(OR($D139&lt;&gt;"Serviço",AND(AUTOEVENTO="Manual",$M139=$A$15)),0,
         IF(OFFSET(CRONOPLE!$F$15,$M139-$A$15,CA$13)=0,10^12,OFFSET(CRONOPLE!$F$15,$M139-$A$15,CA$13)))</f>
        <v>9</v>
      </c>
      <c r="CB139" s="171">
        <f ca="1">IF(OR($D139&lt;&gt;"Serviço",AND(AUTOEVENTO="Manual",$M139=$A$15)),0,
         IF(OFFSET(CRONOPLE!$F$15,$M139-$A$15,CB$13)=0,10^12,OFFSET(CRONOPLE!$F$15,$M139-$A$15,CB$13)))</f>
        <v>10</v>
      </c>
      <c r="CC139" s="171">
        <f ca="1">IF(OR($D139&lt;&gt;"Serviço",AND(AUTOEVENTO="Manual",$M139=$A$15)),0,
         IF(OFFSET(CRONOPLE!$F$15,$M139-$A$15,CC$13)=0,10^12,OFFSET(CRONOPLE!$F$15,$M139-$A$15,CC$13)))</f>
        <v>11</v>
      </c>
      <c r="CD139" s="171">
        <f ca="1">IF(OR($D139&lt;&gt;"Serviço",AND(AUTOEVENTO="Manual",$M139=$A$15)),0,
         IF(OFFSET(CRONOPLE!$F$15,$M139-$A$15,CD$13)=0,10^12,OFFSET(CRONOPLE!$F$15,$M139-$A$15,CD$13)))</f>
        <v>12</v>
      </c>
      <c r="CE139" s="171">
        <f ca="1">IF(OR($D139&lt;&gt;"Serviço",AND(AUTOEVENTO="Manual",$M139=$A$15)),0,
         IF(OFFSET(CRONOPLE!$F$15,$M139-$A$15,CE$13)=0,10^12,OFFSET(CRONOPLE!$F$15,$M139-$A$15,CE$13)))</f>
        <v>13</v>
      </c>
      <c r="CF139" s="171">
        <f ca="1">IF(OR($D139&lt;&gt;"Serviço",AND(AUTOEVENTO="Manual",$M139=$A$15)),0,
         IF(OFFSET(CRONOPLE!$F$15,$M139-$A$15,CF$13)=0,10^12,OFFSET(CRONOPLE!$F$15,$M139-$A$15,CF$13)))</f>
        <v>14</v>
      </c>
      <c r="CG139" s="171">
        <f ca="1">IF(OR($D139&lt;&gt;"Serviço",AND(AUTOEVENTO="Manual",$M139=$A$15)),0,
         IF(OFFSET(CRONOPLE!$F$15,$M139-$A$15,CG$13)=0,10^12,OFFSET(CRONOPLE!$F$15,$M139-$A$15,CG$13)))</f>
        <v>15</v>
      </c>
      <c r="CH139" s="171">
        <f ca="1">IF(OR($D139&lt;&gt;"Serviço",AND(AUTOEVENTO="Manual",$M139=$A$15)),0,
         IF(OFFSET(CRONOPLE!$F$15,$M139-$A$15,CH$13)=0,10^12,OFFSET(CRONOPLE!$F$15,$M139-$A$15,CH$13)))</f>
        <v>16</v>
      </c>
      <c r="CI139" s="171">
        <f ca="1">IF(OR($D139&lt;&gt;"Serviço",AND(AUTOEVENTO="Manual",$M139=$A$15)),0,
         IF(OFFSET(CRONOPLE!$F$15,$M139-$A$15,CI$13)=0,10^12,OFFSET(CRONOPLE!$F$15,$M139-$A$15,CI$13)))</f>
        <v>17</v>
      </c>
      <c r="CJ139" s="171">
        <f ca="1">IF(OR($D139&lt;&gt;"Serviço",AND(AUTOEVENTO="Manual",$M139=$A$15)),0,
         IF(OFFSET(CRONOPLE!$F$15,$M139-$A$15,CJ$13)=0,10^12,OFFSET(CRONOPLE!$F$15,$M139-$A$15,CJ$13)))</f>
        <v>18</v>
      </c>
      <c r="CK139" s="171">
        <f ca="1">IF(OR($D139&lt;&gt;"Serviço",AND(AUTOEVENTO="Manual",$M139=$A$15)),0,
         IF(OFFSET(CRONOPLE!$F$15,$M139-$A$15,CK$13)=0,10^12,OFFSET(CRONOPLE!$F$15,$M139-$A$15,CK$13)))</f>
        <v>19</v>
      </c>
      <c r="CL139" s="171">
        <f ca="1">IF(OR($D139&lt;&gt;"Serviço",AND(AUTOEVENTO="Manual",$M139=$A$15)),0,
         IF(OFFSET(CRONOPLE!$F$15,$M139-$A$15,CL$13)=0,10^12,OFFSET(CRONOPLE!$F$15,$M139-$A$15,CL$13)))</f>
        <v>20</v>
      </c>
      <c r="CM139" s="171">
        <f ca="1">IF(OR($D139&lt;&gt;"Serviço",AND(AUTOEVENTO="Manual",$M139=$A$15)),0,
         IF(OFFSET(CRONOPLE!$F$15,$M139-$A$15,CM$13)=0,10^12,OFFSET(CRONOPLE!$F$15,$M139-$A$15,CM$13)))</f>
        <v>1000000000000</v>
      </c>
      <c r="CN139" s="171">
        <f ca="1">IF(OR($D139&lt;&gt;"Serviço",AND(AUTOEVENTO="Manual",$M139=$A$15)),0,
         IF(OFFSET(CRONOPLE!$F$15,$M139-$A$15,CN$13)=0,10^12,OFFSET(CRONOPLE!$F$15,$M139-$A$15,CN$13)))</f>
        <v>1000000000000</v>
      </c>
      <c r="CO139" s="171">
        <f ca="1">IF(OR($D139&lt;&gt;"Serviço",AND(AUTOEVENTO="Manual",$M139=$A$15)),0,
         IF(OFFSET(CRONOPLE!$F$15,$M139-$A$15,CO$13)=0,10^12,OFFSET(CRONOPLE!$F$15,$M139-$A$15,CO$13)))</f>
        <v>1000000000000</v>
      </c>
      <c r="CP139" s="171">
        <f ca="1">IF(OR($D139&lt;&gt;"Serviço",AND(AUTOEVENTO="Manual",$M139=$A$15)),0,
         IF(OFFSET(CRONOPLE!$F$15,$M139-$A$15,CP$13)=0,10^12,OFFSET(CRONOPLE!$F$15,$M139-$A$15,CP$13)))</f>
        <v>1000000000000</v>
      </c>
      <c r="CQ139" s="171">
        <f ca="1">IF(OR($D139&lt;&gt;"Serviço",AND(AUTOEVENTO="Manual",$M139=$A$15)),0,
         IF(OFFSET(CRONOPLE!$F$15,$M139-$A$15,CQ$13)=0,10^12,OFFSET(CRONOPLE!$F$15,$M139-$A$15,CQ$13)))</f>
        <v>1000000000000</v>
      </c>
      <c r="CR139" s="171">
        <f ca="1">IF(OR($D139&lt;&gt;"Serviço",AND(AUTOEVENTO="Manual",$M139=$A$15)),0,
         IF(OFFSET(CRONOPLE!$F$15,$M139-$A$15,CR$13)=0,10^12,OFFSET(CRONOPLE!$F$15,$M139-$A$15,CR$13)))</f>
        <v>1000000000000</v>
      </c>
      <c r="CT139" s="172" cm="1">
        <f t="array" aca="1" ref="CT139" ca="1">IF(OR($D139&lt;&gt;"Serviço",AND(AUTOEVENTO="Manual",$M139=$A$15),$M139&gt;(ROW(PLE.lastrow)-ROW(PLE.firstrow))),0,
           IF(OFFSET(PLE!$G$15,$M139-$A$15,CT$13)="",10^12,OFFSET(PLE!$G$15,$M139-$A$15,CT$13)))</f>
        <v>1000000000000</v>
      </c>
      <c r="CU139" s="172" cm="1">
        <f t="array" aca="1" ref="CU139" ca="1">IF(OR($D139&lt;&gt;"Serviço",AND(AUTOEVENTO="Manual",$M139=$A$15),$M139&gt;(ROW(PLE.lastrow)-ROW(PLE.firstrow))),0,
           IF(OFFSET(PLE!$G$15,$M139-$A$15,CU$13)="",10^12,OFFSET(PLE!$G$15,$M139-$A$15,CU$13)))</f>
        <v>1000000000000</v>
      </c>
      <c r="CV139" s="172" cm="1">
        <f t="array" aca="1" ref="CV139" ca="1">IF(OR($D139&lt;&gt;"Serviço",AND(AUTOEVENTO="Manual",$M139=$A$15),$M139&gt;(ROW(PLE.lastrow)-ROW(PLE.firstrow))),0,
           IF(OFFSET(PLE!$G$15,$M139-$A$15,CV$13)="",10^12,OFFSET(PLE!$G$15,$M139-$A$15,CV$13)))</f>
        <v>1000000000000</v>
      </c>
      <c r="CW139" s="172" cm="1">
        <f t="array" aca="1" ref="CW139" ca="1">IF(OR($D139&lt;&gt;"Serviço",AND(AUTOEVENTO="Manual",$M139=$A$15),$M139&gt;(ROW(PLE.lastrow)-ROW(PLE.firstrow))),0,
           IF(OFFSET(PLE!$G$15,$M139-$A$15,CW$13)="",10^12,OFFSET(PLE!$G$15,$M139-$A$15,CW$13)))</f>
        <v>1000000000000</v>
      </c>
      <c r="CX139" s="172" cm="1">
        <f t="array" aca="1" ref="CX139" ca="1">IF(OR($D139&lt;&gt;"Serviço",AND(AUTOEVENTO="Manual",$M139=$A$15),$M139&gt;(ROW(PLE.lastrow)-ROW(PLE.firstrow))),0,
           IF(OFFSET(PLE!$G$15,$M139-$A$15,CX$13)="",10^12,OFFSET(PLE!$G$15,$M139-$A$15,CX$13)))</f>
        <v>1000000000000</v>
      </c>
      <c r="CY139" s="172" cm="1">
        <f t="array" aca="1" ref="CY139" ca="1">IF(OR($D139&lt;&gt;"Serviço",AND(AUTOEVENTO="Manual",$M139=$A$15),$M139&gt;(ROW(PLE.lastrow)-ROW(PLE.firstrow))),0,
           IF(OFFSET(PLE!$G$15,$M139-$A$15,CY$13)="",10^12,OFFSET(PLE!$G$15,$M139-$A$15,CY$13)))</f>
        <v>1000000000000</v>
      </c>
      <c r="CZ139" s="172" cm="1">
        <f t="array" aca="1" ref="CZ139" ca="1">IF(OR($D139&lt;&gt;"Serviço",AND(AUTOEVENTO="Manual",$M139=$A$15),$M139&gt;(ROW(PLE.lastrow)-ROW(PLE.firstrow))),0,
           IF(OFFSET(PLE!$G$15,$M139-$A$15,CZ$13)="",10^12,OFFSET(PLE!$G$15,$M139-$A$15,CZ$13)))</f>
        <v>1000000000000</v>
      </c>
      <c r="DA139" s="172" cm="1">
        <f t="array" aca="1" ref="DA139" ca="1">IF(OR($D139&lt;&gt;"Serviço",AND(AUTOEVENTO="Manual",$M139=$A$15),$M139&gt;(ROW(PLE.lastrow)-ROW(PLE.firstrow))),0,
           IF(OFFSET(PLE!$G$15,$M139-$A$15,DA$13)="",10^12,OFFSET(PLE!$G$15,$M139-$A$15,DA$13)))</f>
        <v>1000000000000</v>
      </c>
      <c r="DB139" s="172" cm="1">
        <f t="array" aca="1" ref="DB139" ca="1">IF(OR($D139&lt;&gt;"Serviço",AND(AUTOEVENTO="Manual",$M139=$A$15),$M139&gt;(ROW(PLE.lastrow)-ROW(PLE.firstrow))),0,
           IF(OFFSET(PLE!$G$15,$M139-$A$15,DB$13)="",10^12,OFFSET(PLE!$G$15,$M139-$A$15,DB$13)))</f>
        <v>1000000000000</v>
      </c>
      <c r="DC139" s="172" cm="1">
        <f t="array" aca="1" ref="DC139" ca="1">IF(OR($D139&lt;&gt;"Serviço",AND(AUTOEVENTO="Manual",$M139=$A$15),$M139&gt;(ROW(PLE.lastrow)-ROW(PLE.firstrow))),0,
           IF(OFFSET(PLE!$G$15,$M139-$A$15,DC$13)="",10^12,OFFSET(PLE!$G$15,$M139-$A$15,DC$13)))</f>
        <v>1000000000000</v>
      </c>
      <c r="DD139" s="172" cm="1">
        <f t="array" aca="1" ref="DD139" ca="1">IF(OR($D139&lt;&gt;"Serviço",AND(AUTOEVENTO="Manual",$M139=$A$15),$M139&gt;(ROW(PLE.lastrow)-ROW(PLE.firstrow))),0,
           IF(OFFSET(PLE!$G$15,$M139-$A$15,DD$13)="",10^12,OFFSET(PLE!$G$15,$M139-$A$15,DD$13)))</f>
        <v>1000000000000</v>
      </c>
      <c r="DE139" s="172" cm="1">
        <f t="array" aca="1" ref="DE139" ca="1">IF(OR($D139&lt;&gt;"Serviço",AND(AUTOEVENTO="Manual",$M139=$A$15),$M139&gt;(ROW(PLE.lastrow)-ROW(PLE.firstrow))),0,
           IF(OFFSET(PLE!$G$15,$M139-$A$15,DE$13)="",10^12,OFFSET(PLE!$G$15,$M139-$A$15,DE$13)))</f>
        <v>1000000000000</v>
      </c>
      <c r="DF139" s="172" cm="1">
        <f t="array" aca="1" ref="DF139" ca="1">IF(OR($D139&lt;&gt;"Serviço",AND(AUTOEVENTO="Manual",$M139=$A$15),$M139&gt;(ROW(PLE.lastrow)-ROW(PLE.firstrow))),0,
           IF(OFFSET(PLE!$G$15,$M139-$A$15,DF$13)="",10^12,OFFSET(PLE!$G$15,$M139-$A$15,DF$13)))</f>
        <v>1000000000000</v>
      </c>
      <c r="DG139" s="172" cm="1">
        <f t="array" aca="1" ref="DG139" ca="1">IF(OR($D139&lt;&gt;"Serviço",AND(AUTOEVENTO="Manual",$M139=$A$15),$M139&gt;(ROW(PLE.lastrow)-ROW(PLE.firstrow))),0,
           IF(OFFSET(PLE!$G$15,$M139-$A$15,DG$13)="",10^12,OFFSET(PLE!$G$15,$M139-$A$15,DG$13)))</f>
        <v>1000000000000</v>
      </c>
      <c r="DH139" s="172" cm="1">
        <f t="array" aca="1" ref="DH139" ca="1">IF(OR($D139&lt;&gt;"Serviço",AND(AUTOEVENTO="Manual",$M139=$A$15),$M139&gt;(ROW(PLE.lastrow)-ROW(PLE.firstrow))),0,
           IF(OFFSET(PLE!$G$15,$M139-$A$15,DH$13)="",10^12,OFFSET(PLE!$G$15,$M139-$A$15,DH$13)))</f>
        <v>1000000000000</v>
      </c>
      <c r="DI139" s="172" cm="1">
        <f t="array" aca="1" ref="DI139" ca="1">IF(OR($D139&lt;&gt;"Serviço",AND(AUTOEVENTO="Manual",$M139=$A$15),$M139&gt;(ROW(PLE.lastrow)-ROW(PLE.firstrow))),0,
           IF(OFFSET(PLE!$G$15,$M139-$A$15,DI$13)="",10^12,OFFSET(PLE!$G$15,$M139-$A$15,DI$13)))</f>
        <v>1000000000000</v>
      </c>
      <c r="DJ139" s="172" cm="1">
        <f t="array" aca="1" ref="DJ139" ca="1">IF(OR($D139&lt;&gt;"Serviço",AND(AUTOEVENTO="Manual",$M139=$A$15),$M139&gt;(ROW(PLE.lastrow)-ROW(PLE.firstrow))),0,
           IF(OFFSET(PLE!$G$15,$M139-$A$15,DJ$13)="",10^12,OFFSET(PLE!$G$15,$M139-$A$15,DJ$13)))</f>
        <v>1000000000000</v>
      </c>
      <c r="DK139" s="172" cm="1">
        <f t="array" aca="1" ref="DK139" ca="1">IF(OR($D139&lt;&gt;"Serviço",AND(AUTOEVENTO="Manual",$M139=$A$15),$M139&gt;(ROW(PLE.lastrow)-ROW(PLE.firstrow))),0,
           IF(OFFSET(PLE!$G$15,$M139-$A$15,DK$13)="",10^12,OFFSET(PLE!$G$15,$M139-$A$15,DK$13)))</f>
        <v>1000000000000</v>
      </c>
      <c r="DL139" s="172" cm="1">
        <f t="array" aca="1" ref="DL139" ca="1">IF(OR($D139&lt;&gt;"Serviço",AND(AUTOEVENTO="Manual",$M139=$A$15),$M139&gt;(ROW(PLE.lastrow)-ROW(PLE.firstrow))),0,
           IF(OFFSET(PLE!$G$15,$M139-$A$15,DL$13)="",10^12,OFFSET(PLE!$G$15,$M139-$A$15,DL$13)))</f>
        <v>1000000000000</v>
      </c>
      <c r="DM139" s="172" cm="1">
        <f t="array" aca="1" ref="DM139" ca="1">IF(OR($D139&lt;&gt;"Serviço",AND(AUTOEVENTO="Manual",$M139=$A$15),$M139&gt;(ROW(PLE.lastrow)-ROW(PLE.firstrow))),0,
           IF(OFFSET(PLE!$G$15,$M139-$A$15,DM$13)="",10^12,OFFSET(PLE!$G$15,$M139-$A$15,DM$13)))</f>
        <v>1000000000000</v>
      </c>
      <c r="DN139" s="172" cm="1">
        <f t="array" aca="1" ref="DN139" ca="1">IF(OR($D139&lt;&gt;"Serviço",AND(AUTOEVENTO="Manual",$M139=$A$15),$M139&gt;(ROW(PLE.lastrow)-ROW(PLE.firstrow))),0,
           IF(OFFSET(PLE!$G$15,$M139-$A$15,DN$13)="",10^12,OFFSET(PLE!$G$15,$M139-$A$15,DN$13)))</f>
        <v>1000000000000</v>
      </c>
      <c r="DO139" s="172" cm="1">
        <f t="array" aca="1" ref="DO139" ca="1">IF(OR($D139&lt;&gt;"Serviço",AND(AUTOEVENTO="Manual",$M139=$A$15),$M139&gt;(ROW(PLE.lastrow)-ROW(PLE.firstrow))),0,
           IF(OFFSET(PLE!$G$15,$M139-$A$15,DO$13)="",10^12,OFFSET(PLE!$G$15,$M139-$A$15,DO$13)))</f>
        <v>1000000000000</v>
      </c>
      <c r="DP139" s="172" cm="1">
        <f t="array" aca="1" ref="DP139" ca="1">IF(OR($D139&lt;&gt;"Serviço",AND(AUTOEVENTO="Manual",$M139=$A$15),$M139&gt;(ROW(PLE.lastrow)-ROW(PLE.firstrow))),0,
           IF(OFFSET(PLE!$G$15,$M139-$A$15,DP$13)="",10^12,OFFSET(PLE!$G$15,$M139-$A$15,DP$13)))</f>
        <v>1000000000000</v>
      </c>
      <c r="DQ139" s="172" cm="1">
        <f t="array" aca="1" ref="DQ139" ca="1">IF(OR($D139&lt;&gt;"Serviço",AND(AUTOEVENTO="Manual",$M139=$A$15),$M139&gt;(ROW(PLE.lastrow)-ROW(PLE.firstrow))),0,
           IF(OFFSET(PLE!$G$15,$M139-$A$15,DQ$13)="",10^12,OFFSET(PLE!$G$15,$M139-$A$15,DQ$13)))</f>
        <v>1000000000000</v>
      </c>
      <c r="DR139" s="172" cm="1">
        <f t="array" aca="1" ref="DR139" ca="1">IF(OR($D139&lt;&gt;"Serviço",AND(AUTOEVENTO="Manual",$M139=$A$15),$M139&gt;(ROW(PLE.lastrow)-ROW(PLE.firstrow))),0,
           IF(OFFSET(PLE!$G$15,$M139-$A$15,DR$13)="",10^12,OFFSET(PLE!$G$15,$M139-$A$15,DR$13)))</f>
        <v>1000000000000</v>
      </c>
      <c r="DS139" s="172" cm="1">
        <f t="array" aca="1" ref="DS139" ca="1">IF(OR($D139&lt;&gt;"Serviço",AND(AUTOEVENTO="Manual",$M139=$A$15),$M139&gt;(ROW(PLE.lastrow)-ROW(PLE.firstrow))),0,
           IF(OFFSET(PLE!$G$15,$M139-$A$15,DS$13)="",10^12,OFFSET(PLE!$G$15,$M139-$A$15,DS$13)))</f>
        <v>1000000000000</v>
      </c>
    </row>
    <row r="140" spans="1:123" ht="38.25" x14ac:dyDescent="0.2">
      <c r="A140" s="7">
        <f t="shared" ca="1" si="15"/>
        <v>9</v>
      </c>
      <c r="B140" s="7" t="str">
        <f ca="1">OFFSET(ORÇAMENTO!C$15,$L140,0)</f>
        <v>S</v>
      </c>
      <c r="C140" s="7" t="str">
        <f ca="1">OFFSET(ORÇAMENTO!L$15,$L140,0)</f>
        <v/>
      </c>
      <c r="D140" s="116" t="str">
        <f ca="1">OFFSET(ORÇAMENTO!N$15,$L140,0)</f>
        <v>Serviço</v>
      </c>
      <c r="E140" s="117" t="str">
        <f ca="1">OFFSET(ORÇAMENTO!O$15,$L140,0)</f>
        <v>-</v>
      </c>
      <c r="F140" s="163" t="str">
        <f ca="1">OFFSET(ORÇAMENTO!R$15,$L140,0)</f>
        <v>(Código não identificado nas referências)</v>
      </c>
      <c r="G140" s="164" t="str">
        <f ca="1">IF($D140&lt;&gt;"Serviço","",OFFSET(ORÇAMENTO!S$15,$L140,0))</f>
        <v>-</v>
      </c>
      <c r="H140" s="122" cm="1">
        <f t="array" aca="1" ref="H140" ca="1">IF($D140&lt;&gt;"Serviço",0,IF(ACOMPANHAMENTO="BM",ROUND(OFFSET(ORÇAMENTO!AJ$15,$L140,0),15-13*ORÇAMENTO!$AF$7),IF(IFERROR(CÁLCULO.FrentesPreenchidas,0)=0,0,SUM(ROUND(OFFSET($P140,0,1,1,CÁLCULO.FrentesPreenchidas),15-13*ORÇAMENTO!$AF$7)))))</f>
        <v>20</v>
      </c>
      <c r="I140" s="468" t="s">
        <v>1235</v>
      </c>
      <c r="J140" s="651" t="str" cm="1">
        <f t="array" aca="1" ref="J140" ca="1">IF(OR(B140&lt;&gt;"S",CÁLCULO.FrentesPreenchidas=0),"",IF(AND(ACOMPANHAMENTO="PLE",AUTOEVENTO="Manual",OR(H140&gt;0,ORÇAMENTO!AC140="QUANT."),OR(K140="",M140=0,N140="")),"►E",IF(AND(ACOMPANHAMENTO="PLE",ORÇAMENTO!AC140="QUANT."),"►Q",IF(AND(ACOMPANHAMENTO="PLE",H140&lt;&gt;SUMPRODUCT(($Q$1:$AQ$1=1)*ROUND(Q140:AQ140,15))),"►S",IF(AND(COUNTIF($P$11:$AQ$11,"▼")=0,H140&gt;0,I140=""),"◄M","")))))</f>
        <v/>
      </c>
      <c r="K140" s="652" t="s">
        <v>1257</v>
      </c>
      <c r="L140" s="165">
        <f t="shared" ca="1" si="14"/>
        <v>125</v>
      </c>
      <c r="M140" s="166">
        <f ca="1">IF($D140&lt;&gt;"Serviço","",
          IF(AUTOEVENTO="manual",$A140,
                IF(ISERROR(MATCH($A140,$A$15:OFFSET($A140,-1,0),0)),MAX($M$15:OFFSET(M140,-1,0))+1,
                      INDEX($M$15:OFFSET(M140,-1,0),MATCH($A140,$A$15:OFFSET($A140,-1,0),0)))))</f>
        <v>9</v>
      </c>
      <c r="N140" s="167" t="str">
        <f ca="1">IF($D140&lt;&gt;"Serviço","",
         IF(AUTOEVENTO="Manual",
                IF($A140=0,"&lt;-- defina o número do agrupador",
                       OFFSET(EVENTOS!$D$15,$A140-$A$15,0)),
                OFFSET($F$15,$A140,0)))</f>
        <v>INSTALAÇÕES</v>
      </c>
      <c r="O140" s="168"/>
      <c r="Q140" s="168">
        <v>1</v>
      </c>
      <c r="R140" s="169">
        <v>1</v>
      </c>
      <c r="S140" s="169">
        <v>1</v>
      </c>
      <c r="T140" s="169">
        <v>1</v>
      </c>
      <c r="U140" s="169">
        <v>1</v>
      </c>
      <c r="V140" s="169">
        <v>1</v>
      </c>
      <c r="W140" s="169">
        <v>1</v>
      </c>
      <c r="X140" s="169">
        <v>1</v>
      </c>
      <c r="Y140" s="169">
        <v>1</v>
      </c>
      <c r="Z140" s="170">
        <v>1</v>
      </c>
      <c r="AA140" s="169">
        <v>1</v>
      </c>
      <c r="AB140" s="169">
        <v>1</v>
      </c>
      <c r="AC140" s="169">
        <v>1</v>
      </c>
      <c r="AD140" s="169">
        <v>1</v>
      </c>
      <c r="AE140" s="169">
        <v>1</v>
      </c>
      <c r="AF140" s="169">
        <v>1</v>
      </c>
      <c r="AG140" s="169">
        <v>1</v>
      </c>
      <c r="AH140" s="170">
        <v>1</v>
      </c>
      <c r="AI140" s="169">
        <v>1</v>
      </c>
      <c r="AJ140" s="169">
        <v>1</v>
      </c>
      <c r="AK140" s="169"/>
      <c r="AL140" s="169"/>
      <c r="AM140" s="169"/>
      <c r="AN140" s="169"/>
      <c r="AO140" s="169"/>
      <c r="AP140" s="170"/>
      <c r="AR140" s="453">
        <f ca="1">IF(AND($D140="Serviço",AR$12&lt;&gt;0,$H140&gt;0,OR(AUTOEVENTO&lt;&gt;"manual",$M140&lt;&gt;$A$15)),
        IF(Import.TipoArredondamento&lt;&gt;"TransfereGOV",
              ROUND(OFFSET($P140,0,AR$13),15-13*ORÇAMENTO!$AF$7)/$H140*OFFSET(ORÇAMENTO!$X$15,ROW(AR140)-ROW(AR$15),0),
              ROUND(ROUND(OFFSET($P140,0,AR$13),15-13*ORÇAMENTO!$AF$7)*OFFSET(ORÇAMENTO!$W$15,ROW(AR140)-ROW(AR$15),0),15-13*ORÇAMENTO!$AF$11)),
         0)</f>
        <v>0</v>
      </c>
      <c r="AS140" s="453">
        <f ca="1">IF(AND($D140="Serviço",AS$12&lt;&gt;0,$H140&gt;0,OR(AUTOEVENTO&lt;&gt;"manual",$M140&lt;&gt;$A$15)),
        IF(Import.TipoArredondamento&lt;&gt;"TransfereGOV",
              ROUND(OFFSET($P140,0,AS$13),15-13*ORÇAMENTO!$AF$7)/$H140*OFFSET(ORÇAMENTO!$X$15,ROW(AS140)-ROW(AS$15),0),
              ROUND(ROUND(OFFSET($P140,0,AS$13),15-13*ORÇAMENTO!$AF$7)*OFFSET(ORÇAMENTO!$W$15,ROW(AS140)-ROW(AS$15),0),15-13*ORÇAMENTO!$AF$11)),
         0)</f>
        <v>0</v>
      </c>
      <c r="AT140" s="453">
        <f ca="1">IF(AND($D140="Serviço",AT$12&lt;&gt;0,$H140&gt;0,OR(AUTOEVENTO&lt;&gt;"manual",$M140&lt;&gt;$A$15)),
        IF(Import.TipoArredondamento&lt;&gt;"TransfereGOV",
              ROUND(OFFSET($P140,0,AT$13),15-13*ORÇAMENTO!$AF$7)/$H140*OFFSET(ORÇAMENTO!$X$15,ROW(AT140)-ROW(AT$15),0),
              ROUND(ROUND(OFFSET($P140,0,AT$13),15-13*ORÇAMENTO!$AF$7)*OFFSET(ORÇAMENTO!$W$15,ROW(AT140)-ROW(AT$15),0),15-13*ORÇAMENTO!$AF$11)),
         0)</f>
        <v>0</v>
      </c>
      <c r="AU140" s="453">
        <f ca="1">IF(AND($D140="Serviço",AU$12&lt;&gt;0,$H140&gt;0,OR(AUTOEVENTO&lt;&gt;"manual",$M140&lt;&gt;$A$15)),
        IF(Import.TipoArredondamento&lt;&gt;"TransfereGOV",
              ROUND(OFFSET($P140,0,AU$13),15-13*ORÇAMENTO!$AF$7)/$H140*OFFSET(ORÇAMENTO!$X$15,ROW(AU140)-ROW(AU$15),0),
              ROUND(ROUND(OFFSET($P140,0,AU$13),15-13*ORÇAMENTO!$AF$7)*OFFSET(ORÇAMENTO!$W$15,ROW(AU140)-ROW(AU$15),0),15-13*ORÇAMENTO!$AF$11)),
         0)</f>
        <v>0</v>
      </c>
      <c r="AV140" s="453">
        <f ca="1">IF(AND($D140="Serviço",AV$12&lt;&gt;0,$H140&gt;0,OR(AUTOEVENTO&lt;&gt;"manual",$M140&lt;&gt;$A$15)),
        IF(Import.TipoArredondamento&lt;&gt;"TransfereGOV",
              ROUND(OFFSET($P140,0,AV$13),15-13*ORÇAMENTO!$AF$7)/$H140*OFFSET(ORÇAMENTO!$X$15,ROW(AV140)-ROW(AV$15),0),
              ROUND(ROUND(OFFSET($P140,0,AV$13),15-13*ORÇAMENTO!$AF$7)*OFFSET(ORÇAMENTO!$W$15,ROW(AV140)-ROW(AV$15),0),15-13*ORÇAMENTO!$AF$11)),
         0)</f>
        <v>0</v>
      </c>
      <c r="AW140" s="453">
        <f ca="1">IF(AND($D140="Serviço",AW$12&lt;&gt;0,$H140&gt;0,OR(AUTOEVENTO&lt;&gt;"manual",$M140&lt;&gt;$A$15)),
        IF(Import.TipoArredondamento&lt;&gt;"TransfereGOV",
              ROUND(OFFSET($P140,0,AW$13),15-13*ORÇAMENTO!$AF$7)/$H140*OFFSET(ORÇAMENTO!$X$15,ROW(AW140)-ROW(AW$15),0),
              ROUND(ROUND(OFFSET($P140,0,AW$13),15-13*ORÇAMENTO!$AF$7)*OFFSET(ORÇAMENTO!$W$15,ROW(AW140)-ROW(AW$15),0),15-13*ORÇAMENTO!$AF$11)),
         0)</f>
        <v>0</v>
      </c>
      <c r="AX140" s="453">
        <f ca="1">IF(AND($D140="Serviço",AX$12&lt;&gt;0,$H140&gt;0,OR(AUTOEVENTO&lt;&gt;"manual",$M140&lt;&gt;$A$15)),
        IF(Import.TipoArredondamento&lt;&gt;"TransfereGOV",
              ROUND(OFFSET($P140,0,AX$13),15-13*ORÇAMENTO!$AF$7)/$H140*OFFSET(ORÇAMENTO!$X$15,ROW(AX140)-ROW(AX$15),0),
              ROUND(ROUND(OFFSET($P140,0,AX$13),15-13*ORÇAMENTO!$AF$7)*OFFSET(ORÇAMENTO!$W$15,ROW(AX140)-ROW(AX$15),0),15-13*ORÇAMENTO!$AF$11)),
         0)</f>
        <v>0</v>
      </c>
      <c r="AY140" s="453">
        <f ca="1">IF(AND($D140="Serviço",AY$12&lt;&gt;0,$H140&gt;0,OR(AUTOEVENTO&lt;&gt;"manual",$M140&lt;&gt;$A$15)),
        IF(Import.TipoArredondamento&lt;&gt;"TransfereGOV",
              ROUND(OFFSET($P140,0,AY$13),15-13*ORÇAMENTO!$AF$7)/$H140*OFFSET(ORÇAMENTO!$X$15,ROW(AY140)-ROW(AY$15),0),
              ROUND(ROUND(OFFSET($P140,0,AY$13),15-13*ORÇAMENTO!$AF$7)*OFFSET(ORÇAMENTO!$W$15,ROW(AY140)-ROW(AY$15),0),15-13*ORÇAMENTO!$AF$11)),
         0)</f>
        <v>0</v>
      </c>
      <c r="AZ140" s="453">
        <f ca="1">IF(AND($D140="Serviço",AZ$12&lt;&gt;0,$H140&gt;0,OR(AUTOEVENTO&lt;&gt;"manual",$M140&lt;&gt;$A$15)),
        IF(Import.TipoArredondamento&lt;&gt;"TransfereGOV",
              ROUND(OFFSET($P140,0,AZ$13),15-13*ORÇAMENTO!$AF$7)/$H140*OFFSET(ORÇAMENTO!$X$15,ROW(AZ140)-ROW(AZ$15),0),
              ROUND(ROUND(OFFSET($P140,0,AZ$13),15-13*ORÇAMENTO!$AF$7)*OFFSET(ORÇAMENTO!$W$15,ROW(AZ140)-ROW(AZ$15),0),15-13*ORÇAMENTO!$AF$11)),
         0)</f>
        <v>0</v>
      </c>
      <c r="BA140" s="453">
        <f ca="1">IF(AND($D140="Serviço",BA$12&lt;&gt;0,$H140&gt;0,OR(AUTOEVENTO&lt;&gt;"manual",$M140&lt;&gt;$A$15)),
        IF(Import.TipoArredondamento&lt;&gt;"TransfereGOV",
              ROUND(OFFSET($P140,0,BA$13),15-13*ORÇAMENTO!$AF$7)/$H140*OFFSET(ORÇAMENTO!$X$15,ROW(BA140)-ROW(BA$15),0),
              ROUND(ROUND(OFFSET($P140,0,BA$13),15-13*ORÇAMENTO!$AF$7)*OFFSET(ORÇAMENTO!$W$15,ROW(BA140)-ROW(BA$15),0),15-13*ORÇAMENTO!$AF$11)),
         0)</f>
        <v>0</v>
      </c>
      <c r="BB140" s="453">
        <f ca="1">IF(AND($D140="Serviço",BB$12&lt;&gt;0,$H140&gt;0,OR(AUTOEVENTO&lt;&gt;"manual",$M140&lt;&gt;$A$15)),
        IF(Import.TipoArredondamento&lt;&gt;"TransfereGOV",
              ROUND(OFFSET($P140,0,BB$13),15-13*ORÇAMENTO!$AF$7)/$H140*OFFSET(ORÇAMENTO!$X$15,ROW(BB140)-ROW(BB$15),0),
              ROUND(ROUND(OFFSET($P140,0,BB$13),15-13*ORÇAMENTO!$AF$7)*OFFSET(ORÇAMENTO!$W$15,ROW(BB140)-ROW(BB$15),0),15-13*ORÇAMENTO!$AF$11)),
         0)</f>
        <v>0</v>
      </c>
      <c r="BC140" s="453">
        <f ca="1">IF(AND($D140="Serviço",BC$12&lt;&gt;0,$H140&gt;0,OR(AUTOEVENTO&lt;&gt;"manual",$M140&lt;&gt;$A$15)),
        IF(Import.TipoArredondamento&lt;&gt;"TransfereGOV",
              ROUND(OFFSET($P140,0,BC$13),15-13*ORÇAMENTO!$AF$7)/$H140*OFFSET(ORÇAMENTO!$X$15,ROW(BC140)-ROW(BC$15),0),
              ROUND(ROUND(OFFSET($P140,0,BC$13),15-13*ORÇAMENTO!$AF$7)*OFFSET(ORÇAMENTO!$W$15,ROW(BC140)-ROW(BC$15),0),15-13*ORÇAMENTO!$AF$11)),
         0)</f>
        <v>0</v>
      </c>
      <c r="BD140" s="453">
        <f ca="1">IF(AND($D140="Serviço",BD$12&lt;&gt;0,$H140&gt;0,OR(AUTOEVENTO&lt;&gt;"manual",$M140&lt;&gt;$A$15)),
        IF(Import.TipoArredondamento&lt;&gt;"TransfereGOV",
              ROUND(OFFSET($P140,0,BD$13),15-13*ORÇAMENTO!$AF$7)/$H140*OFFSET(ORÇAMENTO!$X$15,ROW(BD140)-ROW(BD$15),0),
              ROUND(ROUND(OFFSET($P140,0,BD$13),15-13*ORÇAMENTO!$AF$7)*OFFSET(ORÇAMENTO!$W$15,ROW(BD140)-ROW(BD$15),0),15-13*ORÇAMENTO!$AF$11)),
         0)</f>
        <v>0</v>
      </c>
      <c r="BE140" s="453">
        <f ca="1">IF(AND($D140="Serviço",BE$12&lt;&gt;0,$H140&gt;0,OR(AUTOEVENTO&lt;&gt;"manual",$M140&lt;&gt;$A$15)),
        IF(Import.TipoArredondamento&lt;&gt;"TransfereGOV",
              ROUND(OFFSET($P140,0,BE$13),15-13*ORÇAMENTO!$AF$7)/$H140*OFFSET(ORÇAMENTO!$X$15,ROW(BE140)-ROW(BE$15),0),
              ROUND(ROUND(OFFSET($P140,0,BE$13),15-13*ORÇAMENTO!$AF$7)*OFFSET(ORÇAMENTO!$W$15,ROW(BE140)-ROW(BE$15),0),15-13*ORÇAMENTO!$AF$11)),
         0)</f>
        <v>0</v>
      </c>
      <c r="BF140" s="453">
        <f ca="1">IF(AND($D140="Serviço",BF$12&lt;&gt;0,$H140&gt;0,OR(AUTOEVENTO&lt;&gt;"manual",$M140&lt;&gt;$A$15)),
        IF(Import.TipoArredondamento&lt;&gt;"TransfereGOV",
              ROUND(OFFSET($P140,0,BF$13),15-13*ORÇAMENTO!$AF$7)/$H140*OFFSET(ORÇAMENTO!$X$15,ROW(BF140)-ROW(BF$15),0),
              ROUND(ROUND(OFFSET($P140,0,BF$13),15-13*ORÇAMENTO!$AF$7)*OFFSET(ORÇAMENTO!$W$15,ROW(BF140)-ROW(BF$15),0),15-13*ORÇAMENTO!$AF$11)),
         0)</f>
        <v>0</v>
      </c>
      <c r="BG140" s="453">
        <f ca="1">IF(AND($D140="Serviço",BG$12&lt;&gt;0,$H140&gt;0,OR(AUTOEVENTO&lt;&gt;"manual",$M140&lt;&gt;$A$15)),
        IF(Import.TipoArredondamento&lt;&gt;"TransfereGOV",
              ROUND(OFFSET($P140,0,BG$13),15-13*ORÇAMENTO!$AF$7)/$H140*OFFSET(ORÇAMENTO!$X$15,ROW(BG140)-ROW(BG$15),0),
              ROUND(ROUND(OFFSET($P140,0,BG$13),15-13*ORÇAMENTO!$AF$7)*OFFSET(ORÇAMENTO!$W$15,ROW(BG140)-ROW(BG$15),0),15-13*ORÇAMENTO!$AF$11)),
         0)</f>
        <v>0</v>
      </c>
      <c r="BH140" s="453">
        <f ca="1">IF(AND($D140="Serviço",BH$12&lt;&gt;0,$H140&gt;0,OR(AUTOEVENTO&lt;&gt;"manual",$M140&lt;&gt;$A$15)),
        IF(Import.TipoArredondamento&lt;&gt;"TransfereGOV",
              ROUND(OFFSET($P140,0,BH$13),15-13*ORÇAMENTO!$AF$7)/$H140*OFFSET(ORÇAMENTO!$X$15,ROW(BH140)-ROW(BH$15),0),
              ROUND(ROUND(OFFSET($P140,0,BH$13),15-13*ORÇAMENTO!$AF$7)*OFFSET(ORÇAMENTO!$W$15,ROW(BH140)-ROW(BH$15),0),15-13*ORÇAMENTO!$AF$11)),
         0)</f>
        <v>0</v>
      </c>
      <c r="BI140" s="453">
        <f ca="1">IF(AND($D140="Serviço",BI$12&lt;&gt;0,$H140&gt;0,OR(AUTOEVENTO&lt;&gt;"manual",$M140&lt;&gt;$A$15)),
        IF(Import.TipoArredondamento&lt;&gt;"TransfereGOV",
              ROUND(OFFSET($P140,0,BI$13),15-13*ORÇAMENTO!$AF$7)/$H140*OFFSET(ORÇAMENTO!$X$15,ROW(BI140)-ROW(BI$15),0),
              ROUND(ROUND(OFFSET($P140,0,BI$13),15-13*ORÇAMENTO!$AF$7)*OFFSET(ORÇAMENTO!$W$15,ROW(BI140)-ROW(BI$15),0),15-13*ORÇAMENTO!$AF$11)),
         0)</f>
        <v>0</v>
      </c>
      <c r="BJ140" s="453">
        <f ca="1">IF(AND($D140="Serviço",BJ$12&lt;&gt;0,$H140&gt;0,OR(AUTOEVENTO&lt;&gt;"manual",$M140&lt;&gt;$A$15)),
        IF(Import.TipoArredondamento&lt;&gt;"TransfereGOV",
              ROUND(OFFSET($P140,0,BJ$13),15-13*ORÇAMENTO!$AF$7)/$H140*OFFSET(ORÇAMENTO!$X$15,ROW(BJ140)-ROW(BJ$15),0),
              ROUND(ROUND(OFFSET($P140,0,BJ$13),15-13*ORÇAMENTO!$AF$7)*OFFSET(ORÇAMENTO!$W$15,ROW(BJ140)-ROW(BJ$15),0),15-13*ORÇAMENTO!$AF$11)),
         0)</f>
        <v>0</v>
      </c>
      <c r="BK140" s="453">
        <f ca="1">IF(AND($D140="Serviço",BK$12&lt;&gt;0,$H140&gt;0,OR(AUTOEVENTO&lt;&gt;"manual",$M140&lt;&gt;$A$15)),
        IF(Import.TipoArredondamento&lt;&gt;"TransfereGOV",
              ROUND(OFFSET($P140,0,BK$13),15-13*ORÇAMENTO!$AF$7)/$H140*OFFSET(ORÇAMENTO!$X$15,ROW(BK140)-ROW(BK$15),0),
              ROUND(ROUND(OFFSET($P140,0,BK$13),15-13*ORÇAMENTO!$AF$7)*OFFSET(ORÇAMENTO!$W$15,ROW(BK140)-ROW(BK$15),0),15-13*ORÇAMENTO!$AF$11)),
         0)</f>
        <v>0</v>
      </c>
      <c r="BL140" s="453">
        <f ca="1">IF(AND($D140="Serviço",BL$12&lt;&gt;0,$H140&gt;0,OR(AUTOEVENTO&lt;&gt;"manual",$M140&lt;&gt;$A$15)),
        IF(Import.TipoArredondamento&lt;&gt;"TransfereGOV",
              ROUND(OFFSET($P140,0,BL$13),15-13*ORÇAMENTO!$AF$7)/$H140*OFFSET(ORÇAMENTO!$X$15,ROW(BL140)-ROW(BL$15),0),
              ROUND(ROUND(OFFSET($P140,0,BL$13),15-13*ORÇAMENTO!$AF$7)*OFFSET(ORÇAMENTO!$W$15,ROW(BL140)-ROW(BL$15),0),15-13*ORÇAMENTO!$AF$11)),
         0)</f>
        <v>0</v>
      </c>
      <c r="BM140" s="453">
        <f ca="1">IF(AND($D140="Serviço",BM$12&lt;&gt;0,$H140&gt;0,OR(AUTOEVENTO&lt;&gt;"manual",$M140&lt;&gt;$A$15)),
        IF(Import.TipoArredondamento&lt;&gt;"TransfereGOV",
              ROUND(OFFSET($P140,0,BM$13),15-13*ORÇAMENTO!$AF$7)/$H140*OFFSET(ORÇAMENTO!$X$15,ROW(BM140)-ROW(BM$15),0),
              ROUND(ROUND(OFFSET($P140,0,BM$13),15-13*ORÇAMENTO!$AF$7)*OFFSET(ORÇAMENTO!$W$15,ROW(BM140)-ROW(BM$15),0),15-13*ORÇAMENTO!$AF$11)),
         0)</f>
        <v>0</v>
      </c>
      <c r="BN140" s="453">
        <f ca="1">IF(AND($D140="Serviço",BN$12&lt;&gt;0,$H140&gt;0,OR(AUTOEVENTO&lt;&gt;"manual",$M140&lt;&gt;$A$15)),
        IF(Import.TipoArredondamento&lt;&gt;"TransfereGOV",
              ROUND(OFFSET($P140,0,BN$13),15-13*ORÇAMENTO!$AF$7)/$H140*OFFSET(ORÇAMENTO!$X$15,ROW(BN140)-ROW(BN$15),0),
              ROUND(ROUND(OFFSET($P140,0,BN$13),15-13*ORÇAMENTO!$AF$7)*OFFSET(ORÇAMENTO!$W$15,ROW(BN140)-ROW(BN$15),0),15-13*ORÇAMENTO!$AF$11)),
         0)</f>
        <v>0</v>
      </c>
      <c r="BO140" s="453">
        <f ca="1">IF(AND($D140="Serviço",BO$12&lt;&gt;0,$H140&gt;0,OR(AUTOEVENTO&lt;&gt;"manual",$M140&lt;&gt;$A$15)),
        IF(Import.TipoArredondamento&lt;&gt;"TransfereGOV",
              ROUND(OFFSET($P140,0,BO$13),15-13*ORÇAMENTO!$AF$7)/$H140*OFFSET(ORÇAMENTO!$X$15,ROW(BO140)-ROW(BO$15),0),
              ROUND(ROUND(OFFSET($P140,0,BO$13),15-13*ORÇAMENTO!$AF$7)*OFFSET(ORÇAMENTO!$W$15,ROW(BO140)-ROW(BO$15),0),15-13*ORÇAMENTO!$AF$11)),
         0)</f>
        <v>0</v>
      </c>
      <c r="BP140" s="453">
        <f ca="1">IF(AND($D140="Serviço",BP$12&lt;&gt;0,$H140&gt;0,OR(AUTOEVENTO&lt;&gt;"manual",$M140&lt;&gt;$A$15)),
        IF(Import.TipoArredondamento&lt;&gt;"TransfereGOV",
              ROUND(OFFSET($P140,0,BP$13),15-13*ORÇAMENTO!$AF$7)/$H140*OFFSET(ORÇAMENTO!$X$15,ROW(BP140)-ROW(BP$15),0),
              ROUND(ROUND(OFFSET($P140,0,BP$13),15-13*ORÇAMENTO!$AF$7)*OFFSET(ORÇAMENTO!$W$15,ROW(BP140)-ROW(BP$15),0),15-13*ORÇAMENTO!$AF$11)),
         0)</f>
        <v>0</v>
      </c>
      <c r="BQ140" s="453">
        <f ca="1">IF(AND($D140="Serviço",BQ$12&lt;&gt;0,$H140&gt;0,OR(AUTOEVENTO&lt;&gt;"manual",$M140&lt;&gt;$A$15)),
        IF(Import.TipoArredondamento&lt;&gt;"TransfereGOV",
              ROUND(OFFSET($P140,0,BQ$13),15-13*ORÇAMENTO!$AF$7)/$H140*OFFSET(ORÇAMENTO!$X$15,ROW(BQ140)-ROW(BQ$15),0),
              ROUND(ROUND(OFFSET($P140,0,BQ$13),15-13*ORÇAMENTO!$AF$7)*OFFSET(ORÇAMENTO!$W$15,ROW(BQ140)-ROW(BQ$15),0),15-13*ORÇAMENTO!$AF$11)),
         0)</f>
        <v>0</v>
      </c>
      <c r="BS140" s="171">
        <f ca="1">IF(OR($D140&lt;&gt;"Serviço",AND(AUTOEVENTO="Manual",$M140=$A$15)),0,
         IF(OFFSET(CRONOPLE!$F$15,$M140-$A$15,BS$13)=0,10^12,OFFSET(CRONOPLE!$F$15,$M140-$A$15,BS$13)))</f>
        <v>1</v>
      </c>
      <c r="BT140" s="171">
        <f ca="1">IF(OR($D140&lt;&gt;"Serviço",AND(AUTOEVENTO="Manual",$M140=$A$15)),0,
         IF(OFFSET(CRONOPLE!$F$15,$M140-$A$15,BT$13)=0,10^12,OFFSET(CRONOPLE!$F$15,$M140-$A$15,BT$13)))</f>
        <v>2</v>
      </c>
      <c r="BU140" s="171">
        <f ca="1">IF(OR($D140&lt;&gt;"Serviço",AND(AUTOEVENTO="Manual",$M140=$A$15)),0,
         IF(OFFSET(CRONOPLE!$F$15,$M140-$A$15,BU$13)=0,10^12,OFFSET(CRONOPLE!$F$15,$M140-$A$15,BU$13)))</f>
        <v>3</v>
      </c>
      <c r="BV140" s="171">
        <f ca="1">IF(OR($D140&lt;&gt;"Serviço",AND(AUTOEVENTO="Manual",$M140=$A$15)),0,
         IF(OFFSET(CRONOPLE!$F$15,$M140-$A$15,BV$13)=0,10^12,OFFSET(CRONOPLE!$F$15,$M140-$A$15,BV$13)))</f>
        <v>4</v>
      </c>
      <c r="BW140" s="171">
        <f ca="1">IF(OR($D140&lt;&gt;"Serviço",AND(AUTOEVENTO="Manual",$M140=$A$15)),0,
         IF(OFFSET(CRONOPLE!$F$15,$M140-$A$15,BW$13)=0,10^12,OFFSET(CRONOPLE!$F$15,$M140-$A$15,BW$13)))</f>
        <v>5</v>
      </c>
      <c r="BX140" s="171">
        <f ca="1">IF(OR($D140&lt;&gt;"Serviço",AND(AUTOEVENTO="Manual",$M140=$A$15)),0,
         IF(OFFSET(CRONOPLE!$F$15,$M140-$A$15,BX$13)=0,10^12,OFFSET(CRONOPLE!$F$15,$M140-$A$15,BX$13)))</f>
        <v>6</v>
      </c>
      <c r="BY140" s="171">
        <f ca="1">IF(OR($D140&lt;&gt;"Serviço",AND(AUTOEVENTO="Manual",$M140=$A$15)),0,
         IF(OFFSET(CRONOPLE!$F$15,$M140-$A$15,BY$13)=0,10^12,OFFSET(CRONOPLE!$F$15,$M140-$A$15,BY$13)))</f>
        <v>7</v>
      </c>
      <c r="BZ140" s="171">
        <f ca="1">IF(OR($D140&lt;&gt;"Serviço",AND(AUTOEVENTO="Manual",$M140=$A$15)),0,
         IF(OFFSET(CRONOPLE!$F$15,$M140-$A$15,BZ$13)=0,10^12,OFFSET(CRONOPLE!$F$15,$M140-$A$15,BZ$13)))</f>
        <v>8</v>
      </c>
      <c r="CA140" s="171">
        <f ca="1">IF(OR($D140&lt;&gt;"Serviço",AND(AUTOEVENTO="Manual",$M140=$A$15)),0,
         IF(OFFSET(CRONOPLE!$F$15,$M140-$A$15,CA$13)=0,10^12,OFFSET(CRONOPLE!$F$15,$M140-$A$15,CA$13)))</f>
        <v>9</v>
      </c>
      <c r="CB140" s="171">
        <f ca="1">IF(OR($D140&lt;&gt;"Serviço",AND(AUTOEVENTO="Manual",$M140=$A$15)),0,
         IF(OFFSET(CRONOPLE!$F$15,$M140-$A$15,CB$13)=0,10^12,OFFSET(CRONOPLE!$F$15,$M140-$A$15,CB$13)))</f>
        <v>10</v>
      </c>
      <c r="CC140" s="171">
        <f ca="1">IF(OR($D140&lt;&gt;"Serviço",AND(AUTOEVENTO="Manual",$M140=$A$15)),0,
         IF(OFFSET(CRONOPLE!$F$15,$M140-$A$15,CC$13)=0,10^12,OFFSET(CRONOPLE!$F$15,$M140-$A$15,CC$13)))</f>
        <v>11</v>
      </c>
      <c r="CD140" s="171">
        <f ca="1">IF(OR($D140&lt;&gt;"Serviço",AND(AUTOEVENTO="Manual",$M140=$A$15)),0,
         IF(OFFSET(CRONOPLE!$F$15,$M140-$A$15,CD$13)=0,10^12,OFFSET(CRONOPLE!$F$15,$M140-$A$15,CD$13)))</f>
        <v>12</v>
      </c>
      <c r="CE140" s="171">
        <f ca="1">IF(OR($D140&lt;&gt;"Serviço",AND(AUTOEVENTO="Manual",$M140=$A$15)),0,
         IF(OFFSET(CRONOPLE!$F$15,$M140-$A$15,CE$13)=0,10^12,OFFSET(CRONOPLE!$F$15,$M140-$A$15,CE$13)))</f>
        <v>13</v>
      </c>
      <c r="CF140" s="171">
        <f ca="1">IF(OR($D140&lt;&gt;"Serviço",AND(AUTOEVENTO="Manual",$M140=$A$15)),0,
         IF(OFFSET(CRONOPLE!$F$15,$M140-$A$15,CF$13)=0,10^12,OFFSET(CRONOPLE!$F$15,$M140-$A$15,CF$13)))</f>
        <v>14</v>
      </c>
      <c r="CG140" s="171">
        <f ca="1">IF(OR($D140&lt;&gt;"Serviço",AND(AUTOEVENTO="Manual",$M140=$A$15)),0,
         IF(OFFSET(CRONOPLE!$F$15,$M140-$A$15,CG$13)=0,10^12,OFFSET(CRONOPLE!$F$15,$M140-$A$15,CG$13)))</f>
        <v>15</v>
      </c>
      <c r="CH140" s="171">
        <f ca="1">IF(OR($D140&lt;&gt;"Serviço",AND(AUTOEVENTO="Manual",$M140=$A$15)),0,
         IF(OFFSET(CRONOPLE!$F$15,$M140-$A$15,CH$13)=0,10^12,OFFSET(CRONOPLE!$F$15,$M140-$A$15,CH$13)))</f>
        <v>16</v>
      </c>
      <c r="CI140" s="171">
        <f ca="1">IF(OR($D140&lt;&gt;"Serviço",AND(AUTOEVENTO="Manual",$M140=$A$15)),0,
         IF(OFFSET(CRONOPLE!$F$15,$M140-$A$15,CI$13)=0,10^12,OFFSET(CRONOPLE!$F$15,$M140-$A$15,CI$13)))</f>
        <v>17</v>
      </c>
      <c r="CJ140" s="171">
        <f ca="1">IF(OR($D140&lt;&gt;"Serviço",AND(AUTOEVENTO="Manual",$M140=$A$15)),0,
         IF(OFFSET(CRONOPLE!$F$15,$M140-$A$15,CJ$13)=0,10^12,OFFSET(CRONOPLE!$F$15,$M140-$A$15,CJ$13)))</f>
        <v>18</v>
      </c>
      <c r="CK140" s="171">
        <f ca="1">IF(OR($D140&lt;&gt;"Serviço",AND(AUTOEVENTO="Manual",$M140=$A$15)),0,
         IF(OFFSET(CRONOPLE!$F$15,$M140-$A$15,CK$13)=0,10^12,OFFSET(CRONOPLE!$F$15,$M140-$A$15,CK$13)))</f>
        <v>19</v>
      </c>
      <c r="CL140" s="171">
        <f ca="1">IF(OR($D140&lt;&gt;"Serviço",AND(AUTOEVENTO="Manual",$M140=$A$15)),0,
         IF(OFFSET(CRONOPLE!$F$15,$M140-$A$15,CL$13)=0,10^12,OFFSET(CRONOPLE!$F$15,$M140-$A$15,CL$13)))</f>
        <v>20</v>
      </c>
      <c r="CM140" s="171">
        <f ca="1">IF(OR($D140&lt;&gt;"Serviço",AND(AUTOEVENTO="Manual",$M140=$A$15)),0,
         IF(OFFSET(CRONOPLE!$F$15,$M140-$A$15,CM$13)=0,10^12,OFFSET(CRONOPLE!$F$15,$M140-$A$15,CM$13)))</f>
        <v>1000000000000</v>
      </c>
      <c r="CN140" s="171">
        <f ca="1">IF(OR($D140&lt;&gt;"Serviço",AND(AUTOEVENTO="Manual",$M140=$A$15)),0,
         IF(OFFSET(CRONOPLE!$F$15,$M140-$A$15,CN$13)=0,10^12,OFFSET(CRONOPLE!$F$15,$M140-$A$15,CN$13)))</f>
        <v>1000000000000</v>
      </c>
      <c r="CO140" s="171">
        <f ca="1">IF(OR($D140&lt;&gt;"Serviço",AND(AUTOEVENTO="Manual",$M140=$A$15)),0,
         IF(OFFSET(CRONOPLE!$F$15,$M140-$A$15,CO$13)=0,10^12,OFFSET(CRONOPLE!$F$15,$M140-$A$15,CO$13)))</f>
        <v>1000000000000</v>
      </c>
      <c r="CP140" s="171">
        <f ca="1">IF(OR($D140&lt;&gt;"Serviço",AND(AUTOEVENTO="Manual",$M140=$A$15)),0,
         IF(OFFSET(CRONOPLE!$F$15,$M140-$A$15,CP$13)=0,10^12,OFFSET(CRONOPLE!$F$15,$M140-$A$15,CP$13)))</f>
        <v>1000000000000</v>
      </c>
      <c r="CQ140" s="171">
        <f ca="1">IF(OR($D140&lt;&gt;"Serviço",AND(AUTOEVENTO="Manual",$M140=$A$15)),0,
         IF(OFFSET(CRONOPLE!$F$15,$M140-$A$15,CQ$13)=0,10^12,OFFSET(CRONOPLE!$F$15,$M140-$A$15,CQ$13)))</f>
        <v>1000000000000</v>
      </c>
      <c r="CR140" s="171">
        <f ca="1">IF(OR($D140&lt;&gt;"Serviço",AND(AUTOEVENTO="Manual",$M140=$A$15)),0,
         IF(OFFSET(CRONOPLE!$F$15,$M140-$A$15,CR$13)=0,10^12,OFFSET(CRONOPLE!$F$15,$M140-$A$15,CR$13)))</f>
        <v>1000000000000</v>
      </c>
      <c r="CT140" s="172" cm="1">
        <f t="array" aca="1" ref="CT140" ca="1">IF(OR($D140&lt;&gt;"Serviço",AND(AUTOEVENTO="Manual",$M140=$A$15),$M140&gt;(ROW(PLE.lastrow)-ROW(PLE.firstrow))),0,
           IF(OFFSET(PLE!$G$15,$M140-$A$15,CT$13)="",10^12,OFFSET(PLE!$G$15,$M140-$A$15,CT$13)))</f>
        <v>1000000000000</v>
      </c>
      <c r="CU140" s="172" cm="1">
        <f t="array" aca="1" ref="CU140" ca="1">IF(OR($D140&lt;&gt;"Serviço",AND(AUTOEVENTO="Manual",$M140=$A$15),$M140&gt;(ROW(PLE.lastrow)-ROW(PLE.firstrow))),0,
           IF(OFFSET(PLE!$G$15,$M140-$A$15,CU$13)="",10^12,OFFSET(PLE!$G$15,$M140-$A$15,CU$13)))</f>
        <v>1000000000000</v>
      </c>
      <c r="CV140" s="172" cm="1">
        <f t="array" aca="1" ref="CV140" ca="1">IF(OR($D140&lt;&gt;"Serviço",AND(AUTOEVENTO="Manual",$M140=$A$15),$M140&gt;(ROW(PLE.lastrow)-ROW(PLE.firstrow))),0,
           IF(OFFSET(PLE!$G$15,$M140-$A$15,CV$13)="",10^12,OFFSET(PLE!$G$15,$M140-$A$15,CV$13)))</f>
        <v>1000000000000</v>
      </c>
      <c r="CW140" s="172" cm="1">
        <f t="array" aca="1" ref="CW140" ca="1">IF(OR($D140&lt;&gt;"Serviço",AND(AUTOEVENTO="Manual",$M140=$A$15),$M140&gt;(ROW(PLE.lastrow)-ROW(PLE.firstrow))),0,
           IF(OFFSET(PLE!$G$15,$M140-$A$15,CW$13)="",10^12,OFFSET(PLE!$G$15,$M140-$A$15,CW$13)))</f>
        <v>1000000000000</v>
      </c>
      <c r="CX140" s="172" cm="1">
        <f t="array" aca="1" ref="CX140" ca="1">IF(OR($D140&lt;&gt;"Serviço",AND(AUTOEVENTO="Manual",$M140=$A$15),$M140&gt;(ROW(PLE.lastrow)-ROW(PLE.firstrow))),0,
           IF(OFFSET(PLE!$G$15,$M140-$A$15,CX$13)="",10^12,OFFSET(PLE!$G$15,$M140-$A$15,CX$13)))</f>
        <v>1000000000000</v>
      </c>
      <c r="CY140" s="172" cm="1">
        <f t="array" aca="1" ref="CY140" ca="1">IF(OR($D140&lt;&gt;"Serviço",AND(AUTOEVENTO="Manual",$M140=$A$15),$M140&gt;(ROW(PLE.lastrow)-ROW(PLE.firstrow))),0,
           IF(OFFSET(PLE!$G$15,$M140-$A$15,CY$13)="",10^12,OFFSET(PLE!$G$15,$M140-$A$15,CY$13)))</f>
        <v>1000000000000</v>
      </c>
      <c r="CZ140" s="172" cm="1">
        <f t="array" aca="1" ref="CZ140" ca="1">IF(OR($D140&lt;&gt;"Serviço",AND(AUTOEVENTO="Manual",$M140=$A$15),$M140&gt;(ROW(PLE.lastrow)-ROW(PLE.firstrow))),0,
           IF(OFFSET(PLE!$G$15,$M140-$A$15,CZ$13)="",10^12,OFFSET(PLE!$G$15,$M140-$A$15,CZ$13)))</f>
        <v>1000000000000</v>
      </c>
      <c r="DA140" s="172" cm="1">
        <f t="array" aca="1" ref="DA140" ca="1">IF(OR($D140&lt;&gt;"Serviço",AND(AUTOEVENTO="Manual",$M140=$A$15),$M140&gt;(ROW(PLE.lastrow)-ROW(PLE.firstrow))),0,
           IF(OFFSET(PLE!$G$15,$M140-$A$15,DA$13)="",10^12,OFFSET(PLE!$G$15,$M140-$A$15,DA$13)))</f>
        <v>1000000000000</v>
      </c>
      <c r="DB140" s="172" cm="1">
        <f t="array" aca="1" ref="DB140" ca="1">IF(OR($D140&lt;&gt;"Serviço",AND(AUTOEVENTO="Manual",$M140=$A$15),$M140&gt;(ROW(PLE.lastrow)-ROW(PLE.firstrow))),0,
           IF(OFFSET(PLE!$G$15,$M140-$A$15,DB$13)="",10^12,OFFSET(PLE!$G$15,$M140-$A$15,DB$13)))</f>
        <v>1000000000000</v>
      </c>
      <c r="DC140" s="172" cm="1">
        <f t="array" aca="1" ref="DC140" ca="1">IF(OR($D140&lt;&gt;"Serviço",AND(AUTOEVENTO="Manual",$M140=$A$15),$M140&gt;(ROW(PLE.lastrow)-ROW(PLE.firstrow))),0,
           IF(OFFSET(PLE!$G$15,$M140-$A$15,DC$13)="",10^12,OFFSET(PLE!$G$15,$M140-$A$15,DC$13)))</f>
        <v>1000000000000</v>
      </c>
      <c r="DD140" s="172" cm="1">
        <f t="array" aca="1" ref="DD140" ca="1">IF(OR($D140&lt;&gt;"Serviço",AND(AUTOEVENTO="Manual",$M140=$A$15),$M140&gt;(ROW(PLE.lastrow)-ROW(PLE.firstrow))),0,
           IF(OFFSET(PLE!$G$15,$M140-$A$15,DD$13)="",10^12,OFFSET(PLE!$G$15,$M140-$A$15,DD$13)))</f>
        <v>1000000000000</v>
      </c>
      <c r="DE140" s="172" cm="1">
        <f t="array" aca="1" ref="DE140" ca="1">IF(OR($D140&lt;&gt;"Serviço",AND(AUTOEVENTO="Manual",$M140=$A$15),$M140&gt;(ROW(PLE.lastrow)-ROW(PLE.firstrow))),0,
           IF(OFFSET(PLE!$G$15,$M140-$A$15,DE$13)="",10^12,OFFSET(PLE!$G$15,$M140-$A$15,DE$13)))</f>
        <v>1000000000000</v>
      </c>
      <c r="DF140" s="172" cm="1">
        <f t="array" aca="1" ref="DF140" ca="1">IF(OR($D140&lt;&gt;"Serviço",AND(AUTOEVENTO="Manual",$M140=$A$15),$M140&gt;(ROW(PLE.lastrow)-ROW(PLE.firstrow))),0,
           IF(OFFSET(PLE!$G$15,$M140-$A$15,DF$13)="",10^12,OFFSET(PLE!$G$15,$M140-$A$15,DF$13)))</f>
        <v>1000000000000</v>
      </c>
      <c r="DG140" s="172" cm="1">
        <f t="array" aca="1" ref="DG140" ca="1">IF(OR($D140&lt;&gt;"Serviço",AND(AUTOEVENTO="Manual",$M140=$A$15),$M140&gt;(ROW(PLE.lastrow)-ROW(PLE.firstrow))),0,
           IF(OFFSET(PLE!$G$15,$M140-$A$15,DG$13)="",10^12,OFFSET(PLE!$G$15,$M140-$A$15,DG$13)))</f>
        <v>1000000000000</v>
      </c>
      <c r="DH140" s="172" cm="1">
        <f t="array" aca="1" ref="DH140" ca="1">IF(OR($D140&lt;&gt;"Serviço",AND(AUTOEVENTO="Manual",$M140=$A$15),$M140&gt;(ROW(PLE.lastrow)-ROW(PLE.firstrow))),0,
           IF(OFFSET(PLE!$G$15,$M140-$A$15,DH$13)="",10^12,OFFSET(PLE!$G$15,$M140-$A$15,DH$13)))</f>
        <v>1000000000000</v>
      </c>
      <c r="DI140" s="172" cm="1">
        <f t="array" aca="1" ref="DI140" ca="1">IF(OR($D140&lt;&gt;"Serviço",AND(AUTOEVENTO="Manual",$M140=$A$15),$M140&gt;(ROW(PLE.lastrow)-ROW(PLE.firstrow))),0,
           IF(OFFSET(PLE!$G$15,$M140-$A$15,DI$13)="",10^12,OFFSET(PLE!$G$15,$M140-$A$15,DI$13)))</f>
        <v>1000000000000</v>
      </c>
      <c r="DJ140" s="172" cm="1">
        <f t="array" aca="1" ref="DJ140" ca="1">IF(OR($D140&lt;&gt;"Serviço",AND(AUTOEVENTO="Manual",$M140=$A$15),$M140&gt;(ROW(PLE.lastrow)-ROW(PLE.firstrow))),0,
           IF(OFFSET(PLE!$G$15,$M140-$A$15,DJ$13)="",10^12,OFFSET(PLE!$G$15,$M140-$A$15,DJ$13)))</f>
        <v>1000000000000</v>
      </c>
      <c r="DK140" s="172" cm="1">
        <f t="array" aca="1" ref="DK140" ca="1">IF(OR($D140&lt;&gt;"Serviço",AND(AUTOEVENTO="Manual",$M140=$A$15),$M140&gt;(ROW(PLE.lastrow)-ROW(PLE.firstrow))),0,
           IF(OFFSET(PLE!$G$15,$M140-$A$15,DK$13)="",10^12,OFFSET(PLE!$G$15,$M140-$A$15,DK$13)))</f>
        <v>1000000000000</v>
      </c>
      <c r="DL140" s="172" cm="1">
        <f t="array" aca="1" ref="DL140" ca="1">IF(OR($D140&lt;&gt;"Serviço",AND(AUTOEVENTO="Manual",$M140=$A$15),$M140&gt;(ROW(PLE.lastrow)-ROW(PLE.firstrow))),0,
           IF(OFFSET(PLE!$G$15,$M140-$A$15,DL$13)="",10^12,OFFSET(PLE!$G$15,$M140-$A$15,DL$13)))</f>
        <v>1000000000000</v>
      </c>
      <c r="DM140" s="172" cm="1">
        <f t="array" aca="1" ref="DM140" ca="1">IF(OR($D140&lt;&gt;"Serviço",AND(AUTOEVENTO="Manual",$M140=$A$15),$M140&gt;(ROW(PLE.lastrow)-ROW(PLE.firstrow))),0,
           IF(OFFSET(PLE!$G$15,$M140-$A$15,DM$13)="",10^12,OFFSET(PLE!$G$15,$M140-$A$15,DM$13)))</f>
        <v>1000000000000</v>
      </c>
      <c r="DN140" s="172" cm="1">
        <f t="array" aca="1" ref="DN140" ca="1">IF(OR($D140&lt;&gt;"Serviço",AND(AUTOEVENTO="Manual",$M140=$A$15),$M140&gt;(ROW(PLE.lastrow)-ROW(PLE.firstrow))),0,
           IF(OFFSET(PLE!$G$15,$M140-$A$15,DN$13)="",10^12,OFFSET(PLE!$G$15,$M140-$A$15,DN$13)))</f>
        <v>1000000000000</v>
      </c>
      <c r="DO140" s="172" cm="1">
        <f t="array" aca="1" ref="DO140" ca="1">IF(OR($D140&lt;&gt;"Serviço",AND(AUTOEVENTO="Manual",$M140=$A$15),$M140&gt;(ROW(PLE.lastrow)-ROW(PLE.firstrow))),0,
           IF(OFFSET(PLE!$G$15,$M140-$A$15,DO$13)="",10^12,OFFSET(PLE!$G$15,$M140-$A$15,DO$13)))</f>
        <v>1000000000000</v>
      </c>
      <c r="DP140" s="172" cm="1">
        <f t="array" aca="1" ref="DP140" ca="1">IF(OR($D140&lt;&gt;"Serviço",AND(AUTOEVENTO="Manual",$M140=$A$15),$M140&gt;(ROW(PLE.lastrow)-ROW(PLE.firstrow))),0,
           IF(OFFSET(PLE!$G$15,$M140-$A$15,DP$13)="",10^12,OFFSET(PLE!$G$15,$M140-$A$15,DP$13)))</f>
        <v>1000000000000</v>
      </c>
      <c r="DQ140" s="172" cm="1">
        <f t="array" aca="1" ref="DQ140" ca="1">IF(OR($D140&lt;&gt;"Serviço",AND(AUTOEVENTO="Manual",$M140=$A$15),$M140&gt;(ROW(PLE.lastrow)-ROW(PLE.firstrow))),0,
           IF(OFFSET(PLE!$G$15,$M140-$A$15,DQ$13)="",10^12,OFFSET(PLE!$G$15,$M140-$A$15,DQ$13)))</f>
        <v>1000000000000</v>
      </c>
      <c r="DR140" s="172" cm="1">
        <f t="array" aca="1" ref="DR140" ca="1">IF(OR($D140&lt;&gt;"Serviço",AND(AUTOEVENTO="Manual",$M140=$A$15),$M140&gt;(ROW(PLE.lastrow)-ROW(PLE.firstrow))),0,
           IF(OFFSET(PLE!$G$15,$M140-$A$15,DR$13)="",10^12,OFFSET(PLE!$G$15,$M140-$A$15,DR$13)))</f>
        <v>1000000000000</v>
      </c>
      <c r="DS140" s="172" cm="1">
        <f t="array" aca="1" ref="DS140" ca="1">IF(OR($D140&lt;&gt;"Serviço",AND(AUTOEVENTO="Manual",$M140=$A$15),$M140&gt;(ROW(PLE.lastrow)-ROW(PLE.firstrow))),0,
           IF(OFFSET(PLE!$G$15,$M140-$A$15,DS$13)="",10^12,OFFSET(PLE!$G$15,$M140-$A$15,DS$13)))</f>
        <v>1000000000000</v>
      </c>
    </row>
    <row r="141" spans="1:123" ht="25.5" x14ac:dyDescent="0.2">
      <c r="A141" s="7">
        <f t="shared" ca="1" si="15"/>
        <v>9</v>
      </c>
      <c r="B141" s="7" t="str">
        <f ca="1">OFFSET(ORÇAMENTO!C$15,$L141,0)</f>
        <v>S</v>
      </c>
      <c r="C141" s="7" t="str">
        <f ca="1">OFFSET(ORÇAMENTO!L$15,$L141,0)</f>
        <v/>
      </c>
      <c r="D141" s="116" t="str">
        <f ca="1">OFFSET(ORÇAMENTO!N$15,$L141,0)</f>
        <v>Serviço</v>
      </c>
      <c r="E141" s="117" t="str">
        <f ca="1">OFFSET(ORÇAMENTO!O$15,$L141,0)</f>
        <v>-</v>
      </c>
      <c r="F141" s="163" t="str">
        <f ca="1">OFFSET(ORÇAMENTO!R$15,$L141,0)</f>
        <v>(Código não identificado nas referências)</v>
      </c>
      <c r="G141" s="164" t="str">
        <f ca="1">IF($D141&lt;&gt;"Serviço","",OFFSET(ORÇAMENTO!S$15,$L141,0))</f>
        <v>-</v>
      </c>
      <c r="H141" s="122" cm="1">
        <f t="array" aca="1" ref="H141" ca="1">IF($D141&lt;&gt;"Serviço",0,IF(ACOMPANHAMENTO="BM",ROUND(OFFSET(ORÇAMENTO!AJ$15,$L141,0),15-13*ORÇAMENTO!$AF$7),IF(IFERROR(CÁLCULO.FrentesPreenchidas,0)=0,0,SUM(ROUND(OFFSET($P141,0,1,1,CÁLCULO.FrentesPreenchidas),15-13*ORÇAMENTO!$AF$7)))))</f>
        <v>20</v>
      </c>
      <c r="I141" s="468" t="s">
        <v>1235</v>
      </c>
      <c r="J141" s="651" t="str" cm="1">
        <f t="array" aca="1" ref="J141" ca="1">IF(OR(B141&lt;&gt;"S",CÁLCULO.FrentesPreenchidas=0),"",IF(AND(ACOMPANHAMENTO="PLE",AUTOEVENTO="Manual",OR(H141&gt;0,ORÇAMENTO!AC141="QUANT."),OR(K141="",M141=0,N141="")),"►E",IF(AND(ACOMPANHAMENTO="PLE",ORÇAMENTO!AC141="QUANT."),"►Q",IF(AND(ACOMPANHAMENTO="PLE",H141&lt;&gt;SUMPRODUCT(($Q$1:$AQ$1=1)*ROUND(Q141:AQ141,15))),"►S",IF(AND(COUNTIF($P$11:$AQ$11,"▼")=0,H141&gt;0,I141=""),"◄M","")))))</f>
        <v/>
      </c>
      <c r="K141" s="652" t="s">
        <v>1257</v>
      </c>
      <c r="L141" s="165">
        <f t="shared" ca="1" si="14"/>
        <v>126</v>
      </c>
      <c r="M141" s="166">
        <f ca="1">IF($D141&lt;&gt;"Serviço","",
          IF(AUTOEVENTO="manual",$A141,
                IF(ISERROR(MATCH($A141,$A$15:OFFSET($A141,-1,0),0)),MAX($M$15:OFFSET(M141,-1,0))+1,
                      INDEX($M$15:OFFSET(M141,-1,0),MATCH($A141,$A$15:OFFSET($A141,-1,0),0)))))</f>
        <v>9</v>
      </c>
      <c r="N141" s="167" t="str">
        <f ca="1">IF($D141&lt;&gt;"Serviço","",
         IF(AUTOEVENTO="Manual",
                IF($A141=0,"&lt;-- defina o número do agrupador",
                       OFFSET(EVENTOS!$D$15,$A141-$A$15,0)),
                OFFSET($F$15,$A141,0)))</f>
        <v>INSTALAÇÕES</v>
      </c>
      <c r="O141" s="168"/>
      <c r="Q141" s="168">
        <v>1</v>
      </c>
      <c r="R141" s="169">
        <v>1</v>
      </c>
      <c r="S141" s="169">
        <v>1</v>
      </c>
      <c r="T141" s="169">
        <v>1</v>
      </c>
      <c r="U141" s="169">
        <v>1</v>
      </c>
      <c r="V141" s="169">
        <v>1</v>
      </c>
      <c r="W141" s="169">
        <v>1</v>
      </c>
      <c r="X141" s="169">
        <v>1</v>
      </c>
      <c r="Y141" s="169">
        <v>1</v>
      </c>
      <c r="Z141" s="170">
        <v>1</v>
      </c>
      <c r="AA141" s="169">
        <v>1</v>
      </c>
      <c r="AB141" s="169">
        <v>1</v>
      </c>
      <c r="AC141" s="169">
        <v>1</v>
      </c>
      <c r="AD141" s="169">
        <v>1</v>
      </c>
      <c r="AE141" s="169">
        <v>1</v>
      </c>
      <c r="AF141" s="169">
        <v>1</v>
      </c>
      <c r="AG141" s="169">
        <v>1</v>
      </c>
      <c r="AH141" s="170">
        <v>1</v>
      </c>
      <c r="AI141" s="169">
        <v>1</v>
      </c>
      <c r="AJ141" s="169">
        <v>1</v>
      </c>
      <c r="AK141" s="169"/>
      <c r="AL141" s="169"/>
      <c r="AM141" s="169"/>
      <c r="AN141" s="169"/>
      <c r="AO141" s="169"/>
      <c r="AP141" s="170"/>
      <c r="AR141" s="453">
        <f ca="1">IF(AND($D141="Serviço",AR$12&lt;&gt;0,$H141&gt;0,OR(AUTOEVENTO&lt;&gt;"manual",$M141&lt;&gt;$A$15)),
        IF(Import.TipoArredondamento&lt;&gt;"TransfereGOV",
              ROUND(OFFSET($P141,0,AR$13),15-13*ORÇAMENTO!$AF$7)/$H141*OFFSET(ORÇAMENTO!$X$15,ROW(AR141)-ROW(AR$15),0),
              ROUND(ROUND(OFFSET($P141,0,AR$13),15-13*ORÇAMENTO!$AF$7)*OFFSET(ORÇAMENTO!$W$15,ROW(AR141)-ROW(AR$15),0),15-13*ORÇAMENTO!$AF$11)),
         0)</f>
        <v>0</v>
      </c>
      <c r="AS141" s="453">
        <f ca="1">IF(AND($D141="Serviço",AS$12&lt;&gt;0,$H141&gt;0,OR(AUTOEVENTO&lt;&gt;"manual",$M141&lt;&gt;$A$15)),
        IF(Import.TipoArredondamento&lt;&gt;"TransfereGOV",
              ROUND(OFFSET($P141,0,AS$13),15-13*ORÇAMENTO!$AF$7)/$H141*OFFSET(ORÇAMENTO!$X$15,ROW(AS141)-ROW(AS$15),0),
              ROUND(ROUND(OFFSET($P141,0,AS$13),15-13*ORÇAMENTO!$AF$7)*OFFSET(ORÇAMENTO!$W$15,ROW(AS141)-ROW(AS$15),0),15-13*ORÇAMENTO!$AF$11)),
         0)</f>
        <v>0</v>
      </c>
      <c r="AT141" s="453">
        <f ca="1">IF(AND($D141="Serviço",AT$12&lt;&gt;0,$H141&gt;0,OR(AUTOEVENTO&lt;&gt;"manual",$M141&lt;&gt;$A$15)),
        IF(Import.TipoArredondamento&lt;&gt;"TransfereGOV",
              ROUND(OFFSET($P141,0,AT$13),15-13*ORÇAMENTO!$AF$7)/$H141*OFFSET(ORÇAMENTO!$X$15,ROW(AT141)-ROW(AT$15),0),
              ROUND(ROUND(OFFSET($P141,0,AT$13),15-13*ORÇAMENTO!$AF$7)*OFFSET(ORÇAMENTO!$W$15,ROW(AT141)-ROW(AT$15),0),15-13*ORÇAMENTO!$AF$11)),
         0)</f>
        <v>0</v>
      </c>
      <c r="AU141" s="453">
        <f ca="1">IF(AND($D141="Serviço",AU$12&lt;&gt;0,$H141&gt;0,OR(AUTOEVENTO&lt;&gt;"manual",$M141&lt;&gt;$A$15)),
        IF(Import.TipoArredondamento&lt;&gt;"TransfereGOV",
              ROUND(OFFSET($P141,0,AU$13),15-13*ORÇAMENTO!$AF$7)/$H141*OFFSET(ORÇAMENTO!$X$15,ROW(AU141)-ROW(AU$15),0),
              ROUND(ROUND(OFFSET($P141,0,AU$13),15-13*ORÇAMENTO!$AF$7)*OFFSET(ORÇAMENTO!$W$15,ROW(AU141)-ROW(AU$15),0),15-13*ORÇAMENTO!$AF$11)),
         0)</f>
        <v>0</v>
      </c>
      <c r="AV141" s="453">
        <f ca="1">IF(AND($D141="Serviço",AV$12&lt;&gt;0,$H141&gt;0,OR(AUTOEVENTO&lt;&gt;"manual",$M141&lt;&gt;$A$15)),
        IF(Import.TipoArredondamento&lt;&gt;"TransfereGOV",
              ROUND(OFFSET($P141,0,AV$13),15-13*ORÇAMENTO!$AF$7)/$H141*OFFSET(ORÇAMENTO!$X$15,ROW(AV141)-ROW(AV$15),0),
              ROUND(ROUND(OFFSET($P141,0,AV$13),15-13*ORÇAMENTO!$AF$7)*OFFSET(ORÇAMENTO!$W$15,ROW(AV141)-ROW(AV$15),0),15-13*ORÇAMENTO!$AF$11)),
         0)</f>
        <v>0</v>
      </c>
      <c r="AW141" s="453">
        <f ca="1">IF(AND($D141="Serviço",AW$12&lt;&gt;0,$H141&gt;0,OR(AUTOEVENTO&lt;&gt;"manual",$M141&lt;&gt;$A$15)),
        IF(Import.TipoArredondamento&lt;&gt;"TransfereGOV",
              ROUND(OFFSET($P141,0,AW$13),15-13*ORÇAMENTO!$AF$7)/$H141*OFFSET(ORÇAMENTO!$X$15,ROW(AW141)-ROW(AW$15),0),
              ROUND(ROUND(OFFSET($P141,0,AW$13),15-13*ORÇAMENTO!$AF$7)*OFFSET(ORÇAMENTO!$W$15,ROW(AW141)-ROW(AW$15),0),15-13*ORÇAMENTO!$AF$11)),
         0)</f>
        <v>0</v>
      </c>
      <c r="AX141" s="453">
        <f ca="1">IF(AND($D141="Serviço",AX$12&lt;&gt;0,$H141&gt;0,OR(AUTOEVENTO&lt;&gt;"manual",$M141&lt;&gt;$A$15)),
        IF(Import.TipoArredondamento&lt;&gt;"TransfereGOV",
              ROUND(OFFSET($P141,0,AX$13),15-13*ORÇAMENTO!$AF$7)/$H141*OFFSET(ORÇAMENTO!$X$15,ROW(AX141)-ROW(AX$15),0),
              ROUND(ROUND(OFFSET($P141,0,AX$13),15-13*ORÇAMENTO!$AF$7)*OFFSET(ORÇAMENTO!$W$15,ROW(AX141)-ROW(AX$15),0),15-13*ORÇAMENTO!$AF$11)),
         0)</f>
        <v>0</v>
      </c>
      <c r="AY141" s="453">
        <f ca="1">IF(AND($D141="Serviço",AY$12&lt;&gt;0,$H141&gt;0,OR(AUTOEVENTO&lt;&gt;"manual",$M141&lt;&gt;$A$15)),
        IF(Import.TipoArredondamento&lt;&gt;"TransfereGOV",
              ROUND(OFFSET($P141,0,AY$13),15-13*ORÇAMENTO!$AF$7)/$H141*OFFSET(ORÇAMENTO!$X$15,ROW(AY141)-ROW(AY$15),0),
              ROUND(ROUND(OFFSET($P141,0,AY$13),15-13*ORÇAMENTO!$AF$7)*OFFSET(ORÇAMENTO!$W$15,ROW(AY141)-ROW(AY$15),0),15-13*ORÇAMENTO!$AF$11)),
         0)</f>
        <v>0</v>
      </c>
      <c r="AZ141" s="453">
        <f ca="1">IF(AND($D141="Serviço",AZ$12&lt;&gt;0,$H141&gt;0,OR(AUTOEVENTO&lt;&gt;"manual",$M141&lt;&gt;$A$15)),
        IF(Import.TipoArredondamento&lt;&gt;"TransfereGOV",
              ROUND(OFFSET($P141,0,AZ$13),15-13*ORÇAMENTO!$AF$7)/$H141*OFFSET(ORÇAMENTO!$X$15,ROW(AZ141)-ROW(AZ$15),0),
              ROUND(ROUND(OFFSET($P141,0,AZ$13),15-13*ORÇAMENTO!$AF$7)*OFFSET(ORÇAMENTO!$W$15,ROW(AZ141)-ROW(AZ$15),0),15-13*ORÇAMENTO!$AF$11)),
         0)</f>
        <v>0</v>
      </c>
      <c r="BA141" s="453">
        <f ca="1">IF(AND($D141="Serviço",BA$12&lt;&gt;0,$H141&gt;0,OR(AUTOEVENTO&lt;&gt;"manual",$M141&lt;&gt;$A$15)),
        IF(Import.TipoArredondamento&lt;&gt;"TransfereGOV",
              ROUND(OFFSET($P141,0,BA$13),15-13*ORÇAMENTO!$AF$7)/$H141*OFFSET(ORÇAMENTO!$X$15,ROW(BA141)-ROW(BA$15),0),
              ROUND(ROUND(OFFSET($P141,0,BA$13),15-13*ORÇAMENTO!$AF$7)*OFFSET(ORÇAMENTO!$W$15,ROW(BA141)-ROW(BA$15),0),15-13*ORÇAMENTO!$AF$11)),
         0)</f>
        <v>0</v>
      </c>
      <c r="BB141" s="453">
        <f ca="1">IF(AND($D141="Serviço",BB$12&lt;&gt;0,$H141&gt;0,OR(AUTOEVENTO&lt;&gt;"manual",$M141&lt;&gt;$A$15)),
        IF(Import.TipoArredondamento&lt;&gt;"TransfereGOV",
              ROUND(OFFSET($P141,0,BB$13),15-13*ORÇAMENTO!$AF$7)/$H141*OFFSET(ORÇAMENTO!$X$15,ROW(BB141)-ROW(BB$15),0),
              ROUND(ROUND(OFFSET($P141,0,BB$13),15-13*ORÇAMENTO!$AF$7)*OFFSET(ORÇAMENTO!$W$15,ROW(BB141)-ROW(BB$15),0),15-13*ORÇAMENTO!$AF$11)),
         0)</f>
        <v>0</v>
      </c>
      <c r="BC141" s="453">
        <f ca="1">IF(AND($D141="Serviço",BC$12&lt;&gt;0,$H141&gt;0,OR(AUTOEVENTO&lt;&gt;"manual",$M141&lt;&gt;$A$15)),
        IF(Import.TipoArredondamento&lt;&gt;"TransfereGOV",
              ROUND(OFFSET($P141,0,BC$13),15-13*ORÇAMENTO!$AF$7)/$H141*OFFSET(ORÇAMENTO!$X$15,ROW(BC141)-ROW(BC$15),0),
              ROUND(ROUND(OFFSET($P141,0,BC$13),15-13*ORÇAMENTO!$AF$7)*OFFSET(ORÇAMENTO!$W$15,ROW(BC141)-ROW(BC$15),0),15-13*ORÇAMENTO!$AF$11)),
         0)</f>
        <v>0</v>
      </c>
      <c r="BD141" s="453">
        <f ca="1">IF(AND($D141="Serviço",BD$12&lt;&gt;0,$H141&gt;0,OR(AUTOEVENTO&lt;&gt;"manual",$M141&lt;&gt;$A$15)),
        IF(Import.TipoArredondamento&lt;&gt;"TransfereGOV",
              ROUND(OFFSET($P141,0,BD$13),15-13*ORÇAMENTO!$AF$7)/$H141*OFFSET(ORÇAMENTO!$X$15,ROW(BD141)-ROW(BD$15),0),
              ROUND(ROUND(OFFSET($P141,0,BD$13),15-13*ORÇAMENTO!$AF$7)*OFFSET(ORÇAMENTO!$W$15,ROW(BD141)-ROW(BD$15),0),15-13*ORÇAMENTO!$AF$11)),
         0)</f>
        <v>0</v>
      </c>
      <c r="BE141" s="453">
        <f ca="1">IF(AND($D141="Serviço",BE$12&lt;&gt;0,$H141&gt;0,OR(AUTOEVENTO&lt;&gt;"manual",$M141&lt;&gt;$A$15)),
        IF(Import.TipoArredondamento&lt;&gt;"TransfereGOV",
              ROUND(OFFSET($P141,0,BE$13),15-13*ORÇAMENTO!$AF$7)/$H141*OFFSET(ORÇAMENTO!$X$15,ROW(BE141)-ROW(BE$15),0),
              ROUND(ROUND(OFFSET($P141,0,BE$13),15-13*ORÇAMENTO!$AF$7)*OFFSET(ORÇAMENTO!$W$15,ROW(BE141)-ROW(BE$15),0),15-13*ORÇAMENTO!$AF$11)),
         0)</f>
        <v>0</v>
      </c>
      <c r="BF141" s="453">
        <f ca="1">IF(AND($D141="Serviço",BF$12&lt;&gt;0,$H141&gt;0,OR(AUTOEVENTO&lt;&gt;"manual",$M141&lt;&gt;$A$15)),
        IF(Import.TipoArredondamento&lt;&gt;"TransfereGOV",
              ROUND(OFFSET($P141,0,BF$13),15-13*ORÇAMENTO!$AF$7)/$H141*OFFSET(ORÇAMENTO!$X$15,ROW(BF141)-ROW(BF$15),0),
              ROUND(ROUND(OFFSET($P141,0,BF$13),15-13*ORÇAMENTO!$AF$7)*OFFSET(ORÇAMENTO!$W$15,ROW(BF141)-ROW(BF$15),0),15-13*ORÇAMENTO!$AF$11)),
         0)</f>
        <v>0</v>
      </c>
      <c r="BG141" s="453">
        <f ca="1">IF(AND($D141="Serviço",BG$12&lt;&gt;0,$H141&gt;0,OR(AUTOEVENTO&lt;&gt;"manual",$M141&lt;&gt;$A$15)),
        IF(Import.TipoArredondamento&lt;&gt;"TransfereGOV",
              ROUND(OFFSET($P141,0,BG$13),15-13*ORÇAMENTO!$AF$7)/$H141*OFFSET(ORÇAMENTO!$X$15,ROW(BG141)-ROW(BG$15),0),
              ROUND(ROUND(OFFSET($P141,0,BG$13),15-13*ORÇAMENTO!$AF$7)*OFFSET(ORÇAMENTO!$W$15,ROW(BG141)-ROW(BG$15),0),15-13*ORÇAMENTO!$AF$11)),
         0)</f>
        <v>0</v>
      </c>
      <c r="BH141" s="453">
        <f ca="1">IF(AND($D141="Serviço",BH$12&lt;&gt;0,$H141&gt;0,OR(AUTOEVENTO&lt;&gt;"manual",$M141&lt;&gt;$A$15)),
        IF(Import.TipoArredondamento&lt;&gt;"TransfereGOV",
              ROUND(OFFSET($P141,0,BH$13),15-13*ORÇAMENTO!$AF$7)/$H141*OFFSET(ORÇAMENTO!$X$15,ROW(BH141)-ROW(BH$15),0),
              ROUND(ROUND(OFFSET($P141,0,BH$13),15-13*ORÇAMENTO!$AF$7)*OFFSET(ORÇAMENTO!$W$15,ROW(BH141)-ROW(BH$15),0),15-13*ORÇAMENTO!$AF$11)),
         0)</f>
        <v>0</v>
      </c>
      <c r="BI141" s="453">
        <f ca="1">IF(AND($D141="Serviço",BI$12&lt;&gt;0,$H141&gt;0,OR(AUTOEVENTO&lt;&gt;"manual",$M141&lt;&gt;$A$15)),
        IF(Import.TipoArredondamento&lt;&gt;"TransfereGOV",
              ROUND(OFFSET($P141,0,BI$13),15-13*ORÇAMENTO!$AF$7)/$H141*OFFSET(ORÇAMENTO!$X$15,ROW(BI141)-ROW(BI$15),0),
              ROUND(ROUND(OFFSET($P141,0,BI$13),15-13*ORÇAMENTO!$AF$7)*OFFSET(ORÇAMENTO!$W$15,ROW(BI141)-ROW(BI$15),0),15-13*ORÇAMENTO!$AF$11)),
         0)</f>
        <v>0</v>
      </c>
      <c r="BJ141" s="453">
        <f ca="1">IF(AND($D141="Serviço",BJ$12&lt;&gt;0,$H141&gt;0,OR(AUTOEVENTO&lt;&gt;"manual",$M141&lt;&gt;$A$15)),
        IF(Import.TipoArredondamento&lt;&gt;"TransfereGOV",
              ROUND(OFFSET($P141,0,BJ$13),15-13*ORÇAMENTO!$AF$7)/$H141*OFFSET(ORÇAMENTO!$X$15,ROW(BJ141)-ROW(BJ$15),0),
              ROUND(ROUND(OFFSET($P141,0,BJ$13),15-13*ORÇAMENTO!$AF$7)*OFFSET(ORÇAMENTO!$W$15,ROW(BJ141)-ROW(BJ$15),0),15-13*ORÇAMENTO!$AF$11)),
         0)</f>
        <v>0</v>
      </c>
      <c r="BK141" s="453">
        <f ca="1">IF(AND($D141="Serviço",BK$12&lt;&gt;0,$H141&gt;0,OR(AUTOEVENTO&lt;&gt;"manual",$M141&lt;&gt;$A$15)),
        IF(Import.TipoArredondamento&lt;&gt;"TransfereGOV",
              ROUND(OFFSET($P141,0,BK$13),15-13*ORÇAMENTO!$AF$7)/$H141*OFFSET(ORÇAMENTO!$X$15,ROW(BK141)-ROW(BK$15),0),
              ROUND(ROUND(OFFSET($P141,0,BK$13),15-13*ORÇAMENTO!$AF$7)*OFFSET(ORÇAMENTO!$W$15,ROW(BK141)-ROW(BK$15),0),15-13*ORÇAMENTO!$AF$11)),
         0)</f>
        <v>0</v>
      </c>
      <c r="BL141" s="453">
        <f ca="1">IF(AND($D141="Serviço",BL$12&lt;&gt;0,$H141&gt;0,OR(AUTOEVENTO&lt;&gt;"manual",$M141&lt;&gt;$A$15)),
        IF(Import.TipoArredondamento&lt;&gt;"TransfereGOV",
              ROUND(OFFSET($P141,0,BL$13),15-13*ORÇAMENTO!$AF$7)/$H141*OFFSET(ORÇAMENTO!$X$15,ROW(BL141)-ROW(BL$15),0),
              ROUND(ROUND(OFFSET($P141,0,BL$13),15-13*ORÇAMENTO!$AF$7)*OFFSET(ORÇAMENTO!$W$15,ROW(BL141)-ROW(BL$15),0),15-13*ORÇAMENTO!$AF$11)),
         0)</f>
        <v>0</v>
      </c>
      <c r="BM141" s="453">
        <f ca="1">IF(AND($D141="Serviço",BM$12&lt;&gt;0,$H141&gt;0,OR(AUTOEVENTO&lt;&gt;"manual",$M141&lt;&gt;$A$15)),
        IF(Import.TipoArredondamento&lt;&gt;"TransfereGOV",
              ROUND(OFFSET($P141,0,BM$13),15-13*ORÇAMENTO!$AF$7)/$H141*OFFSET(ORÇAMENTO!$X$15,ROW(BM141)-ROW(BM$15),0),
              ROUND(ROUND(OFFSET($P141,0,BM$13),15-13*ORÇAMENTO!$AF$7)*OFFSET(ORÇAMENTO!$W$15,ROW(BM141)-ROW(BM$15),0),15-13*ORÇAMENTO!$AF$11)),
         0)</f>
        <v>0</v>
      </c>
      <c r="BN141" s="453">
        <f ca="1">IF(AND($D141="Serviço",BN$12&lt;&gt;0,$H141&gt;0,OR(AUTOEVENTO&lt;&gt;"manual",$M141&lt;&gt;$A$15)),
        IF(Import.TipoArredondamento&lt;&gt;"TransfereGOV",
              ROUND(OFFSET($P141,0,BN$13),15-13*ORÇAMENTO!$AF$7)/$H141*OFFSET(ORÇAMENTO!$X$15,ROW(BN141)-ROW(BN$15),0),
              ROUND(ROUND(OFFSET($P141,0,BN$13),15-13*ORÇAMENTO!$AF$7)*OFFSET(ORÇAMENTO!$W$15,ROW(BN141)-ROW(BN$15),0),15-13*ORÇAMENTO!$AF$11)),
         0)</f>
        <v>0</v>
      </c>
      <c r="BO141" s="453">
        <f ca="1">IF(AND($D141="Serviço",BO$12&lt;&gt;0,$H141&gt;0,OR(AUTOEVENTO&lt;&gt;"manual",$M141&lt;&gt;$A$15)),
        IF(Import.TipoArredondamento&lt;&gt;"TransfereGOV",
              ROUND(OFFSET($P141,0,BO$13),15-13*ORÇAMENTO!$AF$7)/$H141*OFFSET(ORÇAMENTO!$X$15,ROW(BO141)-ROW(BO$15),0),
              ROUND(ROUND(OFFSET($P141,0,BO$13),15-13*ORÇAMENTO!$AF$7)*OFFSET(ORÇAMENTO!$W$15,ROW(BO141)-ROW(BO$15),0),15-13*ORÇAMENTO!$AF$11)),
         0)</f>
        <v>0</v>
      </c>
      <c r="BP141" s="453">
        <f ca="1">IF(AND($D141="Serviço",BP$12&lt;&gt;0,$H141&gt;0,OR(AUTOEVENTO&lt;&gt;"manual",$M141&lt;&gt;$A$15)),
        IF(Import.TipoArredondamento&lt;&gt;"TransfereGOV",
              ROUND(OFFSET($P141,0,BP$13),15-13*ORÇAMENTO!$AF$7)/$H141*OFFSET(ORÇAMENTO!$X$15,ROW(BP141)-ROW(BP$15),0),
              ROUND(ROUND(OFFSET($P141,0,BP$13),15-13*ORÇAMENTO!$AF$7)*OFFSET(ORÇAMENTO!$W$15,ROW(BP141)-ROW(BP$15),0),15-13*ORÇAMENTO!$AF$11)),
         0)</f>
        <v>0</v>
      </c>
      <c r="BQ141" s="453">
        <f ca="1">IF(AND($D141="Serviço",BQ$12&lt;&gt;0,$H141&gt;0,OR(AUTOEVENTO&lt;&gt;"manual",$M141&lt;&gt;$A$15)),
        IF(Import.TipoArredondamento&lt;&gt;"TransfereGOV",
              ROUND(OFFSET($P141,0,BQ$13),15-13*ORÇAMENTO!$AF$7)/$H141*OFFSET(ORÇAMENTO!$X$15,ROW(BQ141)-ROW(BQ$15),0),
              ROUND(ROUND(OFFSET($P141,0,BQ$13),15-13*ORÇAMENTO!$AF$7)*OFFSET(ORÇAMENTO!$W$15,ROW(BQ141)-ROW(BQ$15),0),15-13*ORÇAMENTO!$AF$11)),
         0)</f>
        <v>0</v>
      </c>
      <c r="BS141" s="171">
        <f ca="1">IF(OR($D141&lt;&gt;"Serviço",AND(AUTOEVENTO="Manual",$M141=$A$15)),0,
         IF(OFFSET(CRONOPLE!$F$15,$M141-$A$15,BS$13)=0,10^12,OFFSET(CRONOPLE!$F$15,$M141-$A$15,BS$13)))</f>
        <v>1</v>
      </c>
      <c r="BT141" s="171">
        <f ca="1">IF(OR($D141&lt;&gt;"Serviço",AND(AUTOEVENTO="Manual",$M141=$A$15)),0,
         IF(OFFSET(CRONOPLE!$F$15,$M141-$A$15,BT$13)=0,10^12,OFFSET(CRONOPLE!$F$15,$M141-$A$15,BT$13)))</f>
        <v>2</v>
      </c>
      <c r="BU141" s="171">
        <f ca="1">IF(OR($D141&lt;&gt;"Serviço",AND(AUTOEVENTO="Manual",$M141=$A$15)),0,
         IF(OFFSET(CRONOPLE!$F$15,$M141-$A$15,BU$13)=0,10^12,OFFSET(CRONOPLE!$F$15,$M141-$A$15,BU$13)))</f>
        <v>3</v>
      </c>
      <c r="BV141" s="171">
        <f ca="1">IF(OR($D141&lt;&gt;"Serviço",AND(AUTOEVENTO="Manual",$M141=$A$15)),0,
         IF(OFFSET(CRONOPLE!$F$15,$M141-$A$15,BV$13)=0,10^12,OFFSET(CRONOPLE!$F$15,$M141-$A$15,BV$13)))</f>
        <v>4</v>
      </c>
      <c r="BW141" s="171">
        <f ca="1">IF(OR($D141&lt;&gt;"Serviço",AND(AUTOEVENTO="Manual",$M141=$A$15)),0,
         IF(OFFSET(CRONOPLE!$F$15,$M141-$A$15,BW$13)=0,10^12,OFFSET(CRONOPLE!$F$15,$M141-$A$15,BW$13)))</f>
        <v>5</v>
      </c>
      <c r="BX141" s="171">
        <f ca="1">IF(OR($D141&lt;&gt;"Serviço",AND(AUTOEVENTO="Manual",$M141=$A$15)),0,
         IF(OFFSET(CRONOPLE!$F$15,$M141-$A$15,BX$13)=0,10^12,OFFSET(CRONOPLE!$F$15,$M141-$A$15,BX$13)))</f>
        <v>6</v>
      </c>
      <c r="BY141" s="171">
        <f ca="1">IF(OR($D141&lt;&gt;"Serviço",AND(AUTOEVENTO="Manual",$M141=$A$15)),0,
         IF(OFFSET(CRONOPLE!$F$15,$M141-$A$15,BY$13)=0,10^12,OFFSET(CRONOPLE!$F$15,$M141-$A$15,BY$13)))</f>
        <v>7</v>
      </c>
      <c r="BZ141" s="171">
        <f ca="1">IF(OR($D141&lt;&gt;"Serviço",AND(AUTOEVENTO="Manual",$M141=$A$15)),0,
         IF(OFFSET(CRONOPLE!$F$15,$M141-$A$15,BZ$13)=0,10^12,OFFSET(CRONOPLE!$F$15,$M141-$A$15,BZ$13)))</f>
        <v>8</v>
      </c>
      <c r="CA141" s="171">
        <f ca="1">IF(OR($D141&lt;&gt;"Serviço",AND(AUTOEVENTO="Manual",$M141=$A$15)),0,
         IF(OFFSET(CRONOPLE!$F$15,$M141-$A$15,CA$13)=0,10^12,OFFSET(CRONOPLE!$F$15,$M141-$A$15,CA$13)))</f>
        <v>9</v>
      </c>
      <c r="CB141" s="171">
        <f ca="1">IF(OR($D141&lt;&gt;"Serviço",AND(AUTOEVENTO="Manual",$M141=$A$15)),0,
         IF(OFFSET(CRONOPLE!$F$15,$M141-$A$15,CB$13)=0,10^12,OFFSET(CRONOPLE!$F$15,$M141-$A$15,CB$13)))</f>
        <v>10</v>
      </c>
      <c r="CC141" s="171">
        <f ca="1">IF(OR($D141&lt;&gt;"Serviço",AND(AUTOEVENTO="Manual",$M141=$A$15)),0,
         IF(OFFSET(CRONOPLE!$F$15,$M141-$A$15,CC$13)=0,10^12,OFFSET(CRONOPLE!$F$15,$M141-$A$15,CC$13)))</f>
        <v>11</v>
      </c>
      <c r="CD141" s="171">
        <f ca="1">IF(OR($D141&lt;&gt;"Serviço",AND(AUTOEVENTO="Manual",$M141=$A$15)),0,
         IF(OFFSET(CRONOPLE!$F$15,$M141-$A$15,CD$13)=0,10^12,OFFSET(CRONOPLE!$F$15,$M141-$A$15,CD$13)))</f>
        <v>12</v>
      </c>
      <c r="CE141" s="171">
        <f ca="1">IF(OR($D141&lt;&gt;"Serviço",AND(AUTOEVENTO="Manual",$M141=$A$15)),0,
         IF(OFFSET(CRONOPLE!$F$15,$M141-$A$15,CE$13)=0,10^12,OFFSET(CRONOPLE!$F$15,$M141-$A$15,CE$13)))</f>
        <v>13</v>
      </c>
      <c r="CF141" s="171">
        <f ca="1">IF(OR($D141&lt;&gt;"Serviço",AND(AUTOEVENTO="Manual",$M141=$A$15)),0,
         IF(OFFSET(CRONOPLE!$F$15,$M141-$A$15,CF$13)=0,10^12,OFFSET(CRONOPLE!$F$15,$M141-$A$15,CF$13)))</f>
        <v>14</v>
      </c>
      <c r="CG141" s="171">
        <f ca="1">IF(OR($D141&lt;&gt;"Serviço",AND(AUTOEVENTO="Manual",$M141=$A$15)),0,
         IF(OFFSET(CRONOPLE!$F$15,$M141-$A$15,CG$13)=0,10^12,OFFSET(CRONOPLE!$F$15,$M141-$A$15,CG$13)))</f>
        <v>15</v>
      </c>
      <c r="CH141" s="171">
        <f ca="1">IF(OR($D141&lt;&gt;"Serviço",AND(AUTOEVENTO="Manual",$M141=$A$15)),0,
         IF(OFFSET(CRONOPLE!$F$15,$M141-$A$15,CH$13)=0,10^12,OFFSET(CRONOPLE!$F$15,$M141-$A$15,CH$13)))</f>
        <v>16</v>
      </c>
      <c r="CI141" s="171">
        <f ca="1">IF(OR($D141&lt;&gt;"Serviço",AND(AUTOEVENTO="Manual",$M141=$A$15)),0,
         IF(OFFSET(CRONOPLE!$F$15,$M141-$A$15,CI$13)=0,10^12,OFFSET(CRONOPLE!$F$15,$M141-$A$15,CI$13)))</f>
        <v>17</v>
      </c>
      <c r="CJ141" s="171">
        <f ca="1">IF(OR($D141&lt;&gt;"Serviço",AND(AUTOEVENTO="Manual",$M141=$A$15)),0,
         IF(OFFSET(CRONOPLE!$F$15,$M141-$A$15,CJ$13)=0,10^12,OFFSET(CRONOPLE!$F$15,$M141-$A$15,CJ$13)))</f>
        <v>18</v>
      </c>
      <c r="CK141" s="171">
        <f ca="1">IF(OR($D141&lt;&gt;"Serviço",AND(AUTOEVENTO="Manual",$M141=$A$15)),0,
         IF(OFFSET(CRONOPLE!$F$15,$M141-$A$15,CK$13)=0,10^12,OFFSET(CRONOPLE!$F$15,$M141-$A$15,CK$13)))</f>
        <v>19</v>
      </c>
      <c r="CL141" s="171">
        <f ca="1">IF(OR($D141&lt;&gt;"Serviço",AND(AUTOEVENTO="Manual",$M141=$A$15)),0,
         IF(OFFSET(CRONOPLE!$F$15,$M141-$A$15,CL$13)=0,10^12,OFFSET(CRONOPLE!$F$15,$M141-$A$15,CL$13)))</f>
        <v>20</v>
      </c>
      <c r="CM141" s="171">
        <f ca="1">IF(OR($D141&lt;&gt;"Serviço",AND(AUTOEVENTO="Manual",$M141=$A$15)),0,
         IF(OFFSET(CRONOPLE!$F$15,$M141-$A$15,CM$13)=0,10^12,OFFSET(CRONOPLE!$F$15,$M141-$A$15,CM$13)))</f>
        <v>1000000000000</v>
      </c>
      <c r="CN141" s="171">
        <f ca="1">IF(OR($D141&lt;&gt;"Serviço",AND(AUTOEVENTO="Manual",$M141=$A$15)),0,
         IF(OFFSET(CRONOPLE!$F$15,$M141-$A$15,CN$13)=0,10^12,OFFSET(CRONOPLE!$F$15,$M141-$A$15,CN$13)))</f>
        <v>1000000000000</v>
      </c>
      <c r="CO141" s="171">
        <f ca="1">IF(OR($D141&lt;&gt;"Serviço",AND(AUTOEVENTO="Manual",$M141=$A$15)),0,
         IF(OFFSET(CRONOPLE!$F$15,$M141-$A$15,CO$13)=0,10^12,OFFSET(CRONOPLE!$F$15,$M141-$A$15,CO$13)))</f>
        <v>1000000000000</v>
      </c>
      <c r="CP141" s="171">
        <f ca="1">IF(OR($D141&lt;&gt;"Serviço",AND(AUTOEVENTO="Manual",$M141=$A$15)),0,
         IF(OFFSET(CRONOPLE!$F$15,$M141-$A$15,CP$13)=0,10^12,OFFSET(CRONOPLE!$F$15,$M141-$A$15,CP$13)))</f>
        <v>1000000000000</v>
      </c>
      <c r="CQ141" s="171">
        <f ca="1">IF(OR($D141&lt;&gt;"Serviço",AND(AUTOEVENTO="Manual",$M141=$A$15)),0,
         IF(OFFSET(CRONOPLE!$F$15,$M141-$A$15,CQ$13)=0,10^12,OFFSET(CRONOPLE!$F$15,$M141-$A$15,CQ$13)))</f>
        <v>1000000000000</v>
      </c>
      <c r="CR141" s="171">
        <f ca="1">IF(OR($D141&lt;&gt;"Serviço",AND(AUTOEVENTO="Manual",$M141=$A$15)),0,
         IF(OFFSET(CRONOPLE!$F$15,$M141-$A$15,CR$13)=0,10^12,OFFSET(CRONOPLE!$F$15,$M141-$A$15,CR$13)))</f>
        <v>1000000000000</v>
      </c>
      <c r="CT141" s="172" cm="1">
        <f t="array" aca="1" ref="CT141" ca="1">IF(OR($D141&lt;&gt;"Serviço",AND(AUTOEVENTO="Manual",$M141=$A$15),$M141&gt;(ROW(PLE.lastrow)-ROW(PLE.firstrow))),0,
           IF(OFFSET(PLE!$G$15,$M141-$A$15,CT$13)="",10^12,OFFSET(PLE!$G$15,$M141-$A$15,CT$13)))</f>
        <v>1000000000000</v>
      </c>
      <c r="CU141" s="172" cm="1">
        <f t="array" aca="1" ref="CU141" ca="1">IF(OR($D141&lt;&gt;"Serviço",AND(AUTOEVENTO="Manual",$M141=$A$15),$M141&gt;(ROW(PLE.lastrow)-ROW(PLE.firstrow))),0,
           IF(OFFSET(PLE!$G$15,$M141-$A$15,CU$13)="",10^12,OFFSET(PLE!$G$15,$M141-$A$15,CU$13)))</f>
        <v>1000000000000</v>
      </c>
      <c r="CV141" s="172" cm="1">
        <f t="array" aca="1" ref="CV141" ca="1">IF(OR($D141&lt;&gt;"Serviço",AND(AUTOEVENTO="Manual",$M141=$A$15),$M141&gt;(ROW(PLE.lastrow)-ROW(PLE.firstrow))),0,
           IF(OFFSET(PLE!$G$15,$M141-$A$15,CV$13)="",10^12,OFFSET(PLE!$G$15,$M141-$A$15,CV$13)))</f>
        <v>1000000000000</v>
      </c>
      <c r="CW141" s="172" cm="1">
        <f t="array" aca="1" ref="CW141" ca="1">IF(OR($D141&lt;&gt;"Serviço",AND(AUTOEVENTO="Manual",$M141=$A$15),$M141&gt;(ROW(PLE.lastrow)-ROW(PLE.firstrow))),0,
           IF(OFFSET(PLE!$G$15,$M141-$A$15,CW$13)="",10^12,OFFSET(PLE!$G$15,$M141-$A$15,CW$13)))</f>
        <v>1000000000000</v>
      </c>
      <c r="CX141" s="172" cm="1">
        <f t="array" aca="1" ref="CX141" ca="1">IF(OR($D141&lt;&gt;"Serviço",AND(AUTOEVENTO="Manual",$M141=$A$15),$M141&gt;(ROW(PLE.lastrow)-ROW(PLE.firstrow))),0,
           IF(OFFSET(PLE!$G$15,$M141-$A$15,CX$13)="",10^12,OFFSET(PLE!$G$15,$M141-$A$15,CX$13)))</f>
        <v>1000000000000</v>
      </c>
      <c r="CY141" s="172" cm="1">
        <f t="array" aca="1" ref="CY141" ca="1">IF(OR($D141&lt;&gt;"Serviço",AND(AUTOEVENTO="Manual",$M141=$A$15),$M141&gt;(ROW(PLE.lastrow)-ROW(PLE.firstrow))),0,
           IF(OFFSET(PLE!$G$15,$M141-$A$15,CY$13)="",10^12,OFFSET(PLE!$G$15,$M141-$A$15,CY$13)))</f>
        <v>1000000000000</v>
      </c>
      <c r="CZ141" s="172" cm="1">
        <f t="array" aca="1" ref="CZ141" ca="1">IF(OR($D141&lt;&gt;"Serviço",AND(AUTOEVENTO="Manual",$M141=$A$15),$M141&gt;(ROW(PLE.lastrow)-ROW(PLE.firstrow))),0,
           IF(OFFSET(PLE!$G$15,$M141-$A$15,CZ$13)="",10^12,OFFSET(PLE!$G$15,$M141-$A$15,CZ$13)))</f>
        <v>1000000000000</v>
      </c>
      <c r="DA141" s="172" cm="1">
        <f t="array" aca="1" ref="DA141" ca="1">IF(OR($D141&lt;&gt;"Serviço",AND(AUTOEVENTO="Manual",$M141=$A$15),$M141&gt;(ROW(PLE.lastrow)-ROW(PLE.firstrow))),0,
           IF(OFFSET(PLE!$G$15,$M141-$A$15,DA$13)="",10^12,OFFSET(PLE!$G$15,$M141-$A$15,DA$13)))</f>
        <v>1000000000000</v>
      </c>
      <c r="DB141" s="172" cm="1">
        <f t="array" aca="1" ref="DB141" ca="1">IF(OR($D141&lt;&gt;"Serviço",AND(AUTOEVENTO="Manual",$M141=$A$15),$M141&gt;(ROW(PLE.lastrow)-ROW(PLE.firstrow))),0,
           IF(OFFSET(PLE!$G$15,$M141-$A$15,DB$13)="",10^12,OFFSET(PLE!$G$15,$M141-$A$15,DB$13)))</f>
        <v>1000000000000</v>
      </c>
      <c r="DC141" s="172" cm="1">
        <f t="array" aca="1" ref="DC141" ca="1">IF(OR($D141&lt;&gt;"Serviço",AND(AUTOEVENTO="Manual",$M141=$A$15),$M141&gt;(ROW(PLE.lastrow)-ROW(PLE.firstrow))),0,
           IF(OFFSET(PLE!$G$15,$M141-$A$15,DC$13)="",10^12,OFFSET(PLE!$G$15,$M141-$A$15,DC$13)))</f>
        <v>1000000000000</v>
      </c>
      <c r="DD141" s="172" cm="1">
        <f t="array" aca="1" ref="DD141" ca="1">IF(OR($D141&lt;&gt;"Serviço",AND(AUTOEVENTO="Manual",$M141=$A$15),$M141&gt;(ROW(PLE.lastrow)-ROW(PLE.firstrow))),0,
           IF(OFFSET(PLE!$G$15,$M141-$A$15,DD$13)="",10^12,OFFSET(PLE!$G$15,$M141-$A$15,DD$13)))</f>
        <v>1000000000000</v>
      </c>
      <c r="DE141" s="172" cm="1">
        <f t="array" aca="1" ref="DE141" ca="1">IF(OR($D141&lt;&gt;"Serviço",AND(AUTOEVENTO="Manual",$M141=$A$15),$M141&gt;(ROW(PLE.lastrow)-ROW(PLE.firstrow))),0,
           IF(OFFSET(PLE!$G$15,$M141-$A$15,DE$13)="",10^12,OFFSET(PLE!$G$15,$M141-$A$15,DE$13)))</f>
        <v>1000000000000</v>
      </c>
      <c r="DF141" s="172" cm="1">
        <f t="array" aca="1" ref="DF141" ca="1">IF(OR($D141&lt;&gt;"Serviço",AND(AUTOEVENTO="Manual",$M141=$A$15),$M141&gt;(ROW(PLE.lastrow)-ROW(PLE.firstrow))),0,
           IF(OFFSET(PLE!$G$15,$M141-$A$15,DF$13)="",10^12,OFFSET(PLE!$G$15,$M141-$A$15,DF$13)))</f>
        <v>1000000000000</v>
      </c>
      <c r="DG141" s="172" cm="1">
        <f t="array" aca="1" ref="DG141" ca="1">IF(OR($D141&lt;&gt;"Serviço",AND(AUTOEVENTO="Manual",$M141=$A$15),$M141&gt;(ROW(PLE.lastrow)-ROW(PLE.firstrow))),0,
           IF(OFFSET(PLE!$G$15,$M141-$A$15,DG$13)="",10^12,OFFSET(PLE!$G$15,$M141-$A$15,DG$13)))</f>
        <v>1000000000000</v>
      </c>
      <c r="DH141" s="172" cm="1">
        <f t="array" aca="1" ref="DH141" ca="1">IF(OR($D141&lt;&gt;"Serviço",AND(AUTOEVENTO="Manual",$M141=$A$15),$M141&gt;(ROW(PLE.lastrow)-ROW(PLE.firstrow))),0,
           IF(OFFSET(PLE!$G$15,$M141-$A$15,DH$13)="",10^12,OFFSET(PLE!$G$15,$M141-$A$15,DH$13)))</f>
        <v>1000000000000</v>
      </c>
      <c r="DI141" s="172" cm="1">
        <f t="array" aca="1" ref="DI141" ca="1">IF(OR($D141&lt;&gt;"Serviço",AND(AUTOEVENTO="Manual",$M141=$A$15),$M141&gt;(ROW(PLE.lastrow)-ROW(PLE.firstrow))),0,
           IF(OFFSET(PLE!$G$15,$M141-$A$15,DI$13)="",10^12,OFFSET(PLE!$G$15,$M141-$A$15,DI$13)))</f>
        <v>1000000000000</v>
      </c>
      <c r="DJ141" s="172" cm="1">
        <f t="array" aca="1" ref="DJ141" ca="1">IF(OR($D141&lt;&gt;"Serviço",AND(AUTOEVENTO="Manual",$M141=$A$15),$M141&gt;(ROW(PLE.lastrow)-ROW(PLE.firstrow))),0,
           IF(OFFSET(PLE!$G$15,$M141-$A$15,DJ$13)="",10^12,OFFSET(PLE!$G$15,$M141-$A$15,DJ$13)))</f>
        <v>1000000000000</v>
      </c>
      <c r="DK141" s="172" cm="1">
        <f t="array" aca="1" ref="DK141" ca="1">IF(OR($D141&lt;&gt;"Serviço",AND(AUTOEVENTO="Manual",$M141=$A$15),$M141&gt;(ROW(PLE.lastrow)-ROW(PLE.firstrow))),0,
           IF(OFFSET(PLE!$G$15,$M141-$A$15,DK$13)="",10^12,OFFSET(PLE!$G$15,$M141-$A$15,DK$13)))</f>
        <v>1000000000000</v>
      </c>
      <c r="DL141" s="172" cm="1">
        <f t="array" aca="1" ref="DL141" ca="1">IF(OR($D141&lt;&gt;"Serviço",AND(AUTOEVENTO="Manual",$M141=$A$15),$M141&gt;(ROW(PLE.lastrow)-ROW(PLE.firstrow))),0,
           IF(OFFSET(PLE!$G$15,$M141-$A$15,DL$13)="",10^12,OFFSET(PLE!$G$15,$M141-$A$15,DL$13)))</f>
        <v>1000000000000</v>
      </c>
      <c r="DM141" s="172" cm="1">
        <f t="array" aca="1" ref="DM141" ca="1">IF(OR($D141&lt;&gt;"Serviço",AND(AUTOEVENTO="Manual",$M141=$A$15),$M141&gt;(ROW(PLE.lastrow)-ROW(PLE.firstrow))),0,
           IF(OFFSET(PLE!$G$15,$M141-$A$15,DM$13)="",10^12,OFFSET(PLE!$G$15,$M141-$A$15,DM$13)))</f>
        <v>1000000000000</v>
      </c>
      <c r="DN141" s="172" cm="1">
        <f t="array" aca="1" ref="DN141" ca="1">IF(OR($D141&lt;&gt;"Serviço",AND(AUTOEVENTO="Manual",$M141=$A$15),$M141&gt;(ROW(PLE.lastrow)-ROW(PLE.firstrow))),0,
           IF(OFFSET(PLE!$G$15,$M141-$A$15,DN$13)="",10^12,OFFSET(PLE!$G$15,$M141-$A$15,DN$13)))</f>
        <v>1000000000000</v>
      </c>
      <c r="DO141" s="172" cm="1">
        <f t="array" aca="1" ref="DO141" ca="1">IF(OR($D141&lt;&gt;"Serviço",AND(AUTOEVENTO="Manual",$M141=$A$15),$M141&gt;(ROW(PLE.lastrow)-ROW(PLE.firstrow))),0,
           IF(OFFSET(PLE!$G$15,$M141-$A$15,DO$13)="",10^12,OFFSET(PLE!$G$15,$M141-$A$15,DO$13)))</f>
        <v>1000000000000</v>
      </c>
      <c r="DP141" s="172" cm="1">
        <f t="array" aca="1" ref="DP141" ca="1">IF(OR($D141&lt;&gt;"Serviço",AND(AUTOEVENTO="Manual",$M141=$A$15),$M141&gt;(ROW(PLE.lastrow)-ROW(PLE.firstrow))),0,
           IF(OFFSET(PLE!$G$15,$M141-$A$15,DP$13)="",10^12,OFFSET(PLE!$G$15,$M141-$A$15,DP$13)))</f>
        <v>1000000000000</v>
      </c>
      <c r="DQ141" s="172" cm="1">
        <f t="array" aca="1" ref="DQ141" ca="1">IF(OR($D141&lt;&gt;"Serviço",AND(AUTOEVENTO="Manual",$M141=$A$15),$M141&gt;(ROW(PLE.lastrow)-ROW(PLE.firstrow))),0,
           IF(OFFSET(PLE!$G$15,$M141-$A$15,DQ$13)="",10^12,OFFSET(PLE!$G$15,$M141-$A$15,DQ$13)))</f>
        <v>1000000000000</v>
      </c>
      <c r="DR141" s="172" cm="1">
        <f t="array" aca="1" ref="DR141" ca="1">IF(OR($D141&lt;&gt;"Serviço",AND(AUTOEVENTO="Manual",$M141=$A$15),$M141&gt;(ROW(PLE.lastrow)-ROW(PLE.firstrow))),0,
           IF(OFFSET(PLE!$G$15,$M141-$A$15,DR$13)="",10^12,OFFSET(PLE!$G$15,$M141-$A$15,DR$13)))</f>
        <v>1000000000000</v>
      </c>
      <c r="DS141" s="172" cm="1">
        <f t="array" aca="1" ref="DS141" ca="1">IF(OR($D141&lt;&gt;"Serviço",AND(AUTOEVENTO="Manual",$M141=$A$15),$M141&gt;(ROW(PLE.lastrow)-ROW(PLE.firstrow))),0,
           IF(OFFSET(PLE!$G$15,$M141-$A$15,DS$13)="",10^12,OFFSET(PLE!$G$15,$M141-$A$15,DS$13)))</f>
        <v>1000000000000</v>
      </c>
    </row>
    <row r="142" spans="1:123" ht="12.75" x14ac:dyDescent="0.2">
      <c r="A142" s="7">
        <f t="shared" ca="1" si="15"/>
        <v>0</v>
      </c>
      <c r="B142" s="7">
        <f ca="1">OFFSET(ORÇAMENTO!C$15,$L142,0)</f>
        <v>3</v>
      </c>
      <c r="C142" s="7" t="str">
        <f ca="1">OFFSET(ORÇAMENTO!L$15,$L142,0)</f>
        <v>F</v>
      </c>
      <c r="D142" s="116" t="str">
        <f ca="1">OFFSET(ORÇAMENTO!N$15,$L142,0)</f>
        <v>Nível 3</v>
      </c>
      <c r="E142" s="117" t="str">
        <f ca="1">OFFSET(ORÇAMENTO!O$15,$L142,0)</f>
        <v>9.1.2.</v>
      </c>
      <c r="F142" s="163" t="str">
        <f ca="1">OFFSET(ORÇAMENTO!R$15,$L142,0)</f>
        <v>ILUMINAÇÃO, TOMADAS E INTERRUPTORES</v>
      </c>
      <c r="G142" s="164" t="str">
        <f ca="1">IF($D142&lt;&gt;"Serviço","",OFFSET(ORÇAMENTO!S$15,$L142,0))</f>
        <v/>
      </c>
      <c r="H142" s="122" cm="1">
        <f t="array" aca="1" ref="H142" ca="1">IF($D142&lt;&gt;"Serviço",0,IF(ACOMPANHAMENTO="BM",ROUND(OFFSET(ORÇAMENTO!AJ$15,$L142,0),15-13*ORÇAMENTO!$AF$7),IF(IFERROR(CÁLCULO.FrentesPreenchidas,0)=0,0,SUM(ROUND(OFFSET($P142,0,1,1,CÁLCULO.FrentesPreenchidas),15-13*ORÇAMENTO!$AF$7)))))</f>
        <v>0</v>
      </c>
      <c r="I142" s="468"/>
      <c r="J142" s="651" t="str" cm="1">
        <f t="array" aca="1" ref="J142" ca="1">IF(OR(B142&lt;&gt;"S",CÁLCULO.FrentesPreenchidas=0),"",IF(AND(ACOMPANHAMENTO="PLE",AUTOEVENTO="Manual",OR(H142&gt;0,ORÇAMENTO!AC142="QUANT."),OR(K142="",M142=0,N142="")),"►E",IF(AND(ACOMPANHAMENTO="PLE",ORÇAMENTO!AC142="QUANT."),"►Q",IF(AND(ACOMPANHAMENTO="PLE",H142&lt;&gt;SUMPRODUCT(($Q$1:$AQ$1=1)*ROUND(Q142:AQ142,15))),"►S",IF(AND(COUNTIF($P$11:$AQ$11,"▼")=0,H142&gt;0,I142=""),"◄M","")))))</f>
        <v/>
      </c>
      <c r="K142" s="652"/>
      <c r="L142" s="165">
        <f t="shared" ca="1" si="14"/>
        <v>127</v>
      </c>
      <c r="M142" s="166" t="str">
        <f ca="1">IF($D142&lt;&gt;"Serviço","",
          IF(AUTOEVENTO="manual",$A142,
                IF(ISERROR(MATCH($A142,$A$15:OFFSET($A142,-1,0),0)),MAX($M$15:OFFSET(M142,-1,0))+1,
                      INDEX($M$15:OFFSET(M142,-1,0),MATCH($A142,$A$15:OFFSET($A142,-1,0),0)))))</f>
        <v/>
      </c>
      <c r="N142" s="167" t="str">
        <f ca="1">IF($D142&lt;&gt;"Serviço","",
         IF(AUTOEVENTO="Manual",
                IF($A142=0,"&lt;-- defina o número do agrupador",
                       OFFSET(EVENTOS!$D$15,$A142-$A$15,0)),
                OFFSET($F$15,$A142,0)))</f>
        <v/>
      </c>
      <c r="O142" s="168"/>
      <c r="Q142" s="168"/>
      <c r="R142" s="169"/>
      <c r="S142" s="169"/>
      <c r="T142" s="169"/>
      <c r="U142" s="169"/>
      <c r="V142" s="169"/>
      <c r="W142" s="169"/>
      <c r="X142" s="169"/>
      <c r="Y142" s="169"/>
      <c r="Z142" s="170"/>
      <c r="AA142" s="169"/>
      <c r="AB142" s="169"/>
      <c r="AC142" s="169"/>
      <c r="AD142" s="169"/>
      <c r="AE142" s="169"/>
      <c r="AF142" s="169"/>
      <c r="AG142" s="169"/>
      <c r="AH142" s="170"/>
      <c r="AI142" s="169"/>
      <c r="AJ142" s="169"/>
      <c r="AK142" s="169"/>
      <c r="AL142" s="169"/>
      <c r="AM142" s="169"/>
      <c r="AN142" s="169"/>
      <c r="AO142" s="169"/>
      <c r="AP142" s="170"/>
      <c r="AR142" s="453">
        <f ca="1">IF(AND($D142="Serviço",AR$12&lt;&gt;0,$H142&gt;0,OR(AUTOEVENTO&lt;&gt;"manual",$M142&lt;&gt;$A$15)),
        IF(Import.TipoArredondamento&lt;&gt;"TransfereGOV",
              ROUND(OFFSET($P142,0,AR$13),15-13*ORÇAMENTO!$AF$7)/$H142*OFFSET(ORÇAMENTO!$X$15,ROW(AR142)-ROW(AR$15),0),
              ROUND(ROUND(OFFSET($P142,0,AR$13),15-13*ORÇAMENTO!$AF$7)*OFFSET(ORÇAMENTO!$W$15,ROW(AR142)-ROW(AR$15),0),15-13*ORÇAMENTO!$AF$11)),
         0)</f>
        <v>0</v>
      </c>
      <c r="AS142" s="453">
        <f ca="1">IF(AND($D142="Serviço",AS$12&lt;&gt;0,$H142&gt;0,OR(AUTOEVENTO&lt;&gt;"manual",$M142&lt;&gt;$A$15)),
        IF(Import.TipoArredondamento&lt;&gt;"TransfereGOV",
              ROUND(OFFSET($P142,0,AS$13),15-13*ORÇAMENTO!$AF$7)/$H142*OFFSET(ORÇAMENTO!$X$15,ROW(AS142)-ROW(AS$15),0),
              ROUND(ROUND(OFFSET($P142,0,AS$13),15-13*ORÇAMENTO!$AF$7)*OFFSET(ORÇAMENTO!$W$15,ROW(AS142)-ROW(AS$15),0),15-13*ORÇAMENTO!$AF$11)),
         0)</f>
        <v>0</v>
      </c>
      <c r="AT142" s="453">
        <f ca="1">IF(AND($D142="Serviço",AT$12&lt;&gt;0,$H142&gt;0,OR(AUTOEVENTO&lt;&gt;"manual",$M142&lt;&gt;$A$15)),
        IF(Import.TipoArredondamento&lt;&gt;"TransfereGOV",
              ROUND(OFFSET($P142,0,AT$13),15-13*ORÇAMENTO!$AF$7)/$H142*OFFSET(ORÇAMENTO!$X$15,ROW(AT142)-ROW(AT$15),0),
              ROUND(ROUND(OFFSET($P142,0,AT$13),15-13*ORÇAMENTO!$AF$7)*OFFSET(ORÇAMENTO!$W$15,ROW(AT142)-ROW(AT$15),0),15-13*ORÇAMENTO!$AF$11)),
         0)</f>
        <v>0</v>
      </c>
      <c r="AU142" s="453">
        <f ca="1">IF(AND($D142="Serviço",AU$12&lt;&gt;0,$H142&gt;0,OR(AUTOEVENTO&lt;&gt;"manual",$M142&lt;&gt;$A$15)),
        IF(Import.TipoArredondamento&lt;&gt;"TransfereGOV",
              ROUND(OFFSET($P142,0,AU$13),15-13*ORÇAMENTO!$AF$7)/$H142*OFFSET(ORÇAMENTO!$X$15,ROW(AU142)-ROW(AU$15),0),
              ROUND(ROUND(OFFSET($P142,0,AU$13),15-13*ORÇAMENTO!$AF$7)*OFFSET(ORÇAMENTO!$W$15,ROW(AU142)-ROW(AU$15),0),15-13*ORÇAMENTO!$AF$11)),
         0)</f>
        <v>0</v>
      </c>
      <c r="AV142" s="453">
        <f ca="1">IF(AND($D142="Serviço",AV$12&lt;&gt;0,$H142&gt;0,OR(AUTOEVENTO&lt;&gt;"manual",$M142&lt;&gt;$A$15)),
        IF(Import.TipoArredondamento&lt;&gt;"TransfereGOV",
              ROUND(OFFSET($P142,0,AV$13),15-13*ORÇAMENTO!$AF$7)/$H142*OFFSET(ORÇAMENTO!$X$15,ROW(AV142)-ROW(AV$15),0),
              ROUND(ROUND(OFFSET($P142,0,AV$13),15-13*ORÇAMENTO!$AF$7)*OFFSET(ORÇAMENTO!$W$15,ROW(AV142)-ROW(AV$15),0),15-13*ORÇAMENTO!$AF$11)),
         0)</f>
        <v>0</v>
      </c>
      <c r="AW142" s="453">
        <f ca="1">IF(AND($D142="Serviço",AW$12&lt;&gt;0,$H142&gt;0,OR(AUTOEVENTO&lt;&gt;"manual",$M142&lt;&gt;$A$15)),
        IF(Import.TipoArredondamento&lt;&gt;"TransfereGOV",
              ROUND(OFFSET($P142,0,AW$13),15-13*ORÇAMENTO!$AF$7)/$H142*OFFSET(ORÇAMENTO!$X$15,ROW(AW142)-ROW(AW$15),0),
              ROUND(ROUND(OFFSET($P142,0,AW$13),15-13*ORÇAMENTO!$AF$7)*OFFSET(ORÇAMENTO!$W$15,ROW(AW142)-ROW(AW$15),0),15-13*ORÇAMENTO!$AF$11)),
         0)</f>
        <v>0</v>
      </c>
      <c r="AX142" s="453">
        <f ca="1">IF(AND($D142="Serviço",AX$12&lt;&gt;0,$H142&gt;0,OR(AUTOEVENTO&lt;&gt;"manual",$M142&lt;&gt;$A$15)),
        IF(Import.TipoArredondamento&lt;&gt;"TransfereGOV",
              ROUND(OFFSET($P142,0,AX$13),15-13*ORÇAMENTO!$AF$7)/$H142*OFFSET(ORÇAMENTO!$X$15,ROW(AX142)-ROW(AX$15),0),
              ROUND(ROUND(OFFSET($P142,0,AX$13),15-13*ORÇAMENTO!$AF$7)*OFFSET(ORÇAMENTO!$W$15,ROW(AX142)-ROW(AX$15),0),15-13*ORÇAMENTO!$AF$11)),
         0)</f>
        <v>0</v>
      </c>
      <c r="AY142" s="453">
        <f ca="1">IF(AND($D142="Serviço",AY$12&lt;&gt;0,$H142&gt;0,OR(AUTOEVENTO&lt;&gt;"manual",$M142&lt;&gt;$A$15)),
        IF(Import.TipoArredondamento&lt;&gt;"TransfereGOV",
              ROUND(OFFSET($P142,0,AY$13),15-13*ORÇAMENTO!$AF$7)/$H142*OFFSET(ORÇAMENTO!$X$15,ROW(AY142)-ROW(AY$15),0),
              ROUND(ROUND(OFFSET($P142,0,AY$13),15-13*ORÇAMENTO!$AF$7)*OFFSET(ORÇAMENTO!$W$15,ROW(AY142)-ROW(AY$15),0),15-13*ORÇAMENTO!$AF$11)),
         0)</f>
        <v>0</v>
      </c>
      <c r="AZ142" s="453">
        <f ca="1">IF(AND($D142="Serviço",AZ$12&lt;&gt;0,$H142&gt;0,OR(AUTOEVENTO&lt;&gt;"manual",$M142&lt;&gt;$A$15)),
        IF(Import.TipoArredondamento&lt;&gt;"TransfereGOV",
              ROUND(OFFSET($P142,0,AZ$13),15-13*ORÇAMENTO!$AF$7)/$H142*OFFSET(ORÇAMENTO!$X$15,ROW(AZ142)-ROW(AZ$15),0),
              ROUND(ROUND(OFFSET($P142,0,AZ$13),15-13*ORÇAMENTO!$AF$7)*OFFSET(ORÇAMENTO!$W$15,ROW(AZ142)-ROW(AZ$15),0),15-13*ORÇAMENTO!$AF$11)),
         0)</f>
        <v>0</v>
      </c>
      <c r="BA142" s="453">
        <f ca="1">IF(AND($D142="Serviço",BA$12&lt;&gt;0,$H142&gt;0,OR(AUTOEVENTO&lt;&gt;"manual",$M142&lt;&gt;$A$15)),
        IF(Import.TipoArredondamento&lt;&gt;"TransfereGOV",
              ROUND(OFFSET($P142,0,BA$13),15-13*ORÇAMENTO!$AF$7)/$H142*OFFSET(ORÇAMENTO!$X$15,ROW(BA142)-ROW(BA$15),0),
              ROUND(ROUND(OFFSET($P142,0,BA$13),15-13*ORÇAMENTO!$AF$7)*OFFSET(ORÇAMENTO!$W$15,ROW(BA142)-ROW(BA$15),0),15-13*ORÇAMENTO!$AF$11)),
         0)</f>
        <v>0</v>
      </c>
      <c r="BB142" s="453">
        <f ca="1">IF(AND($D142="Serviço",BB$12&lt;&gt;0,$H142&gt;0,OR(AUTOEVENTO&lt;&gt;"manual",$M142&lt;&gt;$A$15)),
        IF(Import.TipoArredondamento&lt;&gt;"TransfereGOV",
              ROUND(OFFSET($P142,0,BB$13),15-13*ORÇAMENTO!$AF$7)/$H142*OFFSET(ORÇAMENTO!$X$15,ROW(BB142)-ROW(BB$15),0),
              ROUND(ROUND(OFFSET($P142,0,BB$13),15-13*ORÇAMENTO!$AF$7)*OFFSET(ORÇAMENTO!$W$15,ROW(BB142)-ROW(BB$15),0),15-13*ORÇAMENTO!$AF$11)),
         0)</f>
        <v>0</v>
      </c>
      <c r="BC142" s="453">
        <f ca="1">IF(AND($D142="Serviço",BC$12&lt;&gt;0,$H142&gt;0,OR(AUTOEVENTO&lt;&gt;"manual",$M142&lt;&gt;$A$15)),
        IF(Import.TipoArredondamento&lt;&gt;"TransfereGOV",
              ROUND(OFFSET($P142,0,BC$13),15-13*ORÇAMENTO!$AF$7)/$H142*OFFSET(ORÇAMENTO!$X$15,ROW(BC142)-ROW(BC$15),0),
              ROUND(ROUND(OFFSET($P142,0,BC$13),15-13*ORÇAMENTO!$AF$7)*OFFSET(ORÇAMENTO!$W$15,ROW(BC142)-ROW(BC$15),0),15-13*ORÇAMENTO!$AF$11)),
         0)</f>
        <v>0</v>
      </c>
      <c r="BD142" s="453">
        <f ca="1">IF(AND($D142="Serviço",BD$12&lt;&gt;0,$H142&gt;0,OR(AUTOEVENTO&lt;&gt;"manual",$M142&lt;&gt;$A$15)),
        IF(Import.TipoArredondamento&lt;&gt;"TransfereGOV",
              ROUND(OFFSET($P142,0,BD$13),15-13*ORÇAMENTO!$AF$7)/$H142*OFFSET(ORÇAMENTO!$X$15,ROW(BD142)-ROW(BD$15),0),
              ROUND(ROUND(OFFSET($P142,0,BD$13),15-13*ORÇAMENTO!$AF$7)*OFFSET(ORÇAMENTO!$W$15,ROW(BD142)-ROW(BD$15),0),15-13*ORÇAMENTO!$AF$11)),
         0)</f>
        <v>0</v>
      </c>
      <c r="BE142" s="453">
        <f ca="1">IF(AND($D142="Serviço",BE$12&lt;&gt;0,$H142&gt;0,OR(AUTOEVENTO&lt;&gt;"manual",$M142&lt;&gt;$A$15)),
        IF(Import.TipoArredondamento&lt;&gt;"TransfereGOV",
              ROUND(OFFSET($P142,0,BE$13),15-13*ORÇAMENTO!$AF$7)/$H142*OFFSET(ORÇAMENTO!$X$15,ROW(BE142)-ROW(BE$15),0),
              ROUND(ROUND(OFFSET($P142,0,BE$13),15-13*ORÇAMENTO!$AF$7)*OFFSET(ORÇAMENTO!$W$15,ROW(BE142)-ROW(BE$15),0),15-13*ORÇAMENTO!$AF$11)),
         0)</f>
        <v>0</v>
      </c>
      <c r="BF142" s="453">
        <f ca="1">IF(AND($D142="Serviço",BF$12&lt;&gt;0,$H142&gt;0,OR(AUTOEVENTO&lt;&gt;"manual",$M142&lt;&gt;$A$15)),
        IF(Import.TipoArredondamento&lt;&gt;"TransfereGOV",
              ROUND(OFFSET($P142,0,BF$13),15-13*ORÇAMENTO!$AF$7)/$H142*OFFSET(ORÇAMENTO!$X$15,ROW(BF142)-ROW(BF$15),0),
              ROUND(ROUND(OFFSET($P142,0,BF$13),15-13*ORÇAMENTO!$AF$7)*OFFSET(ORÇAMENTO!$W$15,ROW(BF142)-ROW(BF$15),0),15-13*ORÇAMENTO!$AF$11)),
         0)</f>
        <v>0</v>
      </c>
      <c r="BG142" s="453">
        <f ca="1">IF(AND($D142="Serviço",BG$12&lt;&gt;0,$H142&gt;0,OR(AUTOEVENTO&lt;&gt;"manual",$M142&lt;&gt;$A$15)),
        IF(Import.TipoArredondamento&lt;&gt;"TransfereGOV",
              ROUND(OFFSET($P142,0,BG$13),15-13*ORÇAMENTO!$AF$7)/$H142*OFFSET(ORÇAMENTO!$X$15,ROW(BG142)-ROW(BG$15),0),
              ROUND(ROUND(OFFSET($P142,0,BG$13),15-13*ORÇAMENTO!$AF$7)*OFFSET(ORÇAMENTO!$W$15,ROW(BG142)-ROW(BG$15),0),15-13*ORÇAMENTO!$AF$11)),
         0)</f>
        <v>0</v>
      </c>
      <c r="BH142" s="453">
        <f ca="1">IF(AND($D142="Serviço",BH$12&lt;&gt;0,$H142&gt;0,OR(AUTOEVENTO&lt;&gt;"manual",$M142&lt;&gt;$A$15)),
        IF(Import.TipoArredondamento&lt;&gt;"TransfereGOV",
              ROUND(OFFSET($P142,0,BH$13),15-13*ORÇAMENTO!$AF$7)/$H142*OFFSET(ORÇAMENTO!$X$15,ROW(BH142)-ROW(BH$15),0),
              ROUND(ROUND(OFFSET($P142,0,BH$13),15-13*ORÇAMENTO!$AF$7)*OFFSET(ORÇAMENTO!$W$15,ROW(BH142)-ROW(BH$15),0),15-13*ORÇAMENTO!$AF$11)),
         0)</f>
        <v>0</v>
      </c>
      <c r="BI142" s="453">
        <f ca="1">IF(AND($D142="Serviço",BI$12&lt;&gt;0,$H142&gt;0,OR(AUTOEVENTO&lt;&gt;"manual",$M142&lt;&gt;$A$15)),
        IF(Import.TipoArredondamento&lt;&gt;"TransfereGOV",
              ROUND(OFFSET($P142,0,BI$13),15-13*ORÇAMENTO!$AF$7)/$H142*OFFSET(ORÇAMENTO!$X$15,ROW(BI142)-ROW(BI$15),0),
              ROUND(ROUND(OFFSET($P142,0,BI$13),15-13*ORÇAMENTO!$AF$7)*OFFSET(ORÇAMENTO!$W$15,ROW(BI142)-ROW(BI$15),0),15-13*ORÇAMENTO!$AF$11)),
         0)</f>
        <v>0</v>
      </c>
      <c r="BJ142" s="453">
        <f ca="1">IF(AND($D142="Serviço",BJ$12&lt;&gt;0,$H142&gt;0,OR(AUTOEVENTO&lt;&gt;"manual",$M142&lt;&gt;$A$15)),
        IF(Import.TipoArredondamento&lt;&gt;"TransfereGOV",
              ROUND(OFFSET($P142,0,BJ$13),15-13*ORÇAMENTO!$AF$7)/$H142*OFFSET(ORÇAMENTO!$X$15,ROW(BJ142)-ROW(BJ$15),0),
              ROUND(ROUND(OFFSET($P142,0,BJ$13),15-13*ORÇAMENTO!$AF$7)*OFFSET(ORÇAMENTO!$W$15,ROW(BJ142)-ROW(BJ$15),0),15-13*ORÇAMENTO!$AF$11)),
         0)</f>
        <v>0</v>
      </c>
      <c r="BK142" s="453">
        <f ca="1">IF(AND($D142="Serviço",BK$12&lt;&gt;0,$H142&gt;0,OR(AUTOEVENTO&lt;&gt;"manual",$M142&lt;&gt;$A$15)),
        IF(Import.TipoArredondamento&lt;&gt;"TransfereGOV",
              ROUND(OFFSET($P142,0,BK$13),15-13*ORÇAMENTO!$AF$7)/$H142*OFFSET(ORÇAMENTO!$X$15,ROW(BK142)-ROW(BK$15),0),
              ROUND(ROUND(OFFSET($P142,0,BK$13),15-13*ORÇAMENTO!$AF$7)*OFFSET(ORÇAMENTO!$W$15,ROW(BK142)-ROW(BK$15),0),15-13*ORÇAMENTO!$AF$11)),
         0)</f>
        <v>0</v>
      </c>
      <c r="BL142" s="453">
        <f ca="1">IF(AND($D142="Serviço",BL$12&lt;&gt;0,$H142&gt;0,OR(AUTOEVENTO&lt;&gt;"manual",$M142&lt;&gt;$A$15)),
        IF(Import.TipoArredondamento&lt;&gt;"TransfereGOV",
              ROUND(OFFSET($P142,0,BL$13),15-13*ORÇAMENTO!$AF$7)/$H142*OFFSET(ORÇAMENTO!$X$15,ROW(BL142)-ROW(BL$15),0),
              ROUND(ROUND(OFFSET($P142,0,BL$13),15-13*ORÇAMENTO!$AF$7)*OFFSET(ORÇAMENTO!$W$15,ROW(BL142)-ROW(BL$15),0),15-13*ORÇAMENTO!$AF$11)),
         0)</f>
        <v>0</v>
      </c>
      <c r="BM142" s="453">
        <f ca="1">IF(AND($D142="Serviço",BM$12&lt;&gt;0,$H142&gt;0,OR(AUTOEVENTO&lt;&gt;"manual",$M142&lt;&gt;$A$15)),
        IF(Import.TipoArredondamento&lt;&gt;"TransfereGOV",
              ROUND(OFFSET($P142,0,BM$13),15-13*ORÇAMENTO!$AF$7)/$H142*OFFSET(ORÇAMENTO!$X$15,ROW(BM142)-ROW(BM$15),0),
              ROUND(ROUND(OFFSET($P142,0,BM$13),15-13*ORÇAMENTO!$AF$7)*OFFSET(ORÇAMENTO!$W$15,ROW(BM142)-ROW(BM$15),0),15-13*ORÇAMENTO!$AF$11)),
         0)</f>
        <v>0</v>
      </c>
      <c r="BN142" s="453">
        <f ca="1">IF(AND($D142="Serviço",BN$12&lt;&gt;0,$H142&gt;0,OR(AUTOEVENTO&lt;&gt;"manual",$M142&lt;&gt;$A$15)),
        IF(Import.TipoArredondamento&lt;&gt;"TransfereGOV",
              ROUND(OFFSET($P142,0,BN$13),15-13*ORÇAMENTO!$AF$7)/$H142*OFFSET(ORÇAMENTO!$X$15,ROW(BN142)-ROW(BN$15),0),
              ROUND(ROUND(OFFSET($P142,0,BN$13),15-13*ORÇAMENTO!$AF$7)*OFFSET(ORÇAMENTO!$W$15,ROW(BN142)-ROW(BN$15),0),15-13*ORÇAMENTO!$AF$11)),
         0)</f>
        <v>0</v>
      </c>
      <c r="BO142" s="453">
        <f ca="1">IF(AND($D142="Serviço",BO$12&lt;&gt;0,$H142&gt;0,OR(AUTOEVENTO&lt;&gt;"manual",$M142&lt;&gt;$A$15)),
        IF(Import.TipoArredondamento&lt;&gt;"TransfereGOV",
              ROUND(OFFSET($P142,0,BO$13),15-13*ORÇAMENTO!$AF$7)/$H142*OFFSET(ORÇAMENTO!$X$15,ROW(BO142)-ROW(BO$15),0),
              ROUND(ROUND(OFFSET($P142,0,BO$13),15-13*ORÇAMENTO!$AF$7)*OFFSET(ORÇAMENTO!$W$15,ROW(BO142)-ROW(BO$15),0),15-13*ORÇAMENTO!$AF$11)),
         0)</f>
        <v>0</v>
      </c>
      <c r="BP142" s="453">
        <f ca="1">IF(AND($D142="Serviço",BP$12&lt;&gt;0,$H142&gt;0,OR(AUTOEVENTO&lt;&gt;"manual",$M142&lt;&gt;$A$15)),
        IF(Import.TipoArredondamento&lt;&gt;"TransfereGOV",
              ROUND(OFFSET($P142,0,BP$13),15-13*ORÇAMENTO!$AF$7)/$H142*OFFSET(ORÇAMENTO!$X$15,ROW(BP142)-ROW(BP$15),0),
              ROUND(ROUND(OFFSET($P142,0,BP$13),15-13*ORÇAMENTO!$AF$7)*OFFSET(ORÇAMENTO!$W$15,ROW(BP142)-ROW(BP$15),0),15-13*ORÇAMENTO!$AF$11)),
         0)</f>
        <v>0</v>
      </c>
      <c r="BQ142" s="453">
        <f ca="1">IF(AND($D142="Serviço",BQ$12&lt;&gt;0,$H142&gt;0,OR(AUTOEVENTO&lt;&gt;"manual",$M142&lt;&gt;$A$15)),
        IF(Import.TipoArredondamento&lt;&gt;"TransfereGOV",
              ROUND(OFFSET($P142,0,BQ$13),15-13*ORÇAMENTO!$AF$7)/$H142*OFFSET(ORÇAMENTO!$X$15,ROW(BQ142)-ROW(BQ$15),0),
              ROUND(ROUND(OFFSET($P142,0,BQ$13),15-13*ORÇAMENTO!$AF$7)*OFFSET(ORÇAMENTO!$W$15,ROW(BQ142)-ROW(BQ$15),0),15-13*ORÇAMENTO!$AF$11)),
         0)</f>
        <v>0</v>
      </c>
      <c r="BS142" s="171">
        <f ca="1">IF(OR($D142&lt;&gt;"Serviço",AND(AUTOEVENTO="Manual",$M142=$A$15)),0,
         IF(OFFSET(CRONOPLE!$F$15,$M142-$A$15,BS$13)=0,10^12,OFFSET(CRONOPLE!$F$15,$M142-$A$15,BS$13)))</f>
        <v>0</v>
      </c>
      <c r="BT142" s="171">
        <f ca="1">IF(OR($D142&lt;&gt;"Serviço",AND(AUTOEVENTO="Manual",$M142=$A$15)),0,
         IF(OFFSET(CRONOPLE!$F$15,$M142-$A$15,BT$13)=0,10^12,OFFSET(CRONOPLE!$F$15,$M142-$A$15,BT$13)))</f>
        <v>0</v>
      </c>
      <c r="BU142" s="171">
        <f ca="1">IF(OR($D142&lt;&gt;"Serviço",AND(AUTOEVENTO="Manual",$M142=$A$15)),0,
         IF(OFFSET(CRONOPLE!$F$15,$M142-$A$15,BU$13)=0,10^12,OFFSET(CRONOPLE!$F$15,$M142-$A$15,BU$13)))</f>
        <v>0</v>
      </c>
      <c r="BV142" s="171">
        <f ca="1">IF(OR($D142&lt;&gt;"Serviço",AND(AUTOEVENTO="Manual",$M142=$A$15)),0,
         IF(OFFSET(CRONOPLE!$F$15,$M142-$A$15,BV$13)=0,10^12,OFFSET(CRONOPLE!$F$15,$M142-$A$15,BV$13)))</f>
        <v>0</v>
      </c>
      <c r="BW142" s="171">
        <f ca="1">IF(OR($D142&lt;&gt;"Serviço",AND(AUTOEVENTO="Manual",$M142=$A$15)),0,
         IF(OFFSET(CRONOPLE!$F$15,$M142-$A$15,BW$13)=0,10^12,OFFSET(CRONOPLE!$F$15,$M142-$A$15,BW$13)))</f>
        <v>0</v>
      </c>
      <c r="BX142" s="171">
        <f ca="1">IF(OR($D142&lt;&gt;"Serviço",AND(AUTOEVENTO="Manual",$M142=$A$15)),0,
         IF(OFFSET(CRONOPLE!$F$15,$M142-$A$15,BX$13)=0,10^12,OFFSET(CRONOPLE!$F$15,$M142-$A$15,BX$13)))</f>
        <v>0</v>
      </c>
      <c r="BY142" s="171">
        <f ca="1">IF(OR($D142&lt;&gt;"Serviço",AND(AUTOEVENTO="Manual",$M142=$A$15)),0,
         IF(OFFSET(CRONOPLE!$F$15,$M142-$A$15,BY$13)=0,10^12,OFFSET(CRONOPLE!$F$15,$M142-$A$15,BY$13)))</f>
        <v>0</v>
      </c>
      <c r="BZ142" s="171">
        <f ca="1">IF(OR($D142&lt;&gt;"Serviço",AND(AUTOEVENTO="Manual",$M142=$A$15)),0,
         IF(OFFSET(CRONOPLE!$F$15,$M142-$A$15,BZ$13)=0,10^12,OFFSET(CRONOPLE!$F$15,$M142-$A$15,BZ$13)))</f>
        <v>0</v>
      </c>
      <c r="CA142" s="171">
        <f ca="1">IF(OR($D142&lt;&gt;"Serviço",AND(AUTOEVENTO="Manual",$M142=$A$15)),0,
         IF(OFFSET(CRONOPLE!$F$15,$M142-$A$15,CA$13)=0,10^12,OFFSET(CRONOPLE!$F$15,$M142-$A$15,CA$13)))</f>
        <v>0</v>
      </c>
      <c r="CB142" s="171">
        <f ca="1">IF(OR($D142&lt;&gt;"Serviço",AND(AUTOEVENTO="Manual",$M142=$A$15)),0,
         IF(OFFSET(CRONOPLE!$F$15,$M142-$A$15,CB$13)=0,10^12,OFFSET(CRONOPLE!$F$15,$M142-$A$15,CB$13)))</f>
        <v>0</v>
      </c>
      <c r="CC142" s="171">
        <f ca="1">IF(OR($D142&lt;&gt;"Serviço",AND(AUTOEVENTO="Manual",$M142=$A$15)),0,
         IF(OFFSET(CRONOPLE!$F$15,$M142-$A$15,CC$13)=0,10^12,OFFSET(CRONOPLE!$F$15,$M142-$A$15,CC$13)))</f>
        <v>0</v>
      </c>
      <c r="CD142" s="171">
        <f ca="1">IF(OR($D142&lt;&gt;"Serviço",AND(AUTOEVENTO="Manual",$M142=$A$15)),0,
         IF(OFFSET(CRONOPLE!$F$15,$M142-$A$15,CD$13)=0,10^12,OFFSET(CRONOPLE!$F$15,$M142-$A$15,CD$13)))</f>
        <v>0</v>
      </c>
      <c r="CE142" s="171">
        <f ca="1">IF(OR($D142&lt;&gt;"Serviço",AND(AUTOEVENTO="Manual",$M142=$A$15)),0,
         IF(OFFSET(CRONOPLE!$F$15,$M142-$A$15,CE$13)=0,10^12,OFFSET(CRONOPLE!$F$15,$M142-$A$15,CE$13)))</f>
        <v>0</v>
      </c>
      <c r="CF142" s="171">
        <f ca="1">IF(OR($D142&lt;&gt;"Serviço",AND(AUTOEVENTO="Manual",$M142=$A$15)),0,
         IF(OFFSET(CRONOPLE!$F$15,$M142-$A$15,CF$13)=0,10^12,OFFSET(CRONOPLE!$F$15,$M142-$A$15,CF$13)))</f>
        <v>0</v>
      </c>
      <c r="CG142" s="171">
        <f ca="1">IF(OR($D142&lt;&gt;"Serviço",AND(AUTOEVENTO="Manual",$M142=$A$15)),0,
         IF(OFFSET(CRONOPLE!$F$15,$M142-$A$15,CG$13)=0,10^12,OFFSET(CRONOPLE!$F$15,$M142-$A$15,CG$13)))</f>
        <v>0</v>
      </c>
      <c r="CH142" s="171">
        <f ca="1">IF(OR($D142&lt;&gt;"Serviço",AND(AUTOEVENTO="Manual",$M142=$A$15)),0,
         IF(OFFSET(CRONOPLE!$F$15,$M142-$A$15,CH$13)=0,10^12,OFFSET(CRONOPLE!$F$15,$M142-$A$15,CH$13)))</f>
        <v>0</v>
      </c>
      <c r="CI142" s="171">
        <f ca="1">IF(OR($D142&lt;&gt;"Serviço",AND(AUTOEVENTO="Manual",$M142=$A$15)),0,
         IF(OFFSET(CRONOPLE!$F$15,$M142-$A$15,CI$13)=0,10^12,OFFSET(CRONOPLE!$F$15,$M142-$A$15,CI$13)))</f>
        <v>0</v>
      </c>
      <c r="CJ142" s="171">
        <f ca="1">IF(OR($D142&lt;&gt;"Serviço",AND(AUTOEVENTO="Manual",$M142=$A$15)),0,
         IF(OFFSET(CRONOPLE!$F$15,$M142-$A$15,CJ$13)=0,10^12,OFFSET(CRONOPLE!$F$15,$M142-$A$15,CJ$13)))</f>
        <v>0</v>
      </c>
      <c r="CK142" s="171">
        <f ca="1">IF(OR($D142&lt;&gt;"Serviço",AND(AUTOEVENTO="Manual",$M142=$A$15)),0,
         IF(OFFSET(CRONOPLE!$F$15,$M142-$A$15,CK$13)=0,10^12,OFFSET(CRONOPLE!$F$15,$M142-$A$15,CK$13)))</f>
        <v>0</v>
      </c>
      <c r="CL142" s="171">
        <f ca="1">IF(OR($D142&lt;&gt;"Serviço",AND(AUTOEVENTO="Manual",$M142=$A$15)),0,
         IF(OFFSET(CRONOPLE!$F$15,$M142-$A$15,CL$13)=0,10^12,OFFSET(CRONOPLE!$F$15,$M142-$A$15,CL$13)))</f>
        <v>0</v>
      </c>
      <c r="CM142" s="171">
        <f ca="1">IF(OR($D142&lt;&gt;"Serviço",AND(AUTOEVENTO="Manual",$M142=$A$15)),0,
         IF(OFFSET(CRONOPLE!$F$15,$M142-$A$15,CM$13)=0,10^12,OFFSET(CRONOPLE!$F$15,$M142-$A$15,CM$13)))</f>
        <v>0</v>
      </c>
      <c r="CN142" s="171">
        <f ca="1">IF(OR($D142&lt;&gt;"Serviço",AND(AUTOEVENTO="Manual",$M142=$A$15)),0,
         IF(OFFSET(CRONOPLE!$F$15,$M142-$A$15,CN$13)=0,10^12,OFFSET(CRONOPLE!$F$15,$M142-$A$15,CN$13)))</f>
        <v>0</v>
      </c>
      <c r="CO142" s="171">
        <f ca="1">IF(OR($D142&lt;&gt;"Serviço",AND(AUTOEVENTO="Manual",$M142=$A$15)),0,
         IF(OFFSET(CRONOPLE!$F$15,$M142-$A$15,CO$13)=0,10^12,OFFSET(CRONOPLE!$F$15,$M142-$A$15,CO$13)))</f>
        <v>0</v>
      </c>
      <c r="CP142" s="171">
        <f ca="1">IF(OR($D142&lt;&gt;"Serviço",AND(AUTOEVENTO="Manual",$M142=$A$15)),0,
         IF(OFFSET(CRONOPLE!$F$15,$M142-$A$15,CP$13)=0,10^12,OFFSET(CRONOPLE!$F$15,$M142-$A$15,CP$13)))</f>
        <v>0</v>
      </c>
      <c r="CQ142" s="171">
        <f ca="1">IF(OR($D142&lt;&gt;"Serviço",AND(AUTOEVENTO="Manual",$M142=$A$15)),0,
         IF(OFFSET(CRONOPLE!$F$15,$M142-$A$15,CQ$13)=0,10^12,OFFSET(CRONOPLE!$F$15,$M142-$A$15,CQ$13)))</f>
        <v>0</v>
      </c>
      <c r="CR142" s="171">
        <f ca="1">IF(OR($D142&lt;&gt;"Serviço",AND(AUTOEVENTO="Manual",$M142=$A$15)),0,
         IF(OFFSET(CRONOPLE!$F$15,$M142-$A$15,CR$13)=0,10^12,OFFSET(CRONOPLE!$F$15,$M142-$A$15,CR$13)))</f>
        <v>0</v>
      </c>
      <c r="CT142" s="172" cm="1">
        <f t="array" aca="1" ref="CT142" ca="1">IF(OR($D142&lt;&gt;"Serviço",AND(AUTOEVENTO="Manual",$M142=$A$15),$M142&gt;(ROW(PLE.lastrow)-ROW(PLE.firstrow))),0,
           IF(OFFSET(PLE!$G$15,$M142-$A$15,CT$13)="",10^12,OFFSET(PLE!$G$15,$M142-$A$15,CT$13)))</f>
        <v>0</v>
      </c>
      <c r="CU142" s="172" cm="1">
        <f t="array" aca="1" ref="CU142" ca="1">IF(OR($D142&lt;&gt;"Serviço",AND(AUTOEVENTO="Manual",$M142=$A$15),$M142&gt;(ROW(PLE.lastrow)-ROW(PLE.firstrow))),0,
           IF(OFFSET(PLE!$G$15,$M142-$A$15,CU$13)="",10^12,OFFSET(PLE!$G$15,$M142-$A$15,CU$13)))</f>
        <v>0</v>
      </c>
      <c r="CV142" s="172" cm="1">
        <f t="array" aca="1" ref="CV142" ca="1">IF(OR($D142&lt;&gt;"Serviço",AND(AUTOEVENTO="Manual",$M142=$A$15),$M142&gt;(ROW(PLE.lastrow)-ROW(PLE.firstrow))),0,
           IF(OFFSET(PLE!$G$15,$M142-$A$15,CV$13)="",10^12,OFFSET(PLE!$G$15,$M142-$A$15,CV$13)))</f>
        <v>0</v>
      </c>
      <c r="CW142" s="172" cm="1">
        <f t="array" aca="1" ref="CW142" ca="1">IF(OR($D142&lt;&gt;"Serviço",AND(AUTOEVENTO="Manual",$M142=$A$15),$M142&gt;(ROW(PLE.lastrow)-ROW(PLE.firstrow))),0,
           IF(OFFSET(PLE!$G$15,$M142-$A$15,CW$13)="",10^12,OFFSET(PLE!$G$15,$M142-$A$15,CW$13)))</f>
        <v>0</v>
      </c>
      <c r="CX142" s="172" cm="1">
        <f t="array" aca="1" ref="CX142" ca="1">IF(OR($D142&lt;&gt;"Serviço",AND(AUTOEVENTO="Manual",$M142=$A$15),$M142&gt;(ROW(PLE.lastrow)-ROW(PLE.firstrow))),0,
           IF(OFFSET(PLE!$G$15,$M142-$A$15,CX$13)="",10^12,OFFSET(PLE!$G$15,$M142-$A$15,CX$13)))</f>
        <v>0</v>
      </c>
      <c r="CY142" s="172" cm="1">
        <f t="array" aca="1" ref="CY142" ca="1">IF(OR($D142&lt;&gt;"Serviço",AND(AUTOEVENTO="Manual",$M142=$A$15),$M142&gt;(ROW(PLE.lastrow)-ROW(PLE.firstrow))),0,
           IF(OFFSET(PLE!$G$15,$M142-$A$15,CY$13)="",10^12,OFFSET(PLE!$G$15,$M142-$A$15,CY$13)))</f>
        <v>0</v>
      </c>
      <c r="CZ142" s="172" cm="1">
        <f t="array" aca="1" ref="CZ142" ca="1">IF(OR($D142&lt;&gt;"Serviço",AND(AUTOEVENTO="Manual",$M142=$A$15),$M142&gt;(ROW(PLE.lastrow)-ROW(PLE.firstrow))),0,
           IF(OFFSET(PLE!$G$15,$M142-$A$15,CZ$13)="",10^12,OFFSET(PLE!$G$15,$M142-$A$15,CZ$13)))</f>
        <v>0</v>
      </c>
      <c r="DA142" s="172" cm="1">
        <f t="array" aca="1" ref="DA142" ca="1">IF(OR($D142&lt;&gt;"Serviço",AND(AUTOEVENTO="Manual",$M142=$A$15),$M142&gt;(ROW(PLE.lastrow)-ROW(PLE.firstrow))),0,
           IF(OFFSET(PLE!$G$15,$M142-$A$15,DA$13)="",10^12,OFFSET(PLE!$G$15,$M142-$A$15,DA$13)))</f>
        <v>0</v>
      </c>
      <c r="DB142" s="172" cm="1">
        <f t="array" aca="1" ref="DB142" ca="1">IF(OR($D142&lt;&gt;"Serviço",AND(AUTOEVENTO="Manual",$M142=$A$15),$M142&gt;(ROW(PLE.lastrow)-ROW(PLE.firstrow))),0,
           IF(OFFSET(PLE!$G$15,$M142-$A$15,DB$13)="",10^12,OFFSET(PLE!$G$15,$M142-$A$15,DB$13)))</f>
        <v>0</v>
      </c>
      <c r="DC142" s="172" cm="1">
        <f t="array" aca="1" ref="DC142" ca="1">IF(OR($D142&lt;&gt;"Serviço",AND(AUTOEVENTO="Manual",$M142=$A$15),$M142&gt;(ROW(PLE.lastrow)-ROW(PLE.firstrow))),0,
           IF(OFFSET(PLE!$G$15,$M142-$A$15,DC$13)="",10^12,OFFSET(PLE!$G$15,$M142-$A$15,DC$13)))</f>
        <v>0</v>
      </c>
      <c r="DD142" s="172" cm="1">
        <f t="array" aca="1" ref="DD142" ca="1">IF(OR($D142&lt;&gt;"Serviço",AND(AUTOEVENTO="Manual",$M142=$A$15),$M142&gt;(ROW(PLE.lastrow)-ROW(PLE.firstrow))),0,
           IF(OFFSET(PLE!$G$15,$M142-$A$15,DD$13)="",10^12,OFFSET(PLE!$G$15,$M142-$A$15,DD$13)))</f>
        <v>0</v>
      </c>
      <c r="DE142" s="172" cm="1">
        <f t="array" aca="1" ref="DE142" ca="1">IF(OR($D142&lt;&gt;"Serviço",AND(AUTOEVENTO="Manual",$M142=$A$15),$M142&gt;(ROW(PLE.lastrow)-ROW(PLE.firstrow))),0,
           IF(OFFSET(PLE!$G$15,$M142-$A$15,DE$13)="",10^12,OFFSET(PLE!$G$15,$M142-$A$15,DE$13)))</f>
        <v>0</v>
      </c>
      <c r="DF142" s="172" cm="1">
        <f t="array" aca="1" ref="DF142" ca="1">IF(OR($D142&lt;&gt;"Serviço",AND(AUTOEVENTO="Manual",$M142=$A$15),$M142&gt;(ROW(PLE.lastrow)-ROW(PLE.firstrow))),0,
           IF(OFFSET(PLE!$G$15,$M142-$A$15,DF$13)="",10^12,OFFSET(PLE!$G$15,$M142-$A$15,DF$13)))</f>
        <v>0</v>
      </c>
      <c r="DG142" s="172" cm="1">
        <f t="array" aca="1" ref="DG142" ca="1">IF(OR($D142&lt;&gt;"Serviço",AND(AUTOEVENTO="Manual",$M142=$A$15),$M142&gt;(ROW(PLE.lastrow)-ROW(PLE.firstrow))),0,
           IF(OFFSET(PLE!$G$15,$M142-$A$15,DG$13)="",10^12,OFFSET(PLE!$G$15,$M142-$A$15,DG$13)))</f>
        <v>0</v>
      </c>
      <c r="DH142" s="172" cm="1">
        <f t="array" aca="1" ref="DH142" ca="1">IF(OR($D142&lt;&gt;"Serviço",AND(AUTOEVENTO="Manual",$M142=$A$15),$M142&gt;(ROW(PLE.lastrow)-ROW(PLE.firstrow))),0,
           IF(OFFSET(PLE!$G$15,$M142-$A$15,DH$13)="",10^12,OFFSET(PLE!$G$15,$M142-$A$15,DH$13)))</f>
        <v>0</v>
      </c>
      <c r="DI142" s="172" cm="1">
        <f t="array" aca="1" ref="DI142" ca="1">IF(OR($D142&lt;&gt;"Serviço",AND(AUTOEVENTO="Manual",$M142=$A$15),$M142&gt;(ROW(PLE.lastrow)-ROW(PLE.firstrow))),0,
           IF(OFFSET(PLE!$G$15,$M142-$A$15,DI$13)="",10^12,OFFSET(PLE!$G$15,$M142-$A$15,DI$13)))</f>
        <v>0</v>
      </c>
      <c r="DJ142" s="172" cm="1">
        <f t="array" aca="1" ref="DJ142" ca="1">IF(OR($D142&lt;&gt;"Serviço",AND(AUTOEVENTO="Manual",$M142=$A$15),$M142&gt;(ROW(PLE.lastrow)-ROW(PLE.firstrow))),0,
           IF(OFFSET(PLE!$G$15,$M142-$A$15,DJ$13)="",10^12,OFFSET(PLE!$G$15,$M142-$A$15,DJ$13)))</f>
        <v>0</v>
      </c>
      <c r="DK142" s="172" cm="1">
        <f t="array" aca="1" ref="DK142" ca="1">IF(OR($D142&lt;&gt;"Serviço",AND(AUTOEVENTO="Manual",$M142=$A$15),$M142&gt;(ROW(PLE.lastrow)-ROW(PLE.firstrow))),0,
           IF(OFFSET(PLE!$G$15,$M142-$A$15,DK$13)="",10^12,OFFSET(PLE!$G$15,$M142-$A$15,DK$13)))</f>
        <v>0</v>
      </c>
      <c r="DL142" s="172" cm="1">
        <f t="array" aca="1" ref="DL142" ca="1">IF(OR($D142&lt;&gt;"Serviço",AND(AUTOEVENTO="Manual",$M142=$A$15),$M142&gt;(ROW(PLE.lastrow)-ROW(PLE.firstrow))),0,
           IF(OFFSET(PLE!$G$15,$M142-$A$15,DL$13)="",10^12,OFFSET(PLE!$G$15,$M142-$A$15,DL$13)))</f>
        <v>0</v>
      </c>
      <c r="DM142" s="172" cm="1">
        <f t="array" aca="1" ref="DM142" ca="1">IF(OR($D142&lt;&gt;"Serviço",AND(AUTOEVENTO="Manual",$M142=$A$15),$M142&gt;(ROW(PLE.lastrow)-ROW(PLE.firstrow))),0,
           IF(OFFSET(PLE!$G$15,$M142-$A$15,DM$13)="",10^12,OFFSET(PLE!$G$15,$M142-$A$15,DM$13)))</f>
        <v>0</v>
      </c>
      <c r="DN142" s="172" cm="1">
        <f t="array" aca="1" ref="DN142" ca="1">IF(OR($D142&lt;&gt;"Serviço",AND(AUTOEVENTO="Manual",$M142=$A$15),$M142&gt;(ROW(PLE.lastrow)-ROW(PLE.firstrow))),0,
           IF(OFFSET(PLE!$G$15,$M142-$A$15,DN$13)="",10^12,OFFSET(PLE!$G$15,$M142-$A$15,DN$13)))</f>
        <v>0</v>
      </c>
      <c r="DO142" s="172" cm="1">
        <f t="array" aca="1" ref="DO142" ca="1">IF(OR($D142&lt;&gt;"Serviço",AND(AUTOEVENTO="Manual",$M142=$A$15),$M142&gt;(ROW(PLE.lastrow)-ROW(PLE.firstrow))),0,
           IF(OFFSET(PLE!$G$15,$M142-$A$15,DO$13)="",10^12,OFFSET(PLE!$G$15,$M142-$A$15,DO$13)))</f>
        <v>0</v>
      </c>
      <c r="DP142" s="172" cm="1">
        <f t="array" aca="1" ref="DP142" ca="1">IF(OR($D142&lt;&gt;"Serviço",AND(AUTOEVENTO="Manual",$M142=$A$15),$M142&gt;(ROW(PLE.lastrow)-ROW(PLE.firstrow))),0,
           IF(OFFSET(PLE!$G$15,$M142-$A$15,DP$13)="",10^12,OFFSET(PLE!$G$15,$M142-$A$15,DP$13)))</f>
        <v>0</v>
      </c>
      <c r="DQ142" s="172" cm="1">
        <f t="array" aca="1" ref="DQ142" ca="1">IF(OR($D142&lt;&gt;"Serviço",AND(AUTOEVENTO="Manual",$M142=$A$15),$M142&gt;(ROW(PLE.lastrow)-ROW(PLE.firstrow))),0,
           IF(OFFSET(PLE!$G$15,$M142-$A$15,DQ$13)="",10^12,OFFSET(PLE!$G$15,$M142-$A$15,DQ$13)))</f>
        <v>0</v>
      </c>
      <c r="DR142" s="172" cm="1">
        <f t="array" aca="1" ref="DR142" ca="1">IF(OR($D142&lt;&gt;"Serviço",AND(AUTOEVENTO="Manual",$M142=$A$15),$M142&gt;(ROW(PLE.lastrow)-ROW(PLE.firstrow))),0,
           IF(OFFSET(PLE!$G$15,$M142-$A$15,DR$13)="",10^12,OFFSET(PLE!$G$15,$M142-$A$15,DR$13)))</f>
        <v>0</v>
      </c>
      <c r="DS142" s="172" cm="1">
        <f t="array" aca="1" ref="DS142" ca="1">IF(OR($D142&lt;&gt;"Serviço",AND(AUTOEVENTO="Manual",$M142=$A$15),$M142&gt;(ROW(PLE.lastrow)-ROW(PLE.firstrow))),0,
           IF(OFFSET(PLE!$G$15,$M142-$A$15,DS$13)="",10^12,OFFSET(PLE!$G$15,$M142-$A$15,DS$13)))</f>
        <v>0</v>
      </c>
    </row>
    <row r="143" spans="1:123" ht="25.5" x14ac:dyDescent="0.2">
      <c r="A143" s="7">
        <f t="shared" ca="1" si="15"/>
        <v>9</v>
      </c>
      <c r="B143" s="7" t="str">
        <f ca="1">OFFSET(ORÇAMENTO!C$15,$L143,0)</f>
        <v>S</v>
      </c>
      <c r="C143" s="7" t="str">
        <f ca="1">OFFSET(ORÇAMENTO!L$15,$L143,0)</f>
        <v/>
      </c>
      <c r="D143" s="116" t="str">
        <f ca="1">OFFSET(ORÇAMENTO!N$15,$L143,0)</f>
        <v>Serviço</v>
      </c>
      <c r="E143" s="117" t="str">
        <f ca="1">OFFSET(ORÇAMENTO!O$15,$L143,0)</f>
        <v>-</v>
      </c>
      <c r="F143" s="163" t="str">
        <f ca="1">OFFSET(ORÇAMENTO!R$15,$L143,0)</f>
        <v>(Código não identificado nas referências)</v>
      </c>
      <c r="G143" s="164" t="str">
        <f ca="1">IF($D143&lt;&gt;"Serviço","",OFFSET(ORÇAMENTO!S$15,$L143,0))</f>
        <v>-</v>
      </c>
      <c r="H143" s="122" cm="1">
        <f t="array" aca="1" ref="H143" ca="1">IF($D143&lt;&gt;"Serviço",0,IF(ACOMPANHAMENTO="BM",ROUND(OFFSET(ORÇAMENTO!AJ$15,$L143,0),15-13*ORÇAMENTO!$AF$7),IF(IFERROR(CÁLCULO.FrentesPreenchidas,0)=0,0,SUM(ROUND(OFFSET($P143,0,1,1,CÁLCULO.FrentesPreenchidas),15-13*ORÇAMENTO!$AF$7)))))</f>
        <v>140</v>
      </c>
      <c r="I143" s="468" t="s">
        <v>1235</v>
      </c>
      <c r="J143" s="651" t="str" cm="1">
        <f t="array" aca="1" ref="J143" ca="1">IF(OR(B143&lt;&gt;"S",CÁLCULO.FrentesPreenchidas=0),"",IF(AND(ACOMPANHAMENTO="PLE",AUTOEVENTO="Manual",OR(H143&gt;0,ORÇAMENTO!AC143="QUANT."),OR(K143="",M143=0,N143="")),"►E",IF(AND(ACOMPANHAMENTO="PLE",ORÇAMENTO!AC143="QUANT."),"►Q",IF(AND(ACOMPANHAMENTO="PLE",H143&lt;&gt;SUMPRODUCT(($Q$1:$AQ$1=1)*ROUND(Q143:AQ143,15))),"►S",IF(AND(COUNTIF($P$11:$AQ$11,"▼")=0,H143&gt;0,I143=""),"◄M","")))))</f>
        <v/>
      </c>
      <c r="K143" s="652" t="s">
        <v>1257</v>
      </c>
      <c r="L143" s="165">
        <f t="shared" ca="1" si="14"/>
        <v>128</v>
      </c>
      <c r="M143" s="166">
        <f ca="1">IF($D143&lt;&gt;"Serviço","",
          IF(AUTOEVENTO="manual",$A143,
                IF(ISERROR(MATCH($A143,$A$15:OFFSET($A143,-1,0),0)),MAX($M$15:OFFSET(M143,-1,0))+1,
                      INDEX($M$15:OFFSET(M143,-1,0),MATCH($A143,$A$15:OFFSET($A143,-1,0),0)))))</f>
        <v>9</v>
      </c>
      <c r="N143" s="167" t="str">
        <f ca="1">IF($D143&lt;&gt;"Serviço","",
         IF(AUTOEVENTO="Manual",
                IF($A143=0,"&lt;-- defina o número do agrupador",
                       OFFSET(EVENTOS!$D$15,$A143-$A$15,0)),
                OFFSET($F$15,$A143,0)))</f>
        <v>INSTALAÇÕES</v>
      </c>
      <c r="O143" s="168"/>
      <c r="Q143" s="168">
        <v>7</v>
      </c>
      <c r="R143" s="169">
        <v>7</v>
      </c>
      <c r="S143" s="169">
        <v>7</v>
      </c>
      <c r="T143" s="169">
        <v>7</v>
      </c>
      <c r="U143" s="169">
        <v>7</v>
      </c>
      <c r="V143" s="169">
        <v>7</v>
      </c>
      <c r="W143" s="169">
        <v>7</v>
      </c>
      <c r="X143" s="169">
        <v>7</v>
      </c>
      <c r="Y143" s="169">
        <v>7</v>
      </c>
      <c r="Z143" s="170">
        <v>7</v>
      </c>
      <c r="AA143" s="169">
        <v>7</v>
      </c>
      <c r="AB143" s="169">
        <v>7</v>
      </c>
      <c r="AC143" s="169">
        <v>7</v>
      </c>
      <c r="AD143" s="169">
        <v>7</v>
      </c>
      <c r="AE143" s="169">
        <v>7</v>
      </c>
      <c r="AF143" s="169">
        <v>7</v>
      </c>
      <c r="AG143" s="169">
        <v>7</v>
      </c>
      <c r="AH143" s="170">
        <v>7</v>
      </c>
      <c r="AI143" s="169">
        <v>7</v>
      </c>
      <c r="AJ143" s="169">
        <v>7</v>
      </c>
      <c r="AK143" s="169"/>
      <c r="AL143" s="169"/>
      <c r="AM143" s="169"/>
      <c r="AN143" s="169"/>
      <c r="AO143" s="169"/>
      <c r="AP143" s="170"/>
      <c r="AR143" s="453">
        <f ca="1">IF(AND($D143="Serviço",AR$12&lt;&gt;0,$H143&gt;0,OR(AUTOEVENTO&lt;&gt;"manual",$M143&lt;&gt;$A$15)),
        IF(Import.TipoArredondamento&lt;&gt;"TransfereGOV",
              ROUND(OFFSET($P143,0,AR$13),15-13*ORÇAMENTO!$AF$7)/$H143*OFFSET(ORÇAMENTO!$X$15,ROW(AR143)-ROW(AR$15),0),
              ROUND(ROUND(OFFSET($P143,0,AR$13),15-13*ORÇAMENTO!$AF$7)*OFFSET(ORÇAMENTO!$W$15,ROW(AR143)-ROW(AR$15),0),15-13*ORÇAMENTO!$AF$11)),
         0)</f>
        <v>0</v>
      </c>
      <c r="AS143" s="453">
        <f ca="1">IF(AND($D143="Serviço",AS$12&lt;&gt;0,$H143&gt;0,OR(AUTOEVENTO&lt;&gt;"manual",$M143&lt;&gt;$A$15)),
        IF(Import.TipoArredondamento&lt;&gt;"TransfereGOV",
              ROUND(OFFSET($P143,0,AS$13),15-13*ORÇAMENTO!$AF$7)/$H143*OFFSET(ORÇAMENTO!$X$15,ROW(AS143)-ROW(AS$15),0),
              ROUND(ROUND(OFFSET($P143,0,AS$13),15-13*ORÇAMENTO!$AF$7)*OFFSET(ORÇAMENTO!$W$15,ROW(AS143)-ROW(AS$15),0),15-13*ORÇAMENTO!$AF$11)),
         0)</f>
        <v>0</v>
      </c>
      <c r="AT143" s="453">
        <f ca="1">IF(AND($D143="Serviço",AT$12&lt;&gt;0,$H143&gt;0,OR(AUTOEVENTO&lt;&gt;"manual",$M143&lt;&gt;$A$15)),
        IF(Import.TipoArredondamento&lt;&gt;"TransfereGOV",
              ROUND(OFFSET($P143,0,AT$13),15-13*ORÇAMENTO!$AF$7)/$H143*OFFSET(ORÇAMENTO!$X$15,ROW(AT143)-ROW(AT$15),0),
              ROUND(ROUND(OFFSET($P143,0,AT$13),15-13*ORÇAMENTO!$AF$7)*OFFSET(ORÇAMENTO!$W$15,ROW(AT143)-ROW(AT$15),0),15-13*ORÇAMENTO!$AF$11)),
         0)</f>
        <v>0</v>
      </c>
      <c r="AU143" s="453">
        <f ca="1">IF(AND($D143="Serviço",AU$12&lt;&gt;0,$H143&gt;0,OR(AUTOEVENTO&lt;&gt;"manual",$M143&lt;&gt;$A$15)),
        IF(Import.TipoArredondamento&lt;&gt;"TransfereGOV",
              ROUND(OFFSET($P143,0,AU$13),15-13*ORÇAMENTO!$AF$7)/$H143*OFFSET(ORÇAMENTO!$X$15,ROW(AU143)-ROW(AU$15),0),
              ROUND(ROUND(OFFSET($P143,0,AU$13),15-13*ORÇAMENTO!$AF$7)*OFFSET(ORÇAMENTO!$W$15,ROW(AU143)-ROW(AU$15),0),15-13*ORÇAMENTO!$AF$11)),
         0)</f>
        <v>0</v>
      </c>
      <c r="AV143" s="453">
        <f ca="1">IF(AND($D143="Serviço",AV$12&lt;&gt;0,$H143&gt;0,OR(AUTOEVENTO&lt;&gt;"manual",$M143&lt;&gt;$A$15)),
        IF(Import.TipoArredondamento&lt;&gt;"TransfereGOV",
              ROUND(OFFSET($P143,0,AV$13),15-13*ORÇAMENTO!$AF$7)/$H143*OFFSET(ORÇAMENTO!$X$15,ROW(AV143)-ROW(AV$15),0),
              ROUND(ROUND(OFFSET($P143,0,AV$13),15-13*ORÇAMENTO!$AF$7)*OFFSET(ORÇAMENTO!$W$15,ROW(AV143)-ROW(AV$15),0),15-13*ORÇAMENTO!$AF$11)),
         0)</f>
        <v>0</v>
      </c>
      <c r="AW143" s="453">
        <f ca="1">IF(AND($D143="Serviço",AW$12&lt;&gt;0,$H143&gt;0,OR(AUTOEVENTO&lt;&gt;"manual",$M143&lt;&gt;$A$15)),
        IF(Import.TipoArredondamento&lt;&gt;"TransfereGOV",
              ROUND(OFFSET($P143,0,AW$13),15-13*ORÇAMENTO!$AF$7)/$H143*OFFSET(ORÇAMENTO!$X$15,ROW(AW143)-ROW(AW$15),0),
              ROUND(ROUND(OFFSET($P143,0,AW$13),15-13*ORÇAMENTO!$AF$7)*OFFSET(ORÇAMENTO!$W$15,ROW(AW143)-ROW(AW$15),0),15-13*ORÇAMENTO!$AF$11)),
         0)</f>
        <v>0</v>
      </c>
      <c r="AX143" s="453">
        <f ca="1">IF(AND($D143="Serviço",AX$12&lt;&gt;0,$H143&gt;0,OR(AUTOEVENTO&lt;&gt;"manual",$M143&lt;&gt;$A$15)),
        IF(Import.TipoArredondamento&lt;&gt;"TransfereGOV",
              ROUND(OFFSET($P143,0,AX$13),15-13*ORÇAMENTO!$AF$7)/$H143*OFFSET(ORÇAMENTO!$X$15,ROW(AX143)-ROW(AX$15),0),
              ROUND(ROUND(OFFSET($P143,0,AX$13),15-13*ORÇAMENTO!$AF$7)*OFFSET(ORÇAMENTO!$W$15,ROW(AX143)-ROW(AX$15),0),15-13*ORÇAMENTO!$AF$11)),
         0)</f>
        <v>0</v>
      </c>
      <c r="AY143" s="453">
        <f ca="1">IF(AND($D143="Serviço",AY$12&lt;&gt;0,$H143&gt;0,OR(AUTOEVENTO&lt;&gt;"manual",$M143&lt;&gt;$A$15)),
        IF(Import.TipoArredondamento&lt;&gt;"TransfereGOV",
              ROUND(OFFSET($P143,0,AY$13),15-13*ORÇAMENTO!$AF$7)/$H143*OFFSET(ORÇAMENTO!$X$15,ROW(AY143)-ROW(AY$15),0),
              ROUND(ROUND(OFFSET($P143,0,AY$13),15-13*ORÇAMENTO!$AF$7)*OFFSET(ORÇAMENTO!$W$15,ROW(AY143)-ROW(AY$15),0),15-13*ORÇAMENTO!$AF$11)),
         0)</f>
        <v>0</v>
      </c>
      <c r="AZ143" s="453">
        <f ca="1">IF(AND($D143="Serviço",AZ$12&lt;&gt;0,$H143&gt;0,OR(AUTOEVENTO&lt;&gt;"manual",$M143&lt;&gt;$A$15)),
        IF(Import.TipoArredondamento&lt;&gt;"TransfereGOV",
              ROUND(OFFSET($P143,0,AZ$13),15-13*ORÇAMENTO!$AF$7)/$H143*OFFSET(ORÇAMENTO!$X$15,ROW(AZ143)-ROW(AZ$15),0),
              ROUND(ROUND(OFFSET($P143,0,AZ$13),15-13*ORÇAMENTO!$AF$7)*OFFSET(ORÇAMENTO!$W$15,ROW(AZ143)-ROW(AZ$15),0),15-13*ORÇAMENTO!$AF$11)),
         0)</f>
        <v>0</v>
      </c>
      <c r="BA143" s="453">
        <f ca="1">IF(AND($D143="Serviço",BA$12&lt;&gt;0,$H143&gt;0,OR(AUTOEVENTO&lt;&gt;"manual",$M143&lt;&gt;$A$15)),
        IF(Import.TipoArredondamento&lt;&gt;"TransfereGOV",
              ROUND(OFFSET($P143,0,BA$13),15-13*ORÇAMENTO!$AF$7)/$H143*OFFSET(ORÇAMENTO!$X$15,ROW(BA143)-ROW(BA$15),0),
              ROUND(ROUND(OFFSET($P143,0,BA$13),15-13*ORÇAMENTO!$AF$7)*OFFSET(ORÇAMENTO!$W$15,ROW(BA143)-ROW(BA$15),0),15-13*ORÇAMENTO!$AF$11)),
         0)</f>
        <v>0</v>
      </c>
      <c r="BB143" s="453">
        <f ca="1">IF(AND($D143="Serviço",BB$12&lt;&gt;0,$H143&gt;0,OR(AUTOEVENTO&lt;&gt;"manual",$M143&lt;&gt;$A$15)),
        IF(Import.TipoArredondamento&lt;&gt;"TransfereGOV",
              ROUND(OFFSET($P143,0,BB$13),15-13*ORÇAMENTO!$AF$7)/$H143*OFFSET(ORÇAMENTO!$X$15,ROW(BB143)-ROW(BB$15),0),
              ROUND(ROUND(OFFSET($P143,0,BB$13),15-13*ORÇAMENTO!$AF$7)*OFFSET(ORÇAMENTO!$W$15,ROW(BB143)-ROW(BB$15),0),15-13*ORÇAMENTO!$AF$11)),
         0)</f>
        <v>0</v>
      </c>
      <c r="BC143" s="453">
        <f ca="1">IF(AND($D143="Serviço",BC$12&lt;&gt;0,$H143&gt;0,OR(AUTOEVENTO&lt;&gt;"manual",$M143&lt;&gt;$A$15)),
        IF(Import.TipoArredondamento&lt;&gt;"TransfereGOV",
              ROUND(OFFSET($P143,0,BC$13),15-13*ORÇAMENTO!$AF$7)/$H143*OFFSET(ORÇAMENTO!$X$15,ROW(BC143)-ROW(BC$15),0),
              ROUND(ROUND(OFFSET($P143,0,BC$13),15-13*ORÇAMENTO!$AF$7)*OFFSET(ORÇAMENTO!$W$15,ROW(BC143)-ROW(BC$15),0),15-13*ORÇAMENTO!$AF$11)),
         0)</f>
        <v>0</v>
      </c>
      <c r="BD143" s="453">
        <f ca="1">IF(AND($D143="Serviço",BD$12&lt;&gt;0,$H143&gt;0,OR(AUTOEVENTO&lt;&gt;"manual",$M143&lt;&gt;$A$15)),
        IF(Import.TipoArredondamento&lt;&gt;"TransfereGOV",
              ROUND(OFFSET($P143,0,BD$13),15-13*ORÇAMENTO!$AF$7)/$H143*OFFSET(ORÇAMENTO!$X$15,ROW(BD143)-ROW(BD$15),0),
              ROUND(ROUND(OFFSET($P143,0,BD$13),15-13*ORÇAMENTO!$AF$7)*OFFSET(ORÇAMENTO!$W$15,ROW(BD143)-ROW(BD$15),0),15-13*ORÇAMENTO!$AF$11)),
         0)</f>
        <v>0</v>
      </c>
      <c r="BE143" s="453">
        <f ca="1">IF(AND($D143="Serviço",BE$12&lt;&gt;0,$H143&gt;0,OR(AUTOEVENTO&lt;&gt;"manual",$M143&lt;&gt;$A$15)),
        IF(Import.TipoArredondamento&lt;&gt;"TransfereGOV",
              ROUND(OFFSET($P143,0,BE$13),15-13*ORÇAMENTO!$AF$7)/$H143*OFFSET(ORÇAMENTO!$X$15,ROW(BE143)-ROW(BE$15),0),
              ROUND(ROUND(OFFSET($P143,0,BE$13),15-13*ORÇAMENTO!$AF$7)*OFFSET(ORÇAMENTO!$W$15,ROW(BE143)-ROW(BE$15),0),15-13*ORÇAMENTO!$AF$11)),
         0)</f>
        <v>0</v>
      </c>
      <c r="BF143" s="453">
        <f ca="1">IF(AND($D143="Serviço",BF$12&lt;&gt;0,$H143&gt;0,OR(AUTOEVENTO&lt;&gt;"manual",$M143&lt;&gt;$A$15)),
        IF(Import.TipoArredondamento&lt;&gt;"TransfereGOV",
              ROUND(OFFSET($P143,0,BF$13),15-13*ORÇAMENTO!$AF$7)/$H143*OFFSET(ORÇAMENTO!$X$15,ROW(BF143)-ROW(BF$15),0),
              ROUND(ROUND(OFFSET($P143,0,BF$13),15-13*ORÇAMENTO!$AF$7)*OFFSET(ORÇAMENTO!$W$15,ROW(BF143)-ROW(BF$15),0),15-13*ORÇAMENTO!$AF$11)),
         0)</f>
        <v>0</v>
      </c>
      <c r="BG143" s="453">
        <f ca="1">IF(AND($D143="Serviço",BG$12&lt;&gt;0,$H143&gt;0,OR(AUTOEVENTO&lt;&gt;"manual",$M143&lt;&gt;$A$15)),
        IF(Import.TipoArredondamento&lt;&gt;"TransfereGOV",
              ROUND(OFFSET($P143,0,BG$13),15-13*ORÇAMENTO!$AF$7)/$H143*OFFSET(ORÇAMENTO!$X$15,ROW(BG143)-ROW(BG$15),0),
              ROUND(ROUND(OFFSET($P143,0,BG$13),15-13*ORÇAMENTO!$AF$7)*OFFSET(ORÇAMENTO!$W$15,ROW(BG143)-ROW(BG$15),0),15-13*ORÇAMENTO!$AF$11)),
         0)</f>
        <v>0</v>
      </c>
      <c r="BH143" s="453">
        <f ca="1">IF(AND($D143="Serviço",BH$12&lt;&gt;0,$H143&gt;0,OR(AUTOEVENTO&lt;&gt;"manual",$M143&lt;&gt;$A$15)),
        IF(Import.TipoArredondamento&lt;&gt;"TransfereGOV",
              ROUND(OFFSET($P143,0,BH$13),15-13*ORÇAMENTO!$AF$7)/$H143*OFFSET(ORÇAMENTO!$X$15,ROW(BH143)-ROW(BH$15),0),
              ROUND(ROUND(OFFSET($P143,0,BH$13),15-13*ORÇAMENTO!$AF$7)*OFFSET(ORÇAMENTO!$W$15,ROW(BH143)-ROW(BH$15),0),15-13*ORÇAMENTO!$AF$11)),
         0)</f>
        <v>0</v>
      </c>
      <c r="BI143" s="453">
        <f ca="1">IF(AND($D143="Serviço",BI$12&lt;&gt;0,$H143&gt;0,OR(AUTOEVENTO&lt;&gt;"manual",$M143&lt;&gt;$A$15)),
        IF(Import.TipoArredondamento&lt;&gt;"TransfereGOV",
              ROUND(OFFSET($P143,0,BI$13),15-13*ORÇAMENTO!$AF$7)/$H143*OFFSET(ORÇAMENTO!$X$15,ROW(BI143)-ROW(BI$15),0),
              ROUND(ROUND(OFFSET($P143,0,BI$13),15-13*ORÇAMENTO!$AF$7)*OFFSET(ORÇAMENTO!$W$15,ROW(BI143)-ROW(BI$15),0),15-13*ORÇAMENTO!$AF$11)),
         0)</f>
        <v>0</v>
      </c>
      <c r="BJ143" s="453">
        <f ca="1">IF(AND($D143="Serviço",BJ$12&lt;&gt;0,$H143&gt;0,OR(AUTOEVENTO&lt;&gt;"manual",$M143&lt;&gt;$A$15)),
        IF(Import.TipoArredondamento&lt;&gt;"TransfereGOV",
              ROUND(OFFSET($P143,0,BJ$13),15-13*ORÇAMENTO!$AF$7)/$H143*OFFSET(ORÇAMENTO!$X$15,ROW(BJ143)-ROW(BJ$15),0),
              ROUND(ROUND(OFFSET($P143,0,BJ$13),15-13*ORÇAMENTO!$AF$7)*OFFSET(ORÇAMENTO!$W$15,ROW(BJ143)-ROW(BJ$15),0),15-13*ORÇAMENTO!$AF$11)),
         0)</f>
        <v>0</v>
      </c>
      <c r="BK143" s="453">
        <f ca="1">IF(AND($D143="Serviço",BK$12&lt;&gt;0,$H143&gt;0,OR(AUTOEVENTO&lt;&gt;"manual",$M143&lt;&gt;$A$15)),
        IF(Import.TipoArredondamento&lt;&gt;"TransfereGOV",
              ROUND(OFFSET($P143,0,BK$13),15-13*ORÇAMENTO!$AF$7)/$H143*OFFSET(ORÇAMENTO!$X$15,ROW(BK143)-ROW(BK$15),0),
              ROUND(ROUND(OFFSET($P143,0,BK$13),15-13*ORÇAMENTO!$AF$7)*OFFSET(ORÇAMENTO!$W$15,ROW(BK143)-ROW(BK$15),0),15-13*ORÇAMENTO!$AF$11)),
         0)</f>
        <v>0</v>
      </c>
      <c r="BL143" s="453">
        <f ca="1">IF(AND($D143="Serviço",BL$12&lt;&gt;0,$H143&gt;0,OR(AUTOEVENTO&lt;&gt;"manual",$M143&lt;&gt;$A$15)),
        IF(Import.TipoArredondamento&lt;&gt;"TransfereGOV",
              ROUND(OFFSET($P143,0,BL$13),15-13*ORÇAMENTO!$AF$7)/$H143*OFFSET(ORÇAMENTO!$X$15,ROW(BL143)-ROW(BL$15),0),
              ROUND(ROUND(OFFSET($P143,0,BL$13),15-13*ORÇAMENTO!$AF$7)*OFFSET(ORÇAMENTO!$W$15,ROW(BL143)-ROW(BL$15),0),15-13*ORÇAMENTO!$AF$11)),
         0)</f>
        <v>0</v>
      </c>
      <c r="BM143" s="453">
        <f ca="1">IF(AND($D143="Serviço",BM$12&lt;&gt;0,$H143&gt;0,OR(AUTOEVENTO&lt;&gt;"manual",$M143&lt;&gt;$A$15)),
        IF(Import.TipoArredondamento&lt;&gt;"TransfereGOV",
              ROUND(OFFSET($P143,0,BM$13),15-13*ORÇAMENTO!$AF$7)/$H143*OFFSET(ORÇAMENTO!$X$15,ROW(BM143)-ROW(BM$15),0),
              ROUND(ROUND(OFFSET($P143,0,BM$13),15-13*ORÇAMENTO!$AF$7)*OFFSET(ORÇAMENTO!$W$15,ROW(BM143)-ROW(BM$15),0),15-13*ORÇAMENTO!$AF$11)),
         0)</f>
        <v>0</v>
      </c>
      <c r="BN143" s="453">
        <f ca="1">IF(AND($D143="Serviço",BN$12&lt;&gt;0,$H143&gt;0,OR(AUTOEVENTO&lt;&gt;"manual",$M143&lt;&gt;$A$15)),
        IF(Import.TipoArredondamento&lt;&gt;"TransfereGOV",
              ROUND(OFFSET($P143,0,BN$13),15-13*ORÇAMENTO!$AF$7)/$H143*OFFSET(ORÇAMENTO!$X$15,ROW(BN143)-ROW(BN$15),0),
              ROUND(ROUND(OFFSET($P143,0,BN$13),15-13*ORÇAMENTO!$AF$7)*OFFSET(ORÇAMENTO!$W$15,ROW(BN143)-ROW(BN$15),0),15-13*ORÇAMENTO!$AF$11)),
         0)</f>
        <v>0</v>
      </c>
      <c r="BO143" s="453">
        <f ca="1">IF(AND($D143="Serviço",BO$12&lt;&gt;0,$H143&gt;0,OR(AUTOEVENTO&lt;&gt;"manual",$M143&lt;&gt;$A$15)),
        IF(Import.TipoArredondamento&lt;&gt;"TransfereGOV",
              ROUND(OFFSET($P143,0,BO$13),15-13*ORÇAMENTO!$AF$7)/$H143*OFFSET(ORÇAMENTO!$X$15,ROW(BO143)-ROW(BO$15),0),
              ROUND(ROUND(OFFSET($P143,0,BO$13),15-13*ORÇAMENTO!$AF$7)*OFFSET(ORÇAMENTO!$W$15,ROW(BO143)-ROW(BO$15),0),15-13*ORÇAMENTO!$AF$11)),
         0)</f>
        <v>0</v>
      </c>
      <c r="BP143" s="453">
        <f ca="1">IF(AND($D143="Serviço",BP$12&lt;&gt;0,$H143&gt;0,OR(AUTOEVENTO&lt;&gt;"manual",$M143&lt;&gt;$A$15)),
        IF(Import.TipoArredondamento&lt;&gt;"TransfereGOV",
              ROUND(OFFSET($P143,0,BP$13),15-13*ORÇAMENTO!$AF$7)/$H143*OFFSET(ORÇAMENTO!$X$15,ROW(BP143)-ROW(BP$15),0),
              ROUND(ROUND(OFFSET($P143,0,BP$13),15-13*ORÇAMENTO!$AF$7)*OFFSET(ORÇAMENTO!$W$15,ROW(BP143)-ROW(BP$15),0),15-13*ORÇAMENTO!$AF$11)),
         0)</f>
        <v>0</v>
      </c>
      <c r="BQ143" s="453">
        <f ca="1">IF(AND($D143="Serviço",BQ$12&lt;&gt;0,$H143&gt;0,OR(AUTOEVENTO&lt;&gt;"manual",$M143&lt;&gt;$A$15)),
        IF(Import.TipoArredondamento&lt;&gt;"TransfereGOV",
              ROUND(OFFSET($P143,0,BQ$13),15-13*ORÇAMENTO!$AF$7)/$H143*OFFSET(ORÇAMENTO!$X$15,ROW(BQ143)-ROW(BQ$15),0),
              ROUND(ROUND(OFFSET($P143,0,BQ$13),15-13*ORÇAMENTO!$AF$7)*OFFSET(ORÇAMENTO!$W$15,ROW(BQ143)-ROW(BQ$15),0),15-13*ORÇAMENTO!$AF$11)),
         0)</f>
        <v>0</v>
      </c>
      <c r="BS143" s="171">
        <f ca="1">IF(OR($D143&lt;&gt;"Serviço",AND(AUTOEVENTO="Manual",$M143=$A$15)),0,
         IF(OFFSET(CRONOPLE!$F$15,$M143-$A$15,BS$13)=0,10^12,OFFSET(CRONOPLE!$F$15,$M143-$A$15,BS$13)))</f>
        <v>1</v>
      </c>
      <c r="BT143" s="171">
        <f ca="1">IF(OR($D143&lt;&gt;"Serviço",AND(AUTOEVENTO="Manual",$M143=$A$15)),0,
         IF(OFFSET(CRONOPLE!$F$15,$M143-$A$15,BT$13)=0,10^12,OFFSET(CRONOPLE!$F$15,$M143-$A$15,BT$13)))</f>
        <v>2</v>
      </c>
      <c r="BU143" s="171">
        <f ca="1">IF(OR($D143&lt;&gt;"Serviço",AND(AUTOEVENTO="Manual",$M143=$A$15)),0,
         IF(OFFSET(CRONOPLE!$F$15,$M143-$A$15,BU$13)=0,10^12,OFFSET(CRONOPLE!$F$15,$M143-$A$15,BU$13)))</f>
        <v>3</v>
      </c>
      <c r="BV143" s="171">
        <f ca="1">IF(OR($D143&lt;&gt;"Serviço",AND(AUTOEVENTO="Manual",$M143=$A$15)),0,
         IF(OFFSET(CRONOPLE!$F$15,$M143-$A$15,BV$13)=0,10^12,OFFSET(CRONOPLE!$F$15,$M143-$A$15,BV$13)))</f>
        <v>4</v>
      </c>
      <c r="BW143" s="171">
        <f ca="1">IF(OR($D143&lt;&gt;"Serviço",AND(AUTOEVENTO="Manual",$M143=$A$15)),0,
         IF(OFFSET(CRONOPLE!$F$15,$M143-$A$15,BW$13)=0,10^12,OFFSET(CRONOPLE!$F$15,$M143-$A$15,BW$13)))</f>
        <v>5</v>
      </c>
      <c r="BX143" s="171">
        <f ca="1">IF(OR($D143&lt;&gt;"Serviço",AND(AUTOEVENTO="Manual",$M143=$A$15)),0,
         IF(OFFSET(CRONOPLE!$F$15,$M143-$A$15,BX$13)=0,10^12,OFFSET(CRONOPLE!$F$15,$M143-$A$15,BX$13)))</f>
        <v>6</v>
      </c>
      <c r="BY143" s="171">
        <f ca="1">IF(OR($D143&lt;&gt;"Serviço",AND(AUTOEVENTO="Manual",$M143=$A$15)),0,
         IF(OFFSET(CRONOPLE!$F$15,$M143-$A$15,BY$13)=0,10^12,OFFSET(CRONOPLE!$F$15,$M143-$A$15,BY$13)))</f>
        <v>7</v>
      </c>
      <c r="BZ143" s="171">
        <f ca="1">IF(OR($D143&lt;&gt;"Serviço",AND(AUTOEVENTO="Manual",$M143=$A$15)),0,
         IF(OFFSET(CRONOPLE!$F$15,$M143-$A$15,BZ$13)=0,10^12,OFFSET(CRONOPLE!$F$15,$M143-$A$15,BZ$13)))</f>
        <v>8</v>
      </c>
      <c r="CA143" s="171">
        <f ca="1">IF(OR($D143&lt;&gt;"Serviço",AND(AUTOEVENTO="Manual",$M143=$A$15)),0,
         IF(OFFSET(CRONOPLE!$F$15,$M143-$A$15,CA$13)=0,10^12,OFFSET(CRONOPLE!$F$15,$M143-$A$15,CA$13)))</f>
        <v>9</v>
      </c>
      <c r="CB143" s="171">
        <f ca="1">IF(OR($D143&lt;&gt;"Serviço",AND(AUTOEVENTO="Manual",$M143=$A$15)),0,
         IF(OFFSET(CRONOPLE!$F$15,$M143-$A$15,CB$13)=0,10^12,OFFSET(CRONOPLE!$F$15,$M143-$A$15,CB$13)))</f>
        <v>10</v>
      </c>
      <c r="CC143" s="171">
        <f ca="1">IF(OR($D143&lt;&gt;"Serviço",AND(AUTOEVENTO="Manual",$M143=$A$15)),0,
         IF(OFFSET(CRONOPLE!$F$15,$M143-$A$15,CC$13)=0,10^12,OFFSET(CRONOPLE!$F$15,$M143-$A$15,CC$13)))</f>
        <v>11</v>
      </c>
      <c r="CD143" s="171">
        <f ca="1">IF(OR($D143&lt;&gt;"Serviço",AND(AUTOEVENTO="Manual",$M143=$A$15)),0,
         IF(OFFSET(CRONOPLE!$F$15,$M143-$A$15,CD$13)=0,10^12,OFFSET(CRONOPLE!$F$15,$M143-$A$15,CD$13)))</f>
        <v>12</v>
      </c>
      <c r="CE143" s="171">
        <f ca="1">IF(OR($D143&lt;&gt;"Serviço",AND(AUTOEVENTO="Manual",$M143=$A$15)),0,
         IF(OFFSET(CRONOPLE!$F$15,$M143-$A$15,CE$13)=0,10^12,OFFSET(CRONOPLE!$F$15,$M143-$A$15,CE$13)))</f>
        <v>13</v>
      </c>
      <c r="CF143" s="171">
        <f ca="1">IF(OR($D143&lt;&gt;"Serviço",AND(AUTOEVENTO="Manual",$M143=$A$15)),0,
         IF(OFFSET(CRONOPLE!$F$15,$M143-$A$15,CF$13)=0,10^12,OFFSET(CRONOPLE!$F$15,$M143-$A$15,CF$13)))</f>
        <v>14</v>
      </c>
      <c r="CG143" s="171">
        <f ca="1">IF(OR($D143&lt;&gt;"Serviço",AND(AUTOEVENTO="Manual",$M143=$A$15)),0,
         IF(OFFSET(CRONOPLE!$F$15,$M143-$A$15,CG$13)=0,10^12,OFFSET(CRONOPLE!$F$15,$M143-$A$15,CG$13)))</f>
        <v>15</v>
      </c>
      <c r="CH143" s="171">
        <f ca="1">IF(OR($D143&lt;&gt;"Serviço",AND(AUTOEVENTO="Manual",$M143=$A$15)),0,
         IF(OFFSET(CRONOPLE!$F$15,$M143-$A$15,CH$13)=0,10^12,OFFSET(CRONOPLE!$F$15,$M143-$A$15,CH$13)))</f>
        <v>16</v>
      </c>
      <c r="CI143" s="171">
        <f ca="1">IF(OR($D143&lt;&gt;"Serviço",AND(AUTOEVENTO="Manual",$M143=$A$15)),0,
         IF(OFFSET(CRONOPLE!$F$15,$M143-$A$15,CI$13)=0,10^12,OFFSET(CRONOPLE!$F$15,$M143-$A$15,CI$13)))</f>
        <v>17</v>
      </c>
      <c r="CJ143" s="171">
        <f ca="1">IF(OR($D143&lt;&gt;"Serviço",AND(AUTOEVENTO="Manual",$M143=$A$15)),0,
         IF(OFFSET(CRONOPLE!$F$15,$M143-$A$15,CJ$13)=0,10^12,OFFSET(CRONOPLE!$F$15,$M143-$A$15,CJ$13)))</f>
        <v>18</v>
      </c>
      <c r="CK143" s="171">
        <f ca="1">IF(OR($D143&lt;&gt;"Serviço",AND(AUTOEVENTO="Manual",$M143=$A$15)),0,
         IF(OFFSET(CRONOPLE!$F$15,$M143-$A$15,CK$13)=0,10^12,OFFSET(CRONOPLE!$F$15,$M143-$A$15,CK$13)))</f>
        <v>19</v>
      </c>
      <c r="CL143" s="171">
        <f ca="1">IF(OR($D143&lt;&gt;"Serviço",AND(AUTOEVENTO="Manual",$M143=$A$15)),0,
         IF(OFFSET(CRONOPLE!$F$15,$M143-$A$15,CL$13)=0,10^12,OFFSET(CRONOPLE!$F$15,$M143-$A$15,CL$13)))</f>
        <v>20</v>
      </c>
      <c r="CM143" s="171">
        <f ca="1">IF(OR($D143&lt;&gt;"Serviço",AND(AUTOEVENTO="Manual",$M143=$A$15)),0,
         IF(OFFSET(CRONOPLE!$F$15,$M143-$A$15,CM$13)=0,10^12,OFFSET(CRONOPLE!$F$15,$M143-$A$15,CM$13)))</f>
        <v>1000000000000</v>
      </c>
      <c r="CN143" s="171">
        <f ca="1">IF(OR($D143&lt;&gt;"Serviço",AND(AUTOEVENTO="Manual",$M143=$A$15)),0,
         IF(OFFSET(CRONOPLE!$F$15,$M143-$A$15,CN$13)=0,10^12,OFFSET(CRONOPLE!$F$15,$M143-$A$15,CN$13)))</f>
        <v>1000000000000</v>
      </c>
      <c r="CO143" s="171">
        <f ca="1">IF(OR($D143&lt;&gt;"Serviço",AND(AUTOEVENTO="Manual",$M143=$A$15)),0,
         IF(OFFSET(CRONOPLE!$F$15,$M143-$A$15,CO$13)=0,10^12,OFFSET(CRONOPLE!$F$15,$M143-$A$15,CO$13)))</f>
        <v>1000000000000</v>
      </c>
      <c r="CP143" s="171">
        <f ca="1">IF(OR($D143&lt;&gt;"Serviço",AND(AUTOEVENTO="Manual",$M143=$A$15)),0,
         IF(OFFSET(CRONOPLE!$F$15,$M143-$A$15,CP$13)=0,10^12,OFFSET(CRONOPLE!$F$15,$M143-$A$15,CP$13)))</f>
        <v>1000000000000</v>
      </c>
      <c r="CQ143" s="171">
        <f ca="1">IF(OR($D143&lt;&gt;"Serviço",AND(AUTOEVENTO="Manual",$M143=$A$15)),0,
         IF(OFFSET(CRONOPLE!$F$15,$M143-$A$15,CQ$13)=0,10^12,OFFSET(CRONOPLE!$F$15,$M143-$A$15,CQ$13)))</f>
        <v>1000000000000</v>
      </c>
      <c r="CR143" s="171">
        <f ca="1">IF(OR($D143&lt;&gt;"Serviço",AND(AUTOEVENTO="Manual",$M143=$A$15)),0,
         IF(OFFSET(CRONOPLE!$F$15,$M143-$A$15,CR$13)=0,10^12,OFFSET(CRONOPLE!$F$15,$M143-$A$15,CR$13)))</f>
        <v>1000000000000</v>
      </c>
      <c r="CT143" s="172" cm="1">
        <f t="array" aca="1" ref="CT143" ca="1">IF(OR($D143&lt;&gt;"Serviço",AND(AUTOEVENTO="Manual",$M143=$A$15),$M143&gt;(ROW(PLE.lastrow)-ROW(PLE.firstrow))),0,
           IF(OFFSET(PLE!$G$15,$M143-$A$15,CT$13)="",10^12,OFFSET(PLE!$G$15,$M143-$A$15,CT$13)))</f>
        <v>1000000000000</v>
      </c>
      <c r="CU143" s="172" cm="1">
        <f t="array" aca="1" ref="CU143" ca="1">IF(OR($D143&lt;&gt;"Serviço",AND(AUTOEVENTO="Manual",$M143=$A$15),$M143&gt;(ROW(PLE.lastrow)-ROW(PLE.firstrow))),0,
           IF(OFFSET(PLE!$G$15,$M143-$A$15,CU$13)="",10^12,OFFSET(PLE!$G$15,$M143-$A$15,CU$13)))</f>
        <v>1000000000000</v>
      </c>
      <c r="CV143" s="172" cm="1">
        <f t="array" aca="1" ref="CV143" ca="1">IF(OR($D143&lt;&gt;"Serviço",AND(AUTOEVENTO="Manual",$M143=$A$15),$M143&gt;(ROW(PLE.lastrow)-ROW(PLE.firstrow))),0,
           IF(OFFSET(PLE!$G$15,$M143-$A$15,CV$13)="",10^12,OFFSET(PLE!$G$15,$M143-$A$15,CV$13)))</f>
        <v>1000000000000</v>
      </c>
      <c r="CW143" s="172" cm="1">
        <f t="array" aca="1" ref="CW143" ca="1">IF(OR($D143&lt;&gt;"Serviço",AND(AUTOEVENTO="Manual",$M143=$A$15),$M143&gt;(ROW(PLE.lastrow)-ROW(PLE.firstrow))),0,
           IF(OFFSET(PLE!$G$15,$M143-$A$15,CW$13)="",10^12,OFFSET(PLE!$G$15,$M143-$A$15,CW$13)))</f>
        <v>1000000000000</v>
      </c>
      <c r="CX143" s="172" cm="1">
        <f t="array" aca="1" ref="CX143" ca="1">IF(OR($D143&lt;&gt;"Serviço",AND(AUTOEVENTO="Manual",$M143=$A$15),$M143&gt;(ROW(PLE.lastrow)-ROW(PLE.firstrow))),0,
           IF(OFFSET(PLE!$G$15,$M143-$A$15,CX$13)="",10^12,OFFSET(PLE!$G$15,$M143-$A$15,CX$13)))</f>
        <v>1000000000000</v>
      </c>
      <c r="CY143" s="172" cm="1">
        <f t="array" aca="1" ref="CY143" ca="1">IF(OR($D143&lt;&gt;"Serviço",AND(AUTOEVENTO="Manual",$M143=$A$15),$M143&gt;(ROW(PLE.lastrow)-ROW(PLE.firstrow))),0,
           IF(OFFSET(PLE!$G$15,$M143-$A$15,CY$13)="",10^12,OFFSET(PLE!$G$15,$M143-$A$15,CY$13)))</f>
        <v>1000000000000</v>
      </c>
      <c r="CZ143" s="172" cm="1">
        <f t="array" aca="1" ref="CZ143" ca="1">IF(OR($D143&lt;&gt;"Serviço",AND(AUTOEVENTO="Manual",$M143=$A$15),$M143&gt;(ROW(PLE.lastrow)-ROW(PLE.firstrow))),0,
           IF(OFFSET(PLE!$G$15,$M143-$A$15,CZ$13)="",10^12,OFFSET(PLE!$G$15,$M143-$A$15,CZ$13)))</f>
        <v>1000000000000</v>
      </c>
      <c r="DA143" s="172" cm="1">
        <f t="array" aca="1" ref="DA143" ca="1">IF(OR($D143&lt;&gt;"Serviço",AND(AUTOEVENTO="Manual",$M143=$A$15),$M143&gt;(ROW(PLE.lastrow)-ROW(PLE.firstrow))),0,
           IF(OFFSET(PLE!$G$15,$M143-$A$15,DA$13)="",10^12,OFFSET(PLE!$G$15,$M143-$A$15,DA$13)))</f>
        <v>1000000000000</v>
      </c>
      <c r="DB143" s="172" cm="1">
        <f t="array" aca="1" ref="DB143" ca="1">IF(OR($D143&lt;&gt;"Serviço",AND(AUTOEVENTO="Manual",$M143=$A$15),$M143&gt;(ROW(PLE.lastrow)-ROW(PLE.firstrow))),0,
           IF(OFFSET(PLE!$G$15,$M143-$A$15,DB$13)="",10^12,OFFSET(PLE!$G$15,$M143-$A$15,DB$13)))</f>
        <v>1000000000000</v>
      </c>
      <c r="DC143" s="172" cm="1">
        <f t="array" aca="1" ref="DC143" ca="1">IF(OR($D143&lt;&gt;"Serviço",AND(AUTOEVENTO="Manual",$M143=$A$15),$M143&gt;(ROW(PLE.lastrow)-ROW(PLE.firstrow))),0,
           IF(OFFSET(PLE!$G$15,$M143-$A$15,DC$13)="",10^12,OFFSET(PLE!$G$15,$M143-$A$15,DC$13)))</f>
        <v>1000000000000</v>
      </c>
      <c r="DD143" s="172" cm="1">
        <f t="array" aca="1" ref="DD143" ca="1">IF(OR($D143&lt;&gt;"Serviço",AND(AUTOEVENTO="Manual",$M143=$A$15),$M143&gt;(ROW(PLE.lastrow)-ROW(PLE.firstrow))),0,
           IF(OFFSET(PLE!$G$15,$M143-$A$15,DD$13)="",10^12,OFFSET(PLE!$G$15,$M143-$A$15,DD$13)))</f>
        <v>1000000000000</v>
      </c>
      <c r="DE143" s="172" cm="1">
        <f t="array" aca="1" ref="DE143" ca="1">IF(OR($D143&lt;&gt;"Serviço",AND(AUTOEVENTO="Manual",$M143=$A$15),$M143&gt;(ROW(PLE.lastrow)-ROW(PLE.firstrow))),0,
           IF(OFFSET(PLE!$G$15,$M143-$A$15,DE$13)="",10^12,OFFSET(PLE!$G$15,$M143-$A$15,DE$13)))</f>
        <v>1000000000000</v>
      </c>
      <c r="DF143" s="172" cm="1">
        <f t="array" aca="1" ref="DF143" ca="1">IF(OR($D143&lt;&gt;"Serviço",AND(AUTOEVENTO="Manual",$M143=$A$15),$M143&gt;(ROW(PLE.lastrow)-ROW(PLE.firstrow))),0,
           IF(OFFSET(PLE!$G$15,$M143-$A$15,DF$13)="",10^12,OFFSET(PLE!$G$15,$M143-$A$15,DF$13)))</f>
        <v>1000000000000</v>
      </c>
      <c r="DG143" s="172" cm="1">
        <f t="array" aca="1" ref="DG143" ca="1">IF(OR($D143&lt;&gt;"Serviço",AND(AUTOEVENTO="Manual",$M143=$A$15),$M143&gt;(ROW(PLE.lastrow)-ROW(PLE.firstrow))),0,
           IF(OFFSET(PLE!$G$15,$M143-$A$15,DG$13)="",10^12,OFFSET(PLE!$G$15,$M143-$A$15,DG$13)))</f>
        <v>1000000000000</v>
      </c>
      <c r="DH143" s="172" cm="1">
        <f t="array" aca="1" ref="DH143" ca="1">IF(OR($D143&lt;&gt;"Serviço",AND(AUTOEVENTO="Manual",$M143=$A$15),$M143&gt;(ROW(PLE.lastrow)-ROW(PLE.firstrow))),0,
           IF(OFFSET(PLE!$G$15,$M143-$A$15,DH$13)="",10^12,OFFSET(PLE!$G$15,$M143-$A$15,DH$13)))</f>
        <v>1000000000000</v>
      </c>
      <c r="DI143" s="172" cm="1">
        <f t="array" aca="1" ref="DI143" ca="1">IF(OR($D143&lt;&gt;"Serviço",AND(AUTOEVENTO="Manual",$M143=$A$15),$M143&gt;(ROW(PLE.lastrow)-ROW(PLE.firstrow))),0,
           IF(OFFSET(PLE!$G$15,$M143-$A$15,DI$13)="",10^12,OFFSET(PLE!$G$15,$M143-$A$15,DI$13)))</f>
        <v>1000000000000</v>
      </c>
      <c r="DJ143" s="172" cm="1">
        <f t="array" aca="1" ref="DJ143" ca="1">IF(OR($D143&lt;&gt;"Serviço",AND(AUTOEVENTO="Manual",$M143=$A$15),$M143&gt;(ROW(PLE.lastrow)-ROW(PLE.firstrow))),0,
           IF(OFFSET(PLE!$G$15,$M143-$A$15,DJ$13)="",10^12,OFFSET(PLE!$G$15,$M143-$A$15,DJ$13)))</f>
        <v>1000000000000</v>
      </c>
      <c r="DK143" s="172" cm="1">
        <f t="array" aca="1" ref="DK143" ca="1">IF(OR($D143&lt;&gt;"Serviço",AND(AUTOEVENTO="Manual",$M143=$A$15),$M143&gt;(ROW(PLE.lastrow)-ROW(PLE.firstrow))),0,
           IF(OFFSET(PLE!$G$15,$M143-$A$15,DK$13)="",10^12,OFFSET(PLE!$G$15,$M143-$A$15,DK$13)))</f>
        <v>1000000000000</v>
      </c>
      <c r="DL143" s="172" cm="1">
        <f t="array" aca="1" ref="DL143" ca="1">IF(OR($D143&lt;&gt;"Serviço",AND(AUTOEVENTO="Manual",$M143=$A$15),$M143&gt;(ROW(PLE.lastrow)-ROW(PLE.firstrow))),0,
           IF(OFFSET(PLE!$G$15,$M143-$A$15,DL$13)="",10^12,OFFSET(PLE!$G$15,$M143-$A$15,DL$13)))</f>
        <v>1000000000000</v>
      </c>
      <c r="DM143" s="172" cm="1">
        <f t="array" aca="1" ref="DM143" ca="1">IF(OR($D143&lt;&gt;"Serviço",AND(AUTOEVENTO="Manual",$M143=$A$15),$M143&gt;(ROW(PLE.lastrow)-ROW(PLE.firstrow))),0,
           IF(OFFSET(PLE!$G$15,$M143-$A$15,DM$13)="",10^12,OFFSET(PLE!$G$15,$M143-$A$15,DM$13)))</f>
        <v>1000000000000</v>
      </c>
      <c r="DN143" s="172" cm="1">
        <f t="array" aca="1" ref="DN143" ca="1">IF(OR($D143&lt;&gt;"Serviço",AND(AUTOEVENTO="Manual",$M143=$A$15),$M143&gt;(ROW(PLE.lastrow)-ROW(PLE.firstrow))),0,
           IF(OFFSET(PLE!$G$15,$M143-$A$15,DN$13)="",10^12,OFFSET(PLE!$G$15,$M143-$A$15,DN$13)))</f>
        <v>1000000000000</v>
      </c>
      <c r="DO143" s="172" cm="1">
        <f t="array" aca="1" ref="DO143" ca="1">IF(OR($D143&lt;&gt;"Serviço",AND(AUTOEVENTO="Manual",$M143=$A$15),$M143&gt;(ROW(PLE.lastrow)-ROW(PLE.firstrow))),0,
           IF(OFFSET(PLE!$G$15,$M143-$A$15,DO$13)="",10^12,OFFSET(PLE!$G$15,$M143-$A$15,DO$13)))</f>
        <v>1000000000000</v>
      </c>
      <c r="DP143" s="172" cm="1">
        <f t="array" aca="1" ref="DP143" ca="1">IF(OR($D143&lt;&gt;"Serviço",AND(AUTOEVENTO="Manual",$M143=$A$15),$M143&gt;(ROW(PLE.lastrow)-ROW(PLE.firstrow))),0,
           IF(OFFSET(PLE!$G$15,$M143-$A$15,DP$13)="",10^12,OFFSET(PLE!$G$15,$M143-$A$15,DP$13)))</f>
        <v>1000000000000</v>
      </c>
      <c r="DQ143" s="172" cm="1">
        <f t="array" aca="1" ref="DQ143" ca="1">IF(OR($D143&lt;&gt;"Serviço",AND(AUTOEVENTO="Manual",$M143=$A$15),$M143&gt;(ROW(PLE.lastrow)-ROW(PLE.firstrow))),0,
           IF(OFFSET(PLE!$G$15,$M143-$A$15,DQ$13)="",10^12,OFFSET(PLE!$G$15,$M143-$A$15,DQ$13)))</f>
        <v>1000000000000</v>
      </c>
      <c r="DR143" s="172" cm="1">
        <f t="array" aca="1" ref="DR143" ca="1">IF(OR($D143&lt;&gt;"Serviço",AND(AUTOEVENTO="Manual",$M143=$A$15),$M143&gt;(ROW(PLE.lastrow)-ROW(PLE.firstrow))),0,
           IF(OFFSET(PLE!$G$15,$M143-$A$15,DR$13)="",10^12,OFFSET(PLE!$G$15,$M143-$A$15,DR$13)))</f>
        <v>1000000000000</v>
      </c>
      <c r="DS143" s="172" cm="1">
        <f t="array" aca="1" ref="DS143" ca="1">IF(OR($D143&lt;&gt;"Serviço",AND(AUTOEVENTO="Manual",$M143=$A$15),$M143&gt;(ROW(PLE.lastrow)-ROW(PLE.firstrow))),0,
           IF(OFFSET(PLE!$G$15,$M143-$A$15,DS$13)="",10^12,OFFSET(PLE!$G$15,$M143-$A$15,DS$13)))</f>
        <v>1000000000000</v>
      </c>
    </row>
    <row r="144" spans="1:123" ht="25.5" x14ac:dyDescent="0.2">
      <c r="A144" s="7">
        <f t="shared" ca="1" si="15"/>
        <v>9</v>
      </c>
      <c r="B144" s="7" t="str">
        <f ca="1">OFFSET(ORÇAMENTO!C$15,$L144,0)</f>
        <v>S</v>
      </c>
      <c r="C144" s="7" t="str">
        <f ca="1">OFFSET(ORÇAMENTO!L$15,$L144,0)</f>
        <v/>
      </c>
      <c r="D144" s="116" t="str">
        <f ca="1">OFFSET(ORÇAMENTO!N$15,$L144,0)</f>
        <v>Serviço</v>
      </c>
      <c r="E144" s="117" t="str">
        <f ca="1">OFFSET(ORÇAMENTO!O$15,$L144,0)</f>
        <v>-</v>
      </c>
      <c r="F144" s="163" t="str">
        <f ca="1">OFFSET(ORÇAMENTO!R$15,$L144,0)</f>
        <v>(Código não identificado nas referências)</v>
      </c>
      <c r="G144" s="164" t="str">
        <f ca="1">IF($D144&lt;&gt;"Serviço","",OFFSET(ORÇAMENTO!S$15,$L144,0))</f>
        <v>-</v>
      </c>
      <c r="H144" s="122" cm="1">
        <f t="array" aca="1" ref="H144" ca="1">IF($D144&lt;&gt;"Serviço",0,IF(ACOMPANHAMENTO="BM",ROUND(OFFSET(ORÇAMENTO!AJ$15,$L144,0),15-13*ORÇAMENTO!$AF$7),IF(IFERROR(CÁLCULO.FrentesPreenchidas,0)=0,0,SUM(ROUND(OFFSET($P144,0,1,1,CÁLCULO.FrentesPreenchidas),15-13*ORÇAMENTO!$AF$7)))))</f>
        <v>100</v>
      </c>
      <c r="I144" s="468" t="s">
        <v>1235</v>
      </c>
      <c r="J144" s="651" t="str" cm="1">
        <f t="array" aca="1" ref="J144" ca="1">IF(OR(B144&lt;&gt;"S",CÁLCULO.FrentesPreenchidas=0),"",IF(AND(ACOMPANHAMENTO="PLE",AUTOEVENTO="Manual",OR(H144&gt;0,ORÇAMENTO!AC144="QUANT."),OR(K144="",M144=0,N144="")),"►E",IF(AND(ACOMPANHAMENTO="PLE",ORÇAMENTO!AC144="QUANT."),"►Q",IF(AND(ACOMPANHAMENTO="PLE",H144&lt;&gt;SUMPRODUCT(($Q$1:$AQ$1=1)*ROUND(Q144:AQ144,15))),"►S",IF(AND(COUNTIF($P$11:$AQ$11,"▼")=0,H144&gt;0,I144=""),"◄M","")))))</f>
        <v/>
      </c>
      <c r="K144" s="652" t="s">
        <v>1257</v>
      </c>
      <c r="L144" s="165">
        <f t="shared" ca="1" si="14"/>
        <v>129</v>
      </c>
      <c r="M144" s="166">
        <f ca="1">IF($D144&lt;&gt;"Serviço","",
          IF(AUTOEVENTO="manual",$A144,
                IF(ISERROR(MATCH($A144,$A$15:OFFSET($A144,-1,0),0)),MAX($M$15:OFFSET(M144,-1,0))+1,
                      INDEX($M$15:OFFSET(M144,-1,0),MATCH($A144,$A$15:OFFSET($A144,-1,0),0)))))</f>
        <v>9</v>
      </c>
      <c r="N144" s="167" t="str">
        <f ca="1">IF($D144&lt;&gt;"Serviço","",
         IF(AUTOEVENTO="Manual",
                IF($A144=0,"&lt;-- defina o número do agrupador",
                       OFFSET(EVENTOS!$D$15,$A144-$A$15,0)),
                OFFSET($F$15,$A144,0)))</f>
        <v>INSTALAÇÕES</v>
      </c>
      <c r="O144" s="168"/>
      <c r="Q144" s="168">
        <v>5</v>
      </c>
      <c r="R144" s="169">
        <v>5</v>
      </c>
      <c r="S144" s="169">
        <v>5</v>
      </c>
      <c r="T144" s="169">
        <v>5</v>
      </c>
      <c r="U144" s="169">
        <v>5</v>
      </c>
      <c r="V144" s="169">
        <v>5</v>
      </c>
      <c r="W144" s="169">
        <v>5</v>
      </c>
      <c r="X144" s="169">
        <v>5</v>
      </c>
      <c r="Y144" s="169">
        <v>5</v>
      </c>
      <c r="Z144" s="170">
        <v>5</v>
      </c>
      <c r="AA144" s="169">
        <v>5</v>
      </c>
      <c r="AB144" s="169">
        <v>5</v>
      </c>
      <c r="AC144" s="169">
        <v>5</v>
      </c>
      <c r="AD144" s="169">
        <v>5</v>
      </c>
      <c r="AE144" s="169">
        <v>5</v>
      </c>
      <c r="AF144" s="169">
        <v>5</v>
      </c>
      <c r="AG144" s="169">
        <v>5</v>
      </c>
      <c r="AH144" s="170">
        <v>5</v>
      </c>
      <c r="AI144" s="169">
        <v>5</v>
      </c>
      <c r="AJ144" s="169">
        <v>5</v>
      </c>
      <c r="AK144" s="169"/>
      <c r="AL144" s="169"/>
      <c r="AM144" s="169"/>
      <c r="AN144" s="169"/>
      <c r="AO144" s="169"/>
      <c r="AP144" s="170"/>
      <c r="AR144" s="453">
        <f ca="1">IF(AND($D144="Serviço",AR$12&lt;&gt;0,$H144&gt;0,OR(AUTOEVENTO&lt;&gt;"manual",$M144&lt;&gt;$A$15)),
        IF(Import.TipoArredondamento&lt;&gt;"TransfereGOV",
              ROUND(OFFSET($P144,0,AR$13),15-13*ORÇAMENTO!$AF$7)/$H144*OFFSET(ORÇAMENTO!$X$15,ROW(AR144)-ROW(AR$15),0),
              ROUND(ROUND(OFFSET($P144,0,AR$13),15-13*ORÇAMENTO!$AF$7)*OFFSET(ORÇAMENTO!$W$15,ROW(AR144)-ROW(AR$15),0),15-13*ORÇAMENTO!$AF$11)),
         0)</f>
        <v>0</v>
      </c>
      <c r="AS144" s="453">
        <f ca="1">IF(AND($D144="Serviço",AS$12&lt;&gt;0,$H144&gt;0,OR(AUTOEVENTO&lt;&gt;"manual",$M144&lt;&gt;$A$15)),
        IF(Import.TipoArredondamento&lt;&gt;"TransfereGOV",
              ROUND(OFFSET($P144,0,AS$13),15-13*ORÇAMENTO!$AF$7)/$H144*OFFSET(ORÇAMENTO!$X$15,ROW(AS144)-ROW(AS$15),0),
              ROUND(ROUND(OFFSET($P144,0,AS$13),15-13*ORÇAMENTO!$AF$7)*OFFSET(ORÇAMENTO!$W$15,ROW(AS144)-ROW(AS$15),0),15-13*ORÇAMENTO!$AF$11)),
         0)</f>
        <v>0</v>
      </c>
      <c r="AT144" s="453">
        <f ca="1">IF(AND($D144="Serviço",AT$12&lt;&gt;0,$H144&gt;0,OR(AUTOEVENTO&lt;&gt;"manual",$M144&lt;&gt;$A$15)),
        IF(Import.TipoArredondamento&lt;&gt;"TransfereGOV",
              ROUND(OFFSET($P144,0,AT$13),15-13*ORÇAMENTO!$AF$7)/$H144*OFFSET(ORÇAMENTO!$X$15,ROW(AT144)-ROW(AT$15),0),
              ROUND(ROUND(OFFSET($P144,0,AT$13),15-13*ORÇAMENTO!$AF$7)*OFFSET(ORÇAMENTO!$W$15,ROW(AT144)-ROW(AT$15),0),15-13*ORÇAMENTO!$AF$11)),
         0)</f>
        <v>0</v>
      </c>
      <c r="AU144" s="453">
        <f ca="1">IF(AND($D144="Serviço",AU$12&lt;&gt;0,$H144&gt;0,OR(AUTOEVENTO&lt;&gt;"manual",$M144&lt;&gt;$A$15)),
        IF(Import.TipoArredondamento&lt;&gt;"TransfereGOV",
              ROUND(OFFSET($P144,0,AU$13),15-13*ORÇAMENTO!$AF$7)/$H144*OFFSET(ORÇAMENTO!$X$15,ROW(AU144)-ROW(AU$15),0),
              ROUND(ROUND(OFFSET($P144,0,AU$13),15-13*ORÇAMENTO!$AF$7)*OFFSET(ORÇAMENTO!$W$15,ROW(AU144)-ROW(AU$15),0),15-13*ORÇAMENTO!$AF$11)),
         0)</f>
        <v>0</v>
      </c>
      <c r="AV144" s="453">
        <f ca="1">IF(AND($D144="Serviço",AV$12&lt;&gt;0,$H144&gt;0,OR(AUTOEVENTO&lt;&gt;"manual",$M144&lt;&gt;$A$15)),
        IF(Import.TipoArredondamento&lt;&gt;"TransfereGOV",
              ROUND(OFFSET($P144,0,AV$13),15-13*ORÇAMENTO!$AF$7)/$H144*OFFSET(ORÇAMENTO!$X$15,ROW(AV144)-ROW(AV$15),0),
              ROUND(ROUND(OFFSET($P144,0,AV$13),15-13*ORÇAMENTO!$AF$7)*OFFSET(ORÇAMENTO!$W$15,ROW(AV144)-ROW(AV$15),0),15-13*ORÇAMENTO!$AF$11)),
         0)</f>
        <v>0</v>
      </c>
      <c r="AW144" s="453">
        <f ca="1">IF(AND($D144="Serviço",AW$12&lt;&gt;0,$H144&gt;0,OR(AUTOEVENTO&lt;&gt;"manual",$M144&lt;&gt;$A$15)),
        IF(Import.TipoArredondamento&lt;&gt;"TransfereGOV",
              ROUND(OFFSET($P144,0,AW$13),15-13*ORÇAMENTO!$AF$7)/$H144*OFFSET(ORÇAMENTO!$X$15,ROW(AW144)-ROW(AW$15),0),
              ROUND(ROUND(OFFSET($P144,0,AW$13),15-13*ORÇAMENTO!$AF$7)*OFFSET(ORÇAMENTO!$W$15,ROW(AW144)-ROW(AW$15),0),15-13*ORÇAMENTO!$AF$11)),
         0)</f>
        <v>0</v>
      </c>
      <c r="AX144" s="453">
        <f ca="1">IF(AND($D144="Serviço",AX$12&lt;&gt;0,$H144&gt;0,OR(AUTOEVENTO&lt;&gt;"manual",$M144&lt;&gt;$A$15)),
        IF(Import.TipoArredondamento&lt;&gt;"TransfereGOV",
              ROUND(OFFSET($P144,0,AX$13),15-13*ORÇAMENTO!$AF$7)/$H144*OFFSET(ORÇAMENTO!$X$15,ROW(AX144)-ROW(AX$15),0),
              ROUND(ROUND(OFFSET($P144,0,AX$13),15-13*ORÇAMENTO!$AF$7)*OFFSET(ORÇAMENTO!$W$15,ROW(AX144)-ROW(AX$15),0),15-13*ORÇAMENTO!$AF$11)),
         0)</f>
        <v>0</v>
      </c>
      <c r="AY144" s="453">
        <f ca="1">IF(AND($D144="Serviço",AY$12&lt;&gt;0,$H144&gt;0,OR(AUTOEVENTO&lt;&gt;"manual",$M144&lt;&gt;$A$15)),
        IF(Import.TipoArredondamento&lt;&gt;"TransfereGOV",
              ROUND(OFFSET($P144,0,AY$13),15-13*ORÇAMENTO!$AF$7)/$H144*OFFSET(ORÇAMENTO!$X$15,ROW(AY144)-ROW(AY$15),0),
              ROUND(ROUND(OFFSET($P144,0,AY$13),15-13*ORÇAMENTO!$AF$7)*OFFSET(ORÇAMENTO!$W$15,ROW(AY144)-ROW(AY$15),0),15-13*ORÇAMENTO!$AF$11)),
         0)</f>
        <v>0</v>
      </c>
      <c r="AZ144" s="453">
        <f ca="1">IF(AND($D144="Serviço",AZ$12&lt;&gt;0,$H144&gt;0,OR(AUTOEVENTO&lt;&gt;"manual",$M144&lt;&gt;$A$15)),
        IF(Import.TipoArredondamento&lt;&gt;"TransfereGOV",
              ROUND(OFFSET($P144,0,AZ$13),15-13*ORÇAMENTO!$AF$7)/$H144*OFFSET(ORÇAMENTO!$X$15,ROW(AZ144)-ROW(AZ$15),0),
              ROUND(ROUND(OFFSET($P144,0,AZ$13),15-13*ORÇAMENTO!$AF$7)*OFFSET(ORÇAMENTO!$W$15,ROW(AZ144)-ROW(AZ$15),0),15-13*ORÇAMENTO!$AF$11)),
         0)</f>
        <v>0</v>
      </c>
      <c r="BA144" s="453">
        <f ca="1">IF(AND($D144="Serviço",BA$12&lt;&gt;0,$H144&gt;0,OR(AUTOEVENTO&lt;&gt;"manual",$M144&lt;&gt;$A$15)),
        IF(Import.TipoArredondamento&lt;&gt;"TransfereGOV",
              ROUND(OFFSET($P144,0,BA$13),15-13*ORÇAMENTO!$AF$7)/$H144*OFFSET(ORÇAMENTO!$X$15,ROW(BA144)-ROW(BA$15),0),
              ROUND(ROUND(OFFSET($P144,0,BA$13),15-13*ORÇAMENTO!$AF$7)*OFFSET(ORÇAMENTO!$W$15,ROW(BA144)-ROW(BA$15),0),15-13*ORÇAMENTO!$AF$11)),
         0)</f>
        <v>0</v>
      </c>
      <c r="BB144" s="453">
        <f ca="1">IF(AND($D144="Serviço",BB$12&lt;&gt;0,$H144&gt;0,OR(AUTOEVENTO&lt;&gt;"manual",$M144&lt;&gt;$A$15)),
        IF(Import.TipoArredondamento&lt;&gt;"TransfereGOV",
              ROUND(OFFSET($P144,0,BB$13),15-13*ORÇAMENTO!$AF$7)/$H144*OFFSET(ORÇAMENTO!$X$15,ROW(BB144)-ROW(BB$15),0),
              ROUND(ROUND(OFFSET($P144,0,BB$13),15-13*ORÇAMENTO!$AF$7)*OFFSET(ORÇAMENTO!$W$15,ROW(BB144)-ROW(BB$15),0),15-13*ORÇAMENTO!$AF$11)),
         0)</f>
        <v>0</v>
      </c>
      <c r="BC144" s="453">
        <f ca="1">IF(AND($D144="Serviço",BC$12&lt;&gt;0,$H144&gt;0,OR(AUTOEVENTO&lt;&gt;"manual",$M144&lt;&gt;$A$15)),
        IF(Import.TipoArredondamento&lt;&gt;"TransfereGOV",
              ROUND(OFFSET($P144,0,BC$13),15-13*ORÇAMENTO!$AF$7)/$H144*OFFSET(ORÇAMENTO!$X$15,ROW(BC144)-ROW(BC$15),0),
              ROUND(ROUND(OFFSET($P144,0,BC$13),15-13*ORÇAMENTO!$AF$7)*OFFSET(ORÇAMENTO!$W$15,ROW(BC144)-ROW(BC$15),0),15-13*ORÇAMENTO!$AF$11)),
         0)</f>
        <v>0</v>
      </c>
      <c r="BD144" s="453">
        <f ca="1">IF(AND($D144="Serviço",BD$12&lt;&gt;0,$H144&gt;0,OR(AUTOEVENTO&lt;&gt;"manual",$M144&lt;&gt;$A$15)),
        IF(Import.TipoArredondamento&lt;&gt;"TransfereGOV",
              ROUND(OFFSET($P144,0,BD$13),15-13*ORÇAMENTO!$AF$7)/$H144*OFFSET(ORÇAMENTO!$X$15,ROW(BD144)-ROW(BD$15),0),
              ROUND(ROUND(OFFSET($P144,0,BD$13),15-13*ORÇAMENTO!$AF$7)*OFFSET(ORÇAMENTO!$W$15,ROW(BD144)-ROW(BD$15),0),15-13*ORÇAMENTO!$AF$11)),
         0)</f>
        <v>0</v>
      </c>
      <c r="BE144" s="453">
        <f ca="1">IF(AND($D144="Serviço",BE$12&lt;&gt;0,$H144&gt;0,OR(AUTOEVENTO&lt;&gt;"manual",$M144&lt;&gt;$A$15)),
        IF(Import.TipoArredondamento&lt;&gt;"TransfereGOV",
              ROUND(OFFSET($P144,0,BE$13),15-13*ORÇAMENTO!$AF$7)/$H144*OFFSET(ORÇAMENTO!$X$15,ROW(BE144)-ROW(BE$15),0),
              ROUND(ROUND(OFFSET($P144,0,BE$13),15-13*ORÇAMENTO!$AF$7)*OFFSET(ORÇAMENTO!$W$15,ROW(BE144)-ROW(BE$15),0),15-13*ORÇAMENTO!$AF$11)),
         0)</f>
        <v>0</v>
      </c>
      <c r="BF144" s="453">
        <f ca="1">IF(AND($D144="Serviço",BF$12&lt;&gt;0,$H144&gt;0,OR(AUTOEVENTO&lt;&gt;"manual",$M144&lt;&gt;$A$15)),
        IF(Import.TipoArredondamento&lt;&gt;"TransfereGOV",
              ROUND(OFFSET($P144,0,BF$13),15-13*ORÇAMENTO!$AF$7)/$H144*OFFSET(ORÇAMENTO!$X$15,ROW(BF144)-ROW(BF$15),0),
              ROUND(ROUND(OFFSET($P144,0,BF$13),15-13*ORÇAMENTO!$AF$7)*OFFSET(ORÇAMENTO!$W$15,ROW(BF144)-ROW(BF$15),0),15-13*ORÇAMENTO!$AF$11)),
         0)</f>
        <v>0</v>
      </c>
      <c r="BG144" s="453">
        <f ca="1">IF(AND($D144="Serviço",BG$12&lt;&gt;0,$H144&gt;0,OR(AUTOEVENTO&lt;&gt;"manual",$M144&lt;&gt;$A$15)),
        IF(Import.TipoArredondamento&lt;&gt;"TransfereGOV",
              ROUND(OFFSET($P144,0,BG$13),15-13*ORÇAMENTO!$AF$7)/$H144*OFFSET(ORÇAMENTO!$X$15,ROW(BG144)-ROW(BG$15),0),
              ROUND(ROUND(OFFSET($P144,0,BG$13),15-13*ORÇAMENTO!$AF$7)*OFFSET(ORÇAMENTO!$W$15,ROW(BG144)-ROW(BG$15),0),15-13*ORÇAMENTO!$AF$11)),
         0)</f>
        <v>0</v>
      </c>
      <c r="BH144" s="453">
        <f ca="1">IF(AND($D144="Serviço",BH$12&lt;&gt;0,$H144&gt;0,OR(AUTOEVENTO&lt;&gt;"manual",$M144&lt;&gt;$A$15)),
        IF(Import.TipoArredondamento&lt;&gt;"TransfereGOV",
              ROUND(OFFSET($P144,0,BH$13),15-13*ORÇAMENTO!$AF$7)/$H144*OFFSET(ORÇAMENTO!$X$15,ROW(BH144)-ROW(BH$15),0),
              ROUND(ROUND(OFFSET($P144,0,BH$13),15-13*ORÇAMENTO!$AF$7)*OFFSET(ORÇAMENTO!$W$15,ROW(BH144)-ROW(BH$15),0),15-13*ORÇAMENTO!$AF$11)),
         0)</f>
        <v>0</v>
      </c>
      <c r="BI144" s="453">
        <f ca="1">IF(AND($D144="Serviço",BI$12&lt;&gt;0,$H144&gt;0,OR(AUTOEVENTO&lt;&gt;"manual",$M144&lt;&gt;$A$15)),
        IF(Import.TipoArredondamento&lt;&gt;"TransfereGOV",
              ROUND(OFFSET($P144,0,BI$13),15-13*ORÇAMENTO!$AF$7)/$H144*OFFSET(ORÇAMENTO!$X$15,ROW(BI144)-ROW(BI$15),0),
              ROUND(ROUND(OFFSET($P144,0,BI$13),15-13*ORÇAMENTO!$AF$7)*OFFSET(ORÇAMENTO!$W$15,ROW(BI144)-ROW(BI$15),0),15-13*ORÇAMENTO!$AF$11)),
         0)</f>
        <v>0</v>
      </c>
      <c r="BJ144" s="453">
        <f ca="1">IF(AND($D144="Serviço",BJ$12&lt;&gt;0,$H144&gt;0,OR(AUTOEVENTO&lt;&gt;"manual",$M144&lt;&gt;$A$15)),
        IF(Import.TipoArredondamento&lt;&gt;"TransfereGOV",
              ROUND(OFFSET($P144,0,BJ$13),15-13*ORÇAMENTO!$AF$7)/$H144*OFFSET(ORÇAMENTO!$X$15,ROW(BJ144)-ROW(BJ$15),0),
              ROUND(ROUND(OFFSET($P144,0,BJ$13),15-13*ORÇAMENTO!$AF$7)*OFFSET(ORÇAMENTO!$W$15,ROW(BJ144)-ROW(BJ$15),0),15-13*ORÇAMENTO!$AF$11)),
         0)</f>
        <v>0</v>
      </c>
      <c r="BK144" s="453">
        <f ca="1">IF(AND($D144="Serviço",BK$12&lt;&gt;0,$H144&gt;0,OR(AUTOEVENTO&lt;&gt;"manual",$M144&lt;&gt;$A$15)),
        IF(Import.TipoArredondamento&lt;&gt;"TransfereGOV",
              ROUND(OFFSET($P144,0,BK$13),15-13*ORÇAMENTO!$AF$7)/$H144*OFFSET(ORÇAMENTO!$X$15,ROW(BK144)-ROW(BK$15),0),
              ROUND(ROUND(OFFSET($P144,0,BK$13),15-13*ORÇAMENTO!$AF$7)*OFFSET(ORÇAMENTO!$W$15,ROW(BK144)-ROW(BK$15),0),15-13*ORÇAMENTO!$AF$11)),
         0)</f>
        <v>0</v>
      </c>
      <c r="BL144" s="453">
        <f ca="1">IF(AND($D144="Serviço",BL$12&lt;&gt;0,$H144&gt;0,OR(AUTOEVENTO&lt;&gt;"manual",$M144&lt;&gt;$A$15)),
        IF(Import.TipoArredondamento&lt;&gt;"TransfereGOV",
              ROUND(OFFSET($P144,0,BL$13),15-13*ORÇAMENTO!$AF$7)/$H144*OFFSET(ORÇAMENTO!$X$15,ROW(BL144)-ROW(BL$15),0),
              ROUND(ROUND(OFFSET($P144,0,BL$13),15-13*ORÇAMENTO!$AF$7)*OFFSET(ORÇAMENTO!$W$15,ROW(BL144)-ROW(BL$15),0),15-13*ORÇAMENTO!$AF$11)),
         0)</f>
        <v>0</v>
      </c>
      <c r="BM144" s="453">
        <f ca="1">IF(AND($D144="Serviço",BM$12&lt;&gt;0,$H144&gt;0,OR(AUTOEVENTO&lt;&gt;"manual",$M144&lt;&gt;$A$15)),
        IF(Import.TipoArredondamento&lt;&gt;"TransfereGOV",
              ROUND(OFFSET($P144,0,BM$13),15-13*ORÇAMENTO!$AF$7)/$H144*OFFSET(ORÇAMENTO!$X$15,ROW(BM144)-ROW(BM$15),0),
              ROUND(ROUND(OFFSET($P144,0,BM$13),15-13*ORÇAMENTO!$AF$7)*OFFSET(ORÇAMENTO!$W$15,ROW(BM144)-ROW(BM$15),0),15-13*ORÇAMENTO!$AF$11)),
         0)</f>
        <v>0</v>
      </c>
      <c r="BN144" s="453">
        <f ca="1">IF(AND($D144="Serviço",BN$12&lt;&gt;0,$H144&gt;0,OR(AUTOEVENTO&lt;&gt;"manual",$M144&lt;&gt;$A$15)),
        IF(Import.TipoArredondamento&lt;&gt;"TransfereGOV",
              ROUND(OFFSET($P144,0,BN$13),15-13*ORÇAMENTO!$AF$7)/$H144*OFFSET(ORÇAMENTO!$X$15,ROW(BN144)-ROW(BN$15),0),
              ROUND(ROUND(OFFSET($P144,0,BN$13),15-13*ORÇAMENTO!$AF$7)*OFFSET(ORÇAMENTO!$W$15,ROW(BN144)-ROW(BN$15),0),15-13*ORÇAMENTO!$AF$11)),
         0)</f>
        <v>0</v>
      </c>
      <c r="BO144" s="453">
        <f ca="1">IF(AND($D144="Serviço",BO$12&lt;&gt;0,$H144&gt;0,OR(AUTOEVENTO&lt;&gt;"manual",$M144&lt;&gt;$A$15)),
        IF(Import.TipoArredondamento&lt;&gt;"TransfereGOV",
              ROUND(OFFSET($P144,0,BO$13),15-13*ORÇAMENTO!$AF$7)/$H144*OFFSET(ORÇAMENTO!$X$15,ROW(BO144)-ROW(BO$15),0),
              ROUND(ROUND(OFFSET($P144,0,BO$13),15-13*ORÇAMENTO!$AF$7)*OFFSET(ORÇAMENTO!$W$15,ROW(BO144)-ROW(BO$15),0),15-13*ORÇAMENTO!$AF$11)),
         0)</f>
        <v>0</v>
      </c>
      <c r="BP144" s="453">
        <f ca="1">IF(AND($D144="Serviço",BP$12&lt;&gt;0,$H144&gt;0,OR(AUTOEVENTO&lt;&gt;"manual",$M144&lt;&gt;$A$15)),
        IF(Import.TipoArredondamento&lt;&gt;"TransfereGOV",
              ROUND(OFFSET($P144,0,BP$13),15-13*ORÇAMENTO!$AF$7)/$H144*OFFSET(ORÇAMENTO!$X$15,ROW(BP144)-ROW(BP$15),0),
              ROUND(ROUND(OFFSET($P144,0,BP$13),15-13*ORÇAMENTO!$AF$7)*OFFSET(ORÇAMENTO!$W$15,ROW(BP144)-ROW(BP$15),0),15-13*ORÇAMENTO!$AF$11)),
         0)</f>
        <v>0</v>
      </c>
      <c r="BQ144" s="453">
        <f ca="1">IF(AND($D144="Serviço",BQ$12&lt;&gt;0,$H144&gt;0,OR(AUTOEVENTO&lt;&gt;"manual",$M144&lt;&gt;$A$15)),
        IF(Import.TipoArredondamento&lt;&gt;"TransfereGOV",
              ROUND(OFFSET($P144,0,BQ$13),15-13*ORÇAMENTO!$AF$7)/$H144*OFFSET(ORÇAMENTO!$X$15,ROW(BQ144)-ROW(BQ$15),0),
              ROUND(ROUND(OFFSET($P144,0,BQ$13),15-13*ORÇAMENTO!$AF$7)*OFFSET(ORÇAMENTO!$W$15,ROW(BQ144)-ROW(BQ$15),0),15-13*ORÇAMENTO!$AF$11)),
         0)</f>
        <v>0</v>
      </c>
      <c r="BS144" s="171">
        <f ca="1">IF(OR($D144&lt;&gt;"Serviço",AND(AUTOEVENTO="Manual",$M144=$A$15)),0,
         IF(OFFSET(CRONOPLE!$F$15,$M144-$A$15,BS$13)=0,10^12,OFFSET(CRONOPLE!$F$15,$M144-$A$15,BS$13)))</f>
        <v>1</v>
      </c>
      <c r="BT144" s="171">
        <f ca="1">IF(OR($D144&lt;&gt;"Serviço",AND(AUTOEVENTO="Manual",$M144=$A$15)),0,
         IF(OFFSET(CRONOPLE!$F$15,$M144-$A$15,BT$13)=0,10^12,OFFSET(CRONOPLE!$F$15,$M144-$A$15,BT$13)))</f>
        <v>2</v>
      </c>
      <c r="BU144" s="171">
        <f ca="1">IF(OR($D144&lt;&gt;"Serviço",AND(AUTOEVENTO="Manual",$M144=$A$15)),0,
         IF(OFFSET(CRONOPLE!$F$15,$M144-$A$15,BU$13)=0,10^12,OFFSET(CRONOPLE!$F$15,$M144-$A$15,BU$13)))</f>
        <v>3</v>
      </c>
      <c r="BV144" s="171">
        <f ca="1">IF(OR($D144&lt;&gt;"Serviço",AND(AUTOEVENTO="Manual",$M144=$A$15)),0,
         IF(OFFSET(CRONOPLE!$F$15,$M144-$A$15,BV$13)=0,10^12,OFFSET(CRONOPLE!$F$15,$M144-$A$15,BV$13)))</f>
        <v>4</v>
      </c>
      <c r="BW144" s="171">
        <f ca="1">IF(OR($D144&lt;&gt;"Serviço",AND(AUTOEVENTO="Manual",$M144=$A$15)),0,
         IF(OFFSET(CRONOPLE!$F$15,$M144-$A$15,BW$13)=0,10^12,OFFSET(CRONOPLE!$F$15,$M144-$A$15,BW$13)))</f>
        <v>5</v>
      </c>
      <c r="BX144" s="171">
        <f ca="1">IF(OR($D144&lt;&gt;"Serviço",AND(AUTOEVENTO="Manual",$M144=$A$15)),0,
         IF(OFFSET(CRONOPLE!$F$15,$M144-$A$15,BX$13)=0,10^12,OFFSET(CRONOPLE!$F$15,$M144-$A$15,BX$13)))</f>
        <v>6</v>
      </c>
      <c r="BY144" s="171">
        <f ca="1">IF(OR($D144&lt;&gt;"Serviço",AND(AUTOEVENTO="Manual",$M144=$A$15)),0,
         IF(OFFSET(CRONOPLE!$F$15,$M144-$A$15,BY$13)=0,10^12,OFFSET(CRONOPLE!$F$15,$M144-$A$15,BY$13)))</f>
        <v>7</v>
      </c>
      <c r="BZ144" s="171">
        <f ca="1">IF(OR($D144&lt;&gt;"Serviço",AND(AUTOEVENTO="Manual",$M144=$A$15)),0,
         IF(OFFSET(CRONOPLE!$F$15,$M144-$A$15,BZ$13)=0,10^12,OFFSET(CRONOPLE!$F$15,$M144-$A$15,BZ$13)))</f>
        <v>8</v>
      </c>
      <c r="CA144" s="171">
        <f ca="1">IF(OR($D144&lt;&gt;"Serviço",AND(AUTOEVENTO="Manual",$M144=$A$15)),0,
         IF(OFFSET(CRONOPLE!$F$15,$M144-$A$15,CA$13)=0,10^12,OFFSET(CRONOPLE!$F$15,$M144-$A$15,CA$13)))</f>
        <v>9</v>
      </c>
      <c r="CB144" s="171">
        <f ca="1">IF(OR($D144&lt;&gt;"Serviço",AND(AUTOEVENTO="Manual",$M144=$A$15)),0,
         IF(OFFSET(CRONOPLE!$F$15,$M144-$A$15,CB$13)=0,10^12,OFFSET(CRONOPLE!$F$15,$M144-$A$15,CB$13)))</f>
        <v>10</v>
      </c>
      <c r="CC144" s="171">
        <f ca="1">IF(OR($D144&lt;&gt;"Serviço",AND(AUTOEVENTO="Manual",$M144=$A$15)),0,
         IF(OFFSET(CRONOPLE!$F$15,$M144-$A$15,CC$13)=0,10^12,OFFSET(CRONOPLE!$F$15,$M144-$A$15,CC$13)))</f>
        <v>11</v>
      </c>
      <c r="CD144" s="171">
        <f ca="1">IF(OR($D144&lt;&gt;"Serviço",AND(AUTOEVENTO="Manual",$M144=$A$15)),0,
         IF(OFFSET(CRONOPLE!$F$15,$M144-$A$15,CD$13)=0,10^12,OFFSET(CRONOPLE!$F$15,$M144-$A$15,CD$13)))</f>
        <v>12</v>
      </c>
      <c r="CE144" s="171">
        <f ca="1">IF(OR($D144&lt;&gt;"Serviço",AND(AUTOEVENTO="Manual",$M144=$A$15)),0,
         IF(OFFSET(CRONOPLE!$F$15,$M144-$A$15,CE$13)=0,10^12,OFFSET(CRONOPLE!$F$15,$M144-$A$15,CE$13)))</f>
        <v>13</v>
      </c>
      <c r="CF144" s="171">
        <f ca="1">IF(OR($D144&lt;&gt;"Serviço",AND(AUTOEVENTO="Manual",$M144=$A$15)),0,
         IF(OFFSET(CRONOPLE!$F$15,$M144-$A$15,CF$13)=0,10^12,OFFSET(CRONOPLE!$F$15,$M144-$A$15,CF$13)))</f>
        <v>14</v>
      </c>
      <c r="CG144" s="171">
        <f ca="1">IF(OR($D144&lt;&gt;"Serviço",AND(AUTOEVENTO="Manual",$M144=$A$15)),0,
         IF(OFFSET(CRONOPLE!$F$15,$M144-$A$15,CG$13)=0,10^12,OFFSET(CRONOPLE!$F$15,$M144-$A$15,CG$13)))</f>
        <v>15</v>
      </c>
      <c r="CH144" s="171">
        <f ca="1">IF(OR($D144&lt;&gt;"Serviço",AND(AUTOEVENTO="Manual",$M144=$A$15)),0,
         IF(OFFSET(CRONOPLE!$F$15,$M144-$A$15,CH$13)=0,10^12,OFFSET(CRONOPLE!$F$15,$M144-$A$15,CH$13)))</f>
        <v>16</v>
      </c>
      <c r="CI144" s="171">
        <f ca="1">IF(OR($D144&lt;&gt;"Serviço",AND(AUTOEVENTO="Manual",$M144=$A$15)),0,
         IF(OFFSET(CRONOPLE!$F$15,$M144-$A$15,CI$13)=0,10^12,OFFSET(CRONOPLE!$F$15,$M144-$A$15,CI$13)))</f>
        <v>17</v>
      </c>
      <c r="CJ144" s="171">
        <f ca="1">IF(OR($D144&lt;&gt;"Serviço",AND(AUTOEVENTO="Manual",$M144=$A$15)),0,
         IF(OFFSET(CRONOPLE!$F$15,$M144-$A$15,CJ$13)=0,10^12,OFFSET(CRONOPLE!$F$15,$M144-$A$15,CJ$13)))</f>
        <v>18</v>
      </c>
      <c r="CK144" s="171">
        <f ca="1">IF(OR($D144&lt;&gt;"Serviço",AND(AUTOEVENTO="Manual",$M144=$A$15)),0,
         IF(OFFSET(CRONOPLE!$F$15,$M144-$A$15,CK$13)=0,10^12,OFFSET(CRONOPLE!$F$15,$M144-$A$15,CK$13)))</f>
        <v>19</v>
      </c>
      <c r="CL144" s="171">
        <f ca="1">IF(OR($D144&lt;&gt;"Serviço",AND(AUTOEVENTO="Manual",$M144=$A$15)),0,
         IF(OFFSET(CRONOPLE!$F$15,$M144-$A$15,CL$13)=0,10^12,OFFSET(CRONOPLE!$F$15,$M144-$A$15,CL$13)))</f>
        <v>20</v>
      </c>
      <c r="CM144" s="171">
        <f ca="1">IF(OR($D144&lt;&gt;"Serviço",AND(AUTOEVENTO="Manual",$M144=$A$15)),0,
         IF(OFFSET(CRONOPLE!$F$15,$M144-$A$15,CM$13)=0,10^12,OFFSET(CRONOPLE!$F$15,$M144-$A$15,CM$13)))</f>
        <v>1000000000000</v>
      </c>
      <c r="CN144" s="171">
        <f ca="1">IF(OR($D144&lt;&gt;"Serviço",AND(AUTOEVENTO="Manual",$M144=$A$15)),0,
         IF(OFFSET(CRONOPLE!$F$15,$M144-$A$15,CN$13)=0,10^12,OFFSET(CRONOPLE!$F$15,$M144-$A$15,CN$13)))</f>
        <v>1000000000000</v>
      </c>
      <c r="CO144" s="171">
        <f ca="1">IF(OR($D144&lt;&gt;"Serviço",AND(AUTOEVENTO="Manual",$M144=$A$15)),0,
         IF(OFFSET(CRONOPLE!$F$15,$M144-$A$15,CO$13)=0,10^12,OFFSET(CRONOPLE!$F$15,$M144-$A$15,CO$13)))</f>
        <v>1000000000000</v>
      </c>
      <c r="CP144" s="171">
        <f ca="1">IF(OR($D144&lt;&gt;"Serviço",AND(AUTOEVENTO="Manual",$M144=$A$15)),0,
         IF(OFFSET(CRONOPLE!$F$15,$M144-$A$15,CP$13)=0,10^12,OFFSET(CRONOPLE!$F$15,$M144-$A$15,CP$13)))</f>
        <v>1000000000000</v>
      </c>
      <c r="CQ144" s="171">
        <f ca="1">IF(OR($D144&lt;&gt;"Serviço",AND(AUTOEVENTO="Manual",$M144=$A$15)),0,
         IF(OFFSET(CRONOPLE!$F$15,$M144-$A$15,CQ$13)=0,10^12,OFFSET(CRONOPLE!$F$15,$M144-$A$15,CQ$13)))</f>
        <v>1000000000000</v>
      </c>
      <c r="CR144" s="171">
        <f ca="1">IF(OR($D144&lt;&gt;"Serviço",AND(AUTOEVENTO="Manual",$M144=$A$15)),0,
         IF(OFFSET(CRONOPLE!$F$15,$M144-$A$15,CR$13)=0,10^12,OFFSET(CRONOPLE!$F$15,$M144-$A$15,CR$13)))</f>
        <v>1000000000000</v>
      </c>
      <c r="CT144" s="172" cm="1">
        <f t="array" aca="1" ref="CT144" ca="1">IF(OR($D144&lt;&gt;"Serviço",AND(AUTOEVENTO="Manual",$M144=$A$15),$M144&gt;(ROW(PLE.lastrow)-ROW(PLE.firstrow))),0,
           IF(OFFSET(PLE!$G$15,$M144-$A$15,CT$13)="",10^12,OFFSET(PLE!$G$15,$M144-$A$15,CT$13)))</f>
        <v>1000000000000</v>
      </c>
      <c r="CU144" s="172" cm="1">
        <f t="array" aca="1" ref="CU144" ca="1">IF(OR($D144&lt;&gt;"Serviço",AND(AUTOEVENTO="Manual",$M144=$A$15),$M144&gt;(ROW(PLE.lastrow)-ROW(PLE.firstrow))),0,
           IF(OFFSET(PLE!$G$15,$M144-$A$15,CU$13)="",10^12,OFFSET(PLE!$G$15,$M144-$A$15,CU$13)))</f>
        <v>1000000000000</v>
      </c>
      <c r="CV144" s="172" cm="1">
        <f t="array" aca="1" ref="CV144" ca="1">IF(OR($D144&lt;&gt;"Serviço",AND(AUTOEVENTO="Manual",$M144=$A$15),$M144&gt;(ROW(PLE.lastrow)-ROW(PLE.firstrow))),0,
           IF(OFFSET(PLE!$G$15,$M144-$A$15,CV$13)="",10^12,OFFSET(PLE!$G$15,$M144-$A$15,CV$13)))</f>
        <v>1000000000000</v>
      </c>
      <c r="CW144" s="172" cm="1">
        <f t="array" aca="1" ref="CW144" ca="1">IF(OR($D144&lt;&gt;"Serviço",AND(AUTOEVENTO="Manual",$M144=$A$15),$M144&gt;(ROW(PLE.lastrow)-ROW(PLE.firstrow))),0,
           IF(OFFSET(PLE!$G$15,$M144-$A$15,CW$13)="",10^12,OFFSET(PLE!$G$15,$M144-$A$15,CW$13)))</f>
        <v>1000000000000</v>
      </c>
      <c r="CX144" s="172" cm="1">
        <f t="array" aca="1" ref="CX144" ca="1">IF(OR($D144&lt;&gt;"Serviço",AND(AUTOEVENTO="Manual",$M144=$A$15),$M144&gt;(ROW(PLE.lastrow)-ROW(PLE.firstrow))),0,
           IF(OFFSET(PLE!$G$15,$M144-$A$15,CX$13)="",10^12,OFFSET(PLE!$G$15,$M144-$A$15,CX$13)))</f>
        <v>1000000000000</v>
      </c>
      <c r="CY144" s="172" cm="1">
        <f t="array" aca="1" ref="CY144" ca="1">IF(OR($D144&lt;&gt;"Serviço",AND(AUTOEVENTO="Manual",$M144=$A$15),$M144&gt;(ROW(PLE.lastrow)-ROW(PLE.firstrow))),0,
           IF(OFFSET(PLE!$G$15,$M144-$A$15,CY$13)="",10^12,OFFSET(PLE!$G$15,$M144-$A$15,CY$13)))</f>
        <v>1000000000000</v>
      </c>
      <c r="CZ144" s="172" cm="1">
        <f t="array" aca="1" ref="CZ144" ca="1">IF(OR($D144&lt;&gt;"Serviço",AND(AUTOEVENTO="Manual",$M144=$A$15),$M144&gt;(ROW(PLE.lastrow)-ROW(PLE.firstrow))),0,
           IF(OFFSET(PLE!$G$15,$M144-$A$15,CZ$13)="",10^12,OFFSET(PLE!$G$15,$M144-$A$15,CZ$13)))</f>
        <v>1000000000000</v>
      </c>
      <c r="DA144" s="172" cm="1">
        <f t="array" aca="1" ref="DA144" ca="1">IF(OR($D144&lt;&gt;"Serviço",AND(AUTOEVENTO="Manual",$M144=$A$15),$M144&gt;(ROW(PLE.lastrow)-ROW(PLE.firstrow))),0,
           IF(OFFSET(PLE!$G$15,$M144-$A$15,DA$13)="",10^12,OFFSET(PLE!$G$15,$M144-$A$15,DA$13)))</f>
        <v>1000000000000</v>
      </c>
      <c r="DB144" s="172" cm="1">
        <f t="array" aca="1" ref="DB144" ca="1">IF(OR($D144&lt;&gt;"Serviço",AND(AUTOEVENTO="Manual",$M144=$A$15),$M144&gt;(ROW(PLE.lastrow)-ROW(PLE.firstrow))),0,
           IF(OFFSET(PLE!$G$15,$M144-$A$15,DB$13)="",10^12,OFFSET(PLE!$G$15,$M144-$A$15,DB$13)))</f>
        <v>1000000000000</v>
      </c>
      <c r="DC144" s="172" cm="1">
        <f t="array" aca="1" ref="DC144" ca="1">IF(OR($D144&lt;&gt;"Serviço",AND(AUTOEVENTO="Manual",$M144=$A$15),$M144&gt;(ROW(PLE.lastrow)-ROW(PLE.firstrow))),0,
           IF(OFFSET(PLE!$G$15,$M144-$A$15,DC$13)="",10^12,OFFSET(PLE!$G$15,$M144-$A$15,DC$13)))</f>
        <v>1000000000000</v>
      </c>
      <c r="DD144" s="172" cm="1">
        <f t="array" aca="1" ref="DD144" ca="1">IF(OR($D144&lt;&gt;"Serviço",AND(AUTOEVENTO="Manual",$M144=$A$15),$M144&gt;(ROW(PLE.lastrow)-ROW(PLE.firstrow))),0,
           IF(OFFSET(PLE!$G$15,$M144-$A$15,DD$13)="",10^12,OFFSET(PLE!$G$15,$M144-$A$15,DD$13)))</f>
        <v>1000000000000</v>
      </c>
      <c r="DE144" s="172" cm="1">
        <f t="array" aca="1" ref="DE144" ca="1">IF(OR($D144&lt;&gt;"Serviço",AND(AUTOEVENTO="Manual",$M144=$A$15),$M144&gt;(ROW(PLE.lastrow)-ROW(PLE.firstrow))),0,
           IF(OFFSET(PLE!$G$15,$M144-$A$15,DE$13)="",10^12,OFFSET(PLE!$G$15,$M144-$A$15,DE$13)))</f>
        <v>1000000000000</v>
      </c>
      <c r="DF144" s="172" cm="1">
        <f t="array" aca="1" ref="DF144" ca="1">IF(OR($D144&lt;&gt;"Serviço",AND(AUTOEVENTO="Manual",$M144=$A$15),$M144&gt;(ROW(PLE.lastrow)-ROW(PLE.firstrow))),0,
           IF(OFFSET(PLE!$G$15,$M144-$A$15,DF$13)="",10^12,OFFSET(PLE!$G$15,$M144-$A$15,DF$13)))</f>
        <v>1000000000000</v>
      </c>
      <c r="DG144" s="172" cm="1">
        <f t="array" aca="1" ref="DG144" ca="1">IF(OR($D144&lt;&gt;"Serviço",AND(AUTOEVENTO="Manual",$M144=$A$15),$M144&gt;(ROW(PLE.lastrow)-ROW(PLE.firstrow))),0,
           IF(OFFSET(PLE!$G$15,$M144-$A$15,DG$13)="",10^12,OFFSET(PLE!$G$15,$M144-$A$15,DG$13)))</f>
        <v>1000000000000</v>
      </c>
      <c r="DH144" s="172" cm="1">
        <f t="array" aca="1" ref="DH144" ca="1">IF(OR($D144&lt;&gt;"Serviço",AND(AUTOEVENTO="Manual",$M144=$A$15),$M144&gt;(ROW(PLE.lastrow)-ROW(PLE.firstrow))),0,
           IF(OFFSET(PLE!$G$15,$M144-$A$15,DH$13)="",10^12,OFFSET(PLE!$G$15,$M144-$A$15,DH$13)))</f>
        <v>1000000000000</v>
      </c>
      <c r="DI144" s="172" cm="1">
        <f t="array" aca="1" ref="DI144" ca="1">IF(OR($D144&lt;&gt;"Serviço",AND(AUTOEVENTO="Manual",$M144=$A$15),$M144&gt;(ROW(PLE.lastrow)-ROW(PLE.firstrow))),0,
           IF(OFFSET(PLE!$G$15,$M144-$A$15,DI$13)="",10^12,OFFSET(PLE!$G$15,$M144-$A$15,DI$13)))</f>
        <v>1000000000000</v>
      </c>
      <c r="DJ144" s="172" cm="1">
        <f t="array" aca="1" ref="DJ144" ca="1">IF(OR($D144&lt;&gt;"Serviço",AND(AUTOEVENTO="Manual",$M144=$A$15),$M144&gt;(ROW(PLE.lastrow)-ROW(PLE.firstrow))),0,
           IF(OFFSET(PLE!$G$15,$M144-$A$15,DJ$13)="",10^12,OFFSET(PLE!$G$15,$M144-$A$15,DJ$13)))</f>
        <v>1000000000000</v>
      </c>
      <c r="DK144" s="172" cm="1">
        <f t="array" aca="1" ref="DK144" ca="1">IF(OR($D144&lt;&gt;"Serviço",AND(AUTOEVENTO="Manual",$M144=$A$15),$M144&gt;(ROW(PLE.lastrow)-ROW(PLE.firstrow))),0,
           IF(OFFSET(PLE!$G$15,$M144-$A$15,DK$13)="",10^12,OFFSET(PLE!$G$15,$M144-$A$15,DK$13)))</f>
        <v>1000000000000</v>
      </c>
      <c r="DL144" s="172" cm="1">
        <f t="array" aca="1" ref="DL144" ca="1">IF(OR($D144&lt;&gt;"Serviço",AND(AUTOEVENTO="Manual",$M144=$A$15),$M144&gt;(ROW(PLE.lastrow)-ROW(PLE.firstrow))),0,
           IF(OFFSET(PLE!$G$15,$M144-$A$15,DL$13)="",10^12,OFFSET(PLE!$G$15,$M144-$A$15,DL$13)))</f>
        <v>1000000000000</v>
      </c>
      <c r="DM144" s="172" cm="1">
        <f t="array" aca="1" ref="DM144" ca="1">IF(OR($D144&lt;&gt;"Serviço",AND(AUTOEVENTO="Manual",$M144=$A$15),$M144&gt;(ROW(PLE.lastrow)-ROW(PLE.firstrow))),0,
           IF(OFFSET(PLE!$G$15,$M144-$A$15,DM$13)="",10^12,OFFSET(PLE!$G$15,$M144-$A$15,DM$13)))</f>
        <v>1000000000000</v>
      </c>
      <c r="DN144" s="172" cm="1">
        <f t="array" aca="1" ref="DN144" ca="1">IF(OR($D144&lt;&gt;"Serviço",AND(AUTOEVENTO="Manual",$M144=$A$15),$M144&gt;(ROW(PLE.lastrow)-ROW(PLE.firstrow))),0,
           IF(OFFSET(PLE!$G$15,$M144-$A$15,DN$13)="",10^12,OFFSET(PLE!$G$15,$M144-$A$15,DN$13)))</f>
        <v>1000000000000</v>
      </c>
      <c r="DO144" s="172" cm="1">
        <f t="array" aca="1" ref="DO144" ca="1">IF(OR($D144&lt;&gt;"Serviço",AND(AUTOEVENTO="Manual",$M144=$A$15),$M144&gt;(ROW(PLE.lastrow)-ROW(PLE.firstrow))),0,
           IF(OFFSET(PLE!$G$15,$M144-$A$15,DO$13)="",10^12,OFFSET(PLE!$G$15,$M144-$A$15,DO$13)))</f>
        <v>1000000000000</v>
      </c>
      <c r="DP144" s="172" cm="1">
        <f t="array" aca="1" ref="DP144" ca="1">IF(OR($D144&lt;&gt;"Serviço",AND(AUTOEVENTO="Manual",$M144=$A$15),$M144&gt;(ROW(PLE.lastrow)-ROW(PLE.firstrow))),0,
           IF(OFFSET(PLE!$G$15,$M144-$A$15,DP$13)="",10^12,OFFSET(PLE!$G$15,$M144-$A$15,DP$13)))</f>
        <v>1000000000000</v>
      </c>
      <c r="DQ144" s="172" cm="1">
        <f t="array" aca="1" ref="DQ144" ca="1">IF(OR($D144&lt;&gt;"Serviço",AND(AUTOEVENTO="Manual",$M144=$A$15),$M144&gt;(ROW(PLE.lastrow)-ROW(PLE.firstrow))),0,
           IF(OFFSET(PLE!$G$15,$M144-$A$15,DQ$13)="",10^12,OFFSET(PLE!$G$15,$M144-$A$15,DQ$13)))</f>
        <v>1000000000000</v>
      </c>
      <c r="DR144" s="172" cm="1">
        <f t="array" aca="1" ref="DR144" ca="1">IF(OR($D144&lt;&gt;"Serviço",AND(AUTOEVENTO="Manual",$M144=$A$15),$M144&gt;(ROW(PLE.lastrow)-ROW(PLE.firstrow))),0,
           IF(OFFSET(PLE!$G$15,$M144-$A$15,DR$13)="",10^12,OFFSET(PLE!$G$15,$M144-$A$15,DR$13)))</f>
        <v>1000000000000</v>
      </c>
      <c r="DS144" s="172" cm="1">
        <f t="array" aca="1" ref="DS144" ca="1">IF(OR($D144&lt;&gt;"Serviço",AND(AUTOEVENTO="Manual",$M144=$A$15),$M144&gt;(ROW(PLE.lastrow)-ROW(PLE.firstrow))),0,
           IF(OFFSET(PLE!$G$15,$M144-$A$15,DS$13)="",10^12,OFFSET(PLE!$G$15,$M144-$A$15,DS$13)))</f>
        <v>1000000000000</v>
      </c>
    </row>
    <row r="145" spans="1:123" ht="25.5" x14ac:dyDescent="0.2">
      <c r="A145" s="7">
        <f t="shared" ca="1" si="15"/>
        <v>9</v>
      </c>
      <c r="B145" s="7" t="str">
        <f ca="1">OFFSET(ORÇAMENTO!C$15,$L145,0)</f>
        <v>S</v>
      </c>
      <c r="C145" s="7" t="str">
        <f ca="1">OFFSET(ORÇAMENTO!L$15,$L145,0)</f>
        <v/>
      </c>
      <c r="D145" s="116" t="str">
        <f ca="1">OFFSET(ORÇAMENTO!N$15,$L145,0)</f>
        <v>Serviço</v>
      </c>
      <c r="E145" s="117" t="str">
        <f ca="1">OFFSET(ORÇAMENTO!O$15,$L145,0)</f>
        <v>-</v>
      </c>
      <c r="F145" s="163" t="str">
        <f ca="1">OFFSET(ORÇAMENTO!R$15,$L145,0)</f>
        <v>(Código não identificado nas referências)</v>
      </c>
      <c r="G145" s="164" t="str">
        <f ca="1">IF($D145&lt;&gt;"Serviço","",OFFSET(ORÇAMENTO!S$15,$L145,0))</f>
        <v>-</v>
      </c>
      <c r="H145" s="122" cm="1">
        <f t="array" aca="1" ref="H145" ca="1">IF($D145&lt;&gt;"Serviço",0,IF(ACOMPANHAMENTO="BM",ROUND(OFFSET(ORÇAMENTO!AJ$15,$L145,0),15-13*ORÇAMENTO!$AF$7),IF(IFERROR(CÁLCULO.FrentesPreenchidas,0)=0,0,SUM(ROUND(OFFSET($P145,0,1,1,CÁLCULO.FrentesPreenchidas),15-13*ORÇAMENTO!$AF$7)))))</f>
        <v>20</v>
      </c>
      <c r="I145" s="468" t="s">
        <v>1235</v>
      </c>
      <c r="J145" s="651" t="str" cm="1">
        <f t="array" aca="1" ref="J145" ca="1">IF(OR(B145&lt;&gt;"S",CÁLCULO.FrentesPreenchidas=0),"",IF(AND(ACOMPANHAMENTO="PLE",AUTOEVENTO="Manual",OR(H145&gt;0,ORÇAMENTO!AC145="QUANT."),OR(K145="",M145=0,N145="")),"►E",IF(AND(ACOMPANHAMENTO="PLE",ORÇAMENTO!AC145="QUANT."),"►Q",IF(AND(ACOMPANHAMENTO="PLE",H145&lt;&gt;SUMPRODUCT(($Q$1:$AQ$1=1)*ROUND(Q145:AQ145,15))),"►S",IF(AND(COUNTIF($P$11:$AQ$11,"▼")=0,H145&gt;0,I145=""),"◄M","")))))</f>
        <v/>
      </c>
      <c r="K145" s="652" t="s">
        <v>1257</v>
      </c>
      <c r="L145" s="165">
        <f t="shared" ca="1" si="14"/>
        <v>130</v>
      </c>
      <c r="M145" s="166">
        <f ca="1">IF($D145&lt;&gt;"Serviço","",
          IF(AUTOEVENTO="manual",$A145,
                IF(ISERROR(MATCH($A145,$A$15:OFFSET($A145,-1,0),0)),MAX($M$15:OFFSET(M145,-1,0))+1,
                      INDEX($M$15:OFFSET(M145,-1,0),MATCH($A145,$A$15:OFFSET($A145,-1,0),0)))))</f>
        <v>9</v>
      </c>
      <c r="N145" s="167" t="str">
        <f ca="1">IF($D145&lt;&gt;"Serviço","",
         IF(AUTOEVENTO="Manual",
                IF($A145=0,"&lt;-- defina o número do agrupador",
                       OFFSET(EVENTOS!$D$15,$A145-$A$15,0)),
                OFFSET($F$15,$A145,0)))</f>
        <v>INSTALAÇÕES</v>
      </c>
      <c r="O145" s="168"/>
      <c r="Q145" s="168">
        <v>1</v>
      </c>
      <c r="R145" s="169">
        <v>1</v>
      </c>
      <c r="S145" s="169">
        <v>1</v>
      </c>
      <c r="T145" s="169">
        <v>1</v>
      </c>
      <c r="U145" s="169">
        <v>1</v>
      </c>
      <c r="V145" s="169">
        <v>1</v>
      </c>
      <c r="W145" s="169">
        <v>1</v>
      </c>
      <c r="X145" s="169">
        <v>1</v>
      </c>
      <c r="Y145" s="169">
        <v>1</v>
      </c>
      <c r="Z145" s="170">
        <v>1</v>
      </c>
      <c r="AA145" s="169">
        <v>1</v>
      </c>
      <c r="AB145" s="169">
        <v>1</v>
      </c>
      <c r="AC145" s="169">
        <v>1</v>
      </c>
      <c r="AD145" s="169">
        <v>1</v>
      </c>
      <c r="AE145" s="169">
        <v>1</v>
      </c>
      <c r="AF145" s="169">
        <v>1</v>
      </c>
      <c r="AG145" s="169">
        <v>1</v>
      </c>
      <c r="AH145" s="170">
        <v>1</v>
      </c>
      <c r="AI145" s="169">
        <v>1</v>
      </c>
      <c r="AJ145" s="169">
        <v>1</v>
      </c>
      <c r="AK145" s="169"/>
      <c r="AL145" s="169"/>
      <c r="AM145" s="169"/>
      <c r="AN145" s="169"/>
      <c r="AO145" s="169"/>
      <c r="AP145" s="170"/>
      <c r="AR145" s="453">
        <f ca="1">IF(AND($D145="Serviço",AR$12&lt;&gt;0,$H145&gt;0,OR(AUTOEVENTO&lt;&gt;"manual",$M145&lt;&gt;$A$15)),
        IF(Import.TipoArredondamento&lt;&gt;"TransfereGOV",
              ROUND(OFFSET($P145,0,AR$13),15-13*ORÇAMENTO!$AF$7)/$H145*OFFSET(ORÇAMENTO!$X$15,ROW(AR145)-ROW(AR$15),0),
              ROUND(ROUND(OFFSET($P145,0,AR$13),15-13*ORÇAMENTO!$AF$7)*OFFSET(ORÇAMENTO!$W$15,ROW(AR145)-ROW(AR$15),0),15-13*ORÇAMENTO!$AF$11)),
         0)</f>
        <v>0</v>
      </c>
      <c r="AS145" s="453">
        <f ca="1">IF(AND($D145="Serviço",AS$12&lt;&gt;0,$H145&gt;0,OR(AUTOEVENTO&lt;&gt;"manual",$M145&lt;&gt;$A$15)),
        IF(Import.TipoArredondamento&lt;&gt;"TransfereGOV",
              ROUND(OFFSET($P145,0,AS$13),15-13*ORÇAMENTO!$AF$7)/$H145*OFFSET(ORÇAMENTO!$X$15,ROW(AS145)-ROW(AS$15),0),
              ROUND(ROUND(OFFSET($P145,0,AS$13),15-13*ORÇAMENTO!$AF$7)*OFFSET(ORÇAMENTO!$W$15,ROW(AS145)-ROW(AS$15),0),15-13*ORÇAMENTO!$AF$11)),
         0)</f>
        <v>0</v>
      </c>
      <c r="AT145" s="453">
        <f ca="1">IF(AND($D145="Serviço",AT$12&lt;&gt;0,$H145&gt;0,OR(AUTOEVENTO&lt;&gt;"manual",$M145&lt;&gt;$A$15)),
        IF(Import.TipoArredondamento&lt;&gt;"TransfereGOV",
              ROUND(OFFSET($P145,0,AT$13),15-13*ORÇAMENTO!$AF$7)/$H145*OFFSET(ORÇAMENTO!$X$15,ROW(AT145)-ROW(AT$15),0),
              ROUND(ROUND(OFFSET($P145,0,AT$13),15-13*ORÇAMENTO!$AF$7)*OFFSET(ORÇAMENTO!$W$15,ROW(AT145)-ROW(AT$15),0),15-13*ORÇAMENTO!$AF$11)),
         0)</f>
        <v>0</v>
      </c>
      <c r="AU145" s="453">
        <f ca="1">IF(AND($D145="Serviço",AU$12&lt;&gt;0,$H145&gt;0,OR(AUTOEVENTO&lt;&gt;"manual",$M145&lt;&gt;$A$15)),
        IF(Import.TipoArredondamento&lt;&gt;"TransfereGOV",
              ROUND(OFFSET($P145,0,AU$13),15-13*ORÇAMENTO!$AF$7)/$H145*OFFSET(ORÇAMENTO!$X$15,ROW(AU145)-ROW(AU$15),0),
              ROUND(ROUND(OFFSET($P145,0,AU$13),15-13*ORÇAMENTO!$AF$7)*OFFSET(ORÇAMENTO!$W$15,ROW(AU145)-ROW(AU$15),0),15-13*ORÇAMENTO!$AF$11)),
         0)</f>
        <v>0</v>
      </c>
      <c r="AV145" s="453">
        <f ca="1">IF(AND($D145="Serviço",AV$12&lt;&gt;0,$H145&gt;0,OR(AUTOEVENTO&lt;&gt;"manual",$M145&lt;&gt;$A$15)),
        IF(Import.TipoArredondamento&lt;&gt;"TransfereGOV",
              ROUND(OFFSET($P145,0,AV$13),15-13*ORÇAMENTO!$AF$7)/$H145*OFFSET(ORÇAMENTO!$X$15,ROW(AV145)-ROW(AV$15),0),
              ROUND(ROUND(OFFSET($P145,0,AV$13),15-13*ORÇAMENTO!$AF$7)*OFFSET(ORÇAMENTO!$W$15,ROW(AV145)-ROW(AV$15),0),15-13*ORÇAMENTO!$AF$11)),
         0)</f>
        <v>0</v>
      </c>
      <c r="AW145" s="453">
        <f ca="1">IF(AND($D145="Serviço",AW$12&lt;&gt;0,$H145&gt;0,OR(AUTOEVENTO&lt;&gt;"manual",$M145&lt;&gt;$A$15)),
        IF(Import.TipoArredondamento&lt;&gt;"TransfereGOV",
              ROUND(OFFSET($P145,0,AW$13),15-13*ORÇAMENTO!$AF$7)/$H145*OFFSET(ORÇAMENTO!$X$15,ROW(AW145)-ROW(AW$15),0),
              ROUND(ROUND(OFFSET($P145,0,AW$13),15-13*ORÇAMENTO!$AF$7)*OFFSET(ORÇAMENTO!$W$15,ROW(AW145)-ROW(AW$15),0),15-13*ORÇAMENTO!$AF$11)),
         0)</f>
        <v>0</v>
      </c>
      <c r="AX145" s="453">
        <f ca="1">IF(AND($D145="Serviço",AX$12&lt;&gt;0,$H145&gt;0,OR(AUTOEVENTO&lt;&gt;"manual",$M145&lt;&gt;$A$15)),
        IF(Import.TipoArredondamento&lt;&gt;"TransfereGOV",
              ROUND(OFFSET($P145,0,AX$13),15-13*ORÇAMENTO!$AF$7)/$H145*OFFSET(ORÇAMENTO!$X$15,ROW(AX145)-ROW(AX$15),0),
              ROUND(ROUND(OFFSET($P145,0,AX$13),15-13*ORÇAMENTO!$AF$7)*OFFSET(ORÇAMENTO!$W$15,ROW(AX145)-ROW(AX$15),0),15-13*ORÇAMENTO!$AF$11)),
         0)</f>
        <v>0</v>
      </c>
      <c r="AY145" s="453">
        <f ca="1">IF(AND($D145="Serviço",AY$12&lt;&gt;0,$H145&gt;0,OR(AUTOEVENTO&lt;&gt;"manual",$M145&lt;&gt;$A$15)),
        IF(Import.TipoArredondamento&lt;&gt;"TransfereGOV",
              ROUND(OFFSET($P145,0,AY$13),15-13*ORÇAMENTO!$AF$7)/$H145*OFFSET(ORÇAMENTO!$X$15,ROW(AY145)-ROW(AY$15),0),
              ROUND(ROUND(OFFSET($P145,0,AY$13),15-13*ORÇAMENTO!$AF$7)*OFFSET(ORÇAMENTO!$W$15,ROW(AY145)-ROW(AY$15),0),15-13*ORÇAMENTO!$AF$11)),
         0)</f>
        <v>0</v>
      </c>
      <c r="AZ145" s="453">
        <f ca="1">IF(AND($D145="Serviço",AZ$12&lt;&gt;0,$H145&gt;0,OR(AUTOEVENTO&lt;&gt;"manual",$M145&lt;&gt;$A$15)),
        IF(Import.TipoArredondamento&lt;&gt;"TransfereGOV",
              ROUND(OFFSET($P145,0,AZ$13),15-13*ORÇAMENTO!$AF$7)/$H145*OFFSET(ORÇAMENTO!$X$15,ROW(AZ145)-ROW(AZ$15),0),
              ROUND(ROUND(OFFSET($P145,0,AZ$13),15-13*ORÇAMENTO!$AF$7)*OFFSET(ORÇAMENTO!$W$15,ROW(AZ145)-ROW(AZ$15),0),15-13*ORÇAMENTO!$AF$11)),
         0)</f>
        <v>0</v>
      </c>
      <c r="BA145" s="453">
        <f ca="1">IF(AND($D145="Serviço",BA$12&lt;&gt;0,$H145&gt;0,OR(AUTOEVENTO&lt;&gt;"manual",$M145&lt;&gt;$A$15)),
        IF(Import.TipoArredondamento&lt;&gt;"TransfereGOV",
              ROUND(OFFSET($P145,0,BA$13),15-13*ORÇAMENTO!$AF$7)/$H145*OFFSET(ORÇAMENTO!$X$15,ROW(BA145)-ROW(BA$15),0),
              ROUND(ROUND(OFFSET($P145,0,BA$13),15-13*ORÇAMENTO!$AF$7)*OFFSET(ORÇAMENTO!$W$15,ROW(BA145)-ROW(BA$15),0),15-13*ORÇAMENTO!$AF$11)),
         0)</f>
        <v>0</v>
      </c>
      <c r="BB145" s="453">
        <f ca="1">IF(AND($D145="Serviço",BB$12&lt;&gt;0,$H145&gt;0,OR(AUTOEVENTO&lt;&gt;"manual",$M145&lt;&gt;$A$15)),
        IF(Import.TipoArredondamento&lt;&gt;"TransfereGOV",
              ROUND(OFFSET($P145,0,BB$13),15-13*ORÇAMENTO!$AF$7)/$H145*OFFSET(ORÇAMENTO!$X$15,ROW(BB145)-ROW(BB$15),0),
              ROUND(ROUND(OFFSET($P145,0,BB$13),15-13*ORÇAMENTO!$AF$7)*OFFSET(ORÇAMENTO!$W$15,ROW(BB145)-ROW(BB$15),0),15-13*ORÇAMENTO!$AF$11)),
         0)</f>
        <v>0</v>
      </c>
      <c r="BC145" s="453">
        <f ca="1">IF(AND($D145="Serviço",BC$12&lt;&gt;0,$H145&gt;0,OR(AUTOEVENTO&lt;&gt;"manual",$M145&lt;&gt;$A$15)),
        IF(Import.TipoArredondamento&lt;&gt;"TransfereGOV",
              ROUND(OFFSET($P145,0,BC$13),15-13*ORÇAMENTO!$AF$7)/$H145*OFFSET(ORÇAMENTO!$X$15,ROW(BC145)-ROW(BC$15),0),
              ROUND(ROUND(OFFSET($P145,0,BC$13),15-13*ORÇAMENTO!$AF$7)*OFFSET(ORÇAMENTO!$W$15,ROW(BC145)-ROW(BC$15),0),15-13*ORÇAMENTO!$AF$11)),
         0)</f>
        <v>0</v>
      </c>
      <c r="BD145" s="453">
        <f ca="1">IF(AND($D145="Serviço",BD$12&lt;&gt;0,$H145&gt;0,OR(AUTOEVENTO&lt;&gt;"manual",$M145&lt;&gt;$A$15)),
        IF(Import.TipoArredondamento&lt;&gt;"TransfereGOV",
              ROUND(OFFSET($P145,0,BD$13),15-13*ORÇAMENTO!$AF$7)/$H145*OFFSET(ORÇAMENTO!$X$15,ROW(BD145)-ROW(BD$15),0),
              ROUND(ROUND(OFFSET($P145,0,BD$13),15-13*ORÇAMENTO!$AF$7)*OFFSET(ORÇAMENTO!$W$15,ROW(BD145)-ROW(BD$15),0),15-13*ORÇAMENTO!$AF$11)),
         0)</f>
        <v>0</v>
      </c>
      <c r="BE145" s="453">
        <f ca="1">IF(AND($D145="Serviço",BE$12&lt;&gt;0,$H145&gt;0,OR(AUTOEVENTO&lt;&gt;"manual",$M145&lt;&gt;$A$15)),
        IF(Import.TipoArredondamento&lt;&gt;"TransfereGOV",
              ROUND(OFFSET($P145,0,BE$13),15-13*ORÇAMENTO!$AF$7)/$H145*OFFSET(ORÇAMENTO!$X$15,ROW(BE145)-ROW(BE$15),0),
              ROUND(ROUND(OFFSET($P145,0,BE$13),15-13*ORÇAMENTO!$AF$7)*OFFSET(ORÇAMENTO!$W$15,ROW(BE145)-ROW(BE$15),0),15-13*ORÇAMENTO!$AF$11)),
         0)</f>
        <v>0</v>
      </c>
      <c r="BF145" s="453">
        <f ca="1">IF(AND($D145="Serviço",BF$12&lt;&gt;0,$H145&gt;0,OR(AUTOEVENTO&lt;&gt;"manual",$M145&lt;&gt;$A$15)),
        IF(Import.TipoArredondamento&lt;&gt;"TransfereGOV",
              ROUND(OFFSET($P145,0,BF$13),15-13*ORÇAMENTO!$AF$7)/$H145*OFFSET(ORÇAMENTO!$X$15,ROW(BF145)-ROW(BF$15),0),
              ROUND(ROUND(OFFSET($P145,0,BF$13),15-13*ORÇAMENTO!$AF$7)*OFFSET(ORÇAMENTO!$W$15,ROW(BF145)-ROW(BF$15),0),15-13*ORÇAMENTO!$AF$11)),
         0)</f>
        <v>0</v>
      </c>
      <c r="BG145" s="453">
        <f ca="1">IF(AND($D145="Serviço",BG$12&lt;&gt;0,$H145&gt;0,OR(AUTOEVENTO&lt;&gt;"manual",$M145&lt;&gt;$A$15)),
        IF(Import.TipoArredondamento&lt;&gt;"TransfereGOV",
              ROUND(OFFSET($P145,0,BG$13),15-13*ORÇAMENTO!$AF$7)/$H145*OFFSET(ORÇAMENTO!$X$15,ROW(BG145)-ROW(BG$15),0),
              ROUND(ROUND(OFFSET($P145,0,BG$13),15-13*ORÇAMENTO!$AF$7)*OFFSET(ORÇAMENTO!$W$15,ROW(BG145)-ROW(BG$15),0),15-13*ORÇAMENTO!$AF$11)),
         0)</f>
        <v>0</v>
      </c>
      <c r="BH145" s="453">
        <f ca="1">IF(AND($D145="Serviço",BH$12&lt;&gt;0,$H145&gt;0,OR(AUTOEVENTO&lt;&gt;"manual",$M145&lt;&gt;$A$15)),
        IF(Import.TipoArredondamento&lt;&gt;"TransfereGOV",
              ROUND(OFFSET($P145,0,BH$13),15-13*ORÇAMENTO!$AF$7)/$H145*OFFSET(ORÇAMENTO!$X$15,ROW(BH145)-ROW(BH$15),0),
              ROUND(ROUND(OFFSET($P145,0,BH$13),15-13*ORÇAMENTO!$AF$7)*OFFSET(ORÇAMENTO!$W$15,ROW(BH145)-ROW(BH$15),0),15-13*ORÇAMENTO!$AF$11)),
         0)</f>
        <v>0</v>
      </c>
      <c r="BI145" s="453">
        <f ca="1">IF(AND($D145="Serviço",BI$12&lt;&gt;0,$H145&gt;0,OR(AUTOEVENTO&lt;&gt;"manual",$M145&lt;&gt;$A$15)),
        IF(Import.TipoArredondamento&lt;&gt;"TransfereGOV",
              ROUND(OFFSET($P145,0,BI$13),15-13*ORÇAMENTO!$AF$7)/$H145*OFFSET(ORÇAMENTO!$X$15,ROW(BI145)-ROW(BI$15),0),
              ROUND(ROUND(OFFSET($P145,0,BI$13),15-13*ORÇAMENTO!$AF$7)*OFFSET(ORÇAMENTO!$W$15,ROW(BI145)-ROW(BI$15),0),15-13*ORÇAMENTO!$AF$11)),
         0)</f>
        <v>0</v>
      </c>
      <c r="BJ145" s="453">
        <f ca="1">IF(AND($D145="Serviço",BJ$12&lt;&gt;0,$H145&gt;0,OR(AUTOEVENTO&lt;&gt;"manual",$M145&lt;&gt;$A$15)),
        IF(Import.TipoArredondamento&lt;&gt;"TransfereGOV",
              ROUND(OFFSET($P145,0,BJ$13),15-13*ORÇAMENTO!$AF$7)/$H145*OFFSET(ORÇAMENTO!$X$15,ROW(BJ145)-ROW(BJ$15),0),
              ROUND(ROUND(OFFSET($P145,0,BJ$13),15-13*ORÇAMENTO!$AF$7)*OFFSET(ORÇAMENTO!$W$15,ROW(BJ145)-ROW(BJ$15),0),15-13*ORÇAMENTO!$AF$11)),
         0)</f>
        <v>0</v>
      </c>
      <c r="BK145" s="453">
        <f ca="1">IF(AND($D145="Serviço",BK$12&lt;&gt;0,$H145&gt;0,OR(AUTOEVENTO&lt;&gt;"manual",$M145&lt;&gt;$A$15)),
        IF(Import.TipoArredondamento&lt;&gt;"TransfereGOV",
              ROUND(OFFSET($P145,0,BK$13),15-13*ORÇAMENTO!$AF$7)/$H145*OFFSET(ORÇAMENTO!$X$15,ROW(BK145)-ROW(BK$15),0),
              ROUND(ROUND(OFFSET($P145,0,BK$13),15-13*ORÇAMENTO!$AF$7)*OFFSET(ORÇAMENTO!$W$15,ROW(BK145)-ROW(BK$15),0),15-13*ORÇAMENTO!$AF$11)),
         0)</f>
        <v>0</v>
      </c>
      <c r="BL145" s="453">
        <f ca="1">IF(AND($D145="Serviço",BL$12&lt;&gt;0,$H145&gt;0,OR(AUTOEVENTO&lt;&gt;"manual",$M145&lt;&gt;$A$15)),
        IF(Import.TipoArredondamento&lt;&gt;"TransfereGOV",
              ROUND(OFFSET($P145,0,BL$13),15-13*ORÇAMENTO!$AF$7)/$H145*OFFSET(ORÇAMENTO!$X$15,ROW(BL145)-ROW(BL$15),0),
              ROUND(ROUND(OFFSET($P145,0,BL$13),15-13*ORÇAMENTO!$AF$7)*OFFSET(ORÇAMENTO!$W$15,ROW(BL145)-ROW(BL$15),0),15-13*ORÇAMENTO!$AF$11)),
         0)</f>
        <v>0</v>
      </c>
      <c r="BM145" s="453">
        <f ca="1">IF(AND($D145="Serviço",BM$12&lt;&gt;0,$H145&gt;0,OR(AUTOEVENTO&lt;&gt;"manual",$M145&lt;&gt;$A$15)),
        IF(Import.TipoArredondamento&lt;&gt;"TransfereGOV",
              ROUND(OFFSET($P145,0,BM$13),15-13*ORÇAMENTO!$AF$7)/$H145*OFFSET(ORÇAMENTO!$X$15,ROW(BM145)-ROW(BM$15),0),
              ROUND(ROUND(OFFSET($P145,0,BM$13),15-13*ORÇAMENTO!$AF$7)*OFFSET(ORÇAMENTO!$W$15,ROW(BM145)-ROW(BM$15),0),15-13*ORÇAMENTO!$AF$11)),
         0)</f>
        <v>0</v>
      </c>
      <c r="BN145" s="453">
        <f ca="1">IF(AND($D145="Serviço",BN$12&lt;&gt;0,$H145&gt;0,OR(AUTOEVENTO&lt;&gt;"manual",$M145&lt;&gt;$A$15)),
        IF(Import.TipoArredondamento&lt;&gt;"TransfereGOV",
              ROUND(OFFSET($P145,0,BN$13),15-13*ORÇAMENTO!$AF$7)/$H145*OFFSET(ORÇAMENTO!$X$15,ROW(BN145)-ROW(BN$15),0),
              ROUND(ROUND(OFFSET($P145,0,BN$13),15-13*ORÇAMENTO!$AF$7)*OFFSET(ORÇAMENTO!$W$15,ROW(BN145)-ROW(BN$15),0),15-13*ORÇAMENTO!$AF$11)),
         0)</f>
        <v>0</v>
      </c>
      <c r="BO145" s="453">
        <f ca="1">IF(AND($D145="Serviço",BO$12&lt;&gt;0,$H145&gt;0,OR(AUTOEVENTO&lt;&gt;"manual",$M145&lt;&gt;$A$15)),
        IF(Import.TipoArredondamento&lt;&gt;"TransfereGOV",
              ROUND(OFFSET($P145,0,BO$13),15-13*ORÇAMENTO!$AF$7)/$H145*OFFSET(ORÇAMENTO!$X$15,ROW(BO145)-ROW(BO$15),0),
              ROUND(ROUND(OFFSET($P145,0,BO$13),15-13*ORÇAMENTO!$AF$7)*OFFSET(ORÇAMENTO!$W$15,ROW(BO145)-ROW(BO$15),0),15-13*ORÇAMENTO!$AF$11)),
         0)</f>
        <v>0</v>
      </c>
      <c r="BP145" s="453">
        <f ca="1">IF(AND($D145="Serviço",BP$12&lt;&gt;0,$H145&gt;0,OR(AUTOEVENTO&lt;&gt;"manual",$M145&lt;&gt;$A$15)),
        IF(Import.TipoArredondamento&lt;&gt;"TransfereGOV",
              ROUND(OFFSET($P145,0,BP$13),15-13*ORÇAMENTO!$AF$7)/$H145*OFFSET(ORÇAMENTO!$X$15,ROW(BP145)-ROW(BP$15),0),
              ROUND(ROUND(OFFSET($P145,0,BP$13),15-13*ORÇAMENTO!$AF$7)*OFFSET(ORÇAMENTO!$W$15,ROW(BP145)-ROW(BP$15),0),15-13*ORÇAMENTO!$AF$11)),
         0)</f>
        <v>0</v>
      </c>
      <c r="BQ145" s="453">
        <f ca="1">IF(AND($D145="Serviço",BQ$12&lt;&gt;0,$H145&gt;0,OR(AUTOEVENTO&lt;&gt;"manual",$M145&lt;&gt;$A$15)),
        IF(Import.TipoArredondamento&lt;&gt;"TransfereGOV",
              ROUND(OFFSET($P145,0,BQ$13),15-13*ORÇAMENTO!$AF$7)/$H145*OFFSET(ORÇAMENTO!$X$15,ROW(BQ145)-ROW(BQ$15),0),
              ROUND(ROUND(OFFSET($P145,0,BQ$13),15-13*ORÇAMENTO!$AF$7)*OFFSET(ORÇAMENTO!$W$15,ROW(BQ145)-ROW(BQ$15),0),15-13*ORÇAMENTO!$AF$11)),
         0)</f>
        <v>0</v>
      </c>
      <c r="BS145" s="171">
        <f ca="1">IF(OR($D145&lt;&gt;"Serviço",AND(AUTOEVENTO="Manual",$M145=$A$15)),0,
         IF(OFFSET(CRONOPLE!$F$15,$M145-$A$15,BS$13)=0,10^12,OFFSET(CRONOPLE!$F$15,$M145-$A$15,BS$13)))</f>
        <v>1</v>
      </c>
      <c r="BT145" s="171">
        <f ca="1">IF(OR($D145&lt;&gt;"Serviço",AND(AUTOEVENTO="Manual",$M145=$A$15)),0,
         IF(OFFSET(CRONOPLE!$F$15,$M145-$A$15,BT$13)=0,10^12,OFFSET(CRONOPLE!$F$15,$M145-$A$15,BT$13)))</f>
        <v>2</v>
      </c>
      <c r="BU145" s="171">
        <f ca="1">IF(OR($D145&lt;&gt;"Serviço",AND(AUTOEVENTO="Manual",$M145=$A$15)),0,
         IF(OFFSET(CRONOPLE!$F$15,$M145-$A$15,BU$13)=0,10^12,OFFSET(CRONOPLE!$F$15,$M145-$A$15,BU$13)))</f>
        <v>3</v>
      </c>
      <c r="BV145" s="171">
        <f ca="1">IF(OR($D145&lt;&gt;"Serviço",AND(AUTOEVENTO="Manual",$M145=$A$15)),0,
         IF(OFFSET(CRONOPLE!$F$15,$M145-$A$15,BV$13)=0,10^12,OFFSET(CRONOPLE!$F$15,$M145-$A$15,BV$13)))</f>
        <v>4</v>
      </c>
      <c r="BW145" s="171">
        <f ca="1">IF(OR($D145&lt;&gt;"Serviço",AND(AUTOEVENTO="Manual",$M145=$A$15)),0,
         IF(OFFSET(CRONOPLE!$F$15,$M145-$A$15,BW$13)=0,10^12,OFFSET(CRONOPLE!$F$15,$M145-$A$15,BW$13)))</f>
        <v>5</v>
      </c>
      <c r="BX145" s="171">
        <f ca="1">IF(OR($D145&lt;&gt;"Serviço",AND(AUTOEVENTO="Manual",$M145=$A$15)),0,
         IF(OFFSET(CRONOPLE!$F$15,$M145-$A$15,BX$13)=0,10^12,OFFSET(CRONOPLE!$F$15,$M145-$A$15,BX$13)))</f>
        <v>6</v>
      </c>
      <c r="BY145" s="171">
        <f ca="1">IF(OR($D145&lt;&gt;"Serviço",AND(AUTOEVENTO="Manual",$M145=$A$15)),0,
         IF(OFFSET(CRONOPLE!$F$15,$M145-$A$15,BY$13)=0,10^12,OFFSET(CRONOPLE!$F$15,$M145-$A$15,BY$13)))</f>
        <v>7</v>
      </c>
      <c r="BZ145" s="171">
        <f ca="1">IF(OR($D145&lt;&gt;"Serviço",AND(AUTOEVENTO="Manual",$M145=$A$15)),0,
         IF(OFFSET(CRONOPLE!$F$15,$M145-$A$15,BZ$13)=0,10^12,OFFSET(CRONOPLE!$F$15,$M145-$A$15,BZ$13)))</f>
        <v>8</v>
      </c>
      <c r="CA145" s="171">
        <f ca="1">IF(OR($D145&lt;&gt;"Serviço",AND(AUTOEVENTO="Manual",$M145=$A$15)),0,
         IF(OFFSET(CRONOPLE!$F$15,$M145-$A$15,CA$13)=0,10^12,OFFSET(CRONOPLE!$F$15,$M145-$A$15,CA$13)))</f>
        <v>9</v>
      </c>
      <c r="CB145" s="171">
        <f ca="1">IF(OR($D145&lt;&gt;"Serviço",AND(AUTOEVENTO="Manual",$M145=$A$15)),0,
         IF(OFFSET(CRONOPLE!$F$15,$M145-$A$15,CB$13)=0,10^12,OFFSET(CRONOPLE!$F$15,$M145-$A$15,CB$13)))</f>
        <v>10</v>
      </c>
      <c r="CC145" s="171">
        <f ca="1">IF(OR($D145&lt;&gt;"Serviço",AND(AUTOEVENTO="Manual",$M145=$A$15)),0,
         IF(OFFSET(CRONOPLE!$F$15,$M145-$A$15,CC$13)=0,10^12,OFFSET(CRONOPLE!$F$15,$M145-$A$15,CC$13)))</f>
        <v>11</v>
      </c>
      <c r="CD145" s="171">
        <f ca="1">IF(OR($D145&lt;&gt;"Serviço",AND(AUTOEVENTO="Manual",$M145=$A$15)),0,
         IF(OFFSET(CRONOPLE!$F$15,$M145-$A$15,CD$13)=0,10^12,OFFSET(CRONOPLE!$F$15,$M145-$A$15,CD$13)))</f>
        <v>12</v>
      </c>
      <c r="CE145" s="171">
        <f ca="1">IF(OR($D145&lt;&gt;"Serviço",AND(AUTOEVENTO="Manual",$M145=$A$15)),0,
         IF(OFFSET(CRONOPLE!$F$15,$M145-$A$15,CE$13)=0,10^12,OFFSET(CRONOPLE!$F$15,$M145-$A$15,CE$13)))</f>
        <v>13</v>
      </c>
      <c r="CF145" s="171">
        <f ca="1">IF(OR($D145&lt;&gt;"Serviço",AND(AUTOEVENTO="Manual",$M145=$A$15)),0,
         IF(OFFSET(CRONOPLE!$F$15,$M145-$A$15,CF$13)=0,10^12,OFFSET(CRONOPLE!$F$15,$M145-$A$15,CF$13)))</f>
        <v>14</v>
      </c>
      <c r="CG145" s="171">
        <f ca="1">IF(OR($D145&lt;&gt;"Serviço",AND(AUTOEVENTO="Manual",$M145=$A$15)),0,
         IF(OFFSET(CRONOPLE!$F$15,$M145-$A$15,CG$13)=0,10^12,OFFSET(CRONOPLE!$F$15,$M145-$A$15,CG$13)))</f>
        <v>15</v>
      </c>
      <c r="CH145" s="171">
        <f ca="1">IF(OR($D145&lt;&gt;"Serviço",AND(AUTOEVENTO="Manual",$M145=$A$15)),0,
         IF(OFFSET(CRONOPLE!$F$15,$M145-$A$15,CH$13)=0,10^12,OFFSET(CRONOPLE!$F$15,$M145-$A$15,CH$13)))</f>
        <v>16</v>
      </c>
      <c r="CI145" s="171">
        <f ca="1">IF(OR($D145&lt;&gt;"Serviço",AND(AUTOEVENTO="Manual",$M145=$A$15)),0,
         IF(OFFSET(CRONOPLE!$F$15,$M145-$A$15,CI$13)=0,10^12,OFFSET(CRONOPLE!$F$15,$M145-$A$15,CI$13)))</f>
        <v>17</v>
      </c>
      <c r="CJ145" s="171">
        <f ca="1">IF(OR($D145&lt;&gt;"Serviço",AND(AUTOEVENTO="Manual",$M145=$A$15)),0,
         IF(OFFSET(CRONOPLE!$F$15,$M145-$A$15,CJ$13)=0,10^12,OFFSET(CRONOPLE!$F$15,$M145-$A$15,CJ$13)))</f>
        <v>18</v>
      </c>
      <c r="CK145" s="171">
        <f ca="1">IF(OR($D145&lt;&gt;"Serviço",AND(AUTOEVENTO="Manual",$M145=$A$15)),0,
         IF(OFFSET(CRONOPLE!$F$15,$M145-$A$15,CK$13)=0,10^12,OFFSET(CRONOPLE!$F$15,$M145-$A$15,CK$13)))</f>
        <v>19</v>
      </c>
      <c r="CL145" s="171">
        <f ca="1">IF(OR($D145&lt;&gt;"Serviço",AND(AUTOEVENTO="Manual",$M145=$A$15)),0,
         IF(OFFSET(CRONOPLE!$F$15,$M145-$A$15,CL$13)=0,10^12,OFFSET(CRONOPLE!$F$15,$M145-$A$15,CL$13)))</f>
        <v>20</v>
      </c>
      <c r="CM145" s="171">
        <f ca="1">IF(OR($D145&lt;&gt;"Serviço",AND(AUTOEVENTO="Manual",$M145=$A$15)),0,
         IF(OFFSET(CRONOPLE!$F$15,$M145-$A$15,CM$13)=0,10^12,OFFSET(CRONOPLE!$F$15,$M145-$A$15,CM$13)))</f>
        <v>1000000000000</v>
      </c>
      <c r="CN145" s="171">
        <f ca="1">IF(OR($D145&lt;&gt;"Serviço",AND(AUTOEVENTO="Manual",$M145=$A$15)),0,
         IF(OFFSET(CRONOPLE!$F$15,$M145-$A$15,CN$13)=0,10^12,OFFSET(CRONOPLE!$F$15,$M145-$A$15,CN$13)))</f>
        <v>1000000000000</v>
      </c>
      <c r="CO145" s="171">
        <f ca="1">IF(OR($D145&lt;&gt;"Serviço",AND(AUTOEVENTO="Manual",$M145=$A$15)),0,
         IF(OFFSET(CRONOPLE!$F$15,$M145-$A$15,CO$13)=0,10^12,OFFSET(CRONOPLE!$F$15,$M145-$A$15,CO$13)))</f>
        <v>1000000000000</v>
      </c>
      <c r="CP145" s="171">
        <f ca="1">IF(OR($D145&lt;&gt;"Serviço",AND(AUTOEVENTO="Manual",$M145=$A$15)),0,
         IF(OFFSET(CRONOPLE!$F$15,$M145-$A$15,CP$13)=0,10^12,OFFSET(CRONOPLE!$F$15,$M145-$A$15,CP$13)))</f>
        <v>1000000000000</v>
      </c>
      <c r="CQ145" s="171">
        <f ca="1">IF(OR($D145&lt;&gt;"Serviço",AND(AUTOEVENTO="Manual",$M145=$A$15)),0,
         IF(OFFSET(CRONOPLE!$F$15,$M145-$A$15,CQ$13)=0,10^12,OFFSET(CRONOPLE!$F$15,$M145-$A$15,CQ$13)))</f>
        <v>1000000000000</v>
      </c>
      <c r="CR145" s="171">
        <f ca="1">IF(OR($D145&lt;&gt;"Serviço",AND(AUTOEVENTO="Manual",$M145=$A$15)),0,
         IF(OFFSET(CRONOPLE!$F$15,$M145-$A$15,CR$13)=0,10^12,OFFSET(CRONOPLE!$F$15,$M145-$A$15,CR$13)))</f>
        <v>1000000000000</v>
      </c>
      <c r="CT145" s="172" cm="1">
        <f t="array" aca="1" ref="CT145" ca="1">IF(OR($D145&lt;&gt;"Serviço",AND(AUTOEVENTO="Manual",$M145=$A$15),$M145&gt;(ROW(PLE.lastrow)-ROW(PLE.firstrow))),0,
           IF(OFFSET(PLE!$G$15,$M145-$A$15,CT$13)="",10^12,OFFSET(PLE!$G$15,$M145-$A$15,CT$13)))</f>
        <v>1000000000000</v>
      </c>
      <c r="CU145" s="172" cm="1">
        <f t="array" aca="1" ref="CU145" ca="1">IF(OR($D145&lt;&gt;"Serviço",AND(AUTOEVENTO="Manual",$M145=$A$15),$M145&gt;(ROW(PLE.lastrow)-ROW(PLE.firstrow))),0,
           IF(OFFSET(PLE!$G$15,$M145-$A$15,CU$13)="",10^12,OFFSET(PLE!$G$15,$M145-$A$15,CU$13)))</f>
        <v>1000000000000</v>
      </c>
      <c r="CV145" s="172" cm="1">
        <f t="array" aca="1" ref="CV145" ca="1">IF(OR($D145&lt;&gt;"Serviço",AND(AUTOEVENTO="Manual",$M145=$A$15),$M145&gt;(ROW(PLE.lastrow)-ROW(PLE.firstrow))),0,
           IF(OFFSET(PLE!$G$15,$M145-$A$15,CV$13)="",10^12,OFFSET(PLE!$G$15,$M145-$A$15,CV$13)))</f>
        <v>1000000000000</v>
      </c>
      <c r="CW145" s="172" cm="1">
        <f t="array" aca="1" ref="CW145" ca="1">IF(OR($D145&lt;&gt;"Serviço",AND(AUTOEVENTO="Manual",$M145=$A$15),$M145&gt;(ROW(PLE.lastrow)-ROW(PLE.firstrow))),0,
           IF(OFFSET(PLE!$G$15,$M145-$A$15,CW$13)="",10^12,OFFSET(PLE!$G$15,$M145-$A$15,CW$13)))</f>
        <v>1000000000000</v>
      </c>
      <c r="CX145" s="172" cm="1">
        <f t="array" aca="1" ref="CX145" ca="1">IF(OR($D145&lt;&gt;"Serviço",AND(AUTOEVENTO="Manual",$M145=$A$15),$M145&gt;(ROW(PLE.lastrow)-ROW(PLE.firstrow))),0,
           IF(OFFSET(PLE!$G$15,$M145-$A$15,CX$13)="",10^12,OFFSET(PLE!$G$15,$M145-$A$15,CX$13)))</f>
        <v>1000000000000</v>
      </c>
      <c r="CY145" s="172" cm="1">
        <f t="array" aca="1" ref="CY145" ca="1">IF(OR($D145&lt;&gt;"Serviço",AND(AUTOEVENTO="Manual",$M145=$A$15),$M145&gt;(ROW(PLE.lastrow)-ROW(PLE.firstrow))),0,
           IF(OFFSET(PLE!$G$15,$M145-$A$15,CY$13)="",10^12,OFFSET(PLE!$G$15,$M145-$A$15,CY$13)))</f>
        <v>1000000000000</v>
      </c>
      <c r="CZ145" s="172" cm="1">
        <f t="array" aca="1" ref="CZ145" ca="1">IF(OR($D145&lt;&gt;"Serviço",AND(AUTOEVENTO="Manual",$M145=$A$15),$M145&gt;(ROW(PLE.lastrow)-ROW(PLE.firstrow))),0,
           IF(OFFSET(PLE!$G$15,$M145-$A$15,CZ$13)="",10^12,OFFSET(PLE!$G$15,$M145-$A$15,CZ$13)))</f>
        <v>1000000000000</v>
      </c>
      <c r="DA145" s="172" cm="1">
        <f t="array" aca="1" ref="DA145" ca="1">IF(OR($D145&lt;&gt;"Serviço",AND(AUTOEVENTO="Manual",$M145=$A$15),$M145&gt;(ROW(PLE.lastrow)-ROW(PLE.firstrow))),0,
           IF(OFFSET(PLE!$G$15,$M145-$A$15,DA$13)="",10^12,OFFSET(PLE!$G$15,$M145-$A$15,DA$13)))</f>
        <v>1000000000000</v>
      </c>
      <c r="DB145" s="172" cm="1">
        <f t="array" aca="1" ref="DB145" ca="1">IF(OR($D145&lt;&gt;"Serviço",AND(AUTOEVENTO="Manual",$M145=$A$15),$M145&gt;(ROW(PLE.lastrow)-ROW(PLE.firstrow))),0,
           IF(OFFSET(PLE!$G$15,$M145-$A$15,DB$13)="",10^12,OFFSET(PLE!$G$15,$M145-$A$15,DB$13)))</f>
        <v>1000000000000</v>
      </c>
      <c r="DC145" s="172" cm="1">
        <f t="array" aca="1" ref="DC145" ca="1">IF(OR($D145&lt;&gt;"Serviço",AND(AUTOEVENTO="Manual",$M145=$A$15),$M145&gt;(ROW(PLE.lastrow)-ROW(PLE.firstrow))),0,
           IF(OFFSET(PLE!$G$15,$M145-$A$15,DC$13)="",10^12,OFFSET(PLE!$G$15,$M145-$A$15,DC$13)))</f>
        <v>1000000000000</v>
      </c>
      <c r="DD145" s="172" cm="1">
        <f t="array" aca="1" ref="DD145" ca="1">IF(OR($D145&lt;&gt;"Serviço",AND(AUTOEVENTO="Manual",$M145=$A$15),$M145&gt;(ROW(PLE.lastrow)-ROW(PLE.firstrow))),0,
           IF(OFFSET(PLE!$G$15,$M145-$A$15,DD$13)="",10^12,OFFSET(PLE!$G$15,$M145-$A$15,DD$13)))</f>
        <v>1000000000000</v>
      </c>
      <c r="DE145" s="172" cm="1">
        <f t="array" aca="1" ref="DE145" ca="1">IF(OR($D145&lt;&gt;"Serviço",AND(AUTOEVENTO="Manual",$M145=$A$15),$M145&gt;(ROW(PLE.lastrow)-ROW(PLE.firstrow))),0,
           IF(OFFSET(PLE!$G$15,$M145-$A$15,DE$13)="",10^12,OFFSET(PLE!$G$15,$M145-$A$15,DE$13)))</f>
        <v>1000000000000</v>
      </c>
      <c r="DF145" s="172" cm="1">
        <f t="array" aca="1" ref="DF145" ca="1">IF(OR($D145&lt;&gt;"Serviço",AND(AUTOEVENTO="Manual",$M145=$A$15),$M145&gt;(ROW(PLE.lastrow)-ROW(PLE.firstrow))),0,
           IF(OFFSET(PLE!$G$15,$M145-$A$15,DF$13)="",10^12,OFFSET(PLE!$G$15,$M145-$A$15,DF$13)))</f>
        <v>1000000000000</v>
      </c>
      <c r="DG145" s="172" cm="1">
        <f t="array" aca="1" ref="DG145" ca="1">IF(OR($D145&lt;&gt;"Serviço",AND(AUTOEVENTO="Manual",$M145=$A$15),$M145&gt;(ROW(PLE.lastrow)-ROW(PLE.firstrow))),0,
           IF(OFFSET(PLE!$G$15,$M145-$A$15,DG$13)="",10^12,OFFSET(PLE!$G$15,$M145-$A$15,DG$13)))</f>
        <v>1000000000000</v>
      </c>
      <c r="DH145" s="172" cm="1">
        <f t="array" aca="1" ref="DH145" ca="1">IF(OR($D145&lt;&gt;"Serviço",AND(AUTOEVENTO="Manual",$M145=$A$15),$M145&gt;(ROW(PLE.lastrow)-ROW(PLE.firstrow))),0,
           IF(OFFSET(PLE!$G$15,$M145-$A$15,DH$13)="",10^12,OFFSET(PLE!$G$15,$M145-$A$15,DH$13)))</f>
        <v>1000000000000</v>
      </c>
      <c r="DI145" s="172" cm="1">
        <f t="array" aca="1" ref="DI145" ca="1">IF(OR($D145&lt;&gt;"Serviço",AND(AUTOEVENTO="Manual",$M145=$A$15),$M145&gt;(ROW(PLE.lastrow)-ROW(PLE.firstrow))),0,
           IF(OFFSET(PLE!$G$15,$M145-$A$15,DI$13)="",10^12,OFFSET(PLE!$G$15,$M145-$A$15,DI$13)))</f>
        <v>1000000000000</v>
      </c>
      <c r="DJ145" s="172" cm="1">
        <f t="array" aca="1" ref="DJ145" ca="1">IF(OR($D145&lt;&gt;"Serviço",AND(AUTOEVENTO="Manual",$M145=$A$15),$M145&gt;(ROW(PLE.lastrow)-ROW(PLE.firstrow))),0,
           IF(OFFSET(PLE!$G$15,$M145-$A$15,DJ$13)="",10^12,OFFSET(PLE!$G$15,$M145-$A$15,DJ$13)))</f>
        <v>1000000000000</v>
      </c>
      <c r="DK145" s="172" cm="1">
        <f t="array" aca="1" ref="DK145" ca="1">IF(OR($D145&lt;&gt;"Serviço",AND(AUTOEVENTO="Manual",$M145=$A$15),$M145&gt;(ROW(PLE.lastrow)-ROW(PLE.firstrow))),0,
           IF(OFFSET(PLE!$G$15,$M145-$A$15,DK$13)="",10^12,OFFSET(PLE!$G$15,$M145-$A$15,DK$13)))</f>
        <v>1000000000000</v>
      </c>
      <c r="DL145" s="172" cm="1">
        <f t="array" aca="1" ref="DL145" ca="1">IF(OR($D145&lt;&gt;"Serviço",AND(AUTOEVENTO="Manual",$M145=$A$15),$M145&gt;(ROW(PLE.lastrow)-ROW(PLE.firstrow))),0,
           IF(OFFSET(PLE!$G$15,$M145-$A$15,DL$13)="",10^12,OFFSET(PLE!$G$15,$M145-$A$15,DL$13)))</f>
        <v>1000000000000</v>
      </c>
      <c r="DM145" s="172" cm="1">
        <f t="array" aca="1" ref="DM145" ca="1">IF(OR($D145&lt;&gt;"Serviço",AND(AUTOEVENTO="Manual",$M145=$A$15),$M145&gt;(ROW(PLE.lastrow)-ROW(PLE.firstrow))),0,
           IF(OFFSET(PLE!$G$15,$M145-$A$15,DM$13)="",10^12,OFFSET(PLE!$G$15,$M145-$A$15,DM$13)))</f>
        <v>1000000000000</v>
      </c>
      <c r="DN145" s="172" cm="1">
        <f t="array" aca="1" ref="DN145" ca="1">IF(OR($D145&lt;&gt;"Serviço",AND(AUTOEVENTO="Manual",$M145=$A$15),$M145&gt;(ROW(PLE.lastrow)-ROW(PLE.firstrow))),0,
           IF(OFFSET(PLE!$G$15,$M145-$A$15,DN$13)="",10^12,OFFSET(PLE!$G$15,$M145-$A$15,DN$13)))</f>
        <v>1000000000000</v>
      </c>
      <c r="DO145" s="172" cm="1">
        <f t="array" aca="1" ref="DO145" ca="1">IF(OR($D145&lt;&gt;"Serviço",AND(AUTOEVENTO="Manual",$M145=$A$15),$M145&gt;(ROW(PLE.lastrow)-ROW(PLE.firstrow))),0,
           IF(OFFSET(PLE!$G$15,$M145-$A$15,DO$13)="",10^12,OFFSET(PLE!$G$15,$M145-$A$15,DO$13)))</f>
        <v>1000000000000</v>
      </c>
      <c r="DP145" s="172" cm="1">
        <f t="array" aca="1" ref="DP145" ca="1">IF(OR($D145&lt;&gt;"Serviço",AND(AUTOEVENTO="Manual",$M145=$A$15),$M145&gt;(ROW(PLE.lastrow)-ROW(PLE.firstrow))),0,
           IF(OFFSET(PLE!$G$15,$M145-$A$15,DP$13)="",10^12,OFFSET(PLE!$G$15,$M145-$A$15,DP$13)))</f>
        <v>1000000000000</v>
      </c>
      <c r="DQ145" s="172" cm="1">
        <f t="array" aca="1" ref="DQ145" ca="1">IF(OR($D145&lt;&gt;"Serviço",AND(AUTOEVENTO="Manual",$M145=$A$15),$M145&gt;(ROW(PLE.lastrow)-ROW(PLE.firstrow))),0,
           IF(OFFSET(PLE!$G$15,$M145-$A$15,DQ$13)="",10^12,OFFSET(PLE!$G$15,$M145-$A$15,DQ$13)))</f>
        <v>1000000000000</v>
      </c>
      <c r="DR145" s="172" cm="1">
        <f t="array" aca="1" ref="DR145" ca="1">IF(OR($D145&lt;&gt;"Serviço",AND(AUTOEVENTO="Manual",$M145=$A$15),$M145&gt;(ROW(PLE.lastrow)-ROW(PLE.firstrow))),0,
           IF(OFFSET(PLE!$G$15,$M145-$A$15,DR$13)="",10^12,OFFSET(PLE!$G$15,$M145-$A$15,DR$13)))</f>
        <v>1000000000000</v>
      </c>
      <c r="DS145" s="172" cm="1">
        <f t="array" aca="1" ref="DS145" ca="1">IF(OR($D145&lt;&gt;"Serviço",AND(AUTOEVENTO="Manual",$M145=$A$15),$M145&gt;(ROW(PLE.lastrow)-ROW(PLE.firstrow))),0,
           IF(OFFSET(PLE!$G$15,$M145-$A$15,DS$13)="",10^12,OFFSET(PLE!$G$15,$M145-$A$15,DS$13)))</f>
        <v>1000000000000</v>
      </c>
    </row>
    <row r="146" spans="1:123" ht="25.5" x14ac:dyDescent="0.2">
      <c r="A146" s="7">
        <f t="shared" ca="1" si="15"/>
        <v>9</v>
      </c>
      <c r="B146" s="7" t="str">
        <f ca="1">OFFSET(ORÇAMENTO!C$15,$L146,0)</f>
        <v>S</v>
      </c>
      <c r="C146" s="7" t="str">
        <f ca="1">OFFSET(ORÇAMENTO!L$15,$L146,0)</f>
        <v/>
      </c>
      <c r="D146" s="116" t="str">
        <f ca="1">OFFSET(ORÇAMENTO!N$15,$L146,0)</f>
        <v>Serviço</v>
      </c>
      <c r="E146" s="117" t="str">
        <f ca="1">OFFSET(ORÇAMENTO!O$15,$L146,0)</f>
        <v>-</v>
      </c>
      <c r="F146" s="163" t="str">
        <f ca="1">OFFSET(ORÇAMENTO!R$15,$L146,0)</f>
        <v>(Código não identificado nas referências)</v>
      </c>
      <c r="G146" s="164" t="str">
        <f ca="1">IF($D146&lt;&gt;"Serviço","",OFFSET(ORÇAMENTO!S$15,$L146,0))</f>
        <v>-</v>
      </c>
      <c r="H146" s="122" cm="1">
        <f t="array" aca="1" ref="H146" ca="1">IF($D146&lt;&gt;"Serviço",0,IF(ACOMPANHAMENTO="BM",ROUND(OFFSET(ORÇAMENTO!AJ$15,$L146,0),15-13*ORÇAMENTO!$AF$7),IF(IFERROR(CÁLCULO.FrentesPreenchidas,0)=0,0,SUM(ROUND(OFFSET($P146,0,1,1,CÁLCULO.FrentesPreenchidas),15-13*ORÇAMENTO!$AF$7)))))</f>
        <v>200</v>
      </c>
      <c r="I146" s="468" t="s">
        <v>1235</v>
      </c>
      <c r="J146" s="651" t="str" cm="1">
        <f t="array" aca="1" ref="J146" ca="1">IF(OR(B146&lt;&gt;"S",CÁLCULO.FrentesPreenchidas=0),"",IF(AND(ACOMPANHAMENTO="PLE",AUTOEVENTO="Manual",OR(H146&gt;0,ORÇAMENTO!AC146="QUANT."),OR(K146="",M146=0,N146="")),"►E",IF(AND(ACOMPANHAMENTO="PLE",ORÇAMENTO!AC146="QUANT."),"►Q",IF(AND(ACOMPANHAMENTO="PLE",H146&lt;&gt;SUMPRODUCT(($Q$1:$AQ$1=1)*ROUND(Q146:AQ146,15))),"►S",IF(AND(COUNTIF($P$11:$AQ$11,"▼")=0,H146&gt;0,I146=""),"◄M","")))))</f>
        <v/>
      </c>
      <c r="K146" s="652" t="s">
        <v>1257</v>
      </c>
      <c r="L146" s="165">
        <f t="shared" ca="1" si="14"/>
        <v>131</v>
      </c>
      <c r="M146" s="166">
        <f ca="1">IF($D146&lt;&gt;"Serviço","",
          IF(AUTOEVENTO="manual",$A146,
                IF(ISERROR(MATCH($A146,$A$15:OFFSET($A146,-1,0),0)),MAX($M$15:OFFSET(M146,-1,0))+1,
                      INDEX($M$15:OFFSET(M146,-1,0),MATCH($A146,$A$15:OFFSET($A146,-1,0),0)))))</f>
        <v>9</v>
      </c>
      <c r="N146" s="167" t="str">
        <f ca="1">IF($D146&lt;&gt;"Serviço","",
         IF(AUTOEVENTO="Manual",
                IF($A146=0,"&lt;-- defina o número do agrupador",
                       OFFSET(EVENTOS!$D$15,$A146-$A$15,0)),
                OFFSET($F$15,$A146,0)))</f>
        <v>INSTALAÇÕES</v>
      </c>
      <c r="O146" s="168"/>
      <c r="Q146" s="168">
        <v>10</v>
      </c>
      <c r="R146" s="169">
        <v>10</v>
      </c>
      <c r="S146" s="169">
        <v>10</v>
      </c>
      <c r="T146" s="169">
        <v>10</v>
      </c>
      <c r="U146" s="169">
        <v>10</v>
      </c>
      <c r="V146" s="169">
        <v>10</v>
      </c>
      <c r="W146" s="169">
        <v>10</v>
      </c>
      <c r="X146" s="169">
        <v>10</v>
      </c>
      <c r="Y146" s="169">
        <v>10</v>
      </c>
      <c r="Z146" s="170">
        <v>10</v>
      </c>
      <c r="AA146" s="169">
        <v>10</v>
      </c>
      <c r="AB146" s="169">
        <v>10</v>
      </c>
      <c r="AC146" s="169">
        <v>10</v>
      </c>
      <c r="AD146" s="169">
        <v>10</v>
      </c>
      <c r="AE146" s="169">
        <v>10</v>
      </c>
      <c r="AF146" s="169">
        <v>10</v>
      </c>
      <c r="AG146" s="169">
        <v>10</v>
      </c>
      <c r="AH146" s="170">
        <v>10</v>
      </c>
      <c r="AI146" s="169">
        <v>10</v>
      </c>
      <c r="AJ146" s="169">
        <v>10</v>
      </c>
      <c r="AK146" s="169"/>
      <c r="AL146" s="169"/>
      <c r="AM146" s="169"/>
      <c r="AN146" s="169"/>
      <c r="AO146" s="169"/>
      <c r="AP146" s="170"/>
      <c r="AR146" s="453">
        <f ca="1">IF(AND($D146="Serviço",AR$12&lt;&gt;0,$H146&gt;0,OR(AUTOEVENTO&lt;&gt;"manual",$M146&lt;&gt;$A$15)),
        IF(Import.TipoArredondamento&lt;&gt;"TransfereGOV",
              ROUND(OFFSET($P146,0,AR$13),15-13*ORÇAMENTO!$AF$7)/$H146*OFFSET(ORÇAMENTO!$X$15,ROW(AR146)-ROW(AR$15),0),
              ROUND(ROUND(OFFSET($P146,0,AR$13),15-13*ORÇAMENTO!$AF$7)*OFFSET(ORÇAMENTO!$W$15,ROW(AR146)-ROW(AR$15),0),15-13*ORÇAMENTO!$AF$11)),
         0)</f>
        <v>0</v>
      </c>
      <c r="AS146" s="453">
        <f ca="1">IF(AND($D146="Serviço",AS$12&lt;&gt;0,$H146&gt;0,OR(AUTOEVENTO&lt;&gt;"manual",$M146&lt;&gt;$A$15)),
        IF(Import.TipoArredondamento&lt;&gt;"TransfereGOV",
              ROUND(OFFSET($P146,0,AS$13),15-13*ORÇAMENTO!$AF$7)/$H146*OFFSET(ORÇAMENTO!$X$15,ROW(AS146)-ROW(AS$15),0),
              ROUND(ROUND(OFFSET($P146,0,AS$13),15-13*ORÇAMENTO!$AF$7)*OFFSET(ORÇAMENTO!$W$15,ROW(AS146)-ROW(AS$15),0),15-13*ORÇAMENTO!$AF$11)),
         0)</f>
        <v>0</v>
      </c>
      <c r="AT146" s="453">
        <f ca="1">IF(AND($D146="Serviço",AT$12&lt;&gt;0,$H146&gt;0,OR(AUTOEVENTO&lt;&gt;"manual",$M146&lt;&gt;$A$15)),
        IF(Import.TipoArredondamento&lt;&gt;"TransfereGOV",
              ROUND(OFFSET($P146,0,AT$13),15-13*ORÇAMENTO!$AF$7)/$H146*OFFSET(ORÇAMENTO!$X$15,ROW(AT146)-ROW(AT$15),0),
              ROUND(ROUND(OFFSET($P146,0,AT$13),15-13*ORÇAMENTO!$AF$7)*OFFSET(ORÇAMENTO!$W$15,ROW(AT146)-ROW(AT$15),0),15-13*ORÇAMENTO!$AF$11)),
         0)</f>
        <v>0</v>
      </c>
      <c r="AU146" s="453">
        <f ca="1">IF(AND($D146="Serviço",AU$12&lt;&gt;0,$H146&gt;0,OR(AUTOEVENTO&lt;&gt;"manual",$M146&lt;&gt;$A$15)),
        IF(Import.TipoArredondamento&lt;&gt;"TransfereGOV",
              ROUND(OFFSET($P146,0,AU$13),15-13*ORÇAMENTO!$AF$7)/$H146*OFFSET(ORÇAMENTO!$X$15,ROW(AU146)-ROW(AU$15),0),
              ROUND(ROUND(OFFSET($P146,0,AU$13),15-13*ORÇAMENTO!$AF$7)*OFFSET(ORÇAMENTO!$W$15,ROW(AU146)-ROW(AU$15),0),15-13*ORÇAMENTO!$AF$11)),
         0)</f>
        <v>0</v>
      </c>
      <c r="AV146" s="453">
        <f ca="1">IF(AND($D146="Serviço",AV$12&lt;&gt;0,$H146&gt;0,OR(AUTOEVENTO&lt;&gt;"manual",$M146&lt;&gt;$A$15)),
        IF(Import.TipoArredondamento&lt;&gt;"TransfereGOV",
              ROUND(OFFSET($P146,0,AV$13),15-13*ORÇAMENTO!$AF$7)/$H146*OFFSET(ORÇAMENTO!$X$15,ROW(AV146)-ROW(AV$15),0),
              ROUND(ROUND(OFFSET($P146,0,AV$13),15-13*ORÇAMENTO!$AF$7)*OFFSET(ORÇAMENTO!$W$15,ROW(AV146)-ROW(AV$15),0),15-13*ORÇAMENTO!$AF$11)),
         0)</f>
        <v>0</v>
      </c>
      <c r="AW146" s="453">
        <f ca="1">IF(AND($D146="Serviço",AW$12&lt;&gt;0,$H146&gt;0,OR(AUTOEVENTO&lt;&gt;"manual",$M146&lt;&gt;$A$15)),
        IF(Import.TipoArredondamento&lt;&gt;"TransfereGOV",
              ROUND(OFFSET($P146,0,AW$13),15-13*ORÇAMENTO!$AF$7)/$H146*OFFSET(ORÇAMENTO!$X$15,ROW(AW146)-ROW(AW$15),0),
              ROUND(ROUND(OFFSET($P146,0,AW$13),15-13*ORÇAMENTO!$AF$7)*OFFSET(ORÇAMENTO!$W$15,ROW(AW146)-ROW(AW$15),0),15-13*ORÇAMENTO!$AF$11)),
         0)</f>
        <v>0</v>
      </c>
      <c r="AX146" s="453">
        <f ca="1">IF(AND($D146="Serviço",AX$12&lt;&gt;0,$H146&gt;0,OR(AUTOEVENTO&lt;&gt;"manual",$M146&lt;&gt;$A$15)),
        IF(Import.TipoArredondamento&lt;&gt;"TransfereGOV",
              ROUND(OFFSET($P146,0,AX$13),15-13*ORÇAMENTO!$AF$7)/$H146*OFFSET(ORÇAMENTO!$X$15,ROW(AX146)-ROW(AX$15),0),
              ROUND(ROUND(OFFSET($P146,0,AX$13),15-13*ORÇAMENTO!$AF$7)*OFFSET(ORÇAMENTO!$W$15,ROW(AX146)-ROW(AX$15),0),15-13*ORÇAMENTO!$AF$11)),
         0)</f>
        <v>0</v>
      </c>
      <c r="AY146" s="453">
        <f ca="1">IF(AND($D146="Serviço",AY$12&lt;&gt;0,$H146&gt;0,OR(AUTOEVENTO&lt;&gt;"manual",$M146&lt;&gt;$A$15)),
        IF(Import.TipoArredondamento&lt;&gt;"TransfereGOV",
              ROUND(OFFSET($P146,0,AY$13),15-13*ORÇAMENTO!$AF$7)/$H146*OFFSET(ORÇAMENTO!$X$15,ROW(AY146)-ROW(AY$15),0),
              ROUND(ROUND(OFFSET($P146,0,AY$13),15-13*ORÇAMENTO!$AF$7)*OFFSET(ORÇAMENTO!$W$15,ROW(AY146)-ROW(AY$15),0),15-13*ORÇAMENTO!$AF$11)),
         0)</f>
        <v>0</v>
      </c>
      <c r="AZ146" s="453">
        <f ca="1">IF(AND($D146="Serviço",AZ$12&lt;&gt;0,$H146&gt;0,OR(AUTOEVENTO&lt;&gt;"manual",$M146&lt;&gt;$A$15)),
        IF(Import.TipoArredondamento&lt;&gt;"TransfereGOV",
              ROUND(OFFSET($P146,0,AZ$13),15-13*ORÇAMENTO!$AF$7)/$H146*OFFSET(ORÇAMENTO!$X$15,ROW(AZ146)-ROW(AZ$15),0),
              ROUND(ROUND(OFFSET($P146,0,AZ$13),15-13*ORÇAMENTO!$AF$7)*OFFSET(ORÇAMENTO!$W$15,ROW(AZ146)-ROW(AZ$15),0),15-13*ORÇAMENTO!$AF$11)),
         0)</f>
        <v>0</v>
      </c>
      <c r="BA146" s="453">
        <f ca="1">IF(AND($D146="Serviço",BA$12&lt;&gt;0,$H146&gt;0,OR(AUTOEVENTO&lt;&gt;"manual",$M146&lt;&gt;$A$15)),
        IF(Import.TipoArredondamento&lt;&gt;"TransfereGOV",
              ROUND(OFFSET($P146,0,BA$13),15-13*ORÇAMENTO!$AF$7)/$H146*OFFSET(ORÇAMENTO!$X$15,ROW(BA146)-ROW(BA$15),0),
              ROUND(ROUND(OFFSET($P146,0,BA$13),15-13*ORÇAMENTO!$AF$7)*OFFSET(ORÇAMENTO!$W$15,ROW(BA146)-ROW(BA$15),0),15-13*ORÇAMENTO!$AF$11)),
         0)</f>
        <v>0</v>
      </c>
      <c r="BB146" s="453">
        <f ca="1">IF(AND($D146="Serviço",BB$12&lt;&gt;0,$H146&gt;0,OR(AUTOEVENTO&lt;&gt;"manual",$M146&lt;&gt;$A$15)),
        IF(Import.TipoArredondamento&lt;&gt;"TransfereGOV",
              ROUND(OFFSET($P146,0,BB$13),15-13*ORÇAMENTO!$AF$7)/$H146*OFFSET(ORÇAMENTO!$X$15,ROW(BB146)-ROW(BB$15),0),
              ROUND(ROUND(OFFSET($P146,0,BB$13),15-13*ORÇAMENTO!$AF$7)*OFFSET(ORÇAMENTO!$W$15,ROW(BB146)-ROW(BB$15),0),15-13*ORÇAMENTO!$AF$11)),
         0)</f>
        <v>0</v>
      </c>
      <c r="BC146" s="453">
        <f ca="1">IF(AND($D146="Serviço",BC$12&lt;&gt;0,$H146&gt;0,OR(AUTOEVENTO&lt;&gt;"manual",$M146&lt;&gt;$A$15)),
        IF(Import.TipoArredondamento&lt;&gt;"TransfereGOV",
              ROUND(OFFSET($P146,0,BC$13),15-13*ORÇAMENTO!$AF$7)/$H146*OFFSET(ORÇAMENTO!$X$15,ROW(BC146)-ROW(BC$15),0),
              ROUND(ROUND(OFFSET($P146,0,BC$13),15-13*ORÇAMENTO!$AF$7)*OFFSET(ORÇAMENTO!$W$15,ROW(BC146)-ROW(BC$15),0),15-13*ORÇAMENTO!$AF$11)),
         0)</f>
        <v>0</v>
      </c>
      <c r="BD146" s="453">
        <f ca="1">IF(AND($D146="Serviço",BD$12&lt;&gt;0,$H146&gt;0,OR(AUTOEVENTO&lt;&gt;"manual",$M146&lt;&gt;$A$15)),
        IF(Import.TipoArredondamento&lt;&gt;"TransfereGOV",
              ROUND(OFFSET($P146,0,BD$13),15-13*ORÇAMENTO!$AF$7)/$H146*OFFSET(ORÇAMENTO!$X$15,ROW(BD146)-ROW(BD$15),0),
              ROUND(ROUND(OFFSET($P146,0,BD$13),15-13*ORÇAMENTO!$AF$7)*OFFSET(ORÇAMENTO!$W$15,ROW(BD146)-ROW(BD$15),0),15-13*ORÇAMENTO!$AF$11)),
         0)</f>
        <v>0</v>
      </c>
      <c r="BE146" s="453">
        <f ca="1">IF(AND($D146="Serviço",BE$12&lt;&gt;0,$H146&gt;0,OR(AUTOEVENTO&lt;&gt;"manual",$M146&lt;&gt;$A$15)),
        IF(Import.TipoArredondamento&lt;&gt;"TransfereGOV",
              ROUND(OFFSET($P146,0,BE$13),15-13*ORÇAMENTO!$AF$7)/$H146*OFFSET(ORÇAMENTO!$X$15,ROW(BE146)-ROW(BE$15),0),
              ROUND(ROUND(OFFSET($P146,0,BE$13),15-13*ORÇAMENTO!$AF$7)*OFFSET(ORÇAMENTO!$W$15,ROW(BE146)-ROW(BE$15),0),15-13*ORÇAMENTO!$AF$11)),
         0)</f>
        <v>0</v>
      </c>
      <c r="BF146" s="453">
        <f ca="1">IF(AND($D146="Serviço",BF$12&lt;&gt;0,$H146&gt;0,OR(AUTOEVENTO&lt;&gt;"manual",$M146&lt;&gt;$A$15)),
        IF(Import.TipoArredondamento&lt;&gt;"TransfereGOV",
              ROUND(OFFSET($P146,0,BF$13),15-13*ORÇAMENTO!$AF$7)/$H146*OFFSET(ORÇAMENTO!$X$15,ROW(BF146)-ROW(BF$15),0),
              ROUND(ROUND(OFFSET($P146,0,BF$13),15-13*ORÇAMENTO!$AF$7)*OFFSET(ORÇAMENTO!$W$15,ROW(BF146)-ROW(BF$15),0),15-13*ORÇAMENTO!$AF$11)),
         0)</f>
        <v>0</v>
      </c>
      <c r="BG146" s="453">
        <f ca="1">IF(AND($D146="Serviço",BG$12&lt;&gt;0,$H146&gt;0,OR(AUTOEVENTO&lt;&gt;"manual",$M146&lt;&gt;$A$15)),
        IF(Import.TipoArredondamento&lt;&gt;"TransfereGOV",
              ROUND(OFFSET($P146,0,BG$13),15-13*ORÇAMENTO!$AF$7)/$H146*OFFSET(ORÇAMENTO!$X$15,ROW(BG146)-ROW(BG$15),0),
              ROUND(ROUND(OFFSET($P146,0,BG$13),15-13*ORÇAMENTO!$AF$7)*OFFSET(ORÇAMENTO!$W$15,ROW(BG146)-ROW(BG$15),0),15-13*ORÇAMENTO!$AF$11)),
         0)</f>
        <v>0</v>
      </c>
      <c r="BH146" s="453">
        <f ca="1">IF(AND($D146="Serviço",BH$12&lt;&gt;0,$H146&gt;0,OR(AUTOEVENTO&lt;&gt;"manual",$M146&lt;&gt;$A$15)),
        IF(Import.TipoArredondamento&lt;&gt;"TransfereGOV",
              ROUND(OFFSET($P146,0,BH$13),15-13*ORÇAMENTO!$AF$7)/$H146*OFFSET(ORÇAMENTO!$X$15,ROW(BH146)-ROW(BH$15),0),
              ROUND(ROUND(OFFSET($P146,0,BH$13),15-13*ORÇAMENTO!$AF$7)*OFFSET(ORÇAMENTO!$W$15,ROW(BH146)-ROW(BH$15),0),15-13*ORÇAMENTO!$AF$11)),
         0)</f>
        <v>0</v>
      </c>
      <c r="BI146" s="453">
        <f ca="1">IF(AND($D146="Serviço",BI$12&lt;&gt;0,$H146&gt;0,OR(AUTOEVENTO&lt;&gt;"manual",$M146&lt;&gt;$A$15)),
        IF(Import.TipoArredondamento&lt;&gt;"TransfereGOV",
              ROUND(OFFSET($P146,0,BI$13),15-13*ORÇAMENTO!$AF$7)/$H146*OFFSET(ORÇAMENTO!$X$15,ROW(BI146)-ROW(BI$15),0),
              ROUND(ROUND(OFFSET($P146,0,BI$13),15-13*ORÇAMENTO!$AF$7)*OFFSET(ORÇAMENTO!$W$15,ROW(BI146)-ROW(BI$15),0),15-13*ORÇAMENTO!$AF$11)),
         0)</f>
        <v>0</v>
      </c>
      <c r="BJ146" s="453">
        <f ca="1">IF(AND($D146="Serviço",BJ$12&lt;&gt;0,$H146&gt;0,OR(AUTOEVENTO&lt;&gt;"manual",$M146&lt;&gt;$A$15)),
        IF(Import.TipoArredondamento&lt;&gt;"TransfereGOV",
              ROUND(OFFSET($P146,0,BJ$13),15-13*ORÇAMENTO!$AF$7)/$H146*OFFSET(ORÇAMENTO!$X$15,ROW(BJ146)-ROW(BJ$15),0),
              ROUND(ROUND(OFFSET($P146,0,BJ$13),15-13*ORÇAMENTO!$AF$7)*OFFSET(ORÇAMENTO!$W$15,ROW(BJ146)-ROW(BJ$15),0),15-13*ORÇAMENTO!$AF$11)),
         0)</f>
        <v>0</v>
      </c>
      <c r="BK146" s="453">
        <f ca="1">IF(AND($D146="Serviço",BK$12&lt;&gt;0,$H146&gt;0,OR(AUTOEVENTO&lt;&gt;"manual",$M146&lt;&gt;$A$15)),
        IF(Import.TipoArredondamento&lt;&gt;"TransfereGOV",
              ROUND(OFFSET($P146,0,BK$13),15-13*ORÇAMENTO!$AF$7)/$H146*OFFSET(ORÇAMENTO!$X$15,ROW(BK146)-ROW(BK$15),0),
              ROUND(ROUND(OFFSET($P146,0,BK$13),15-13*ORÇAMENTO!$AF$7)*OFFSET(ORÇAMENTO!$W$15,ROW(BK146)-ROW(BK$15),0),15-13*ORÇAMENTO!$AF$11)),
         0)</f>
        <v>0</v>
      </c>
      <c r="BL146" s="453">
        <f ca="1">IF(AND($D146="Serviço",BL$12&lt;&gt;0,$H146&gt;0,OR(AUTOEVENTO&lt;&gt;"manual",$M146&lt;&gt;$A$15)),
        IF(Import.TipoArredondamento&lt;&gt;"TransfereGOV",
              ROUND(OFFSET($P146,0,BL$13),15-13*ORÇAMENTO!$AF$7)/$H146*OFFSET(ORÇAMENTO!$X$15,ROW(BL146)-ROW(BL$15),0),
              ROUND(ROUND(OFFSET($P146,0,BL$13),15-13*ORÇAMENTO!$AF$7)*OFFSET(ORÇAMENTO!$W$15,ROW(BL146)-ROW(BL$15),0),15-13*ORÇAMENTO!$AF$11)),
         0)</f>
        <v>0</v>
      </c>
      <c r="BM146" s="453">
        <f ca="1">IF(AND($D146="Serviço",BM$12&lt;&gt;0,$H146&gt;0,OR(AUTOEVENTO&lt;&gt;"manual",$M146&lt;&gt;$A$15)),
        IF(Import.TipoArredondamento&lt;&gt;"TransfereGOV",
              ROUND(OFFSET($P146,0,BM$13),15-13*ORÇAMENTO!$AF$7)/$H146*OFFSET(ORÇAMENTO!$X$15,ROW(BM146)-ROW(BM$15),0),
              ROUND(ROUND(OFFSET($P146,0,BM$13),15-13*ORÇAMENTO!$AF$7)*OFFSET(ORÇAMENTO!$W$15,ROW(BM146)-ROW(BM$15),0),15-13*ORÇAMENTO!$AF$11)),
         0)</f>
        <v>0</v>
      </c>
      <c r="BN146" s="453">
        <f ca="1">IF(AND($D146="Serviço",BN$12&lt;&gt;0,$H146&gt;0,OR(AUTOEVENTO&lt;&gt;"manual",$M146&lt;&gt;$A$15)),
        IF(Import.TipoArredondamento&lt;&gt;"TransfereGOV",
              ROUND(OFFSET($P146,0,BN$13),15-13*ORÇAMENTO!$AF$7)/$H146*OFFSET(ORÇAMENTO!$X$15,ROW(BN146)-ROW(BN$15),0),
              ROUND(ROUND(OFFSET($P146,0,BN$13),15-13*ORÇAMENTO!$AF$7)*OFFSET(ORÇAMENTO!$W$15,ROW(BN146)-ROW(BN$15),0),15-13*ORÇAMENTO!$AF$11)),
         0)</f>
        <v>0</v>
      </c>
      <c r="BO146" s="453">
        <f ca="1">IF(AND($D146="Serviço",BO$12&lt;&gt;0,$H146&gt;0,OR(AUTOEVENTO&lt;&gt;"manual",$M146&lt;&gt;$A$15)),
        IF(Import.TipoArredondamento&lt;&gt;"TransfereGOV",
              ROUND(OFFSET($P146,0,BO$13),15-13*ORÇAMENTO!$AF$7)/$H146*OFFSET(ORÇAMENTO!$X$15,ROW(BO146)-ROW(BO$15),0),
              ROUND(ROUND(OFFSET($P146,0,BO$13),15-13*ORÇAMENTO!$AF$7)*OFFSET(ORÇAMENTO!$W$15,ROW(BO146)-ROW(BO$15),0),15-13*ORÇAMENTO!$AF$11)),
         0)</f>
        <v>0</v>
      </c>
      <c r="BP146" s="453">
        <f ca="1">IF(AND($D146="Serviço",BP$12&lt;&gt;0,$H146&gt;0,OR(AUTOEVENTO&lt;&gt;"manual",$M146&lt;&gt;$A$15)),
        IF(Import.TipoArredondamento&lt;&gt;"TransfereGOV",
              ROUND(OFFSET($P146,0,BP$13),15-13*ORÇAMENTO!$AF$7)/$H146*OFFSET(ORÇAMENTO!$X$15,ROW(BP146)-ROW(BP$15),0),
              ROUND(ROUND(OFFSET($P146,0,BP$13),15-13*ORÇAMENTO!$AF$7)*OFFSET(ORÇAMENTO!$W$15,ROW(BP146)-ROW(BP$15),0),15-13*ORÇAMENTO!$AF$11)),
         0)</f>
        <v>0</v>
      </c>
      <c r="BQ146" s="453">
        <f ca="1">IF(AND($D146="Serviço",BQ$12&lt;&gt;0,$H146&gt;0,OR(AUTOEVENTO&lt;&gt;"manual",$M146&lt;&gt;$A$15)),
        IF(Import.TipoArredondamento&lt;&gt;"TransfereGOV",
              ROUND(OFFSET($P146,0,BQ$13),15-13*ORÇAMENTO!$AF$7)/$H146*OFFSET(ORÇAMENTO!$X$15,ROW(BQ146)-ROW(BQ$15),0),
              ROUND(ROUND(OFFSET($P146,0,BQ$13),15-13*ORÇAMENTO!$AF$7)*OFFSET(ORÇAMENTO!$W$15,ROW(BQ146)-ROW(BQ$15),0),15-13*ORÇAMENTO!$AF$11)),
         0)</f>
        <v>0</v>
      </c>
      <c r="BS146" s="171">
        <f ca="1">IF(OR($D146&lt;&gt;"Serviço",AND(AUTOEVENTO="Manual",$M146=$A$15)),0,
         IF(OFFSET(CRONOPLE!$F$15,$M146-$A$15,BS$13)=0,10^12,OFFSET(CRONOPLE!$F$15,$M146-$A$15,BS$13)))</f>
        <v>1</v>
      </c>
      <c r="BT146" s="171">
        <f ca="1">IF(OR($D146&lt;&gt;"Serviço",AND(AUTOEVENTO="Manual",$M146=$A$15)),0,
         IF(OFFSET(CRONOPLE!$F$15,$M146-$A$15,BT$13)=0,10^12,OFFSET(CRONOPLE!$F$15,$M146-$A$15,BT$13)))</f>
        <v>2</v>
      </c>
      <c r="BU146" s="171">
        <f ca="1">IF(OR($D146&lt;&gt;"Serviço",AND(AUTOEVENTO="Manual",$M146=$A$15)),0,
         IF(OFFSET(CRONOPLE!$F$15,$M146-$A$15,BU$13)=0,10^12,OFFSET(CRONOPLE!$F$15,$M146-$A$15,BU$13)))</f>
        <v>3</v>
      </c>
      <c r="BV146" s="171">
        <f ca="1">IF(OR($D146&lt;&gt;"Serviço",AND(AUTOEVENTO="Manual",$M146=$A$15)),0,
         IF(OFFSET(CRONOPLE!$F$15,$M146-$A$15,BV$13)=0,10^12,OFFSET(CRONOPLE!$F$15,$M146-$A$15,BV$13)))</f>
        <v>4</v>
      </c>
      <c r="BW146" s="171">
        <f ca="1">IF(OR($D146&lt;&gt;"Serviço",AND(AUTOEVENTO="Manual",$M146=$A$15)),0,
         IF(OFFSET(CRONOPLE!$F$15,$M146-$A$15,BW$13)=0,10^12,OFFSET(CRONOPLE!$F$15,$M146-$A$15,BW$13)))</f>
        <v>5</v>
      </c>
      <c r="BX146" s="171">
        <f ca="1">IF(OR($D146&lt;&gt;"Serviço",AND(AUTOEVENTO="Manual",$M146=$A$15)),0,
         IF(OFFSET(CRONOPLE!$F$15,$M146-$A$15,BX$13)=0,10^12,OFFSET(CRONOPLE!$F$15,$M146-$A$15,BX$13)))</f>
        <v>6</v>
      </c>
      <c r="BY146" s="171">
        <f ca="1">IF(OR($D146&lt;&gt;"Serviço",AND(AUTOEVENTO="Manual",$M146=$A$15)),0,
         IF(OFFSET(CRONOPLE!$F$15,$M146-$A$15,BY$13)=0,10^12,OFFSET(CRONOPLE!$F$15,$M146-$A$15,BY$13)))</f>
        <v>7</v>
      </c>
      <c r="BZ146" s="171">
        <f ca="1">IF(OR($D146&lt;&gt;"Serviço",AND(AUTOEVENTO="Manual",$M146=$A$15)),0,
         IF(OFFSET(CRONOPLE!$F$15,$M146-$A$15,BZ$13)=0,10^12,OFFSET(CRONOPLE!$F$15,$M146-$A$15,BZ$13)))</f>
        <v>8</v>
      </c>
      <c r="CA146" s="171">
        <f ca="1">IF(OR($D146&lt;&gt;"Serviço",AND(AUTOEVENTO="Manual",$M146=$A$15)),0,
         IF(OFFSET(CRONOPLE!$F$15,$M146-$A$15,CA$13)=0,10^12,OFFSET(CRONOPLE!$F$15,$M146-$A$15,CA$13)))</f>
        <v>9</v>
      </c>
      <c r="CB146" s="171">
        <f ca="1">IF(OR($D146&lt;&gt;"Serviço",AND(AUTOEVENTO="Manual",$M146=$A$15)),0,
         IF(OFFSET(CRONOPLE!$F$15,$M146-$A$15,CB$13)=0,10^12,OFFSET(CRONOPLE!$F$15,$M146-$A$15,CB$13)))</f>
        <v>10</v>
      </c>
      <c r="CC146" s="171">
        <f ca="1">IF(OR($D146&lt;&gt;"Serviço",AND(AUTOEVENTO="Manual",$M146=$A$15)),0,
         IF(OFFSET(CRONOPLE!$F$15,$M146-$A$15,CC$13)=0,10^12,OFFSET(CRONOPLE!$F$15,$M146-$A$15,CC$13)))</f>
        <v>11</v>
      </c>
      <c r="CD146" s="171">
        <f ca="1">IF(OR($D146&lt;&gt;"Serviço",AND(AUTOEVENTO="Manual",$M146=$A$15)),0,
         IF(OFFSET(CRONOPLE!$F$15,$M146-$A$15,CD$13)=0,10^12,OFFSET(CRONOPLE!$F$15,$M146-$A$15,CD$13)))</f>
        <v>12</v>
      </c>
      <c r="CE146" s="171">
        <f ca="1">IF(OR($D146&lt;&gt;"Serviço",AND(AUTOEVENTO="Manual",$M146=$A$15)),0,
         IF(OFFSET(CRONOPLE!$F$15,$M146-$A$15,CE$13)=0,10^12,OFFSET(CRONOPLE!$F$15,$M146-$A$15,CE$13)))</f>
        <v>13</v>
      </c>
      <c r="CF146" s="171">
        <f ca="1">IF(OR($D146&lt;&gt;"Serviço",AND(AUTOEVENTO="Manual",$M146=$A$15)),0,
         IF(OFFSET(CRONOPLE!$F$15,$M146-$A$15,CF$13)=0,10^12,OFFSET(CRONOPLE!$F$15,$M146-$A$15,CF$13)))</f>
        <v>14</v>
      </c>
      <c r="CG146" s="171">
        <f ca="1">IF(OR($D146&lt;&gt;"Serviço",AND(AUTOEVENTO="Manual",$M146=$A$15)),0,
         IF(OFFSET(CRONOPLE!$F$15,$M146-$A$15,CG$13)=0,10^12,OFFSET(CRONOPLE!$F$15,$M146-$A$15,CG$13)))</f>
        <v>15</v>
      </c>
      <c r="CH146" s="171">
        <f ca="1">IF(OR($D146&lt;&gt;"Serviço",AND(AUTOEVENTO="Manual",$M146=$A$15)),0,
         IF(OFFSET(CRONOPLE!$F$15,$M146-$A$15,CH$13)=0,10^12,OFFSET(CRONOPLE!$F$15,$M146-$A$15,CH$13)))</f>
        <v>16</v>
      </c>
      <c r="CI146" s="171">
        <f ca="1">IF(OR($D146&lt;&gt;"Serviço",AND(AUTOEVENTO="Manual",$M146=$A$15)),0,
         IF(OFFSET(CRONOPLE!$F$15,$M146-$A$15,CI$13)=0,10^12,OFFSET(CRONOPLE!$F$15,$M146-$A$15,CI$13)))</f>
        <v>17</v>
      </c>
      <c r="CJ146" s="171">
        <f ca="1">IF(OR($D146&lt;&gt;"Serviço",AND(AUTOEVENTO="Manual",$M146=$A$15)),0,
         IF(OFFSET(CRONOPLE!$F$15,$M146-$A$15,CJ$13)=0,10^12,OFFSET(CRONOPLE!$F$15,$M146-$A$15,CJ$13)))</f>
        <v>18</v>
      </c>
      <c r="CK146" s="171">
        <f ca="1">IF(OR($D146&lt;&gt;"Serviço",AND(AUTOEVENTO="Manual",$M146=$A$15)),0,
         IF(OFFSET(CRONOPLE!$F$15,$M146-$A$15,CK$13)=0,10^12,OFFSET(CRONOPLE!$F$15,$M146-$A$15,CK$13)))</f>
        <v>19</v>
      </c>
      <c r="CL146" s="171">
        <f ca="1">IF(OR($D146&lt;&gt;"Serviço",AND(AUTOEVENTO="Manual",$M146=$A$15)),0,
         IF(OFFSET(CRONOPLE!$F$15,$M146-$A$15,CL$13)=0,10^12,OFFSET(CRONOPLE!$F$15,$M146-$A$15,CL$13)))</f>
        <v>20</v>
      </c>
      <c r="CM146" s="171">
        <f ca="1">IF(OR($D146&lt;&gt;"Serviço",AND(AUTOEVENTO="Manual",$M146=$A$15)),0,
         IF(OFFSET(CRONOPLE!$F$15,$M146-$A$15,CM$13)=0,10^12,OFFSET(CRONOPLE!$F$15,$M146-$A$15,CM$13)))</f>
        <v>1000000000000</v>
      </c>
      <c r="CN146" s="171">
        <f ca="1">IF(OR($D146&lt;&gt;"Serviço",AND(AUTOEVENTO="Manual",$M146=$A$15)),0,
         IF(OFFSET(CRONOPLE!$F$15,$M146-$A$15,CN$13)=0,10^12,OFFSET(CRONOPLE!$F$15,$M146-$A$15,CN$13)))</f>
        <v>1000000000000</v>
      </c>
      <c r="CO146" s="171">
        <f ca="1">IF(OR($D146&lt;&gt;"Serviço",AND(AUTOEVENTO="Manual",$M146=$A$15)),0,
         IF(OFFSET(CRONOPLE!$F$15,$M146-$A$15,CO$13)=0,10^12,OFFSET(CRONOPLE!$F$15,$M146-$A$15,CO$13)))</f>
        <v>1000000000000</v>
      </c>
      <c r="CP146" s="171">
        <f ca="1">IF(OR($D146&lt;&gt;"Serviço",AND(AUTOEVENTO="Manual",$M146=$A$15)),0,
         IF(OFFSET(CRONOPLE!$F$15,$M146-$A$15,CP$13)=0,10^12,OFFSET(CRONOPLE!$F$15,$M146-$A$15,CP$13)))</f>
        <v>1000000000000</v>
      </c>
      <c r="CQ146" s="171">
        <f ca="1">IF(OR($D146&lt;&gt;"Serviço",AND(AUTOEVENTO="Manual",$M146=$A$15)),0,
         IF(OFFSET(CRONOPLE!$F$15,$M146-$A$15,CQ$13)=0,10^12,OFFSET(CRONOPLE!$F$15,$M146-$A$15,CQ$13)))</f>
        <v>1000000000000</v>
      </c>
      <c r="CR146" s="171">
        <f ca="1">IF(OR($D146&lt;&gt;"Serviço",AND(AUTOEVENTO="Manual",$M146=$A$15)),0,
         IF(OFFSET(CRONOPLE!$F$15,$M146-$A$15,CR$13)=0,10^12,OFFSET(CRONOPLE!$F$15,$M146-$A$15,CR$13)))</f>
        <v>1000000000000</v>
      </c>
      <c r="CT146" s="172" cm="1">
        <f t="array" aca="1" ref="CT146" ca="1">IF(OR($D146&lt;&gt;"Serviço",AND(AUTOEVENTO="Manual",$M146=$A$15),$M146&gt;(ROW(PLE.lastrow)-ROW(PLE.firstrow))),0,
           IF(OFFSET(PLE!$G$15,$M146-$A$15,CT$13)="",10^12,OFFSET(PLE!$G$15,$M146-$A$15,CT$13)))</f>
        <v>1000000000000</v>
      </c>
      <c r="CU146" s="172" cm="1">
        <f t="array" aca="1" ref="CU146" ca="1">IF(OR($D146&lt;&gt;"Serviço",AND(AUTOEVENTO="Manual",$M146=$A$15),$M146&gt;(ROW(PLE.lastrow)-ROW(PLE.firstrow))),0,
           IF(OFFSET(PLE!$G$15,$M146-$A$15,CU$13)="",10^12,OFFSET(PLE!$G$15,$M146-$A$15,CU$13)))</f>
        <v>1000000000000</v>
      </c>
      <c r="CV146" s="172" cm="1">
        <f t="array" aca="1" ref="CV146" ca="1">IF(OR($D146&lt;&gt;"Serviço",AND(AUTOEVENTO="Manual",$M146=$A$15),$M146&gt;(ROW(PLE.lastrow)-ROW(PLE.firstrow))),0,
           IF(OFFSET(PLE!$G$15,$M146-$A$15,CV$13)="",10^12,OFFSET(PLE!$G$15,$M146-$A$15,CV$13)))</f>
        <v>1000000000000</v>
      </c>
      <c r="CW146" s="172" cm="1">
        <f t="array" aca="1" ref="CW146" ca="1">IF(OR($D146&lt;&gt;"Serviço",AND(AUTOEVENTO="Manual",$M146=$A$15),$M146&gt;(ROW(PLE.lastrow)-ROW(PLE.firstrow))),0,
           IF(OFFSET(PLE!$G$15,$M146-$A$15,CW$13)="",10^12,OFFSET(PLE!$G$15,$M146-$A$15,CW$13)))</f>
        <v>1000000000000</v>
      </c>
      <c r="CX146" s="172" cm="1">
        <f t="array" aca="1" ref="CX146" ca="1">IF(OR($D146&lt;&gt;"Serviço",AND(AUTOEVENTO="Manual",$M146=$A$15),$M146&gt;(ROW(PLE.lastrow)-ROW(PLE.firstrow))),0,
           IF(OFFSET(PLE!$G$15,$M146-$A$15,CX$13)="",10^12,OFFSET(PLE!$G$15,$M146-$A$15,CX$13)))</f>
        <v>1000000000000</v>
      </c>
      <c r="CY146" s="172" cm="1">
        <f t="array" aca="1" ref="CY146" ca="1">IF(OR($D146&lt;&gt;"Serviço",AND(AUTOEVENTO="Manual",$M146=$A$15),$M146&gt;(ROW(PLE.lastrow)-ROW(PLE.firstrow))),0,
           IF(OFFSET(PLE!$G$15,$M146-$A$15,CY$13)="",10^12,OFFSET(PLE!$G$15,$M146-$A$15,CY$13)))</f>
        <v>1000000000000</v>
      </c>
      <c r="CZ146" s="172" cm="1">
        <f t="array" aca="1" ref="CZ146" ca="1">IF(OR($D146&lt;&gt;"Serviço",AND(AUTOEVENTO="Manual",$M146=$A$15),$M146&gt;(ROW(PLE.lastrow)-ROW(PLE.firstrow))),0,
           IF(OFFSET(PLE!$G$15,$M146-$A$15,CZ$13)="",10^12,OFFSET(PLE!$G$15,$M146-$A$15,CZ$13)))</f>
        <v>1000000000000</v>
      </c>
      <c r="DA146" s="172" cm="1">
        <f t="array" aca="1" ref="DA146" ca="1">IF(OR($D146&lt;&gt;"Serviço",AND(AUTOEVENTO="Manual",$M146=$A$15),$M146&gt;(ROW(PLE.lastrow)-ROW(PLE.firstrow))),0,
           IF(OFFSET(PLE!$G$15,$M146-$A$15,DA$13)="",10^12,OFFSET(PLE!$G$15,$M146-$A$15,DA$13)))</f>
        <v>1000000000000</v>
      </c>
      <c r="DB146" s="172" cm="1">
        <f t="array" aca="1" ref="DB146" ca="1">IF(OR($D146&lt;&gt;"Serviço",AND(AUTOEVENTO="Manual",$M146=$A$15),$M146&gt;(ROW(PLE.lastrow)-ROW(PLE.firstrow))),0,
           IF(OFFSET(PLE!$G$15,$M146-$A$15,DB$13)="",10^12,OFFSET(PLE!$G$15,$M146-$A$15,DB$13)))</f>
        <v>1000000000000</v>
      </c>
      <c r="DC146" s="172" cm="1">
        <f t="array" aca="1" ref="DC146" ca="1">IF(OR($D146&lt;&gt;"Serviço",AND(AUTOEVENTO="Manual",$M146=$A$15),$M146&gt;(ROW(PLE.lastrow)-ROW(PLE.firstrow))),0,
           IF(OFFSET(PLE!$G$15,$M146-$A$15,DC$13)="",10^12,OFFSET(PLE!$G$15,$M146-$A$15,DC$13)))</f>
        <v>1000000000000</v>
      </c>
      <c r="DD146" s="172" cm="1">
        <f t="array" aca="1" ref="DD146" ca="1">IF(OR($D146&lt;&gt;"Serviço",AND(AUTOEVENTO="Manual",$M146=$A$15),$M146&gt;(ROW(PLE.lastrow)-ROW(PLE.firstrow))),0,
           IF(OFFSET(PLE!$G$15,$M146-$A$15,DD$13)="",10^12,OFFSET(PLE!$G$15,$M146-$A$15,DD$13)))</f>
        <v>1000000000000</v>
      </c>
      <c r="DE146" s="172" cm="1">
        <f t="array" aca="1" ref="DE146" ca="1">IF(OR($D146&lt;&gt;"Serviço",AND(AUTOEVENTO="Manual",$M146=$A$15),$M146&gt;(ROW(PLE.lastrow)-ROW(PLE.firstrow))),0,
           IF(OFFSET(PLE!$G$15,$M146-$A$15,DE$13)="",10^12,OFFSET(PLE!$G$15,$M146-$A$15,DE$13)))</f>
        <v>1000000000000</v>
      </c>
      <c r="DF146" s="172" cm="1">
        <f t="array" aca="1" ref="DF146" ca="1">IF(OR($D146&lt;&gt;"Serviço",AND(AUTOEVENTO="Manual",$M146=$A$15),$M146&gt;(ROW(PLE.lastrow)-ROW(PLE.firstrow))),0,
           IF(OFFSET(PLE!$G$15,$M146-$A$15,DF$13)="",10^12,OFFSET(PLE!$G$15,$M146-$A$15,DF$13)))</f>
        <v>1000000000000</v>
      </c>
      <c r="DG146" s="172" cm="1">
        <f t="array" aca="1" ref="DG146" ca="1">IF(OR($D146&lt;&gt;"Serviço",AND(AUTOEVENTO="Manual",$M146=$A$15),$M146&gt;(ROW(PLE.lastrow)-ROW(PLE.firstrow))),0,
           IF(OFFSET(PLE!$G$15,$M146-$A$15,DG$13)="",10^12,OFFSET(PLE!$G$15,$M146-$A$15,DG$13)))</f>
        <v>1000000000000</v>
      </c>
      <c r="DH146" s="172" cm="1">
        <f t="array" aca="1" ref="DH146" ca="1">IF(OR($D146&lt;&gt;"Serviço",AND(AUTOEVENTO="Manual",$M146=$A$15),$M146&gt;(ROW(PLE.lastrow)-ROW(PLE.firstrow))),0,
           IF(OFFSET(PLE!$G$15,$M146-$A$15,DH$13)="",10^12,OFFSET(PLE!$G$15,$M146-$A$15,DH$13)))</f>
        <v>1000000000000</v>
      </c>
      <c r="DI146" s="172" cm="1">
        <f t="array" aca="1" ref="DI146" ca="1">IF(OR($D146&lt;&gt;"Serviço",AND(AUTOEVENTO="Manual",$M146=$A$15),$M146&gt;(ROW(PLE.lastrow)-ROW(PLE.firstrow))),0,
           IF(OFFSET(PLE!$G$15,$M146-$A$15,DI$13)="",10^12,OFFSET(PLE!$G$15,$M146-$A$15,DI$13)))</f>
        <v>1000000000000</v>
      </c>
      <c r="DJ146" s="172" cm="1">
        <f t="array" aca="1" ref="DJ146" ca="1">IF(OR($D146&lt;&gt;"Serviço",AND(AUTOEVENTO="Manual",$M146=$A$15),$M146&gt;(ROW(PLE.lastrow)-ROW(PLE.firstrow))),0,
           IF(OFFSET(PLE!$G$15,$M146-$A$15,DJ$13)="",10^12,OFFSET(PLE!$G$15,$M146-$A$15,DJ$13)))</f>
        <v>1000000000000</v>
      </c>
      <c r="DK146" s="172" cm="1">
        <f t="array" aca="1" ref="DK146" ca="1">IF(OR($D146&lt;&gt;"Serviço",AND(AUTOEVENTO="Manual",$M146=$A$15),$M146&gt;(ROW(PLE.lastrow)-ROW(PLE.firstrow))),0,
           IF(OFFSET(PLE!$G$15,$M146-$A$15,DK$13)="",10^12,OFFSET(PLE!$G$15,$M146-$A$15,DK$13)))</f>
        <v>1000000000000</v>
      </c>
      <c r="DL146" s="172" cm="1">
        <f t="array" aca="1" ref="DL146" ca="1">IF(OR($D146&lt;&gt;"Serviço",AND(AUTOEVENTO="Manual",$M146=$A$15),$M146&gt;(ROW(PLE.lastrow)-ROW(PLE.firstrow))),0,
           IF(OFFSET(PLE!$G$15,$M146-$A$15,DL$13)="",10^12,OFFSET(PLE!$G$15,$M146-$A$15,DL$13)))</f>
        <v>1000000000000</v>
      </c>
      <c r="DM146" s="172" cm="1">
        <f t="array" aca="1" ref="DM146" ca="1">IF(OR($D146&lt;&gt;"Serviço",AND(AUTOEVENTO="Manual",$M146=$A$15),$M146&gt;(ROW(PLE.lastrow)-ROW(PLE.firstrow))),0,
           IF(OFFSET(PLE!$G$15,$M146-$A$15,DM$13)="",10^12,OFFSET(PLE!$G$15,$M146-$A$15,DM$13)))</f>
        <v>1000000000000</v>
      </c>
      <c r="DN146" s="172" cm="1">
        <f t="array" aca="1" ref="DN146" ca="1">IF(OR($D146&lt;&gt;"Serviço",AND(AUTOEVENTO="Manual",$M146=$A$15),$M146&gt;(ROW(PLE.lastrow)-ROW(PLE.firstrow))),0,
           IF(OFFSET(PLE!$G$15,$M146-$A$15,DN$13)="",10^12,OFFSET(PLE!$G$15,$M146-$A$15,DN$13)))</f>
        <v>1000000000000</v>
      </c>
      <c r="DO146" s="172" cm="1">
        <f t="array" aca="1" ref="DO146" ca="1">IF(OR($D146&lt;&gt;"Serviço",AND(AUTOEVENTO="Manual",$M146=$A$15),$M146&gt;(ROW(PLE.lastrow)-ROW(PLE.firstrow))),0,
           IF(OFFSET(PLE!$G$15,$M146-$A$15,DO$13)="",10^12,OFFSET(PLE!$G$15,$M146-$A$15,DO$13)))</f>
        <v>1000000000000</v>
      </c>
      <c r="DP146" s="172" cm="1">
        <f t="array" aca="1" ref="DP146" ca="1">IF(OR($D146&lt;&gt;"Serviço",AND(AUTOEVENTO="Manual",$M146=$A$15),$M146&gt;(ROW(PLE.lastrow)-ROW(PLE.firstrow))),0,
           IF(OFFSET(PLE!$G$15,$M146-$A$15,DP$13)="",10^12,OFFSET(PLE!$G$15,$M146-$A$15,DP$13)))</f>
        <v>1000000000000</v>
      </c>
      <c r="DQ146" s="172" cm="1">
        <f t="array" aca="1" ref="DQ146" ca="1">IF(OR($D146&lt;&gt;"Serviço",AND(AUTOEVENTO="Manual",$M146=$A$15),$M146&gt;(ROW(PLE.lastrow)-ROW(PLE.firstrow))),0,
           IF(OFFSET(PLE!$G$15,$M146-$A$15,DQ$13)="",10^12,OFFSET(PLE!$G$15,$M146-$A$15,DQ$13)))</f>
        <v>1000000000000</v>
      </c>
      <c r="DR146" s="172" cm="1">
        <f t="array" aca="1" ref="DR146" ca="1">IF(OR($D146&lt;&gt;"Serviço",AND(AUTOEVENTO="Manual",$M146=$A$15),$M146&gt;(ROW(PLE.lastrow)-ROW(PLE.firstrow))),0,
           IF(OFFSET(PLE!$G$15,$M146-$A$15,DR$13)="",10^12,OFFSET(PLE!$G$15,$M146-$A$15,DR$13)))</f>
        <v>1000000000000</v>
      </c>
      <c r="DS146" s="172" cm="1">
        <f t="array" aca="1" ref="DS146" ca="1">IF(OR($D146&lt;&gt;"Serviço",AND(AUTOEVENTO="Manual",$M146=$A$15),$M146&gt;(ROW(PLE.lastrow)-ROW(PLE.firstrow))),0,
           IF(OFFSET(PLE!$G$15,$M146-$A$15,DS$13)="",10^12,OFFSET(PLE!$G$15,$M146-$A$15,DS$13)))</f>
        <v>1000000000000</v>
      </c>
    </row>
    <row r="147" spans="1:123" ht="25.5" x14ac:dyDescent="0.2">
      <c r="A147" s="7">
        <f t="shared" ca="1" si="15"/>
        <v>9</v>
      </c>
      <c r="B147" s="7" t="str">
        <f ca="1">OFFSET(ORÇAMENTO!C$15,$L147,0)</f>
        <v>S</v>
      </c>
      <c r="C147" s="7" t="str">
        <f ca="1">OFFSET(ORÇAMENTO!L$15,$L147,0)</f>
        <v/>
      </c>
      <c r="D147" s="116" t="str">
        <f ca="1">OFFSET(ORÇAMENTO!N$15,$L147,0)</f>
        <v>Serviço</v>
      </c>
      <c r="E147" s="117" t="str">
        <f ca="1">OFFSET(ORÇAMENTO!O$15,$L147,0)</f>
        <v>-</v>
      </c>
      <c r="F147" s="163" t="str">
        <f ca="1">OFFSET(ORÇAMENTO!R$15,$L147,0)</f>
        <v>(Código não identificado nas referências)</v>
      </c>
      <c r="G147" s="164" t="str">
        <f ca="1">IF($D147&lt;&gt;"Serviço","",OFFSET(ORÇAMENTO!S$15,$L147,0))</f>
        <v>-</v>
      </c>
      <c r="H147" s="122" cm="1">
        <f t="array" aca="1" ref="H147" ca="1">IF($D147&lt;&gt;"Serviço",0,IF(ACOMPANHAMENTO="BM",ROUND(OFFSET(ORÇAMENTO!AJ$15,$L147,0),15-13*ORÇAMENTO!$AF$7),IF(IFERROR(CÁLCULO.FrentesPreenchidas,0)=0,0,SUM(ROUND(OFFSET($P147,0,1,1,CÁLCULO.FrentesPreenchidas),15-13*ORÇAMENTO!$AF$7)))))</f>
        <v>120</v>
      </c>
      <c r="I147" s="468" t="s">
        <v>1235</v>
      </c>
      <c r="J147" s="651" t="str" cm="1">
        <f t="array" aca="1" ref="J147" ca="1">IF(OR(B147&lt;&gt;"S",CÁLCULO.FrentesPreenchidas=0),"",IF(AND(ACOMPANHAMENTO="PLE",AUTOEVENTO="Manual",OR(H147&gt;0,ORÇAMENTO!AC147="QUANT."),OR(K147="",M147=0,N147="")),"►E",IF(AND(ACOMPANHAMENTO="PLE",ORÇAMENTO!AC147="QUANT."),"►Q",IF(AND(ACOMPANHAMENTO="PLE",H147&lt;&gt;SUMPRODUCT(($Q$1:$AQ$1=1)*ROUND(Q147:AQ147,15))),"►S",IF(AND(COUNTIF($P$11:$AQ$11,"▼")=0,H147&gt;0,I147=""),"◄M","")))))</f>
        <v/>
      </c>
      <c r="K147" s="652" t="s">
        <v>1257</v>
      </c>
      <c r="L147" s="165">
        <f t="shared" ca="1" si="14"/>
        <v>132</v>
      </c>
      <c r="M147" s="166">
        <f ca="1">IF($D147&lt;&gt;"Serviço","",
          IF(AUTOEVENTO="manual",$A147,
                IF(ISERROR(MATCH($A147,$A$15:OFFSET($A147,-1,0),0)),MAX($M$15:OFFSET(M147,-1,0))+1,
                      INDEX($M$15:OFFSET(M147,-1,0),MATCH($A147,$A$15:OFFSET($A147,-1,0),0)))))</f>
        <v>9</v>
      </c>
      <c r="N147" s="167" t="str">
        <f ca="1">IF($D147&lt;&gt;"Serviço","",
         IF(AUTOEVENTO="Manual",
                IF($A147=0,"&lt;-- defina o número do agrupador",
                       OFFSET(EVENTOS!$D$15,$A147-$A$15,0)),
                OFFSET($F$15,$A147,0)))</f>
        <v>INSTALAÇÕES</v>
      </c>
      <c r="O147" s="168"/>
      <c r="Q147" s="168">
        <v>6</v>
      </c>
      <c r="R147" s="169">
        <v>6</v>
      </c>
      <c r="S147" s="169">
        <v>6</v>
      </c>
      <c r="T147" s="169">
        <v>6</v>
      </c>
      <c r="U147" s="169">
        <v>6</v>
      </c>
      <c r="V147" s="169">
        <v>6</v>
      </c>
      <c r="W147" s="169">
        <v>6</v>
      </c>
      <c r="X147" s="169">
        <v>6</v>
      </c>
      <c r="Y147" s="169">
        <v>6</v>
      </c>
      <c r="Z147" s="170">
        <v>6</v>
      </c>
      <c r="AA147" s="169">
        <v>6</v>
      </c>
      <c r="AB147" s="169">
        <v>6</v>
      </c>
      <c r="AC147" s="169">
        <v>6</v>
      </c>
      <c r="AD147" s="169">
        <v>6</v>
      </c>
      <c r="AE147" s="169">
        <v>6</v>
      </c>
      <c r="AF147" s="169">
        <v>6</v>
      </c>
      <c r="AG147" s="169">
        <v>6</v>
      </c>
      <c r="AH147" s="170">
        <v>6</v>
      </c>
      <c r="AI147" s="169">
        <v>6</v>
      </c>
      <c r="AJ147" s="169">
        <v>6</v>
      </c>
      <c r="AK147" s="169"/>
      <c r="AL147" s="169"/>
      <c r="AM147" s="169"/>
      <c r="AN147" s="169"/>
      <c r="AO147" s="169"/>
      <c r="AP147" s="170"/>
      <c r="AR147" s="453">
        <f ca="1">IF(AND($D147="Serviço",AR$12&lt;&gt;0,$H147&gt;0,OR(AUTOEVENTO&lt;&gt;"manual",$M147&lt;&gt;$A$15)),
        IF(Import.TipoArredondamento&lt;&gt;"TransfereGOV",
              ROUND(OFFSET($P147,0,AR$13),15-13*ORÇAMENTO!$AF$7)/$H147*OFFSET(ORÇAMENTO!$X$15,ROW(AR147)-ROW(AR$15),0),
              ROUND(ROUND(OFFSET($P147,0,AR$13),15-13*ORÇAMENTO!$AF$7)*OFFSET(ORÇAMENTO!$W$15,ROW(AR147)-ROW(AR$15),0),15-13*ORÇAMENTO!$AF$11)),
         0)</f>
        <v>0</v>
      </c>
      <c r="AS147" s="453">
        <f ca="1">IF(AND($D147="Serviço",AS$12&lt;&gt;0,$H147&gt;0,OR(AUTOEVENTO&lt;&gt;"manual",$M147&lt;&gt;$A$15)),
        IF(Import.TipoArredondamento&lt;&gt;"TransfereGOV",
              ROUND(OFFSET($P147,0,AS$13),15-13*ORÇAMENTO!$AF$7)/$H147*OFFSET(ORÇAMENTO!$X$15,ROW(AS147)-ROW(AS$15),0),
              ROUND(ROUND(OFFSET($P147,0,AS$13),15-13*ORÇAMENTO!$AF$7)*OFFSET(ORÇAMENTO!$W$15,ROW(AS147)-ROW(AS$15),0),15-13*ORÇAMENTO!$AF$11)),
         0)</f>
        <v>0</v>
      </c>
      <c r="AT147" s="453">
        <f ca="1">IF(AND($D147="Serviço",AT$12&lt;&gt;0,$H147&gt;0,OR(AUTOEVENTO&lt;&gt;"manual",$M147&lt;&gt;$A$15)),
        IF(Import.TipoArredondamento&lt;&gt;"TransfereGOV",
              ROUND(OFFSET($P147,0,AT$13),15-13*ORÇAMENTO!$AF$7)/$H147*OFFSET(ORÇAMENTO!$X$15,ROW(AT147)-ROW(AT$15),0),
              ROUND(ROUND(OFFSET($P147,0,AT$13),15-13*ORÇAMENTO!$AF$7)*OFFSET(ORÇAMENTO!$W$15,ROW(AT147)-ROW(AT$15),0),15-13*ORÇAMENTO!$AF$11)),
         0)</f>
        <v>0</v>
      </c>
      <c r="AU147" s="453">
        <f ca="1">IF(AND($D147="Serviço",AU$12&lt;&gt;0,$H147&gt;0,OR(AUTOEVENTO&lt;&gt;"manual",$M147&lt;&gt;$A$15)),
        IF(Import.TipoArredondamento&lt;&gt;"TransfereGOV",
              ROUND(OFFSET($P147,0,AU$13),15-13*ORÇAMENTO!$AF$7)/$H147*OFFSET(ORÇAMENTO!$X$15,ROW(AU147)-ROW(AU$15),0),
              ROUND(ROUND(OFFSET($P147,0,AU$13),15-13*ORÇAMENTO!$AF$7)*OFFSET(ORÇAMENTO!$W$15,ROW(AU147)-ROW(AU$15),0),15-13*ORÇAMENTO!$AF$11)),
         0)</f>
        <v>0</v>
      </c>
      <c r="AV147" s="453">
        <f ca="1">IF(AND($D147="Serviço",AV$12&lt;&gt;0,$H147&gt;0,OR(AUTOEVENTO&lt;&gt;"manual",$M147&lt;&gt;$A$15)),
        IF(Import.TipoArredondamento&lt;&gt;"TransfereGOV",
              ROUND(OFFSET($P147,0,AV$13),15-13*ORÇAMENTO!$AF$7)/$H147*OFFSET(ORÇAMENTO!$X$15,ROW(AV147)-ROW(AV$15),0),
              ROUND(ROUND(OFFSET($P147,0,AV$13),15-13*ORÇAMENTO!$AF$7)*OFFSET(ORÇAMENTO!$W$15,ROW(AV147)-ROW(AV$15),0),15-13*ORÇAMENTO!$AF$11)),
         0)</f>
        <v>0</v>
      </c>
      <c r="AW147" s="453">
        <f ca="1">IF(AND($D147="Serviço",AW$12&lt;&gt;0,$H147&gt;0,OR(AUTOEVENTO&lt;&gt;"manual",$M147&lt;&gt;$A$15)),
        IF(Import.TipoArredondamento&lt;&gt;"TransfereGOV",
              ROUND(OFFSET($P147,0,AW$13),15-13*ORÇAMENTO!$AF$7)/$H147*OFFSET(ORÇAMENTO!$X$15,ROW(AW147)-ROW(AW$15),0),
              ROUND(ROUND(OFFSET($P147,0,AW$13),15-13*ORÇAMENTO!$AF$7)*OFFSET(ORÇAMENTO!$W$15,ROW(AW147)-ROW(AW$15),0),15-13*ORÇAMENTO!$AF$11)),
         0)</f>
        <v>0</v>
      </c>
      <c r="AX147" s="453">
        <f ca="1">IF(AND($D147="Serviço",AX$12&lt;&gt;0,$H147&gt;0,OR(AUTOEVENTO&lt;&gt;"manual",$M147&lt;&gt;$A$15)),
        IF(Import.TipoArredondamento&lt;&gt;"TransfereGOV",
              ROUND(OFFSET($P147,0,AX$13),15-13*ORÇAMENTO!$AF$7)/$H147*OFFSET(ORÇAMENTO!$X$15,ROW(AX147)-ROW(AX$15),0),
              ROUND(ROUND(OFFSET($P147,0,AX$13),15-13*ORÇAMENTO!$AF$7)*OFFSET(ORÇAMENTO!$W$15,ROW(AX147)-ROW(AX$15),0),15-13*ORÇAMENTO!$AF$11)),
         0)</f>
        <v>0</v>
      </c>
      <c r="AY147" s="453">
        <f ca="1">IF(AND($D147="Serviço",AY$12&lt;&gt;0,$H147&gt;0,OR(AUTOEVENTO&lt;&gt;"manual",$M147&lt;&gt;$A$15)),
        IF(Import.TipoArredondamento&lt;&gt;"TransfereGOV",
              ROUND(OFFSET($P147,0,AY$13),15-13*ORÇAMENTO!$AF$7)/$H147*OFFSET(ORÇAMENTO!$X$15,ROW(AY147)-ROW(AY$15),0),
              ROUND(ROUND(OFFSET($P147,0,AY$13),15-13*ORÇAMENTO!$AF$7)*OFFSET(ORÇAMENTO!$W$15,ROW(AY147)-ROW(AY$15),0),15-13*ORÇAMENTO!$AF$11)),
         0)</f>
        <v>0</v>
      </c>
      <c r="AZ147" s="453">
        <f ca="1">IF(AND($D147="Serviço",AZ$12&lt;&gt;0,$H147&gt;0,OR(AUTOEVENTO&lt;&gt;"manual",$M147&lt;&gt;$A$15)),
        IF(Import.TipoArredondamento&lt;&gt;"TransfereGOV",
              ROUND(OFFSET($P147,0,AZ$13),15-13*ORÇAMENTO!$AF$7)/$H147*OFFSET(ORÇAMENTO!$X$15,ROW(AZ147)-ROW(AZ$15),0),
              ROUND(ROUND(OFFSET($P147,0,AZ$13),15-13*ORÇAMENTO!$AF$7)*OFFSET(ORÇAMENTO!$W$15,ROW(AZ147)-ROW(AZ$15),0),15-13*ORÇAMENTO!$AF$11)),
         0)</f>
        <v>0</v>
      </c>
      <c r="BA147" s="453">
        <f ca="1">IF(AND($D147="Serviço",BA$12&lt;&gt;0,$H147&gt;0,OR(AUTOEVENTO&lt;&gt;"manual",$M147&lt;&gt;$A$15)),
        IF(Import.TipoArredondamento&lt;&gt;"TransfereGOV",
              ROUND(OFFSET($P147,0,BA$13),15-13*ORÇAMENTO!$AF$7)/$H147*OFFSET(ORÇAMENTO!$X$15,ROW(BA147)-ROW(BA$15),0),
              ROUND(ROUND(OFFSET($P147,0,BA$13),15-13*ORÇAMENTO!$AF$7)*OFFSET(ORÇAMENTO!$W$15,ROW(BA147)-ROW(BA$15),0),15-13*ORÇAMENTO!$AF$11)),
         0)</f>
        <v>0</v>
      </c>
      <c r="BB147" s="453">
        <f ca="1">IF(AND($D147="Serviço",BB$12&lt;&gt;0,$H147&gt;0,OR(AUTOEVENTO&lt;&gt;"manual",$M147&lt;&gt;$A$15)),
        IF(Import.TipoArredondamento&lt;&gt;"TransfereGOV",
              ROUND(OFFSET($P147,0,BB$13),15-13*ORÇAMENTO!$AF$7)/$H147*OFFSET(ORÇAMENTO!$X$15,ROW(BB147)-ROW(BB$15),0),
              ROUND(ROUND(OFFSET($P147,0,BB$13),15-13*ORÇAMENTO!$AF$7)*OFFSET(ORÇAMENTO!$W$15,ROW(BB147)-ROW(BB$15),0),15-13*ORÇAMENTO!$AF$11)),
         0)</f>
        <v>0</v>
      </c>
      <c r="BC147" s="453">
        <f ca="1">IF(AND($D147="Serviço",BC$12&lt;&gt;0,$H147&gt;0,OR(AUTOEVENTO&lt;&gt;"manual",$M147&lt;&gt;$A$15)),
        IF(Import.TipoArredondamento&lt;&gt;"TransfereGOV",
              ROUND(OFFSET($P147,0,BC$13),15-13*ORÇAMENTO!$AF$7)/$H147*OFFSET(ORÇAMENTO!$X$15,ROW(BC147)-ROW(BC$15),0),
              ROUND(ROUND(OFFSET($P147,0,BC$13),15-13*ORÇAMENTO!$AF$7)*OFFSET(ORÇAMENTO!$W$15,ROW(BC147)-ROW(BC$15),0),15-13*ORÇAMENTO!$AF$11)),
         0)</f>
        <v>0</v>
      </c>
      <c r="BD147" s="453">
        <f ca="1">IF(AND($D147="Serviço",BD$12&lt;&gt;0,$H147&gt;0,OR(AUTOEVENTO&lt;&gt;"manual",$M147&lt;&gt;$A$15)),
        IF(Import.TipoArredondamento&lt;&gt;"TransfereGOV",
              ROUND(OFFSET($P147,0,BD$13),15-13*ORÇAMENTO!$AF$7)/$H147*OFFSET(ORÇAMENTO!$X$15,ROW(BD147)-ROW(BD$15),0),
              ROUND(ROUND(OFFSET($P147,0,BD$13),15-13*ORÇAMENTO!$AF$7)*OFFSET(ORÇAMENTO!$W$15,ROW(BD147)-ROW(BD$15),0),15-13*ORÇAMENTO!$AF$11)),
         0)</f>
        <v>0</v>
      </c>
      <c r="BE147" s="453">
        <f ca="1">IF(AND($D147="Serviço",BE$12&lt;&gt;0,$H147&gt;0,OR(AUTOEVENTO&lt;&gt;"manual",$M147&lt;&gt;$A$15)),
        IF(Import.TipoArredondamento&lt;&gt;"TransfereGOV",
              ROUND(OFFSET($P147,0,BE$13),15-13*ORÇAMENTO!$AF$7)/$H147*OFFSET(ORÇAMENTO!$X$15,ROW(BE147)-ROW(BE$15),0),
              ROUND(ROUND(OFFSET($P147,0,BE$13),15-13*ORÇAMENTO!$AF$7)*OFFSET(ORÇAMENTO!$W$15,ROW(BE147)-ROW(BE$15),0),15-13*ORÇAMENTO!$AF$11)),
         0)</f>
        <v>0</v>
      </c>
      <c r="BF147" s="453">
        <f ca="1">IF(AND($D147="Serviço",BF$12&lt;&gt;0,$H147&gt;0,OR(AUTOEVENTO&lt;&gt;"manual",$M147&lt;&gt;$A$15)),
        IF(Import.TipoArredondamento&lt;&gt;"TransfereGOV",
              ROUND(OFFSET($P147,0,BF$13),15-13*ORÇAMENTO!$AF$7)/$H147*OFFSET(ORÇAMENTO!$X$15,ROW(BF147)-ROW(BF$15),0),
              ROUND(ROUND(OFFSET($P147,0,BF$13),15-13*ORÇAMENTO!$AF$7)*OFFSET(ORÇAMENTO!$W$15,ROW(BF147)-ROW(BF$15),0),15-13*ORÇAMENTO!$AF$11)),
         0)</f>
        <v>0</v>
      </c>
      <c r="BG147" s="453">
        <f ca="1">IF(AND($D147="Serviço",BG$12&lt;&gt;0,$H147&gt;0,OR(AUTOEVENTO&lt;&gt;"manual",$M147&lt;&gt;$A$15)),
        IF(Import.TipoArredondamento&lt;&gt;"TransfereGOV",
              ROUND(OFFSET($P147,0,BG$13),15-13*ORÇAMENTO!$AF$7)/$H147*OFFSET(ORÇAMENTO!$X$15,ROW(BG147)-ROW(BG$15),0),
              ROUND(ROUND(OFFSET($P147,0,BG$13),15-13*ORÇAMENTO!$AF$7)*OFFSET(ORÇAMENTO!$W$15,ROW(BG147)-ROW(BG$15),0),15-13*ORÇAMENTO!$AF$11)),
         0)</f>
        <v>0</v>
      </c>
      <c r="BH147" s="453">
        <f ca="1">IF(AND($D147="Serviço",BH$12&lt;&gt;0,$H147&gt;0,OR(AUTOEVENTO&lt;&gt;"manual",$M147&lt;&gt;$A$15)),
        IF(Import.TipoArredondamento&lt;&gt;"TransfereGOV",
              ROUND(OFFSET($P147,0,BH$13),15-13*ORÇAMENTO!$AF$7)/$H147*OFFSET(ORÇAMENTO!$X$15,ROW(BH147)-ROW(BH$15),0),
              ROUND(ROUND(OFFSET($P147,0,BH$13),15-13*ORÇAMENTO!$AF$7)*OFFSET(ORÇAMENTO!$W$15,ROW(BH147)-ROW(BH$15),0),15-13*ORÇAMENTO!$AF$11)),
         0)</f>
        <v>0</v>
      </c>
      <c r="BI147" s="453">
        <f ca="1">IF(AND($D147="Serviço",BI$12&lt;&gt;0,$H147&gt;0,OR(AUTOEVENTO&lt;&gt;"manual",$M147&lt;&gt;$A$15)),
        IF(Import.TipoArredondamento&lt;&gt;"TransfereGOV",
              ROUND(OFFSET($P147,0,BI$13),15-13*ORÇAMENTO!$AF$7)/$H147*OFFSET(ORÇAMENTO!$X$15,ROW(BI147)-ROW(BI$15),0),
              ROUND(ROUND(OFFSET($P147,0,BI$13),15-13*ORÇAMENTO!$AF$7)*OFFSET(ORÇAMENTO!$W$15,ROW(BI147)-ROW(BI$15),0),15-13*ORÇAMENTO!$AF$11)),
         0)</f>
        <v>0</v>
      </c>
      <c r="BJ147" s="453">
        <f ca="1">IF(AND($D147="Serviço",BJ$12&lt;&gt;0,$H147&gt;0,OR(AUTOEVENTO&lt;&gt;"manual",$M147&lt;&gt;$A$15)),
        IF(Import.TipoArredondamento&lt;&gt;"TransfereGOV",
              ROUND(OFFSET($P147,0,BJ$13),15-13*ORÇAMENTO!$AF$7)/$H147*OFFSET(ORÇAMENTO!$X$15,ROW(BJ147)-ROW(BJ$15),0),
              ROUND(ROUND(OFFSET($P147,0,BJ$13),15-13*ORÇAMENTO!$AF$7)*OFFSET(ORÇAMENTO!$W$15,ROW(BJ147)-ROW(BJ$15),0),15-13*ORÇAMENTO!$AF$11)),
         0)</f>
        <v>0</v>
      </c>
      <c r="BK147" s="453">
        <f ca="1">IF(AND($D147="Serviço",BK$12&lt;&gt;0,$H147&gt;0,OR(AUTOEVENTO&lt;&gt;"manual",$M147&lt;&gt;$A$15)),
        IF(Import.TipoArredondamento&lt;&gt;"TransfereGOV",
              ROUND(OFFSET($P147,0,BK$13),15-13*ORÇAMENTO!$AF$7)/$H147*OFFSET(ORÇAMENTO!$X$15,ROW(BK147)-ROW(BK$15),0),
              ROUND(ROUND(OFFSET($P147,0,BK$13),15-13*ORÇAMENTO!$AF$7)*OFFSET(ORÇAMENTO!$W$15,ROW(BK147)-ROW(BK$15),0),15-13*ORÇAMENTO!$AF$11)),
         0)</f>
        <v>0</v>
      </c>
      <c r="BL147" s="453">
        <f ca="1">IF(AND($D147="Serviço",BL$12&lt;&gt;0,$H147&gt;0,OR(AUTOEVENTO&lt;&gt;"manual",$M147&lt;&gt;$A$15)),
        IF(Import.TipoArredondamento&lt;&gt;"TransfereGOV",
              ROUND(OFFSET($P147,0,BL$13),15-13*ORÇAMENTO!$AF$7)/$H147*OFFSET(ORÇAMENTO!$X$15,ROW(BL147)-ROW(BL$15),0),
              ROUND(ROUND(OFFSET($P147,0,BL$13),15-13*ORÇAMENTO!$AF$7)*OFFSET(ORÇAMENTO!$W$15,ROW(BL147)-ROW(BL$15),0),15-13*ORÇAMENTO!$AF$11)),
         0)</f>
        <v>0</v>
      </c>
      <c r="BM147" s="453">
        <f ca="1">IF(AND($D147="Serviço",BM$12&lt;&gt;0,$H147&gt;0,OR(AUTOEVENTO&lt;&gt;"manual",$M147&lt;&gt;$A$15)),
        IF(Import.TipoArredondamento&lt;&gt;"TransfereGOV",
              ROUND(OFFSET($P147,0,BM$13),15-13*ORÇAMENTO!$AF$7)/$H147*OFFSET(ORÇAMENTO!$X$15,ROW(BM147)-ROW(BM$15),0),
              ROUND(ROUND(OFFSET($P147,0,BM$13),15-13*ORÇAMENTO!$AF$7)*OFFSET(ORÇAMENTO!$W$15,ROW(BM147)-ROW(BM$15),0),15-13*ORÇAMENTO!$AF$11)),
         0)</f>
        <v>0</v>
      </c>
      <c r="BN147" s="453">
        <f ca="1">IF(AND($D147="Serviço",BN$12&lt;&gt;0,$H147&gt;0,OR(AUTOEVENTO&lt;&gt;"manual",$M147&lt;&gt;$A$15)),
        IF(Import.TipoArredondamento&lt;&gt;"TransfereGOV",
              ROUND(OFFSET($P147,0,BN$13),15-13*ORÇAMENTO!$AF$7)/$H147*OFFSET(ORÇAMENTO!$X$15,ROW(BN147)-ROW(BN$15),0),
              ROUND(ROUND(OFFSET($P147,0,BN$13),15-13*ORÇAMENTO!$AF$7)*OFFSET(ORÇAMENTO!$W$15,ROW(BN147)-ROW(BN$15),0),15-13*ORÇAMENTO!$AF$11)),
         0)</f>
        <v>0</v>
      </c>
      <c r="BO147" s="453">
        <f ca="1">IF(AND($D147="Serviço",BO$12&lt;&gt;0,$H147&gt;0,OR(AUTOEVENTO&lt;&gt;"manual",$M147&lt;&gt;$A$15)),
        IF(Import.TipoArredondamento&lt;&gt;"TransfereGOV",
              ROUND(OFFSET($P147,0,BO$13),15-13*ORÇAMENTO!$AF$7)/$H147*OFFSET(ORÇAMENTO!$X$15,ROW(BO147)-ROW(BO$15),0),
              ROUND(ROUND(OFFSET($P147,0,BO$13),15-13*ORÇAMENTO!$AF$7)*OFFSET(ORÇAMENTO!$W$15,ROW(BO147)-ROW(BO$15),0),15-13*ORÇAMENTO!$AF$11)),
         0)</f>
        <v>0</v>
      </c>
      <c r="BP147" s="453">
        <f ca="1">IF(AND($D147="Serviço",BP$12&lt;&gt;0,$H147&gt;0,OR(AUTOEVENTO&lt;&gt;"manual",$M147&lt;&gt;$A$15)),
        IF(Import.TipoArredondamento&lt;&gt;"TransfereGOV",
              ROUND(OFFSET($P147,0,BP$13),15-13*ORÇAMENTO!$AF$7)/$H147*OFFSET(ORÇAMENTO!$X$15,ROW(BP147)-ROW(BP$15),0),
              ROUND(ROUND(OFFSET($P147,0,BP$13),15-13*ORÇAMENTO!$AF$7)*OFFSET(ORÇAMENTO!$W$15,ROW(BP147)-ROW(BP$15),0),15-13*ORÇAMENTO!$AF$11)),
         0)</f>
        <v>0</v>
      </c>
      <c r="BQ147" s="453">
        <f ca="1">IF(AND($D147="Serviço",BQ$12&lt;&gt;0,$H147&gt;0,OR(AUTOEVENTO&lt;&gt;"manual",$M147&lt;&gt;$A$15)),
        IF(Import.TipoArredondamento&lt;&gt;"TransfereGOV",
              ROUND(OFFSET($P147,0,BQ$13),15-13*ORÇAMENTO!$AF$7)/$H147*OFFSET(ORÇAMENTO!$X$15,ROW(BQ147)-ROW(BQ$15),0),
              ROUND(ROUND(OFFSET($P147,0,BQ$13),15-13*ORÇAMENTO!$AF$7)*OFFSET(ORÇAMENTO!$W$15,ROW(BQ147)-ROW(BQ$15),0),15-13*ORÇAMENTO!$AF$11)),
         0)</f>
        <v>0</v>
      </c>
      <c r="BS147" s="171">
        <f ca="1">IF(OR($D147&lt;&gt;"Serviço",AND(AUTOEVENTO="Manual",$M147=$A$15)),0,
         IF(OFFSET(CRONOPLE!$F$15,$M147-$A$15,BS$13)=0,10^12,OFFSET(CRONOPLE!$F$15,$M147-$A$15,BS$13)))</f>
        <v>1</v>
      </c>
      <c r="BT147" s="171">
        <f ca="1">IF(OR($D147&lt;&gt;"Serviço",AND(AUTOEVENTO="Manual",$M147=$A$15)),0,
         IF(OFFSET(CRONOPLE!$F$15,$M147-$A$15,BT$13)=0,10^12,OFFSET(CRONOPLE!$F$15,$M147-$A$15,BT$13)))</f>
        <v>2</v>
      </c>
      <c r="BU147" s="171">
        <f ca="1">IF(OR($D147&lt;&gt;"Serviço",AND(AUTOEVENTO="Manual",$M147=$A$15)),0,
         IF(OFFSET(CRONOPLE!$F$15,$M147-$A$15,BU$13)=0,10^12,OFFSET(CRONOPLE!$F$15,$M147-$A$15,BU$13)))</f>
        <v>3</v>
      </c>
      <c r="BV147" s="171">
        <f ca="1">IF(OR($D147&lt;&gt;"Serviço",AND(AUTOEVENTO="Manual",$M147=$A$15)),0,
         IF(OFFSET(CRONOPLE!$F$15,$M147-$A$15,BV$13)=0,10^12,OFFSET(CRONOPLE!$F$15,$M147-$A$15,BV$13)))</f>
        <v>4</v>
      </c>
      <c r="BW147" s="171">
        <f ca="1">IF(OR($D147&lt;&gt;"Serviço",AND(AUTOEVENTO="Manual",$M147=$A$15)),0,
         IF(OFFSET(CRONOPLE!$F$15,$M147-$A$15,BW$13)=0,10^12,OFFSET(CRONOPLE!$F$15,$M147-$A$15,BW$13)))</f>
        <v>5</v>
      </c>
      <c r="BX147" s="171">
        <f ca="1">IF(OR($D147&lt;&gt;"Serviço",AND(AUTOEVENTO="Manual",$M147=$A$15)),0,
         IF(OFFSET(CRONOPLE!$F$15,$M147-$A$15,BX$13)=0,10^12,OFFSET(CRONOPLE!$F$15,$M147-$A$15,BX$13)))</f>
        <v>6</v>
      </c>
      <c r="BY147" s="171">
        <f ca="1">IF(OR($D147&lt;&gt;"Serviço",AND(AUTOEVENTO="Manual",$M147=$A$15)),0,
         IF(OFFSET(CRONOPLE!$F$15,$M147-$A$15,BY$13)=0,10^12,OFFSET(CRONOPLE!$F$15,$M147-$A$15,BY$13)))</f>
        <v>7</v>
      </c>
      <c r="BZ147" s="171">
        <f ca="1">IF(OR($D147&lt;&gt;"Serviço",AND(AUTOEVENTO="Manual",$M147=$A$15)),0,
         IF(OFFSET(CRONOPLE!$F$15,$M147-$A$15,BZ$13)=0,10^12,OFFSET(CRONOPLE!$F$15,$M147-$A$15,BZ$13)))</f>
        <v>8</v>
      </c>
      <c r="CA147" s="171">
        <f ca="1">IF(OR($D147&lt;&gt;"Serviço",AND(AUTOEVENTO="Manual",$M147=$A$15)),0,
         IF(OFFSET(CRONOPLE!$F$15,$M147-$A$15,CA$13)=0,10^12,OFFSET(CRONOPLE!$F$15,$M147-$A$15,CA$13)))</f>
        <v>9</v>
      </c>
      <c r="CB147" s="171">
        <f ca="1">IF(OR($D147&lt;&gt;"Serviço",AND(AUTOEVENTO="Manual",$M147=$A$15)),0,
         IF(OFFSET(CRONOPLE!$F$15,$M147-$A$15,CB$13)=0,10^12,OFFSET(CRONOPLE!$F$15,$M147-$A$15,CB$13)))</f>
        <v>10</v>
      </c>
      <c r="CC147" s="171">
        <f ca="1">IF(OR($D147&lt;&gt;"Serviço",AND(AUTOEVENTO="Manual",$M147=$A$15)),0,
         IF(OFFSET(CRONOPLE!$F$15,$M147-$A$15,CC$13)=0,10^12,OFFSET(CRONOPLE!$F$15,$M147-$A$15,CC$13)))</f>
        <v>11</v>
      </c>
      <c r="CD147" s="171">
        <f ca="1">IF(OR($D147&lt;&gt;"Serviço",AND(AUTOEVENTO="Manual",$M147=$A$15)),0,
         IF(OFFSET(CRONOPLE!$F$15,$M147-$A$15,CD$13)=0,10^12,OFFSET(CRONOPLE!$F$15,$M147-$A$15,CD$13)))</f>
        <v>12</v>
      </c>
      <c r="CE147" s="171">
        <f ca="1">IF(OR($D147&lt;&gt;"Serviço",AND(AUTOEVENTO="Manual",$M147=$A$15)),0,
         IF(OFFSET(CRONOPLE!$F$15,$M147-$A$15,CE$13)=0,10^12,OFFSET(CRONOPLE!$F$15,$M147-$A$15,CE$13)))</f>
        <v>13</v>
      </c>
      <c r="CF147" s="171">
        <f ca="1">IF(OR($D147&lt;&gt;"Serviço",AND(AUTOEVENTO="Manual",$M147=$A$15)),0,
         IF(OFFSET(CRONOPLE!$F$15,$M147-$A$15,CF$13)=0,10^12,OFFSET(CRONOPLE!$F$15,$M147-$A$15,CF$13)))</f>
        <v>14</v>
      </c>
      <c r="CG147" s="171">
        <f ca="1">IF(OR($D147&lt;&gt;"Serviço",AND(AUTOEVENTO="Manual",$M147=$A$15)),0,
         IF(OFFSET(CRONOPLE!$F$15,$M147-$A$15,CG$13)=0,10^12,OFFSET(CRONOPLE!$F$15,$M147-$A$15,CG$13)))</f>
        <v>15</v>
      </c>
      <c r="CH147" s="171">
        <f ca="1">IF(OR($D147&lt;&gt;"Serviço",AND(AUTOEVENTO="Manual",$M147=$A$15)),0,
         IF(OFFSET(CRONOPLE!$F$15,$M147-$A$15,CH$13)=0,10^12,OFFSET(CRONOPLE!$F$15,$M147-$A$15,CH$13)))</f>
        <v>16</v>
      </c>
      <c r="CI147" s="171">
        <f ca="1">IF(OR($D147&lt;&gt;"Serviço",AND(AUTOEVENTO="Manual",$M147=$A$15)),0,
         IF(OFFSET(CRONOPLE!$F$15,$M147-$A$15,CI$13)=0,10^12,OFFSET(CRONOPLE!$F$15,$M147-$A$15,CI$13)))</f>
        <v>17</v>
      </c>
      <c r="CJ147" s="171">
        <f ca="1">IF(OR($D147&lt;&gt;"Serviço",AND(AUTOEVENTO="Manual",$M147=$A$15)),0,
         IF(OFFSET(CRONOPLE!$F$15,$M147-$A$15,CJ$13)=0,10^12,OFFSET(CRONOPLE!$F$15,$M147-$A$15,CJ$13)))</f>
        <v>18</v>
      </c>
      <c r="CK147" s="171">
        <f ca="1">IF(OR($D147&lt;&gt;"Serviço",AND(AUTOEVENTO="Manual",$M147=$A$15)),0,
         IF(OFFSET(CRONOPLE!$F$15,$M147-$A$15,CK$13)=0,10^12,OFFSET(CRONOPLE!$F$15,$M147-$A$15,CK$13)))</f>
        <v>19</v>
      </c>
      <c r="CL147" s="171">
        <f ca="1">IF(OR($D147&lt;&gt;"Serviço",AND(AUTOEVENTO="Manual",$M147=$A$15)),0,
         IF(OFFSET(CRONOPLE!$F$15,$M147-$A$15,CL$13)=0,10^12,OFFSET(CRONOPLE!$F$15,$M147-$A$15,CL$13)))</f>
        <v>20</v>
      </c>
      <c r="CM147" s="171">
        <f ca="1">IF(OR($D147&lt;&gt;"Serviço",AND(AUTOEVENTO="Manual",$M147=$A$15)),0,
         IF(OFFSET(CRONOPLE!$F$15,$M147-$A$15,CM$13)=0,10^12,OFFSET(CRONOPLE!$F$15,$M147-$A$15,CM$13)))</f>
        <v>1000000000000</v>
      </c>
      <c r="CN147" s="171">
        <f ca="1">IF(OR($D147&lt;&gt;"Serviço",AND(AUTOEVENTO="Manual",$M147=$A$15)),0,
         IF(OFFSET(CRONOPLE!$F$15,$M147-$A$15,CN$13)=0,10^12,OFFSET(CRONOPLE!$F$15,$M147-$A$15,CN$13)))</f>
        <v>1000000000000</v>
      </c>
      <c r="CO147" s="171">
        <f ca="1">IF(OR($D147&lt;&gt;"Serviço",AND(AUTOEVENTO="Manual",$M147=$A$15)),0,
         IF(OFFSET(CRONOPLE!$F$15,$M147-$A$15,CO$13)=0,10^12,OFFSET(CRONOPLE!$F$15,$M147-$A$15,CO$13)))</f>
        <v>1000000000000</v>
      </c>
      <c r="CP147" s="171">
        <f ca="1">IF(OR($D147&lt;&gt;"Serviço",AND(AUTOEVENTO="Manual",$M147=$A$15)),0,
         IF(OFFSET(CRONOPLE!$F$15,$M147-$A$15,CP$13)=0,10^12,OFFSET(CRONOPLE!$F$15,$M147-$A$15,CP$13)))</f>
        <v>1000000000000</v>
      </c>
      <c r="CQ147" s="171">
        <f ca="1">IF(OR($D147&lt;&gt;"Serviço",AND(AUTOEVENTO="Manual",$M147=$A$15)),0,
         IF(OFFSET(CRONOPLE!$F$15,$M147-$A$15,CQ$13)=0,10^12,OFFSET(CRONOPLE!$F$15,$M147-$A$15,CQ$13)))</f>
        <v>1000000000000</v>
      </c>
      <c r="CR147" s="171">
        <f ca="1">IF(OR($D147&lt;&gt;"Serviço",AND(AUTOEVENTO="Manual",$M147=$A$15)),0,
         IF(OFFSET(CRONOPLE!$F$15,$M147-$A$15,CR$13)=0,10^12,OFFSET(CRONOPLE!$F$15,$M147-$A$15,CR$13)))</f>
        <v>1000000000000</v>
      </c>
      <c r="CT147" s="172" cm="1">
        <f t="array" aca="1" ref="CT147" ca="1">IF(OR($D147&lt;&gt;"Serviço",AND(AUTOEVENTO="Manual",$M147=$A$15),$M147&gt;(ROW(PLE.lastrow)-ROW(PLE.firstrow))),0,
           IF(OFFSET(PLE!$G$15,$M147-$A$15,CT$13)="",10^12,OFFSET(PLE!$G$15,$M147-$A$15,CT$13)))</f>
        <v>1000000000000</v>
      </c>
      <c r="CU147" s="172" cm="1">
        <f t="array" aca="1" ref="CU147" ca="1">IF(OR($D147&lt;&gt;"Serviço",AND(AUTOEVENTO="Manual",$M147=$A$15),$M147&gt;(ROW(PLE.lastrow)-ROW(PLE.firstrow))),0,
           IF(OFFSET(PLE!$G$15,$M147-$A$15,CU$13)="",10^12,OFFSET(PLE!$G$15,$M147-$A$15,CU$13)))</f>
        <v>1000000000000</v>
      </c>
      <c r="CV147" s="172" cm="1">
        <f t="array" aca="1" ref="CV147" ca="1">IF(OR($D147&lt;&gt;"Serviço",AND(AUTOEVENTO="Manual",$M147=$A$15),$M147&gt;(ROW(PLE.lastrow)-ROW(PLE.firstrow))),0,
           IF(OFFSET(PLE!$G$15,$M147-$A$15,CV$13)="",10^12,OFFSET(PLE!$G$15,$M147-$A$15,CV$13)))</f>
        <v>1000000000000</v>
      </c>
      <c r="CW147" s="172" cm="1">
        <f t="array" aca="1" ref="CW147" ca="1">IF(OR($D147&lt;&gt;"Serviço",AND(AUTOEVENTO="Manual",$M147=$A$15),$M147&gt;(ROW(PLE.lastrow)-ROW(PLE.firstrow))),0,
           IF(OFFSET(PLE!$G$15,$M147-$A$15,CW$13)="",10^12,OFFSET(PLE!$G$15,$M147-$A$15,CW$13)))</f>
        <v>1000000000000</v>
      </c>
      <c r="CX147" s="172" cm="1">
        <f t="array" aca="1" ref="CX147" ca="1">IF(OR($D147&lt;&gt;"Serviço",AND(AUTOEVENTO="Manual",$M147=$A$15),$M147&gt;(ROW(PLE.lastrow)-ROW(PLE.firstrow))),0,
           IF(OFFSET(PLE!$G$15,$M147-$A$15,CX$13)="",10^12,OFFSET(PLE!$G$15,$M147-$A$15,CX$13)))</f>
        <v>1000000000000</v>
      </c>
      <c r="CY147" s="172" cm="1">
        <f t="array" aca="1" ref="CY147" ca="1">IF(OR($D147&lt;&gt;"Serviço",AND(AUTOEVENTO="Manual",$M147=$A$15),$M147&gt;(ROW(PLE.lastrow)-ROW(PLE.firstrow))),0,
           IF(OFFSET(PLE!$G$15,$M147-$A$15,CY$13)="",10^12,OFFSET(PLE!$G$15,$M147-$A$15,CY$13)))</f>
        <v>1000000000000</v>
      </c>
      <c r="CZ147" s="172" cm="1">
        <f t="array" aca="1" ref="CZ147" ca="1">IF(OR($D147&lt;&gt;"Serviço",AND(AUTOEVENTO="Manual",$M147=$A$15),$M147&gt;(ROW(PLE.lastrow)-ROW(PLE.firstrow))),0,
           IF(OFFSET(PLE!$G$15,$M147-$A$15,CZ$13)="",10^12,OFFSET(PLE!$G$15,$M147-$A$15,CZ$13)))</f>
        <v>1000000000000</v>
      </c>
      <c r="DA147" s="172" cm="1">
        <f t="array" aca="1" ref="DA147" ca="1">IF(OR($D147&lt;&gt;"Serviço",AND(AUTOEVENTO="Manual",$M147=$A$15),$M147&gt;(ROW(PLE.lastrow)-ROW(PLE.firstrow))),0,
           IF(OFFSET(PLE!$G$15,$M147-$A$15,DA$13)="",10^12,OFFSET(PLE!$G$15,$M147-$A$15,DA$13)))</f>
        <v>1000000000000</v>
      </c>
      <c r="DB147" s="172" cm="1">
        <f t="array" aca="1" ref="DB147" ca="1">IF(OR($D147&lt;&gt;"Serviço",AND(AUTOEVENTO="Manual",$M147=$A$15),$M147&gt;(ROW(PLE.lastrow)-ROW(PLE.firstrow))),0,
           IF(OFFSET(PLE!$G$15,$M147-$A$15,DB$13)="",10^12,OFFSET(PLE!$G$15,$M147-$A$15,DB$13)))</f>
        <v>1000000000000</v>
      </c>
      <c r="DC147" s="172" cm="1">
        <f t="array" aca="1" ref="DC147" ca="1">IF(OR($D147&lt;&gt;"Serviço",AND(AUTOEVENTO="Manual",$M147=$A$15),$M147&gt;(ROW(PLE.lastrow)-ROW(PLE.firstrow))),0,
           IF(OFFSET(PLE!$G$15,$M147-$A$15,DC$13)="",10^12,OFFSET(PLE!$G$15,$M147-$A$15,DC$13)))</f>
        <v>1000000000000</v>
      </c>
      <c r="DD147" s="172" cm="1">
        <f t="array" aca="1" ref="DD147" ca="1">IF(OR($D147&lt;&gt;"Serviço",AND(AUTOEVENTO="Manual",$M147=$A$15),$M147&gt;(ROW(PLE.lastrow)-ROW(PLE.firstrow))),0,
           IF(OFFSET(PLE!$G$15,$M147-$A$15,DD$13)="",10^12,OFFSET(PLE!$G$15,$M147-$A$15,DD$13)))</f>
        <v>1000000000000</v>
      </c>
      <c r="DE147" s="172" cm="1">
        <f t="array" aca="1" ref="DE147" ca="1">IF(OR($D147&lt;&gt;"Serviço",AND(AUTOEVENTO="Manual",$M147=$A$15),$M147&gt;(ROW(PLE.lastrow)-ROW(PLE.firstrow))),0,
           IF(OFFSET(PLE!$G$15,$M147-$A$15,DE$13)="",10^12,OFFSET(PLE!$G$15,$M147-$A$15,DE$13)))</f>
        <v>1000000000000</v>
      </c>
      <c r="DF147" s="172" cm="1">
        <f t="array" aca="1" ref="DF147" ca="1">IF(OR($D147&lt;&gt;"Serviço",AND(AUTOEVENTO="Manual",$M147=$A$15),$M147&gt;(ROW(PLE.lastrow)-ROW(PLE.firstrow))),0,
           IF(OFFSET(PLE!$G$15,$M147-$A$15,DF$13)="",10^12,OFFSET(PLE!$G$15,$M147-$A$15,DF$13)))</f>
        <v>1000000000000</v>
      </c>
      <c r="DG147" s="172" cm="1">
        <f t="array" aca="1" ref="DG147" ca="1">IF(OR($D147&lt;&gt;"Serviço",AND(AUTOEVENTO="Manual",$M147=$A$15),$M147&gt;(ROW(PLE.lastrow)-ROW(PLE.firstrow))),0,
           IF(OFFSET(PLE!$G$15,$M147-$A$15,DG$13)="",10^12,OFFSET(PLE!$G$15,$M147-$A$15,DG$13)))</f>
        <v>1000000000000</v>
      </c>
      <c r="DH147" s="172" cm="1">
        <f t="array" aca="1" ref="DH147" ca="1">IF(OR($D147&lt;&gt;"Serviço",AND(AUTOEVENTO="Manual",$M147=$A$15),$M147&gt;(ROW(PLE.lastrow)-ROW(PLE.firstrow))),0,
           IF(OFFSET(PLE!$G$15,$M147-$A$15,DH$13)="",10^12,OFFSET(PLE!$G$15,$M147-$A$15,DH$13)))</f>
        <v>1000000000000</v>
      </c>
      <c r="DI147" s="172" cm="1">
        <f t="array" aca="1" ref="DI147" ca="1">IF(OR($D147&lt;&gt;"Serviço",AND(AUTOEVENTO="Manual",$M147=$A$15),$M147&gt;(ROW(PLE.lastrow)-ROW(PLE.firstrow))),0,
           IF(OFFSET(PLE!$G$15,$M147-$A$15,DI$13)="",10^12,OFFSET(PLE!$G$15,$M147-$A$15,DI$13)))</f>
        <v>1000000000000</v>
      </c>
      <c r="DJ147" s="172" cm="1">
        <f t="array" aca="1" ref="DJ147" ca="1">IF(OR($D147&lt;&gt;"Serviço",AND(AUTOEVENTO="Manual",$M147=$A$15),$M147&gt;(ROW(PLE.lastrow)-ROW(PLE.firstrow))),0,
           IF(OFFSET(PLE!$G$15,$M147-$A$15,DJ$13)="",10^12,OFFSET(PLE!$G$15,$M147-$A$15,DJ$13)))</f>
        <v>1000000000000</v>
      </c>
      <c r="DK147" s="172" cm="1">
        <f t="array" aca="1" ref="DK147" ca="1">IF(OR($D147&lt;&gt;"Serviço",AND(AUTOEVENTO="Manual",$M147=$A$15),$M147&gt;(ROW(PLE.lastrow)-ROW(PLE.firstrow))),0,
           IF(OFFSET(PLE!$G$15,$M147-$A$15,DK$13)="",10^12,OFFSET(PLE!$G$15,$M147-$A$15,DK$13)))</f>
        <v>1000000000000</v>
      </c>
      <c r="DL147" s="172" cm="1">
        <f t="array" aca="1" ref="DL147" ca="1">IF(OR($D147&lt;&gt;"Serviço",AND(AUTOEVENTO="Manual",$M147=$A$15),$M147&gt;(ROW(PLE.lastrow)-ROW(PLE.firstrow))),0,
           IF(OFFSET(PLE!$G$15,$M147-$A$15,DL$13)="",10^12,OFFSET(PLE!$G$15,$M147-$A$15,DL$13)))</f>
        <v>1000000000000</v>
      </c>
      <c r="DM147" s="172" cm="1">
        <f t="array" aca="1" ref="DM147" ca="1">IF(OR($D147&lt;&gt;"Serviço",AND(AUTOEVENTO="Manual",$M147=$A$15),$M147&gt;(ROW(PLE.lastrow)-ROW(PLE.firstrow))),0,
           IF(OFFSET(PLE!$G$15,$M147-$A$15,DM$13)="",10^12,OFFSET(PLE!$G$15,$M147-$A$15,DM$13)))</f>
        <v>1000000000000</v>
      </c>
      <c r="DN147" s="172" cm="1">
        <f t="array" aca="1" ref="DN147" ca="1">IF(OR($D147&lt;&gt;"Serviço",AND(AUTOEVENTO="Manual",$M147=$A$15),$M147&gt;(ROW(PLE.lastrow)-ROW(PLE.firstrow))),0,
           IF(OFFSET(PLE!$G$15,$M147-$A$15,DN$13)="",10^12,OFFSET(PLE!$G$15,$M147-$A$15,DN$13)))</f>
        <v>1000000000000</v>
      </c>
      <c r="DO147" s="172" cm="1">
        <f t="array" aca="1" ref="DO147" ca="1">IF(OR($D147&lt;&gt;"Serviço",AND(AUTOEVENTO="Manual",$M147=$A$15),$M147&gt;(ROW(PLE.lastrow)-ROW(PLE.firstrow))),0,
           IF(OFFSET(PLE!$G$15,$M147-$A$15,DO$13)="",10^12,OFFSET(PLE!$G$15,$M147-$A$15,DO$13)))</f>
        <v>1000000000000</v>
      </c>
      <c r="DP147" s="172" cm="1">
        <f t="array" aca="1" ref="DP147" ca="1">IF(OR($D147&lt;&gt;"Serviço",AND(AUTOEVENTO="Manual",$M147=$A$15),$M147&gt;(ROW(PLE.lastrow)-ROW(PLE.firstrow))),0,
           IF(OFFSET(PLE!$G$15,$M147-$A$15,DP$13)="",10^12,OFFSET(PLE!$G$15,$M147-$A$15,DP$13)))</f>
        <v>1000000000000</v>
      </c>
      <c r="DQ147" s="172" cm="1">
        <f t="array" aca="1" ref="DQ147" ca="1">IF(OR($D147&lt;&gt;"Serviço",AND(AUTOEVENTO="Manual",$M147=$A$15),$M147&gt;(ROW(PLE.lastrow)-ROW(PLE.firstrow))),0,
           IF(OFFSET(PLE!$G$15,$M147-$A$15,DQ$13)="",10^12,OFFSET(PLE!$G$15,$M147-$A$15,DQ$13)))</f>
        <v>1000000000000</v>
      </c>
      <c r="DR147" s="172" cm="1">
        <f t="array" aca="1" ref="DR147" ca="1">IF(OR($D147&lt;&gt;"Serviço",AND(AUTOEVENTO="Manual",$M147=$A$15),$M147&gt;(ROW(PLE.lastrow)-ROW(PLE.firstrow))),0,
           IF(OFFSET(PLE!$G$15,$M147-$A$15,DR$13)="",10^12,OFFSET(PLE!$G$15,$M147-$A$15,DR$13)))</f>
        <v>1000000000000</v>
      </c>
      <c r="DS147" s="172" cm="1">
        <f t="array" aca="1" ref="DS147" ca="1">IF(OR($D147&lt;&gt;"Serviço",AND(AUTOEVENTO="Manual",$M147=$A$15),$M147&gt;(ROW(PLE.lastrow)-ROW(PLE.firstrow))),0,
           IF(OFFSET(PLE!$G$15,$M147-$A$15,DS$13)="",10^12,OFFSET(PLE!$G$15,$M147-$A$15,DS$13)))</f>
        <v>1000000000000</v>
      </c>
    </row>
    <row r="148" spans="1:123" ht="25.5" x14ac:dyDescent="0.2">
      <c r="A148" s="7">
        <f t="shared" ca="1" si="15"/>
        <v>9</v>
      </c>
      <c r="B148" s="7" t="str">
        <f ca="1">OFFSET(ORÇAMENTO!C$15,$L148,0)</f>
        <v>S</v>
      </c>
      <c r="C148" s="7" t="str">
        <f ca="1">OFFSET(ORÇAMENTO!L$15,$L148,0)</f>
        <v/>
      </c>
      <c r="D148" s="116" t="str">
        <f ca="1">OFFSET(ORÇAMENTO!N$15,$L148,0)</f>
        <v>Serviço</v>
      </c>
      <c r="E148" s="117" t="str">
        <f ca="1">OFFSET(ORÇAMENTO!O$15,$L148,0)</f>
        <v>-</v>
      </c>
      <c r="F148" s="163" t="str">
        <f ca="1">OFFSET(ORÇAMENTO!R$15,$L148,0)</f>
        <v>(Código não identificado nas referências)</v>
      </c>
      <c r="G148" s="164" t="str">
        <f ca="1">IF($D148&lt;&gt;"Serviço","",OFFSET(ORÇAMENTO!S$15,$L148,0))</f>
        <v>-</v>
      </c>
      <c r="H148" s="122" cm="1">
        <f t="array" aca="1" ref="H148" ca="1">IF($D148&lt;&gt;"Serviço",0,IF(ACOMPANHAMENTO="BM",ROUND(OFFSET(ORÇAMENTO!AJ$15,$L148,0),15-13*ORÇAMENTO!$AF$7),IF(IFERROR(CÁLCULO.FrentesPreenchidas,0)=0,0,SUM(ROUND(OFFSET($P148,0,1,1,CÁLCULO.FrentesPreenchidas),15-13*ORÇAMENTO!$AF$7)))))</f>
        <v>20</v>
      </c>
      <c r="I148" s="468" t="s">
        <v>1235</v>
      </c>
      <c r="J148" s="651" t="str" cm="1">
        <f t="array" aca="1" ref="J148" ca="1">IF(OR(B148&lt;&gt;"S",CÁLCULO.FrentesPreenchidas=0),"",IF(AND(ACOMPANHAMENTO="PLE",AUTOEVENTO="Manual",OR(H148&gt;0,ORÇAMENTO!AC148="QUANT."),OR(K148="",M148=0,N148="")),"►E",IF(AND(ACOMPANHAMENTO="PLE",ORÇAMENTO!AC148="QUANT."),"►Q",IF(AND(ACOMPANHAMENTO="PLE",H148&lt;&gt;SUMPRODUCT(($Q$1:$AQ$1=1)*ROUND(Q148:AQ148,15))),"►S",IF(AND(COUNTIF($P$11:$AQ$11,"▼")=0,H148&gt;0,I148=""),"◄M","")))))</f>
        <v/>
      </c>
      <c r="K148" s="652" t="s">
        <v>1257</v>
      </c>
      <c r="L148" s="165">
        <f t="shared" ca="1" si="14"/>
        <v>133</v>
      </c>
      <c r="M148" s="166">
        <f ca="1">IF($D148&lt;&gt;"Serviço","",
          IF(AUTOEVENTO="manual",$A148,
                IF(ISERROR(MATCH($A148,$A$15:OFFSET($A148,-1,0),0)),MAX($M$15:OFFSET(M148,-1,0))+1,
                      INDEX($M$15:OFFSET(M148,-1,0),MATCH($A148,$A$15:OFFSET($A148,-1,0),0)))))</f>
        <v>9</v>
      </c>
      <c r="N148" s="167" t="str">
        <f ca="1">IF($D148&lt;&gt;"Serviço","",
         IF(AUTOEVENTO="Manual",
                IF($A148=0,"&lt;-- defina o número do agrupador",
                       OFFSET(EVENTOS!$D$15,$A148-$A$15,0)),
                OFFSET($F$15,$A148,0)))</f>
        <v>INSTALAÇÕES</v>
      </c>
      <c r="O148" s="168"/>
      <c r="Q148" s="168">
        <v>1</v>
      </c>
      <c r="R148" s="169">
        <v>1</v>
      </c>
      <c r="S148" s="169">
        <v>1</v>
      </c>
      <c r="T148" s="169">
        <v>1</v>
      </c>
      <c r="U148" s="169">
        <v>1</v>
      </c>
      <c r="V148" s="169">
        <v>1</v>
      </c>
      <c r="W148" s="169">
        <v>1</v>
      </c>
      <c r="X148" s="169">
        <v>1</v>
      </c>
      <c r="Y148" s="169">
        <v>1</v>
      </c>
      <c r="Z148" s="170">
        <v>1</v>
      </c>
      <c r="AA148" s="169">
        <v>1</v>
      </c>
      <c r="AB148" s="169">
        <v>1</v>
      </c>
      <c r="AC148" s="169">
        <v>1</v>
      </c>
      <c r="AD148" s="169">
        <v>1</v>
      </c>
      <c r="AE148" s="169">
        <v>1</v>
      </c>
      <c r="AF148" s="169">
        <v>1</v>
      </c>
      <c r="AG148" s="169">
        <v>1</v>
      </c>
      <c r="AH148" s="170">
        <v>1</v>
      </c>
      <c r="AI148" s="169">
        <v>1</v>
      </c>
      <c r="AJ148" s="169">
        <v>1</v>
      </c>
      <c r="AK148" s="169"/>
      <c r="AL148" s="169"/>
      <c r="AM148" s="169"/>
      <c r="AN148" s="169"/>
      <c r="AO148" s="169"/>
      <c r="AP148" s="170"/>
      <c r="AR148" s="453">
        <f ca="1">IF(AND($D148="Serviço",AR$12&lt;&gt;0,$H148&gt;0,OR(AUTOEVENTO&lt;&gt;"manual",$M148&lt;&gt;$A$15)),
        IF(Import.TipoArredondamento&lt;&gt;"TransfereGOV",
              ROUND(OFFSET($P148,0,AR$13),15-13*ORÇAMENTO!$AF$7)/$H148*OFFSET(ORÇAMENTO!$X$15,ROW(AR148)-ROW(AR$15),0),
              ROUND(ROUND(OFFSET($P148,0,AR$13),15-13*ORÇAMENTO!$AF$7)*OFFSET(ORÇAMENTO!$W$15,ROW(AR148)-ROW(AR$15),0),15-13*ORÇAMENTO!$AF$11)),
         0)</f>
        <v>0</v>
      </c>
      <c r="AS148" s="453">
        <f ca="1">IF(AND($D148="Serviço",AS$12&lt;&gt;0,$H148&gt;0,OR(AUTOEVENTO&lt;&gt;"manual",$M148&lt;&gt;$A$15)),
        IF(Import.TipoArredondamento&lt;&gt;"TransfereGOV",
              ROUND(OFFSET($P148,0,AS$13),15-13*ORÇAMENTO!$AF$7)/$H148*OFFSET(ORÇAMENTO!$X$15,ROW(AS148)-ROW(AS$15),0),
              ROUND(ROUND(OFFSET($P148,0,AS$13),15-13*ORÇAMENTO!$AF$7)*OFFSET(ORÇAMENTO!$W$15,ROW(AS148)-ROW(AS$15),0),15-13*ORÇAMENTO!$AF$11)),
         0)</f>
        <v>0</v>
      </c>
      <c r="AT148" s="453">
        <f ca="1">IF(AND($D148="Serviço",AT$12&lt;&gt;0,$H148&gt;0,OR(AUTOEVENTO&lt;&gt;"manual",$M148&lt;&gt;$A$15)),
        IF(Import.TipoArredondamento&lt;&gt;"TransfereGOV",
              ROUND(OFFSET($P148,0,AT$13),15-13*ORÇAMENTO!$AF$7)/$H148*OFFSET(ORÇAMENTO!$X$15,ROW(AT148)-ROW(AT$15),0),
              ROUND(ROUND(OFFSET($P148,0,AT$13),15-13*ORÇAMENTO!$AF$7)*OFFSET(ORÇAMENTO!$W$15,ROW(AT148)-ROW(AT$15),0),15-13*ORÇAMENTO!$AF$11)),
         0)</f>
        <v>0</v>
      </c>
      <c r="AU148" s="453">
        <f ca="1">IF(AND($D148="Serviço",AU$12&lt;&gt;0,$H148&gt;0,OR(AUTOEVENTO&lt;&gt;"manual",$M148&lt;&gt;$A$15)),
        IF(Import.TipoArredondamento&lt;&gt;"TransfereGOV",
              ROUND(OFFSET($P148,0,AU$13),15-13*ORÇAMENTO!$AF$7)/$H148*OFFSET(ORÇAMENTO!$X$15,ROW(AU148)-ROW(AU$15),0),
              ROUND(ROUND(OFFSET($P148,0,AU$13),15-13*ORÇAMENTO!$AF$7)*OFFSET(ORÇAMENTO!$W$15,ROW(AU148)-ROW(AU$15),0),15-13*ORÇAMENTO!$AF$11)),
         0)</f>
        <v>0</v>
      </c>
      <c r="AV148" s="453">
        <f ca="1">IF(AND($D148="Serviço",AV$12&lt;&gt;0,$H148&gt;0,OR(AUTOEVENTO&lt;&gt;"manual",$M148&lt;&gt;$A$15)),
        IF(Import.TipoArredondamento&lt;&gt;"TransfereGOV",
              ROUND(OFFSET($P148,0,AV$13),15-13*ORÇAMENTO!$AF$7)/$H148*OFFSET(ORÇAMENTO!$X$15,ROW(AV148)-ROW(AV$15),0),
              ROUND(ROUND(OFFSET($P148,0,AV$13),15-13*ORÇAMENTO!$AF$7)*OFFSET(ORÇAMENTO!$W$15,ROW(AV148)-ROW(AV$15),0),15-13*ORÇAMENTO!$AF$11)),
         0)</f>
        <v>0</v>
      </c>
      <c r="AW148" s="453">
        <f ca="1">IF(AND($D148="Serviço",AW$12&lt;&gt;0,$H148&gt;0,OR(AUTOEVENTO&lt;&gt;"manual",$M148&lt;&gt;$A$15)),
        IF(Import.TipoArredondamento&lt;&gt;"TransfereGOV",
              ROUND(OFFSET($P148,0,AW$13),15-13*ORÇAMENTO!$AF$7)/$H148*OFFSET(ORÇAMENTO!$X$15,ROW(AW148)-ROW(AW$15),0),
              ROUND(ROUND(OFFSET($P148,0,AW$13),15-13*ORÇAMENTO!$AF$7)*OFFSET(ORÇAMENTO!$W$15,ROW(AW148)-ROW(AW$15),0),15-13*ORÇAMENTO!$AF$11)),
         0)</f>
        <v>0</v>
      </c>
      <c r="AX148" s="453">
        <f ca="1">IF(AND($D148="Serviço",AX$12&lt;&gt;0,$H148&gt;0,OR(AUTOEVENTO&lt;&gt;"manual",$M148&lt;&gt;$A$15)),
        IF(Import.TipoArredondamento&lt;&gt;"TransfereGOV",
              ROUND(OFFSET($P148,0,AX$13),15-13*ORÇAMENTO!$AF$7)/$H148*OFFSET(ORÇAMENTO!$X$15,ROW(AX148)-ROW(AX$15),0),
              ROUND(ROUND(OFFSET($P148,0,AX$13),15-13*ORÇAMENTO!$AF$7)*OFFSET(ORÇAMENTO!$W$15,ROW(AX148)-ROW(AX$15),0),15-13*ORÇAMENTO!$AF$11)),
         0)</f>
        <v>0</v>
      </c>
      <c r="AY148" s="453">
        <f ca="1">IF(AND($D148="Serviço",AY$12&lt;&gt;0,$H148&gt;0,OR(AUTOEVENTO&lt;&gt;"manual",$M148&lt;&gt;$A$15)),
        IF(Import.TipoArredondamento&lt;&gt;"TransfereGOV",
              ROUND(OFFSET($P148,0,AY$13),15-13*ORÇAMENTO!$AF$7)/$H148*OFFSET(ORÇAMENTO!$X$15,ROW(AY148)-ROW(AY$15),0),
              ROUND(ROUND(OFFSET($P148,0,AY$13),15-13*ORÇAMENTO!$AF$7)*OFFSET(ORÇAMENTO!$W$15,ROW(AY148)-ROW(AY$15),0),15-13*ORÇAMENTO!$AF$11)),
         0)</f>
        <v>0</v>
      </c>
      <c r="AZ148" s="453">
        <f ca="1">IF(AND($D148="Serviço",AZ$12&lt;&gt;0,$H148&gt;0,OR(AUTOEVENTO&lt;&gt;"manual",$M148&lt;&gt;$A$15)),
        IF(Import.TipoArredondamento&lt;&gt;"TransfereGOV",
              ROUND(OFFSET($P148,0,AZ$13),15-13*ORÇAMENTO!$AF$7)/$H148*OFFSET(ORÇAMENTO!$X$15,ROW(AZ148)-ROW(AZ$15),0),
              ROUND(ROUND(OFFSET($P148,0,AZ$13),15-13*ORÇAMENTO!$AF$7)*OFFSET(ORÇAMENTO!$W$15,ROW(AZ148)-ROW(AZ$15),0),15-13*ORÇAMENTO!$AF$11)),
         0)</f>
        <v>0</v>
      </c>
      <c r="BA148" s="453">
        <f ca="1">IF(AND($D148="Serviço",BA$12&lt;&gt;0,$H148&gt;0,OR(AUTOEVENTO&lt;&gt;"manual",$M148&lt;&gt;$A$15)),
        IF(Import.TipoArredondamento&lt;&gt;"TransfereGOV",
              ROUND(OFFSET($P148,0,BA$13),15-13*ORÇAMENTO!$AF$7)/$H148*OFFSET(ORÇAMENTO!$X$15,ROW(BA148)-ROW(BA$15),0),
              ROUND(ROUND(OFFSET($P148,0,BA$13),15-13*ORÇAMENTO!$AF$7)*OFFSET(ORÇAMENTO!$W$15,ROW(BA148)-ROW(BA$15),0),15-13*ORÇAMENTO!$AF$11)),
         0)</f>
        <v>0</v>
      </c>
      <c r="BB148" s="453">
        <f ca="1">IF(AND($D148="Serviço",BB$12&lt;&gt;0,$H148&gt;0,OR(AUTOEVENTO&lt;&gt;"manual",$M148&lt;&gt;$A$15)),
        IF(Import.TipoArredondamento&lt;&gt;"TransfereGOV",
              ROUND(OFFSET($P148,0,BB$13),15-13*ORÇAMENTO!$AF$7)/$H148*OFFSET(ORÇAMENTO!$X$15,ROW(BB148)-ROW(BB$15),0),
              ROUND(ROUND(OFFSET($P148,0,BB$13),15-13*ORÇAMENTO!$AF$7)*OFFSET(ORÇAMENTO!$W$15,ROW(BB148)-ROW(BB$15),0),15-13*ORÇAMENTO!$AF$11)),
         0)</f>
        <v>0</v>
      </c>
      <c r="BC148" s="453">
        <f ca="1">IF(AND($D148="Serviço",BC$12&lt;&gt;0,$H148&gt;0,OR(AUTOEVENTO&lt;&gt;"manual",$M148&lt;&gt;$A$15)),
        IF(Import.TipoArredondamento&lt;&gt;"TransfereGOV",
              ROUND(OFFSET($P148,0,BC$13),15-13*ORÇAMENTO!$AF$7)/$H148*OFFSET(ORÇAMENTO!$X$15,ROW(BC148)-ROW(BC$15),0),
              ROUND(ROUND(OFFSET($P148,0,BC$13),15-13*ORÇAMENTO!$AF$7)*OFFSET(ORÇAMENTO!$W$15,ROW(BC148)-ROW(BC$15),0),15-13*ORÇAMENTO!$AF$11)),
         0)</f>
        <v>0</v>
      </c>
      <c r="BD148" s="453">
        <f ca="1">IF(AND($D148="Serviço",BD$12&lt;&gt;0,$H148&gt;0,OR(AUTOEVENTO&lt;&gt;"manual",$M148&lt;&gt;$A$15)),
        IF(Import.TipoArredondamento&lt;&gt;"TransfereGOV",
              ROUND(OFFSET($P148,0,BD$13),15-13*ORÇAMENTO!$AF$7)/$H148*OFFSET(ORÇAMENTO!$X$15,ROW(BD148)-ROW(BD$15),0),
              ROUND(ROUND(OFFSET($P148,0,BD$13),15-13*ORÇAMENTO!$AF$7)*OFFSET(ORÇAMENTO!$W$15,ROW(BD148)-ROW(BD$15),0),15-13*ORÇAMENTO!$AF$11)),
         0)</f>
        <v>0</v>
      </c>
      <c r="BE148" s="453">
        <f ca="1">IF(AND($D148="Serviço",BE$12&lt;&gt;0,$H148&gt;0,OR(AUTOEVENTO&lt;&gt;"manual",$M148&lt;&gt;$A$15)),
        IF(Import.TipoArredondamento&lt;&gt;"TransfereGOV",
              ROUND(OFFSET($P148,0,BE$13),15-13*ORÇAMENTO!$AF$7)/$H148*OFFSET(ORÇAMENTO!$X$15,ROW(BE148)-ROW(BE$15),0),
              ROUND(ROUND(OFFSET($P148,0,BE$13),15-13*ORÇAMENTO!$AF$7)*OFFSET(ORÇAMENTO!$W$15,ROW(BE148)-ROW(BE$15),0),15-13*ORÇAMENTO!$AF$11)),
         0)</f>
        <v>0</v>
      </c>
      <c r="BF148" s="453">
        <f ca="1">IF(AND($D148="Serviço",BF$12&lt;&gt;0,$H148&gt;0,OR(AUTOEVENTO&lt;&gt;"manual",$M148&lt;&gt;$A$15)),
        IF(Import.TipoArredondamento&lt;&gt;"TransfereGOV",
              ROUND(OFFSET($P148,0,BF$13),15-13*ORÇAMENTO!$AF$7)/$H148*OFFSET(ORÇAMENTO!$X$15,ROW(BF148)-ROW(BF$15),0),
              ROUND(ROUND(OFFSET($P148,0,BF$13),15-13*ORÇAMENTO!$AF$7)*OFFSET(ORÇAMENTO!$W$15,ROW(BF148)-ROW(BF$15),0),15-13*ORÇAMENTO!$AF$11)),
         0)</f>
        <v>0</v>
      </c>
      <c r="BG148" s="453">
        <f ca="1">IF(AND($D148="Serviço",BG$12&lt;&gt;0,$H148&gt;0,OR(AUTOEVENTO&lt;&gt;"manual",$M148&lt;&gt;$A$15)),
        IF(Import.TipoArredondamento&lt;&gt;"TransfereGOV",
              ROUND(OFFSET($P148,0,BG$13),15-13*ORÇAMENTO!$AF$7)/$H148*OFFSET(ORÇAMENTO!$X$15,ROW(BG148)-ROW(BG$15),0),
              ROUND(ROUND(OFFSET($P148,0,BG$13),15-13*ORÇAMENTO!$AF$7)*OFFSET(ORÇAMENTO!$W$15,ROW(BG148)-ROW(BG$15),0),15-13*ORÇAMENTO!$AF$11)),
         0)</f>
        <v>0</v>
      </c>
      <c r="BH148" s="453">
        <f ca="1">IF(AND($D148="Serviço",BH$12&lt;&gt;0,$H148&gt;0,OR(AUTOEVENTO&lt;&gt;"manual",$M148&lt;&gt;$A$15)),
        IF(Import.TipoArredondamento&lt;&gt;"TransfereGOV",
              ROUND(OFFSET($P148,0,BH$13),15-13*ORÇAMENTO!$AF$7)/$H148*OFFSET(ORÇAMENTO!$X$15,ROW(BH148)-ROW(BH$15),0),
              ROUND(ROUND(OFFSET($P148,0,BH$13),15-13*ORÇAMENTO!$AF$7)*OFFSET(ORÇAMENTO!$W$15,ROW(BH148)-ROW(BH$15),0),15-13*ORÇAMENTO!$AF$11)),
         0)</f>
        <v>0</v>
      </c>
      <c r="BI148" s="453">
        <f ca="1">IF(AND($D148="Serviço",BI$12&lt;&gt;0,$H148&gt;0,OR(AUTOEVENTO&lt;&gt;"manual",$M148&lt;&gt;$A$15)),
        IF(Import.TipoArredondamento&lt;&gt;"TransfereGOV",
              ROUND(OFFSET($P148,0,BI$13),15-13*ORÇAMENTO!$AF$7)/$H148*OFFSET(ORÇAMENTO!$X$15,ROW(BI148)-ROW(BI$15),0),
              ROUND(ROUND(OFFSET($P148,0,BI$13),15-13*ORÇAMENTO!$AF$7)*OFFSET(ORÇAMENTO!$W$15,ROW(BI148)-ROW(BI$15),0),15-13*ORÇAMENTO!$AF$11)),
         0)</f>
        <v>0</v>
      </c>
      <c r="BJ148" s="453">
        <f ca="1">IF(AND($D148="Serviço",BJ$12&lt;&gt;0,$H148&gt;0,OR(AUTOEVENTO&lt;&gt;"manual",$M148&lt;&gt;$A$15)),
        IF(Import.TipoArredondamento&lt;&gt;"TransfereGOV",
              ROUND(OFFSET($P148,0,BJ$13),15-13*ORÇAMENTO!$AF$7)/$H148*OFFSET(ORÇAMENTO!$X$15,ROW(BJ148)-ROW(BJ$15),0),
              ROUND(ROUND(OFFSET($P148,0,BJ$13),15-13*ORÇAMENTO!$AF$7)*OFFSET(ORÇAMENTO!$W$15,ROW(BJ148)-ROW(BJ$15),0),15-13*ORÇAMENTO!$AF$11)),
         0)</f>
        <v>0</v>
      </c>
      <c r="BK148" s="453">
        <f ca="1">IF(AND($D148="Serviço",BK$12&lt;&gt;0,$H148&gt;0,OR(AUTOEVENTO&lt;&gt;"manual",$M148&lt;&gt;$A$15)),
        IF(Import.TipoArredondamento&lt;&gt;"TransfereGOV",
              ROUND(OFFSET($P148,0,BK$13),15-13*ORÇAMENTO!$AF$7)/$H148*OFFSET(ORÇAMENTO!$X$15,ROW(BK148)-ROW(BK$15),0),
              ROUND(ROUND(OFFSET($P148,0,BK$13),15-13*ORÇAMENTO!$AF$7)*OFFSET(ORÇAMENTO!$W$15,ROW(BK148)-ROW(BK$15),0),15-13*ORÇAMENTO!$AF$11)),
         0)</f>
        <v>0</v>
      </c>
      <c r="BL148" s="453">
        <f ca="1">IF(AND($D148="Serviço",BL$12&lt;&gt;0,$H148&gt;0,OR(AUTOEVENTO&lt;&gt;"manual",$M148&lt;&gt;$A$15)),
        IF(Import.TipoArredondamento&lt;&gt;"TransfereGOV",
              ROUND(OFFSET($P148,0,BL$13),15-13*ORÇAMENTO!$AF$7)/$H148*OFFSET(ORÇAMENTO!$X$15,ROW(BL148)-ROW(BL$15),0),
              ROUND(ROUND(OFFSET($P148,0,BL$13),15-13*ORÇAMENTO!$AF$7)*OFFSET(ORÇAMENTO!$W$15,ROW(BL148)-ROW(BL$15),0),15-13*ORÇAMENTO!$AF$11)),
         0)</f>
        <v>0</v>
      </c>
      <c r="BM148" s="453">
        <f ca="1">IF(AND($D148="Serviço",BM$12&lt;&gt;0,$H148&gt;0,OR(AUTOEVENTO&lt;&gt;"manual",$M148&lt;&gt;$A$15)),
        IF(Import.TipoArredondamento&lt;&gt;"TransfereGOV",
              ROUND(OFFSET($P148,0,BM$13),15-13*ORÇAMENTO!$AF$7)/$H148*OFFSET(ORÇAMENTO!$X$15,ROW(BM148)-ROW(BM$15),0),
              ROUND(ROUND(OFFSET($P148,0,BM$13),15-13*ORÇAMENTO!$AF$7)*OFFSET(ORÇAMENTO!$W$15,ROW(BM148)-ROW(BM$15),0),15-13*ORÇAMENTO!$AF$11)),
         0)</f>
        <v>0</v>
      </c>
      <c r="BN148" s="453">
        <f ca="1">IF(AND($D148="Serviço",BN$12&lt;&gt;0,$H148&gt;0,OR(AUTOEVENTO&lt;&gt;"manual",$M148&lt;&gt;$A$15)),
        IF(Import.TipoArredondamento&lt;&gt;"TransfereGOV",
              ROUND(OFFSET($P148,0,BN$13),15-13*ORÇAMENTO!$AF$7)/$H148*OFFSET(ORÇAMENTO!$X$15,ROW(BN148)-ROW(BN$15),0),
              ROUND(ROUND(OFFSET($P148,0,BN$13),15-13*ORÇAMENTO!$AF$7)*OFFSET(ORÇAMENTO!$W$15,ROW(BN148)-ROW(BN$15),0),15-13*ORÇAMENTO!$AF$11)),
         0)</f>
        <v>0</v>
      </c>
      <c r="BO148" s="453">
        <f ca="1">IF(AND($D148="Serviço",BO$12&lt;&gt;0,$H148&gt;0,OR(AUTOEVENTO&lt;&gt;"manual",$M148&lt;&gt;$A$15)),
        IF(Import.TipoArredondamento&lt;&gt;"TransfereGOV",
              ROUND(OFFSET($P148,0,BO$13),15-13*ORÇAMENTO!$AF$7)/$H148*OFFSET(ORÇAMENTO!$X$15,ROW(BO148)-ROW(BO$15),0),
              ROUND(ROUND(OFFSET($P148,0,BO$13),15-13*ORÇAMENTO!$AF$7)*OFFSET(ORÇAMENTO!$W$15,ROW(BO148)-ROW(BO$15),0),15-13*ORÇAMENTO!$AF$11)),
         0)</f>
        <v>0</v>
      </c>
      <c r="BP148" s="453">
        <f ca="1">IF(AND($D148="Serviço",BP$12&lt;&gt;0,$H148&gt;0,OR(AUTOEVENTO&lt;&gt;"manual",$M148&lt;&gt;$A$15)),
        IF(Import.TipoArredondamento&lt;&gt;"TransfereGOV",
              ROUND(OFFSET($P148,0,BP$13),15-13*ORÇAMENTO!$AF$7)/$H148*OFFSET(ORÇAMENTO!$X$15,ROW(BP148)-ROW(BP$15),0),
              ROUND(ROUND(OFFSET($P148,0,BP$13),15-13*ORÇAMENTO!$AF$7)*OFFSET(ORÇAMENTO!$W$15,ROW(BP148)-ROW(BP$15),0),15-13*ORÇAMENTO!$AF$11)),
         0)</f>
        <v>0</v>
      </c>
      <c r="BQ148" s="453">
        <f ca="1">IF(AND($D148="Serviço",BQ$12&lt;&gt;0,$H148&gt;0,OR(AUTOEVENTO&lt;&gt;"manual",$M148&lt;&gt;$A$15)),
        IF(Import.TipoArredondamento&lt;&gt;"TransfereGOV",
              ROUND(OFFSET($P148,0,BQ$13),15-13*ORÇAMENTO!$AF$7)/$H148*OFFSET(ORÇAMENTO!$X$15,ROW(BQ148)-ROW(BQ$15),0),
              ROUND(ROUND(OFFSET($P148,0,BQ$13),15-13*ORÇAMENTO!$AF$7)*OFFSET(ORÇAMENTO!$W$15,ROW(BQ148)-ROW(BQ$15),0),15-13*ORÇAMENTO!$AF$11)),
         0)</f>
        <v>0</v>
      </c>
      <c r="BS148" s="171">
        <f ca="1">IF(OR($D148&lt;&gt;"Serviço",AND(AUTOEVENTO="Manual",$M148=$A$15)),0,
         IF(OFFSET(CRONOPLE!$F$15,$M148-$A$15,BS$13)=0,10^12,OFFSET(CRONOPLE!$F$15,$M148-$A$15,BS$13)))</f>
        <v>1</v>
      </c>
      <c r="BT148" s="171">
        <f ca="1">IF(OR($D148&lt;&gt;"Serviço",AND(AUTOEVENTO="Manual",$M148=$A$15)),0,
         IF(OFFSET(CRONOPLE!$F$15,$M148-$A$15,BT$13)=0,10^12,OFFSET(CRONOPLE!$F$15,$M148-$A$15,BT$13)))</f>
        <v>2</v>
      </c>
      <c r="BU148" s="171">
        <f ca="1">IF(OR($D148&lt;&gt;"Serviço",AND(AUTOEVENTO="Manual",$M148=$A$15)),0,
         IF(OFFSET(CRONOPLE!$F$15,$M148-$A$15,BU$13)=0,10^12,OFFSET(CRONOPLE!$F$15,$M148-$A$15,BU$13)))</f>
        <v>3</v>
      </c>
      <c r="BV148" s="171">
        <f ca="1">IF(OR($D148&lt;&gt;"Serviço",AND(AUTOEVENTO="Manual",$M148=$A$15)),0,
         IF(OFFSET(CRONOPLE!$F$15,$M148-$A$15,BV$13)=0,10^12,OFFSET(CRONOPLE!$F$15,$M148-$A$15,BV$13)))</f>
        <v>4</v>
      </c>
      <c r="BW148" s="171">
        <f ca="1">IF(OR($D148&lt;&gt;"Serviço",AND(AUTOEVENTO="Manual",$M148=$A$15)),0,
         IF(OFFSET(CRONOPLE!$F$15,$M148-$A$15,BW$13)=0,10^12,OFFSET(CRONOPLE!$F$15,$M148-$A$15,BW$13)))</f>
        <v>5</v>
      </c>
      <c r="BX148" s="171">
        <f ca="1">IF(OR($D148&lt;&gt;"Serviço",AND(AUTOEVENTO="Manual",$M148=$A$15)),0,
         IF(OFFSET(CRONOPLE!$F$15,$M148-$A$15,BX$13)=0,10^12,OFFSET(CRONOPLE!$F$15,$M148-$A$15,BX$13)))</f>
        <v>6</v>
      </c>
      <c r="BY148" s="171">
        <f ca="1">IF(OR($D148&lt;&gt;"Serviço",AND(AUTOEVENTO="Manual",$M148=$A$15)),0,
         IF(OFFSET(CRONOPLE!$F$15,$M148-$A$15,BY$13)=0,10^12,OFFSET(CRONOPLE!$F$15,$M148-$A$15,BY$13)))</f>
        <v>7</v>
      </c>
      <c r="BZ148" s="171">
        <f ca="1">IF(OR($D148&lt;&gt;"Serviço",AND(AUTOEVENTO="Manual",$M148=$A$15)),0,
         IF(OFFSET(CRONOPLE!$F$15,$M148-$A$15,BZ$13)=0,10^12,OFFSET(CRONOPLE!$F$15,$M148-$A$15,BZ$13)))</f>
        <v>8</v>
      </c>
      <c r="CA148" s="171">
        <f ca="1">IF(OR($D148&lt;&gt;"Serviço",AND(AUTOEVENTO="Manual",$M148=$A$15)),0,
         IF(OFFSET(CRONOPLE!$F$15,$M148-$A$15,CA$13)=0,10^12,OFFSET(CRONOPLE!$F$15,$M148-$A$15,CA$13)))</f>
        <v>9</v>
      </c>
      <c r="CB148" s="171">
        <f ca="1">IF(OR($D148&lt;&gt;"Serviço",AND(AUTOEVENTO="Manual",$M148=$A$15)),0,
         IF(OFFSET(CRONOPLE!$F$15,$M148-$A$15,CB$13)=0,10^12,OFFSET(CRONOPLE!$F$15,$M148-$A$15,CB$13)))</f>
        <v>10</v>
      </c>
      <c r="CC148" s="171">
        <f ca="1">IF(OR($D148&lt;&gt;"Serviço",AND(AUTOEVENTO="Manual",$M148=$A$15)),0,
         IF(OFFSET(CRONOPLE!$F$15,$M148-$A$15,CC$13)=0,10^12,OFFSET(CRONOPLE!$F$15,$M148-$A$15,CC$13)))</f>
        <v>11</v>
      </c>
      <c r="CD148" s="171">
        <f ca="1">IF(OR($D148&lt;&gt;"Serviço",AND(AUTOEVENTO="Manual",$M148=$A$15)),0,
         IF(OFFSET(CRONOPLE!$F$15,$M148-$A$15,CD$13)=0,10^12,OFFSET(CRONOPLE!$F$15,$M148-$A$15,CD$13)))</f>
        <v>12</v>
      </c>
      <c r="CE148" s="171">
        <f ca="1">IF(OR($D148&lt;&gt;"Serviço",AND(AUTOEVENTO="Manual",$M148=$A$15)),0,
         IF(OFFSET(CRONOPLE!$F$15,$M148-$A$15,CE$13)=0,10^12,OFFSET(CRONOPLE!$F$15,$M148-$A$15,CE$13)))</f>
        <v>13</v>
      </c>
      <c r="CF148" s="171">
        <f ca="1">IF(OR($D148&lt;&gt;"Serviço",AND(AUTOEVENTO="Manual",$M148=$A$15)),0,
         IF(OFFSET(CRONOPLE!$F$15,$M148-$A$15,CF$13)=0,10^12,OFFSET(CRONOPLE!$F$15,$M148-$A$15,CF$13)))</f>
        <v>14</v>
      </c>
      <c r="CG148" s="171">
        <f ca="1">IF(OR($D148&lt;&gt;"Serviço",AND(AUTOEVENTO="Manual",$M148=$A$15)),0,
         IF(OFFSET(CRONOPLE!$F$15,$M148-$A$15,CG$13)=0,10^12,OFFSET(CRONOPLE!$F$15,$M148-$A$15,CG$13)))</f>
        <v>15</v>
      </c>
      <c r="CH148" s="171">
        <f ca="1">IF(OR($D148&lt;&gt;"Serviço",AND(AUTOEVENTO="Manual",$M148=$A$15)),0,
         IF(OFFSET(CRONOPLE!$F$15,$M148-$A$15,CH$13)=0,10^12,OFFSET(CRONOPLE!$F$15,$M148-$A$15,CH$13)))</f>
        <v>16</v>
      </c>
      <c r="CI148" s="171">
        <f ca="1">IF(OR($D148&lt;&gt;"Serviço",AND(AUTOEVENTO="Manual",$M148=$A$15)),0,
         IF(OFFSET(CRONOPLE!$F$15,$M148-$A$15,CI$13)=0,10^12,OFFSET(CRONOPLE!$F$15,$M148-$A$15,CI$13)))</f>
        <v>17</v>
      </c>
      <c r="CJ148" s="171">
        <f ca="1">IF(OR($D148&lt;&gt;"Serviço",AND(AUTOEVENTO="Manual",$M148=$A$15)),0,
         IF(OFFSET(CRONOPLE!$F$15,$M148-$A$15,CJ$13)=0,10^12,OFFSET(CRONOPLE!$F$15,$M148-$A$15,CJ$13)))</f>
        <v>18</v>
      </c>
      <c r="CK148" s="171">
        <f ca="1">IF(OR($D148&lt;&gt;"Serviço",AND(AUTOEVENTO="Manual",$M148=$A$15)),0,
         IF(OFFSET(CRONOPLE!$F$15,$M148-$A$15,CK$13)=0,10^12,OFFSET(CRONOPLE!$F$15,$M148-$A$15,CK$13)))</f>
        <v>19</v>
      </c>
      <c r="CL148" s="171">
        <f ca="1">IF(OR($D148&lt;&gt;"Serviço",AND(AUTOEVENTO="Manual",$M148=$A$15)),0,
         IF(OFFSET(CRONOPLE!$F$15,$M148-$A$15,CL$13)=0,10^12,OFFSET(CRONOPLE!$F$15,$M148-$A$15,CL$13)))</f>
        <v>20</v>
      </c>
      <c r="CM148" s="171">
        <f ca="1">IF(OR($D148&lt;&gt;"Serviço",AND(AUTOEVENTO="Manual",$M148=$A$15)),0,
         IF(OFFSET(CRONOPLE!$F$15,$M148-$A$15,CM$13)=0,10^12,OFFSET(CRONOPLE!$F$15,$M148-$A$15,CM$13)))</f>
        <v>1000000000000</v>
      </c>
      <c r="CN148" s="171">
        <f ca="1">IF(OR($D148&lt;&gt;"Serviço",AND(AUTOEVENTO="Manual",$M148=$A$15)),0,
         IF(OFFSET(CRONOPLE!$F$15,$M148-$A$15,CN$13)=0,10^12,OFFSET(CRONOPLE!$F$15,$M148-$A$15,CN$13)))</f>
        <v>1000000000000</v>
      </c>
      <c r="CO148" s="171">
        <f ca="1">IF(OR($D148&lt;&gt;"Serviço",AND(AUTOEVENTO="Manual",$M148=$A$15)),0,
         IF(OFFSET(CRONOPLE!$F$15,$M148-$A$15,CO$13)=0,10^12,OFFSET(CRONOPLE!$F$15,$M148-$A$15,CO$13)))</f>
        <v>1000000000000</v>
      </c>
      <c r="CP148" s="171">
        <f ca="1">IF(OR($D148&lt;&gt;"Serviço",AND(AUTOEVENTO="Manual",$M148=$A$15)),0,
         IF(OFFSET(CRONOPLE!$F$15,$M148-$A$15,CP$13)=0,10^12,OFFSET(CRONOPLE!$F$15,$M148-$A$15,CP$13)))</f>
        <v>1000000000000</v>
      </c>
      <c r="CQ148" s="171">
        <f ca="1">IF(OR($D148&lt;&gt;"Serviço",AND(AUTOEVENTO="Manual",$M148=$A$15)),0,
         IF(OFFSET(CRONOPLE!$F$15,$M148-$A$15,CQ$13)=0,10^12,OFFSET(CRONOPLE!$F$15,$M148-$A$15,CQ$13)))</f>
        <v>1000000000000</v>
      </c>
      <c r="CR148" s="171">
        <f ca="1">IF(OR($D148&lt;&gt;"Serviço",AND(AUTOEVENTO="Manual",$M148=$A$15)),0,
         IF(OFFSET(CRONOPLE!$F$15,$M148-$A$15,CR$13)=0,10^12,OFFSET(CRONOPLE!$F$15,$M148-$A$15,CR$13)))</f>
        <v>1000000000000</v>
      </c>
      <c r="CT148" s="172" cm="1">
        <f t="array" aca="1" ref="CT148" ca="1">IF(OR($D148&lt;&gt;"Serviço",AND(AUTOEVENTO="Manual",$M148=$A$15),$M148&gt;(ROW(PLE.lastrow)-ROW(PLE.firstrow))),0,
           IF(OFFSET(PLE!$G$15,$M148-$A$15,CT$13)="",10^12,OFFSET(PLE!$G$15,$M148-$A$15,CT$13)))</f>
        <v>1000000000000</v>
      </c>
      <c r="CU148" s="172" cm="1">
        <f t="array" aca="1" ref="CU148" ca="1">IF(OR($D148&lt;&gt;"Serviço",AND(AUTOEVENTO="Manual",$M148=$A$15),$M148&gt;(ROW(PLE.lastrow)-ROW(PLE.firstrow))),0,
           IF(OFFSET(PLE!$G$15,$M148-$A$15,CU$13)="",10^12,OFFSET(PLE!$G$15,$M148-$A$15,CU$13)))</f>
        <v>1000000000000</v>
      </c>
      <c r="CV148" s="172" cm="1">
        <f t="array" aca="1" ref="CV148" ca="1">IF(OR($D148&lt;&gt;"Serviço",AND(AUTOEVENTO="Manual",$M148=$A$15),$M148&gt;(ROW(PLE.lastrow)-ROW(PLE.firstrow))),0,
           IF(OFFSET(PLE!$G$15,$M148-$A$15,CV$13)="",10^12,OFFSET(PLE!$G$15,$M148-$A$15,CV$13)))</f>
        <v>1000000000000</v>
      </c>
      <c r="CW148" s="172" cm="1">
        <f t="array" aca="1" ref="CW148" ca="1">IF(OR($D148&lt;&gt;"Serviço",AND(AUTOEVENTO="Manual",$M148=$A$15),$M148&gt;(ROW(PLE.lastrow)-ROW(PLE.firstrow))),0,
           IF(OFFSET(PLE!$G$15,$M148-$A$15,CW$13)="",10^12,OFFSET(PLE!$G$15,$M148-$A$15,CW$13)))</f>
        <v>1000000000000</v>
      </c>
      <c r="CX148" s="172" cm="1">
        <f t="array" aca="1" ref="CX148" ca="1">IF(OR($D148&lt;&gt;"Serviço",AND(AUTOEVENTO="Manual",$M148=$A$15),$M148&gt;(ROW(PLE.lastrow)-ROW(PLE.firstrow))),0,
           IF(OFFSET(PLE!$G$15,$M148-$A$15,CX$13)="",10^12,OFFSET(PLE!$G$15,$M148-$A$15,CX$13)))</f>
        <v>1000000000000</v>
      </c>
      <c r="CY148" s="172" cm="1">
        <f t="array" aca="1" ref="CY148" ca="1">IF(OR($D148&lt;&gt;"Serviço",AND(AUTOEVENTO="Manual",$M148=$A$15),$M148&gt;(ROW(PLE.lastrow)-ROW(PLE.firstrow))),0,
           IF(OFFSET(PLE!$G$15,$M148-$A$15,CY$13)="",10^12,OFFSET(PLE!$G$15,$M148-$A$15,CY$13)))</f>
        <v>1000000000000</v>
      </c>
      <c r="CZ148" s="172" cm="1">
        <f t="array" aca="1" ref="CZ148" ca="1">IF(OR($D148&lt;&gt;"Serviço",AND(AUTOEVENTO="Manual",$M148=$A$15),$M148&gt;(ROW(PLE.lastrow)-ROW(PLE.firstrow))),0,
           IF(OFFSET(PLE!$G$15,$M148-$A$15,CZ$13)="",10^12,OFFSET(PLE!$G$15,$M148-$A$15,CZ$13)))</f>
        <v>1000000000000</v>
      </c>
      <c r="DA148" s="172" cm="1">
        <f t="array" aca="1" ref="DA148" ca="1">IF(OR($D148&lt;&gt;"Serviço",AND(AUTOEVENTO="Manual",$M148=$A$15),$M148&gt;(ROW(PLE.lastrow)-ROW(PLE.firstrow))),0,
           IF(OFFSET(PLE!$G$15,$M148-$A$15,DA$13)="",10^12,OFFSET(PLE!$G$15,$M148-$A$15,DA$13)))</f>
        <v>1000000000000</v>
      </c>
      <c r="DB148" s="172" cm="1">
        <f t="array" aca="1" ref="DB148" ca="1">IF(OR($D148&lt;&gt;"Serviço",AND(AUTOEVENTO="Manual",$M148=$A$15),$M148&gt;(ROW(PLE.lastrow)-ROW(PLE.firstrow))),0,
           IF(OFFSET(PLE!$G$15,$M148-$A$15,DB$13)="",10^12,OFFSET(PLE!$G$15,$M148-$A$15,DB$13)))</f>
        <v>1000000000000</v>
      </c>
      <c r="DC148" s="172" cm="1">
        <f t="array" aca="1" ref="DC148" ca="1">IF(OR($D148&lt;&gt;"Serviço",AND(AUTOEVENTO="Manual",$M148=$A$15),$M148&gt;(ROW(PLE.lastrow)-ROW(PLE.firstrow))),0,
           IF(OFFSET(PLE!$G$15,$M148-$A$15,DC$13)="",10^12,OFFSET(PLE!$G$15,$M148-$A$15,DC$13)))</f>
        <v>1000000000000</v>
      </c>
      <c r="DD148" s="172" cm="1">
        <f t="array" aca="1" ref="DD148" ca="1">IF(OR($D148&lt;&gt;"Serviço",AND(AUTOEVENTO="Manual",$M148=$A$15),$M148&gt;(ROW(PLE.lastrow)-ROW(PLE.firstrow))),0,
           IF(OFFSET(PLE!$G$15,$M148-$A$15,DD$13)="",10^12,OFFSET(PLE!$G$15,$M148-$A$15,DD$13)))</f>
        <v>1000000000000</v>
      </c>
      <c r="DE148" s="172" cm="1">
        <f t="array" aca="1" ref="DE148" ca="1">IF(OR($D148&lt;&gt;"Serviço",AND(AUTOEVENTO="Manual",$M148=$A$15),$M148&gt;(ROW(PLE.lastrow)-ROW(PLE.firstrow))),0,
           IF(OFFSET(PLE!$G$15,$M148-$A$15,DE$13)="",10^12,OFFSET(PLE!$G$15,$M148-$A$15,DE$13)))</f>
        <v>1000000000000</v>
      </c>
      <c r="DF148" s="172" cm="1">
        <f t="array" aca="1" ref="DF148" ca="1">IF(OR($D148&lt;&gt;"Serviço",AND(AUTOEVENTO="Manual",$M148=$A$15),$M148&gt;(ROW(PLE.lastrow)-ROW(PLE.firstrow))),0,
           IF(OFFSET(PLE!$G$15,$M148-$A$15,DF$13)="",10^12,OFFSET(PLE!$G$15,$M148-$A$15,DF$13)))</f>
        <v>1000000000000</v>
      </c>
      <c r="DG148" s="172" cm="1">
        <f t="array" aca="1" ref="DG148" ca="1">IF(OR($D148&lt;&gt;"Serviço",AND(AUTOEVENTO="Manual",$M148=$A$15),$M148&gt;(ROW(PLE.lastrow)-ROW(PLE.firstrow))),0,
           IF(OFFSET(PLE!$G$15,$M148-$A$15,DG$13)="",10^12,OFFSET(PLE!$G$15,$M148-$A$15,DG$13)))</f>
        <v>1000000000000</v>
      </c>
      <c r="DH148" s="172" cm="1">
        <f t="array" aca="1" ref="DH148" ca="1">IF(OR($D148&lt;&gt;"Serviço",AND(AUTOEVENTO="Manual",$M148=$A$15),$M148&gt;(ROW(PLE.lastrow)-ROW(PLE.firstrow))),0,
           IF(OFFSET(PLE!$G$15,$M148-$A$15,DH$13)="",10^12,OFFSET(PLE!$G$15,$M148-$A$15,DH$13)))</f>
        <v>1000000000000</v>
      </c>
      <c r="DI148" s="172" cm="1">
        <f t="array" aca="1" ref="DI148" ca="1">IF(OR($D148&lt;&gt;"Serviço",AND(AUTOEVENTO="Manual",$M148=$A$15),$M148&gt;(ROW(PLE.lastrow)-ROW(PLE.firstrow))),0,
           IF(OFFSET(PLE!$G$15,$M148-$A$15,DI$13)="",10^12,OFFSET(PLE!$G$15,$M148-$A$15,DI$13)))</f>
        <v>1000000000000</v>
      </c>
      <c r="DJ148" s="172" cm="1">
        <f t="array" aca="1" ref="DJ148" ca="1">IF(OR($D148&lt;&gt;"Serviço",AND(AUTOEVENTO="Manual",$M148=$A$15),$M148&gt;(ROW(PLE.lastrow)-ROW(PLE.firstrow))),0,
           IF(OFFSET(PLE!$G$15,$M148-$A$15,DJ$13)="",10^12,OFFSET(PLE!$G$15,$M148-$A$15,DJ$13)))</f>
        <v>1000000000000</v>
      </c>
      <c r="DK148" s="172" cm="1">
        <f t="array" aca="1" ref="DK148" ca="1">IF(OR($D148&lt;&gt;"Serviço",AND(AUTOEVENTO="Manual",$M148=$A$15),$M148&gt;(ROW(PLE.lastrow)-ROW(PLE.firstrow))),0,
           IF(OFFSET(PLE!$G$15,$M148-$A$15,DK$13)="",10^12,OFFSET(PLE!$G$15,$M148-$A$15,DK$13)))</f>
        <v>1000000000000</v>
      </c>
      <c r="DL148" s="172" cm="1">
        <f t="array" aca="1" ref="DL148" ca="1">IF(OR($D148&lt;&gt;"Serviço",AND(AUTOEVENTO="Manual",$M148=$A$15),$M148&gt;(ROW(PLE.lastrow)-ROW(PLE.firstrow))),0,
           IF(OFFSET(PLE!$G$15,$M148-$A$15,DL$13)="",10^12,OFFSET(PLE!$G$15,$M148-$A$15,DL$13)))</f>
        <v>1000000000000</v>
      </c>
      <c r="DM148" s="172" cm="1">
        <f t="array" aca="1" ref="DM148" ca="1">IF(OR($D148&lt;&gt;"Serviço",AND(AUTOEVENTO="Manual",$M148=$A$15),$M148&gt;(ROW(PLE.lastrow)-ROW(PLE.firstrow))),0,
           IF(OFFSET(PLE!$G$15,$M148-$A$15,DM$13)="",10^12,OFFSET(PLE!$G$15,$M148-$A$15,DM$13)))</f>
        <v>1000000000000</v>
      </c>
      <c r="DN148" s="172" cm="1">
        <f t="array" aca="1" ref="DN148" ca="1">IF(OR($D148&lt;&gt;"Serviço",AND(AUTOEVENTO="Manual",$M148=$A$15),$M148&gt;(ROW(PLE.lastrow)-ROW(PLE.firstrow))),0,
           IF(OFFSET(PLE!$G$15,$M148-$A$15,DN$13)="",10^12,OFFSET(PLE!$G$15,$M148-$A$15,DN$13)))</f>
        <v>1000000000000</v>
      </c>
      <c r="DO148" s="172" cm="1">
        <f t="array" aca="1" ref="DO148" ca="1">IF(OR($D148&lt;&gt;"Serviço",AND(AUTOEVENTO="Manual",$M148=$A$15),$M148&gt;(ROW(PLE.lastrow)-ROW(PLE.firstrow))),0,
           IF(OFFSET(PLE!$G$15,$M148-$A$15,DO$13)="",10^12,OFFSET(PLE!$G$15,$M148-$A$15,DO$13)))</f>
        <v>1000000000000</v>
      </c>
      <c r="DP148" s="172" cm="1">
        <f t="array" aca="1" ref="DP148" ca="1">IF(OR($D148&lt;&gt;"Serviço",AND(AUTOEVENTO="Manual",$M148=$A$15),$M148&gt;(ROW(PLE.lastrow)-ROW(PLE.firstrow))),0,
           IF(OFFSET(PLE!$G$15,$M148-$A$15,DP$13)="",10^12,OFFSET(PLE!$G$15,$M148-$A$15,DP$13)))</f>
        <v>1000000000000</v>
      </c>
      <c r="DQ148" s="172" cm="1">
        <f t="array" aca="1" ref="DQ148" ca="1">IF(OR($D148&lt;&gt;"Serviço",AND(AUTOEVENTO="Manual",$M148=$A$15),$M148&gt;(ROW(PLE.lastrow)-ROW(PLE.firstrow))),0,
           IF(OFFSET(PLE!$G$15,$M148-$A$15,DQ$13)="",10^12,OFFSET(PLE!$G$15,$M148-$A$15,DQ$13)))</f>
        <v>1000000000000</v>
      </c>
      <c r="DR148" s="172" cm="1">
        <f t="array" aca="1" ref="DR148" ca="1">IF(OR($D148&lt;&gt;"Serviço",AND(AUTOEVENTO="Manual",$M148=$A$15),$M148&gt;(ROW(PLE.lastrow)-ROW(PLE.firstrow))),0,
           IF(OFFSET(PLE!$G$15,$M148-$A$15,DR$13)="",10^12,OFFSET(PLE!$G$15,$M148-$A$15,DR$13)))</f>
        <v>1000000000000</v>
      </c>
      <c r="DS148" s="172" cm="1">
        <f t="array" aca="1" ref="DS148" ca="1">IF(OR($D148&lt;&gt;"Serviço",AND(AUTOEVENTO="Manual",$M148=$A$15),$M148&gt;(ROW(PLE.lastrow)-ROW(PLE.firstrow))),0,
           IF(OFFSET(PLE!$G$15,$M148-$A$15,DS$13)="",10^12,OFFSET(PLE!$G$15,$M148-$A$15,DS$13)))</f>
        <v>1000000000000</v>
      </c>
    </row>
    <row r="149" spans="1:123" ht="38.25" x14ac:dyDescent="0.2">
      <c r="A149" s="7">
        <f t="shared" ref="A149:A180" ca="1" si="16">IFERROR(IF(AUTOEVENTO="Manual",IF(K149&lt;&gt;"",MIN(VALUE(LEFT(K149,FIND(".",K149)-1)),COUNTA(EVENTOS.Lista)),0),IF(OR($B149&gt;AUTOEVENTO,$B149="S",$B149=0),SUBSTITUTE(OFFSET($A149,-1,0),IF($D149="Serviço",".",""),""),$L149&amp;".")),0)</f>
        <v>9</v>
      </c>
      <c r="B149" s="7" t="str">
        <f ca="1">OFFSET(ORÇAMENTO!C$15,$L149,0)</f>
        <v>S</v>
      </c>
      <c r="C149" s="7" t="str">
        <f ca="1">OFFSET(ORÇAMENTO!L$15,$L149,0)</f>
        <v/>
      </c>
      <c r="D149" s="116" t="str">
        <f ca="1">OFFSET(ORÇAMENTO!N$15,$L149,0)</f>
        <v>Serviço</v>
      </c>
      <c r="E149" s="117" t="str">
        <f ca="1">OFFSET(ORÇAMENTO!O$15,$L149,0)</f>
        <v>-</v>
      </c>
      <c r="F149" s="163" t="str">
        <f ca="1">OFFSET(ORÇAMENTO!R$15,$L149,0)</f>
        <v>(Código não identificado nas referências)</v>
      </c>
      <c r="G149" s="164" t="str">
        <f ca="1">IF($D149&lt;&gt;"Serviço","",OFFSET(ORÇAMENTO!S$15,$L149,0))</f>
        <v>-</v>
      </c>
      <c r="H149" s="122" cm="1">
        <f t="array" aca="1" ref="H149" ca="1">IF($D149&lt;&gt;"Serviço",0,IF(ACOMPANHAMENTO="BM",ROUND(OFFSET(ORÇAMENTO!AJ$15,$L149,0),15-13*ORÇAMENTO!$AF$7),IF(IFERROR(CÁLCULO.FrentesPreenchidas,0)=0,0,SUM(ROUND(OFFSET($P149,0,1,1,CÁLCULO.FrentesPreenchidas),15-13*ORÇAMENTO!$AF$7)))))</f>
        <v>20</v>
      </c>
      <c r="I149" s="468" t="s">
        <v>1235</v>
      </c>
      <c r="J149" s="651" t="str" cm="1">
        <f t="array" aca="1" ref="J149" ca="1">IF(OR(B149&lt;&gt;"S",CÁLCULO.FrentesPreenchidas=0),"",IF(AND(ACOMPANHAMENTO="PLE",AUTOEVENTO="Manual",OR(H149&gt;0,ORÇAMENTO!AC149="QUANT."),OR(K149="",M149=0,N149="")),"►E",IF(AND(ACOMPANHAMENTO="PLE",ORÇAMENTO!AC149="QUANT."),"►Q",IF(AND(ACOMPANHAMENTO="PLE",H149&lt;&gt;SUMPRODUCT(($Q$1:$AQ$1=1)*ROUND(Q149:AQ149,15))),"►S",IF(AND(COUNTIF($P$11:$AQ$11,"▼")=0,H149&gt;0,I149=""),"◄M","")))))</f>
        <v/>
      </c>
      <c r="K149" s="652" t="s">
        <v>1257</v>
      </c>
      <c r="L149" s="165">
        <f t="shared" ref="L149:L212" ca="1" si="17">OFFSET(L149,-1,0)+1</f>
        <v>134</v>
      </c>
      <c r="M149" s="166">
        <f ca="1">IF($D149&lt;&gt;"Serviço","",
          IF(AUTOEVENTO="manual",$A149,
                IF(ISERROR(MATCH($A149,$A$15:OFFSET($A149,-1,0),0)),MAX($M$15:OFFSET(M149,-1,0))+1,
                      INDEX($M$15:OFFSET(M149,-1,0),MATCH($A149,$A$15:OFFSET($A149,-1,0),0)))))</f>
        <v>9</v>
      </c>
      <c r="N149" s="167" t="str">
        <f ca="1">IF($D149&lt;&gt;"Serviço","",
         IF(AUTOEVENTO="Manual",
                IF($A149=0,"&lt;-- defina o número do agrupador",
                       OFFSET(EVENTOS!$D$15,$A149-$A$15,0)),
                OFFSET($F$15,$A149,0)))</f>
        <v>INSTALAÇÕES</v>
      </c>
      <c r="O149" s="168"/>
      <c r="Q149" s="168">
        <v>1</v>
      </c>
      <c r="R149" s="169">
        <v>1</v>
      </c>
      <c r="S149" s="169">
        <v>1</v>
      </c>
      <c r="T149" s="169">
        <v>1</v>
      </c>
      <c r="U149" s="169">
        <v>1</v>
      </c>
      <c r="V149" s="169">
        <v>1</v>
      </c>
      <c r="W149" s="169">
        <v>1</v>
      </c>
      <c r="X149" s="169">
        <v>1</v>
      </c>
      <c r="Y149" s="169">
        <v>1</v>
      </c>
      <c r="Z149" s="170">
        <v>1</v>
      </c>
      <c r="AA149" s="169">
        <v>1</v>
      </c>
      <c r="AB149" s="169">
        <v>1</v>
      </c>
      <c r="AC149" s="169">
        <v>1</v>
      </c>
      <c r="AD149" s="169">
        <v>1</v>
      </c>
      <c r="AE149" s="169">
        <v>1</v>
      </c>
      <c r="AF149" s="169">
        <v>1</v>
      </c>
      <c r="AG149" s="169">
        <v>1</v>
      </c>
      <c r="AH149" s="170">
        <v>1</v>
      </c>
      <c r="AI149" s="169">
        <v>1</v>
      </c>
      <c r="AJ149" s="169">
        <v>1</v>
      </c>
      <c r="AK149" s="169"/>
      <c r="AL149" s="169"/>
      <c r="AM149" s="169"/>
      <c r="AN149" s="169"/>
      <c r="AO149" s="169"/>
      <c r="AP149" s="170"/>
      <c r="AR149" s="453">
        <f ca="1">IF(AND($D149="Serviço",AR$12&lt;&gt;0,$H149&gt;0,OR(AUTOEVENTO&lt;&gt;"manual",$M149&lt;&gt;$A$15)),
        IF(Import.TipoArredondamento&lt;&gt;"TransfereGOV",
              ROUND(OFFSET($P149,0,AR$13),15-13*ORÇAMENTO!$AF$7)/$H149*OFFSET(ORÇAMENTO!$X$15,ROW(AR149)-ROW(AR$15),0),
              ROUND(ROUND(OFFSET($P149,0,AR$13),15-13*ORÇAMENTO!$AF$7)*OFFSET(ORÇAMENTO!$W$15,ROW(AR149)-ROW(AR$15),0),15-13*ORÇAMENTO!$AF$11)),
         0)</f>
        <v>0</v>
      </c>
      <c r="AS149" s="453">
        <f ca="1">IF(AND($D149="Serviço",AS$12&lt;&gt;0,$H149&gt;0,OR(AUTOEVENTO&lt;&gt;"manual",$M149&lt;&gt;$A$15)),
        IF(Import.TipoArredondamento&lt;&gt;"TransfereGOV",
              ROUND(OFFSET($P149,0,AS$13),15-13*ORÇAMENTO!$AF$7)/$H149*OFFSET(ORÇAMENTO!$X$15,ROW(AS149)-ROW(AS$15),0),
              ROUND(ROUND(OFFSET($P149,0,AS$13),15-13*ORÇAMENTO!$AF$7)*OFFSET(ORÇAMENTO!$W$15,ROW(AS149)-ROW(AS$15),0),15-13*ORÇAMENTO!$AF$11)),
         0)</f>
        <v>0</v>
      </c>
      <c r="AT149" s="453">
        <f ca="1">IF(AND($D149="Serviço",AT$12&lt;&gt;0,$H149&gt;0,OR(AUTOEVENTO&lt;&gt;"manual",$M149&lt;&gt;$A$15)),
        IF(Import.TipoArredondamento&lt;&gt;"TransfereGOV",
              ROUND(OFFSET($P149,0,AT$13),15-13*ORÇAMENTO!$AF$7)/$H149*OFFSET(ORÇAMENTO!$X$15,ROW(AT149)-ROW(AT$15),0),
              ROUND(ROUND(OFFSET($P149,0,AT$13),15-13*ORÇAMENTO!$AF$7)*OFFSET(ORÇAMENTO!$W$15,ROW(AT149)-ROW(AT$15),0),15-13*ORÇAMENTO!$AF$11)),
         0)</f>
        <v>0</v>
      </c>
      <c r="AU149" s="453">
        <f ca="1">IF(AND($D149="Serviço",AU$12&lt;&gt;0,$H149&gt;0,OR(AUTOEVENTO&lt;&gt;"manual",$M149&lt;&gt;$A$15)),
        IF(Import.TipoArredondamento&lt;&gt;"TransfereGOV",
              ROUND(OFFSET($P149,0,AU$13),15-13*ORÇAMENTO!$AF$7)/$H149*OFFSET(ORÇAMENTO!$X$15,ROW(AU149)-ROW(AU$15),0),
              ROUND(ROUND(OFFSET($P149,0,AU$13),15-13*ORÇAMENTO!$AF$7)*OFFSET(ORÇAMENTO!$W$15,ROW(AU149)-ROW(AU$15),0),15-13*ORÇAMENTO!$AF$11)),
         0)</f>
        <v>0</v>
      </c>
      <c r="AV149" s="453">
        <f ca="1">IF(AND($D149="Serviço",AV$12&lt;&gt;0,$H149&gt;0,OR(AUTOEVENTO&lt;&gt;"manual",$M149&lt;&gt;$A$15)),
        IF(Import.TipoArredondamento&lt;&gt;"TransfereGOV",
              ROUND(OFFSET($P149,0,AV$13),15-13*ORÇAMENTO!$AF$7)/$H149*OFFSET(ORÇAMENTO!$X$15,ROW(AV149)-ROW(AV$15),0),
              ROUND(ROUND(OFFSET($P149,0,AV$13),15-13*ORÇAMENTO!$AF$7)*OFFSET(ORÇAMENTO!$W$15,ROW(AV149)-ROW(AV$15),0),15-13*ORÇAMENTO!$AF$11)),
         0)</f>
        <v>0</v>
      </c>
      <c r="AW149" s="453">
        <f ca="1">IF(AND($D149="Serviço",AW$12&lt;&gt;0,$H149&gt;0,OR(AUTOEVENTO&lt;&gt;"manual",$M149&lt;&gt;$A$15)),
        IF(Import.TipoArredondamento&lt;&gt;"TransfereGOV",
              ROUND(OFFSET($P149,0,AW$13),15-13*ORÇAMENTO!$AF$7)/$H149*OFFSET(ORÇAMENTO!$X$15,ROW(AW149)-ROW(AW$15),0),
              ROUND(ROUND(OFFSET($P149,0,AW$13),15-13*ORÇAMENTO!$AF$7)*OFFSET(ORÇAMENTO!$W$15,ROW(AW149)-ROW(AW$15),0),15-13*ORÇAMENTO!$AF$11)),
         0)</f>
        <v>0</v>
      </c>
      <c r="AX149" s="453">
        <f ca="1">IF(AND($D149="Serviço",AX$12&lt;&gt;0,$H149&gt;0,OR(AUTOEVENTO&lt;&gt;"manual",$M149&lt;&gt;$A$15)),
        IF(Import.TipoArredondamento&lt;&gt;"TransfereGOV",
              ROUND(OFFSET($P149,0,AX$13),15-13*ORÇAMENTO!$AF$7)/$H149*OFFSET(ORÇAMENTO!$X$15,ROW(AX149)-ROW(AX$15),0),
              ROUND(ROUND(OFFSET($P149,0,AX$13),15-13*ORÇAMENTO!$AF$7)*OFFSET(ORÇAMENTO!$W$15,ROW(AX149)-ROW(AX$15),0),15-13*ORÇAMENTO!$AF$11)),
         0)</f>
        <v>0</v>
      </c>
      <c r="AY149" s="453">
        <f ca="1">IF(AND($D149="Serviço",AY$12&lt;&gt;0,$H149&gt;0,OR(AUTOEVENTO&lt;&gt;"manual",$M149&lt;&gt;$A$15)),
        IF(Import.TipoArredondamento&lt;&gt;"TransfereGOV",
              ROUND(OFFSET($P149,0,AY$13),15-13*ORÇAMENTO!$AF$7)/$H149*OFFSET(ORÇAMENTO!$X$15,ROW(AY149)-ROW(AY$15),0),
              ROUND(ROUND(OFFSET($P149,0,AY$13),15-13*ORÇAMENTO!$AF$7)*OFFSET(ORÇAMENTO!$W$15,ROW(AY149)-ROW(AY$15),0),15-13*ORÇAMENTO!$AF$11)),
         0)</f>
        <v>0</v>
      </c>
      <c r="AZ149" s="453">
        <f ca="1">IF(AND($D149="Serviço",AZ$12&lt;&gt;0,$H149&gt;0,OR(AUTOEVENTO&lt;&gt;"manual",$M149&lt;&gt;$A$15)),
        IF(Import.TipoArredondamento&lt;&gt;"TransfereGOV",
              ROUND(OFFSET($P149,0,AZ$13),15-13*ORÇAMENTO!$AF$7)/$H149*OFFSET(ORÇAMENTO!$X$15,ROW(AZ149)-ROW(AZ$15),0),
              ROUND(ROUND(OFFSET($P149,0,AZ$13),15-13*ORÇAMENTO!$AF$7)*OFFSET(ORÇAMENTO!$W$15,ROW(AZ149)-ROW(AZ$15),0),15-13*ORÇAMENTO!$AF$11)),
         0)</f>
        <v>0</v>
      </c>
      <c r="BA149" s="453">
        <f ca="1">IF(AND($D149="Serviço",BA$12&lt;&gt;0,$H149&gt;0,OR(AUTOEVENTO&lt;&gt;"manual",$M149&lt;&gt;$A$15)),
        IF(Import.TipoArredondamento&lt;&gt;"TransfereGOV",
              ROUND(OFFSET($P149,0,BA$13),15-13*ORÇAMENTO!$AF$7)/$H149*OFFSET(ORÇAMENTO!$X$15,ROW(BA149)-ROW(BA$15),0),
              ROUND(ROUND(OFFSET($P149,0,BA$13),15-13*ORÇAMENTO!$AF$7)*OFFSET(ORÇAMENTO!$W$15,ROW(BA149)-ROW(BA$15),0),15-13*ORÇAMENTO!$AF$11)),
         0)</f>
        <v>0</v>
      </c>
      <c r="BB149" s="453">
        <f ca="1">IF(AND($D149="Serviço",BB$12&lt;&gt;0,$H149&gt;0,OR(AUTOEVENTO&lt;&gt;"manual",$M149&lt;&gt;$A$15)),
        IF(Import.TipoArredondamento&lt;&gt;"TransfereGOV",
              ROUND(OFFSET($P149,0,BB$13),15-13*ORÇAMENTO!$AF$7)/$H149*OFFSET(ORÇAMENTO!$X$15,ROW(BB149)-ROW(BB$15),0),
              ROUND(ROUND(OFFSET($P149,0,BB$13),15-13*ORÇAMENTO!$AF$7)*OFFSET(ORÇAMENTO!$W$15,ROW(BB149)-ROW(BB$15),0),15-13*ORÇAMENTO!$AF$11)),
         0)</f>
        <v>0</v>
      </c>
      <c r="BC149" s="453">
        <f ca="1">IF(AND($D149="Serviço",BC$12&lt;&gt;0,$H149&gt;0,OR(AUTOEVENTO&lt;&gt;"manual",$M149&lt;&gt;$A$15)),
        IF(Import.TipoArredondamento&lt;&gt;"TransfereGOV",
              ROUND(OFFSET($P149,0,BC$13),15-13*ORÇAMENTO!$AF$7)/$H149*OFFSET(ORÇAMENTO!$X$15,ROW(BC149)-ROW(BC$15),0),
              ROUND(ROUND(OFFSET($P149,0,BC$13),15-13*ORÇAMENTO!$AF$7)*OFFSET(ORÇAMENTO!$W$15,ROW(BC149)-ROW(BC$15),0),15-13*ORÇAMENTO!$AF$11)),
         0)</f>
        <v>0</v>
      </c>
      <c r="BD149" s="453">
        <f ca="1">IF(AND($D149="Serviço",BD$12&lt;&gt;0,$H149&gt;0,OR(AUTOEVENTO&lt;&gt;"manual",$M149&lt;&gt;$A$15)),
        IF(Import.TipoArredondamento&lt;&gt;"TransfereGOV",
              ROUND(OFFSET($P149,0,BD$13),15-13*ORÇAMENTO!$AF$7)/$H149*OFFSET(ORÇAMENTO!$X$15,ROW(BD149)-ROW(BD$15),0),
              ROUND(ROUND(OFFSET($P149,0,BD$13),15-13*ORÇAMENTO!$AF$7)*OFFSET(ORÇAMENTO!$W$15,ROW(BD149)-ROW(BD$15),0),15-13*ORÇAMENTO!$AF$11)),
         0)</f>
        <v>0</v>
      </c>
      <c r="BE149" s="453">
        <f ca="1">IF(AND($D149="Serviço",BE$12&lt;&gt;0,$H149&gt;0,OR(AUTOEVENTO&lt;&gt;"manual",$M149&lt;&gt;$A$15)),
        IF(Import.TipoArredondamento&lt;&gt;"TransfereGOV",
              ROUND(OFFSET($P149,0,BE$13),15-13*ORÇAMENTO!$AF$7)/$H149*OFFSET(ORÇAMENTO!$X$15,ROW(BE149)-ROW(BE$15),0),
              ROUND(ROUND(OFFSET($P149,0,BE$13),15-13*ORÇAMENTO!$AF$7)*OFFSET(ORÇAMENTO!$W$15,ROW(BE149)-ROW(BE$15),0),15-13*ORÇAMENTO!$AF$11)),
         0)</f>
        <v>0</v>
      </c>
      <c r="BF149" s="453">
        <f ca="1">IF(AND($D149="Serviço",BF$12&lt;&gt;0,$H149&gt;0,OR(AUTOEVENTO&lt;&gt;"manual",$M149&lt;&gt;$A$15)),
        IF(Import.TipoArredondamento&lt;&gt;"TransfereGOV",
              ROUND(OFFSET($P149,0,BF$13),15-13*ORÇAMENTO!$AF$7)/$H149*OFFSET(ORÇAMENTO!$X$15,ROW(BF149)-ROW(BF$15),0),
              ROUND(ROUND(OFFSET($P149,0,BF$13),15-13*ORÇAMENTO!$AF$7)*OFFSET(ORÇAMENTO!$W$15,ROW(BF149)-ROW(BF$15),0),15-13*ORÇAMENTO!$AF$11)),
         0)</f>
        <v>0</v>
      </c>
      <c r="BG149" s="453">
        <f ca="1">IF(AND($D149="Serviço",BG$12&lt;&gt;0,$H149&gt;0,OR(AUTOEVENTO&lt;&gt;"manual",$M149&lt;&gt;$A$15)),
        IF(Import.TipoArredondamento&lt;&gt;"TransfereGOV",
              ROUND(OFFSET($P149,0,BG$13),15-13*ORÇAMENTO!$AF$7)/$H149*OFFSET(ORÇAMENTO!$X$15,ROW(BG149)-ROW(BG$15),0),
              ROUND(ROUND(OFFSET($P149,0,BG$13),15-13*ORÇAMENTO!$AF$7)*OFFSET(ORÇAMENTO!$W$15,ROW(BG149)-ROW(BG$15),0),15-13*ORÇAMENTO!$AF$11)),
         0)</f>
        <v>0</v>
      </c>
      <c r="BH149" s="453">
        <f ca="1">IF(AND($D149="Serviço",BH$12&lt;&gt;0,$H149&gt;0,OR(AUTOEVENTO&lt;&gt;"manual",$M149&lt;&gt;$A$15)),
        IF(Import.TipoArredondamento&lt;&gt;"TransfereGOV",
              ROUND(OFFSET($P149,0,BH$13),15-13*ORÇAMENTO!$AF$7)/$H149*OFFSET(ORÇAMENTO!$X$15,ROW(BH149)-ROW(BH$15),0),
              ROUND(ROUND(OFFSET($P149,0,BH$13),15-13*ORÇAMENTO!$AF$7)*OFFSET(ORÇAMENTO!$W$15,ROW(BH149)-ROW(BH$15),0),15-13*ORÇAMENTO!$AF$11)),
         0)</f>
        <v>0</v>
      </c>
      <c r="BI149" s="453">
        <f ca="1">IF(AND($D149="Serviço",BI$12&lt;&gt;0,$H149&gt;0,OR(AUTOEVENTO&lt;&gt;"manual",$M149&lt;&gt;$A$15)),
        IF(Import.TipoArredondamento&lt;&gt;"TransfereGOV",
              ROUND(OFFSET($P149,0,BI$13),15-13*ORÇAMENTO!$AF$7)/$H149*OFFSET(ORÇAMENTO!$X$15,ROW(BI149)-ROW(BI$15),0),
              ROUND(ROUND(OFFSET($P149,0,BI$13),15-13*ORÇAMENTO!$AF$7)*OFFSET(ORÇAMENTO!$W$15,ROW(BI149)-ROW(BI$15),0),15-13*ORÇAMENTO!$AF$11)),
         0)</f>
        <v>0</v>
      </c>
      <c r="BJ149" s="453">
        <f ca="1">IF(AND($D149="Serviço",BJ$12&lt;&gt;0,$H149&gt;0,OR(AUTOEVENTO&lt;&gt;"manual",$M149&lt;&gt;$A$15)),
        IF(Import.TipoArredondamento&lt;&gt;"TransfereGOV",
              ROUND(OFFSET($P149,0,BJ$13),15-13*ORÇAMENTO!$AF$7)/$H149*OFFSET(ORÇAMENTO!$X$15,ROW(BJ149)-ROW(BJ$15),0),
              ROUND(ROUND(OFFSET($P149,0,BJ$13),15-13*ORÇAMENTO!$AF$7)*OFFSET(ORÇAMENTO!$W$15,ROW(BJ149)-ROW(BJ$15),0),15-13*ORÇAMENTO!$AF$11)),
         0)</f>
        <v>0</v>
      </c>
      <c r="BK149" s="453">
        <f ca="1">IF(AND($D149="Serviço",BK$12&lt;&gt;0,$H149&gt;0,OR(AUTOEVENTO&lt;&gt;"manual",$M149&lt;&gt;$A$15)),
        IF(Import.TipoArredondamento&lt;&gt;"TransfereGOV",
              ROUND(OFFSET($P149,0,BK$13),15-13*ORÇAMENTO!$AF$7)/$H149*OFFSET(ORÇAMENTO!$X$15,ROW(BK149)-ROW(BK$15),0),
              ROUND(ROUND(OFFSET($P149,0,BK$13),15-13*ORÇAMENTO!$AF$7)*OFFSET(ORÇAMENTO!$W$15,ROW(BK149)-ROW(BK$15),0),15-13*ORÇAMENTO!$AF$11)),
         0)</f>
        <v>0</v>
      </c>
      <c r="BL149" s="453">
        <f ca="1">IF(AND($D149="Serviço",BL$12&lt;&gt;0,$H149&gt;0,OR(AUTOEVENTO&lt;&gt;"manual",$M149&lt;&gt;$A$15)),
        IF(Import.TipoArredondamento&lt;&gt;"TransfereGOV",
              ROUND(OFFSET($P149,0,BL$13),15-13*ORÇAMENTO!$AF$7)/$H149*OFFSET(ORÇAMENTO!$X$15,ROW(BL149)-ROW(BL$15),0),
              ROUND(ROUND(OFFSET($P149,0,BL$13),15-13*ORÇAMENTO!$AF$7)*OFFSET(ORÇAMENTO!$W$15,ROW(BL149)-ROW(BL$15),0),15-13*ORÇAMENTO!$AF$11)),
         0)</f>
        <v>0</v>
      </c>
      <c r="BM149" s="453">
        <f ca="1">IF(AND($D149="Serviço",BM$12&lt;&gt;0,$H149&gt;0,OR(AUTOEVENTO&lt;&gt;"manual",$M149&lt;&gt;$A$15)),
        IF(Import.TipoArredondamento&lt;&gt;"TransfereGOV",
              ROUND(OFFSET($P149,0,BM$13),15-13*ORÇAMENTO!$AF$7)/$H149*OFFSET(ORÇAMENTO!$X$15,ROW(BM149)-ROW(BM$15),0),
              ROUND(ROUND(OFFSET($P149,0,BM$13),15-13*ORÇAMENTO!$AF$7)*OFFSET(ORÇAMENTO!$W$15,ROW(BM149)-ROW(BM$15),0),15-13*ORÇAMENTO!$AF$11)),
         0)</f>
        <v>0</v>
      </c>
      <c r="BN149" s="453">
        <f ca="1">IF(AND($D149="Serviço",BN$12&lt;&gt;0,$H149&gt;0,OR(AUTOEVENTO&lt;&gt;"manual",$M149&lt;&gt;$A$15)),
        IF(Import.TipoArredondamento&lt;&gt;"TransfereGOV",
              ROUND(OFFSET($P149,0,BN$13),15-13*ORÇAMENTO!$AF$7)/$H149*OFFSET(ORÇAMENTO!$X$15,ROW(BN149)-ROW(BN$15),0),
              ROUND(ROUND(OFFSET($P149,0,BN$13),15-13*ORÇAMENTO!$AF$7)*OFFSET(ORÇAMENTO!$W$15,ROW(BN149)-ROW(BN$15),0),15-13*ORÇAMENTO!$AF$11)),
         0)</f>
        <v>0</v>
      </c>
      <c r="BO149" s="453">
        <f ca="1">IF(AND($D149="Serviço",BO$12&lt;&gt;0,$H149&gt;0,OR(AUTOEVENTO&lt;&gt;"manual",$M149&lt;&gt;$A$15)),
        IF(Import.TipoArredondamento&lt;&gt;"TransfereGOV",
              ROUND(OFFSET($P149,0,BO$13),15-13*ORÇAMENTO!$AF$7)/$H149*OFFSET(ORÇAMENTO!$X$15,ROW(BO149)-ROW(BO$15),0),
              ROUND(ROUND(OFFSET($P149,0,BO$13),15-13*ORÇAMENTO!$AF$7)*OFFSET(ORÇAMENTO!$W$15,ROW(BO149)-ROW(BO$15),0),15-13*ORÇAMENTO!$AF$11)),
         0)</f>
        <v>0</v>
      </c>
      <c r="BP149" s="453">
        <f ca="1">IF(AND($D149="Serviço",BP$12&lt;&gt;0,$H149&gt;0,OR(AUTOEVENTO&lt;&gt;"manual",$M149&lt;&gt;$A$15)),
        IF(Import.TipoArredondamento&lt;&gt;"TransfereGOV",
              ROUND(OFFSET($P149,0,BP$13),15-13*ORÇAMENTO!$AF$7)/$H149*OFFSET(ORÇAMENTO!$X$15,ROW(BP149)-ROW(BP$15),0),
              ROUND(ROUND(OFFSET($P149,0,BP$13),15-13*ORÇAMENTO!$AF$7)*OFFSET(ORÇAMENTO!$W$15,ROW(BP149)-ROW(BP$15),0),15-13*ORÇAMENTO!$AF$11)),
         0)</f>
        <v>0</v>
      </c>
      <c r="BQ149" s="453">
        <f ca="1">IF(AND($D149="Serviço",BQ$12&lt;&gt;0,$H149&gt;0,OR(AUTOEVENTO&lt;&gt;"manual",$M149&lt;&gt;$A$15)),
        IF(Import.TipoArredondamento&lt;&gt;"TransfereGOV",
              ROUND(OFFSET($P149,0,BQ$13),15-13*ORÇAMENTO!$AF$7)/$H149*OFFSET(ORÇAMENTO!$X$15,ROW(BQ149)-ROW(BQ$15),0),
              ROUND(ROUND(OFFSET($P149,0,BQ$13),15-13*ORÇAMENTO!$AF$7)*OFFSET(ORÇAMENTO!$W$15,ROW(BQ149)-ROW(BQ$15),0),15-13*ORÇAMENTO!$AF$11)),
         0)</f>
        <v>0</v>
      </c>
      <c r="BS149" s="171">
        <f ca="1">IF(OR($D149&lt;&gt;"Serviço",AND(AUTOEVENTO="Manual",$M149=$A$15)),0,
         IF(OFFSET(CRONOPLE!$F$15,$M149-$A$15,BS$13)=0,10^12,OFFSET(CRONOPLE!$F$15,$M149-$A$15,BS$13)))</f>
        <v>1</v>
      </c>
      <c r="BT149" s="171">
        <f ca="1">IF(OR($D149&lt;&gt;"Serviço",AND(AUTOEVENTO="Manual",$M149=$A$15)),0,
         IF(OFFSET(CRONOPLE!$F$15,$M149-$A$15,BT$13)=0,10^12,OFFSET(CRONOPLE!$F$15,$M149-$A$15,BT$13)))</f>
        <v>2</v>
      </c>
      <c r="BU149" s="171">
        <f ca="1">IF(OR($D149&lt;&gt;"Serviço",AND(AUTOEVENTO="Manual",$M149=$A$15)),0,
         IF(OFFSET(CRONOPLE!$F$15,$M149-$A$15,BU$13)=0,10^12,OFFSET(CRONOPLE!$F$15,$M149-$A$15,BU$13)))</f>
        <v>3</v>
      </c>
      <c r="BV149" s="171">
        <f ca="1">IF(OR($D149&lt;&gt;"Serviço",AND(AUTOEVENTO="Manual",$M149=$A$15)),0,
         IF(OFFSET(CRONOPLE!$F$15,$M149-$A$15,BV$13)=0,10^12,OFFSET(CRONOPLE!$F$15,$M149-$A$15,BV$13)))</f>
        <v>4</v>
      </c>
      <c r="BW149" s="171">
        <f ca="1">IF(OR($D149&lt;&gt;"Serviço",AND(AUTOEVENTO="Manual",$M149=$A$15)),0,
         IF(OFFSET(CRONOPLE!$F$15,$M149-$A$15,BW$13)=0,10^12,OFFSET(CRONOPLE!$F$15,$M149-$A$15,BW$13)))</f>
        <v>5</v>
      </c>
      <c r="BX149" s="171">
        <f ca="1">IF(OR($D149&lt;&gt;"Serviço",AND(AUTOEVENTO="Manual",$M149=$A$15)),0,
         IF(OFFSET(CRONOPLE!$F$15,$M149-$A$15,BX$13)=0,10^12,OFFSET(CRONOPLE!$F$15,$M149-$A$15,BX$13)))</f>
        <v>6</v>
      </c>
      <c r="BY149" s="171">
        <f ca="1">IF(OR($D149&lt;&gt;"Serviço",AND(AUTOEVENTO="Manual",$M149=$A$15)),0,
         IF(OFFSET(CRONOPLE!$F$15,$M149-$A$15,BY$13)=0,10^12,OFFSET(CRONOPLE!$F$15,$M149-$A$15,BY$13)))</f>
        <v>7</v>
      </c>
      <c r="BZ149" s="171">
        <f ca="1">IF(OR($D149&lt;&gt;"Serviço",AND(AUTOEVENTO="Manual",$M149=$A$15)),0,
         IF(OFFSET(CRONOPLE!$F$15,$M149-$A$15,BZ$13)=0,10^12,OFFSET(CRONOPLE!$F$15,$M149-$A$15,BZ$13)))</f>
        <v>8</v>
      </c>
      <c r="CA149" s="171">
        <f ca="1">IF(OR($D149&lt;&gt;"Serviço",AND(AUTOEVENTO="Manual",$M149=$A$15)),0,
         IF(OFFSET(CRONOPLE!$F$15,$M149-$A$15,CA$13)=0,10^12,OFFSET(CRONOPLE!$F$15,$M149-$A$15,CA$13)))</f>
        <v>9</v>
      </c>
      <c r="CB149" s="171">
        <f ca="1">IF(OR($D149&lt;&gt;"Serviço",AND(AUTOEVENTO="Manual",$M149=$A$15)),0,
         IF(OFFSET(CRONOPLE!$F$15,$M149-$A$15,CB$13)=0,10^12,OFFSET(CRONOPLE!$F$15,$M149-$A$15,CB$13)))</f>
        <v>10</v>
      </c>
      <c r="CC149" s="171">
        <f ca="1">IF(OR($D149&lt;&gt;"Serviço",AND(AUTOEVENTO="Manual",$M149=$A$15)),0,
         IF(OFFSET(CRONOPLE!$F$15,$M149-$A$15,CC$13)=0,10^12,OFFSET(CRONOPLE!$F$15,$M149-$A$15,CC$13)))</f>
        <v>11</v>
      </c>
      <c r="CD149" s="171">
        <f ca="1">IF(OR($D149&lt;&gt;"Serviço",AND(AUTOEVENTO="Manual",$M149=$A$15)),0,
         IF(OFFSET(CRONOPLE!$F$15,$M149-$A$15,CD$13)=0,10^12,OFFSET(CRONOPLE!$F$15,$M149-$A$15,CD$13)))</f>
        <v>12</v>
      </c>
      <c r="CE149" s="171">
        <f ca="1">IF(OR($D149&lt;&gt;"Serviço",AND(AUTOEVENTO="Manual",$M149=$A$15)),0,
         IF(OFFSET(CRONOPLE!$F$15,$M149-$A$15,CE$13)=0,10^12,OFFSET(CRONOPLE!$F$15,$M149-$A$15,CE$13)))</f>
        <v>13</v>
      </c>
      <c r="CF149" s="171">
        <f ca="1">IF(OR($D149&lt;&gt;"Serviço",AND(AUTOEVENTO="Manual",$M149=$A$15)),0,
         IF(OFFSET(CRONOPLE!$F$15,$M149-$A$15,CF$13)=0,10^12,OFFSET(CRONOPLE!$F$15,$M149-$A$15,CF$13)))</f>
        <v>14</v>
      </c>
      <c r="CG149" s="171">
        <f ca="1">IF(OR($D149&lt;&gt;"Serviço",AND(AUTOEVENTO="Manual",$M149=$A$15)),0,
         IF(OFFSET(CRONOPLE!$F$15,$M149-$A$15,CG$13)=0,10^12,OFFSET(CRONOPLE!$F$15,$M149-$A$15,CG$13)))</f>
        <v>15</v>
      </c>
      <c r="CH149" s="171">
        <f ca="1">IF(OR($D149&lt;&gt;"Serviço",AND(AUTOEVENTO="Manual",$M149=$A$15)),0,
         IF(OFFSET(CRONOPLE!$F$15,$M149-$A$15,CH$13)=0,10^12,OFFSET(CRONOPLE!$F$15,$M149-$A$15,CH$13)))</f>
        <v>16</v>
      </c>
      <c r="CI149" s="171">
        <f ca="1">IF(OR($D149&lt;&gt;"Serviço",AND(AUTOEVENTO="Manual",$M149=$A$15)),0,
         IF(OFFSET(CRONOPLE!$F$15,$M149-$A$15,CI$13)=0,10^12,OFFSET(CRONOPLE!$F$15,$M149-$A$15,CI$13)))</f>
        <v>17</v>
      </c>
      <c r="CJ149" s="171">
        <f ca="1">IF(OR($D149&lt;&gt;"Serviço",AND(AUTOEVENTO="Manual",$M149=$A$15)),0,
         IF(OFFSET(CRONOPLE!$F$15,$M149-$A$15,CJ$13)=0,10^12,OFFSET(CRONOPLE!$F$15,$M149-$A$15,CJ$13)))</f>
        <v>18</v>
      </c>
      <c r="CK149" s="171">
        <f ca="1">IF(OR($D149&lt;&gt;"Serviço",AND(AUTOEVENTO="Manual",$M149=$A$15)),0,
         IF(OFFSET(CRONOPLE!$F$15,$M149-$A$15,CK$13)=0,10^12,OFFSET(CRONOPLE!$F$15,$M149-$A$15,CK$13)))</f>
        <v>19</v>
      </c>
      <c r="CL149" s="171">
        <f ca="1">IF(OR($D149&lt;&gt;"Serviço",AND(AUTOEVENTO="Manual",$M149=$A$15)),0,
         IF(OFFSET(CRONOPLE!$F$15,$M149-$A$15,CL$13)=0,10^12,OFFSET(CRONOPLE!$F$15,$M149-$A$15,CL$13)))</f>
        <v>20</v>
      </c>
      <c r="CM149" s="171">
        <f ca="1">IF(OR($D149&lt;&gt;"Serviço",AND(AUTOEVENTO="Manual",$M149=$A$15)),0,
         IF(OFFSET(CRONOPLE!$F$15,$M149-$A$15,CM$13)=0,10^12,OFFSET(CRONOPLE!$F$15,$M149-$A$15,CM$13)))</f>
        <v>1000000000000</v>
      </c>
      <c r="CN149" s="171">
        <f ca="1">IF(OR($D149&lt;&gt;"Serviço",AND(AUTOEVENTO="Manual",$M149=$A$15)),0,
         IF(OFFSET(CRONOPLE!$F$15,$M149-$A$15,CN$13)=0,10^12,OFFSET(CRONOPLE!$F$15,$M149-$A$15,CN$13)))</f>
        <v>1000000000000</v>
      </c>
      <c r="CO149" s="171">
        <f ca="1">IF(OR($D149&lt;&gt;"Serviço",AND(AUTOEVENTO="Manual",$M149=$A$15)),0,
         IF(OFFSET(CRONOPLE!$F$15,$M149-$A$15,CO$13)=0,10^12,OFFSET(CRONOPLE!$F$15,$M149-$A$15,CO$13)))</f>
        <v>1000000000000</v>
      </c>
      <c r="CP149" s="171">
        <f ca="1">IF(OR($D149&lt;&gt;"Serviço",AND(AUTOEVENTO="Manual",$M149=$A$15)),0,
         IF(OFFSET(CRONOPLE!$F$15,$M149-$A$15,CP$13)=0,10^12,OFFSET(CRONOPLE!$F$15,$M149-$A$15,CP$13)))</f>
        <v>1000000000000</v>
      </c>
      <c r="CQ149" s="171">
        <f ca="1">IF(OR($D149&lt;&gt;"Serviço",AND(AUTOEVENTO="Manual",$M149=$A$15)),0,
         IF(OFFSET(CRONOPLE!$F$15,$M149-$A$15,CQ$13)=0,10^12,OFFSET(CRONOPLE!$F$15,$M149-$A$15,CQ$13)))</f>
        <v>1000000000000</v>
      </c>
      <c r="CR149" s="171">
        <f ca="1">IF(OR($D149&lt;&gt;"Serviço",AND(AUTOEVENTO="Manual",$M149=$A$15)),0,
         IF(OFFSET(CRONOPLE!$F$15,$M149-$A$15,CR$13)=0,10^12,OFFSET(CRONOPLE!$F$15,$M149-$A$15,CR$13)))</f>
        <v>1000000000000</v>
      </c>
      <c r="CT149" s="172" cm="1">
        <f t="array" aca="1" ref="CT149" ca="1">IF(OR($D149&lt;&gt;"Serviço",AND(AUTOEVENTO="Manual",$M149=$A$15),$M149&gt;(ROW(PLE.lastrow)-ROW(PLE.firstrow))),0,
           IF(OFFSET(PLE!$G$15,$M149-$A$15,CT$13)="",10^12,OFFSET(PLE!$G$15,$M149-$A$15,CT$13)))</f>
        <v>1000000000000</v>
      </c>
      <c r="CU149" s="172" cm="1">
        <f t="array" aca="1" ref="CU149" ca="1">IF(OR($D149&lt;&gt;"Serviço",AND(AUTOEVENTO="Manual",$M149=$A$15),$M149&gt;(ROW(PLE.lastrow)-ROW(PLE.firstrow))),0,
           IF(OFFSET(PLE!$G$15,$M149-$A$15,CU$13)="",10^12,OFFSET(PLE!$G$15,$M149-$A$15,CU$13)))</f>
        <v>1000000000000</v>
      </c>
      <c r="CV149" s="172" cm="1">
        <f t="array" aca="1" ref="CV149" ca="1">IF(OR($D149&lt;&gt;"Serviço",AND(AUTOEVENTO="Manual",$M149=$A$15),$M149&gt;(ROW(PLE.lastrow)-ROW(PLE.firstrow))),0,
           IF(OFFSET(PLE!$G$15,$M149-$A$15,CV$13)="",10^12,OFFSET(PLE!$G$15,$M149-$A$15,CV$13)))</f>
        <v>1000000000000</v>
      </c>
      <c r="CW149" s="172" cm="1">
        <f t="array" aca="1" ref="CW149" ca="1">IF(OR($D149&lt;&gt;"Serviço",AND(AUTOEVENTO="Manual",$M149=$A$15),$M149&gt;(ROW(PLE.lastrow)-ROW(PLE.firstrow))),0,
           IF(OFFSET(PLE!$G$15,$M149-$A$15,CW$13)="",10^12,OFFSET(PLE!$G$15,$M149-$A$15,CW$13)))</f>
        <v>1000000000000</v>
      </c>
      <c r="CX149" s="172" cm="1">
        <f t="array" aca="1" ref="CX149" ca="1">IF(OR($D149&lt;&gt;"Serviço",AND(AUTOEVENTO="Manual",$M149=$A$15),$M149&gt;(ROW(PLE.lastrow)-ROW(PLE.firstrow))),0,
           IF(OFFSET(PLE!$G$15,$M149-$A$15,CX$13)="",10^12,OFFSET(PLE!$G$15,$M149-$A$15,CX$13)))</f>
        <v>1000000000000</v>
      </c>
      <c r="CY149" s="172" cm="1">
        <f t="array" aca="1" ref="CY149" ca="1">IF(OR($D149&lt;&gt;"Serviço",AND(AUTOEVENTO="Manual",$M149=$A$15),$M149&gt;(ROW(PLE.lastrow)-ROW(PLE.firstrow))),0,
           IF(OFFSET(PLE!$G$15,$M149-$A$15,CY$13)="",10^12,OFFSET(PLE!$G$15,$M149-$A$15,CY$13)))</f>
        <v>1000000000000</v>
      </c>
      <c r="CZ149" s="172" cm="1">
        <f t="array" aca="1" ref="CZ149" ca="1">IF(OR($D149&lt;&gt;"Serviço",AND(AUTOEVENTO="Manual",$M149=$A$15),$M149&gt;(ROW(PLE.lastrow)-ROW(PLE.firstrow))),0,
           IF(OFFSET(PLE!$G$15,$M149-$A$15,CZ$13)="",10^12,OFFSET(PLE!$G$15,$M149-$A$15,CZ$13)))</f>
        <v>1000000000000</v>
      </c>
      <c r="DA149" s="172" cm="1">
        <f t="array" aca="1" ref="DA149" ca="1">IF(OR($D149&lt;&gt;"Serviço",AND(AUTOEVENTO="Manual",$M149=$A$15),$M149&gt;(ROW(PLE.lastrow)-ROW(PLE.firstrow))),0,
           IF(OFFSET(PLE!$G$15,$M149-$A$15,DA$13)="",10^12,OFFSET(PLE!$G$15,$M149-$A$15,DA$13)))</f>
        <v>1000000000000</v>
      </c>
      <c r="DB149" s="172" cm="1">
        <f t="array" aca="1" ref="DB149" ca="1">IF(OR($D149&lt;&gt;"Serviço",AND(AUTOEVENTO="Manual",$M149=$A$15),$M149&gt;(ROW(PLE.lastrow)-ROW(PLE.firstrow))),0,
           IF(OFFSET(PLE!$G$15,$M149-$A$15,DB$13)="",10^12,OFFSET(PLE!$G$15,$M149-$A$15,DB$13)))</f>
        <v>1000000000000</v>
      </c>
      <c r="DC149" s="172" cm="1">
        <f t="array" aca="1" ref="DC149" ca="1">IF(OR($D149&lt;&gt;"Serviço",AND(AUTOEVENTO="Manual",$M149=$A$15),$M149&gt;(ROW(PLE.lastrow)-ROW(PLE.firstrow))),0,
           IF(OFFSET(PLE!$G$15,$M149-$A$15,DC$13)="",10^12,OFFSET(PLE!$G$15,$M149-$A$15,DC$13)))</f>
        <v>1000000000000</v>
      </c>
      <c r="DD149" s="172" cm="1">
        <f t="array" aca="1" ref="DD149" ca="1">IF(OR($D149&lt;&gt;"Serviço",AND(AUTOEVENTO="Manual",$M149=$A$15),$M149&gt;(ROW(PLE.lastrow)-ROW(PLE.firstrow))),0,
           IF(OFFSET(PLE!$G$15,$M149-$A$15,DD$13)="",10^12,OFFSET(PLE!$G$15,$M149-$A$15,DD$13)))</f>
        <v>1000000000000</v>
      </c>
      <c r="DE149" s="172" cm="1">
        <f t="array" aca="1" ref="DE149" ca="1">IF(OR($D149&lt;&gt;"Serviço",AND(AUTOEVENTO="Manual",$M149=$A$15),$M149&gt;(ROW(PLE.lastrow)-ROW(PLE.firstrow))),0,
           IF(OFFSET(PLE!$G$15,$M149-$A$15,DE$13)="",10^12,OFFSET(PLE!$G$15,$M149-$A$15,DE$13)))</f>
        <v>1000000000000</v>
      </c>
      <c r="DF149" s="172" cm="1">
        <f t="array" aca="1" ref="DF149" ca="1">IF(OR($D149&lt;&gt;"Serviço",AND(AUTOEVENTO="Manual",$M149=$A$15),$M149&gt;(ROW(PLE.lastrow)-ROW(PLE.firstrow))),0,
           IF(OFFSET(PLE!$G$15,$M149-$A$15,DF$13)="",10^12,OFFSET(PLE!$G$15,$M149-$A$15,DF$13)))</f>
        <v>1000000000000</v>
      </c>
      <c r="DG149" s="172" cm="1">
        <f t="array" aca="1" ref="DG149" ca="1">IF(OR($D149&lt;&gt;"Serviço",AND(AUTOEVENTO="Manual",$M149=$A$15),$M149&gt;(ROW(PLE.lastrow)-ROW(PLE.firstrow))),0,
           IF(OFFSET(PLE!$G$15,$M149-$A$15,DG$13)="",10^12,OFFSET(PLE!$G$15,$M149-$A$15,DG$13)))</f>
        <v>1000000000000</v>
      </c>
      <c r="DH149" s="172" cm="1">
        <f t="array" aca="1" ref="DH149" ca="1">IF(OR($D149&lt;&gt;"Serviço",AND(AUTOEVENTO="Manual",$M149=$A$15),$M149&gt;(ROW(PLE.lastrow)-ROW(PLE.firstrow))),0,
           IF(OFFSET(PLE!$G$15,$M149-$A$15,DH$13)="",10^12,OFFSET(PLE!$G$15,$M149-$A$15,DH$13)))</f>
        <v>1000000000000</v>
      </c>
      <c r="DI149" s="172" cm="1">
        <f t="array" aca="1" ref="DI149" ca="1">IF(OR($D149&lt;&gt;"Serviço",AND(AUTOEVENTO="Manual",$M149=$A$15),$M149&gt;(ROW(PLE.lastrow)-ROW(PLE.firstrow))),0,
           IF(OFFSET(PLE!$G$15,$M149-$A$15,DI$13)="",10^12,OFFSET(PLE!$G$15,$M149-$A$15,DI$13)))</f>
        <v>1000000000000</v>
      </c>
      <c r="DJ149" s="172" cm="1">
        <f t="array" aca="1" ref="DJ149" ca="1">IF(OR($D149&lt;&gt;"Serviço",AND(AUTOEVENTO="Manual",$M149=$A$15),$M149&gt;(ROW(PLE.lastrow)-ROW(PLE.firstrow))),0,
           IF(OFFSET(PLE!$G$15,$M149-$A$15,DJ$13)="",10^12,OFFSET(PLE!$G$15,$M149-$A$15,DJ$13)))</f>
        <v>1000000000000</v>
      </c>
      <c r="DK149" s="172" cm="1">
        <f t="array" aca="1" ref="DK149" ca="1">IF(OR($D149&lt;&gt;"Serviço",AND(AUTOEVENTO="Manual",$M149=$A$15),$M149&gt;(ROW(PLE.lastrow)-ROW(PLE.firstrow))),0,
           IF(OFFSET(PLE!$G$15,$M149-$A$15,DK$13)="",10^12,OFFSET(PLE!$G$15,$M149-$A$15,DK$13)))</f>
        <v>1000000000000</v>
      </c>
      <c r="DL149" s="172" cm="1">
        <f t="array" aca="1" ref="DL149" ca="1">IF(OR($D149&lt;&gt;"Serviço",AND(AUTOEVENTO="Manual",$M149=$A$15),$M149&gt;(ROW(PLE.lastrow)-ROW(PLE.firstrow))),0,
           IF(OFFSET(PLE!$G$15,$M149-$A$15,DL$13)="",10^12,OFFSET(PLE!$G$15,$M149-$A$15,DL$13)))</f>
        <v>1000000000000</v>
      </c>
      <c r="DM149" s="172" cm="1">
        <f t="array" aca="1" ref="DM149" ca="1">IF(OR($D149&lt;&gt;"Serviço",AND(AUTOEVENTO="Manual",$M149=$A$15),$M149&gt;(ROW(PLE.lastrow)-ROW(PLE.firstrow))),0,
           IF(OFFSET(PLE!$G$15,$M149-$A$15,DM$13)="",10^12,OFFSET(PLE!$G$15,$M149-$A$15,DM$13)))</f>
        <v>1000000000000</v>
      </c>
      <c r="DN149" s="172" cm="1">
        <f t="array" aca="1" ref="DN149" ca="1">IF(OR($D149&lt;&gt;"Serviço",AND(AUTOEVENTO="Manual",$M149=$A$15),$M149&gt;(ROW(PLE.lastrow)-ROW(PLE.firstrow))),0,
           IF(OFFSET(PLE!$G$15,$M149-$A$15,DN$13)="",10^12,OFFSET(PLE!$G$15,$M149-$A$15,DN$13)))</f>
        <v>1000000000000</v>
      </c>
      <c r="DO149" s="172" cm="1">
        <f t="array" aca="1" ref="DO149" ca="1">IF(OR($D149&lt;&gt;"Serviço",AND(AUTOEVENTO="Manual",$M149=$A$15),$M149&gt;(ROW(PLE.lastrow)-ROW(PLE.firstrow))),0,
           IF(OFFSET(PLE!$G$15,$M149-$A$15,DO$13)="",10^12,OFFSET(PLE!$G$15,$M149-$A$15,DO$13)))</f>
        <v>1000000000000</v>
      </c>
      <c r="DP149" s="172" cm="1">
        <f t="array" aca="1" ref="DP149" ca="1">IF(OR($D149&lt;&gt;"Serviço",AND(AUTOEVENTO="Manual",$M149=$A$15),$M149&gt;(ROW(PLE.lastrow)-ROW(PLE.firstrow))),0,
           IF(OFFSET(PLE!$G$15,$M149-$A$15,DP$13)="",10^12,OFFSET(PLE!$G$15,$M149-$A$15,DP$13)))</f>
        <v>1000000000000</v>
      </c>
      <c r="DQ149" s="172" cm="1">
        <f t="array" aca="1" ref="DQ149" ca="1">IF(OR($D149&lt;&gt;"Serviço",AND(AUTOEVENTO="Manual",$M149=$A$15),$M149&gt;(ROW(PLE.lastrow)-ROW(PLE.firstrow))),0,
           IF(OFFSET(PLE!$G$15,$M149-$A$15,DQ$13)="",10^12,OFFSET(PLE!$G$15,$M149-$A$15,DQ$13)))</f>
        <v>1000000000000</v>
      </c>
      <c r="DR149" s="172" cm="1">
        <f t="array" aca="1" ref="DR149" ca="1">IF(OR($D149&lt;&gt;"Serviço",AND(AUTOEVENTO="Manual",$M149=$A$15),$M149&gt;(ROW(PLE.lastrow)-ROW(PLE.firstrow))),0,
           IF(OFFSET(PLE!$G$15,$M149-$A$15,DR$13)="",10^12,OFFSET(PLE!$G$15,$M149-$A$15,DR$13)))</f>
        <v>1000000000000</v>
      </c>
      <c r="DS149" s="172" cm="1">
        <f t="array" aca="1" ref="DS149" ca="1">IF(OR($D149&lt;&gt;"Serviço",AND(AUTOEVENTO="Manual",$M149=$A$15),$M149&gt;(ROW(PLE.lastrow)-ROW(PLE.firstrow))),0,
           IF(OFFSET(PLE!$G$15,$M149-$A$15,DS$13)="",10^12,OFFSET(PLE!$G$15,$M149-$A$15,DS$13)))</f>
        <v>1000000000000</v>
      </c>
    </row>
    <row r="150" spans="1:123" ht="25.5" x14ac:dyDescent="0.2">
      <c r="A150" s="7">
        <f t="shared" ca="1" si="16"/>
        <v>9</v>
      </c>
      <c r="B150" s="7" t="str">
        <f ca="1">OFFSET(ORÇAMENTO!C$15,$L150,0)</f>
        <v>S</v>
      </c>
      <c r="C150" s="7" t="str">
        <f ca="1">OFFSET(ORÇAMENTO!L$15,$L150,0)</f>
        <v/>
      </c>
      <c r="D150" s="116" t="str">
        <f ca="1">OFFSET(ORÇAMENTO!N$15,$L150,0)</f>
        <v>Serviço</v>
      </c>
      <c r="E150" s="117" t="str">
        <f ca="1">OFFSET(ORÇAMENTO!O$15,$L150,0)</f>
        <v>-</v>
      </c>
      <c r="F150" s="163" t="str">
        <f ca="1">OFFSET(ORÇAMENTO!R$15,$L150,0)</f>
        <v>(Código não identificado nas referências)</v>
      </c>
      <c r="G150" s="164" t="str">
        <f ca="1">IF($D150&lt;&gt;"Serviço","",OFFSET(ORÇAMENTO!S$15,$L150,0))</f>
        <v>-</v>
      </c>
      <c r="H150" s="122" cm="1">
        <f t="array" aca="1" ref="H150" ca="1">IF($D150&lt;&gt;"Serviço",0,IF(ACOMPANHAMENTO="BM",ROUND(OFFSET(ORÇAMENTO!AJ$15,$L150,0),15-13*ORÇAMENTO!$AF$7),IF(IFERROR(CÁLCULO.FrentesPreenchidas,0)=0,0,SUM(ROUND(OFFSET($P150,0,1,1,CÁLCULO.FrentesPreenchidas),15-13*ORÇAMENTO!$AF$7)))))</f>
        <v>20</v>
      </c>
      <c r="I150" s="468" t="s">
        <v>1235</v>
      </c>
      <c r="J150" s="651" t="str" cm="1">
        <f t="array" aca="1" ref="J150" ca="1">IF(OR(B150&lt;&gt;"S",CÁLCULO.FrentesPreenchidas=0),"",IF(AND(ACOMPANHAMENTO="PLE",AUTOEVENTO="Manual",OR(H150&gt;0,ORÇAMENTO!AC150="QUANT."),OR(K150="",M150=0,N150="")),"►E",IF(AND(ACOMPANHAMENTO="PLE",ORÇAMENTO!AC150="QUANT."),"►Q",IF(AND(ACOMPANHAMENTO="PLE",H150&lt;&gt;SUMPRODUCT(($Q$1:$AQ$1=1)*ROUND(Q150:AQ150,15))),"►S",IF(AND(COUNTIF($P$11:$AQ$11,"▼")=0,H150&gt;0,I150=""),"◄M","")))))</f>
        <v/>
      </c>
      <c r="K150" s="652" t="s">
        <v>1257</v>
      </c>
      <c r="L150" s="165">
        <f t="shared" ca="1" si="17"/>
        <v>135</v>
      </c>
      <c r="M150" s="166">
        <f ca="1">IF($D150&lt;&gt;"Serviço","",
          IF(AUTOEVENTO="manual",$A150,
                IF(ISERROR(MATCH($A150,$A$15:OFFSET($A150,-1,0),0)),MAX($M$15:OFFSET(M150,-1,0))+1,
                      INDEX($M$15:OFFSET(M150,-1,0),MATCH($A150,$A$15:OFFSET($A150,-1,0),0)))))</f>
        <v>9</v>
      </c>
      <c r="N150" s="167" t="str">
        <f ca="1">IF($D150&lt;&gt;"Serviço","",
         IF(AUTOEVENTO="Manual",
                IF($A150=0,"&lt;-- defina o número do agrupador",
                       OFFSET(EVENTOS!$D$15,$A150-$A$15,0)),
                OFFSET($F$15,$A150,0)))</f>
        <v>INSTALAÇÕES</v>
      </c>
      <c r="O150" s="168"/>
      <c r="Q150" s="168">
        <v>1</v>
      </c>
      <c r="R150" s="169">
        <v>1</v>
      </c>
      <c r="S150" s="169">
        <v>1</v>
      </c>
      <c r="T150" s="169">
        <v>1</v>
      </c>
      <c r="U150" s="169">
        <v>1</v>
      </c>
      <c r="V150" s="169">
        <v>1</v>
      </c>
      <c r="W150" s="169">
        <v>1</v>
      </c>
      <c r="X150" s="169">
        <v>1</v>
      </c>
      <c r="Y150" s="169">
        <v>1</v>
      </c>
      <c r="Z150" s="170">
        <v>1</v>
      </c>
      <c r="AA150" s="169">
        <v>1</v>
      </c>
      <c r="AB150" s="169">
        <v>1</v>
      </c>
      <c r="AC150" s="169">
        <v>1</v>
      </c>
      <c r="AD150" s="169">
        <v>1</v>
      </c>
      <c r="AE150" s="169">
        <v>1</v>
      </c>
      <c r="AF150" s="169">
        <v>1</v>
      </c>
      <c r="AG150" s="169">
        <v>1</v>
      </c>
      <c r="AH150" s="170">
        <v>1</v>
      </c>
      <c r="AI150" s="169">
        <v>1</v>
      </c>
      <c r="AJ150" s="169">
        <v>1</v>
      </c>
      <c r="AK150" s="169"/>
      <c r="AL150" s="169"/>
      <c r="AM150" s="169"/>
      <c r="AN150" s="169"/>
      <c r="AO150" s="169"/>
      <c r="AP150" s="170"/>
      <c r="AR150" s="453">
        <f ca="1">IF(AND($D150="Serviço",AR$12&lt;&gt;0,$H150&gt;0,OR(AUTOEVENTO&lt;&gt;"manual",$M150&lt;&gt;$A$15)),
        IF(Import.TipoArredondamento&lt;&gt;"TransfereGOV",
              ROUND(OFFSET($P150,0,AR$13),15-13*ORÇAMENTO!$AF$7)/$H150*OFFSET(ORÇAMENTO!$X$15,ROW(AR150)-ROW(AR$15),0),
              ROUND(ROUND(OFFSET($P150,0,AR$13),15-13*ORÇAMENTO!$AF$7)*OFFSET(ORÇAMENTO!$W$15,ROW(AR150)-ROW(AR$15),0),15-13*ORÇAMENTO!$AF$11)),
         0)</f>
        <v>0</v>
      </c>
      <c r="AS150" s="453">
        <f ca="1">IF(AND($D150="Serviço",AS$12&lt;&gt;0,$H150&gt;0,OR(AUTOEVENTO&lt;&gt;"manual",$M150&lt;&gt;$A$15)),
        IF(Import.TipoArredondamento&lt;&gt;"TransfereGOV",
              ROUND(OFFSET($P150,0,AS$13),15-13*ORÇAMENTO!$AF$7)/$H150*OFFSET(ORÇAMENTO!$X$15,ROW(AS150)-ROW(AS$15),0),
              ROUND(ROUND(OFFSET($P150,0,AS$13),15-13*ORÇAMENTO!$AF$7)*OFFSET(ORÇAMENTO!$W$15,ROW(AS150)-ROW(AS$15),0),15-13*ORÇAMENTO!$AF$11)),
         0)</f>
        <v>0</v>
      </c>
      <c r="AT150" s="453">
        <f ca="1">IF(AND($D150="Serviço",AT$12&lt;&gt;0,$H150&gt;0,OR(AUTOEVENTO&lt;&gt;"manual",$M150&lt;&gt;$A$15)),
        IF(Import.TipoArredondamento&lt;&gt;"TransfereGOV",
              ROUND(OFFSET($P150,0,AT$13),15-13*ORÇAMENTO!$AF$7)/$H150*OFFSET(ORÇAMENTO!$X$15,ROW(AT150)-ROW(AT$15),0),
              ROUND(ROUND(OFFSET($P150,0,AT$13),15-13*ORÇAMENTO!$AF$7)*OFFSET(ORÇAMENTO!$W$15,ROW(AT150)-ROW(AT$15),0),15-13*ORÇAMENTO!$AF$11)),
         0)</f>
        <v>0</v>
      </c>
      <c r="AU150" s="453">
        <f ca="1">IF(AND($D150="Serviço",AU$12&lt;&gt;0,$H150&gt;0,OR(AUTOEVENTO&lt;&gt;"manual",$M150&lt;&gt;$A$15)),
        IF(Import.TipoArredondamento&lt;&gt;"TransfereGOV",
              ROUND(OFFSET($P150,0,AU$13),15-13*ORÇAMENTO!$AF$7)/$H150*OFFSET(ORÇAMENTO!$X$15,ROW(AU150)-ROW(AU$15),0),
              ROUND(ROUND(OFFSET($P150,0,AU$13),15-13*ORÇAMENTO!$AF$7)*OFFSET(ORÇAMENTO!$W$15,ROW(AU150)-ROW(AU$15),0),15-13*ORÇAMENTO!$AF$11)),
         0)</f>
        <v>0</v>
      </c>
      <c r="AV150" s="453">
        <f ca="1">IF(AND($D150="Serviço",AV$12&lt;&gt;0,$H150&gt;0,OR(AUTOEVENTO&lt;&gt;"manual",$M150&lt;&gt;$A$15)),
        IF(Import.TipoArredondamento&lt;&gt;"TransfereGOV",
              ROUND(OFFSET($P150,0,AV$13),15-13*ORÇAMENTO!$AF$7)/$H150*OFFSET(ORÇAMENTO!$X$15,ROW(AV150)-ROW(AV$15),0),
              ROUND(ROUND(OFFSET($P150,0,AV$13),15-13*ORÇAMENTO!$AF$7)*OFFSET(ORÇAMENTO!$W$15,ROW(AV150)-ROW(AV$15),0),15-13*ORÇAMENTO!$AF$11)),
         0)</f>
        <v>0</v>
      </c>
      <c r="AW150" s="453">
        <f ca="1">IF(AND($D150="Serviço",AW$12&lt;&gt;0,$H150&gt;0,OR(AUTOEVENTO&lt;&gt;"manual",$M150&lt;&gt;$A$15)),
        IF(Import.TipoArredondamento&lt;&gt;"TransfereGOV",
              ROUND(OFFSET($P150,0,AW$13),15-13*ORÇAMENTO!$AF$7)/$H150*OFFSET(ORÇAMENTO!$X$15,ROW(AW150)-ROW(AW$15),0),
              ROUND(ROUND(OFFSET($P150,0,AW$13),15-13*ORÇAMENTO!$AF$7)*OFFSET(ORÇAMENTO!$W$15,ROW(AW150)-ROW(AW$15),0),15-13*ORÇAMENTO!$AF$11)),
         0)</f>
        <v>0</v>
      </c>
      <c r="AX150" s="453">
        <f ca="1">IF(AND($D150="Serviço",AX$12&lt;&gt;0,$H150&gt;0,OR(AUTOEVENTO&lt;&gt;"manual",$M150&lt;&gt;$A$15)),
        IF(Import.TipoArredondamento&lt;&gt;"TransfereGOV",
              ROUND(OFFSET($P150,0,AX$13),15-13*ORÇAMENTO!$AF$7)/$H150*OFFSET(ORÇAMENTO!$X$15,ROW(AX150)-ROW(AX$15),0),
              ROUND(ROUND(OFFSET($P150,0,AX$13),15-13*ORÇAMENTO!$AF$7)*OFFSET(ORÇAMENTO!$W$15,ROW(AX150)-ROW(AX$15),0),15-13*ORÇAMENTO!$AF$11)),
         0)</f>
        <v>0</v>
      </c>
      <c r="AY150" s="453">
        <f ca="1">IF(AND($D150="Serviço",AY$12&lt;&gt;0,$H150&gt;0,OR(AUTOEVENTO&lt;&gt;"manual",$M150&lt;&gt;$A$15)),
        IF(Import.TipoArredondamento&lt;&gt;"TransfereGOV",
              ROUND(OFFSET($P150,0,AY$13),15-13*ORÇAMENTO!$AF$7)/$H150*OFFSET(ORÇAMENTO!$X$15,ROW(AY150)-ROW(AY$15),0),
              ROUND(ROUND(OFFSET($P150,0,AY$13),15-13*ORÇAMENTO!$AF$7)*OFFSET(ORÇAMENTO!$W$15,ROW(AY150)-ROW(AY$15),0),15-13*ORÇAMENTO!$AF$11)),
         0)</f>
        <v>0</v>
      </c>
      <c r="AZ150" s="453">
        <f ca="1">IF(AND($D150="Serviço",AZ$12&lt;&gt;0,$H150&gt;0,OR(AUTOEVENTO&lt;&gt;"manual",$M150&lt;&gt;$A$15)),
        IF(Import.TipoArredondamento&lt;&gt;"TransfereGOV",
              ROUND(OFFSET($P150,0,AZ$13),15-13*ORÇAMENTO!$AF$7)/$H150*OFFSET(ORÇAMENTO!$X$15,ROW(AZ150)-ROW(AZ$15),0),
              ROUND(ROUND(OFFSET($P150,0,AZ$13),15-13*ORÇAMENTO!$AF$7)*OFFSET(ORÇAMENTO!$W$15,ROW(AZ150)-ROW(AZ$15),0),15-13*ORÇAMENTO!$AF$11)),
         0)</f>
        <v>0</v>
      </c>
      <c r="BA150" s="453">
        <f ca="1">IF(AND($D150="Serviço",BA$12&lt;&gt;0,$H150&gt;0,OR(AUTOEVENTO&lt;&gt;"manual",$M150&lt;&gt;$A$15)),
        IF(Import.TipoArredondamento&lt;&gt;"TransfereGOV",
              ROUND(OFFSET($P150,0,BA$13),15-13*ORÇAMENTO!$AF$7)/$H150*OFFSET(ORÇAMENTO!$X$15,ROW(BA150)-ROW(BA$15),0),
              ROUND(ROUND(OFFSET($P150,0,BA$13),15-13*ORÇAMENTO!$AF$7)*OFFSET(ORÇAMENTO!$W$15,ROW(BA150)-ROW(BA$15),0),15-13*ORÇAMENTO!$AF$11)),
         0)</f>
        <v>0</v>
      </c>
      <c r="BB150" s="453">
        <f ca="1">IF(AND($D150="Serviço",BB$12&lt;&gt;0,$H150&gt;0,OR(AUTOEVENTO&lt;&gt;"manual",$M150&lt;&gt;$A$15)),
        IF(Import.TipoArredondamento&lt;&gt;"TransfereGOV",
              ROUND(OFFSET($P150,0,BB$13),15-13*ORÇAMENTO!$AF$7)/$H150*OFFSET(ORÇAMENTO!$X$15,ROW(BB150)-ROW(BB$15),0),
              ROUND(ROUND(OFFSET($P150,0,BB$13),15-13*ORÇAMENTO!$AF$7)*OFFSET(ORÇAMENTO!$W$15,ROW(BB150)-ROW(BB$15),0),15-13*ORÇAMENTO!$AF$11)),
         0)</f>
        <v>0</v>
      </c>
      <c r="BC150" s="453">
        <f ca="1">IF(AND($D150="Serviço",BC$12&lt;&gt;0,$H150&gt;0,OR(AUTOEVENTO&lt;&gt;"manual",$M150&lt;&gt;$A$15)),
        IF(Import.TipoArredondamento&lt;&gt;"TransfereGOV",
              ROUND(OFFSET($P150,0,BC$13),15-13*ORÇAMENTO!$AF$7)/$H150*OFFSET(ORÇAMENTO!$X$15,ROW(BC150)-ROW(BC$15),0),
              ROUND(ROUND(OFFSET($P150,0,BC$13),15-13*ORÇAMENTO!$AF$7)*OFFSET(ORÇAMENTO!$W$15,ROW(BC150)-ROW(BC$15),0),15-13*ORÇAMENTO!$AF$11)),
         0)</f>
        <v>0</v>
      </c>
      <c r="BD150" s="453">
        <f ca="1">IF(AND($D150="Serviço",BD$12&lt;&gt;0,$H150&gt;0,OR(AUTOEVENTO&lt;&gt;"manual",$M150&lt;&gt;$A$15)),
        IF(Import.TipoArredondamento&lt;&gt;"TransfereGOV",
              ROUND(OFFSET($P150,0,BD$13),15-13*ORÇAMENTO!$AF$7)/$H150*OFFSET(ORÇAMENTO!$X$15,ROW(BD150)-ROW(BD$15),0),
              ROUND(ROUND(OFFSET($P150,0,BD$13),15-13*ORÇAMENTO!$AF$7)*OFFSET(ORÇAMENTO!$W$15,ROW(BD150)-ROW(BD$15),0),15-13*ORÇAMENTO!$AF$11)),
         0)</f>
        <v>0</v>
      </c>
      <c r="BE150" s="453">
        <f ca="1">IF(AND($D150="Serviço",BE$12&lt;&gt;0,$H150&gt;0,OR(AUTOEVENTO&lt;&gt;"manual",$M150&lt;&gt;$A$15)),
        IF(Import.TipoArredondamento&lt;&gt;"TransfereGOV",
              ROUND(OFFSET($P150,0,BE$13),15-13*ORÇAMENTO!$AF$7)/$H150*OFFSET(ORÇAMENTO!$X$15,ROW(BE150)-ROW(BE$15),0),
              ROUND(ROUND(OFFSET($P150,0,BE$13),15-13*ORÇAMENTO!$AF$7)*OFFSET(ORÇAMENTO!$W$15,ROW(BE150)-ROW(BE$15),0),15-13*ORÇAMENTO!$AF$11)),
         0)</f>
        <v>0</v>
      </c>
      <c r="BF150" s="453">
        <f ca="1">IF(AND($D150="Serviço",BF$12&lt;&gt;0,$H150&gt;0,OR(AUTOEVENTO&lt;&gt;"manual",$M150&lt;&gt;$A$15)),
        IF(Import.TipoArredondamento&lt;&gt;"TransfereGOV",
              ROUND(OFFSET($P150,0,BF$13),15-13*ORÇAMENTO!$AF$7)/$H150*OFFSET(ORÇAMENTO!$X$15,ROW(BF150)-ROW(BF$15),0),
              ROUND(ROUND(OFFSET($P150,0,BF$13),15-13*ORÇAMENTO!$AF$7)*OFFSET(ORÇAMENTO!$W$15,ROW(BF150)-ROW(BF$15),0),15-13*ORÇAMENTO!$AF$11)),
         0)</f>
        <v>0</v>
      </c>
      <c r="BG150" s="453">
        <f ca="1">IF(AND($D150="Serviço",BG$12&lt;&gt;0,$H150&gt;0,OR(AUTOEVENTO&lt;&gt;"manual",$M150&lt;&gt;$A$15)),
        IF(Import.TipoArredondamento&lt;&gt;"TransfereGOV",
              ROUND(OFFSET($P150,0,BG$13),15-13*ORÇAMENTO!$AF$7)/$H150*OFFSET(ORÇAMENTO!$X$15,ROW(BG150)-ROW(BG$15),0),
              ROUND(ROUND(OFFSET($P150,0,BG$13),15-13*ORÇAMENTO!$AF$7)*OFFSET(ORÇAMENTO!$W$15,ROW(BG150)-ROW(BG$15),0),15-13*ORÇAMENTO!$AF$11)),
         0)</f>
        <v>0</v>
      </c>
      <c r="BH150" s="453">
        <f ca="1">IF(AND($D150="Serviço",BH$12&lt;&gt;0,$H150&gt;0,OR(AUTOEVENTO&lt;&gt;"manual",$M150&lt;&gt;$A$15)),
        IF(Import.TipoArredondamento&lt;&gt;"TransfereGOV",
              ROUND(OFFSET($P150,0,BH$13),15-13*ORÇAMENTO!$AF$7)/$H150*OFFSET(ORÇAMENTO!$X$15,ROW(BH150)-ROW(BH$15),0),
              ROUND(ROUND(OFFSET($P150,0,BH$13),15-13*ORÇAMENTO!$AF$7)*OFFSET(ORÇAMENTO!$W$15,ROW(BH150)-ROW(BH$15),0),15-13*ORÇAMENTO!$AF$11)),
         0)</f>
        <v>0</v>
      </c>
      <c r="BI150" s="453">
        <f ca="1">IF(AND($D150="Serviço",BI$12&lt;&gt;0,$H150&gt;0,OR(AUTOEVENTO&lt;&gt;"manual",$M150&lt;&gt;$A$15)),
        IF(Import.TipoArredondamento&lt;&gt;"TransfereGOV",
              ROUND(OFFSET($P150,0,BI$13),15-13*ORÇAMENTO!$AF$7)/$H150*OFFSET(ORÇAMENTO!$X$15,ROW(BI150)-ROW(BI$15),0),
              ROUND(ROUND(OFFSET($P150,0,BI$13),15-13*ORÇAMENTO!$AF$7)*OFFSET(ORÇAMENTO!$W$15,ROW(BI150)-ROW(BI$15),0),15-13*ORÇAMENTO!$AF$11)),
         0)</f>
        <v>0</v>
      </c>
      <c r="BJ150" s="453">
        <f ca="1">IF(AND($D150="Serviço",BJ$12&lt;&gt;0,$H150&gt;0,OR(AUTOEVENTO&lt;&gt;"manual",$M150&lt;&gt;$A$15)),
        IF(Import.TipoArredondamento&lt;&gt;"TransfereGOV",
              ROUND(OFFSET($P150,0,BJ$13),15-13*ORÇAMENTO!$AF$7)/$H150*OFFSET(ORÇAMENTO!$X$15,ROW(BJ150)-ROW(BJ$15),0),
              ROUND(ROUND(OFFSET($P150,0,BJ$13),15-13*ORÇAMENTO!$AF$7)*OFFSET(ORÇAMENTO!$W$15,ROW(BJ150)-ROW(BJ$15),0),15-13*ORÇAMENTO!$AF$11)),
         0)</f>
        <v>0</v>
      </c>
      <c r="BK150" s="453">
        <f ca="1">IF(AND($D150="Serviço",BK$12&lt;&gt;0,$H150&gt;0,OR(AUTOEVENTO&lt;&gt;"manual",$M150&lt;&gt;$A$15)),
        IF(Import.TipoArredondamento&lt;&gt;"TransfereGOV",
              ROUND(OFFSET($P150,0,BK$13),15-13*ORÇAMENTO!$AF$7)/$H150*OFFSET(ORÇAMENTO!$X$15,ROW(BK150)-ROW(BK$15),0),
              ROUND(ROUND(OFFSET($P150,0,BK$13),15-13*ORÇAMENTO!$AF$7)*OFFSET(ORÇAMENTO!$W$15,ROW(BK150)-ROW(BK$15),0),15-13*ORÇAMENTO!$AF$11)),
         0)</f>
        <v>0</v>
      </c>
      <c r="BL150" s="453">
        <f ca="1">IF(AND($D150="Serviço",BL$12&lt;&gt;0,$H150&gt;0,OR(AUTOEVENTO&lt;&gt;"manual",$M150&lt;&gt;$A$15)),
        IF(Import.TipoArredondamento&lt;&gt;"TransfereGOV",
              ROUND(OFFSET($P150,0,BL$13),15-13*ORÇAMENTO!$AF$7)/$H150*OFFSET(ORÇAMENTO!$X$15,ROW(BL150)-ROW(BL$15),0),
              ROUND(ROUND(OFFSET($P150,0,BL$13),15-13*ORÇAMENTO!$AF$7)*OFFSET(ORÇAMENTO!$W$15,ROW(BL150)-ROW(BL$15),0),15-13*ORÇAMENTO!$AF$11)),
         0)</f>
        <v>0</v>
      </c>
      <c r="BM150" s="453">
        <f ca="1">IF(AND($D150="Serviço",BM$12&lt;&gt;0,$H150&gt;0,OR(AUTOEVENTO&lt;&gt;"manual",$M150&lt;&gt;$A$15)),
        IF(Import.TipoArredondamento&lt;&gt;"TransfereGOV",
              ROUND(OFFSET($P150,0,BM$13),15-13*ORÇAMENTO!$AF$7)/$H150*OFFSET(ORÇAMENTO!$X$15,ROW(BM150)-ROW(BM$15),0),
              ROUND(ROUND(OFFSET($P150,0,BM$13),15-13*ORÇAMENTO!$AF$7)*OFFSET(ORÇAMENTO!$W$15,ROW(BM150)-ROW(BM$15),0),15-13*ORÇAMENTO!$AF$11)),
         0)</f>
        <v>0</v>
      </c>
      <c r="BN150" s="453">
        <f ca="1">IF(AND($D150="Serviço",BN$12&lt;&gt;0,$H150&gt;0,OR(AUTOEVENTO&lt;&gt;"manual",$M150&lt;&gt;$A$15)),
        IF(Import.TipoArredondamento&lt;&gt;"TransfereGOV",
              ROUND(OFFSET($P150,0,BN$13),15-13*ORÇAMENTO!$AF$7)/$H150*OFFSET(ORÇAMENTO!$X$15,ROW(BN150)-ROW(BN$15),0),
              ROUND(ROUND(OFFSET($P150,0,BN$13),15-13*ORÇAMENTO!$AF$7)*OFFSET(ORÇAMENTO!$W$15,ROW(BN150)-ROW(BN$15),0),15-13*ORÇAMENTO!$AF$11)),
         0)</f>
        <v>0</v>
      </c>
      <c r="BO150" s="453">
        <f ca="1">IF(AND($D150="Serviço",BO$12&lt;&gt;0,$H150&gt;0,OR(AUTOEVENTO&lt;&gt;"manual",$M150&lt;&gt;$A$15)),
        IF(Import.TipoArredondamento&lt;&gt;"TransfereGOV",
              ROUND(OFFSET($P150,0,BO$13),15-13*ORÇAMENTO!$AF$7)/$H150*OFFSET(ORÇAMENTO!$X$15,ROW(BO150)-ROW(BO$15),0),
              ROUND(ROUND(OFFSET($P150,0,BO$13),15-13*ORÇAMENTO!$AF$7)*OFFSET(ORÇAMENTO!$W$15,ROW(BO150)-ROW(BO$15),0),15-13*ORÇAMENTO!$AF$11)),
         0)</f>
        <v>0</v>
      </c>
      <c r="BP150" s="453">
        <f ca="1">IF(AND($D150="Serviço",BP$12&lt;&gt;0,$H150&gt;0,OR(AUTOEVENTO&lt;&gt;"manual",$M150&lt;&gt;$A$15)),
        IF(Import.TipoArredondamento&lt;&gt;"TransfereGOV",
              ROUND(OFFSET($P150,0,BP$13),15-13*ORÇAMENTO!$AF$7)/$H150*OFFSET(ORÇAMENTO!$X$15,ROW(BP150)-ROW(BP$15),0),
              ROUND(ROUND(OFFSET($P150,0,BP$13),15-13*ORÇAMENTO!$AF$7)*OFFSET(ORÇAMENTO!$W$15,ROW(BP150)-ROW(BP$15),0),15-13*ORÇAMENTO!$AF$11)),
         0)</f>
        <v>0</v>
      </c>
      <c r="BQ150" s="453">
        <f ca="1">IF(AND($D150="Serviço",BQ$12&lt;&gt;0,$H150&gt;0,OR(AUTOEVENTO&lt;&gt;"manual",$M150&lt;&gt;$A$15)),
        IF(Import.TipoArredondamento&lt;&gt;"TransfereGOV",
              ROUND(OFFSET($P150,0,BQ$13),15-13*ORÇAMENTO!$AF$7)/$H150*OFFSET(ORÇAMENTO!$X$15,ROW(BQ150)-ROW(BQ$15),0),
              ROUND(ROUND(OFFSET($P150,0,BQ$13),15-13*ORÇAMENTO!$AF$7)*OFFSET(ORÇAMENTO!$W$15,ROW(BQ150)-ROW(BQ$15),0),15-13*ORÇAMENTO!$AF$11)),
         0)</f>
        <v>0</v>
      </c>
      <c r="BS150" s="171">
        <f ca="1">IF(OR($D150&lt;&gt;"Serviço",AND(AUTOEVENTO="Manual",$M150=$A$15)),0,
         IF(OFFSET(CRONOPLE!$F$15,$M150-$A$15,BS$13)=0,10^12,OFFSET(CRONOPLE!$F$15,$M150-$A$15,BS$13)))</f>
        <v>1</v>
      </c>
      <c r="BT150" s="171">
        <f ca="1">IF(OR($D150&lt;&gt;"Serviço",AND(AUTOEVENTO="Manual",$M150=$A$15)),0,
         IF(OFFSET(CRONOPLE!$F$15,$M150-$A$15,BT$13)=0,10^12,OFFSET(CRONOPLE!$F$15,$M150-$A$15,BT$13)))</f>
        <v>2</v>
      </c>
      <c r="BU150" s="171">
        <f ca="1">IF(OR($D150&lt;&gt;"Serviço",AND(AUTOEVENTO="Manual",$M150=$A$15)),0,
         IF(OFFSET(CRONOPLE!$F$15,$M150-$A$15,BU$13)=0,10^12,OFFSET(CRONOPLE!$F$15,$M150-$A$15,BU$13)))</f>
        <v>3</v>
      </c>
      <c r="BV150" s="171">
        <f ca="1">IF(OR($D150&lt;&gt;"Serviço",AND(AUTOEVENTO="Manual",$M150=$A$15)),0,
         IF(OFFSET(CRONOPLE!$F$15,$M150-$A$15,BV$13)=0,10^12,OFFSET(CRONOPLE!$F$15,$M150-$A$15,BV$13)))</f>
        <v>4</v>
      </c>
      <c r="BW150" s="171">
        <f ca="1">IF(OR($D150&lt;&gt;"Serviço",AND(AUTOEVENTO="Manual",$M150=$A$15)),0,
         IF(OFFSET(CRONOPLE!$F$15,$M150-$A$15,BW$13)=0,10^12,OFFSET(CRONOPLE!$F$15,$M150-$A$15,BW$13)))</f>
        <v>5</v>
      </c>
      <c r="BX150" s="171">
        <f ca="1">IF(OR($D150&lt;&gt;"Serviço",AND(AUTOEVENTO="Manual",$M150=$A$15)),0,
         IF(OFFSET(CRONOPLE!$F$15,$M150-$A$15,BX$13)=0,10^12,OFFSET(CRONOPLE!$F$15,$M150-$A$15,BX$13)))</f>
        <v>6</v>
      </c>
      <c r="BY150" s="171">
        <f ca="1">IF(OR($D150&lt;&gt;"Serviço",AND(AUTOEVENTO="Manual",$M150=$A$15)),0,
         IF(OFFSET(CRONOPLE!$F$15,$M150-$A$15,BY$13)=0,10^12,OFFSET(CRONOPLE!$F$15,$M150-$A$15,BY$13)))</f>
        <v>7</v>
      </c>
      <c r="BZ150" s="171">
        <f ca="1">IF(OR($D150&lt;&gt;"Serviço",AND(AUTOEVENTO="Manual",$M150=$A$15)),0,
         IF(OFFSET(CRONOPLE!$F$15,$M150-$A$15,BZ$13)=0,10^12,OFFSET(CRONOPLE!$F$15,$M150-$A$15,BZ$13)))</f>
        <v>8</v>
      </c>
      <c r="CA150" s="171">
        <f ca="1">IF(OR($D150&lt;&gt;"Serviço",AND(AUTOEVENTO="Manual",$M150=$A$15)),0,
         IF(OFFSET(CRONOPLE!$F$15,$M150-$A$15,CA$13)=0,10^12,OFFSET(CRONOPLE!$F$15,$M150-$A$15,CA$13)))</f>
        <v>9</v>
      </c>
      <c r="CB150" s="171">
        <f ca="1">IF(OR($D150&lt;&gt;"Serviço",AND(AUTOEVENTO="Manual",$M150=$A$15)),0,
         IF(OFFSET(CRONOPLE!$F$15,$M150-$A$15,CB$13)=0,10^12,OFFSET(CRONOPLE!$F$15,$M150-$A$15,CB$13)))</f>
        <v>10</v>
      </c>
      <c r="CC150" s="171">
        <f ca="1">IF(OR($D150&lt;&gt;"Serviço",AND(AUTOEVENTO="Manual",$M150=$A$15)),0,
         IF(OFFSET(CRONOPLE!$F$15,$M150-$A$15,CC$13)=0,10^12,OFFSET(CRONOPLE!$F$15,$M150-$A$15,CC$13)))</f>
        <v>11</v>
      </c>
      <c r="CD150" s="171">
        <f ca="1">IF(OR($D150&lt;&gt;"Serviço",AND(AUTOEVENTO="Manual",$M150=$A$15)),0,
         IF(OFFSET(CRONOPLE!$F$15,$M150-$A$15,CD$13)=0,10^12,OFFSET(CRONOPLE!$F$15,$M150-$A$15,CD$13)))</f>
        <v>12</v>
      </c>
      <c r="CE150" s="171">
        <f ca="1">IF(OR($D150&lt;&gt;"Serviço",AND(AUTOEVENTO="Manual",$M150=$A$15)),0,
         IF(OFFSET(CRONOPLE!$F$15,$M150-$A$15,CE$13)=0,10^12,OFFSET(CRONOPLE!$F$15,$M150-$A$15,CE$13)))</f>
        <v>13</v>
      </c>
      <c r="CF150" s="171">
        <f ca="1">IF(OR($D150&lt;&gt;"Serviço",AND(AUTOEVENTO="Manual",$M150=$A$15)),0,
         IF(OFFSET(CRONOPLE!$F$15,$M150-$A$15,CF$13)=0,10^12,OFFSET(CRONOPLE!$F$15,$M150-$A$15,CF$13)))</f>
        <v>14</v>
      </c>
      <c r="CG150" s="171">
        <f ca="1">IF(OR($D150&lt;&gt;"Serviço",AND(AUTOEVENTO="Manual",$M150=$A$15)),0,
         IF(OFFSET(CRONOPLE!$F$15,$M150-$A$15,CG$13)=0,10^12,OFFSET(CRONOPLE!$F$15,$M150-$A$15,CG$13)))</f>
        <v>15</v>
      </c>
      <c r="CH150" s="171">
        <f ca="1">IF(OR($D150&lt;&gt;"Serviço",AND(AUTOEVENTO="Manual",$M150=$A$15)),0,
         IF(OFFSET(CRONOPLE!$F$15,$M150-$A$15,CH$13)=0,10^12,OFFSET(CRONOPLE!$F$15,$M150-$A$15,CH$13)))</f>
        <v>16</v>
      </c>
      <c r="CI150" s="171">
        <f ca="1">IF(OR($D150&lt;&gt;"Serviço",AND(AUTOEVENTO="Manual",$M150=$A$15)),0,
         IF(OFFSET(CRONOPLE!$F$15,$M150-$A$15,CI$13)=0,10^12,OFFSET(CRONOPLE!$F$15,$M150-$A$15,CI$13)))</f>
        <v>17</v>
      </c>
      <c r="CJ150" s="171">
        <f ca="1">IF(OR($D150&lt;&gt;"Serviço",AND(AUTOEVENTO="Manual",$M150=$A$15)),0,
         IF(OFFSET(CRONOPLE!$F$15,$M150-$A$15,CJ$13)=0,10^12,OFFSET(CRONOPLE!$F$15,$M150-$A$15,CJ$13)))</f>
        <v>18</v>
      </c>
      <c r="CK150" s="171">
        <f ca="1">IF(OR($D150&lt;&gt;"Serviço",AND(AUTOEVENTO="Manual",$M150=$A$15)),0,
         IF(OFFSET(CRONOPLE!$F$15,$M150-$A$15,CK$13)=0,10^12,OFFSET(CRONOPLE!$F$15,$M150-$A$15,CK$13)))</f>
        <v>19</v>
      </c>
      <c r="CL150" s="171">
        <f ca="1">IF(OR($D150&lt;&gt;"Serviço",AND(AUTOEVENTO="Manual",$M150=$A$15)),0,
         IF(OFFSET(CRONOPLE!$F$15,$M150-$A$15,CL$13)=0,10^12,OFFSET(CRONOPLE!$F$15,$M150-$A$15,CL$13)))</f>
        <v>20</v>
      </c>
      <c r="CM150" s="171">
        <f ca="1">IF(OR($D150&lt;&gt;"Serviço",AND(AUTOEVENTO="Manual",$M150=$A$15)),0,
         IF(OFFSET(CRONOPLE!$F$15,$M150-$A$15,CM$13)=0,10^12,OFFSET(CRONOPLE!$F$15,$M150-$A$15,CM$13)))</f>
        <v>1000000000000</v>
      </c>
      <c r="CN150" s="171">
        <f ca="1">IF(OR($D150&lt;&gt;"Serviço",AND(AUTOEVENTO="Manual",$M150=$A$15)),0,
         IF(OFFSET(CRONOPLE!$F$15,$M150-$A$15,CN$13)=0,10^12,OFFSET(CRONOPLE!$F$15,$M150-$A$15,CN$13)))</f>
        <v>1000000000000</v>
      </c>
      <c r="CO150" s="171">
        <f ca="1">IF(OR($D150&lt;&gt;"Serviço",AND(AUTOEVENTO="Manual",$M150=$A$15)),0,
         IF(OFFSET(CRONOPLE!$F$15,$M150-$A$15,CO$13)=0,10^12,OFFSET(CRONOPLE!$F$15,$M150-$A$15,CO$13)))</f>
        <v>1000000000000</v>
      </c>
      <c r="CP150" s="171">
        <f ca="1">IF(OR($D150&lt;&gt;"Serviço",AND(AUTOEVENTO="Manual",$M150=$A$15)),0,
         IF(OFFSET(CRONOPLE!$F$15,$M150-$A$15,CP$13)=0,10^12,OFFSET(CRONOPLE!$F$15,$M150-$A$15,CP$13)))</f>
        <v>1000000000000</v>
      </c>
      <c r="CQ150" s="171">
        <f ca="1">IF(OR($D150&lt;&gt;"Serviço",AND(AUTOEVENTO="Manual",$M150=$A$15)),0,
         IF(OFFSET(CRONOPLE!$F$15,$M150-$A$15,CQ$13)=0,10^12,OFFSET(CRONOPLE!$F$15,$M150-$A$15,CQ$13)))</f>
        <v>1000000000000</v>
      </c>
      <c r="CR150" s="171">
        <f ca="1">IF(OR($D150&lt;&gt;"Serviço",AND(AUTOEVENTO="Manual",$M150=$A$15)),0,
         IF(OFFSET(CRONOPLE!$F$15,$M150-$A$15,CR$13)=0,10^12,OFFSET(CRONOPLE!$F$15,$M150-$A$15,CR$13)))</f>
        <v>1000000000000</v>
      </c>
      <c r="CT150" s="172" cm="1">
        <f t="array" aca="1" ref="CT150" ca="1">IF(OR($D150&lt;&gt;"Serviço",AND(AUTOEVENTO="Manual",$M150=$A$15),$M150&gt;(ROW(PLE.lastrow)-ROW(PLE.firstrow))),0,
           IF(OFFSET(PLE!$G$15,$M150-$A$15,CT$13)="",10^12,OFFSET(PLE!$G$15,$M150-$A$15,CT$13)))</f>
        <v>1000000000000</v>
      </c>
      <c r="CU150" s="172" cm="1">
        <f t="array" aca="1" ref="CU150" ca="1">IF(OR($D150&lt;&gt;"Serviço",AND(AUTOEVENTO="Manual",$M150=$A$15),$M150&gt;(ROW(PLE.lastrow)-ROW(PLE.firstrow))),0,
           IF(OFFSET(PLE!$G$15,$M150-$A$15,CU$13)="",10^12,OFFSET(PLE!$G$15,$M150-$A$15,CU$13)))</f>
        <v>1000000000000</v>
      </c>
      <c r="CV150" s="172" cm="1">
        <f t="array" aca="1" ref="CV150" ca="1">IF(OR($D150&lt;&gt;"Serviço",AND(AUTOEVENTO="Manual",$M150=$A$15),$M150&gt;(ROW(PLE.lastrow)-ROW(PLE.firstrow))),0,
           IF(OFFSET(PLE!$G$15,$M150-$A$15,CV$13)="",10^12,OFFSET(PLE!$G$15,$M150-$A$15,CV$13)))</f>
        <v>1000000000000</v>
      </c>
      <c r="CW150" s="172" cm="1">
        <f t="array" aca="1" ref="CW150" ca="1">IF(OR($D150&lt;&gt;"Serviço",AND(AUTOEVENTO="Manual",$M150=$A$15),$M150&gt;(ROW(PLE.lastrow)-ROW(PLE.firstrow))),0,
           IF(OFFSET(PLE!$G$15,$M150-$A$15,CW$13)="",10^12,OFFSET(PLE!$G$15,$M150-$A$15,CW$13)))</f>
        <v>1000000000000</v>
      </c>
      <c r="CX150" s="172" cm="1">
        <f t="array" aca="1" ref="CX150" ca="1">IF(OR($D150&lt;&gt;"Serviço",AND(AUTOEVENTO="Manual",$M150=$A$15),$M150&gt;(ROW(PLE.lastrow)-ROW(PLE.firstrow))),0,
           IF(OFFSET(PLE!$G$15,$M150-$A$15,CX$13)="",10^12,OFFSET(PLE!$G$15,$M150-$A$15,CX$13)))</f>
        <v>1000000000000</v>
      </c>
      <c r="CY150" s="172" cm="1">
        <f t="array" aca="1" ref="CY150" ca="1">IF(OR($D150&lt;&gt;"Serviço",AND(AUTOEVENTO="Manual",$M150=$A$15),$M150&gt;(ROW(PLE.lastrow)-ROW(PLE.firstrow))),0,
           IF(OFFSET(PLE!$G$15,$M150-$A$15,CY$13)="",10^12,OFFSET(PLE!$G$15,$M150-$A$15,CY$13)))</f>
        <v>1000000000000</v>
      </c>
      <c r="CZ150" s="172" cm="1">
        <f t="array" aca="1" ref="CZ150" ca="1">IF(OR($D150&lt;&gt;"Serviço",AND(AUTOEVENTO="Manual",$M150=$A$15),$M150&gt;(ROW(PLE.lastrow)-ROW(PLE.firstrow))),0,
           IF(OFFSET(PLE!$G$15,$M150-$A$15,CZ$13)="",10^12,OFFSET(PLE!$G$15,$M150-$A$15,CZ$13)))</f>
        <v>1000000000000</v>
      </c>
      <c r="DA150" s="172" cm="1">
        <f t="array" aca="1" ref="DA150" ca="1">IF(OR($D150&lt;&gt;"Serviço",AND(AUTOEVENTO="Manual",$M150=$A$15),$M150&gt;(ROW(PLE.lastrow)-ROW(PLE.firstrow))),0,
           IF(OFFSET(PLE!$G$15,$M150-$A$15,DA$13)="",10^12,OFFSET(PLE!$G$15,$M150-$A$15,DA$13)))</f>
        <v>1000000000000</v>
      </c>
      <c r="DB150" s="172" cm="1">
        <f t="array" aca="1" ref="DB150" ca="1">IF(OR($D150&lt;&gt;"Serviço",AND(AUTOEVENTO="Manual",$M150=$A$15),$M150&gt;(ROW(PLE.lastrow)-ROW(PLE.firstrow))),0,
           IF(OFFSET(PLE!$G$15,$M150-$A$15,DB$13)="",10^12,OFFSET(PLE!$G$15,$M150-$A$15,DB$13)))</f>
        <v>1000000000000</v>
      </c>
      <c r="DC150" s="172" cm="1">
        <f t="array" aca="1" ref="DC150" ca="1">IF(OR($D150&lt;&gt;"Serviço",AND(AUTOEVENTO="Manual",$M150=$A$15),$M150&gt;(ROW(PLE.lastrow)-ROW(PLE.firstrow))),0,
           IF(OFFSET(PLE!$G$15,$M150-$A$15,DC$13)="",10^12,OFFSET(PLE!$G$15,$M150-$A$15,DC$13)))</f>
        <v>1000000000000</v>
      </c>
      <c r="DD150" s="172" cm="1">
        <f t="array" aca="1" ref="DD150" ca="1">IF(OR($D150&lt;&gt;"Serviço",AND(AUTOEVENTO="Manual",$M150=$A$15),$M150&gt;(ROW(PLE.lastrow)-ROW(PLE.firstrow))),0,
           IF(OFFSET(PLE!$G$15,$M150-$A$15,DD$13)="",10^12,OFFSET(PLE!$G$15,$M150-$A$15,DD$13)))</f>
        <v>1000000000000</v>
      </c>
      <c r="DE150" s="172" cm="1">
        <f t="array" aca="1" ref="DE150" ca="1">IF(OR($D150&lt;&gt;"Serviço",AND(AUTOEVENTO="Manual",$M150=$A$15),$M150&gt;(ROW(PLE.lastrow)-ROW(PLE.firstrow))),0,
           IF(OFFSET(PLE!$G$15,$M150-$A$15,DE$13)="",10^12,OFFSET(PLE!$G$15,$M150-$A$15,DE$13)))</f>
        <v>1000000000000</v>
      </c>
      <c r="DF150" s="172" cm="1">
        <f t="array" aca="1" ref="DF150" ca="1">IF(OR($D150&lt;&gt;"Serviço",AND(AUTOEVENTO="Manual",$M150=$A$15),$M150&gt;(ROW(PLE.lastrow)-ROW(PLE.firstrow))),0,
           IF(OFFSET(PLE!$G$15,$M150-$A$15,DF$13)="",10^12,OFFSET(PLE!$G$15,$M150-$A$15,DF$13)))</f>
        <v>1000000000000</v>
      </c>
      <c r="DG150" s="172" cm="1">
        <f t="array" aca="1" ref="DG150" ca="1">IF(OR($D150&lt;&gt;"Serviço",AND(AUTOEVENTO="Manual",$M150=$A$15),$M150&gt;(ROW(PLE.lastrow)-ROW(PLE.firstrow))),0,
           IF(OFFSET(PLE!$G$15,$M150-$A$15,DG$13)="",10^12,OFFSET(PLE!$G$15,$M150-$A$15,DG$13)))</f>
        <v>1000000000000</v>
      </c>
      <c r="DH150" s="172" cm="1">
        <f t="array" aca="1" ref="DH150" ca="1">IF(OR($D150&lt;&gt;"Serviço",AND(AUTOEVENTO="Manual",$M150=$A$15),$M150&gt;(ROW(PLE.lastrow)-ROW(PLE.firstrow))),0,
           IF(OFFSET(PLE!$G$15,$M150-$A$15,DH$13)="",10^12,OFFSET(PLE!$G$15,$M150-$A$15,DH$13)))</f>
        <v>1000000000000</v>
      </c>
      <c r="DI150" s="172" cm="1">
        <f t="array" aca="1" ref="DI150" ca="1">IF(OR($D150&lt;&gt;"Serviço",AND(AUTOEVENTO="Manual",$M150=$A$15),$M150&gt;(ROW(PLE.lastrow)-ROW(PLE.firstrow))),0,
           IF(OFFSET(PLE!$G$15,$M150-$A$15,DI$13)="",10^12,OFFSET(PLE!$G$15,$M150-$A$15,DI$13)))</f>
        <v>1000000000000</v>
      </c>
      <c r="DJ150" s="172" cm="1">
        <f t="array" aca="1" ref="DJ150" ca="1">IF(OR($D150&lt;&gt;"Serviço",AND(AUTOEVENTO="Manual",$M150=$A$15),$M150&gt;(ROW(PLE.lastrow)-ROW(PLE.firstrow))),0,
           IF(OFFSET(PLE!$G$15,$M150-$A$15,DJ$13)="",10^12,OFFSET(PLE!$G$15,$M150-$A$15,DJ$13)))</f>
        <v>1000000000000</v>
      </c>
      <c r="DK150" s="172" cm="1">
        <f t="array" aca="1" ref="DK150" ca="1">IF(OR($D150&lt;&gt;"Serviço",AND(AUTOEVENTO="Manual",$M150=$A$15),$M150&gt;(ROW(PLE.lastrow)-ROW(PLE.firstrow))),0,
           IF(OFFSET(PLE!$G$15,$M150-$A$15,DK$13)="",10^12,OFFSET(PLE!$G$15,$M150-$A$15,DK$13)))</f>
        <v>1000000000000</v>
      </c>
      <c r="DL150" s="172" cm="1">
        <f t="array" aca="1" ref="DL150" ca="1">IF(OR($D150&lt;&gt;"Serviço",AND(AUTOEVENTO="Manual",$M150=$A$15),$M150&gt;(ROW(PLE.lastrow)-ROW(PLE.firstrow))),0,
           IF(OFFSET(PLE!$G$15,$M150-$A$15,DL$13)="",10^12,OFFSET(PLE!$G$15,$M150-$A$15,DL$13)))</f>
        <v>1000000000000</v>
      </c>
      <c r="DM150" s="172" cm="1">
        <f t="array" aca="1" ref="DM150" ca="1">IF(OR($D150&lt;&gt;"Serviço",AND(AUTOEVENTO="Manual",$M150=$A$15),$M150&gt;(ROW(PLE.lastrow)-ROW(PLE.firstrow))),0,
           IF(OFFSET(PLE!$G$15,$M150-$A$15,DM$13)="",10^12,OFFSET(PLE!$G$15,$M150-$A$15,DM$13)))</f>
        <v>1000000000000</v>
      </c>
      <c r="DN150" s="172" cm="1">
        <f t="array" aca="1" ref="DN150" ca="1">IF(OR($D150&lt;&gt;"Serviço",AND(AUTOEVENTO="Manual",$M150=$A$15),$M150&gt;(ROW(PLE.lastrow)-ROW(PLE.firstrow))),0,
           IF(OFFSET(PLE!$G$15,$M150-$A$15,DN$13)="",10^12,OFFSET(PLE!$G$15,$M150-$A$15,DN$13)))</f>
        <v>1000000000000</v>
      </c>
      <c r="DO150" s="172" cm="1">
        <f t="array" aca="1" ref="DO150" ca="1">IF(OR($D150&lt;&gt;"Serviço",AND(AUTOEVENTO="Manual",$M150=$A$15),$M150&gt;(ROW(PLE.lastrow)-ROW(PLE.firstrow))),0,
           IF(OFFSET(PLE!$G$15,$M150-$A$15,DO$13)="",10^12,OFFSET(PLE!$G$15,$M150-$A$15,DO$13)))</f>
        <v>1000000000000</v>
      </c>
      <c r="DP150" s="172" cm="1">
        <f t="array" aca="1" ref="DP150" ca="1">IF(OR($D150&lt;&gt;"Serviço",AND(AUTOEVENTO="Manual",$M150=$A$15),$M150&gt;(ROW(PLE.lastrow)-ROW(PLE.firstrow))),0,
           IF(OFFSET(PLE!$G$15,$M150-$A$15,DP$13)="",10^12,OFFSET(PLE!$G$15,$M150-$A$15,DP$13)))</f>
        <v>1000000000000</v>
      </c>
      <c r="DQ150" s="172" cm="1">
        <f t="array" aca="1" ref="DQ150" ca="1">IF(OR($D150&lt;&gt;"Serviço",AND(AUTOEVENTO="Manual",$M150=$A$15),$M150&gt;(ROW(PLE.lastrow)-ROW(PLE.firstrow))),0,
           IF(OFFSET(PLE!$G$15,$M150-$A$15,DQ$13)="",10^12,OFFSET(PLE!$G$15,$M150-$A$15,DQ$13)))</f>
        <v>1000000000000</v>
      </c>
      <c r="DR150" s="172" cm="1">
        <f t="array" aca="1" ref="DR150" ca="1">IF(OR($D150&lt;&gt;"Serviço",AND(AUTOEVENTO="Manual",$M150=$A$15),$M150&gt;(ROW(PLE.lastrow)-ROW(PLE.firstrow))),0,
           IF(OFFSET(PLE!$G$15,$M150-$A$15,DR$13)="",10^12,OFFSET(PLE!$G$15,$M150-$A$15,DR$13)))</f>
        <v>1000000000000</v>
      </c>
      <c r="DS150" s="172" cm="1">
        <f t="array" aca="1" ref="DS150" ca="1">IF(OR($D150&lt;&gt;"Serviço",AND(AUTOEVENTO="Manual",$M150=$A$15),$M150&gt;(ROW(PLE.lastrow)-ROW(PLE.firstrow))),0,
           IF(OFFSET(PLE!$G$15,$M150-$A$15,DS$13)="",10^12,OFFSET(PLE!$G$15,$M150-$A$15,DS$13)))</f>
        <v>1000000000000</v>
      </c>
    </row>
    <row r="151" spans="1:123" ht="38.25" x14ac:dyDescent="0.2">
      <c r="A151" s="7">
        <f t="shared" ca="1" si="16"/>
        <v>9</v>
      </c>
      <c r="B151" s="7" t="str">
        <f ca="1">OFFSET(ORÇAMENTO!C$15,$L151,0)</f>
        <v>S</v>
      </c>
      <c r="C151" s="7" t="str">
        <f ca="1">OFFSET(ORÇAMENTO!L$15,$L151,0)</f>
        <v/>
      </c>
      <c r="D151" s="116" t="str">
        <f ca="1">OFFSET(ORÇAMENTO!N$15,$L151,0)</f>
        <v>Serviço</v>
      </c>
      <c r="E151" s="117" t="str">
        <f ca="1">OFFSET(ORÇAMENTO!O$15,$L151,0)</f>
        <v>-</v>
      </c>
      <c r="F151" s="163" t="str">
        <f ca="1">OFFSET(ORÇAMENTO!R$15,$L151,0)</f>
        <v>(Código não identificado nas referências)</v>
      </c>
      <c r="G151" s="164" t="str">
        <f ca="1">IF($D151&lt;&gt;"Serviço","",OFFSET(ORÇAMENTO!S$15,$L151,0))</f>
        <v>-</v>
      </c>
      <c r="H151" s="122" cm="1">
        <f t="array" aca="1" ref="H151" ca="1">IF($D151&lt;&gt;"Serviço",0,IF(ACOMPANHAMENTO="BM",ROUND(OFFSET(ORÇAMENTO!AJ$15,$L151,0),15-13*ORÇAMENTO!$AF$7),IF(IFERROR(CÁLCULO.FrentesPreenchidas,0)=0,0,SUM(ROUND(OFFSET($P151,0,1,1,CÁLCULO.FrentesPreenchidas),15-13*ORÇAMENTO!$AF$7)))))</f>
        <v>40</v>
      </c>
      <c r="I151" s="468" t="s">
        <v>1235</v>
      </c>
      <c r="J151" s="651" t="str" cm="1">
        <f t="array" aca="1" ref="J151" ca="1">IF(OR(B151&lt;&gt;"S",CÁLCULO.FrentesPreenchidas=0),"",IF(AND(ACOMPANHAMENTO="PLE",AUTOEVENTO="Manual",OR(H151&gt;0,ORÇAMENTO!AC151="QUANT."),OR(K151="",M151=0,N151="")),"►E",IF(AND(ACOMPANHAMENTO="PLE",ORÇAMENTO!AC151="QUANT."),"►Q",IF(AND(ACOMPANHAMENTO="PLE",H151&lt;&gt;SUMPRODUCT(($Q$1:$AQ$1=1)*ROUND(Q151:AQ151,15))),"►S",IF(AND(COUNTIF($P$11:$AQ$11,"▼")=0,H151&gt;0,I151=""),"◄M","")))))</f>
        <v/>
      </c>
      <c r="K151" s="652" t="s">
        <v>1257</v>
      </c>
      <c r="L151" s="165">
        <f t="shared" ca="1" si="17"/>
        <v>136</v>
      </c>
      <c r="M151" s="166">
        <f ca="1">IF($D151&lt;&gt;"Serviço","",
          IF(AUTOEVENTO="manual",$A151,
                IF(ISERROR(MATCH($A151,$A$15:OFFSET($A151,-1,0),0)),MAX($M$15:OFFSET(M151,-1,0))+1,
                      INDEX($M$15:OFFSET(M151,-1,0),MATCH($A151,$A$15:OFFSET($A151,-1,0),0)))))</f>
        <v>9</v>
      </c>
      <c r="N151" s="167" t="str">
        <f ca="1">IF($D151&lt;&gt;"Serviço","",
         IF(AUTOEVENTO="Manual",
                IF($A151=0,"&lt;-- defina o número do agrupador",
                       OFFSET(EVENTOS!$D$15,$A151-$A$15,0)),
                OFFSET($F$15,$A151,0)))</f>
        <v>INSTALAÇÕES</v>
      </c>
      <c r="O151" s="168"/>
      <c r="Q151" s="168">
        <v>2</v>
      </c>
      <c r="R151" s="169">
        <v>2</v>
      </c>
      <c r="S151" s="169">
        <v>2</v>
      </c>
      <c r="T151" s="169">
        <v>2</v>
      </c>
      <c r="U151" s="169">
        <v>2</v>
      </c>
      <c r="V151" s="169">
        <v>2</v>
      </c>
      <c r="W151" s="169">
        <v>2</v>
      </c>
      <c r="X151" s="169">
        <v>2</v>
      </c>
      <c r="Y151" s="169">
        <v>2</v>
      </c>
      <c r="Z151" s="170">
        <v>2</v>
      </c>
      <c r="AA151" s="169">
        <v>2</v>
      </c>
      <c r="AB151" s="169">
        <v>2</v>
      </c>
      <c r="AC151" s="169">
        <v>2</v>
      </c>
      <c r="AD151" s="169">
        <v>2</v>
      </c>
      <c r="AE151" s="169">
        <v>2</v>
      </c>
      <c r="AF151" s="169">
        <v>2</v>
      </c>
      <c r="AG151" s="169">
        <v>2</v>
      </c>
      <c r="AH151" s="170">
        <v>2</v>
      </c>
      <c r="AI151" s="169">
        <v>2</v>
      </c>
      <c r="AJ151" s="169">
        <v>2</v>
      </c>
      <c r="AK151" s="169"/>
      <c r="AL151" s="169"/>
      <c r="AM151" s="169"/>
      <c r="AN151" s="169"/>
      <c r="AO151" s="169"/>
      <c r="AP151" s="170"/>
      <c r="AR151" s="453">
        <f ca="1">IF(AND($D151="Serviço",AR$12&lt;&gt;0,$H151&gt;0,OR(AUTOEVENTO&lt;&gt;"manual",$M151&lt;&gt;$A$15)),
        IF(Import.TipoArredondamento&lt;&gt;"TransfereGOV",
              ROUND(OFFSET($P151,0,AR$13),15-13*ORÇAMENTO!$AF$7)/$H151*OFFSET(ORÇAMENTO!$X$15,ROW(AR151)-ROW(AR$15),0),
              ROUND(ROUND(OFFSET($P151,0,AR$13),15-13*ORÇAMENTO!$AF$7)*OFFSET(ORÇAMENTO!$W$15,ROW(AR151)-ROW(AR$15),0),15-13*ORÇAMENTO!$AF$11)),
         0)</f>
        <v>0</v>
      </c>
      <c r="AS151" s="453">
        <f ca="1">IF(AND($D151="Serviço",AS$12&lt;&gt;0,$H151&gt;0,OR(AUTOEVENTO&lt;&gt;"manual",$M151&lt;&gt;$A$15)),
        IF(Import.TipoArredondamento&lt;&gt;"TransfereGOV",
              ROUND(OFFSET($P151,0,AS$13),15-13*ORÇAMENTO!$AF$7)/$H151*OFFSET(ORÇAMENTO!$X$15,ROW(AS151)-ROW(AS$15),0),
              ROUND(ROUND(OFFSET($P151,0,AS$13),15-13*ORÇAMENTO!$AF$7)*OFFSET(ORÇAMENTO!$W$15,ROW(AS151)-ROW(AS$15),0),15-13*ORÇAMENTO!$AF$11)),
         0)</f>
        <v>0</v>
      </c>
      <c r="AT151" s="453">
        <f ca="1">IF(AND($D151="Serviço",AT$12&lt;&gt;0,$H151&gt;0,OR(AUTOEVENTO&lt;&gt;"manual",$M151&lt;&gt;$A$15)),
        IF(Import.TipoArredondamento&lt;&gt;"TransfereGOV",
              ROUND(OFFSET($P151,0,AT$13),15-13*ORÇAMENTO!$AF$7)/$H151*OFFSET(ORÇAMENTO!$X$15,ROW(AT151)-ROW(AT$15),0),
              ROUND(ROUND(OFFSET($P151,0,AT$13),15-13*ORÇAMENTO!$AF$7)*OFFSET(ORÇAMENTO!$W$15,ROW(AT151)-ROW(AT$15),0),15-13*ORÇAMENTO!$AF$11)),
         0)</f>
        <v>0</v>
      </c>
      <c r="AU151" s="453">
        <f ca="1">IF(AND($D151="Serviço",AU$12&lt;&gt;0,$H151&gt;0,OR(AUTOEVENTO&lt;&gt;"manual",$M151&lt;&gt;$A$15)),
        IF(Import.TipoArredondamento&lt;&gt;"TransfereGOV",
              ROUND(OFFSET($P151,0,AU$13),15-13*ORÇAMENTO!$AF$7)/$H151*OFFSET(ORÇAMENTO!$X$15,ROW(AU151)-ROW(AU$15),0),
              ROUND(ROUND(OFFSET($P151,0,AU$13),15-13*ORÇAMENTO!$AF$7)*OFFSET(ORÇAMENTO!$W$15,ROW(AU151)-ROW(AU$15),0),15-13*ORÇAMENTO!$AF$11)),
         0)</f>
        <v>0</v>
      </c>
      <c r="AV151" s="453">
        <f ca="1">IF(AND($D151="Serviço",AV$12&lt;&gt;0,$H151&gt;0,OR(AUTOEVENTO&lt;&gt;"manual",$M151&lt;&gt;$A$15)),
        IF(Import.TipoArredondamento&lt;&gt;"TransfereGOV",
              ROUND(OFFSET($P151,0,AV$13),15-13*ORÇAMENTO!$AF$7)/$H151*OFFSET(ORÇAMENTO!$X$15,ROW(AV151)-ROW(AV$15),0),
              ROUND(ROUND(OFFSET($P151,0,AV$13),15-13*ORÇAMENTO!$AF$7)*OFFSET(ORÇAMENTO!$W$15,ROW(AV151)-ROW(AV$15),0),15-13*ORÇAMENTO!$AF$11)),
         0)</f>
        <v>0</v>
      </c>
      <c r="AW151" s="453">
        <f ca="1">IF(AND($D151="Serviço",AW$12&lt;&gt;0,$H151&gt;0,OR(AUTOEVENTO&lt;&gt;"manual",$M151&lt;&gt;$A$15)),
        IF(Import.TipoArredondamento&lt;&gt;"TransfereGOV",
              ROUND(OFFSET($P151,0,AW$13),15-13*ORÇAMENTO!$AF$7)/$H151*OFFSET(ORÇAMENTO!$X$15,ROW(AW151)-ROW(AW$15),0),
              ROUND(ROUND(OFFSET($P151,0,AW$13),15-13*ORÇAMENTO!$AF$7)*OFFSET(ORÇAMENTO!$W$15,ROW(AW151)-ROW(AW$15),0),15-13*ORÇAMENTO!$AF$11)),
         0)</f>
        <v>0</v>
      </c>
      <c r="AX151" s="453">
        <f ca="1">IF(AND($D151="Serviço",AX$12&lt;&gt;0,$H151&gt;0,OR(AUTOEVENTO&lt;&gt;"manual",$M151&lt;&gt;$A$15)),
        IF(Import.TipoArredondamento&lt;&gt;"TransfereGOV",
              ROUND(OFFSET($P151,0,AX$13),15-13*ORÇAMENTO!$AF$7)/$H151*OFFSET(ORÇAMENTO!$X$15,ROW(AX151)-ROW(AX$15),0),
              ROUND(ROUND(OFFSET($P151,0,AX$13),15-13*ORÇAMENTO!$AF$7)*OFFSET(ORÇAMENTO!$W$15,ROW(AX151)-ROW(AX$15),0),15-13*ORÇAMENTO!$AF$11)),
         0)</f>
        <v>0</v>
      </c>
      <c r="AY151" s="453">
        <f ca="1">IF(AND($D151="Serviço",AY$12&lt;&gt;0,$H151&gt;0,OR(AUTOEVENTO&lt;&gt;"manual",$M151&lt;&gt;$A$15)),
        IF(Import.TipoArredondamento&lt;&gt;"TransfereGOV",
              ROUND(OFFSET($P151,0,AY$13),15-13*ORÇAMENTO!$AF$7)/$H151*OFFSET(ORÇAMENTO!$X$15,ROW(AY151)-ROW(AY$15),0),
              ROUND(ROUND(OFFSET($P151,0,AY$13),15-13*ORÇAMENTO!$AF$7)*OFFSET(ORÇAMENTO!$W$15,ROW(AY151)-ROW(AY$15),0),15-13*ORÇAMENTO!$AF$11)),
         0)</f>
        <v>0</v>
      </c>
      <c r="AZ151" s="453">
        <f ca="1">IF(AND($D151="Serviço",AZ$12&lt;&gt;0,$H151&gt;0,OR(AUTOEVENTO&lt;&gt;"manual",$M151&lt;&gt;$A$15)),
        IF(Import.TipoArredondamento&lt;&gt;"TransfereGOV",
              ROUND(OFFSET($P151,0,AZ$13),15-13*ORÇAMENTO!$AF$7)/$H151*OFFSET(ORÇAMENTO!$X$15,ROW(AZ151)-ROW(AZ$15),0),
              ROUND(ROUND(OFFSET($P151,0,AZ$13),15-13*ORÇAMENTO!$AF$7)*OFFSET(ORÇAMENTO!$W$15,ROW(AZ151)-ROW(AZ$15),0),15-13*ORÇAMENTO!$AF$11)),
         0)</f>
        <v>0</v>
      </c>
      <c r="BA151" s="453">
        <f ca="1">IF(AND($D151="Serviço",BA$12&lt;&gt;0,$H151&gt;0,OR(AUTOEVENTO&lt;&gt;"manual",$M151&lt;&gt;$A$15)),
        IF(Import.TipoArredondamento&lt;&gt;"TransfereGOV",
              ROUND(OFFSET($P151,0,BA$13),15-13*ORÇAMENTO!$AF$7)/$H151*OFFSET(ORÇAMENTO!$X$15,ROW(BA151)-ROW(BA$15),0),
              ROUND(ROUND(OFFSET($P151,0,BA$13),15-13*ORÇAMENTO!$AF$7)*OFFSET(ORÇAMENTO!$W$15,ROW(BA151)-ROW(BA$15),0),15-13*ORÇAMENTO!$AF$11)),
         0)</f>
        <v>0</v>
      </c>
      <c r="BB151" s="453">
        <f ca="1">IF(AND($D151="Serviço",BB$12&lt;&gt;0,$H151&gt;0,OR(AUTOEVENTO&lt;&gt;"manual",$M151&lt;&gt;$A$15)),
        IF(Import.TipoArredondamento&lt;&gt;"TransfereGOV",
              ROUND(OFFSET($P151,0,BB$13),15-13*ORÇAMENTO!$AF$7)/$H151*OFFSET(ORÇAMENTO!$X$15,ROW(BB151)-ROW(BB$15),0),
              ROUND(ROUND(OFFSET($P151,0,BB$13),15-13*ORÇAMENTO!$AF$7)*OFFSET(ORÇAMENTO!$W$15,ROW(BB151)-ROW(BB$15),0),15-13*ORÇAMENTO!$AF$11)),
         0)</f>
        <v>0</v>
      </c>
      <c r="BC151" s="453">
        <f ca="1">IF(AND($D151="Serviço",BC$12&lt;&gt;0,$H151&gt;0,OR(AUTOEVENTO&lt;&gt;"manual",$M151&lt;&gt;$A$15)),
        IF(Import.TipoArredondamento&lt;&gt;"TransfereGOV",
              ROUND(OFFSET($P151,0,BC$13),15-13*ORÇAMENTO!$AF$7)/$H151*OFFSET(ORÇAMENTO!$X$15,ROW(BC151)-ROW(BC$15),0),
              ROUND(ROUND(OFFSET($P151,0,BC$13),15-13*ORÇAMENTO!$AF$7)*OFFSET(ORÇAMENTO!$W$15,ROW(BC151)-ROW(BC$15),0),15-13*ORÇAMENTO!$AF$11)),
         0)</f>
        <v>0</v>
      </c>
      <c r="BD151" s="453">
        <f ca="1">IF(AND($D151="Serviço",BD$12&lt;&gt;0,$H151&gt;0,OR(AUTOEVENTO&lt;&gt;"manual",$M151&lt;&gt;$A$15)),
        IF(Import.TipoArredondamento&lt;&gt;"TransfereGOV",
              ROUND(OFFSET($P151,0,BD$13),15-13*ORÇAMENTO!$AF$7)/$H151*OFFSET(ORÇAMENTO!$X$15,ROW(BD151)-ROW(BD$15),0),
              ROUND(ROUND(OFFSET($P151,0,BD$13),15-13*ORÇAMENTO!$AF$7)*OFFSET(ORÇAMENTO!$W$15,ROW(BD151)-ROW(BD$15),0),15-13*ORÇAMENTO!$AF$11)),
         0)</f>
        <v>0</v>
      </c>
      <c r="BE151" s="453">
        <f ca="1">IF(AND($D151="Serviço",BE$12&lt;&gt;0,$H151&gt;0,OR(AUTOEVENTO&lt;&gt;"manual",$M151&lt;&gt;$A$15)),
        IF(Import.TipoArredondamento&lt;&gt;"TransfereGOV",
              ROUND(OFFSET($P151,0,BE$13),15-13*ORÇAMENTO!$AF$7)/$H151*OFFSET(ORÇAMENTO!$X$15,ROW(BE151)-ROW(BE$15),0),
              ROUND(ROUND(OFFSET($P151,0,BE$13),15-13*ORÇAMENTO!$AF$7)*OFFSET(ORÇAMENTO!$W$15,ROW(BE151)-ROW(BE$15),0),15-13*ORÇAMENTO!$AF$11)),
         0)</f>
        <v>0</v>
      </c>
      <c r="BF151" s="453">
        <f ca="1">IF(AND($D151="Serviço",BF$12&lt;&gt;0,$H151&gt;0,OR(AUTOEVENTO&lt;&gt;"manual",$M151&lt;&gt;$A$15)),
        IF(Import.TipoArredondamento&lt;&gt;"TransfereGOV",
              ROUND(OFFSET($P151,0,BF$13),15-13*ORÇAMENTO!$AF$7)/$H151*OFFSET(ORÇAMENTO!$X$15,ROW(BF151)-ROW(BF$15),0),
              ROUND(ROUND(OFFSET($P151,0,BF$13),15-13*ORÇAMENTO!$AF$7)*OFFSET(ORÇAMENTO!$W$15,ROW(BF151)-ROW(BF$15),0),15-13*ORÇAMENTO!$AF$11)),
         0)</f>
        <v>0</v>
      </c>
      <c r="BG151" s="453">
        <f ca="1">IF(AND($D151="Serviço",BG$12&lt;&gt;0,$H151&gt;0,OR(AUTOEVENTO&lt;&gt;"manual",$M151&lt;&gt;$A$15)),
        IF(Import.TipoArredondamento&lt;&gt;"TransfereGOV",
              ROUND(OFFSET($P151,0,BG$13),15-13*ORÇAMENTO!$AF$7)/$H151*OFFSET(ORÇAMENTO!$X$15,ROW(BG151)-ROW(BG$15),0),
              ROUND(ROUND(OFFSET($P151,0,BG$13),15-13*ORÇAMENTO!$AF$7)*OFFSET(ORÇAMENTO!$W$15,ROW(BG151)-ROW(BG$15),0),15-13*ORÇAMENTO!$AF$11)),
         0)</f>
        <v>0</v>
      </c>
      <c r="BH151" s="453">
        <f ca="1">IF(AND($D151="Serviço",BH$12&lt;&gt;0,$H151&gt;0,OR(AUTOEVENTO&lt;&gt;"manual",$M151&lt;&gt;$A$15)),
        IF(Import.TipoArredondamento&lt;&gt;"TransfereGOV",
              ROUND(OFFSET($P151,0,BH$13),15-13*ORÇAMENTO!$AF$7)/$H151*OFFSET(ORÇAMENTO!$X$15,ROW(BH151)-ROW(BH$15),0),
              ROUND(ROUND(OFFSET($P151,0,BH$13),15-13*ORÇAMENTO!$AF$7)*OFFSET(ORÇAMENTO!$W$15,ROW(BH151)-ROW(BH$15),0),15-13*ORÇAMENTO!$AF$11)),
         0)</f>
        <v>0</v>
      </c>
      <c r="BI151" s="453">
        <f ca="1">IF(AND($D151="Serviço",BI$12&lt;&gt;0,$H151&gt;0,OR(AUTOEVENTO&lt;&gt;"manual",$M151&lt;&gt;$A$15)),
        IF(Import.TipoArredondamento&lt;&gt;"TransfereGOV",
              ROUND(OFFSET($P151,0,BI$13),15-13*ORÇAMENTO!$AF$7)/$H151*OFFSET(ORÇAMENTO!$X$15,ROW(BI151)-ROW(BI$15),0),
              ROUND(ROUND(OFFSET($P151,0,BI$13),15-13*ORÇAMENTO!$AF$7)*OFFSET(ORÇAMENTO!$W$15,ROW(BI151)-ROW(BI$15),0),15-13*ORÇAMENTO!$AF$11)),
         0)</f>
        <v>0</v>
      </c>
      <c r="BJ151" s="453">
        <f ca="1">IF(AND($D151="Serviço",BJ$12&lt;&gt;0,$H151&gt;0,OR(AUTOEVENTO&lt;&gt;"manual",$M151&lt;&gt;$A$15)),
        IF(Import.TipoArredondamento&lt;&gt;"TransfereGOV",
              ROUND(OFFSET($P151,0,BJ$13),15-13*ORÇAMENTO!$AF$7)/$H151*OFFSET(ORÇAMENTO!$X$15,ROW(BJ151)-ROW(BJ$15),0),
              ROUND(ROUND(OFFSET($P151,0,BJ$13),15-13*ORÇAMENTO!$AF$7)*OFFSET(ORÇAMENTO!$W$15,ROW(BJ151)-ROW(BJ$15),0),15-13*ORÇAMENTO!$AF$11)),
         0)</f>
        <v>0</v>
      </c>
      <c r="BK151" s="453">
        <f ca="1">IF(AND($D151="Serviço",BK$12&lt;&gt;0,$H151&gt;0,OR(AUTOEVENTO&lt;&gt;"manual",$M151&lt;&gt;$A$15)),
        IF(Import.TipoArredondamento&lt;&gt;"TransfereGOV",
              ROUND(OFFSET($P151,0,BK$13),15-13*ORÇAMENTO!$AF$7)/$H151*OFFSET(ORÇAMENTO!$X$15,ROW(BK151)-ROW(BK$15),0),
              ROUND(ROUND(OFFSET($P151,0,BK$13),15-13*ORÇAMENTO!$AF$7)*OFFSET(ORÇAMENTO!$W$15,ROW(BK151)-ROW(BK$15),0),15-13*ORÇAMENTO!$AF$11)),
         0)</f>
        <v>0</v>
      </c>
      <c r="BL151" s="453">
        <f ca="1">IF(AND($D151="Serviço",BL$12&lt;&gt;0,$H151&gt;0,OR(AUTOEVENTO&lt;&gt;"manual",$M151&lt;&gt;$A$15)),
        IF(Import.TipoArredondamento&lt;&gt;"TransfereGOV",
              ROUND(OFFSET($P151,0,BL$13),15-13*ORÇAMENTO!$AF$7)/$H151*OFFSET(ORÇAMENTO!$X$15,ROW(BL151)-ROW(BL$15),0),
              ROUND(ROUND(OFFSET($P151,0,BL$13),15-13*ORÇAMENTO!$AF$7)*OFFSET(ORÇAMENTO!$W$15,ROW(BL151)-ROW(BL$15),0),15-13*ORÇAMENTO!$AF$11)),
         0)</f>
        <v>0</v>
      </c>
      <c r="BM151" s="453">
        <f ca="1">IF(AND($D151="Serviço",BM$12&lt;&gt;0,$H151&gt;0,OR(AUTOEVENTO&lt;&gt;"manual",$M151&lt;&gt;$A$15)),
        IF(Import.TipoArredondamento&lt;&gt;"TransfereGOV",
              ROUND(OFFSET($P151,0,BM$13),15-13*ORÇAMENTO!$AF$7)/$H151*OFFSET(ORÇAMENTO!$X$15,ROW(BM151)-ROW(BM$15),0),
              ROUND(ROUND(OFFSET($P151,0,BM$13),15-13*ORÇAMENTO!$AF$7)*OFFSET(ORÇAMENTO!$W$15,ROW(BM151)-ROW(BM$15),0),15-13*ORÇAMENTO!$AF$11)),
         0)</f>
        <v>0</v>
      </c>
      <c r="BN151" s="453">
        <f ca="1">IF(AND($D151="Serviço",BN$12&lt;&gt;0,$H151&gt;0,OR(AUTOEVENTO&lt;&gt;"manual",$M151&lt;&gt;$A$15)),
        IF(Import.TipoArredondamento&lt;&gt;"TransfereGOV",
              ROUND(OFFSET($P151,0,BN$13),15-13*ORÇAMENTO!$AF$7)/$H151*OFFSET(ORÇAMENTO!$X$15,ROW(BN151)-ROW(BN$15),0),
              ROUND(ROUND(OFFSET($P151,0,BN$13),15-13*ORÇAMENTO!$AF$7)*OFFSET(ORÇAMENTO!$W$15,ROW(BN151)-ROW(BN$15),0),15-13*ORÇAMENTO!$AF$11)),
         0)</f>
        <v>0</v>
      </c>
      <c r="BO151" s="453">
        <f ca="1">IF(AND($D151="Serviço",BO$12&lt;&gt;0,$H151&gt;0,OR(AUTOEVENTO&lt;&gt;"manual",$M151&lt;&gt;$A$15)),
        IF(Import.TipoArredondamento&lt;&gt;"TransfereGOV",
              ROUND(OFFSET($P151,0,BO$13),15-13*ORÇAMENTO!$AF$7)/$H151*OFFSET(ORÇAMENTO!$X$15,ROW(BO151)-ROW(BO$15),0),
              ROUND(ROUND(OFFSET($P151,0,BO$13),15-13*ORÇAMENTO!$AF$7)*OFFSET(ORÇAMENTO!$W$15,ROW(BO151)-ROW(BO$15),0),15-13*ORÇAMENTO!$AF$11)),
         0)</f>
        <v>0</v>
      </c>
      <c r="BP151" s="453">
        <f ca="1">IF(AND($D151="Serviço",BP$12&lt;&gt;0,$H151&gt;0,OR(AUTOEVENTO&lt;&gt;"manual",$M151&lt;&gt;$A$15)),
        IF(Import.TipoArredondamento&lt;&gt;"TransfereGOV",
              ROUND(OFFSET($P151,0,BP$13),15-13*ORÇAMENTO!$AF$7)/$H151*OFFSET(ORÇAMENTO!$X$15,ROW(BP151)-ROW(BP$15),0),
              ROUND(ROUND(OFFSET($P151,0,BP$13),15-13*ORÇAMENTO!$AF$7)*OFFSET(ORÇAMENTO!$W$15,ROW(BP151)-ROW(BP$15),0),15-13*ORÇAMENTO!$AF$11)),
         0)</f>
        <v>0</v>
      </c>
      <c r="BQ151" s="453">
        <f ca="1">IF(AND($D151="Serviço",BQ$12&lt;&gt;0,$H151&gt;0,OR(AUTOEVENTO&lt;&gt;"manual",$M151&lt;&gt;$A$15)),
        IF(Import.TipoArredondamento&lt;&gt;"TransfereGOV",
              ROUND(OFFSET($P151,0,BQ$13),15-13*ORÇAMENTO!$AF$7)/$H151*OFFSET(ORÇAMENTO!$X$15,ROW(BQ151)-ROW(BQ$15),0),
              ROUND(ROUND(OFFSET($P151,0,BQ$13),15-13*ORÇAMENTO!$AF$7)*OFFSET(ORÇAMENTO!$W$15,ROW(BQ151)-ROW(BQ$15),0),15-13*ORÇAMENTO!$AF$11)),
         0)</f>
        <v>0</v>
      </c>
      <c r="BS151" s="171">
        <f ca="1">IF(OR($D151&lt;&gt;"Serviço",AND(AUTOEVENTO="Manual",$M151=$A$15)),0,
         IF(OFFSET(CRONOPLE!$F$15,$M151-$A$15,BS$13)=0,10^12,OFFSET(CRONOPLE!$F$15,$M151-$A$15,BS$13)))</f>
        <v>1</v>
      </c>
      <c r="BT151" s="171">
        <f ca="1">IF(OR($D151&lt;&gt;"Serviço",AND(AUTOEVENTO="Manual",$M151=$A$15)),0,
         IF(OFFSET(CRONOPLE!$F$15,$M151-$A$15,BT$13)=0,10^12,OFFSET(CRONOPLE!$F$15,$M151-$A$15,BT$13)))</f>
        <v>2</v>
      </c>
      <c r="BU151" s="171">
        <f ca="1">IF(OR($D151&lt;&gt;"Serviço",AND(AUTOEVENTO="Manual",$M151=$A$15)),0,
         IF(OFFSET(CRONOPLE!$F$15,$M151-$A$15,BU$13)=0,10^12,OFFSET(CRONOPLE!$F$15,$M151-$A$15,BU$13)))</f>
        <v>3</v>
      </c>
      <c r="BV151" s="171">
        <f ca="1">IF(OR($D151&lt;&gt;"Serviço",AND(AUTOEVENTO="Manual",$M151=$A$15)),0,
         IF(OFFSET(CRONOPLE!$F$15,$M151-$A$15,BV$13)=0,10^12,OFFSET(CRONOPLE!$F$15,$M151-$A$15,BV$13)))</f>
        <v>4</v>
      </c>
      <c r="BW151" s="171">
        <f ca="1">IF(OR($D151&lt;&gt;"Serviço",AND(AUTOEVENTO="Manual",$M151=$A$15)),0,
         IF(OFFSET(CRONOPLE!$F$15,$M151-$A$15,BW$13)=0,10^12,OFFSET(CRONOPLE!$F$15,$M151-$A$15,BW$13)))</f>
        <v>5</v>
      </c>
      <c r="BX151" s="171">
        <f ca="1">IF(OR($D151&lt;&gt;"Serviço",AND(AUTOEVENTO="Manual",$M151=$A$15)),0,
         IF(OFFSET(CRONOPLE!$F$15,$M151-$A$15,BX$13)=0,10^12,OFFSET(CRONOPLE!$F$15,$M151-$A$15,BX$13)))</f>
        <v>6</v>
      </c>
      <c r="BY151" s="171">
        <f ca="1">IF(OR($D151&lt;&gt;"Serviço",AND(AUTOEVENTO="Manual",$M151=$A$15)),0,
         IF(OFFSET(CRONOPLE!$F$15,$M151-$A$15,BY$13)=0,10^12,OFFSET(CRONOPLE!$F$15,$M151-$A$15,BY$13)))</f>
        <v>7</v>
      </c>
      <c r="BZ151" s="171">
        <f ca="1">IF(OR($D151&lt;&gt;"Serviço",AND(AUTOEVENTO="Manual",$M151=$A$15)),0,
         IF(OFFSET(CRONOPLE!$F$15,$M151-$A$15,BZ$13)=0,10^12,OFFSET(CRONOPLE!$F$15,$M151-$A$15,BZ$13)))</f>
        <v>8</v>
      </c>
      <c r="CA151" s="171">
        <f ca="1">IF(OR($D151&lt;&gt;"Serviço",AND(AUTOEVENTO="Manual",$M151=$A$15)),0,
         IF(OFFSET(CRONOPLE!$F$15,$M151-$A$15,CA$13)=0,10^12,OFFSET(CRONOPLE!$F$15,$M151-$A$15,CA$13)))</f>
        <v>9</v>
      </c>
      <c r="CB151" s="171">
        <f ca="1">IF(OR($D151&lt;&gt;"Serviço",AND(AUTOEVENTO="Manual",$M151=$A$15)),0,
         IF(OFFSET(CRONOPLE!$F$15,$M151-$A$15,CB$13)=0,10^12,OFFSET(CRONOPLE!$F$15,$M151-$A$15,CB$13)))</f>
        <v>10</v>
      </c>
      <c r="CC151" s="171">
        <f ca="1">IF(OR($D151&lt;&gt;"Serviço",AND(AUTOEVENTO="Manual",$M151=$A$15)),0,
         IF(OFFSET(CRONOPLE!$F$15,$M151-$A$15,CC$13)=0,10^12,OFFSET(CRONOPLE!$F$15,$M151-$A$15,CC$13)))</f>
        <v>11</v>
      </c>
      <c r="CD151" s="171">
        <f ca="1">IF(OR($D151&lt;&gt;"Serviço",AND(AUTOEVENTO="Manual",$M151=$A$15)),0,
         IF(OFFSET(CRONOPLE!$F$15,$M151-$A$15,CD$13)=0,10^12,OFFSET(CRONOPLE!$F$15,$M151-$A$15,CD$13)))</f>
        <v>12</v>
      </c>
      <c r="CE151" s="171">
        <f ca="1">IF(OR($D151&lt;&gt;"Serviço",AND(AUTOEVENTO="Manual",$M151=$A$15)),0,
         IF(OFFSET(CRONOPLE!$F$15,$M151-$A$15,CE$13)=0,10^12,OFFSET(CRONOPLE!$F$15,$M151-$A$15,CE$13)))</f>
        <v>13</v>
      </c>
      <c r="CF151" s="171">
        <f ca="1">IF(OR($D151&lt;&gt;"Serviço",AND(AUTOEVENTO="Manual",$M151=$A$15)),0,
         IF(OFFSET(CRONOPLE!$F$15,$M151-$A$15,CF$13)=0,10^12,OFFSET(CRONOPLE!$F$15,$M151-$A$15,CF$13)))</f>
        <v>14</v>
      </c>
      <c r="CG151" s="171">
        <f ca="1">IF(OR($D151&lt;&gt;"Serviço",AND(AUTOEVENTO="Manual",$M151=$A$15)),0,
         IF(OFFSET(CRONOPLE!$F$15,$M151-$A$15,CG$13)=0,10^12,OFFSET(CRONOPLE!$F$15,$M151-$A$15,CG$13)))</f>
        <v>15</v>
      </c>
      <c r="CH151" s="171">
        <f ca="1">IF(OR($D151&lt;&gt;"Serviço",AND(AUTOEVENTO="Manual",$M151=$A$15)),0,
         IF(OFFSET(CRONOPLE!$F$15,$M151-$A$15,CH$13)=0,10^12,OFFSET(CRONOPLE!$F$15,$M151-$A$15,CH$13)))</f>
        <v>16</v>
      </c>
      <c r="CI151" s="171">
        <f ca="1">IF(OR($D151&lt;&gt;"Serviço",AND(AUTOEVENTO="Manual",$M151=$A$15)),0,
         IF(OFFSET(CRONOPLE!$F$15,$M151-$A$15,CI$13)=0,10^12,OFFSET(CRONOPLE!$F$15,$M151-$A$15,CI$13)))</f>
        <v>17</v>
      </c>
      <c r="CJ151" s="171">
        <f ca="1">IF(OR($D151&lt;&gt;"Serviço",AND(AUTOEVENTO="Manual",$M151=$A$15)),0,
         IF(OFFSET(CRONOPLE!$F$15,$M151-$A$15,CJ$13)=0,10^12,OFFSET(CRONOPLE!$F$15,$M151-$A$15,CJ$13)))</f>
        <v>18</v>
      </c>
      <c r="CK151" s="171">
        <f ca="1">IF(OR($D151&lt;&gt;"Serviço",AND(AUTOEVENTO="Manual",$M151=$A$15)),0,
         IF(OFFSET(CRONOPLE!$F$15,$M151-$A$15,CK$13)=0,10^12,OFFSET(CRONOPLE!$F$15,$M151-$A$15,CK$13)))</f>
        <v>19</v>
      </c>
      <c r="CL151" s="171">
        <f ca="1">IF(OR($D151&lt;&gt;"Serviço",AND(AUTOEVENTO="Manual",$M151=$A$15)),0,
         IF(OFFSET(CRONOPLE!$F$15,$M151-$A$15,CL$13)=0,10^12,OFFSET(CRONOPLE!$F$15,$M151-$A$15,CL$13)))</f>
        <v>20</v>
      </c>
      <c r="CM151" s="171">
        <f ca="1">IF(OR($D151&lt;&gt;"Serviço",AND(AUTOEVENTO="Manual",$M151=$A$15)),0,
         IF(OFFSET(CRONOPLE!$F$15,$M151-$A$15,CM$13)=0,10^12,OFFSET(CRONOPLE!$F$15,$M151-$A$15,CM$13)))</f>
        <v>1000000000000</v>
      </c>
      <c r="CN151" s="171">
        <f ca="1">IF(OR($D151&lt;&gt;"Serviço",AND(AUTOEVENTO="Manual",$M151=$A$15)),0,
         IF(OFFSET(CRONOPLE!$F$15,$M151-$A$15,CN$13)=0,10^12,OFFSET(CRONOPLE!$F$15,$M151-$A$15,CN$13)))</f>
        <v>1000000000000</v>
      </c>
      <c r="CO151" s="171">
        <f ca="1">IF(OR($D151&lt;&gt;"Serviço",AND(AUTOEVENTO="Manual",$M151=$A$15)),0,
         IF(OFFSET(CRONOPLE!$F$15,$M151-$A$15,CO$13)=0,10^12,OFFSET(CRONOPLE!$F$15,$M151-$A$15,CO$13)))</f>
        <v>1000000000000</v>
      </c>
      <c r="CP151" s="171">
        <f ca="1">IF(OR($D151&lt;&gt;"Serviço",AND(AUTOEVENTO="Manual",$M151=$A$15)),0,
         IF(OFFSET(CRONOPLE!$F$15,$M151-$A$15,CP$13)=0,10^12,OFFSET(CRONOPLE!$F$15,$M151-$A$15,CP$13)))</f>
        <v>1000000000000</v>
      </c>
      <c r="CQ151" s="171">
        <f ca="1">IF(OR($D151&lt;&gt;"Serviço",AND(AUTOEVENTO="Manual",$M151=$A$15)),0,
         IF(OFFSET(CRONOPLE!$F$15,$M151-$A$15,CQ$13)=0,10^12,OFFSET(CRONOPLE!$F$15,$M151-$A$15,CQ$13)))</f>
        <v>1000000000000</v>
      </c>
      <c r="CR151" s="171">
        <f ca="1">IF(OR($D151&lt;&gt;"Serviço",AND(AUTOEVENTO="Manual",$M151=$A$15)),0,
         IF(OFFSET(CRONOPLE!$F$15,$M151-$A$15,CR$13)=0,10^12,OFFSET(CRONOPLE!$F$15,$M151-$A$15,CR$13)))</f>
        <v>1000000000000</v>
      </c>
      <c r="CT151" s="172" cm="1">
        <f t="array" aca="1" ref="CT151" ca="1">IF(OR($D151&lt;&gt;"Serviço",AND(AUTOEVENTO="Manual",$M151=$A$15),$M151&gt;(ROW(PLE.lastrow)-ROW(PLE.firstrow))),0,
           IF(OFFSET(PLE!$G$15,$M151-$A$15,CT$13)="",10^12,OFFSET(PLE!$G$15,$M151-$A$15,CT$13)))</f>
        <v>1000000000000</v>
      </c>
      <c r="CU151" s="172" cm="1">
        <f t="array" aca="1" ref="CU151" ca="1">IF(OR($D151&lt;&gt;"Serviço",AND(AUTOEVENTO="Manual",$M151=$A$15),$M151&gt;(ROW(PLE.lastrow)-ROW(PLE.firstrow))),0,
           IF(OFFSET(PLE!$G$15,$M151-$A$15,CU$13)="",10^12,OFFSET(PLE!$G$15,$M151-$A$15,CU$13)))</f>
        <v>1000000000000</v>
      </c>
      <c r="CV151" s="172" cm="1">
        <f t="array" aca="1" ref="CV151" ca="1">IF(OR($D151&lt;&gt;"Serviço",AND(AUTOEVENTO="Manual",$M151=$A$15),$M151&gt;(ROW(PLE.lastrow)-ROW(PLE.firstrow))),0,
           IF(OFFSET(PLE!$G$15,$M151-$A$15,CV$13)="",10^12,OFFSET(PLE!$G$15,$M151-$A$15,CV$13)))</f>
        <v>1000000000000</v>
      </c>
      <c r="CW151" s="172" cm="1">
        <f t="array" aca="1" ref="CW151" ca="1">IF(OR($D151&lt;&gt;"Serviço",AND(AUTOEVENTO="Manual",$M151=$A$15),$M151&gt;(ROW(PLE.lastrow)-ROW(PLE.firstrow))),0,
           IF(OFFSET(PLE!$G$15,$M151-$A$15,CW$13)="",10^12,OFFSET(PLE!$G$15,$M151-$A$15,CW$13)))</f>
        <v>1000000000000</v>
      </c>
      <c r="CX151" s="172" cm="1">
        <f t="array" aca="1" ref="CX151" ca="1">IF(OR($D151&lt;&gt;"Serviço",AND(AUTOEVENTO="Manual",$M151=$A$15),$M151&gt;(ROW(PLE.lastrow)-ROW(PLE.firstrow))),0,
           IF(OFFSET(PLE!$G$15,$M151-$A$15,CX$13)="",10^12,OFFSET(PLE!$G$15,$M151-$A$15,CX$13)))</f>
        <v>1000000000000</v>
      </c>
      <c r="CY151" s="172" cm="1">
        <f t="array" aca="1" ref="CY151" ca="1">IF(OR($D151&lt;&gt;"Serviço",AND(AUTOEVENTO="Manual",$M151=$A$15),$M151&gt;(ROW(PLE.lastrow)-ROW(PLE.firstrow))),0,
           IF(OFFSET(PLE!$G$15,$M151-$A$15,CY$13)="",10^12,OFFSET(PLE!$G$15,$M151-$A$15,CY$13)))</f>
        <v>1000000000000</v>
      </c>
      <c r="CZ151" s="172" cm="1">
        <f t="array" aca="1" ref="CZ151" ca="1">IF(OR($D151&lt;&gt;"Serviço",AND(AUTOEVENTO="Manual",$M151=$A$15),$M151&gt;(ROW(PLE.lastrow)-ROW(PLE.firstrow))),0,
           IF(OFFSET(PLE!$G$15,$M151-$A$15,CZ$13)="",10^12,OFFSET(PLE!$G$15,$M151-$A$15,CZ$13)))</f>
        <v>1000000000000</v>
      </c>
      <c r="DA151" s="172" cm="1">
        <f t="array" aca="1" ref="DA151" ca="1">IF(OR($D151&lt;&gt;"Serviço",AND(AUTOEVENTO="Manual",$M151=$A$15),$M151&gt;(ROW(PLE.lastrow)-ROW(PLE.firstrow))),0,
           IF(OFFSET(PLE!$G$15,$M151-$A$15,DA$13)="",10^12,OFFSET(PLE!$G$15,$M151-$A$15,DA$13)))</f>
        <v>1000000000000</v>
      </c>
      <c r="DB151" s="172" cm="1">
        <f t="array" aca="1" ref="DB151" ca="1">IF(OR($D151&lt;&gt;"Serviço",AND(AUTOEVENTO="Manual",$M151=$A$15),$M151&gt;(ROW(PLE.lastrow)-ROW(PLE.firstrow))),0,
           IF(OFFSET(PLE!$G$15,$M151-$A$15,DB$13)="",10^12,OFFSET(PLE!$G$15,$M151-$A$15,DB$13)))</f>
        <v>1000000000000</v>
      </c>
      <c r="DC151" s="172" cm="1">
        <f t="array" aca="1" ref="DC151" ca="1">IF(OR($D151&lt;&gt;"Serviço",AND(AUTOEVENTO="Manual",$M151=$A$15),$M151&gt;(ROW(PLE.lastrow)-ROW(PLE.firstrow))),0,
           IF(OFFSET(PLE!$G$15,$M151-$A$15,DC$13)="",10^12,OFFSET(PLE!$G$15,$M151-$A$15,DC$13)))</f>
        <v>1000000000000</v>
      </c>
      <c r="DD151" s="172" cm="1">
        <f t="array" aca="1" ref="DD151" ca="1">IF(OR($D151&lt;&gt;"Serviço",AND(AUTOEVENTO="Manual",$M151=$A$15),$M151&gt;(ROW(PLE.lastrow)-ROW(PLE.firstrow))),0,
           IF(OFFSET(PLE!$G$15,$M151-$A$15,DD$13)="",10^12,OFFSET(PLE!$G$15,$M151-$A$15,DD$13)))</f>
        <v>1000000000000</v>
      </c>
      <c r="DE151" s="172" cm="1">
        <f t="array" aca="1" ref="DE151" ca="1">IF(OR($D151&lt;&gt;"Serviço",AND(AUTOEVENTO="Manual",$M151=$A$15),$M151&gt;(ROW(PLE.lastrow)-ROW(PLE.firstrow))),0,
           IF(OFFSET(PLE!$G$15,$M151-$A$15,DE$13)="",10^12,OFFSET(PLE!$G$15,$M151-$A$15,DE$13)))</f>
        <v>1000000000000</v>
      </c>
      <c r="DF151" s="172" cm="1">
        <f t="array" aca="1" ref="DF151" ca="1">IF(OR($D151&lt;&gt;"Serviço",AND(AUTOEVENTO="Manual",$M151=$A$15),$M151&gt;(ROW(PLE.lastrow)-ROW(PLE.firstrow))),0,
           IF(OFFSET(PLE!$G$15,$M151-$A$15,DF$13)="",10^12,OFFSET(PLE!$G$15,$M151-$A$15,DF$13)))</f>
        <v>1000000000000</v>
      </c>
      <c r="DG151" s="172" cm="1">
        <f t="array" aca="1" ref="DG151" ca="1">IF(OR($D151&lt;&gt;"Serviço",AND(AUTOEVENTO="Manual",$M151=$A$15),$M151&gt;(ROW(PLE.lastrow)-ROW(PLE.firstrow))),0,
           IF(OFFSET(PLE!$G$15,$M151-$A$15,DG$13)="",10^12,OFFSET(PLE!$G$15,$M151-$A$15,DG$13)))</f>
        <v>1000000000000</v>
      </c>
      <c r="DH151" s="172" cm="1">
        <f t="array" aca="1" ref="DH151" ca="1">IF(OR($D151&lt;&gt;"Serviço",AND(AUTOEVENTO="Manual",$M151=$A$15),$M151&gt;(ROW(PLE.lastrow)-ROW(PLE.firstrow))),0,
           IF(OFFSET(PLE!$G$15,$M151-$A$15,DH$13)="",10^12,OFFSET(PLE!$G$15,$M151-$A$15,DH$13)))</f>
        <v>1000000000000</v>
      </c>
      <c r="DI151" s="172" cm="1">
        <f t="array" aca="1" ref="DI151" ca="1">IF(OR($D151&lt;&gt;"Serviço",AND(AUTOEVENTO="Manual",$M151=$A$15),$M151&gt;(ROW(PLE.lastrow)-ROW(PLE.firstrow))),0,
           IF(OFFSET(PLE!$G$15,$M151-$A$15,DI$13)="",10^12,OFFSET(PLE!$G$15,$M151-$A$15,DI$13)))</f>
        <v>1000000000000</v>
      </c>
      <c r="DJ151" s="172" cm="1">
        <f t="array" aca="1" ref="DJ151" ca="1">IF(OR($D151&lt;&gt;"Serviço",AND(AUTOEVENTO="Manual",$M151=$A$15),$M151&gt;(ROW(PLE.lastrow)-ROW(PLE.firstrow))),0,
           IF(OFFSET(PLE!$G$15,$M151-$A$15,DJ$13)="",10^12,OFFSET(PLE!$G$15,$M151-$A$15,DJ$13)))</f>
        <v>1000000000000</v>
      </c>
      <c r="DK151" s="172" cm="1">
        <f t="array" aca="1" ref="DK151" ca="1">IF(OR($D151&lt;&gt;"Serviço",AND(AUTOEVENTO="Manual",$M151=$A$15),$M151&gt;(ROW(PLE.lastrow)-ROW(PLE.firstrow))),0,
           IF(OFFSET(PLE!$G$15,$M151-$A$15,DK$13)="",10^12,OFFSET(PLE!$G$15,$M151-$A$15,DK$13)))</f>
        <v>1000000000000</v>
      </c>
      <c r="DL151" s="172" cm="1">
        <f t="array" aca="1" ref="DL151" ca="1">IF(OR($D151&lt;&gt;"Serviço",AND(AUTOEVENTO="Manual",$M151=$A$15),$M151&gt;(ROW(PLE.lastrow)-ROW(PLE.firstrow))),0,
           IF(OFFSET(PLE!$G$15,$M151-$A$15,DL$13)="",10^12,OFFSET(PLE!$G$15,$M151-$A$15,DL$13)))</f>
        <v>1000000000000</v>
      </c>
      <c r="DM151" s="172" cm="1">
        <f t="array" aca="1" ref="DM151" ca="1">IF(OR($D151&lt;&gt;"Serviço",AND(AUTOEVENTO="Manual",$M151=$A$15),$M151&gt;(ROW(PLE.lastrow)-ROW(PLE.firstrow))),0,
           IF(OFFSET(PLE!$G$15,$M151-$A$15,DM$13)="",10^12,OFFSET(PLE!$G$15,$M151-$A$15,DM$13)))</f>
        <v>1000000000000</v>
      </c>
      <c r="DN151" s="172" cm="1">
        <f t="array" aca="1" ref="DN151" ca="1">IF(OR($D151&lt;&gt;"Serviço",AND(AUTOEVENTO="Manual",$M151=$A$15),$M151&gt;(ROW(PLE.lastrow)-ROW(PLE.firstrow))),0,
           IF(OFFSET(PLE!$G$15,$M151-$A$15,DN$13)="",10^12,OFFSET(PLE!$G$15,$M151-$A$15,DN$13)))</f>
        <v>1000000000000</v>
      </c>
      <c r="DO151" s="172" cm="1">
        <f t="array" aca="1" ref="DO151" ca="1">IF(OR($D151&lt;&gt;"Serviço",AND(AUTOEVENTO="Manual",$M151=$A$15),$M151&gt;(ROW(PLE.lastrow)-ROW(PLE.firstrow))),0,
           IF(OFFSET(PLE!$G$15,$M151-$A$15,DO$13)="",10^12,OFFSET(PLE!$G$15,$M151-$A$15,DO$13)))</f>
        <v>1000000000000</v>
      </c>
      <c r="DP151" s="172" cm="1">
        <f t="array" aca="1" ref="DP151" ca="1">IF(OR($D151&lt;&gt;"Serviço",AND(AUTOEVENTO="Manual",$M151=$A$15),$M151&gt;(ROW(PLE.lastrow)-ROW(PLE.firstrow))),0,
           IF(OFFSET(PLE!$G$15,$M151-$A$15,DP$13)="",10^12,OFFSET(PLE!$G$15,$M151-$A$15,DP$13)))</f>
        <v>1000000000000</v>
      </c>
      <c r="DQ151" s="172" cm="1">
        <f t="array" aca="1" ref="DQ151" ca="1">IF(OR($D151&lt;&gt;"Serviço",AND(AUTOEVENTO="Manual",$M151=$A$15),$M151&gt;(ROW(PLE.lastrow)-ROW(PLE.firstrow))),0,
           IF(OFFSET(PLE!$G$15,$M151-$A$15,DQ$13)="",10^12,OFFSET(PLE!$G$15,$M151-$A$15,DQ$13)))</f>
        <v>1000000000000</v>
      </c>
      <c r="DR151" s="172" cm="1">
        <f t="array" aca="1" ref="DR151" ca="1">IF(OR($D151&lt;&gt;"Serviço",AND(AUTOEVENTO="Manual",$M151=$A$15),$M151&gt;(ROW(PLE.lastrow)-ROW(PLE.firstrow))),0,
           IF(OFFSET(PLE!$G$15,$M151-$A$15,DR$13)="",10^12,OFFSET(PLE!$G$15,$M151-$A$15,DR$13)))</f>
        <v>1000000000000</v>
      </c>
      <c r="DS151" s="172" cm="1">
        <f t="array" aca="1" ref="DS151" ca="1">IF(OR($D151&lt;&gt;"Serviço",AND(AUTOEVENTO="Manual",$M151=$A$15),$M151&gt;(ROW(PLE.lastrow)-ROW(PLE.firstrow))),0,
           IF(OFFSET(PLE!$G$15,$M151-$A$15,DS$13)="",10^12,OFFSET(PLE!$G$15,$M151-$A$15,DS$13)))</f>
        <v>1000000000000</v>
      </c>
    </row>
    <row r="152" spans="1:123" ht="25.5" x14ac:dyDescent="0.2">
      <c r="A152" s="7">
        <f t="shared" ca="1" si="16"/>
        <v>9</v>
      </c>
      <c r="B152" s="7" t="str">
        <f ca="1">OFFSET(ORÇAMENTO!C$15,$L152,0)</f>
        <v>S</v>
      </c>
      <c r="C152" s="7" t="str">
        <f ca="1">OFFSET(ORÇAMENTO!L$15,$L152,0)</f>
        <v/>
      </c>
      <c r="D152" s="116" t="str">
        <f ca="1">OFFSET(ORÇAMENTO!N$15,$L152,0)</f>
        <v>Serviço</v>
      </c>
      <c r="E152" s="117" t="str">
        <f ca="1">OFFSET(ORÇAMENTO!O$15,$L152,0)</f>
        <v>-</v>
      </c>
      <c r="F152" s="163" t="str">
        <f ca="1">OFFSET(ORÇAMENTO!R$15,$L152,0)</f>
        <v>(Código não identificado nas referências)</v>
      </c>
      <c r="G152" s="164" t="str">
        <f ca="1">IF($D152&lt;&gt;"Serviço","",OFFSET(ORÇAMENTO!S$15,$L152,0))</f>
        <v>-</v>
      </c>
      <c r="H152" s="122" cm="1">
        <f t="array" aca="1" ref="H152" ca="1">IF($D152&lt;&gt;"Serviço",0,IF(ACOMPANHAMENTO="BM",ROUND(OFFSET(ORÇAMENTO!AJ$15,$L152,0),15-13*ORÇAMENTO!$AF$7),IF(IFERROR(CÁLCULO.FrentesPreenchidas,0)=0,0,SUM(ROUND(OFFSET($P152,0,1,1,CÁLCULO.FrentesPreenchidas),15-13*ORÇAMENTO!$AF$7)))))</f>
        <v>240</v>
      </c>
      <c r="I152" s="468" t="s">
        <v>1235</v>
      </c>
      <c r="J152" s="651" t="str" cm="1">
        <f t="array" aca="1" ref="J152" ca="1">IF(OR(B152&lt;&gt;"S",CÁLCULO.FrentesPreenchidas=0),"",IF(AND(ACOMPANHAMENTO="PLE",AUTOEVENTO="Manual",OR(H152&gt;0,ORÇAMENTO!AC152="QUANT."),OR(K152="",M152=0,N152="")),"►E",IF(AND(ACOMPANHAMENTO="PLE",ORÇAMENTO!AC152="QUANT."),"►Q",IF(AND(ACOMPANHAMENTO="PLE",H152&lt;&gt;SUMPRODUCT(($Q$1:$AQ$1=1)*ROUND(Q152:AQ152,15))),"►S",IF(AND(COUNTIF($P$11:$AQ$11,"▼")=0,H152&gt;0,I152=""),"◄M","")))))</f>
        <v/>
      </c>
      <c r="K152" s="652" t="s">
        <v>1257</v>
      </c>
      <c r="L152" s="165">
        <f t="shared" ca="1" si="17"/>
        <v>137</v>
      </c>
      <c r="M152" s="166">
        <f ca="1">IF($D152&lt;&gt;"Serviço","",
          IF(AUTOEVENTO="manual",$A152,
                IF(ISERROR(MATCH($A152,$A$15:OFFSET($A152,-1,0),0)),MAX($M$15:OFFSET(M152,-1,0))+1,
                      INDEX($M$15:OFFSET(M152,-1,0),MATCH($A152,$A$15:OFFSET($A152,-1,0),0)))))</f>
        <v>9</v>
      </c>
      <c r="N152" s="167" t="str">
        <f ca="1">IF($D152&lt;&gt;"Serviço","",
         IF(AUTOEVENTO="Manual",
                IF($A152=0,"&lt;-- defina o número do agrupador",
                       OFFSET(EVENTOS!$D$15,$A152-$A$15,0)),
                OFFSET($F$15,$A152,0)))</f>
        <v>INSTALAÇÕES</v>
      </c>
      <c r="O152" s="168"/>
      <c r="Q152" s="168">
        <v>12</v>
      </c>
      <c r="R152" s="169">
        <v>12</v>
      </c>
      <c r="S152" s="169">
        <v>12</v>
      </c>
      <c r="T152" s="169">
        <v>12</v>
      </c>
      <c r="U152" s="169">
        <v>12</v>
      </c>
      <c r="V152" s="169">
        <v>12</v>
      </c>
      <c r="W152" s="169">
        <v>12</v>
      </c>
      <c r="X152" s="169">
        <v>12</v>
      </c>
      <c r="Y152" s="169">
        <v>12</v>
      </c>
      <c r="Z152" s="170">
        <v>12</v>
      </c>
      <c r="AA152" s="169">
        <v>12</v>
      </c>
      <c r="AB152" s="169">
        <v>12</v>
      </c>
      <c r="AC152" s="169">
        <v>12</v>
      </c>
      <c r="AD152" s="169">
        <v>12</v>
      </c>
      <c r="AE152" s="169">
        <v>12</v>
      </c>
      <c r="AF152" s="169">
        <v>12</v>
      </c>
      <c r="AG152" s="169">
        <v>12</v>
      </c>
      <c r="AH152" s="170">
        <v>12</v>
      </c>
      <c r="AI152" s="169">
        <v>12</v>
      </c>
      <c r="AJ152" s="169">
        <v>12</v>
      </c>
      <c r="AK152" s="169"/>
      <c r="AL152" s="169"/>
      <c r="AM152" s="169"/>
      <c r="AN152" s="169"/>
      <c r="AO152" s="169"/>
      <c r="AP152" s="170"/>
      <c r="AR152" s="453">
        <f ca="1">IF(AND($D152="Serviço",AR$12&lt;&gt;0,$H152&gt;0,OR(AUTOEVENTO&lt;&gt;"manual",$M152&lt;&gt;$A$15)),
        IF(Import.TipoArredondamento&lt;&gt;"TransfereGOV",
              ROUND(OFFSET($P152,0,AR$13),15-13*ORÇAMENTO!$AF$7)/$H152*OFFSET(ORÇAMENTO!$X$15,ROW(AR152)-ROW(AR$15),0),
              ROUND(ROUND(OFFSET($P152,0,AR$13),15-13*ORÇAMENTO!$AF$7)*OFFSET(ORÇAMENTO!$W$15,ROW(AR152)-ROW(AR$15),0),15-13*ORÇAMENTO!$AF$11)),
         0)</f>
        <v>0</v>
      </c>
      <c r="AS152" s="453">
        <f ca="1">IF(AND($D152="Serviço",AS$12&lt;&gt;0,$H152&gt;0,OR(AUTOEVENTO&lt;&gt;"manual",$M152&lt;&gt;$A$15)),
        IF(Import.TipoArredondamento&lt;&gt;"TransfereGOV",
              ROUND(OFFSET($P152,0,AS$13),15-13*ORÇAMENTO!$AF$7)/$H152*OFFSET(ORÇAMENTO!$X$15,ROW(AS152)-ROW(AS$15),0),
              ROUND(ROUND(OFFSET($P152,0,AS$13),15-13*ORÇAMENTO!$AF$7)*OFFSET(ORÇAMENTO!$W$15,ROW(AS152)-ROW(AS$15),0),15-13*ORÇAMENTO!$AF$11)),
         0)</f>
        <v>0</v>
      </c>
      <c r="AT152" s="453">
        <f ca="1">IF(AND($D152="Serviço",AT$12&lt;&gt;0,$H152&gt;0,OR(AUTOEVENTO&lt;&gt;"manual",$M152&lt;&gt;$A$15)),
        IF(Import.TipoArredondamento&lt;&gt;"TransfereGOV",
              ROUND(OFFSET($P152,0,AT$13),15-13*ORÇAMENTO!$AF$7)/$H152*OFFSET(ORÇAMENTO!$X$15,ROW(AT152)-ROW(AT$15),0),
              ROUND(ROUND(OFFSET($P152,0,AT$13),15-13*ORÇAMENTO!$AF$7)*OFFSET(ORÇAMENTO!$W$15,ROW(AT152)-ROW(AT$15),0),15-13*ORÇAMENTO!$AF$11)),
         0)</f>
        <v>0</v>
      </c>
      <c r="AU152" s="453">
        <f ca="1">IF(AND($D152="Serviço",AU$12&lt;&gt;0,$H152&gt;0,OR(AUTOEVENTO&lt;&gt;"manual",$M152&lt;&gt;$A$15)),
        IF(Import.TipoArredondamento&lt;&gt;"TransfereGOV",
              ROUND(OFFSET($P152,0,AU$13),15-13*ORÇAMENTO!$AF$7)/$H152*OFFSET(ORÇAMENTO!$X$15,ROW(AU152)-ROW(AU$15),0),
              ROUND(ROUND(OFFSET($P152,0,AU$13),15-13*ORÇAMENTO!$AF$7)*OFFSET(ORÇAMENTO!$W$15,ROW(AU152)-ROW(AU$15),0),15-13*ORÇAMENTO!$AF$11)),
         0)</f>
        <v>0</v>
      </c>
      <c r="AV152" s="453">
        <f ca="1">IF(AND($D152="Serviço",AV$12&lt;&gt;0,$H152&gt;0,OR(AUTOEVENTO&lt;&gt;"manual",$M152&lt;&gt;$A$15)),
        IF(Import.TipoArredondamento&lt;&gt;"TransfereGOV",
              ROUND(OFFSET($P152,0,AV$13),15-13*ORÇAMENTO!$AF$7)/$H152*OFFSET(ORÇAMENTO!$X$15,ROW(AV152)-ROW(AV$15),0),
              ROUND(ROUND(OFFSET($P152,0,AV$13),15-13*ORÇAMENTO!$AF$7)*OFFSET(ORÇAMENTO!$W$15,ROW(AV152)-ROW(AV$15),0),15-13*ORÇAMENTO!$AF$11)),
         0)</f>
        <v>0</v>
      </c>
      <c r="AW152" s="453">
        <f ca="1">IF(AND($D152="Serviço",AW$12&lt;&gt;0,$H152&gt;0,OR(AUTOEVENTO&lt;&gt;"manual",$M152&lt;&gt;$A$15)),
        IF(Import.TipoArredondamento&lt;&gt;"TransfereGOV",
              ROUND(OFFSET($P152,0,AW$13),15-13*ORÇAMENTO!$AF$7)/$H152*OFFSET(ORÇAMENTO!$X$15,ROW(AW152)-ROW(AW$15),0),
              ROUND(ROUND(OFFSET($P152,0,AW$13),15-13*ORÇAMENTO!$AF$7)*OFFSET(ORÇAMENTO!$W$15,ROW(AW152)-ROW(AW$15),0),15-13*ORÇAMENTO!$AF$11)),
         0)</f>
        <v>0</v>
      </c>
      <c r="AX152" s="453">
        <f ca="1">IF(AND($D152="Serviço",AX$12&lt;&gt;0,$H152&gt;0,OR(AUTOEVENTO&lt;&gt;"manual",$M152&lt;&gt;$A$15)),
        IF(Import.TipoArredondamento&lt;&gt;"TransfereGOV",
              ROUND(OFFSET($P152,0,AX$13),15-13*ORÇAMENTO!$AF$7)/$H152*OFFSET(ORÇAMENTO!$X$15,ROW(AX152)-ROW(AX$15),0),
              ROUND(ROUND(OFFSET($P152,0,AX$13),15-13*ORÇAMENTO!$AF$7)*OFFSET(ORÇAMENTO!$W$15,ROW(AX152)-ROW(AX$15),0),15-13*ORÇAMENTO!$AF$11)),
         0)</f>
        <v>0</v>
      </c>
      <c r="AY152" s="453">
        <f ca="1">IF(AND($D152="Serviço",AY$12&lt;&gt;0,$H152&gt;0,OR(AUTOEVENTO&lt;&gt;"manual",$M152&lt;&gt;$A$15)),
        IF(Import.TipoArredondamento&lt;&gt;"TransfereGOV",
              ROUND(OFFSET($P152,0,AY$13),15-13*ORÇAMENTO!$AF$7)/$H152*OFFSET(ORÇAMENTO!$X$15,ROW(AY152)-ROW(AY$15),0),
              ROUND(ROUND(OFFSET($P152,0,AY$13),15-13*ORÇAMENTO!$AF$7)*OFFSET(ORÇAMENTO!$W$15,ROW(AY152)-ROW(AY$15),0),15-13*ORÇAMENTO!$AF$11)),
         0)</f>
        <v>0</v>
      </c>
      <c r="AZ152" s="453">
        <f ca="1">IF(AND($D152="Serviço",AZ$12&lt;&gt;0,$H152&gt;0,OR(AUTOEVENTO&lt;&gt;"manual",$M152&lt;&gt;$A$15)),
        IF(Import.TipoArredondamento&lt;&gt;"TransfereGOV",
              ROUND(OFFSET($P152,0,AZ$13),15-13*ORÇAMENTO!$AF$7)/$H152*OFFSET(ORÇAMENTO!$X$15,ROW(AZ152)-ROW(AZ$15),0),
              ROUND(ROUND(OFFSET($P152,0,AZ$13),15-13*ORÇAMENTO!$AF$7)*OFFSET(ORÇAMENTO!$W$15,ROW(AZ152)-ROW(AZ$15),0),15-13*ORÇAMENTO!$AF$11)),
         0)</f>
        <v>0</v>
      </c>
      <c r="BA152" s="453">
        <f ca="1">IF(AND($D152="Serviço",BA$12&lt;&gt;0,$H152&gt;0,OR(AUTOEVENTO&lt;&gt;"manual",$M152&lt;&gt;$A$15)),
        IF(Import.TipoArredondamento&lt;&gt;"TransfereGOV",
              ROUND(OFFSET($P152,0,BA$13),15-13*ORÇAMENTO!$AF$7)/$H152*OFFSET(ORÇAMENTO!$X$15,ROW(BA152)-ROW(BA$15),0),
              ROUND(ROUND(OFFSET($P152,0,BA$13),15-13*ORÇAMENTO!$AF$7)*OFFSET(ORÇAMENTO!$W$15,ROW(BA152)-ROW(BA$15),0),15-13*ORÇAMENTO!$AF$11)),
         0)</f>
        <v>0</v>
      </c>
      <c r="BB152" s="453">
        <f ca="1">IF(AND($D152="Serviço",BB$12&lt;&gt;0,$H152&gt;0,OR(AUTOEVENTO&lt;&gt;"manual",$M152&lt;&gt;$A$15)),
        IF(Import.TipoArredondamento&lt;&gt;"TransfereGOV",
              ROUND(OFFSET($P152,0,BB$13),15-13*ORÇAMENTO!$AF$7)/$H152*OFFSET(ORÇAMENTO!$X$15,ROW(BB152)-ROW(BB$15),0),
              ROUND(ROUND(OFFSET($P152,0,BB$13),15-13*ORÇAMENTO!$AF$7)*OFFSET(ORÇAMENTO!$W$15,ROW(BB152)-ROW(BB$15),0),15-13*ORÇAMENTO!$AF$11)),
         0)</f>
        <v>0</v>
      </c>
      <c r="BC152" s="453">
        <f ca="1">IF(AND($D152="Serviço",BC$12&lt;&gt;0,$H152&gt;0,OR(AUTOEVENTO&lt;&gt;"manual",$M152&lt;&gt;$A$15)),
        IF(Import.TipoArredondamento&lt;&gt;"TransfereGOV",
              ROUND(OFFSET($P152,0,BC$13),15-13*ORÇAMENTO!$AF$7)/$H152*OFFSET(ORÇAMENTO!$X$15,ROW(BC152)-ROW(BC$15),0),
              ROUND(ROUND(OFFSET($P152,0,BC$13),15-13*ORÇAMENTO!$AF$7)*OFFSET(ORÇAMENTO!$W$15,ROW(BC152)-ROW(BC$15),0),15-13*ORÇAMENTO!$AF$11)),
         0)</f>
        <v>0</v>
      </c>
      <c r="BD152" s="453">
        <f ca="1">IF(AND($D152="Serviço",BD$12&lt;&gt;0,$H152&gt;0,OR(AUTOEVENTO&lt;&gt;"manual",$M152&lt;&gt;$A$15)),
        IF(Import.TipoArredondamento&lt;&gt;"TransfereGOV",
              ROUND(OFFSET($P152,0,BD$13),15-13*ORÇAMENTO!$AF$7)/$H152*OFFSET(ORÇAMENTO!$X$15,ROW(BD152)-ROW(BD$15),0),
              ROUND(ROUND(OFFSET($P152,0,BD$13),15-13*ORÇAMENTO!$AF$7)*OFFSET(ORÇAMENTO!$W$15,ROW(BD152)-ROW(BD$15),0),15-13*ORÇAMENTO!$AF$11)),
         0)</f>
        <v>0</v>
      </c>
      <c r="BE152" s="453">
        <f ca="1">IF(AND($D152="Serviço",BE$12&lt;&gt;0,$H152&gt;0,OR(AUTOEVENTO&lt;&gt;"manual",$M152&lt;&gt;$A$15)),
        IF(Import.TipoArredondamento&lt;&gt;"TransfereGOV",
              ROUND(OFFSET($P152,0,BE$13),15-13*ORÇAMENTO!$AF$7)/$H152*OFFSET(ORÇAMENTO!$X$15,ROW(BE152)-ROW(BE$15),0),
              ROUND(ROUND(OFFSET($P152,0,BE$13),15-13*ORÇAMENTO!$AF$7)*OFFSET(ORÇAMENTO!$W$15,ROW(BE152)-ROW(BE$15),0),15-13*ORÇAMENTO!$AF$11)),
         0)</f>
        <v>0</v>
      </c>
      <c r="BF152" s="453">
        <f ca="1">IF(AND($D152="Serviço",BF$12&lt;&gt;0,$H152&gt;0,OR(AUTOEVENTO&lt;&gt;"manual",$M152&lt;&gt;$A$15)),
        IF(Import.TipoArredondamento&lt;&gt;"TransfereGOV",
              ROUND(OFFSET($P152,0,BF$13),15-13*ORÇAMENTO!$AF$7)/$H152*OFFSET(ORÇAMENTO!$X$15,ROW(BF152)-ROW(BF$15),0),
              ROUND(ROUND(OFFSET($P152,0,BF$13),15-13*ORÇAMENTO!$AF$7)*OFFSET(ORÇAMENTO!$W$15,ROW(BF152)-ROW(BF$15),0),15-13*ORÇAMENTO!$AF$11)),
         0)</f>
        <v>0</v>
      </c>
      <c r="BG152" s="453">
        <f ca="1">IF(AND($D152="Serviço",BG$12&lt;&gt;0,$H152&gt;0,OR(AUTOEVENTO&lt;&gt;"manual",$M152&lt;&gt;$A$15)),
        IF(Import.TipoArredondamento&lt;&gt;"TransfereGOV",
              ROUND(OFFSET($P152,0,BG$13),15-13*ORÇAMENTO!$AF$7)/$H152*OFFSET(ORÇAMENTO!$X$15,ROW(BG152)-ROW(BG$15),0),
              ROUND(ROUND(OFFSET($P152,0,BG$13),15-13*ORÇAMENTO!$AF$7)*OFFSET(ORÇAMENTO!$W$15,ROW(BG152)-ROW(BG$15),0),15-13*ORÇAMENTO!$AF$11)),
         0)</f>
        <v>0</v>
      </c>
      <c r="BH152" s="453">
        <f ca="1">IF(AND($D152="Serviço",BH$12&lt;&gt;0,$H152&gt;0,OR(AUTOEVENTO&lt;&gt;"manual",$M152&lt;&gt;$A$15)),
        IF(Import.TipoArredondamento&lt;&gt;"TransfereGOV",
              ROUND(OFFSET($P152,0,BH$13),15-13*ORÇAMENTO!$AF$7)/$H152*OFFSET(ORÇAMENTO!$X$15,ROW(BH152)-ROW(BH$15),0),
              ROUND(ROUND(OFFSET($P152,0,BH$13),15-13*ORÇAMENTO!$AF$7)*OFFSET(ORÇAMENTO!$W$15,ROW(BH152)-ROW(BH$15),0),15-13*ORÇAMENTO!$AF$11)),
         0)</f>
        <v>0</v>
      </c>
      <c r="BI152" s="453">
        <f ca="1">IF(AND($D152="Serviço",BI$12&lt;&gt;0,$H152&gt;0,OR(AUTOEVENTO&lt;&gt;"manual",$M152&lt;&gt;$A$15)),
        IF(Import.TipoArredondamento&lt;&gt;"TransfereGOV",
              ROUND(OFFSET($P152,0,BI$13),15-13*ORÇAMENTO!$AF$7)/$H152*OFFSET(ORÇAMENTO!$X$15,ROW(BI152)-ROW(BI$15),0),
              ROUND(ROUND(OFFSET($P152,0,BI$13),15-13*ORÇAMENTO!$AF$7)*OFFSET(ORÇAMENTO!$W$15,ROW(BI152)-ROW(BI$15),0),15-13*ORÇAMENTO!$AF$11)),
         0)</f>
        <v>0</v>
      </c>
      <c r="BJ152" s="453">
        <f ca="1">IF(AND($D152="Serviço",BJ$12&lt;&gt;0,$H152&gt;0,OR(AUTOEVENTO&lt;&gt;"manual",$M152&lt;&gt;$A$15)),
        IF(Import.TipoArredondamento&lt;&gt;"TransfereGOV",
              ROUND(OFFSET($P152,0,BJ$13),15-13*ORÇAMENTO!$AF$7)/$H152*OFFSET(ORÇAMENTO!$X$15,ROW(BJ152)-ROW(BJ$15),0),
              ROUND(ROUND(OFFSET($P152,0,BJ$13),15-13*ORÇAMENTO!$AF$7)*OFFSET(ORÇAMENTO!$W$15,ROW(BJ152)-ROW(BJ$15),0),15-13*ORÇAMENTO!$AF$11)),
         0)</f>
        <v>0</v>
      </c>
      <c r="BK152" s="453">
        <f ca="1">IF(AND($D152="Serviço",BK$12&lt;&gt;0,$H152&gt;0,OR(AUTOEVENTO&lt;&gt;"manual",$M152&lt;&gt;$A$15)),
        IF(Import.TipoArredondamento&lt;&gt;"TransfereGOV",
              ROUND(OFFSET($P152,0,BK$13),15-13*ORÇAMENTO!$AF$7)/$H152*OFFSET(ORÇAMENTO!$X$15,ROW(BK152)-ROW(BK$15),0),
              ROUND(ROUND(OFFSET($P152,0,BK$13),15-13*ORÇAMENTO!$AF$7)*OFFSET(ORÇAMENTO!$W$15,ROW(BK152)-ROW(BK$15),0),15-13*ORÇAMENTO!$AF$11)),
         0)</f>
        <v>0</v>
      </c>
      <c r="BL152" s="453">
        <f ca="1">IF(AND($D152="Serviço",BL$12&lt;&gt;0,$H152&gt;0,OR(AUTOEVENTO&lt;&gt;"manual",$M152&lt;&gt;$A$15)),
        IF(Import.TipoArredondamento&lt;&gt;"TransfereGOV",
              ROUND(OFFSET($P152,0,BL$13),15-13*ORÇAMENTO!$AF$7)/$H152*OFFSET(ORÇAMENTO!$X$15,ROW(BL152)-ROW(BL$15),0),
              ROUND(ROUND(OFFSET($P152,0,BL$13),15-13*ORÇAMENTO!$AF$7)*OFFSET(ORÇAMENTO!$W$15,ROW(BL152)-ROW(BL$15),0),15-13*ORÇAMENTO!$AF$11)),
         0)</f>
        <v>0</v>
      </c>
      <c r="BM152" s="453">
        <f ca="1">IF(AND($D152="Serviço",BM$12&lt;&gt;0,$H152&gt;0,OR(AUTOEVENTO&lt;&gt;"manual",$M152&lt;&gt;$A$15)),
        IF(Import.TipoArredondamento&lt;&gt;"TransfereGOV",
              ROUND(OFFSET($P152,0,BM$13),15-13*ORÇAMENTO!$AF$7)/$H152*OFFSET(ORÇAMENTO!$X$15,ROW(BM152)-ROW(BM$15),0),
              ROUND(ROUND(OFFSET($P152,0,BM$13),15-13*ORÇAMENTO!$AF$7)*OFFSET(ORÇAMENTO!$W$15,ROW(BM152)-ROW(BM$15),0),15-13*ORÇAMENTO!$AF$11)),
         0)</f>
        <v>0</v>
      </c>
      <c r="BN152" s="453">
        <f ca="1">IF(AND($D152="Serviço",BN$12&lt;&gt;0,$H152&gt;0,OR(AUTOEVENTO&lt;&gt;"manual",$M152&lt;&gt;$A$15)),
        IF(Import.TipoArredondamento&lt;&gt;"TransfereGOV",
              ROUND(OFFSET($P152,0,BN$13),15-13*ORÇAMENTO!$AF$7)/$H152*OFFSET(ORÇAMENTO!$X$15,ROW(BN152)-ROW(BN$15),0),
              ROUND(ROUND(OFFSET($P152,0,BN$13),15-13*ORÇAMENTO!$AF$7)*OFFSET(ORÇAMENTO!$W$15,ROW(BN152)-ROW(BN$15),0),15-13*ORÇAMENTO!$AF$11)),
         0)</f>
        <v>0</v>
      </c>
      <c r="BO152" s="453">
        <f ca="1">IF(AND($D152="Serviço",BO$12&lt;&gt;0,$H152&gt;0,OR(AUTOEVENTO&lt;&gt;"manual",$M152&lt;&gt;$A$15)),
        IF(Import.TipoArredondamento&lt;&gt;"TransfereGOV",
              ROUND(OFFSET($P152,0,BO$13),15-13*ORÇAMENTO!$AF$7)/$H152*OFFSET(ORÇAMENTO!$X$15,ROW(BO152)-ROW(BO$15),0),
              ROUND(ROUND(OFFSET($P152,0,BO$13),15-13*ORÇAMENTO!$AF$7)*OFFSET(ORÇAMENTO!$W$15,ROW(BO152)-ROW(BO$15),0),15-13*ORÇAMENTO!$AF$11)),
         0)</f>
        <v>0</v>
      </c>
      <c r="BP152" s="453">
        <f ca="1">IF(AND($D152="Serviço",BP$12&lt;&gt;0,$H152&gt;0,OR(AUTOEVENTO&lt;&gt;"manual",$M152&lt;&gt;$A$15)),
        IF(Import.TipoArredondamento&lt;&gt;"TransfereGOV",
              ROUND(OFFSET($P152,0,BP$13),15-13*ORÇAMENTO!$AF$7)/$H152*OFFSET(ORÇAMENTO!$X$15,ROW(BP152)-ROW(BP$15),0),
              ROUND(ROUND(OFFSET($P152,0,BP$13),15-13*ORÇAMENTO!$AF$7)*OFFSET(ORÇAMENTO!$W$15,ROW(BP152)-ROW(BP$15),0),15-13*ORÇAMENTO!$AF$11)),
         0)</f>
        <v>0</v>
      </c>
      <c r="BQ152" s="453">
        <f ca="1">IF(AND($D152="Serviço",BQ$12&lt;&gt;0,$H152&gt;0,OR(AUTOEVENTO&lt;&gt;"manual",$M152&lt;&gt;$A$15)),
        IF(Import.TipoArredondamento&lt;&gt;"TransfereGOV",
              ROUND(OFFSET($P152,0,BQ$13),15-13*ORÇAMENTO!$AF$7)/$H152*OFFSET(ORÇAMENTO!$X$15,ROW(BQ152)-ROW(BQ$15),0),
              ROUND(ROUND(OFFSET($P152,0,BQ$13),15-13*ORÇAMENTO!$AF$7)*OFFSET(ORÇAMENTO!$W$15,ROW(BQ152)-ROW(BQ$15),0),15-13*ORÇAMENTO!$AF$11)),
         0)</f>
        <v>0</v>
      </c>
      <c r="BS152" s="171">
        <f ca="1">IF(OR($D152&lt;&gt;"Serviço",AND(AUTOEVENTO="Manual",$M152=$A$15)),0,
         IF(OFFSET(CRONOPLE!$F$15,$M152-$A$15,BS$13)=0,10^12,OFFSET(CRONOPLE!$F$15,$M152-$A$15,BS$13)))</f>
        <v>1</v>
      </c>
      <c r="BT152" s="171">
        <f ca="1">IF(OR($D152&lt;&gt;"Serviço",AND(AUTOEVENTO="Manual",$M152=$A$15)),0,
         IF(OFFSET(CRONOPLE!$F$15,$M152-$A$15,BT$13)=0,10^12,OFFSET(CRONOPLE!$F$15,$M152-$A$15,BT$13)))</f>
        <v>2</v>
      </c>
      <c r="BU152" s="171">
        <f ca="1">IF(OR($D152&lt;&gt;"Serviço",AND(AUTOEVENTO="Manual",$M152=$A$15)),0,
         IF(OFFSET(CRONOPLE!$F$15,$M152-$A$15,BU$13)=0,10^12,OFFSET(CRONOPLE!$F$15,$M152-$A$15,BU$13)))</f>
        <v>3</v>
      </c>
      <c r="BV152" s="171">
        <f ca="1">IF(OR($D152&lt;&gt;"Serviço",AND(AUTOEVENTO="Manual",$M152=$A$15)),0,
         IF(OFFSET(CRONOPLE!$F$15,$M152-$A$15,BV$13)=0,10^12,OFFSET(CRONOPLE!$F$15,$M152-$A$15,BV$13)))</f>
        <v>4</v>
      </c>
      <c r="BW152" s="171">
        <f ca="1">IF(OR($D152&lt;&gt;"Serviço",AND(AUTOEVENTO="Manual",$M152=$A$15)),0,
         IF(OFFSET(CRONOPLE!$F$15,$M152-$A$15,BW$13)=0,10^12,OFFSET(CRONOPLE!$F$15,$M152-$A$15,BW$13)))</f>
        <v>5</v>
      </c>
      <c r="BX152" s="171">
        <f ca="1">IF(OR($D152&lt;&gt;"Serviço",AND(AUTOEVENTO="Manual",$M152=$A$15)),0,
         IF(OFFSET(CRONOPLE!$F$15,$M152-$A$15,BX$13)=0,10^12,OFFSET(CRONOPLE!$F$15,$M152-$A$15,BX$13)))</f>
        <v>6</v>
      </c>
      <c r="BY152" s="171">
        <f ca="1">IF(OR($D152&lt;&gt;"Serviço",AND(AUTOEVENTO="Manual",$M152=$A$15)),0,
         IF(OFFSET(CRONOPLE!$F$15,$M152-$A$15,BY$13)=0,10^12,OFFSET(CRONOPLE!$F$15,$M152-$A$15,BY$13)))</f>
        <v>7</v>
      </c>
      <c r="BZ152" s="171">
        <f ca="1">IF(OR($D152&lt;&gt;"Serviço",AND(AUTOEVENTO="Manual",$M152=$A$15)),0,
         IF(OFFSET(CRONOPLE!$F$15,$M152-$A$15,BZ$13)=0,10^12,OFFSET(CRONOPLE!$F$15,$M152-$A$15,BZ$13)))</f>
        <v>8</v>
      </c>
      <c r="CA152" s="171">
        <f ca="1">IF(OR($D152&lt;&gt;"Serviço",AND(AUTOEVENTO="Manual",$M152=$A$15)),0,
         IF(OFFSET(CRONOPLE!$F$15,$M152-$A$15,CA$13)=0,10^12,OFFSET(CRONOPLE!$F$15,$M152-$A$15,CA$13)))</f>
        <v>9</v>
      </c>
      <c r="CB152" s="171">
        <f ca="1">IF(OR($D152&lt;&gt;"Serviço",AND(AUTOEVENTO="Manual",$M152=$A$15)),0,
         IF(OFFSET(CRONOPLE!$F$15,$M152-$A$15,CB$13)=0,10^12,OFFSET(CRONOPLE!$F$15,$M152-$A$15,CB$13)))</f>
        <v>10</v>
      </c>
      <c r="CC152" s="171">
        <f ca="1">IF(OR($D152&lt;&gt;"Serviço",AND(AUTOEVENTO="Manual",$M152=$A$15)),0,
         IF(OFFSET(CRONOPLE!$F$15,$M152-$A$15,CC$13)=0,10^12,OFFSET(CRONOPLE!$F$15,$M152-$A$15,CC$13)))</f>
        <v>11</v>
      </c>
      <c r="CD152" s="171">
        <f ca="1">IF(OR($D152&lt;&gt;"Serviço",AND(AUTOEVENTO="Manual",$M152=$A$15)),0,
         IF(OFFSET(CRONOPLE!$F$15,$M152-$A$15,CD$13)=0,10^12,OFFSET(CRONOPLE!$F$15,$M152-$A$15,CD$13)))</f>
        <v>12</v>
      </c>
      <c r="CE152" s="171">
        <f ca="1">IF(OR($D152&lt;&gt;"Serviço",AND(AUTOEVENTO="Manual",$M152=$A$15)),0,
         IF(OFFSET(CRONOPLE!$F$15,$M152-$A$15,CE$13)=0,10^12,OFFSET(CRONOPLE!$F$15,$M152-$A$15,CE$13)))</f>
        <v>13</v>
      </c>
      <c r="CF152" s="171">
        <f ca="1">IF(OR($D152&lt;&gt;"Serviço",AND(AUTOEVENTO="Manual",$M152=$A$15)),0,
         IF(OFFSET(CRONOPLE!$F$15,$M152-$A$15,CF$13)=0,10^12,OFFSET(CRONOPLE!$F$15,$M152-$A$15,CF$13)))</f>
        <v>14</v>
      </c>
      <c r="CG152" s="171">
        <f ca="1">IF(OR($D152&lt;&gt;"Serviço",AND(AUTOEVENTO="Manual",$M152=$A$15)),0,
         IF(OFFSET(CRONOPLE!$F$15,$M152-$A$15,CG$13)=0,10^12,OFFSET(CRONOPLE!$F$15,$M152-$A$15,CG$13)))</f>
        <v>15</v>
      </c>
      <c r="CH152" s="171">
        <f ca="1">IF(OR($D152&lt;&gt;"Serviço",AND(AUTOEVENTO="Manual",$M152=$A$15)),0,
         IF(OFFSET(CRONOPLE!$F$15,$M152-$A$15,CH$13)=0,10^12,OFFSET(CRONOPLE!$F$15,$M152-$A$15,CH$13)))</f>
        <v>16</v>
      </c>
      <c r="CI152" s="171">
        <f ca="1">IF(OR($D152&lt;&gt;"Serviço",AND(AUTOEVENTO="Manual",$M152=$A$15)),0,
         IF(OFFSET(CRONOPLE!$F$15,$M152-$A$15,CI$13)=0,10^12,OFFSET(CRONOPLE!$F$15,$M152-$A$15,CI$13)))</f>
        <v>17</v>
      </c>
      <c r="CJ152" s="171">
        <f ca="1">IF(OR($D152&lt;&gt;"Serviço",AND(AUTOEVENTO="Manual",$M152=$A$15)),0,
         IF(OFFSET(CRONOPLE!$F$15,$M152-$A$15,CJ$13)=0,10^12,OFFSET(CRONOPLE!$F$15,$M152-$A$15,CJ$13)))</f>
        <v>18</v>
      </c>
      <c r="CK152" s="171">
        <f ca="1">IF(OR($D152&lt;&gt;"Serviço",AND(AUTOEVENTO="Manual",$M152=$A$15)),0,
         IF(OFFSET(CRONOPLE!$F$15,$M152-$A$15,CK$13)=0,10^12,OFFSET(CRONOPLE!$F$15,$M152-$A$15,CK$13)))</f>
        <v>19</v>
      </c>
      <c r="CL152" s="171">
        <f ca="1">IF(OR($D152&lt;&gt;"Serviço",AND(AUTOEVENTO="Manual",$M152=$A$15)),0,
         IF(OFFSET(CRONOPLE!$F$15,$M152-$A$15,CL$13)=0,10^12,OFFSET(CRONOPLE!$F$15,$M152-$A$15,CL$13)))</f>
        <v>20</v>
      </c>
      <c r="CM152" s="171">
        <f ca="1">IF(OR($D152&lt;&gt;"Serviço",AND(AUTOEVENTO="Manual",$M152=$A$15)),0,
         IF(OFFSET(CRONOPLE!$F$15,$M152-$A$15,CM$13)=0,10^12,OFFSET(CRONOPLE!$F$15,$M152-$A$15,CM$13)))</f>
        <v>1000000000000</v>
      </c>
      <c r="CN152" s="171">
        <f ca="1">IF(OR($D152&lt;&gt;"Serviço",AND(AUTOEVENTO="Manual",$M152=$A$15)),0,
         IF(OFFSET(CRONOPLE!$F$15,$M152-$A$15,CN$13)=0,10^12,OFFSET(CRONOPLE!$F$15,$M152-$A$15,CN$13)))</f>
        <v>1000000000000</v>
      </c>
      <c r="CO152" s="171">
        <f ca="1">IF(OR($D152&lt;&gt;"Serviço",AND(AUTOEVENTO="Manual",$M152=$A$15)),0,
         IF(OFFSET(CRONOPLE!$F$15,$M152-$A$15,CO$13)=0,10^12,OFFSET(CRONOPLE!$F$15,$M152-$A$15,CO$13)))</f>
        <v>1000000000000</v>
      </c>
      <c r="CP152" s="171">
        <f ca="1">IF(OR($D152&lt;&gt;"Serviço",AND(AUTOEVENTO="Manual",$M152=$A$15)),0,
         IF(OFFSET(CRONOPLE!$F$15,$M152-$A$15,CP$13)=0,10^12,OFFSET(CRONOPLE!$F$15,$M152-$A$15,CP$13)))</f>
        <v>1000000000000</v>
      </c>
      <c r="CQ152" s="171">
        <f ca="1">IF(OR($D152&lt;&gt;"Serviço",AND(AUTOEVENTO="Manual",$M152=$A$15)),0,
         IF(OFFSET(CRONOPLE!$F$15,$M152-$A$15,CQ$13)=0,10^12,OFFSET(CRONOPLE!$F$15,$M152-$A$15,CQ$13)))</f>
        <v>1000000000000</v>
      </c>
      <c r="CR152" s="171">
        <f ca="1">IF(OR($D152&lt;&gt;"Serviço",AND(AUTOEVENTO="Manual",$M152=$A$15)),0,
         IF(OFFSET(CRONOPLE!$F$15,$M152-$A$15,CR$13)=0,10^12,OFFSET(CRONOPLE!$F$15,$M152-$A$15,CR$13)))</f>
        <v>1000000000000</v>
      </c>
      <c r="CT152" s="172" cm="1">
        <f t="array" aca="1" ref="CT152" ca="1">IF(OR($D152&lt;&gt;"Serviço",AND(AUTOEVENTO="Manual",$M152=$A$15),$M152&gt;(ROW(PLE.lastrow)-ROW(PLE.firstrow))),0,
           IF(OFFSET(PLE!$G$15,$M152-$A$15,CT$13)="",10^12,OFFSET(PLE!$G$15,$M152-$A$15,CT$13)))</f>
        <v>1000000000000</v>
      </c>
      <c r="CU152" s="172" cm="1">
        <f t="array" aca="1" ref="CU152" ca="1">IF(OR($D152&lt;&gt;"Serviço",AND(AUTOEVENTO="Manual",$M152=$A$15),$M152&gt;(ROW(PLE.lastrow)-ROW(PLE.firstrow))),0,
           IF(OFFSET(PLE!$G$15,$M152-$A$15,CU$13)="",10^12,OFFSET(PLE!$G$15,$M152-$A$15,CU$13)))</f>
        <v>1000000000000</v>
      </c>
      <c r="CV152" s="172" cm="1">
        <f t="array" aca="1" ref="CV152" ca="1">IF(OR($D152&lt;&gt;"Serviço",AND(AUTOEVENTO="Manual",$M152=$A$15),$M152&gt;(ROW(PLE.lastrow)-ROW(PLE.firstrow))),0,
           IF(OFFSET(PLE!$G$15,$M152-$A$15,CV$13)="",10^12,OFFSET(PLE!$G$15,$M152-$A$15,CV$13)))</f>
        <v>1000000000000</v>
      </c>
      <c r="CW152" s="172" cm="1">
        <f t="array" aca="1" ref="CW152" ca="1">IF(OR($D152&lt;&gt;"Serviço",AND(AUTOEVENTO="Manual",$M152=$A$15),$M152&gt;(ROW(PLE.lastrow)-ROW(PLE.firstrow))),0,
           IF(OFFSET(PLE!$G$15,$M152-$A$15,CW$13)="",10^12,OFFSET(PLE!$G$15,$M152-$A$15,CW$13)))</f>
        <v>1000000000000</v>
      </c>
      <c r="CX152" s="172" cm="1">
        <f t="array" aca="1" ref="CX152" ca="1">IF(OR($D152&lt;&gt;"Serviço",AND(AUTOEVENTO="Manual",$M152=$A$15),$M152&gt;(ROW(PLE.lastrow)-ROW(PLE.firstrow))),0,
           IF(OFFSET(PLE!$G$15,$M152-$A$15,CX$13)="",10^12,OFFSET(PLE!$G$15,$M152-$A$15,CX$13)))</f>
        <v>1000000000000</v>
      </c>
      <c r="CY152" s="172" cm="1">
        <f t="array" aca="1" ref="CY152" ca="1">IF(OR($D152&lt;&gt;"Serviço",AND(AUTOEVENTO="Manual",$M152=$A$15),$M152&gt;(ROW(PLE.lastrow)-ROW(PLE.firstrow))),0,
           IF(OFFSET(PLE!$G$15,$M152-$A$15,CY$13)="",10^12,OFFSET(PLE!$G$15,$M152-$A$15,CY$13)))</f>
        <v>1000000000000</v>
      </c>
      <c r="CZ152" s="172" cm="1">
        <f t="array" aca="1" ref="CZ152" ca="1">IF(OR($D152&lt;&gt;"Serviço",AND(AUTOEVENTO="Manual",$M152=$A$15),$M152&gt;(ROW(PLE.lastrow)-ROW(PLE.firstrow))),0,
           IF(OFFSET(PLE!$G$15,$M152-$A$15,CZ$13)="",10^12,OFFSET(PLE!$G$15,$M152-$A$15,CZ$13)))</f>
        <v>1000000000000</v>
      </c>
      <c r="DA152" s="172" cm="1">
        <f t="array" aca="1" ref="DA152" ca="1">IF(OR($D152&lt;&gt;"Serviço",AND(AUTOEVENTO="Manual",$M152=$A$15),$M152&gt;(ROW(PLE.lastrow)-ROW(PLE.firstrow))),0,
           IF(OFFSET(PLE!$G$15,$M152-$A$15,DA$13)="",10^12,OFFSET(PLE!$G$15,$M152-$A$15,DA$13)))</f>
        <v>1000000000000</v>
      </c>
      <c r="DB152" s="172" cm="1">
        <f t="array" aca="1" ref="DB152" ca="1">IF(OR($D152&lt;&gt;"Serviço",AND(AUTOEVENTO="Manual",$M152=$A$15),$M152&gt;(ROW(PLE.lastrow)-ROW(PLE.firstrow))),0,
           IF(OFFSET(PLE!$G$15,$M152-$A$15,DB$13)="",10^12,OFFSET(PLE!$G$15,$M152-$A$15,DB$13)))</f>
        <v>1000000000000</v>
      </c>
      <c r="DC152" s="172" cm="1">
        <f t="array" aca="1" ref="DC152" ca="1">IF(OR($D152&lt;&gt;"Serviço",AND(AUTOEVENTO="Manual",$M152=$A$15),$M152&gt;(ROW(PLE.lastrow)-ROW(PLE.firstrow))),0,
           IF(OFFSET(PLE!$G$15,$M152-$A$15,DC$13)="",10^12,OFFSET(PLE!$G$15,$M152-$A$15,DC$13)))</f>
        <v>1000000000000</v>
      </c>
      <c r="DD152" s="172" cm="1">
        <f t="array" aca="1" ref="DD152" ca="1">IF(OR($D152&lt;&gt;"Serviço",AND(AUTOEVENTO="Manual",$M152=$A$15),$M152&gt;(ROW(PLE.lastrow)-ROW(PLE.firstrow))),0,
           IF(OFFSET(PLE!$G$15,$M152-$A$15,DD$13)="",10^12,OFFSET(PLE!$G$15,$M152-$A$15,DD$13)))</f>
        <v>1000000000000</v>
      </c>
      <c r="DE152" s="172" cm="1">
        <f t="array" aca="1" ref="DE152" ca="1">IF(OR($D152&lt;&gt;"Serviço",AND(AUTOEVENTO="Manual",$M152=$A$15),$M152&gt;(ROW(PLE.lastrow)-ROW(PLE.firstrow))),0,
           IF(OFFSET(PLE!$G$15,$M152-$A$15,DE$13)="",10^12,OFFSET(PLE!$G$15,$M152-$A$15,DE$13)))</f>
        <v>1000000000000</v>
      </c>
      <c r="DF152" s="172" cm="1">
        <f t="array" aca="1" ref="DF152" ca="1">IF(OR($D152&lt;&gt;"Serviço",AND(AUTOEVENTO="Manual",$M152=$A$15),$M152&gt;(ROW(PLE.lastrow)-ROW(PLE.firstrow))),0,
           IF(OFFSET(PLE!$G$15,$M152-$A$15,DF$13)="",10^12,OFFSET(PLE!$G$15,$M152-$A$15,DF$13)))</f>
        <v>1000000000000</v>
      </c>
      <c r="DG152" s="172" cm="1">
        <f t="array" aca="1" ref="DG152" ca="1">IF(OR($D152&lt;&gt;"Serviço",AND(AUTOEVENTO="Manual",$M152=$A$15),$M152&gt;(ROW(PLE.lastrow)-ROW(PLE.firstrow))),0,
           IF(OFFSET(PLE!$G$15,$M152-$A$15,DG$13)="",10^12,OFFSET(PLE!$G$15,$M152-$A$15,DG$13)))</f>
        <v>1000000000000</v>
      </c>
      <c r="DH152" s="172" cm="1">
        <f t="array" aca="1" ref="DH152" ca="1">IF(OR($D152&lt;&gt;"Serviço",AND(AUTOEVENTO="Manual",$M152=$A$15),$M152&gt;(ROW(PLE.lastrow)-ROW(PLE.firstrow))),0,
           IF(OFFSET(PLE!$G$15,$M152-$A$15,DH$13)="",10^12,OFFSET(PLE!$G$15,$M152-$A$15,DH$13)))</f>
        <v>1000000000000</v>
      </c>
      <c r="DI152" s="172" cm="1">
        <f t="array" aca="1" ref="DI152" ca="1">IF(OR($D152&lt;&gt;"Serviço",AND(AUTOEVENTO="Manual",$M152=$A$15),$M152&gt;(ROW(PLE.lastrow)-ROW(PLE.firstrow))),0,
           IF(OFFSET(PLE!$G$15,$M152-$A$15,DI$13)="",10^12,OFFSET(PLE!$G$15,$M152-$A$15,DI$13)))</f>
        <v>1000000000000</v>
      </c>
      <c r="DJ152" s="172" cm="1">
        <f t="array" aca="1" ref="DJ152" ca="1">IF(OR($D152&lt;&gt;"Serviço",AND(AUTOEVENTO="Manual",$M152=$A$15),$M152&gt;(ROW(PLE.lastrow)-ROW(PLE.firstrow))),0,
           IF(OFFSET(PLE!$G$15,$M152-$A$15,DJ$13)="",10^12,OFFSET(PLE!$G$15,$M152-$A$15,DJ$13)))</f>
        <v>1000000000000</v>
      </c>
      <c r="DK152" s="172" cm="1">
        <f t="array" aca="1" ref="DK152" ca="1">IF(OR($D152&lt;&gt;"Serviço",AND(AUTOEVENTO="Manual",$M152=$A$15),$M152&gt;(ROW(PLE.lastrow)-ROW(PLE.firstrow))),0,
           IF(OFFSET(PLE!$G$15,$M152-$A$15,DK$13)="",10^12,OFFSET(PLE!$G$15,$M152-$A$15,DK$13)))</f>
        <v>1000000000000</v>
      </c>
      <c r="DL152" s="172" cm="1">
        <f t="array" aca="1" ref="DL152" ca="1">IF(OR($D152&lt;&gt;"Serviço",AND(AUTOEVENTO="Manual",$M152=$A$15),$M152&gt;(ROW(PLE.lastrow)-ROW(PLE.firstrow))),0,
           IF(OFFSET(PLE!$G$15,$M152-$A$15,DL$13)="",10^12,OFFSET(PLE!$G$15,$M152-$A$15,DL$13)))</f>
        <v>1000000000000</v>
      </c>
      <c r="DM152" s="172" cm="1">
        <f t="array" aca="1" ref="DM152" ca="1">IF(OR($D152&lt;&gt;"Serviço",AND(AUTOEVENTO="Manual",$M152=$A$15),$M152&gt;(ROW(PLE.lastrow)-ROW(PLE.firstrow))),0,
           IF(OFFSET(PLE!$G$15,$M152-$A$15,DM$13)="",10^12,OFFSET(PLE!$G$15,$M152-$A$15,DM$13)))</f>
        <v>1000000000000</v>
      </c>
      <c r="DN152" s="172" cm="1">
        <f t="array" aca="1" ref="DN152" ca="1">IF(OR($D152&lt;&gt;"Serviço",AND(AUTOEVENTO="Manual",$M152=$A$15),$M152&gt;(ROW(PLE.lastrow)-ROW(PLE.firstrow))),0,
           IF(OFFSET(PLE!$G$15,$M152-$A$15,DN$13)="",10^12,OFFSET(PLE!$G$15,$M152-$A$15,DN$13)))</f>
        <v>1000000000000</v>
      </c>
      <c r="DO152" s="172" cm="1">
        <f t="array" aca="1" ref="DO152" ca="1">IF(OR($D152&lt;&gt;"Serviço",AND(AUTOEVENTO="Manual",$M152=$A$15),$M152&gt;(ROW(PLE.lastrow)-ROW(PLE.firstrow))),0,
           IF(OFFSET(PLE!$G$15,$M152-$A$15,DO$13)="",10^12,OFFSET(PLE!$G$15,$M152-$A$15,DO$13)))</f>
        <v>1000000000000</v>
      </c>
      <c r="DP152" s="172" cm="1">
        <f t="array" aca="1" ref="DP152" ca="1">IF(OR($D152&lt;&gt;"Serviço",AND(AUTOEVENTO="Manual",$M152=$A$15),$M152&gt;(ROW(PLE.lastrow)-ROW(PLE.firstrow))),0,
           IF(OFFSET(PLE!$G$15,$M152-$A$15,DP$13)="",10^12,OFFSET(PLE!$G$15,$M152-$A$15,DP$13)))</f>
        <v>1000000000000</v>
      </c>
      <c r="DQ152" s="172" cm="1">
        <f t="array" aca="1" ref="DQ152" ca="1">IF(OR($D152&lt;&gt;"Serviço",AND(AUTOEVENTO="Manual",$M152=$A$15),$M152&gt;(ROW(PLE.lastrow)-ROW(PLE.firstrow))),0,
           IF(OFFSET(PLE!$G$15,$M152-$A$15,DQ$13)="",10^12,OFFSET(PLE!$G$15,$M152-$A$15,DQ$13)))</f>
        <v>1000000000000</v>
      </c>
      <c r="DR152" s="172" cm="1">
        <f t="array" aca="1" ref="DR152" ca="1">IF(OR($D152&lt;&gt;"Serviço",AND(AUTOEVENTO="Manual",$M152=$A$15),$M152&gt;(ROW(PLE.lastrow)-ROW(PLE.firstrow))),0,
           IF(OFFSET(PLE!$G$15,$M152-$A$15,DR$13)="",10^12,OFFSET(PLE!$G$15,$M152-$A$15,DR$13)))</f>
        <v>1000000000000</v>
      </c>
      <c r="DS152" s="172" cm="1">
        <f t="array" aca="1" ref="DS152" ca="1">IF(OR($D152&lt;&gt;"Serviço",AND(AUTOEVENTO="Manual",$M152=$A$15),$M152&gt;(ROW(PLE.lastrow)-ROW(PLE.firstrow))),0,
           IF(OFFSET(PLE!$G$15,$M152-$A$15,DS$13)="",10^12,OFFSET(PLE!$G$15,$M152-$A$15,DS$13)))</f>
        <v>1000000000000</v>
      </c>
    </row>
    <row r="153" spans="1:123" ht="38.25" x14ac:dyDescent="0.2">
      <c r="A153" s="7">
        <f t="shared" ca="1" si="16"/>
        <v>9</v>
      </c>
      <c r="B153" s="7" t="str">
        <f ca="1">OFFSET(ORÇAMENTO!C$15,$L153,0)</f>
        <v>S</v>
      </c>
      <c r="C153" s="7" t="str">
        <f ca="1">OFFSET(ORÇAMENTO!L$15,$L153,0)</f>
        <v/>
      </c>
      <c r="D153" s="116" t="str">
        <f ca="1">OFFSET(ORÇAMENTO!N$15,$L153,0)</f>
        <v>Serviço</v>
      </c>
      <c r="E153" s="117" t="str">
        <f ca="1">OFFSET(ORÇAMENTO!O$15,$L153,0)</f>
        <v>-</v>
      </c>
      <c r="F153" s="163" t="str">
        <f ca="1">OFFSET(ORÇAMENTO!R$15,$L153,0)</f>
        <v>(Código não identificado nas referências)</v>
      </c>
      <c r="G153" s="164" t="str">
        <f ca="1">IF($D153&lt;&gt;"Serviço","",OFFSET(ORÇAMENTO!S$15,$L153,0))</f>
        <v>-</v>
      </c>
      <c r="H153" s="122" cm="1">
        <f t="array" aca="1" ref="H153" ca="1">IF($D153&lt;&gt;"Serviço",0,IF(ACOMPANHAMENTO="BM",ROUND(OFFSET(ORÇAMENTO!AJ$15,$L153,0),15-13*ORÇAMENTO!$AF$7),IF(IFERROR(CÁLCULO.FrentesPreenchidas,0)=0,0,SUM(ROUND(OFFSET($P153,0,1,1,CÁLCULO.FrentesPreenchidas),15-13*ORÇAMENTO!$AF$7)))))</f>
        <v>260</v>
      </c>
      <c r="I153" s="468" t="s">
        <v>1235</v>
      </c>
      <c r="J153" s="651" t="str" cm="1">
        <f t="array" aca="1" ref="J153" ca="1">IF(OR(B153&lt;&gt;"S",CÁLCULO.FrentesPreenchidas=0),"",IF(AND(ACOMPANHAMENTO="PLE",AUTOEVENTO="Manual",OR(H153&gt;0,ORÇAMENTO!AC153="QUANT."),OR(K153="",M153=0,N153="")),"►E",IF(AND(ACOMPANHAMENTO="PLE",ORÇAMENTO!AC153="QUANT."),"►Q",IF(AND(ACOMPANHAMENTO="PLE",H153&lt;&gt;SUMPRODUCT(($Q$1:$AQ$1=1)*ROUND(Q153:AQ153,15))),"►S",IF(AND(COUNTIF($P$11:$AQ$11,"▼")=0,H153&gt;0,I153=""),"◄M","")))))</f>
        <v/>
      </c>
      <c r="K153" s="652" t="s">
        <v>1257</v>
      </c>
      <c r="L153" s="165">
        <f t="shared" ca="1" si="17"/>
        <v>138</v>
      </c>
      <c r="M153" s="166">
        <f ca="1">IF($D153&lt;&gt;"Serviço","",
          IF(AUTOEVENTO="manual",$A153,
                IF(ISERROR(MATCH($A153,$A$15:OFFSET($A153,-1,0),0)),MAX($M$15:OFFSET(M153,-1,0))+1,
                      INDEX($M$15:OFFSET(M153,-1,0),MATCH($A153,$A$15:OFFSET($A153,-1,0),0)))))</f>
        <v>9</v>
      </c>
      <c r="N153" s="167" t="str">
        <f ca="1">IF($D153&lt;&gt;"Serviço","",
         IF(AUTOEVENTO="Manual",
                IF($A153=0,"&lt;-- defina o número do agrupador",
                       OFFSET(EVENTOS!$D$15,$A153-$A$15,0)),
                OFFSET($F$15,$A153,0)))</f>
        <v>INSTALAÇÕES</v>
      </c>
      <c r="O153" s="168"/>
      <c r="Q153" s="168">
        <v>13</v>
      </c>
      <c r="R153" s="169">
        <v>13</v>
      </c>
      <c r="S153" s="169">
        <v>13</v>
      </c>
      <c r="T153" s="169">
        <v>13</v>
      </c>
      <c r="U153" s="169">
        <v>13</v>
      </c>
      <c r="V153" s="169">
        <v>13</v>
      </c>
      <c r="W153" s="169">
        <v>13</v>
      </c>
      <c r="X153" s="169">
        <v>13</v>
      </c>
      <c r="Y153" s="169">
        <v>13</v>
      </c>
      <c r="Z153" s="170">
        <v>13</v>
      </c>
      <c r="AA153" s="169">
        <v>13</v>
      </c>
      <c r="AB153" s="169">
        <v>13</v>
      </c>
      <c r="AC153" s="169">
        <v>13</v>
      </c>
      <c r="AD153" s="169">
        <v>13</v>
      </c>
      <c r="AE153" s="169">
        <v>13</v>
      </c>
      <c r="AF153" s="169">
        <v>13</v>
      </c>
      <c r="AG153" s="169">
        <v>13</v>
      </c>
      <c r="AH153" s="170">
        <v>13</v>
      </c>
      <c r="AI153" s="169">
        <v>13</v>
      </c>
      <c r="AJ153" s="169">
        <v>13</v>
      </c>
      <c r="AK153" s="169"/>
      <c r="AL153" s="169"/>
      <c r="AM153" s="169"/>
      <c r="AN153" s="169"/>
      <c r="AO153" s="169"/>
      <c r="AP153" s="170"/>
      <c r="AR153" s="453">
        <f ca="1">IF(AND($D153="Serviço",AR$12&lt;&gt;0,$H153&gt;0,OR(AUTOEVENTO&lt;&gt;"manual",$M153&lt;&gt;$A$15)),
        IF(Import.TipoArredondamento&lt;&gt;"TransfereGOV",
              ROUND(OFFSET($P153,0,AR$13),15-13*ORÇAMENTO!$AF$7)/$H153*OFFSET(ORÇAMENTO!$X$15,ROW(AR153)-ROW(AR$15),0),
              ROUND(ROUND(OFFSET($P153,0,AR$13),15-13*ORÇAMENTO!$AF$7)*OFFSET(ORÇAMENTO!$W$15,ROW(AR153)-ROW(AR$15),0),15-13*ORÇAMENTO!$AF$11)),
         0)</f>
        <v>0</v>
      </c>
      <c r="AS153" s="453">
        <f ca="1">IF(AND($D153="Serviço",AS$12&lt;&gt;0,$H153&gt;0,OR(AUTOEVENTO&lt;&gt;"manual",$M153&lt;&gt;$A$15)),
        IF(Import.TipoArredondamento&lt;&gt;"TransfereGOV",
              ROUND(OFFSET($P153,0,AS$13),15-13*ORÇAMENTO!$AF$7)/$H153*OFFSET(ORÇAMENTO!$X$15,ROW(AS153)-ROW(AS$15),0),
              ROUND(ROUND(OFFSET($P153,0,AS$13),15-13*ORÇAMENTO!$AF$7)*OFFSET(ORÇAMENTO!$W$15,ROW(AS153)-ROW(AS$15),0),15-13*ORÇAMENTO!$AF$11)),
         0)</f>
        <v>0</v>
      </c>
      <c r="AT153" s="453">
        <f ca="1">IF(AND($D153="Serviço",AT$12&lt;&gt;0,$H153&gt;0,OR(AUTOEVENTO&lt;&gt;"manual",$M153&lt;&gt;$A$15)),
        IF(Import.TipoArredondamento&lt;&gt;"TransfereGOV",
              ROUND(OFFSET($P153,0,AT$13),15-13*ORÇAMENTO!$AF$7)/$H153*OFFSET(ORÇAMENTO!$X$15,ROW(AT153)-ROW(AT$15),0),
              ROUND(ROUND(OFFSET($P153,0,AT$13),15-13*ORÇAMENTO!$AF$7)*OFFSET(ORÇAMENTO!$W$15,ROW(AT153)-ROW(AT$15),0),15-13*ORÇAMENTO!$AF$11)),
         0)</f>
        <v>0</v>
      </c>
      <c r="AU153" s="453">
        <f ca="1">IF(AND($D153="Serviço",AU$12&lt;&gt;0,$H153&gt;0,OR(AUTOEVENTO&lt;&gt;"manual",$M153&lt;&gt;$A$15)),
        IF(Import.TipoArredondamento&lt;&gt;"TransfereGOV",
              ROUND(OFFSET($P153,0,AU$13),15-13*ORÇAMENTO!$AF$7)/$H153*OFFSET(ORÇAMENTO!$X$15,ROW(AU153)-ROW(AU$15),0),
              ROUND(ROUND(OFFSET($P153,0,AU$13),15-13*ORÇAMENTO!$AF$7)*OFFSET(ORÇAMENTO!$W$15,ROW(AU153)-ROW(AU$15),0),15-13*ORÇAMENTO!$AF$11)),
         0)</f>
        <v>0</v>
      </c>
      <c r="AV153" s="453">
        <f ca="1">IF(AND($D153="Serviço",AV$12&lt;&gt;0,$H153&gt;0,OR(AUTOEVENTO&lt;&gt;"manual",$M153&lt;&gt;$A$15)),
        IF(Import.TipoArredondamento&lt;&gt;"TransfereGOV",
              ROUND(OFFSET($P153,0,AV$13),15-13*ORÇAMENTO!$AF$7)/$H153*OFFSET(ORÇAMENTO!$X$15,ROW(AV153)-ROW(AV$15),0),
              ROUND(ROUND(OFFSET($P153,0,AV$13),15-13*ORÇAMENTO!$AF$7)*OFFSET(ORÇAMENTO!$W$15,ROW(AV153)-ROW(AV$15),0),15-13*ORÇAMENTO!$AF$11)),
         0)</f>
        <v>0</v>
      </c>
      <c r="AW153" s="453">
        <f ca="1">IF(AND($D153="Serviço",AW$12&lt;&gt;0,$H153&gt;0,OR(AUTOEVENTO&lt;&gt;"manual",$M153&lt;&gt;$A$15)),
        IF(Import.TipoArredondamento&lt;&gt;"TransfereGOV",
              ROUND(OFFSET($P153,0,AW$13),15-13*ORÇAMENTO!$AF$7)/$H153*OFFSET(ORÇAMENTO!$X$15,ROW(AW153)-ROW(AW$15),0),
              ROUND(ROUND(OFFSET($P153,0,AW$13),15-13*ORÇAMENTO!$AF$7)*OFFSET(ORÇAMENTO!$W$15,ROW(AW153)-ROW(AW$15),0),15-13*ORÇAMENTO!$AF$11)),
         0)</f>
        <v>0</v>
      </c>
      <c r="AX153" s="453">
        <f ca="1">IF(AND($D153="Serviço",AX$12&lt;&gt;0,$H153&gt;0,OR(AUTOEVENTO&lt;&gt;"manual",$M153&lt;&gt;$A$15)),
        IF(Import.TipoArredondamento&lt;&gt;"TransfereGOV",
              ROUND(OFFSET($P153,0,AX$13),15-13*ORÇAMENTO!$AF$7)/$H153*OFFSET(ORÇAMENTO!$X$15,ROW(AX153)-ROW(AX$15),0),
              ROUND(ROUND(OFFSET($P153,0,AX$13),15-13*ORÇAMENTO!$AF$7)*OFFSET(ORÇAMENTO!$W$15,ROW(AX153)-ROW(AX$15),0),15-13*ORÇAMENTO!$AF$11)),
         0)</f>
        <v>0</v>
      </c>
      <c r="AY153" s="453">
        <f ca="1">IF(AND($D153="Serviço",AY$12&lt;&gt;0,$H153&gt;0,OR(AUTOEVENTO&lt;&gt;"manual",$M153&lt;&gt;$A$15)),
        IF(Import.TipoArredondamento&lt;&gt;"TransfereGOV",
              ROUND(OFFSET($P153,0,AY$13),15-13*ORÇAMENTO!$AF$7)/$H153*OFFSET(ORÇAMENTO!$X$15,ROW(AY153)-ROW(AY$15),0),
              ROUND(ROUND(OFFSET($P153,0,AY$13),15-13*ORÇAMENTO!$AF$7)*OFFSET(ORÇAMENTO!$W$15,ROW(AY153)-ROW(AY$15),0),15-13*ORÇAMENTO!$AF$11)),
         0)</f>
        <v>0</v>
      </c>
      <c r="AZ153" s="453">
        <f ca="1">IF(AND($D153="Serviço",AZ$12&lt;&gt;0,$H153&gt;0,OR(AUTOEVENTO&lt;&gt;"manual",$M153&lt;&gt;$A$15)),
        IF(Import.TipoArredondamento&lt;&gt;"TransfereGOV",
              ROUND(OFFSET($P153,0,AZ$13),15-13*ORÇAMENTO!$AF$7)/$H153*OFFSET(ORÇAMENTO!$X$15,ROW(AZ153)-ROW(AZ$15),0),
              ROUND(ROUND(OFFSET($P153,0,AZ$13),15-13*ORÇAMENTO!$AF$7)*OFFSET(ORÇAMENTO!$W$15,ROW(AZ153)-ROW(AZ$15),0),15-13*ORÇAMENTO!$AF$11)),
         0)</f>
        <v>0</v>
      </c>
      <c r="BA153" s="453">
        <f ca="1">IF(AND($D153="Serviço",BA$12&lt;&gt;0,$H153&gt;0,OR(AUTOEVENTO&lt;&gt;"manual",$M153&lt;&gt;$A$15)),
        IF(Import.TipoArredondamento&lt;&gt;"TransfereGOV",
              ROUND(OFFSET($P153,0,BA$13),15-13*ORÇAMENTO!$AF$7)/$H153*OFFSET(ORÇAMENTO!$X$15,ROW(BA153)-ROW(BA$15),0),
              ROUND(ROUND(OFFSET($P153,0,BA$13),15-13*ORÇAMENTO!$AF$7)*OFFSET(ORÇAMENTO!$W$15,ROW(BA153)-ROW(BA$15),0),15-13*ORÇAMENTO!$AF$11)),
         0)</f>
        <v>0</v>
      </c>
      <c r="BB153" s="453">
        <f ca="1">IF(AND($D153="Serviço",BB$12&lt;&gt;0,$H153&gt;0,OR(AUTOEVENTO&lt;&gt;"manual",$M153&lt;&gt;$A$15)),
        IF(Import.TipoArredondamento&lt;&gt;"TransfereGOV",
              ROUND(OFFSET($P153,0,BB$13),15-13*ORÇAMENTO!$AF$7)/$H153*OFFSET(ORÇAMENTO!$X$15,ROW(BB153)-ROW(BB$15),0),
              ROUND(ROUND(OFFSET($P153,0,BB$13),15-13*ORÇAMENTO!$AF$7)*OFFSET(ORÇAMENTO!$W$15,ROW(BB153)-ROW(BB$15),0),15-13*ORÇAMENTO!$AF$11)),
         0)</f>
        <v>0</v>
      </c>
      <c r="BC153" s="453">
        <f ca="1">IF(AND($D153="Serviço",BC$12&lt;&gt;0,$H153&gt;0,OR(AUTOEVENTO&lt;&gt;"manual",$M153&lt;&gt;$A$15)),
        IF(Import.TipoArredondamento&lt;&gt;"TransfereGOV",
              ROUND(OFFSET($P153,0,BC$13),15-13*ORÇAMENTO!$AF$7)/$H153*OFFSET(ORÇAMENTO!$X$15,ROW(BC153)-ROW(BC$15),0),
              ROUND(ROUND(OFFSET($P153,0,BC$13),15-13*ORÇAMENTO!$AF$7)*OFFSET(ORÇAMENTO!$W$15,ROW(BC153)-ROW(BC$15),0),15-13*ORÇAMENTO!$AF$11)),
         0)</f>
        <v>0</v>
      </c>
      <c r="BD153" s="453">
        <f ca="1">IF(AND($D153="Serviço",BD$12&lt;&gt;0,$H153&gt;0,OR(AUTOEVENTO&lt;&gt;"manual",$M153&lt;&gt;$A$15)),
        IF(Import.TipoArredondamento&lt;&gt;"TransfereGOV",
              ROUND(OFFSET($P153,0,BD$13),15-13*ORÇAMENTO!$AF$7)/$H153*OFFSET(ORÇAMENTO!$X$15,ROW(BD153)-ROW(BD$15),0),
              ROUND(ROUND(OFFSET($P153,0,BD$13),15-13*ORÇAMENTO!$AF$7)*OFFSET(ORÇAMENTO!$W$15,ROW(BD153)-ROW(BD$15),0),15-13*ORÇAMENTO!$AF$11)),
         0)</f>
        <v>0</v>
      </c>
      <c r="BE153" s="453">
        <f ca="1">IF(AND($D153="Serviço",BE$12&lt;&gt;0,$H153&gt;0,OR(AUTOEVENTO&lt;&gt;"manual",$M153&lt;&gt;$A$15)),
        IF(Import.TipoArredondamento&lt;&gt;"TransfereGOV",
              ROUND(OFFSET($P153,0,BE$13),15-13*ORÇAMENTO!$AF$7)/$H153*OFFSET(ORÇAMENTO!$X$15,ROW(BE153)-ROW(BE$15),0),
              ROUND(ROUND(OFFSET($P153,0,BE$13),15-13*ORÇAMENTO!$AF$7)*OFFSET(ORÇAMENTO!$W$15,ROW(BE153)-ROW(BE$15),0),15-13*ORÇAMENTO!$AF$11)),
         0)</f>
        <v>0</v>
      </c>
      <c r="BF153" s="453">
        <f ca="1">IF(AND($D153="Serviço",BF$12&lt;&gt;0,$H153&gt;0,OR(AUTOEVENTO&lt;&gt;"manual",$M153&lt;&gt;$A$15)),
        IF(Import.TipoArredondamento&lt;&gt;"TransfereGOV",
              ROUND(OFFSET($P153,0,BF$13),15-13*ORÇAMENTO!$AF$7)/$H153*OFFSET(ORÇAMENTO!$X$15,ROW(BF153)-ROW(BF$15),0),
              ROUND(ROUND(OFFSET($P153,0,BF$13),15-13*ORÇAMENTO!$AF$7)*OFFSET(ORÇAMENTO!$W$15,ROW(BF153)-ROW(BF$15),0),15-13*ORÇAMENTO!$AF$11)),
         0)</f>
        <v>0</v>
      </c>
      <c r="BG153" s="453">
        <f ca="1">IF(AND($D153="Serviço",BG$12&lt;&gt;0,$H153&gt;0,OR(AUTOEVENTO&lt;&gt;"manual",$M153&lt;&gt;$A$15)),
        IF(Import.TipoArredondamento&lt;&gt;"TransfereGOV",
              ROUND(OFFSET($P153,0,BG$13),15-13*ORÇAMENTO!$AF$7)/$H153*OFFSET(ORÇAMENTO!$X$15,ROW(BG153)-ROW(BG$15),0),
              ROUND(ROUND(OFFSET($P153,0,BG$13),15-13*ORÇAMENTO!$AF$7)*OFFSET(ORÇAMENTO!$W$15,ROW(BG153)-ROW(BG$15),0),15-13*ORÇAMENTO!$AF$11)),
         0)</f>
        <v>0</v>
      </c>
      <c r="BH153" s="453">
        <f ca="1">IF(AND($D153="Serviço",BH$12&lt;&gt;0,$H153&gt;0,OR(AUTOEVENTO&lt;&gt;"manual",$M153&lt;&gt;$A$15)),
        IF(Import.TipoArredondamento&lt;&gt;"TransfereGOV",
              ROUND(OFFSET($P153,0,BH$13),15-13*ORÇAMENTO!$AF$7)/$H153*OFFSET(ORÇAMENTO!$X$15,ROW(BH153)-ROW(BH$15),0),
              ROUND(ROUND(OFFSET($P153,0,BH$13),15-13*ORÇAMENTO!$AF$7)*OFFSET(ORÇAMENTO!$W$15,ROW(BH153)-ROW(BH$15),0),15-13*ORÇAMENTO!$AF$11)),
         0)</f>
        <v>0</v>
      </c>
      <c r="BI153" s="453">
        <f ca="1">IF(AND($D153="Serviço",BI$12&lt;&gt;0,$H153&gt;0,OR(AUTOEVENTO&lt;&gt;"manual",$M153&lt;&gt;$A$15)),
        IF(Import.TipoArredondamento&lt;&gt;"TransfereGOV",
              ROUND(OFFSET($P153,0,BI$13),15-13*ORÇAMENTO!$AF$7)/$H153*OFFSET(ORÇAMENTO!$X$15,ROW(BI153)-ROW(BI$15),0),
              ROUND(ROUND(OFFSET($P153,0,BI$13),15-13*ORÇAMENTO!$AF$7)*OFFSET(ORÇAMENTO!$W$15,ROW(BI153)-ROW(BI$15),0),15-13*ORÇAMENTO!$AF$11)),
         0)</f>
        <v>0</v>
      </c>
      <c r="BJ153" s="453">
        <f ca="1">IF(AND($D153="Serviço",BJ$12&lt;&gt;0,$H153&gt;0,OR(AUTOEVENTO&lt;&gt;"manual",$M153&lt;&gt;$A$15)),
        IF(Import.TipoArredondamento&lt;&gt;"TransfereGOV",
              ROUND(OFFSET($P153,0,BJ$13),15-13*ORÇAMENTO!$AF$7)/$H153*OFFSET(ORÇAMENTO!$X$15,ROW(BJ153)-ROW(BJ$15),0),
              ROUND(ROUND(OFFSET($P153,0,BJ$13),15-13*ORÇAMENTO!$AF$7)*OFFSET(ORÇAMENTO!$W$15,ROW(BJ153)-ROW(BJ$15),0),15-13*ORÇAMENTO!$AF$11)),
         0)</f>
        <v>0</v>
      </c>
      <c r="BK153" s="453">
        <f ca="1">IF(AND($D153="Serviço",BK$12&lt;&gt;0,$H153&gt;0,OR(AUTOEVENTO&lt;&gt;"manual",$M153&lt;&gt;$A$15)),
        IF(Import.TipoArredondamento&lt;&gt;"TransfereGOV",
              ROUND(OFFSET($P153,0,BK$13),15-13*ORÇAMENTO!$AF$7)/$H153*OFFSET(ORÇAMENTO!$X$15,ROW(BK153)-ROW(BK$15),0),
              ROUND(ROUND(OFFSET($P153,0,BK$13),15-13*ORÇAMENTO!$AF$7)*OFFSET(ORÇAMENTO!$W$15,ROW(BK153)-ROW(BK$15),0),15-13*ORÇAMENTO!$AF$11)),
         0)</f>
        <v>0</v>
      </c>
      <c r="BL153" s="453">
        <f ca="1">IF(AND($D153="Serviço",BL$12&lt;&gt;0,$H153&gt;0,OR(AUTOEVENTO&lt;&gt;"manual",$M153&lt;&gt;$A$15)),
        IF(Import.TipoArredondamento&lt;&gt;"TransfereGOV",
              ROUND(OFFSET($P153,0,BL$13),15-13*ORÇAMENTO!$AF$7)/$H153*OFFSET(ORÇAMENTO!$X$15,ROW(BL153)-ROW(BL$15),0),
              ROUND(ROUND(OFFSET($P153,0,BL$13),15-13*ORÇAMENTO!$AF$7)*OFFSET(ORÇAMENTO!$W$15,ROW(BL153)-ROW(BL$15),0),15-13*ORÇAMENTO!$AF$11)),
         0)</f>
        <v>0</v>
      </c>
      <c r="BM153" s="453">
        <f ca="1">IF(AND($D153="Serviço",BM$12&lt;&gt;0,$H153&gt;0,OR(AUTOEVENTO&lt;&gt;"manual",$M153&lt;&gt;$A$15)),
        IF(Import.TipoArredondamento&lt;&gt;"TransfereGOV",
              ROUND(OFFSET($P153,0,BM$13),15-13*ORÇAMENTO!$AF$7)/$H153*OFFSET(ORÇAMENTO!$X$15,ROW(BM153)-ROW(BM$15),0),
              ROUND(ROUND(OFFSET($P153,0,BM$13),15-13*ORÇAMENTO!$AF$7)*OFFSET(ORÇAMENTO!$W$15,ROW(BM153)-ROW(BM$15),0),15-13*ORÇAMENTO!$AF$11)),
         0)</f>
        <v>0</v>
      </c>
      <c r="BN153" s="453">
        <f ca="1">IF(AND($D153="Serviço",BN$12&lt;&gt;0,$H153&gt;0,OR(AUTOEVENTO&lt;&gt;"manual",$M153&lt;&gt;$A$15)),
        IF(Import.TipoArredondamento&lt;&gt;"TransfereGOV",
              ROUND(OFFSET($P153,0,BN$13),15-13*ORÇAMENTO!$AF$7)/$H153*OFFSET(ORÇAMENTO!$X$15,ROW(BN153)-ROW(BN$15),0),
              ROUND(ROUND(OFFSET($P153,0,BN$13),15-13*ORÇAMENTO!$AF$7)*OFFSET(ORÇAMENTO!$W$15,ROW(BN153)-ROW(BN$15),0),15-13*ORÇAMENTO!$AF$11)),
         0)</f>
        <v>0</v>
      </c>
      <c r="BO153" s="453">
        <f ca="1">IF(AND($D153="Serviço",BO$12&lt;&gt;0,$H153&gt;0,OR(AUTOEVENTO&lt;&gt;"manual",$M153&lt;&gt;$A$15)),
        IF(Import.TipoArredondamento&lt;&gt;"TransfereGOV",
              ROUND(OFFSET($P153,0,BO$13),15-13*ORÇAMENTO!$AF$7)/$H153*OFFSET(ORÇAMENTO!$X$15,ROW(BO153)-ROW(BO$15),0),
              ROUND(ROUND(OFFSET($P153,0,BO$13),15-13*ORÇAMENTO!$AF$7)*OFFSET(ORÇAMENTO!$W$15,ROW(BO153)-ROW(BO$15),0),15-13*ORÇAMENTO!$AF$11)),
         0)</f>
        <v>0</v>
      </c>
      <c r="BP153" s="453">
        <f ca="1">IF(AND($D153="Serviço",BP$12&lt;&gt;0,$H153&gt;0,OR(AUTOEVENTO&lt;&gt;"manual",$M153&lt;&gt;$A$15)),
        IF(Import.TipoArredondamento&lt;&gt;"TransfereGOV",
              ROUND(OFFSET($P153,0,BP$13),15-13*ORÇAMENTO!$AF$7)/$H153*OFFSET(ORÇAMENTO!$X$15,ROW(BP153)-ROW(BP$15),0),
              ROUND(ROUND(OFFSET($P153,0,BP$13),15-13*ORÇAMENTO!$AF$7)*OFFSET(ORÇAMENTO!$W$15,ROW(BP153)-ROW(BP$15),0),15-13*ORÇAMENTO!$AF$11)),
         0)</f>
        <v>0</v>
      </c>
      <c r="BQ153" s="453">
        <f ca="1">IF(AND($D153="Serviço",BQ$12&lt;&gt;0,$H153&gt;0,OR(AUTOEVENTO&lt;&gt;"manual",$M153&lt;&gt;$A$15)),
        IF(Import.TipoArredondamento&lt;&gt;"TransfereGOV",
              ROUND(OFFSET($P153,0,BQ$13),15-13*ORÇAMENTO!$AF$7)/$H153*OFFSET(ORÇAMENTO!$X$15,ROW(BQ153)-ROW(BQ$15),0),
              ROUND(ROUND(OFFSET($P153,0,BQ$13),15-13*ORÇAMENTO!$AF$7)*OFFSET(ORÇAMENTO!$W$15,ROW(BQ153)-ROW(BQ$15),0),15-13*ORÇAMENTO!$AF$11)),
         0)</f>
        <v>0</v>
      </c>
      <c r="BS153" s="171">
        <f ca="1">IF(OR($D153&lt;&gt;"Serviço",AND(AUTOEVENTO="Manual",$M153=$A$15)),0,
         IF(OFFSET(CRONOPLE!$F$15,$M153-$A$15,BS$13)=0,10^12,OFFSET(CRONOPLE!$F$15,$M153-$A$15,BS$13)))</f>
        <v>1</v>
      </c>
      <c r="BT153" s="171">
        <f ca="1">IF(OR($D153&lt;&gt;"Serviço",AND(AUTOEVENTO="Manual",$M153=$A$15)),0,
         IF(OFFSET(CRONOPLE!$F$15,$M153-$A$15,BT$13)=0,10^12,OFFSET(CRONOPLE!$F$15,$M153-$A$15,BT$13)))</f>
        <v>2</v>
      </c>
      <c r="BU153" s="171">
        <f ca="1">IF(OR($D153&lt;&gt;"Serviço",AND(AUTOEVENTO="Manual",$M153=$A$15)),0,
         IF(OFFSET(CRONOPLE!$F$15,$M153-$A$15,BU$13)=0,10^12,OFFSET(CRONOPLE!$F$15,$M153-$A$15,BU$13)))</f>
        <v>3</v>
      </c>
      <c r="BV153" s="171">
        <f ca="1">IF(OR($D153&lt;&gt;"Serviço",AND(AUTOEVENTO="Manual",$M153=$A$15)),0,
         IF(OFFSET(CRONOPLE!$F$15,$M153-$A$15,BV$13)=0,10^12,OFFSET(CRONOPLE!$F$15,$M153-$A$15,BV$13)))</f>
        <v>4</v>
      </c>
      <c r="BW153" s="171">
        <f ca="1">IF(OR($D153&lt;&gt;"Serviço",AND(AUTOEVENTO="Manual",$M153=$A$15)),0,
         IF(OFFSET(CRONOPLE!$F$15,$M153-$A$15,BW$13)=0,10^12,OFFSET(CRONOPLE!$F$15,$M153-$A$15,BW$13)))</f>
        <v>5</v>
      </c>
      <c r="BX153" s="171">
        <f ca="1">IF(OR($D153&lt;&gt;"Serviço",AND(AUTOEVENTO="Manual",$M153=$A$15)),0,
         IF(OFFSET(CRONOPLE!$F$15,$M153-$A$15,BX$13)=0,10^12,OFFSET(CRONOPLE!$F$15,$M153-$A$15,BX$13)))</f>
        <v>6</v>
      </c>
      <c r="BY153" s="171">
        <f ca="1">IF(OR($D153&lt;&gt;"Serviço",AND(AUTOEVENTO="Manual",$M153=$A$15)),0,
         IF(OFFSET(CRONOPLE!$F$15,$M153-$A$15,BY$13)=0,10^12,OFFSET(CRONOPLE!$F$15,$M153-$A$15,BY$13)))</f>
        <v>7</v>
      </c>
      <c r="BZ153" s="171">
        <f ca="1">IF(OR($D153&lt;&gt;"Serviço",AND(AUTOEVENTO="Manual",$M153=$A$15)),0,
         IF(OFFSET(CRONOPLE!$F$15,$M153-$A$15,BZ$13)=0,10^12,OFFSET(CRONOPLE!$F$15,$M153-$A$15,BZ$13)))</f>
        <v>8</v>
      </c>
      <c r="CA153" s="171">
        <f ca="1">IF(OR($D153&lt;&gt;"Serviço",AND(AUTOEVENTO="Manual",$M153=$A$15)),0,
         IF(OFFSET(CRONOPLE!$F$15,$M153-$A$15,CA$13)=0,10^12,OFFSET(CRONOPLE!$F$15,$M153-$A$15,CA$13)))</f>
        <v>9</v>
      </c>
      <c r="CB153" s="171">
        <f ca="1">IF(OR($D153&lt;&gt;"Serviço",AND(AUTOEVENTO="Manual",$M153=$A$15)),0,
         IF(OFFSET(CRONOPLE!$F$15,$M153-$A$15,CB$13)=0,10^12,OFFSET(CRONOPLE!$F$15,$M153-$A$15,CB$13)))</f>
        <v>10</v>
      </c>
      <c r="CC153" s="171">
        <f ca="1">IF(OR($D153&lt;&gt;"Serviço",AND(AUTOEVENTO="Manual",$M153=$A$15)),0,
         IF(OFFSET(CRONOPLE!$F$15,$M153-$A$15,CC$13)=0,10^12,OFFSET(CRONOPLE!$F$15,$M153-$A$15,CC$13)))</f>
        <v>11</v>
      </c>
      <c r="CD153" s="171">
        <f ca="1">IF(OR($D153&lt;&gt;"Serviço",AND(AUTOEVENTO="Manual",$M153=$A$15)),0,
         IF(OFFSET(CRONOPLE!$F$15,$M153-$A$15,CD$13)=0,10^12,OFFSET(CRONOPLE!$F$15,$M153-$A$15,CD$13)))</f>
        <v>12</v>
      </c>
      <c r="CE153" s="171">
        <f ca="1">IF(OR($D153&lt;&gt;"Serviço",AND(AUTOEVENTO="Manual",$M153=$A$15)),0,
         IF(OFFSET(CRONOPLE!$F$15,$M153-$A$15,CE$13)=0,10^12,OFFSET(CRONOPLE!$F$15,$M153-$A$15,CE$13)))</f>
        <v>13</v>
      </c>
      <c r="CF153" s="171">
        <f ca="1">IF(OR($D153&lt;&gt;"Serviço",AND(AUTOEVENTO="Manual",$M153=$A$15)),0,
         IF(OFFSET(CRONOPLE!$F$15,$M153-$A$15,CF$13)=0,10^12,OFFSET(CRONOPLE!$F$15,$M153-$A$15,CF$13)))</f>
        <v>14</v>
      </c>
      <c r="CG153" s="171">
        <f ca="1">IF(OR($D153&lt;&gt;"Serviço",AND(AUTOEVENTO="Manual",$M153=$A$15)),0,
         IF(OFFSET(CRONOPLE!$F$15,$M153-$A$15,CG$13)=0,10^12,OFFSET(CRONOPLE!$F$15,$M153-$A$15,CG$13)))</f>
        <v>15</v>
      </c>
      <c r="CH153" s="171">
        <f ca="1">IF(OR($D153&lt;&gt;"Serviço",AND(AUTOEVENTO="Manual",$M153=$A$15)),0,
         IF(OFFSET(CRONOPLE!$F$15,$M153-$A$15,CH$13)=0,10^12,OFFSET(CRONOPLE!$F$15,$M153-$A$15,CH$13)))</f>
        <v>16</v>
      </c>
      <c r="CI153" s="171">
        <f ca="1">IF(OR($D153&lt;&gt;"Serviço",AND(AUTOEVENTO="Manual",$M153=$A$15)),0,
         IF(OFFSET(CRONOPLE!$F$15,$M153-$A$15,CI$13)=0,10^12,OFFSET(CRONOPLE!$F$15,$M153-$A$15,CI$13)))</f>
        <v>17</v>
      </c>
      <c r="CJ153" s="171">
        <f ca="1">IF(OR($D153&lt;&gt;"Serviço",AND(AUTOEVENTO="Manual",$M153=$A$15)),0,
         IF(OFFSET(CRONOPLE!$F$15,$M153-$A$15,CJ$13)=0,10^12,OFFSET(CRONOPLE!$F$15,$M153-$A$15,CJ$13)))</f>
        <v>18</v>
      </c>
      <c r="CK153" s="171">
        <f ca="1">IF(OR($D153&lt;&gt;"Serviço",AND(AUTOEVENTO="Manual",$M153=$A$15)),0,
         IF(OFFSET(CRONOPLE!$F$15,$M153-$A$15,CK$13)=0,10^12,OFFSET(CRONOPLE!$F$15,$M153-$A$15,CK$13)))</f>
        <v>19</v>
      </c>
      <c r="CL153" s="171">
        <f ca="1">IF(OR($D153&lt;&gt;"Serviço",AND(AUTOEVENTO="Manual",$M153=$A$15)),0,
         IF(OFFSET(CRONOPLE!$F$15,$M153-$A$15,CL$13)=0,10^12,OFFSET(CRONOPLE!$F$15,$M153-$A$15,CL$13)))</f>
        <v>20</v>
      </c>
      <c r="CM153" s="171">
        <f ca="1">IF(OR($D153&lt;&gt;"Serviço",AND(AUTOEVENTO="Manual",$M153=$A$15)),0,
         IF(OFFSET(CRONOPLE!$F$15,$M153-$A$15,CM$13)=0,10^12,OFFSET(CRONOPLE!$F$15,$M153-$A$15,CM$13)))</f>
        <v>1000000000000</v>
      </c>
      <c r="CN153" s="171">
        <f ca="1">IF(OR($D153&lt;&gt;"Serviço",AND(AUTOEVENTO="Manual",$M153=$A$15)),0,
         IF(OFFSET(CRONOPLE!$F$15,$M153-$A$15,CN$13)=0,10^12,OFFSET(CRONOPLE!$F$15,$M153-$A$15,CN$13)))</f>
        <v>1000000000000</v>
      </c>
      <c r="CO153" s="171">
        <f ca="1">IF(OR($D153&lt;&gt;"Serviço",AND(AUTOEVENTO="Manual",$M153=$A$15)),0,
         IF(OFFSET(CRONOPLE!$F$15,$M153-$A$15,CO$13)=0,10^12,OFFSET(CRONOPLE!$F$15,$M153-$A$15,CO$13)))</f>
        <v>1000000000000</v>
      </c>
      <c r="CP153" s="171">
        <f ca="1">IF(OR($D153&lt;&gt;"Serviço",AND(AUTOEVENTO="Manual",$M153=$A$15)),0,
         IF(OFFSET(CRONOPLE!$F$15,$M153-$A$15,CP$13)=0,10^12,OFFSET(CRONOPLE!$F$15,$M153-$A$15,CP$13)))</f>
        <v>1000000000000</v>
      </c>
      <c r="CQ153" s="171">
        <f ca="1">IF(OR($D153&lt;&gt;"Serviço",AND(AUTOEVENTO="Manual",$M153=$A$15)),0,
         IF(OFFSET(CRONOPLE!$F$15,$M153-$A$15,CQ$13)=0,10^12,OFFSET(CRONOPLE!$F$15,$M153-$A$15,CQ$13)))</f>
        <v>1000000000000</v>
      </c>
      <c r="CR153" s="171">
        <f ca="1">IF(OR($D153&lt;&gt;"Serviço",AND(AUTOEVENTO="Manual",$M153=$A$15)),0,
         IF(OFFSET(CRONOPLE!$F$15,$M153-$A$15,CR$13)=0,10^12,OFFSET(CRONOPLE!$F$15,$M153-$A$15,CR$13)))</f>
        <v>1000000000000</v>
      </c>
      <c r="CT153" s="172" cm="1">
        <f t="array" aca="1" ref="CT153" ca="1">IF(OR($D153&lt;&gt;"Serviço",AND(AUTOEVENTO="Manual",$M153=$A$15),$M153&gt;(ROW(PLE.lastrow)-ROW(PLE.firstrow))),0,
           IF(OFFSET(PLE!$G$15,$M153-$A$15,CT$13)="",10^12,OFFSET(PLE!$G$15,$M153-$A$15,CT$13)))</f>
        <v>1000000000000</v>
      </c>
      <c r="CU153" s="172" cm="1">
        <f t="array" aca="1" ref="CU153" ca="1">IF(OR($D153&lt;&gt;"Serviço",AND(AUTOEVENTO="Manual",$M153=$A$15),$M153&gt;(ROW(PLE.lastrow)-ROW(PLE.firstrow))),0,
           IF(OFFSET(PLE!$G$15,$M153-$A$15,CU$13)="",10^12,OFFSET(PLE!$G$15,$M153-$A$15,CU$13)))</f>
        <v>1000000000000</v>
      </c>
      <c r="CV153" s="172" cm="1">
        <f t="array" aca="1" ref="CV153" ca="1">IF(OR($D153&lt;&gt;"Serviço",AND(AUTOEVENTO="Manual",$M153=$A$15),$M153&gt;(ROW(PLE.lastrow)-ROW(PLE.firstrow))),0,
           IF(OFFSET(PLE!$G$15,$M153-$A$15,CV$13)="",10^12,OFFSET(PLE!$G$15,$M153-$A$15,CV$13)))</f>
        <v>1000000000000</v>
      </c>
      <c r="CW153" s="172" cm="1">
        <f t="array" aca="1" ref="CW153" ca="1">IF(OR($D153&lt;&gt;"Serviço",AND(AUTOEVENTO="Manual",$M153=$A$15),$M153&gt;(ROW(PLE.lastrow)-ROW(PLE.firstrow))),0,
           IF(OFFSET(PLE!$G$15,$M153-$A$15,CW$13)="",10^12,OFFSET(PLE!$G$15,$M153-$A$15,CW$13)))</f>
        <v>1000000000000</v>
      </c>
      <c r="CX153" s="172" cm="1">
        <f t="array" aca="1" ref="CX153" ca="1">IF(OR($D153&lt;&gt;"Serviço",AND(AUTOEVENTO="Manual",$M153=$A$15),$M153&gt;(ROW(PLE.lastrow)-ROW(PLE.firstrow))),0,
           IF(OFFSET(PLE!$G$15,$M153-$A$15,CX$13)="",10^12,OFFSET(PLE!$G$15,$M153-$A$15,CX$13)))</f>
        <v>1000000000000</v>
      </c>
      <c r="CY153" s="172" cm="1">
        <f t="array" aca="1" ref="CY153" ca="1">IF(OR($D153&lt;&gt;"Serviço",AND(AUTOEVENTO="Manual",$M153=$A$15),$M153&gt;(ROW(PLE.lastrow)-ROW(PLE.firstrow))),0,
           IF(OFFSET(PLE!$G$15,$M153-$A$15,CY$13)="",10^12,OFFSET(PLE!$G$15,$M153-$A$15,CY$13)))</f>
        <v>1000000000000</v>
      </c>
      <c r="CZ153" s="172" cm="1">
        <f t="array" aca="1" ref="CZ153" ca="1">IF(OR($D153&lt;&gt;"Serviço",AND(AUTOEVENTO="Manual",$M153=$A$15),$M153&gt;(ROW(PLE.lastrow)-ROW(PLE.firstrow))),0,
           IF(OFFSET(PLE!$G$15,$M153-$A$15,CZ$13)="",10^12,OFFSET(PLE!$G$15,$M153-$A$15,CZ$13)))</f>
        <v>1000000000000</v>
      </c>
      <c r="DA153" s="172" cm="1">
        <f t="array" aca="1" ref="DA153" ca="1">IF(OR($D153&lt;&gt;"Serviço",AND(AUTOEVENTO="Manual",$M153=$A$15),$M153&gt;(ROW(PLE.lastrow)-ROW(PLE.firstrow))),0,
           IF(OFFSET(PLE!$G$15,$M153-$A$15,DA$13)="",10^12,OFFSET(PLE!$G$15,$M153-$A$15,DA$13)))</f>
        <v>1000000000000</v>
      </c>
      <c r="DB153" s="172" cm="1">
        <f t="array" aca="1" ref="DB153" ca="1">IF(OR($D153&lt;&gt;"Serviço",AND(AUTOEVENTO="Manual",$M153=$A$15),$M153&gt;(ROW(PLE.lastrow)-ROW(PLE.firstrow))),0,
           IF(OFFSET(PLE!$G$15,$M153-$A$15,DB$13)="",10^12,OFFSET(PLE!$G$15,$M153-$A$15,DB$13)))</f>
        <v>1000000000000</v>
      </c>
      <c r="DC153" s="172" cm="1">
        <f t="array" aca="1" ref="DC153" ca="1">IF(OR($D153&lt;&gt;"Serviço",AND(AUTOEVENTO="Manual",$M153=$A$15),$M153&gt;(ROW(PLE.lastrow)-ROW(PLE.firstrow))),0,
           IF(OFFSET(PLE!$G$15,$M153-$A$15,DC$13)="",10^12,OFFSET(PLE!$G$15,$M153-$A$15,DC$13)))</f>
        <v>1000000000000</v>
      </c>
      <c r="DD153" s="172" cm="1">
        <f t="array" aca="1" ref="DD153" ca="1">IF(OR($D153&lt;&gt;"Serviço",AND(AUTOEVENTO="Manual",$M153=$A$15),$M153&gt;(ROW(PLE.lastrow)-ROW(PLE.firstrow))),0,
           IF(OFFSET(PLE!$G$15,$M153-$A$15,DD$13)="",10^12,OFFSET(PLE!$G$15,$M153-$A$15,DD$13)))</f>
        <v>1000000000000</v>
      </c>
      <c r="DE153" s="172" cm="1">
        <f t="array" aca="1" ref="DE153" ca="1">IF(OR($D153&lt;&gt;"Serviço",AND(AUTOEVENTO="Manual",$M153=$A$15),$M153&gt;(ROW(PLE.lastrow)-ROW(PLE.firstrow))),0,
           IF(OFFSET(PLE!$G$15,$M153-$A$15,DE$13)="",10^12,OFFSET(PLE!$G$15,$M153-$A$15,DE$13)))</f>
        <v>1000000000000</v>
      </c>
      <c r="DF153" s="172" cm="1">
        <f t="array" aca="1" ref="DF153" ca="1">IF(OR($D153&lt;&gt;"Serviço",AND(AUTOEVENTO="Manual",$M153=$A$15),$M153&gt;(ROW(PLE.lastrow)-ROW(PLE.firstrow))),0,
           IF(OFFSET(PLE!$G$15,$M153-$A$15,DF$13)="",10^12,OFFSET(PLE!$G$15,$M153-$A$15,DF$13)))</f>
        <v>1000000000000</v>
      </c>
      <c r="DG153" s="172" cm="1">
        <f t="array" aca="1" ref="DG153" ca="1">IF(OR($D153&lt;&gt;"Serviço",AND(AUTOEVENTO="Manual",$M153=$A$15),$M153&gt;(ROW(PLE.lastrow)-ROW(PLE.firstrow))),0,
           IF(OFFSET(PLE!$G$15,$M153-$A$15,DG$13)="",10^12,OFFSET(PLE!$G$15,$M153-$A$15,DG$13)))</f>
        <v>1000000000000</v>
      </c>
      <c r="DH153" s="172" cm="1">
        <f t="array" aca="1" ref="DH153" ca="1">IF(OR($D153&lt;&gt;"Serviço",AND(AUTOEVENTO="Manual",$M153=$A$15),$M153&gt;(ROW(PLE.lastrow)-ROW(PLE.firstrow))),0,
           IF(OFFSET(PLE!$G$15,$M153-$A$15,DH$13)="",10^12,OFFSET(PLE!$G$15,$M153-$A$15,DH$13)))</f>
        <v>1000000000000</v>
      </c>
      <c r="DI153" s="172" cm="1">
        <f t="array" aca="1" ref="DI153" ca="1">IF(OR($D153&lt;&gt;"Serviço",AND(AUTOEVENTO="Manual",$M153=$A$15),$M153&gt;(ROW(PLE.lastrow)-ROW(PLE.firstrow))),0,
           IF(OFFSET(PLE!$G$15,$M153-$A$15,DI$13)="",10^12,OFFSET(PLE!$G$15,$M153-$A$15,DI$13)))</f>
        <v>1000000000000</v>
      </c>
      <c r="DJ153" s="172" cm="1">
        <f t="array" aca="1" ref="DJ153" ca="1">IF(OR($D153&lt;&gt;"Serviço",AND(AUTOEVENTO="Manual",$M153=$A$15),$M153&gt;(ROW(PLE.lastrow)-ROW(PLE.firstrow))),0,
           IF(OFFSET(PLE!$G$15,$M153-$A$15,DJ$13)="",10^12,OFFSET(PLE!$G$15,$M153-$A$15,DJ$13)))</f>
        <v>1000000000000</v>
      </c>
      <c r="DK153" s="172" cm="1">
        <f t="array" aca="1" ref="DK153" ca="1">IF(OR($D153&lt;&gt;"Serviço",AND(AUTOEVENTO="Manual",$M153=$A$15),$M153&gt;(ROW(PLE.lastrow)-ROW(PLE.firstrow))),0,
           IF(OFFSET(PLE!$G$15,$M153-$A$15,DK$13)="",10^12,OFFSET(PLE!$G$15,$M153-$A$15,DK$13)))</f>
        <v>1000000000000</v>
      </c>
      <c r="DL153" s="172" cm="1">
        <f t="array" aca="1" ref="DL153" ca="1">IF(OR($D153&lt;&gt;"Serviço",AND(AUTOEVENTO="Manual",$M153=$A$15),$M153&gt;(ROW(PLE.lastrow)-ROW(PLE.firstrow))),0,
           IF(OFFSET(PLE!$G$15,$M153-$A$15,DL$13)="",10^12,OFFSET(PLE!$G$15,$M153-$A$15,DL$13)))</f>
        <v>1000000000000</v>
      </c>
      <c r="DM153" s="172" cm="1">
        <f t="array" aca="1" ref="DM153" ca="1">IF(OR($D153&lt;&gt;"Serviço",AND(AUTOEVENTO="Manual",$M153=$A$15),$M153&gt;(ROW(PLE.lastrow)-ROW(PLE.firstrow))),0,
           IF(OFFSET(PLE!$G$15,$M153-$A$15,DM$13)="",10^12,OFFSET(PLE!$G$15,$M153-$A$15,DM$13)))</f>
        <v>1000000000000</v>
      </c>
      <c r="DN153" s="172" cm="1">
        <f t="array" aca="1" ref="DN153" ca="1">IF(OR($D153&lt;&gt;"Serviço",AND(AUTOEVENTO="Manual",$M153=$A$15),$M153&gt;(ROW(PLE.lastrow)-ROW(PLE.firstrow))),0,
           IF(OFFSET(PLE!$G$15,$M153-$A$15,DN$13)="",10^12,OFFSET(PLE!$G$15,$M153-$A$15,DN$13)))</f>
        <v>1000000000000</v>
      </c>
      <c r="DO153" s="172" cm="1">
        <f t="array" aca="1" ref="DO153" ca="1">IF(OR($D153&lt;&gt;"Serviço",AND(AUTOEVENTO="Manual",$M153=$A$15),$M153&gt;(ROW(PLE.lastrow)-ROW(PLE.firstrow))),0,
           IF(OFFSET(PLE!$G$15,$M153-$A$15,DO$13)="",10^12,OFFSET(PLE!$G$15,$M153-$A$15,DO$13)))</f>
        <v>1000000000000</v>
      </c>
      <c r="DP153" s="172" cm="1">
        <f t="array" aca="1" ref="DP153" ca="1">IF(OR($D153&lt;&gt;"Serviço",AND(AUTOEVENTO="Manual",$M153=$A$15),$M153&gt;(ROW(PLE.lastrow)-ROW(PLE.firstrow))),0,
           IF(OFFSET(PLE!$G$15,$M153-$A$15,DP$13)="",10^12,OFFSET(PLE!$G$15,$M153-$A$15,DP$13)))</f>
        <v>1000000000000</v>
      </c>
      <c r="DQ153" s="172" cm="1">
        <f t="array" aca="1" ref="DQ153" ca="1">IF(OR($D153&lt;&gt;"Serviço",AND(AUTOEVENTO="Manual",$M153=$A$15),$M153&gt;(ROW(PLE.lastrow)-ROW(PLE.firstrow))),0,
           IF(OFFSET(PLE!$G$15,$M153-$A$15,DQ$13)="",10^12,OFFSET(PLE!$G$15,$M153-$A$15,DQ$13)))</f>
        <v>1000000000000</v>
      </c>
      <c r="DR153" s="172" cm="1">
        <f t="array" aca="1" ref="DR153" ca="1">IF(OR($D153&lt;&gt;"Serviço",AND(AUTOEVENTO="Manual",$M153=$A$15),$M153&gt;(ROW(PLE.lastrow)-ROW(PLE.firstrow))),0,
           IF(OFFSET(PLE!$G$15,$M153-$A$15,DR$13)="",10^12,OFFSET(PLE!$G$15,$M153-$A$15,DR$13)))</f>
        <v>1000000000000</v>
      </c>
      <c r="DS153" s="172" cm="1">
        <f t="array" aca="1" ref="DS153" ca="1">IF(OR($D153&lt;&gt;"Serviço",AND(AUTOEVENTO="Manual",$M153=$A$15),$M153&gt;(ROW(PLE.lastrow)-ROW(PLE.firstrow))),0,
           IF(OFFSET(PLE!$G$15,$M153-$A$15,DS$13)="",10^12,OFFSET(PLE!$G$15,$M153-$A$15,DS$13)))</f>
        <v>1000000000000</v>
      </c>
    </row>
    <row r="154" spans="1:123" ht="25.5" x14ac:dyDescent="0.2">
      <c r="A154" s="7">
        <f t="shared" ca="1" si="16"/>
        <v>9</v>
      </c>
      <c r="B154" s="7" t="str">
        <f ca="1">OFFSET(ORÇAMENTO!C$15,$L154,0)</f>
        <v>S</v>
      </c>
      <c r="C154" s="7" t="str">
        <f ca="1">OFFSET(ORÇAMENTO!L$15,$L154,0)</f>
        <v/>
      </c>
      <c r="D154" s="116" t="str">
        <f ca="1">OFFSET(ORÇAMENTO!N$15,$L154,0)</f>
        <v>Serviço</v>
      </c>
      <c r="E154" s="117" t="str">
        <f ca="1">OFFSET(ORÇAMENTO!O$15,$L154,0)</f>
        <v>-</v>
      </c>
      <c r="F154" s="163" t="str">
        <f ca="1">OFFSET(ORÇAMENTO!R$15,$L154,0)</f>
        <v>(Código não identificado nas referências)</v>
      </c>
      <c r="G154" s="164" t="str">
        <f ca="1">IF($D154&lt;&gt;"Serviço","",OFFSET(ORÇAMENTO!S$15,$L154,0))</f>
        <v>-</v>
      </c>
      <c r="H154" s="122" cm="1">
        <f t="array" aca="1" ref="H154" ca="1">IF($D154&lt;&gt;"Serviço",0,IF(ACOMPANHAMENTO="BM",ROUND(OFFSET(ORÇAMENTO!AJ$15,$L154,0),15-13*ORÇAMENTO!$AF$7),IF(IFERROR(CÁLCULO.FrentesPreenchidas,0)=0,0,SUM(ROUND(OFFSET($P154,0,1,1,CÁLCULO.FrentesPreenchidas),15-13*ORÇAMENTO!$AF$7)))))</f>
        <v>40</v>
      </c>
      <c r="I154" s="468" t="s">
        <v>1235</v>
      </c>
      <c r="J154" s="651" t="str" cm="1">
        <f t="array" aca="1" ref="J154" ca="1">IF(OR(B154&lt;&gt;"S",CÁLCULO.FrentesPreenchidas=0),"",IF(AND(ACOMPANHAMENTO="PLE",AUTOEVENTO="Manual",OR(H154&gt;0,ORÇAMENTO!AC154="QUANT."),OR(K154="",M154=0,N154="")),"►E",IF(AND(ACOMPANHAMENTO="PLE",ORÇAMENTO!AC154="QUANT."),"►Q",IF(AND(ACOMPANHAMENTO="PLE",H154&lt;&gt;SUMPRODUCT(($Q$1:$AQ$1=1)*ROUND(Q154:AQ154,15))),"►S",IF(AND(COUNTIF($P$11:$AQ$11,"▼")=0,H154&gt;0,I154=""),"◄M","")))))</f>
        <v/>
      </c>
      <c r="K154" s="652" t="s">
        <v>1257</v>
      </c>
      <c r="L154" s="165">
        <f t="shared" ca="1" si="17"/>
        <v>139</v>
      </c>
      <c r="M154" s="166">
        <f ca="1">IF($D154&lt;&gt;"Serviço","",
          IF(AUTOEVENTO="manual",$A154,
                IF(ISERROR(MATCH($A154,$A$15:OFFSET($A154,-1,0),0)),MAX($M$15:OFFSET(M154,-1,0))+1,
                      INDEX($M$15:OFFSET(M154,-1,0),MATCH($A154,$A$15:OFFSET($A154,-1,0),0)))))</f>
        <v>9</v>
      </c>
      <c r="N154" s="167" t="str">
        <f ca="1">IF($D154&lt;&gt;"Serviço","",
         IF(AUTOEVENTO="Manual",
                IF($A154=0,"&lt;-- defina o número do agrupador",
                       OFFSET(EVENTOS!$D$15,$A154-$A$15,0)),
                OFFSET($F$15,$A154,0)))</f>
        <v>INSTALAÇÕES</v>
      </c>
      <c r="O154" s="168"/>
      <c r="Q154" s="168">
        <v>2</v>
      </c>
      <c r="R154" s="169">
        <v>2</v>
      </c>
      <c r="S154" s="169">
        <v>2</v>
      </c>
      <c r="T154" s="169">
        <v>2</v>
      </c>
      <c r="U154" s="169">
        <v>2</v>
      </c>
      <c r="V154" s="169">
        <v>2</v>
      </c>
      <c r="W154" s="169">
        <v>2</v>
      </c>
      <c r="X154" s="169">
        <v>2</v>
      </c>
      <c r="Y154" s="169">
        <v>2</v>
      </c>
      <c r="Z154" s="170">
        <v>2</v>
      </c>
      <c r="AA154" s="169">
        <v>2</v>
      </c>
      <c r="AB154" s="169">
        <v>2</v>
      </c>
      <c r="AC154" s="169">
        <v>2</v>
      </c>
      <c r="AD154" s="169">
        <v>2</v>
      </c>
      <c r="AE154" s="169">
        <v>2</v>
      </c>
      <c r="AF154" s="169">
        <v>2</v>
      </c>
      <c r="AG154" s="169">
        <v>2</v>
      </c>
      <c r="AH154" s="170">
        <v>2</v>
      </c>
      <c r="AI154" s="169">
        <v>2</v>
      </c>
      <c r="AJ154" s="169">
        <v>2</v>
      </c>
      <c r="AK154" s="169"/>
      <c r="AL154" s="169"/>
      <c r="AM154" s="169"/>
      <c r="AN154" s="169"/>
      <c r="AO154" s="169"/>
      <c r="AP154" s="170"/>
      <c r="AR154" s="453">
        <f ca="1">IF(AND($D154="Serviço",AR$12&lt;&gt;0,$H154&gt;0,OR(AUTOEVENTO&lt;&gt;"manual",$M154&lt;&gt;$A$15)),
        IF(Import.TipoArredondamento&lt;&gt;"TransfereGOV",
              ROUND(OFFSET($P154,0,AR$13),15-13*ORÇAMENTO!$AF$7)/$H154*OFFSET(ORÇAMENTO!$X$15,ROW(AR154)-ROW(AR$15),0),
              ROUND(ROUND(OFFSET($P154,0,AR$13),15-13*ORÇAMENTO!$AF$7)*OFFSET(ORÇAMENTO!$W$15,ROW(AR154)-ROW(AR$15),0),15-13*ORÇAMENTO!$AF$11)),
         0)</f>
        <v>0</v>
      </c>
      <c r="AS154" s="453">
        <f ca="1">IF(AND($D154="Serviço",AS$12&lt;&gt;0,$H154&gt;0,OR(AUTOEVENTO&lt;&gt;"manual",$M154&lt;&gt;$A$15)),
        IF(Import.TipoArredondamento&lt;&gt;"TransfereGOV",
              ROUND(OFFSET($P154,0,AS$13),15-13*ORÇAMENTO!$AF$7)/$H154*OFFSET(ORÇAMENTO!$X$15,ROW(AS154)-ROW(AS$15),0),
              ROUND(ROUND(OFFSET($P154,0,AS$13),15-13*ORÇAMENTO!$AF$7)*OFFSET(ORÇAMENTO!$W$15,ROW(AS154)-ROW(AS$15),0),15-13*ORÇAMENTO!$AF$11)),
         0)</f>
        <v>0</v>
      </c>
      <c r="AT154" s="453">
        <f ca="1">IF(AND($D154="Serviço",AT$12&lt;&gt;0,$H154&gt;0,OR(AUTOEVENTO&lt;&gt;"manual",$M154&lt;&gt;$A$15)),
        IF(Import.TipoArredondamento&lt;&gt;"TransfereGOV",
              ROUND(OFFSET($P154,0,AT$13),15-13*ORÇAMENTO!$AF$7)/$H154*OFFSET(ORÇAMENTO!$X$15,ROW(AT154)-ROW(AT$15),0),
              ROUND(ROUND(OFFSET($P154,0,AT$13),15-13*ORÇAMENTO!$AF$7)*OFFSET(ORÇAMENTO!$W$15,ROW(AT154)-ROW(AT$15),0),15-13*ORÇAMENTO!$AF$11)),
         0)</f>
        <v>0</v>
      </c>
      <c r="AU154" s="453">
        <f ca="1">IF(AND($D154="Serviço",AU$12&lt;&gt;0,$H154&gt;0,OR(AUTOEVENTO&lt;&gt;"manual",$M154&lt;&gt;$A$15)),
        IF(Import.TipoArredondamento&lt;&gt;"TransfereGOV",
              ROUND(OFFSET($P154,0,AU$13),15-13*ORÇAMENTO!$AF$7)/$H154*OFFSET(ORÇAMENTO!$X$15,ROW(AU154)-ROW(AU$15),0),
              ROUND(ROUND(OFFSET($P154,0,AU$13),15-13*ORÇAMENTO!$AF$7)*OFFSET(ORÇAMENTO!$W$15,ROW(AU154)-ROW(AU$15),0),15-13*ORÇAMENTO!$AF$11)),
         0)</f>
        <v>0</v>
      </c>
      <c r="AV154" s="453">
        <f ca="1">IF(AND($D154="Serviço",AV$12&lt;&gt;0,$H154&gt;0,OR(AUTOEVENTO&lt;&gt;"manual",$M154&lt;&gt;$A$15)),
        IF(Import.TipoArredondamento&lt;&gt;"TransfereGOV",
              ROUND(OFFSET($P154,0,AV$13),15-13*ORÇAMENTO!$AF$7)/$H154*OFFSET(ORÇAMENTO!$X$15,ROW(AV154)-ROW(AV$15),0),
              ROUND(ROUND(OFFSET($P154,0,AV$13),15-13*ORÇAMENTO!$AF$7)*OFFSET(ORÇAMENTO!$W$15,ROW(AV154)-ROW(AV$15),0),15-13*ORÇAMENTO!$AF$11)),
         0)</f>
        <v>0</v>
      </c>
      <c r="AW154" s="453">
        <f ca="1">IF(AND($D154="Serviço",AW$12&lt;&gt;0,$H154&gt;0,OR(AUTOEVENTO&lt;&gt;"manual",$M154&lt;&gt;$A$15)),
        IF(Import.TipoArredondamento&lt;&gt;"TransfereGOV",
              ROUND(OFFSET($P154,0,AW$13),15-13*ORÇAMENTO!$AF$7)/$H154*OFFSET(ORÇAMENTO!$X$15,ROW(AW154)-ROW(AW$15),0),
              ROUND(ROUND(OFFSET($P154,0,AW$13),15-13*ORÇAMENTO!$AF$7)*OFFSET(ORÇAMENTO!$W$15,ROW(AW154)-ROW(AW$15),0),15-13*ORÇAMENTO!$AF$11)),
         0)</f>
        <v>0</v>
      </c>
      <c r="AX154" s="453">
        <f ca="1">IF(AND($D154="Serviço",AX$12&lt;&gt;0,$H154&gt;0,OR(AUTOEVENTO&lt;&gt;"manual",$M154&lt;&gt;$A$15)),
        IF(Import.TipoArredondamento&lt;&gt;"TransfereGOV",
              ROUND(OFFSET($P154,0,AX$13),15-13*ORÇAMENTO!$AF$7)/$H154*OFFSET(ORÇAMENTO!$X$15,ROW(AX154)-ROW(AX$15),0),
              ROUND(ROUND(OFFSET($P154,0,AX$13),15-13*ORÇAMENTO!$AF$7)*OFFSET(ORÇAMENTO!$W$15,ROW(AX154)-ROW(AX$15),0),15-13*ORÇAMENTO!$AF$11)),
         0)</f>
        <v>0</v>
      </c>
      <c r="AY154" s="453">
        <f ca="1">IF(AND($D154="Serviço",AY$12&lt;&gt;0,$H154&gt;0,OR(AUTOEVENTO&lt;&gt;"manual",$M154&lt;&gt;$A$15)),
        IF(Import.TipoArredondamento&lt;&gt;"TransfereGOV",
              ROUND(OFFSET($P154,0,AY$13),15-13*ORÇAMENTO!$AF$7)/$H154*OFFSET(ORÇAMENTO!$X$15,ROW(AY154)-ROW(AY$15),0),
              ROUND(ROUND(OFFSET($P154,0,AY$13),15-13*ORÇAMENTO!$AF$7)*OFFSET(ORÇAMENTO!$W$15,ROW(AY154)-ROW(AY$15),0),15-13*ORÇAMENTO!$AF$11)),
         0)</f>
        <v>0</v>
      </c>
      <c r="AZ154" s="453">
        <f ca="1">IF(AND($D154="Serviço",AZ$12&lt;&gt;0,$H154&gt;0,OR(AUTOEVENTO&lt;&gt;"manual",$M154&lt;&gt;$A$15)),
        IF(Import.TipoArredondamento&lt;&gt;"TransfereGOV",
              ROUND(OFFSET($P154,0,AZ$13),15-13*ORÇAMENTO!$AF$7)/$H154*OFFSET(ORÇAMENTO!$X$15,ROW(AZ154)-ROW(AZ$15),0),
              ROUND(ROUND(OFFSET($P154,0,AZ$13),15-13*ORÇAMENTO!$AF$7)*OFFSET(ORÇAMENTO!$W$15,ROW(AZ154)-ROW(AZ$15),0),15-13*ORÇAMENTO!$AF$11)),
         0)</f>
        <v>0</v>
      </c>
      <c r="BA154" s="453">
        <f ca="1">IF(AND($D154="Serviço",BA$12&lt;&gt;0,$H154&gt;0,OR(AUTOEVENTO&lt;&gt;"manual",$M154&lt;&gt;$A$15)),
        IF(Import.TipoArredondamento&lt;&gt;"TransfereGOV",
              ROUND(OFFSET($P154,0,BA$13),15-13*ORÇAMENTO!$AF$7)/$H154*OFFSET(ORÇAMENTO!$X$15,ROW(BA154)-ROW(BA$15),0),
              ROUND(ROUND(OFFSET($P154,0,BA$13),15-13*ORÇAMENTO!$AF$7)*OFFSET(ORÇAMENTO!$W$15,ROW(BA154)-ROW(BA$15),0),15-13*ORÇAMENTO!$AF$11)),
         0)</f>
        <v>0</v>
      </c>
      <c r="BB154" s="453">
        <f ca="1">IF(AND($D154="Serviço",BB$12&lt;&gt;0,$H154&gt;0,OR(AUTOEVENTO&lt;&gt;"manual",$M154&lt;&gt;$A$15)),
        IF(Import.TipoArredondamento&lt;&gt;"TransfereGOV",
              ROUND(OFFSET($P154,0,BB$13),15-13*ORÇAMENTO!$AF$7)/$H154*OFFSET(ORÇAMENTO!$X$15,ROW(BB154)-ROW(BB$15),0),
              ROUND(ROUND(OFFSET($P154,0,BB$13),15-13*ORÇAMENTO!$AF$7)*OFFSET(ORÇAMENTO!$W$15,ROW(BB154)-ROW(BB$15),0),15-13*ORÇAMENTO!$AF$11)),
         0)</f>
        <v>0</v>
      </c>
      <c r="BC154" s="453">
        <f ca="1">IF(AND($D154="Serviço",BC$12&lt;&gt;0,$H154&gt;0,OR(AUTOEVENTO&lt;&gt;"manual",$M154&lt;&gt;$A$15)),
        IF(Import.TipoArredondamento&lt;&gt;"TransfereGOV",
              ROUND(OFFSET($P154,0,BC$13),15-13*ORÇAMENTO!$AF$7)/$H154*OFFSET(ORÇAMENTO!$X$15,ROW(BC154)-ROW(BC$15),0),
              ROUND(ROUND(OFFSET($P154,0,BC$13),15-13*ORÇAMENTO!$AF$7)*OFFSET(ORÇAMENTO!$W$15,ROW(BC154)-ROW(BC$15),0),15-13*ORÇAMENTO!$AF$11)),
         0)</f>
        <v>0</v>
      </c>
      <c r="BD154" s="453">
        <f ca="1">IF(AND($D154="Serviço",BD$12&lt;&gt;0,$H154&gt;0,OR(AUTOEVENTO&lt;&gt;"manual",$M154&lt;&gt;$A$15)),
        IF(Import.TipoArredondamento&lt;&gt;"TransfereGOV",
              ROUND(OFFSET($P154,0,BD$13),15-13*ORÇAMENTO!$AF$7)/$H154*OFFSET(ORÇAMENTO!$X$15,ROW(BD154)-ROW(BD$15),0),
              ROUND(ROUND(OFFSET($P154,0,BD$13),15-13*ORÇAMENTO!$AF$7)*OFFSET(ORÇAMENTO!$W$15,ROW(BD154)-ROW(BD$15),0),15-13*ORÇAMENTO!$AF$11)),
         0)</f>
        <v>0</v>
      </c>
      <c r="BE154" s="453">
        <f ca="1">IF(AND($D154="Serviço",BE$12&lt;&gt;0,$H154&gt;0,OR(AUTOEVENTO&lt;&gt;"manual",$M154&lt;&gt;$A$15)),
        IF(Import.TipoArredondamento&lt;&gt;"TransfereGOV",
              ROUND(OFFSET($P154,0,BE$13),15-13*ORÇAMENTO!$AF$7)/$H154*OFFSET(ORÇAMENTO!$X$15,ROW(BE154)-ROW(BE$15),0),
              ROUND(ROUND(OFFSET($P154,0,BE$13),15-13*ORÇAMENTO!$AF$7)*OFFSET(ORÇAMENTO!$W$15,ROW(BE154)-ROW(BE$15),0),15-13*ORÇAMENTO!$AF$11)),
         0)</f>
        <v>0</v>
      </c>
      <c r="BF154" s="453">
        <f ca="1">IF(AND($D154="Serviço",BF$12&lt;&gt;0,$H154&gt;0,OR(AUTOEVENTO&lt;&gt;"manual",$M154&lt;&gt;$A$15)),
        IF(Import.TipoArredondamento&lt;&gt;"TransfereGOV",
              ROUND(OFFSET($P154,0,BF$13),15-13*ORÇAMENTO!$AF$7)/$H154*OFFSET(ORÇAMENTO!$X$15,ROW(BF154)-ROW(BF$15),0),
              ROUND(ROUND(OFFSET($P154,0,BF$13),15-13*ORÇAMENTO!$AF$7)*OFFSET(ORÇAMENTO!$W$15,ROW(BF154)-ROW(BF$15),0),15-13*ORÇAMENTO!$AF$11)),
         0)</f>
        <v>0</v>
      </c>
      <c r="BG154" s="453">
        <f ca="1">IF(AND($D154="Serviço",BG$12&lt;&gt;0,$H154&gt;0,OR(AUTOEVENTO&lt;&gt;"manual",$M154&lt;&gt;$A$15)),
        IF(Import.TipoArredondamento&lt;&gt;"TransfereGOV",
              ROUND(OFFSET($P154,0,BG$13),15-13*ORÇAMENTO!$AF$7)/$H154*OFFSET(ORÇAMENTO!$X$15,ROW(BG154)-ROW(BG$15),0),
              ROUND(ROUND(OFFSET($P154,0,BG$13),15-13*ORÇAMENTO!$AF$7)*OFFSET(ORÇAMENTO!$W$15,ROW(BG154)-ROW(BG$15),0),15-13*ORÇAMENTO!$AF$11)),
         0)</f>
        <v>0</v>
      </c>
      <c r="BH154" s="453">
        <f ca="1">IF(AND($D154="Serviço",BH$12&lt;&gt;0,$H154&gt;0,OR(AUTOEVENTO&lt;&gt;"manual",$M154&lt;&gt;$A$15)),
        IF(Import.TipoArredondamento&lt;&gt;"TransfereGOV",
              ROUND(OFFSET($P154,0,BH$13),15-13*ORÇAMENTO!$AF$7)/$H154*OFFSET(ORÇAMENTO!$X$15,ROW(BH154)-ROW(BH$15),0),
              ROUND(ROUND(OFFSET($P154,0,BH$13),15-13*ORÇAMENTO!$AF$7)*OFFSET(ORÇAMENTO!$W$15,ROW(BH154)-ROW(BH$15),0),15-13*ORÇAMENTO!$AF$11)),
         0)</f>
        <v>0</v>
      </c>
      <c r="BI154" s="453">
        <f ca="1">IF(AND($D154="Serviço",BI$12&lt;&gt;0,$H154&gt;0,OR(AUTOEVENTO&lt;&gt;"manual",$M154&lt;&gt;$A$15)),
        IF(Import.TipoArredondamento&lt;&gt;"TransfereGOV",
              ROUND(OFFSET($P154,0,BI$13),15-13*ORÇAMENTO!$AF$7)/$H154*OFFSET(ORÇAMENTO!$X$15,ROW(BI154)-ROW(BI$15),0),
              ROUND(ROUND(OFFSET($P154,0,BI$13),15-13*ORÇAMENTO!$AF$7)*OFFSET(ORÇAMENTO!$W$15,ROW(BI154)-ROW(BI$15),0),15-13*ORÇAMENTO!$AF$11)),
         0)</f>
        <v>0</v>
      </c>
      <c r="BJ154" s="453">
        <f ca="1">IF(AND($D154="Serviço",BJ$12&lt;&gt;0,$H154&gt;0,OR(AUTOEVENTO&lt;&gt;"manual",$M154&lt;&gt;$A$15)),
        IF(Import.TipoArredondamento&lt;&gt;"TransfereGOV",
              ROUND(OFFSET($P154,0,BJ$13),15-13*ORÇAMENTO!$AF$7)/$H154*OFFSET(ORÇAMENTO!$X$15,ROW(BJ154)-ROW(BJ$15),0),
              ROUND(ROUND(OFFSET($P154,0,BJ$13),15-13*ORÇAMENTO!$AF$7)*OFFSET(ORÇAMENTO!$W$15,ROW(BJ154)-ROW(BJ$15),0),15-13*ORÇAMENTO!$AF$11)),
         0)</f>
        <v>0</v>
      </c>
      <c r="BK154" s="453">
        <f ca="1">IF(AND($D154="Serviço",BK$12&lt;&gt;0,$H154&gt;0,OR(AUTOEVENTO&lt;&gt;"manual",$M154&lt;&gt;$A$15)),
        IF(Import.TipoArredondamento&lt;&gt;"TransfereGOV",
              ROUND(OFFSET($P154,0,BK$13),15-13*ORÇAMENTO!$AF$7)/$H154*OFFSET(ORÇAMENTO!$X$15,ROW(BK154)-ROW(BK$15),0),
              ROUND(ROUND(OFFSET($P154,0,BK$13),15-13*ORÇAMENTO!$AF$7)*OFFSET(ORÇAMENTO!$W$15,ROW(BK154)-ROW(BK$15),0),15-13*ORÇAMENTO!$AF$11)),
         0)</f>
        <v>0</v>
      </c>
      <c r="BL154" s="453">
        <f ca="1">IF(AND($D154="Serviço",BL$12&lt;&gt;0,$H154&gt;0,OR(AUTOEVENTO&lt;&gt;"manual",$M154&lt;&gt;$A$15)),
        IF(Import.TipoArredondamento&lt;&gt;"TransfereGOV",
              ROUND(OFFSET($P154,0,BL$13),15-13*ORÇAMENTO!$AF$7)/$H154*OFFSET(ORÇAMENTO!$X$15,ROW(BL154)-ROW(BL$15),0),
              ROUND(ROUND(OFFSET($P154,0,BL$13),15-13*ORÇAMENTO!$AF$7)*OFFSET(ORÇAMENTO!$W$15,ROW(BL154)-ROW(BL$15),0),15-13*ORÇAMENTO!$AF$11)),
         0)</f>
        <v>0</v>
      </c>
      <c r="BM154" s="453">
        <f ca="1">IF(AND($D154="Serviço",BM$12&lt;&gt;0,$H154&gt;0,OR(AUTOEVENTO&lt;&gt;"manual",$M154&lt;&gt;$A$15)),
        IF(Import.TipoArredondamento&lt;&gt;"TransfereGOV",
              ROUND(OFFSET($P154,0,BM$13),15-13*ORÇAMENTO!$AF$7)/$H154*OFFSET(ORÇAMENTO!$X$15,ROW(BM154)-ROW(BM$15),0),
              ROUND(ROUND(OFFSET($P154,0,BM$13),15-13*ORÇAMENTO!$AF$7)*OFFSET(ORÇAMENTO!$W$15,ROW(BM154)-ROW(BM$15),0),15-13*ORÇAMENTO!$AF$11)),
         0)</f>
        <v>0</v>
      </c>
      <c r="BN154" s="453">
        <f ca="1">IF(AND($D154="Serviço",BN$12&lt;&gt;0,$H154&gt;0,OR(AUTOEVENTO&lt;&gt;"manual",$M154&lt;&gt;$A$15)),
        IF(Import.TipoArredondamento&lt;&gt;"TransfereGOV",
              ROUND(OFFSET($P154,0,BN$13),15-13*ORÇAMENTO!$AF$7)/$H154*OFFSET(ORÇAMENTO!$X$15,ROW(BN154)-ROW(BN$15),0),
              ROUND(ROUND(OFFSET($P154,0,BN$13),15-13*ORÇAMENTO!$AF$7)*OFFSET(ORÇAMENTO!$W$15,ROW(BN154)-ROW(BN$15),0),15-13*ORÇAMENTO!$AF$11)),
         0)</f>
        <v>0</v>
      </c>
      <c r="BO154" s="453">
        <f ca="1">IF(AND($D154="Serviço",BO$12&lt;&gt;0,$H154&gt;0,OR(AUTOEVENTO&lt;&gt;"manual",$M154&lt;&gt;$A$15)),
        IF(Import.TipoArredondamento&lt;&gt;"TransfereGOV",
              ROUND(OFFSET($P154,0,BO$13),15-13*ORÇAMENTO!$AF$7)/$H154*OFFSET(ORÇAMENTO!$X$15,ROW(BO154)-ROW(BO$15),0),
              ROUND(ROUND(OFFSET($P154,0,BO$13),15-13*ORÇAMENTO!$AF$7)*OFFSET(ORÇAMENTO!$W$15,ROW(BO154)-ROW(BO$15),0),15-13*ORÇAMENTO!$AF$11)),
         0)</f>
        <v>0</v>
      </c>
      <c r="BP154" s="453">
        <f ca="1">IF(AND($D154="Serviço",BP$12&lt;&gt;0,$H154&gt;0,OR(AUTOEVENTO&lt;&gt;"manual",$M154&lt;&gt;$A$15)),
        IF(Import.TipoArredondamento&lt;&gt;"TransfereGOV",
              ROUND(OFFSET($P154,0,BP$13),15-13*ORÇAMENTO!$AF$7)/$H154*OFFSET(ORÇAMENTO!$X$15,ROW(BP154)-ROW(BP$15),0),
              ROUND(ROUND(OFFSET($P154,0,BP$13),15-13*ORÇAMENTO!$AF$7)*OFFSET(ORÇAMENTO!$W$15,ROW(BP154)-ROW(BP$15),0),15-13*ORÇAMENTO!$AF$11)),
         0)</f>
        <v>0</v>
      </c>
      <c r="BQ154" s="453">
        <f ca="1">IF(AND($D154="Serviço",BQ$12&lt;&gt;0,$H154&gt;0,OR(AUTOEVENTO&lt;&gt;"manual",$M154&lt;&gt;$A$15)),
        IF(Import.TipoArredondamento&lt;&gt;"TransfereGOV",
              ROUND(OFFSET($P154,0,BQ$13),15-13*ORÇAMENTO!$AF$7)/$H154*OFFSET(ORÇAMENTO!$X$15,ROW(BQ154)-ROW(BQ$15),0),
              ROUND(ROUND(OFFSET($P154,0,BQ$13),15-13*ORÇAMENTO!$AF$7)*OFFSET(ORÇAMENTO!$W$15,ROW(BQ154)-ROW(BQ$15),0),15-13*ORÇAMENTO!$AF$11)),
         0)</f>
        <v>0</v>
      </c>
      <c r="BS154" s="171">
        <f ca="1">IF(OR($D154&lt;&gt;"Serviço",AND(AUTOEVENTO="Manual",$M154=$A$15)),0,
         IF(OFFSET(CRONOPLE!$F$15,$M154-$A$15,BS$13)=0,10^12,OFFSET(CRONOPLE!$F$15,$M154-$A$15,BS$13)))</f>
        <v>1</v>
      </c>
      <c r="BT154" s="171">
        <f ca="1">IF(OR($D154&lt;&gt;"Serviço",AND(AUTOEVENTO="Manual",$M154=$A$15)),0,
         IF(OFFSET(CRONOPLE!$F$15,$M154-$A$15,BT$13)=0,10^12,OFFSET(CRONOPLE!$F$15,$M154-$A$15,BT$13)))</f>
        <v>2</v>
      </c>
      <c r="BU154" s="171">
        <f ca="1">IF(OR($D154&lt;&gt;"Serviço",AND(AUTOEVENTO="Manual",$M154=$A$15)),0,
         IF(OFFSET(CRONOPLE!$F$15,$M154-$A$15,BU$13)=0,10^12,OFFSET(CRONOPLE!$F$15,$M154-$A$15,BU$13)))</f>
        <v>3</v>
      </c>
      <c r="BV154" s="171">
        <f ca="1">IF(OR($D154&lt;&gt;"Serviço",AND(AUTOEVENTO="Manual",$M154=$A$15)),0,
         IF(OFFSET(CRONOPLE!$F$15,$M154-$A$15,BV$13)=0,10^12,OFFSET(CRONOPLE!$F$15,$M154-$A$15,BV$13)))</f>
        <v>4</v>
      </c>
      <c r="BW154" s="171">
        <f ca="1">IF(OR($D154&lt;&gt;"Serviço",AND(AUTOEVENTO="Manual",$M154=$A$15)),0,
         IF(OFFSET(CRONOPLE!$F$15,$M154-$A$15,BW$13)=0,10^12,OFFSET(CRONOPLE!$F$15,$M154-$A$15,BW$13)))</f>
        <v>5</v>
      </c>
      <c r="BX154" s="171">
        <f ca="1">IF(OR($D154&lt;&gt;"Serviço",AND(AUTOEVENTO="Manual",$M154=$A$15)),0,
         IF(OFFSET(CRONOPLE!$F$15,$M154-$A$15,BX$13)=0,10^12,OFFSET(CRONOPLE!$F$15,$M154-$A$15,BX$13)))</f>
        <v>6</v>
      </c>
      <c r="BY154" s="171">
        <f ca="1">IF(OR($D154&lt;&gt;"Serviço",AND(AUTOEVENTO="Manual",$M154=$A$15)),0,
         IF(OFFSET(CRONOPLE!$F$15,$M154-$A$15,BY$13)=0,10^12,OFFSET(CRONOPLE!$F$15,$M154-$A$15,BY$13)))</f>
        <v>7</v>
      </c>
      <c r="BZ154" s="171">
        <f ca="1">IF(OR($D154&lt;&gt;"Serviço",AND(AUTOEVENTO="Manual",$M154=$A$15)),0,
         IF(OFFSET(CRONOPLE!$F$15,$M154-$A$15,BZ$13)=0,10^12,OFFSET(CRONOPLE!$F$15,$M154-$A$15,BZ$13)))</f>
        <v>8</v>
      </c>
      <c r="CA154" s="171">
        <f ca="1">IF(OR($D154&lt;&gt;"Serviço",AND(AUTOEVENTO="Manual",$M154=$A$15)),0,
         IF(OFFSET(CRONOPLE!$F$15,$M154-$A$15,CA$13)=0,10^12,OFFSET(CRONOPLE!$F$15,$M154-$A$15,CA$13)))</f>
        <v>9</v>
      </c>
      <c r="CB154" s="171">
        <f ca="1">IF(OR($D154&lt;&gt;"Serviço",AND(AUTOEVENTO="Manual",$M154=$A$15)),0,
         IF(OFFSET(CRONOPLE!$F$15,$M154-$A$15,CB$13)=0,10^12,OFFSET(CRONOPLE!$F$15,$M154-$A$15,CB$13)))</f>
        <v>10</v>
      </c>
      <c r="CC154" s="171">
        <f ca="1">IF(OR($D154&lt;&gt;"Serviço",AND(AUTOEVENTO="Manual",$M154=$A$15)),0,
         IF(OFFSET(CRONOPLE!$F$15,$M154-$A$15,CC$13)=0,10^12,OFFSET(CRONOPLE!$F$15,$M154-$A$15,CC$13)))</f>
        <v>11</v>
      </c>
      <c r="CD154" s="171">
        <f ca="1">IF(OR($D154&lt;&gt;"Serviço",AND(AUTOEVENTO="Manual",$M154=$A$15)),0,
         IF(OFFSET(CRONOPLE!$F$15,$M154-$A$15,CD$13)=0,10^12,OFFSET(CRONOPLE!$F$15,$M154-$A$15,CD$13)))</f>
        <v>12</v>
      </c>
      <c r="CE154" s="171">
        <f ca="1">IF(OR($D154&lt;&gt;"Serviço",AND(AUTOEVENTO="Manual",$M154=$A$15)),0,
         IF(OFFSET(CRONOPLE!$F$15,$M154-$A$15,CE$13)=0,10^12,OFFSET(CRONOPLE!$F$15,$M154-$A$15,CE$13)))</f>
        <v>13</v>
      </c>
      <c r="CF154" s="171">
        <f ca="1">IF(OR($D154&lt;&gt;"Serviço",AND(AUTOEVENTO="Manual",$M154=$A$15)),0,
         IF(OFFSET(CRONOPLE!$F$15,$M154-$A$15,CF$13)=0,10^12,OFFSET(CRONOPLE!$F$15,$M154-$A$15,CF$13)))</f>
        <v>14</v>
      </c>
      <c r="CG154" s="171">
        <f ca="1">IF(OR($D154&lt;&gt;"Serviço",AND(AUTOEVENTO="Manual",$M154=$A$15)),0,
         IF(OFFSET(CRONOPLE!$F$15,$M154-$A$15,CG$13)=0,10^12,OFFSET(CRONOPLE!$F$15,$M154-$A$15,CG$13)))</f>
        <v>15</v>
      </c>
      <c r="CH154" s="171">
        <f ca="1">IF(OR($D154&lt;&gt;"Serviço",AND(AUTOEVENTO="Manual",$M154=$A$15)),0,
         IF(OFFSET(CRONOPLE!$F$15,$M154-$A$15,CH$13)=0,10^12,OFFSET(CRONOPLE!$F$15,$M154-$A$15,CH$13)))</f>
        <v>16</v>
      </c>
      <c r="CI154" s="171">
        <f ca="1">IF(OR($D154&lt;&gt;"Serviço",AND(AUTOEVENTO="Manual",$M154=$A$15)),0,
         IF(OFFSET(CRONOPLE!$F$15,$M154-$A$15,CI$13)=0,10^12,OFFSET(CRONOPLE!$F$15,$M154-$A$15,CI$13)))</f>
        <v>17</v>
      </c>
      <c r="CJ154" s="171">
        <f ca="1">IF(OR($D154&lt;&gt;"Serviço",AND(AUTOEVENTO="Manual",$M154=$A$15)),0,
         IF(OFFSET(CRONOPLE!$F$15,$M154-$A$15,CJ$13)=0,10^12,OFFSET(CRONOPLE!$F$15,$M154-$A$15,CJ$13)))</f>
        <v>18</v>
      </c>
      <c r="CK154" s="171">
        <f ca="1">IF(OR($D154&lt;&gt;"Serviço",AND(AUTOEVENTO="Manual",$M154=$A$15)),0,
         IF(OFFSET(CRONOPLE!$F$15,$M154-$A$15,CK$13)=0,10^12,OFFSET(CRONOPLE!$F$15,$M154-$A$15,CK$13)))</f>
        <v>19</v>
      </c>
      <c r="CL154" s="171">
        <f ca="1">IF(OR($D154&lt;&gt;"Serviço",AND(AUTOEVENTO="Manual",$M154=$A$15)),0,
         IF(OFFSET(CRONOPLE!$F$15,$M154-$A$15,CL$13)=0,10^12,OFFSET(CRONOPLE!$F$15,$M154-$A$15,CL$13)))</f>
        <v>20</v>
      </c>
      <c r="CM154" s="171">
        <f ca="1">IF(OR($D154&lt;&gt;"Serviço",AND(AUTOEVENTO="Manual",$M154=$A$15)),0,
         IF(OFFSET(CRONOPLE!$F$15,$M154-$A$15,CM$13)=0,10^12,OFFSET(CRONOPLE!$F$15,$M154-$A$15,CM$13)))</f>
        <v>1000000000000</v>
      </c>
      <c r="CN154" s="171">
        <f ca="1">IF(OR($D154&lt;&gt;"Serviço",AND(AUTOEVENTO="Manual",$M154=$A$15)),0,
         IF(OFFSET(CRONOPLE!$F$15,$M154-$A$15,CN$13)=0,10^12,OFFSET(CRONOPLE!$F$15,$M154-$A$15,CN$13)))</f>
        <v>1000000000000</v>
      </c>
      <c r="CO154" s="171">
        <f ca="1">IF(OR($D154&lt;&gt;"Serviço",AND(AUTOEVENTO="Manual",$M154=$A$15)),0,
         IF(OFFSET(CRONOPLE!$F$15,$M154-$A$15,CO$13)=0,10^12,OFFSET(CRONOPLE!$F$15,$M154-$A$15,CO$13)))</f>
        <v>1000000000000</v>
      </c>
      <c r="CP154" s="171">
        <f ca="1">IF(OR($D154&lt;&gt;"Serviço",AND(AUTOEVENTO="Manual",$M154=$A$15)),0,
         IF(OFFSET(CRONOPLE!$F$15,$M154-$A$15,CP$13)=0,10^12,OFFSET(CRONOPLE!$F$15,$M154-$A$15,CP$13)))</f>
        <v>1000000000000</v>
      </c>
      <c r="CQ154" s="171">
        <f ca="1">IF(OR($D154&lt;&gt;"Serviço",AND(AUTOEVENTO="Manual",$M154=$A$15)),0,
         IF(OFFSET(CRONOPLE!$F$15,$M154-$A$15,CQ$13)=0,10^12,OFFSET(CRONOPLE!$F$15,$M154-$A$15,CQ$13)))</f>
        <v>1000000000000</v>
      </c>
      <c r="CR154" s="171">
        <f ca="1">IF(OR($D154&lt;&gt;"Serviço",AND(AUTOEVENTO="Manual",$M154=$A$15)),0,
         IF(OFFSET(CRONOPLE!$F$15,$M154-$A$15,CR$13)=0,10^12,OFFSET(CRONOPLE!$F$15,$M154-$A$15,CR$13)))</f>
        <v>1000000000000</v>
      </c>
      <c r="CT154" s="172" cm="1">
        <f t="array" aca="1" ref="CT154" ca="1">IF(OR($D154&lt;&gt;"Serviço",AND(AUTOEVENTO="Manual",$M154=$A$15),$M154&gt;(ROW(PLE.lastrow)-ROW(PLE.firstrow))),0,
           IF(OFFSET(PLE!$G$15,$M154-$A$15,CT$13)="",10^12,OFFSET(PLE!$G$15,$M154-$A$15,CT$13)))</f>
        <v>1000000000000</v>
      </c>
      <c r="CU154" s="172" cm="1">
        <f t="array" aca="1" ref="CU154" ca="1">IF(OR($D154&lt;&gt;"Serviço",AND(AUTOEVENTO="Manual",$M154=$A$15),$M154&gt;(ROW(PLE.lastrow)-ROW(PLE.firstrow))),0,
           IF(OFFSET(PLE!$G$15,$M154-$A$15,CU$13)="",10^12,OFFSET(PLE!$G$15,$M154-$A$15,CU$13)))</f>
        <v>1000000000000</v>
      </c>
      <c r="CV154" s="172" cm="1">
        <f t="array" aca="1" ref="CV154" ca="1">IF(OR($D154&lt;&gt;"Serviço",AND(AUTOEVENTO="Manual",$M154=$A$15),$M154&gt;(ROW(PLE.lastrow)-ROW(PLE.firstrow))),0,
           IF(OFFSET(PLE!$G$15,$M154-$A$15,CV$13)="",10^12,OFFSET(PLE!$G$15,$M154-$A$15,CV$13)))</f>
        <v>1000000000000</v>
      </c>
      <c r="CW154" s="172" cm="1">
        <f t="array" aca="1" ref="CW154" ca="1">IF(OR($D154&lt;&gt;"Serviço",AND(AUTOEVENTO="Manual",$M154=$A$15),$M154&gt;(ROW(PLE.lastrow)-ROW(PLE.firstrow))),0,
           IF(OFFSET(PLE!$G$15,$M154-$A$15,CW$13)="",10^12,OFFSET(PLE!$G$15,$M154-$A$15,CW$13)))</f>
        <v>1000000000000</v>
      </c>
      <c r="CX154" s="172" cm="1">
        <f t="array" aca="1" ref="CX154" ca="1">IF(OR($D154&lt;&gt;"Serviço",AND(AUTOEVENTO="Manual",$M154=$A$15),$M154&gt;(ROW(PLE.lastrow)-ROW(PLE.firstrow))),0,
           IF(OFFSET(PLE!$G$15,$M154-$A$15,CX$13)="",10^12,OFFSET(PLE!$G$15,$M154-$A$15,CX$13)))</f>
        <v>1000000000000</v>
      </c>
      <c r="CY154" s="172" cm="1">
        <f t="array" aca="1" ref="CY154" ca="1">IF(OR($D154&lt;&gt;"Serviço",AND(AUTOEVENTO="Manual",$M154=$A$15),$M154&gt;(ROW(PLE.lastrow)-ROW(PLE.firstrow))),0,
           IF(OFFSET(PLE!$G$15,$M154-$A$15,CY$13)="",10^12,OFFSET(PLE!$G$15,$M154-$A$15,CY$13)))</f>
        <v>1000000000000</v>
      </c>
      <c r="CZ154" s="172" cm="1">
        <f t="array" aca="1" ref="CZ154" ca="1">IF(OR($D154&lt;&gt;"Serviço",AND(AUTOEVENTO="Manual",$M154=$A$15),$M154&gt;(ROW(PLE.lastrow)-ROW(PLE.firstrow))),0,
           IF(OFFSET(PLE!$G$15,$M154-$A$15,CZ$13)="",10^12,OFFSET(PLE!$G$15,$M154-$A$15,CZ$13)))</f>
        <v>1000000000000</v>
      </c>
      <c r="DA154" s="172" cm="1">
        <f t="array" aca="1" ref="DA154" ca="1">IF(OR($D154&lt;&gt;"Serviço",AND(AUTOEVENTO="Manual",$M154=$A$15),$M154&gt;(ROW(PLE.lastrow)-ROW(PLE.firstrow))),0,
           IF(OFFSET(PLE!$G$15,$M154-$A$15,DA$13)="",10^12,OFFSET(PLE!$G$15,$M154-$A$15,DA$13)))</f>
        <v>1000000000000</v>
      </c>
      <c r="DB154" s="172" cm="1">
        <f t="array" aca="1" ref="DB154" ca="1">IF(OR($D154&lt;&gt;"Serviço",AND(AUTOEVENTO="Manual",$M154=$A$15),$M154&gt;(ROW(PLE.lastrow)-ROW(PLE.firstrow))),0,
           IF(OFFSET(PLE!$G$15,$M154-$A$15,DB$13)="",10^12,OFFSET(PLE!$G$15,$M154-$A$15,DB$13)))</f>
        <v>1000000000000</v>
      </c>
      <c r="DC154" s="172" cm="1">
        <f t="array" aca="1" ref="DC154" ca="1">IF(OR($D154&lt;&gt;"Serviço",AND(AUTOEVENTO="Manual",$M154=$A$15),$M154&gt;(ROW(PLE.lastrow)-ROW(PLE.firstrow))),0,
           IF(OFFSET(PLE!$G$15,$M154-$A$15,DC$13)="",10^12,OFFSET(PLE!$G$15,$M154-$A$15,DC$13)))</f>
        <v>1000000000000</v>
      </c>
      <c r="DD154" s="172" cm="1">
        <f t="array" aca="1" ref="DD154" ca="1">IF(OR($D154&lt;&gt;"Serviço",AND(AUTOEVENTO="Manual",$M154=$A$15),$M154&gt;(ROW(PLE.lastrow)-ROW(PLE.firstrow))),0,
           IF(OFFSET(PLE!$G$15,$M154-$A$15,DD$13)="",10^12,OFFSET(PLE!$G$15,$M154-$A$15,DD$13)))</f>
        <v>1000000000000</v>
      </c>
      <c r="DE154" s="172" cm="1">
        <f t="array" aca="1" ref="DE154" ca="1">IF(OR($D154&lt;&gt;"Serviço",AND(AUTOEVENTO="Manual",$M154=$A$15),$M154&gt;(ROW(PLE.lastrow)-ROW(PLE.firstrow))),0,
           IF(OFFSET(PLE!$G$15,$M154-$A$15,DE$13)="",10^12,OFFSET(PLE!$G$15,$M154-$A$15,DE$13)))</f>
        <v>1000000000000</v>
      </c>
      <c r="DF154" s="172" cm="1">
        <f t="array" aca="1" ref="DF154" ca="1">IF(OR($D154&lt;&gt;"Serviço",AND(AUTOEVENTO="Manual",$M154=$A$15),$M154&gt;(ROW(PLE.lastrow)-ROW(PLE.firstrow))),0,
           IF(OFFSET(PLE!$G$15,$M154-$A$15,DF$13)="",10^12,OFFSET(PLE!$G$15,$M154-$A$15,DF$13)))</f>
        <v>1000000000000</v>
      </c>
      <c r="DG154" s="172" cm="1">
        <f t="array" aca="1" ref="DG154" ca="1">IF(OR($D154&lt;&gt;"Serviço",AND(AUTOEVENTO="Manual",$M154=$A$15),$M154&gt;(ROW(PLE.lastrow)-ROW(PLE.firstrow))),0,
           IF(OFFSET(PLE!$G$15,$M154-$A$15,DG$13)="",10^12,OFFSET(PLE!$G$15,$M154-$A$15,DG$13)))</f>
        <v>1000000000000</v>
      </c>
      <c r="DH154" s="172" cm="1">
        <f t="array" aca="1" ref="DH154" ca="1">IF(OR($D154&lt;&gt;"Serviço",AND(AUTOEVENTO="Manual",$M154=$A$15),$M154&gt;(ROW(PLE.lastrow)-ROW(PLE.firstrow))),0,
           IF(OFFSET(PLE!$G$15,$M154-$A$15,DH$13)="",10^12,OFFSET(PLE!$G$15,$M154-$A$15,DH$13)))</f>
        <v>1000000000000</v>
      </c>
      <c r="DI154" s="172" cm="1">
        <f t="array" aca="1" ref="DI154" ca="1">IF(OR($D154&lt;&gt;"Serviço",AND(AUTOEVENTO="Manual",$M154=$A$15),$M154&gt;(ROW(PLE.lastrow)-ROW(PLE.firstrow))),0,
           IF(OFFSET(PLE!$G$15,$M154-$A$15,DI$13)="",10^12,OFFSET(PLE!$G$15,$M154-$A$15,DI$13)))</f>
        <v>1000000000000</v>
      </c>
      <c r="DJ154" s="172" cm="1">
        <f t="array" aca="1" ref="DJ154" ca="1">IF(OR($D154&lt;&gt;"Serviço",AND(AUTOEVENTO="Manual",$M154=$A$15),$M154&gt;(ROW(PLE.lastrow)-ROW(PLE.firstrow))),0,
           IF(OFFSET(PLE!$G$15,$M154-$A$15,DJ$13)="",10^12,OFFSET(PLE!$G$15,$M154-$A$15,DJ$13)))</f>
        <v>1000000000000</v>
      </c>
      <c r="DK154" s="172" cm="1">
        <f t="array" aca="1" ref="DK154" ca="1">IF(OR($D154&lt;&gt;"Serviço",AND(AUTOEVENTO="Manual",$M154=$A$15),$M154&gt;(ROW(PLE.lastrow)-ROW(PLE.firstrow))),0,
           IF(OFFSET(PLE!$G$15,$M154-$A$15,DK$13)="",10^12,OFFSET(PLE!$G$15,$M154-$A$15,DK$13)))</f>
        <v>1000000000000</v>
      </c>
      <c r="DL154" s="172" cm="1">
        <f t="array" aca="1" ref="DL154" ca="1">IF(OR($D154&lt;&gt;"Serviço",AND(AUTOEVENTO="Manual",$M154=$A$15),$M154&gt;(ROW(PLE.lastrow)-ROW(PLE.firstrow))),0,
           IF(OFFSET(PLE!$G$15,$M154-$A$15,DL$13)="",10^12,OFFSET(PLE!$G$15,$M154-$A$15,DL$13)))</f>
        <v>1000000000000</v>
      </c>
      <c r="DM154" s="172" cm="1">
        <f t="array" aca="1" ref="DM154" ca="1">IF(OR($D154&lt;&gt;"Serviço",AND(AUTOEVENTO="Manual",$M154=$A$15),$M154&gt;(ROW(PLE.lastrow)-ROW(PLE.firstrow))),0,
           IF(OFFSET(PLE!$G$15,$M154-$A$15,DM$13)="",10^12,OFFSET(PLE!$G$15,$M154-$A$15,DM$13)))</f>
        <v>1000000000000</v>
      </c>
      <c r="DN154" s="172" cm="1">
        <f t="array" aca="1" ref="DN154" ca="1">IF(OR($D154&lt;&gt;"Serviço",AND(AUTOEVENTO="Manual",$M154=$A$15),$M154&gt;(ROW(PLE.lastrow)-ROW(PLE.firstrow))),0,
           IF(OFFSET(PLE!$G$15,$M154-$A$15,DN$13)="",10^12,OFFSET(PLE!$G$15,$M154-$A$15,DN$13)))</f>
        <v>1000000000000</v>
      </c>
      <c r="DO154" s="172" cm="1">
        <f t="array" aca="1" ref="DO154" ca="1">IF(OR($D154&lt;&gt;"Serviço",AND(AUTOEVENTO="Manual",$M154=$A$15),$M154&gt;(ROW(PLE.lastrow)-ROW(PLE.firstrow))),0,
           IF(OFFSET(PLE!$G$15,$M154-$A$15,DO$13)="",10^12,OFFSET(PLE!$G$15,$M154-$A$15,DO$13)))</f>
        <v>1000000000000</v>
      </c>
      <c r="DP154" s="172" cm="1">
        <f t="array" aca="1" ref="DP154" ca="1">IF(OR($D154&lt;&gt;"Serviço",AND(AUTOEVENTO="Manual",$M154=$A$15),$M154&gt;(ROW(PLE.lastrow)-ROW(PLE.firstrow))),0,
           IF(OFFSET(PLE!$G$15,$M154-$A$15,DP$13)="",10^12,OFFSET(PLE!$G$15,$M154-$A$15,DP$13)))</f>
        <v>1000000000000</v>
      </c>
      <c r="DQ154" s="172" cm="1">
        <f t="array" aca="1" ref="DQ154" ca="1">IF(OR($D154&lt;&gt;"Serviço",AND(AUTOEVENTO="Manual",$M154=$A$15),$M154&gt;(ROW(PLE.lastrow)-ROW(PLE.firstrow))),0,
           IF(OFFSET(PLE!$G$15,$M154-$A$15,DQ$13)="",10^12,OFFSET(PLE!$G$15,$M154-$A$15,DQ$13)))</f>
        <v>1000000000000</v>
      </c>
      <c r="DR154" s="172" cm="1">
        <f t="array" aca="1" ref="DR154" ca="1">IF(OR($D154&lt;&gt;"Serviço",AND(AUTOEVENTO="Manual",$M154=$A$15),$M154&gt;(ROW(PLE.lastrow)-ROW(PLE.firstrow))),0,
           IF(OFFSET(PLE!$G$15,$M154-$A$15,DR$13)="",10^12,OFFSET(PLE!$G$15,$M154-$A$15,DR$13)))</f>
        <v>1000000000000</v>
      </c>
      <c r="DS154" s="172" cm="1">
        <f t="array" aca="1" ref="DS154" ca="1">IF(OR($D154&lt;&gt;"Serviço",AND(AUTOEVENTO="Manual",$M154=$A$15),$M154&gt;(ROW(PLE.lastrow)-ROW(PLE.firstrow))),0,
           IF(OFFSET(PLE!$G$15,$M154-$A$15,DS$13)="",10^12,OFFSET(PLE!$G$15,$M154-$A$15,DS$13)))</f>
        <v>1000000000000</v>
      </c>
    </row>
    <row r="155" spans="1:123" ht="25.5" x14ac:dyDescent="0.2">
      <c r="A155" s="7">
        <f t="shared" ca="1" si="16"/>
        <v>9</v>
      </c>
      <c r="B155" s="7" t="str">
        <f ca="1">OFFSET(ORÇAMENTO!C$15,$L155,0)</f>
        <v>S</v>
      </c>
      <c r="C155" s="7" t="str">
        <f ca="1">OFFSET(ORÇAMENTO!L$15,$L155,0)</f>
        <v/>
      </c>
      <c r="D155" s="116" t="str">
        <f ca="1">OFFSET(ORÇAMENTO!N$15,$L155,0)</f>
        <v>Serviço</v>
      </c>
      <c r="E155" s="117" t="str">
        <f ca="1">OFFSET(ORÇAMENTO!O$15,$L155,0)</f>
        <v>-</v>
      </c>
      <c r="F155" s="163" t="str">
        <f ca="1">OFFSET(ORÇAMENTO!R$15,$L155,0)</f>
        <v>(Código não identificado nas referências)</v>
      </c>
      <c r="G155" s="164" t="str">
        <f ca="1">IF($D155&lt;&gt;"Serviço","",OFFSET(ORÇAMENTO!S$15,$L155,0))</f>
        <v>-</v>
      </c>
      <c r="H155" s="122" cm="1">
        <f t="array" aca="1" ref="H155" ca="1">IF($D155&lt;&gt;"Serviço",0,IF(ACOMPANHAMENTO="BM",ROUND(OFFSET(ORÇAMENTO!AJ$15,$L155,0),15-13*ORÇAMENTO!$AF$7),IF(IFERROR(CÁLCULO.FrentesPreenchidas,0)=0,0,SUM(ROUND(OFFSET($P155,0,1,1,CÁLCULO.FrentesPreenchidas),15-13*ORÇAMENTO!$AF$7)))))</f>
        <v>140</v>
      </c>
      <c r="I155" s="468" t="s">
        <v>1235</v>
      </c>
      <c r="J155" s="651" t="str" cm="1">
        <f t="array" aca="1" ref="J155" ca="1">IF(OR(B155&lt;&gt;"S",CÁLCULO.FrentesPreenchidas=0),"",IF(AND(ACOMPANHAMENTO="PLE",AUTOEVENTO="Manual",OR(H155&gt;0,ORÇAMENTO!AC155="QUANT."),OR(K155="",M155=0,N155="")),"►E",IF(AND(ACOMPANHAMENTO="PLE",ORÇAMENTO!AC155="QUANT."),"►Q",IF(AND(ACOMPANHAMENTO="PLE",H155&lt;&gt;SUMPRODUCT(($Q$1:$AQ$1=1)*ROUND(Q155:AQ155,15))),"►S",IF(AND(COUNTIF($P$11:$AQ$11,"▼")=0,H155&gt;0,I155=""),"◄M","")))))</f>
        <v/>
      </c>
      <c r="K155" s="652" t="s">
        <v>1257</v>
      </c>
      <c r="L155" s="165">
        <f t="shared" ca="1" si="17"/>
        <v>140</v>
      </c>
      <c r="M155" s="166">
        <f ca="1">IF($D155&lt;&gt;"Serviço","",
          IF(AUTOEVENTO="manual",$A155,
                IF(ISERROR(MATCH($A155,$A$15:OFFSET($A155,-1,0),0)),MAX($M$15:OFFSET(M155,-1,0))+1,
                      INDEX($M$15:OFFSET(M155,-1,0),MATCH($A155,$A$15:OFFSET($A155,-1,0),0)))))</f>
        <v>9</v>
      </c>
      <c r="N155" s="167" t="str">
        <f ca="1">IF($D155&lt;&gt;"Serviço","",
         IF(AUTOEVENTO="Manual",
                IF($A155=0,"&lt;-- defina o número do agrupador",
                       OFFSET(EVENTOS!$D$15,$A155-$A$15,0)),
                OFFSET($F$15,$A155,0)))</f>
        <v>INSTALAÇÕES</v>
      </c>
      <c r="O155" s="168"/>
      <c r="Q155" s="168">
        <v>7</v>
      </c>
      <c r="R155" s="169">
        <v>7</v>
      </c>
      <c r="S155" s="169">
        <v>7</v>
      </c>
      <c r="T155" s="169">
        <v>7</v>
      </c>
      <c r="U155" s="169">
        <v>7</v>
      </c>
      <c r="V155" s="169">
        <v>7</v>
      </c>
      <c r="W155" s="169">
        <v>7</v>
      </c>
      <c r="X155" s="169">
        <v>7</v>
      </c>
      <c r="Y155" s="169">
        <v>7</v>
      </c>
      <c r="Z155" s="170">
        <v>7</v>
      </c>
      <c r="AA155" s="169">
        <v>7</v>
      </c>
      <c r="AB155" s="169">
        <v>7</v>
      </c>
      <c r="AC155" s="169">
        <v>7</v>
      </c>
      <c r="AD155" s="169">
        <v>7</v>
      </c>
      <c r="AE155" s="169">
        <v>7</v>
      </c>
      <c r="AF155" s="169">
        <v>7</v>
      </c>
      <c r="AG155" s="169">
        <v>7</v>
      </c>
      <c r="AH155" s="170">
        <v>7</v>
      </c>
      <c r="AI155" s="169">
        <v>7</v>
      </c>
      <c r="AJ155" s="169">
        <v>7</v>
      </c>
      <c r="AK155" s="169"/>
      <c r="AL155" s="169"/>
      <c r="AM155" s="169"/>
      <c r="AN155" s="169"/>
      <c r="AO155" s="169"/>
      <c r="AP155" s="170"/>
      <c r="AR155" s="453">
        <f ca="1">IF(AND($D155="Serviço",AR$12&lt;&gt;0,$H155&gt;0,OR(AUTOEVENTO&lt;&gt;"manual",$M155&lt;&gt;$A$15)),
        IF(Import.TipoArredondamento&lt;&gt;"TransfereGOV",
              ROUND(OFFSET($P155,0,AR$13),15-13*ORÇAMENTO!$AF$7)/$H155*OFFSET(ORÇAMENTO!$X$15,ROW(AR155)-ROW(AR$15),0),
              ROUND(ROUND(OFFSET($P155,0,AR$13),15-13*ORÇAMENTO!$AF$7)*OFFSET(ORÇAMENTO!$W$15,ROW(AR155)-ROW(AR$15),0),15-13*ORÇAMENTO!$AF$11)),
         0)</f>
        <v>0</v>
      </c>
      <c r="AS155" s="453">
        <f ca="1">IF(AND($D155="Serviço",AS$12&lt;&gt;0,$H155&gt;0,OR(AUTOEVENTO&lt;&gt;"manual",$M155&lt;&gt;$A$15)),
        IF(Import.TipoArredondamento&lt;&gt;"TransfereGOV",
              ROUND(OFFSET($P155,0,AS$13),15-13*ORÇAMENTO!$AF$7)/$H155*OFFSET(ORÇAMENTO!$X$15,ROW(AS155)-ROW(AS$15),0),
              ROUND(ROUND(OFFSET($P155,0,AS$13),15-13*ORÇAMENTO!$AF$7)*OFFSET(ORÇAMENTO!$W$15,ROW(AS155)-ROW(AS$15),0),15-13*ORÇAMENTO!$AF$11)),
         0)</f>
        <v>0</v>
      </c>
      <c r="AT155" s="453">
        <f ca="1">IF(AND($D155="Serviço",AT$12&lt;&gt;0,$H155&gt;0,OR(AUTOEVENTO&lt;&gt;"manual",$M155&lt;&gt;$A$15)),
        IF(Import.TipoArredondamento&lt;&gt;"TransfereGOV",
              ROUND(OFFSET($P155,0,AT$13),15-13*ORÇAMENTO!$AF$7)/$H155*OFFSET(ORÇAMENTO!$X$15,ROW(AT155)-ROW(AT$15),0),
              ROUND(ROUND(OFFSET($P155,0,AT$13),15-13*ORÇAMENTO!$AF$7)*OFFSET(ORÇAMENTO!$W$15,ROW(AT155)-ROW(AT$15),0),15-13*ORÇAMENTO!$AF$11)),
         0)</f>
        <v>0</v>
      </c>
      <c r="AU155" s="453">
        <f ca="1">IF(AND($D155="Serviço",AU$12&lt;&gt;0,$H155&gt;0,OR(AUTOEVENTO&lt;&gt;"manual",$M155&lt;&gt;$A$15)),
        IF(Import.TipoArredondamento&lt;&gt;"TransfereGOV",
              ROUND(OFFSET($P155,0,AU$13),15-13*ORÇAMENTO!$AF$7)/$H155*OFFSET(ORÇAMENTO!$X$15,ROW(AU155)-ROW(AU$15),0),
              ROUND(ROUND(OFFSET($P155,0,AU$13),15-13*ORÇAMENTO!$AF$7)*OFFSET(ORÇAMENTO!$W$15,ROW(AU155)-ROW(AU$15),0),15-13*ORÇAMENTO!$AF$11)),
         0)</f>
        <v>0</v>
      </c>
      <c r="AV155" s="453">
        <f ca="1">IF(AND($D155="Serviço",AV$12&lt;&gt;0,$H155&gt;0,OR(AUTOEVENTO&lt;&gt;"manual",$M155&lt;&gt;$A$15)),
        IF(Import.TipoArredondamento&lt;&gt;"TransfereGOV",
              ROUND(OFFSET($P155,0,AV$13),15-13*ORÇAMENTO!$AF$7)/$H155*OFFSET(ORÇAMENTO!$X$15,ROW(AV155)-ROW(AV$15),0),
              ROUND(ROUND(OFFSET($P155,0,AV$13),15-13*ORÇAMENTO!$AF$7)*OFFSET(ORÇAMENTO!$W$15,ROW(AV155)-ROW(AV$15),0),15-13*ORÇAMENTO!$AF$11)),
         0)</f>
        <v>0</v>
      </c>
      <c r="AW155" s="453">
        <f ca="1">IF(AND($D155="Serviço",AW$12&lt;&gt;0,$H155&gt;0,OR(AUTOEVENTO&lt;&gt;"manual",$M155&lt;&gt;$A$15)),
        IF(Import.TipoArredondamento&lt;&gt;"TransfereGOV",
              ROUND(OFFSET($P155,0,AW$13),15-13*ORÇAMENTO!$AF$7)/$H155*OFFSET(ORÇAMENTO!$X$15,ROW(AW155)-ROW(AW$15),0),
              ROUND(ROUND(OFFSET($P155,0,AW$13),15-13*ORÇAMENTO!$AF$7)*OFFSET(ORÇAMENTO!$W$15,ROW(AW155)-ROW(AW$15),0),15-13*ORÇAMENTO!$AF$11)),
         0)</f>
        <v>0</v>
      </c>
      <c r="AX155" s="453">
        <f ca="1">IF(AND($D155="Serviço",AX$12&lt;&gt;0,$H155&gt;0,OR(AUTOEVENTO&lt;&gt;"manual",$M155&lt;&gt;$A$15)),
        IF(Import.TipoArredondamento&lt;&gt;"TransfereGOV",
              ROUND(OFFSET($P155,0,AX$13),15-13*ORÇAMENTO!$AF$7)/$H155*OFFSET(ORÇAMENTO!$X$15,ROW(AX155)-ROW(AX$15),0),
              ROUND(ROUND(OFFSET($P155,0,AX$13),15-13*ORÇAMENTO!$AF$7)*OFFSET(ORÇAMENTO!$W$15,ROW(AX155)-ROW(AX$15),0),15-13*ORÇAMENTO!$AF$11)),
         0)</f>
        <v>0</v>
      </c>
      <c r="AY155" s="453">
        <f ca="1">IF(AND($D155="Serviço",AY$12&lt;&gt;0,$H155&gt;0,OR(AUTOEVENTO&lt;&gt;"manual",$M155&lt;&gt;$A$15)),
        IF(Import.TipoArredondamento&lt;&gt;"TransfereGOV",
              ROUND(OFFSET($P155,0,AY$13),15-13*ORÇAMENTO!$AF$7)/$H155*OFFSET(ORÇAMENTO!$X$15,ROW(AY155)-ROW(AY$15),0),
              ROUND(ROUND(OFFSET($P155,0,AY$13),15-13*ORÇAMENTO!$AF$7)*OFFSET(ORÇAMENTO!$W$15,ROW(AY155)-ROW(AY$15),0),15-13*ORÇAMENTO!$AF$11)),
         0)</f>
        <v>0</v>
      </c>
      <c r="AZ155" s="453">
        <f ca="1">IF(AND($D155="Serviço",AZ$12&lt;&gt;0,$H155&gt;0,OR(AUTOEVENTO&lt;&gt;"manual",$M155&lt;&gt;$A$15)),
        IF(Import.TipoArredondamento&lt;&gt;"TransfereGOV",
              ROUND(OFFSET($P155,0,AZ$13),15-13*ORÇAMENTO!$AF$7)/$H155*OFFSET(ORÇAMENTO!$X$15,ROW(AZ155)-ROW(AZ$15),0),
              ROUND(ROUND(OFFSET($P155,0,AZ$13),15-13*ORÇAMENTO!$AF$7)*OFFSET(ORÇAMENTO!$W$15,ROW(AZ155)-ROW(AZ$15),0),15-13*ORÇAMENTO!$AF$11)),
         0)</f>
        <v>0</v>
      </c>
      <c r="BA155" s="453">
        <f ca="1">IF(AND($D155="Serviço",BA$12&lt;&gt;0,$H155&gt;0,OR(AUTOEVENTO&lt;&gt;"manual",$M155&lt;&gt;$A$15)),
        IF(Import.TipoArredondamento&lt;&gt;"TransfereGOV",
              ROUND(OFFSET($P155,0,BA$13),15-13*ORÇAMENTO!$AF$7)/$H155*OFFSET(ORÇAMENTO!$X$15,ROW(BA155)-ROW(BA$15),0),
              ROUND(ROUND(OFFSET($P155,0,BA$13),15-13*ORÇAMENTO!$AF$7)*OFFSET(ORÇAMENTO!$W$15,ROW(BA155)-ROW(BA$15),0),15-13*ORÇAMENTO!$AF$11)),
         0)</f>
        <v>0</v>
      </c>
      <c r="BB155" s="453">
        <f ca="1">IF(AND($D155="Serviço",BB$12&lt;&gt;0,$H155&gt;0,OR(AUTOEVENTO&lt;&gt;"manual",$M155&lt;&gt;$A$15)),
        IF(Import.TipoArredondamento&lt;&gt;"TransfereGOV",
              ROUND(OFFSET($P155,0,BB$13),15-13*ORÇAMENTO!$AF$7)/$H155*OFFSET(ORÇAMENTO!$X$15,ROW(BB155)-ROW(BB$15),0),
              ROUND(ROUND(OFFSET($P155,0,BB$13),15-13*ORÇAMENTO!$AF$7)*OFFSET(ORÇAMENTO!$W$15,ROW(BB155)-ROW(BB$15),0),15-13*ORÇAMENTO!$AF$11)),
         0)</f>
        <v>0</v>
      </c>
      <c r="BC155" s="453">
        <f ca="1">IF(AND($D155="Serviço",BC$12&lt;&gt;0,$H155&gt;0,OR(AUTOEVENTO&lt;&gt;"manual",$M155&lt;&gt;$A$15)),
        IF(Import.TipoArredondamento&lt;&gt;"TransfereGOV",
              ROUND(OFFSET($P155,0,BC$13),15-13*ORÇAMENTO!$AF$7)/$H155*OFFSET(ORÇAMENTO!$X$15,ROW(BC155)-ROW(BC$15),0),
              ROUND(ROUND(OFFSET($P155,0,BC$13),15-13*ORÇAMENTO!$AF$7)*OFFSET(ORÇAMENTO!$W$15,ROW(BC155)-ROW(BC$15),0),15-13*ORÇAMENTO!$AF$11)),
         0)</f>
        <v>0</v>
      </c>
      <c r="BD155" s="453">
        <f ca="1">IF(AND($D155="Serviço",BD$12&lt;&gt;0,$H155&gt;0,OR(AUTOEVENTO&lt;&gt;"manual",$M155&lt;&gt;$A$15)),
        IF(Import.TipoArredondamento&lt;&gt;"TransfereGOV",
              ROUND(OFFSET($P155,0,BD$13),15-13*ORÇAMENTO!$AF$7)/$H155*OFFSET(ORÇAMENTO!$X$15,ROW(BD155)-ROW(BD$15),0),
              ROUND(ROUND(OFFSET($P155,0,BD$13),15-13*ORÇAMENTO!$AF$7)*OFFSET(ORÇAMENTO!$W$15,ROW(BD155)-ROW(BD$15),0),15-13*ORÇAMENTO!$AF$11)),
         0)</f>
        <v>0</v>
      </c>
      <c r="BE155" s="453">
        <f ca="1">IF(AND($D155="Serviço",BE$12&lt;&gt;0,$H155&gt;0,OR(AUTOEVENTO&lt;&gt;"manual",$M155&lt;&gt;$A$15)),
        IF(Import.TipoArredondamento&lt;&gt;"TransfereGOV",
              ROUND(OFFSET($P155,0,BE$13),15-13*ORÇAMENTO!$AF$7)/$H155*OFFSET(ORÇAMENTO!$X$15,ROW(BE155)-ROW(BE$15),0),
              ROUND(ROUND(OFFSET($P155,0,BE$13),15-13*ORÇAMENTO!$AF$7)*OFFSET(ORÇAMENTO!$W$15,ROW(BE155)-ROW(BE$15),0),15-13*ORÇAMENTO!$AF$11)),
         0)</f>
        <v>0</v>
      </c>
      <c r="BF155" s="453">
        <f ca="1">IF(AND($D155="Serviço",BF$12&lt;&gt;0,$H155&gt;0,OR(AUTOEVENTO&lt;&gt;"manual",$M155&lt;&gt;$A$15)),
        IF(Import.TipoArredondamento&lt;&gt;"TransfereGOV",
              ROUND(OFFSET($P155,0,BF$13),15-13*ORÇAMENTO!$AF$7)/$H155*OFFSET(ORÇAMENTO!$X$15,ROW(BF155)-ROW(BF$15),0),
              ROUND(ROUND(OFFSET($P155,0,BF$13),15-13*ORÇAMENTO!$AF$7)*OFFSET(ORÇAMENTO!$W$15,ROW(BF155)-ROW(BF$15),0),15-13*ORÇAMENTO!$AF$11)),
         0)</f>
        <v>0</v>
      </c>
      <c r="BG155" s="453">
        <f ca="1">IF(AND($D155="Serviço",BG$12&lt;&gt;0,$H155&gt;0,OR(AUTOEVENTO&lt;&gt;"manual",$M155&lt;&gt;$A$15)),
        IF(Import.TipoArredondamento&lt;&gt;"TransfereGOV",
              ROUND(OFFSET($P155,0,BG$13),15-13*ORÇAMENTO!$AF$7)/$H155*OFFSET(ORÇAMENTO!$X$15,ROW(BG155)-ROW(BG$15),0),
              ROUND(ROUND(OFFSET($P155,0,BG$13),15-13*ORÇAMENTO!$AF$7)*OFFSET(ORÇAMENTO!$W$15,ROW(BG155)-ROW(BG$15),0),15-13*ORÇAMENTO!$AF$11)),
         0)</f>
        <v>0</v>
      </c>
      <c r="BH155" s="453">
        <f ca="1">IF(AND($D155="Serviço",BH$12&lt;&gt;0,$H155&gt;0,OR(AUTOEVENTO&lt;&gt;"manual",$M155&lt;&gt;$A$15)),
        IF(Import.TipoArredondamento&lt;&gt;"TransfereGOV",
              ROUND(OFFSET($P155,0,BH$13),15-13*ORÇAMENTO!$AF$7)/$H155*OFFSET(ORÇAMENTO!$X$15,ROW(BH155)-ROW(BH$15),0),
              ROUND(ROUND(OFFSET($P155,0,BH$13),15-13*ORÇAMENTO!$AF$7)*OFFSET(ORÇAMENTO!$W$15,ROW(BH155)-ROW(BH$15),0),15-13*ORÇAMENTO!$AF$11)),
         0)</f>
        <v>0</v>
      </c>
      <c r="BI155" s="453">
        <f ca="1">IF(AND($D155="Serviço",BI$12&lt;&gt;0,$H155&gt;0,OR(AUTOEVENTO&lt;&gt;"manual",$M155&lt;&gt;$A$15)),
        IF(Import.TipoArredondamento&lt;&gt;"TransfereGOV",
              ROUND(OFFSET($P155,0,BI$13),15-13*ORÇAMENTO!$AF$7)/$H155*OFFSET(ORÇAMENTO!$X$15,ROW(BI155)-ROW(BI$15),0),
              ROUND(ROUND(OFFSET($P155,0,BI$13),15-13*ORÇAMENTO!$AF$7)*OFFSET(ORÇAMENTO!$W$15,ROW(BI155)-ROW(BI$15),0),15-13*ORÇAMENTO!$AF$11)),
         0)</f>
        <v>0</v>
      </c>
      <c r="BJ155" s="453">
        <f ca="1">IF(AND($D155="Serviço",BJ$12&lt;&gt;0,$H155&gt;0,OR(AUTOEVENTO&lt;&gt;"manual",$M155&lt;&gt;$A$15)),
        IF(Import.TipoArredondamento&lt;&gt;"TransfereGOV",
              ROUND(OFFSET($P155,0,BJ$13),15-13*ORÇAMENTO!$AF$7)/$H155*OFFSET(ORÇAMENTO!$X$15,ROW(BJ155)-ROW(BJ$15),0),
              ROUND(ROUND(OFFSET($P155,0,BJ$13),15-13*ORÇAMENTO!$AF$7)*OFFSET(ORÇAMENTO!$W$15,ROW(BJ155)-ROW(BJ$15),0),15-13*ORÇAMENTO!$AF$11)),
         0)</f>
        <v>0</v>
      </c>
      <c r="BK155" s="453">
        <f ca="1">IF(AND($D155="Serviço",BK$12&lt;&gt;0,$H155&gt;0,OR(AUTOEVENTO&lt;&gt;"manual",$M155&lt;&gt;$A$15)),
        IF(Import.TipoArredondamento&lt;&gt;"TransfereGOV",
              ROUND(OFFSET($P155,0,BK$13),15-13*ORÇAMENTO!$AF$7)/$H155*OFFSET(ORÇAMENTO!$X$15,ROW(BK155)-ROW(BK$15),0),
              ROUND(ROUND(OFFSET($P155,0,BK$13),15-13*ORÇAMENTO!$AF$7)*OFFSET(ORÇAMENTO!$W$15,ROW(BK155)-ROW(BK$15),0),15-13*ORÇAMENTO!$AF$11)),
         0)</f>
        <v>0</v>
      </c>
      <c r="BL155" s="453">
        <f ca="1">IF(AND($D155="Serviço",BL$12&lt;&gt;0,$H155&gt;0,OR(AUTOEVENTO&lt;&gt;"manual",$M155&lt;&gt;$A$15)),
        IF(Import.TipoArredondamento&lt;&gt;"TransfereGOV",
              ROUND(OFFSET($P155,0,BL$13),15-13*ORÇAMENTO!$AF$7)/$H155*OFFSET(ORÇAMENTO!$X$15,ROW(BL155)-ROW(BL$15),0),
              ROUND(ROUND(OFFSET($P155,0,BL$13),15-13*ORÇAMENTO!$AF$7)*OFFSET(ORÇAMENTO!$W$15,ROW(BL155)-ROW(BL$15),0),15-13*ORÇAMENTO!$AF$11)),
         0)</f>
        <v>0</v>
      </c>
      <c r="BM155" s="453">
        <f ca="1">IF(AND($D155="Serviço",BM$12&lt;&gt;0,$H155&gt;0,OR(AUTOEVENTO&lt;&gt;"manual",$M155&lt;&gt;$A$15)),
        IF(Import.TipoArredondamento&lt;&gt;"TransfereGOV",
              ROUND(OFFSET($P155,0,BM$13),15-13*ORÇAMENTO!$AF$7)/$H155*OFFSET(ORÇAMENTO!$X$15,ROW(BM155)-ROW(BM$15),0),
              ROUND(ROUND(OFFSET($P155,0,BM$13),15-13*ORÇAMENTO!$AF$7)*OFFSET(ORÇAMENTO!$W$15,ROW(BM155)-ROW(BM$15),0),15-13*ORÇAMENTO!$AF$11)),
         0)</f>
        <v>0</v>
      </c>
      <c r="BN155" s="453">
        <f ca="1">IF(AND($D155="Serviço",BN$12&lt;&gt;0,$H155&gt;0,OR(AUTOEVENTO&lt;&gt;"manual",$M155&lt;&gt;$A$15)),
        IF(Import.TipoArredondamento&lt;&gt;"TransfereGOV",
              ROUND(OFFSET($P155,0,BN$13),15-13*ORÇAMENTO!$AF$7)/$H155*OFFSET(ORÇAMENTO!$X$15,ROW(BN155)-ROW(BN$15),0),
              ROUND(ROUND(OFFSET($P155,0,BN$13),15-13*ORÇAMENTO!$AF$7)*OFFSET(ORÇAMENTO!$W$15,ROW(BN155)-ROW(BN$15),0),15-13*ORÇAMENTO!$AF$11)),
         0)</f>
        <v>0</v>
      </c>
      <c r="BO155" s="453">
        <f ca="1">IF(AND($D155="Serviço",BO$12&lt;&gt;0,$H155&gt;0,OR(AUTOEVENTO&lt;&gt;"manual",$M155&lt;&gt;$A$15)),
        IF(Import.TipoArredondamento&lt;&gt;"TransfereGOV",
              ROUND(OFFSET($P155,0,BO$13),15-13*ORÇAMENTO!$AF$7)/$H155*OFFSET(ORÇAMENTO!$X$15,ROW(BO155)-ROW(BO$15),0),
              ROUND(ROUND(OFFSET($P155,0,BO$13),15-13*ORÇAMENTO!$AF$7)*OFFSET(ORÇAMENTO!$W$15,ROW(BO155)-ROW(BO$15),0),15-13*ORÇAMENTO!$AF$11)),
         0)</f>
        <v>0</v>
      </c>
      <c r="BP155" s="453">
        <f ca="1">IF(AND($D155="Serviço",BP$12&lt;&gt;0,$H155&gt;0,OR(AUTOEVENTO&lt;&gt;"manual",$M155&lt;&gt;$A$15)),
        IF(Import.TipoArredondamento&lt;&gt;"TransfereGOV",
              ROUND(OFFSET($P155,0,BP$13),15-13*ORÇAMENTO!$AF$7)/$H155*OFFSET(ORÇAMENTO!$X$15,ROW(BP155)-ROW(BP$15),0),
              ROUND(ROUND(OFFSET($P155,0,BP$13),15-13*ORÇAMENTO!$AF$7)*OFFSET(ORÇAMENTO!$W$15,ROW(BP155)-ROW(BP$15),0),15-13*ORÇAMENTO!$AF$11)),
         0)</f>
        <v>0</v>
      </c>
      <c r="BQ155" s="453">
        <f ca="1">IF(AND($D155="Serviço",BQ$12&lt;&gt;0,$H155&gt;0,OR(AUTOEVENTO&lt;&gt;"manual",$M155&lt;&gt;$A$15)),
        IF(Import.TipoArredondamento&lt;&gt;"TransfereGOV",
              ROUND(OFFSET($P155,0,BQ$13),15-13*ORÇAMENTO!$AF$7)/$H155*OFFSET(ORÇAMENTO!$X$15,ROW(BQ155)-ROW(BQ$15),0),
              ROUND(ROUND(OFFSET($P155,0,BQ$13),15-13*ORÇAMENTO!$AF$7)*OFFSET(ORÇAMENTO!$W$15,ROW(BQ155)-ROW(BQ$15),0),15-13*ORÇAMENTO!$AF$11)),
         0)</f>
        <v>0</v>
      </c>
      <c r="BS155" s="171">
        <f ca="1">IF(OR($D155&lt;&gt;"Serviço",AND(AUTOEVENTO="Manual",$M155=$A$15)),0,
         IF(OFFSET(CRONOPLE!$F$15,$M155-$A$15,BS$13)=0,10^12,OFFSET(CRONOPLE!$F$15,$M155-$A$15,BS$13)))</f>
        <v>1</v>
      </c>
      <c r="BT155" s="171">
        <f ca="1">IF(OR($D155&lt;&gt;"Serviço",AND(AUTOEVENTO="Manual",$M155=$A$15)),0,
         IF(OFFSET(CRONOPLE!$F$15,$M155-$A$15,BT$13)=0,10^12,OFFSET(CRONOPLE!$F$15,$M155-$A$15,BT$13)))</f>
        <v>2</v>
      </c>
      <c r="BU155" s="171">
        <f ca="1">IF(OR($D155&lt;&gt;"Serviço",AND(AUTOEVENTO="Manual",$M155=$A$15)),0,
         IF(OFFSET(CRONOPLE!$F$15,$M155-$A$15,BU$13)=0,10^12,OFFSET(CRONOPLE!$F$15,$M155-$A$15,BU$13)))</f>
        <v>3</v>
      </c>
      <c r="BV155" s="171">
        <f ca="1">IF(OR($D155&lt;&gt;"Serviço",AND(AUTOEVENTO="Manual",$M155=$A$15)),0,
         IF(OFFSET(CRONOPLE!$F$15,$M155-$A$15,BV$13)=0,10^12,OFFSET(CRONOPLE!$F$15,$M155-$A$15,BV$13)))</f>
        <v>4</v>
      </c>
      <c r="BW155" s="171">
        <f ca="1">IF(OR($D155&lt;&gt;"Serviço",AND(AUTOEVENTO="Manual",$M155=$A$15)),0,
         IF(OFFSET(CRONOPLE!$F$15,$M155-$A$15,BW$13)=0,10^12,OFFSET(CRONOPLE!$F$15,$M155-$A$15,BW$13)))</f>
        <v>5</v>
      </c>
      <c r="BX155" s="171">
        <f ca="1">IF(OR($D155&lt;&gt;"Serviço",AND(AUTOEVENTO="Manual",$M155=$A$15)),0,
         IF(OFFSET(CRONOPLE!$F$15,$M155-$A$15,BX$13)=0,10^12,OFFSET(CRONOPLE!$F$15,$M155-$A$15,BX$13)))</f>
        <v>6</v>
      </c>
      <c r="BY155" s="171">
        <f ca="1">IF(OR($D155&lt;&gt;"Serviço",AND(AUTOEVENTO="Manual",$M155=$A$15)),0,
         IF(OFFSET(CRONOPLE!$F$15,$M155-$A$15,BY$13)=0,10^12,OFFSET(CRONOPLE!$F$15,$M155-$A$15,BY$13)))</f>
        <v>7</v>
      </c>
      <c r="BZ155" s="171">
        <f ca="1">IF(OR($D155&lt;&gt;"Serviço",AND(AUTOEVENTO="Manual",$M155=$A$15)),0,
         IF(OFFSET(CRONOPLE!$F$15,$M155-$A$15,BZ$13)=0,10^12,OFFSET(CRONOPLE!$F$15,$M155-$A$15,BZ$13)))</f>
        <v>8</v>
      </c>
      <c r="CA155" s="171">
        <f ca="1">IF(OR($D155&lt;&gt;"Serviço",AND(AUTOEVENTO="Manual",$M155=$A$15)),0,
         IF(OFFSET(CRONOPLE!$F$15,$M155-$A$15,CA$13)=0,10^12,OFFSET(CRONOPLE!$F$15,$M155-$A$15,CA$13)))</f>
        <v>9</v>
      </c>
      <c r="CB155" s="171">
        <f ca="1">IF(OR($D155&lt;&gt;"Serviço",AND(AUTOEVENTO="Manual",$M155=$A$15)),0,
         IF(OFFSET(CRONOPLE!$F$15,$M155-$A$15,CB$13)=0,10^12,OFFSET(CRONOPLE!$F$15,$M155-$A$15,CB$13)))</f>
        <v>10</v>
      </c>
      <c r="CC155" s="171">
        <f ca="1">IF(OR($D155&lt;&gt;"Serviço",AND(AUTOEVENTO="Manual",$M155=$A$15)),0,
         IF(OFFSET(CRONOPLE!$F$15,$M155-$A$15,CC$13)=0,10^12,OFFSET(CRONOPLE!$F$15,$M155-$A$15,CC$13)))</f>
        <v>11</v>
      </c>
      <c r="CD155" s="171">
        <f ca="1">IF(OR($D155&lt;&gt;"Serviço",AND(AUTOEVENTO="Manual",$M155=$A$15)),0,
         IF(OFFSET(CRONOPLE!$F$15,$M155-$A$15,CD$13)=0,10^12,OFFSET(CRONOPLE!$F$15,$M155-$A$15,CD$13)))</f>
        <v>12</v>
      </c>
      <c r="CE155" s="171">
        <f ca="1">IF(OR($D155&lt;&gt;"Serviço",AND(AUTOEVENTO="Manual",$M155=$A$15)),0,
         IF(OFFSET(CRONOPLE!$F$15,$M155-$A$15,CE$13)=0,10^12,OFFSET(CRONOPLE!$F$15,$M155-$A$15,CE$13)))</f>
        <v>13</v>
      </c>
      <c r="CF155" s="171">
        <f ca="1">IF(OR($D155&lt;&gt;"Serviço",AND(AUTOEVENTO="Manual",$M155=$A$15)),0,
         IF(OFFSET(CRONOPLE!$F$15,$M155-$A$15,CF$13)=0,10^12,OFFSET(CRONOPLE!$F$15,$M155-$A$15,CF$13)))</f>
        <v>14</v>
      </c>
      <c r="CG155" s="171">
        <f ca="1">IF(OR($D155&lt;&gt;"Serviço",AND(AUTOEVENTO="Manual",$M155=$A$15)),0,
         IF(OFFSET(CRONOPLE!$F$15,$M155-$A$15,CG$13)=0,10^12,OFFSET(CRONOPLE!$F$15,$M155-$A$15,CG$13)))</f>
        <v>15</v>
      </c>
      <c r="CH155" s="171">
        <f ca="1">IF(OR($D155&lt;&gt;"Serviço",AND(AUTOEVENTO="Manual",$M155=$A$15)),0,
         IF(OFFSET(CRONOPLE!$F$15,$M155-$A$15,CH$13)=0,10^12,OFFSET(CRONOPLE!$F$15,$M155-$A$15,CH$13)))</f>
        <v>16</v>
      </c>
      <c r="CI155" s="171">
        <f ca="1">IF(OR($D155&lt;&gt;"Serviço",AND(AUTOEVENTO="Manual",$M155=$A$15)),0,
         IF(OFFSET(CRONOPLE!$F$15,$M155-$A$15,CI$13)=0,10^12,OFFSET(CRONOPLE!$F$15,$M155-$A$15,CI$13)))</f>
        <v>17</v>
      </c>
      <c r="CJ155" s="171">
        <f ca="1">IF(OR($D155&lt;&gt;"Serviço",AND(AUTOEVENTO="Manual",$M155=$A$15)),0,
         IF(OFFSET(CRONOPLE!$F$15,$M155-$A$15,CJ$13)=0,10^12,OFFSET(CRONOPLE!$F$15,$M155-$A$15,CJ$13)))</f>
        <v>18</v>
      </c>
      <c r="CK155" s="171">
        <f ca="1">IF(OR($D155&lt;&gt;"Serviço",AND(AUTOEVENTO="Manual",$M155=$A$15)),0,
         IF(OFFSET(CRONOPLE!$F$15,$M155-$A$15,CK$13)=0,10^12,OFFSET(CRONOPLE!$F$15,$M155-$A$15,CK$13)))</f>
        <v>19</v>
      </c>
      <c r="CL155" s="171">
        <f ca="1">IF(OR($D155&lt;&gt;"Serviço",AND(AUTOEVENTO="Manual",$M155=$A$15)),0,
         IF(OFFSET(CRONOPLE!$F$15,$M155-$A$15,CL$13)=0,10^12,OFFSET(CRONOPLE!$F$15,$M155-$A$15,CL$13)))</f>
        <v>20</v>
      </c>
      <c r="CM155" s="171">
        <f ca="1">IF(OR($D155&lt;&gt;"Serviço",AND(AUTOEVENTO="Manual",$M155=$A$15)),0,
         IF(OFFSET(CRONOPLE!$F$15,$M155-$A$15,CM$13)=0,10^12,OFFSET(CRONOPLE!$F$15,$M155-$A$15,CM$13)))</f>
        <v>1000000000000</v>
      </c>
      <c r="CN155" s="171">
        <f ca="1">IF(OR($D155&lt;&gt;"Serviço",AND(AUTOEVENTO="Manual",$M155=$A$15)),0,
         IF(OFFSET(CRONOPLE!$F$15,$M155-$A$15,CN$13)=0,10^12,OFFSET(CRONOPLE!$F$15,$M155-$A$15,CN$13)))</f>
        <v>1000000000000</v>
      </c>
      <c r="CO155" s="171">
        <f ca="1">IF(OR($D155&lt;&gt;"Serviço",AND(AUTOEVENTO="Manual",$M155=$A$15)),0,
         IF(OFFSET(CRONOPLE!$F$15,$M155-$A$15,CO$13)=0,10^12,OFFSET(CRONOPLE!$F$15,$M155-$A$15,CO$13)))</f>
        <v>1000000000000</v>
      </c>
      <c r="CP155" s="171">
        <f ca="1">IF(OR($D155&lt;&gt;"Serviço",AND(AUTOEVENTO="Manual",$M155=$A$15)),0,
         IF(OFFSET(CRONOPLE!$F$15,$M155-$A$15,CP$13)=0,10^12,OFFSET(CRONOPLE!$F$15,$M155-$A$15,CP$13)))</f>
        <v>1000000000000</v>
      </c>
      <c r="CQ155" s="171">
        <f ca="1">IF(OR($D155&lt;&gt;"Serviço",AND(AUTOEVENTO="Manual",$M155=$A$15)),0,
         IF(OFFSET(CRONOPLE!$F$15,$M155-$A$15,CQ$13)=0,10^12,OFFSET(CRONOPLE!$F$15,$M155-$A$15,CQ$13)))</f>
        <v>1000000000000</v>
      </c>
      <c r="CR155" s="171">
        <f ca="1">IF(OR($D155&lt;&gt;"Serviço",AND(AUTOEVENTO="Manual",$M155=$A$15)),0,
         IF(OFFSET(CRONOPLE!$F$15,$M155-$A$15,CR$13)=0,10^12,OFFSET(CRONOPLE!$F$15,$M155-$A$15,CR$13)))</f>
        <v>1000000000000</v>
      </c>
      <c r="CT155" s="172" cm="1">
        <f t="array" aca="1" ref="CT155" ca="1">IF(OR($D155&lt;&gt;"Serviço",AND(AUTOEVENTO="Manual",$M155=$A$15),$M155&gt;(ROW(PLE.lastrow)-ROW(PLE.firstrow))),0,
           IF(OFFSET(PLE!$G$15,$M155-$A$15,CT$13)="",10^12,OFFSET(PLE!$G$15,$M155-$A$15,CT$13)))</f>
        <v>1000000000000</v>
      </c>
      <c r="CU155" s="172" cm="1">
        <f t="array" aca="1" ref="CU155" ca="1">IF(OR($D155&lt;&gt;"Serviço",AND(AUTOEVENTO="Manual",$M155=$A$15),$M155&gt;(ROW(PLE.lastrow)-ROW(PLE.firstrow))),0,
           IF(OFFSET(PLE!$G$15,$M155-$A$15,CU$13)="",10^12,OFFSET(PLE!$G$15,$M155-$A$15,CU$13)))</f>
        <v>1000000000000</v>
      </c>
      <c r="CV155" s="172" cm="1">
        <f t="array" aca="1" ref="CV155" ca="1">IF(OR($D155&lt;&gt;"Serviço",AND(AUTOEVENTO="Manual",$M155=$A$15),$M155&gt;(ROW(PLE.lastrow)-ROW(PLE.firstrow))),0,
           IF(OFFSET(PLE!$G$15,$M155-$A$15,CV$13)="",10^12,OFFSET(PLE!$G$15,$M155-$A$15,CV$13)))</f>
        <v>1000000000000</v>
      </c>
      <c r="CW155" s="172" cm="1">
        <f t="array" aca="1" ref="CW155" ca="1">IF(OR($D155&lt;&gt;"Serviço",AND(AUTOEVENTO="Manual",$M155=$A$15),$M155&gt;(ROW(PLE.lastrow)-ROW(PLE.firstrow))),0,
           IF(OFFSET(PLE!$G$15,$M155-$A$15,CW$13)="",10^12,OFFSET(PLE!$G$15,$M155-$A$15,CW$13)))</f>
        <v>1000000000000</v>
      </c>
      <c r="CX155" s="172" cm="1">
        <f t="array" aca="1" ref="CX155" ca="1">IF(OR($D155&lt;&gt;"Serviço",AND(AUTOEVENTO="Manual",$M155=$A$15),$M155&gt;(ROW(PLE.lastrow)-ROW(PLE.firstrow))),0,
           IF(OFFSET(PLE!$G$15,$M155-$A$15,CX$13)="",10^12,OFFSET(PLE!$G$15,$M155-$A$15,CX$13)))</f>
        <v>1000000000000</v>
      </c>
      <c r="CY155" s="172" cm="1">
        <f t="array" aca="1" ref="CY155" ca="1">IF(OR($D155&lt;&gt;"Serviço",AND(AUTOEVENTO="Manual",$M155=$A$15),$M155&gt;(ROW(PLE.lastrow)-ROW(PLE.firstrow))),0,
           IF(OFFSET(PLE!$G$15,$M155-$A$15,CY$13)="",10^12,OFFSET(PLE!$G$15,$M155-$A$15,CY$13)))</f>
        <v>1000000000000</v>
      </c>
      <c r="CZ155" s="172" cm="1">
        <f t="array" aca="1" ref="CZ155" ca="1">IF(OR($D155&lt;&gt;"Serviço",AND(AUTOEVENTO="Manual",$M155=$A$15),$M155&gt;(ROW(PLE.lastrow)-ROW(PLE.firstrow))),0,
           IF(OFFSET(PLE!$G$15,$M155-$A$15,CZ$13)="",10^12,OFFSET(PLE!$G$15,$M155-$A$15,CZ$13)))</f>
        <v>1000000000000</v>
      </c>
      <c r="DA155" s="172" cm="1">
        <f t="array" aca="1" ref="DA155" ca="1">IF(OR($D155&lt;&gt;"Serviço",AND(AUTOEVENTO="Manual",$M155=$A$15),$M155&gt;(ROW(PLE.lastrow)-ROW(PLE.firstrow))),0,
           IF(OFFSET(PLE!$G$15,$M155-$A$15,DA$13)="",10^12,OFFSET(PLE!$G$15,$M155-$A$15,DA$13)))</f>
        <v>1000000000000</v>
      </c>
      <c r="DB155" s="172" cm="1">
        <f t="array" aca="1" ref="DB155" ca="1">IF(OR($D155&lt;&gt;"Serviço",AND(AUTOEVENTO="Manual",$M155=$A$15),$M155&gt;(ROW(PLE.lastrow)-ROW(PLE.firstrow))),0,
           IF(OFFSET(PLE!$G$15,$M155-$A$15,DB$13)="",10^12,OFFSET(PLE!$G$15,$M155-$A$15,DB$13)))</f>
        <v>1000000000000</v>
      </c>
      <c r="DC155" s="172" cm="1">
        <f t="array" aca="1" ref="DC155" ca="1">IF(OR($D155&lt;&gt;"Serviço",AND(AUTOEVENTO="Manual",$M155=$A$15),$M155&gt;(ROW(PLE.lastrow)-ROW(PLE.firstrow))),0,
           IF(OFFSET(PLE!$G$15,$M155-$A$15,DC$13)="",10^12,OFFSET(PLE!$G$15,$M155-$A$15,DC$13)))</f>
        <v>1000000000000</v>
      </c>
      <c r="DD155" s="172" cm="1">
        <f t="array" aca="1" ref="DD155" ca="1">IF(OR($D155&lt;&gt;"Serviço",AND(AUTOEVENTO="Manual",$M155=$A$15),$M155&gt;(ROW(PLE.lastrow)-ROW(PLE.firstrow))),0,
           IF(OFFSET(PLE!$G$15,$M155-$A$15,DD$13)="",10^12,OFFSET(PLE!$G$15,$M155-$A$15,DD$13)))</f>
        <v>1000000000000</v>
      </c>
      <c r="DE155" s="172" cm="1">
        <f t="array" aca="1" ref="DE155" ca="1">IF(OR($D155&lt;&gt;"Serviço",AND(AUTOEVENTO="Manual",$M155=$A$15),$M155&gt;(ROW(PLE.lastrow)-ROW(PLE.firstrow))),0,
           IF(OFFSET(PLE!$G$15,$M155-$A$15,DE$13)="",10^12,OFFSET(PLE!$G$15,$M155-$A$15,DE$13)))</f>
        <v>1000000000000</v>
      </c>
      <c r="DF155" s="172" cm="1">
        <f t="array" aca="1" ref="DF155" ca="1">IF(OR($D155&lt;&gt;"Serviço",AND(AUTOEVENTO="Manual",$M155=$A$15),$M155&gt;(ROW(PLE.lastrow)-ROW(PLE.firstrow))),0,
           IF(OFFSET(PLE!$G$15,$M155-$A$15,DF$13)="",10^12,OFFSET(PLE!$G$15,$M155-$A$15,DF$13)))</f>
        <v>1000000000000</v>
      </c>
      <c r="DG155" s="172" cm="1">
        <f t="array" aca="1" ref="DG155" ca="1">IF(OR($D155&lt;&gt;"Serviço",AND(AUTOEVENTO="Manual",$M155=$A$15),$M155&gt;(ROW(PLE.lastrow)-ROW(PLE.firstrow))),0,
           IF(OFFSET(PLE!$G$15,$M155-$A$15,DG$13)="",10^12,OFFSET(PLE!$G$15,$M155-$A$15,DG$13)))</f>
        <v>1000000000000</v>
      </c>
      <c r="DH155" s="172" cm="1">
        <f t="array" aca="1" ref="DH155" ca="1">IF(OR($D155&lt;&gt;"Serviço",AND(AUTOEVENTO="Manual",$M155=$A$15),$M155&gt;(ROW(PLE.lastrow)-ROW(PLE.firstrow))),0,
           IF(OFFSET(PLE!$G$15,$M155-$A$15,DH$13)="",10^12,OFFSET(PLE!$G$15,$M155-$A$15,DH$13)))</f>
        <v>1000000000000</v>
      </c>
      <c r="DI155" s="172" cm="1">
        <f t="array" aca="1" ref="DI155" ca="1">IF(OR($D155&lt;&gt;"Serviço",AND(AUTOEVENTO="Manual",$M155=$A$15),$M155&gt;(ROW(PLE.lastrow)-ROW(PLE.firstrow))),0,
           IF(OFFSET(PLE!$G$15,$M155-$A$15,DI$13)="",10^12,OFFSET(PLE!$G$15,$M155-$A$15,DI$13)))</f>
        <v>1000000000000</v>
      </c>
      <c r="DJ155" s="172" cm="1">
        <f t="array" aca="1" ref="DJ155" ca="1">IF(OR($D155&lt;&gt;"Serviço",AND(AUTOEVENTO="Manual",$M155=$A$15),$M155&gt;(ROW(PLE.lastrow)-ROW(PLE.firstrow))),0,
           IF(OFFSET(PLE!$G$15,$M155-$A$15,DJ$13)="",10^12,OFFSET(PLE!$G$15,$M155-$A$15,DJ$13)))</f>
        <v>1000000000000</v>
      </c>
      <c r="DK155" s="172" cm="1">
        <f t="array" aca="1" ref="DK155" ca="1">IF(OR($D155&lt;&gt;"Serviço",AND(AUTOEVENTO="Manual",$M155=$A$15),$M155&gt;(ROW(PLE.lastrow)-ROW(PLE.firstrow))),0,
           IF(OFFSET(PLE!$G$15,$M155-$A$15,DK$13)="",10^12,OFFSET(PLE!$G$15,$M155-$A$15,DK$13)))</f>
        <v>1000000000000</v>
      </c>
      <c r="DL155" s="172" cm="1">
        <f t="array" aca="1" ref="DL155" ca="1">IF(OR($D155&lt;&gt;"Serviço",AND(AUTOEVENTO="Manual",$M155=$A$15),$M155&gt;(ROW(PLE.lastrow)-ROW(PLE.firstrow))),0,
           IF(OFFSET(PLE!$G$15,$M155-$A$15,DL$13)="",10^12,OFFSET(PLE!$G$15,$M155-$A$15,DL$13)))</f>
        <v>1000000000000</v>
      </c>
      <c r="DM155" s="172" cm="1">
        <f t="array" aca="1" ref="DM155" ca="1">IF(OR($D155&lt;&gt;"Serviço",AND(AUTOEVENTO="Manual",$M155=$A$15),$M155&gt;(ROW(PLE.lastrow)-ROW(PLE.firstrow))),0,
           IF(OFFSET(PLE!$G$15,$M155-$A$15,DM$13)="",10^12,OFFSET(PLE!$G$15,$M155-$A$15,DM$13)))</f>
        <v>1000000000000</v>
      </c>
      <c r="DN155" s="172" cm="1">
        <f t="array" aca="1" ref="DN155" ca="1">IF(OR($D155&lt;&gt;"Serviço",AND(AUTOEVENTO="Manual",$M155=$A$15),$M155&gt;(ROW(PLE.lastrow)-ROW(PLE.firstrow))),0,
           IF(OFFSET(PLE!$G$15,$M155-$A$15,DN$13)="",10^12,OFFSET(PLE!$G$15,$M155-$A$15,DN$13)))</f>
        <v>1000000000000</v>
      </c>
      <c r="DO155" s="172" cm="1">
        <f t="array" aca="1" ref="DO155" ca="1">IF(OR($D155&lt;&gt;"Serviço",AND(AUTOEVENTO="Manual",$M155=$A$15),$M155&gt;(ROW(PLE.lastrow)-ROW(PLE.firstrow))),0,
           IF(OFFSET(PLE!$G$15,$M155-$A$15,DO$13)="",10^12,OFFSET(PLE!$G$15,$M155-$A$15,DO$13)))</f>
        <v>1000000000000</v>
      </c>
      <c r="DP155" s="172" cm="1">
        <f t="array" aca="1" ref="DP155" ca="1">IF(OR($D155&lt;&gt;"Serviço",AND(AUTOEVENTO="Manual",$M155=$A$15),$M155&gt;(ROW(PLE.lastrow)-ROW(PLE.firstrow))),0,
           IF(OFFSET(PLE!$G$15,$M155-$A$15,DP$13)="",10^12,OFFSET(PLE!$G$15,$M155-$A$15,DP$13)))</f>
        <v>1000000000000</v>
      </c>
      <c r="DQ155" s="172" cm="1">
        <f t="array" aca="1" ref="DQ155" ca="1">IF(OR($D155&lt;&gt;"Serviço",AND(AUTOEVENTO="Manual",$M155=$A$15),$M155&gt;(ROW(PLE.lastrow)-ROW(PLE.firstrow))),0,
           IF(OFFSET(PLE!$G$15,$M155-$A$15,DQ$13)="",10^12,OFFSET(PLE!$G$15,$M155-$A$15,DQ$13)))</f>
        <v>1000000000000</v>
      </c>
      <c r="DR155" s="172" cm="1">
        <f t="array" aca="1" ref="DR155" ca="1">IF(OR($D155&lt;&gt;"Serviço",AND(AUTOEVENTO="Manual",$M155=$A$15),$M155&gt;(ROW(PLE.lastrow)-ROW(PLE.firstrow))),0,
           IF(OFFSET(PLE!$G$15,$M155-$A$15,DR$13)="",10^12,OFFSET(PLE!$G$15,$M155-$A$15,DR$13)))</f>
        <v>1000000000000</v>
      </c>
      <c r="DS155" s="172" cm="1">
        <f t="array" aca="1" ref="DS155" ca="1">IF(OR($D155&lt;&gt;"Serviço",AND(AUTOEVENTO="Manual",$M155=$A$15),$M155&gt;(ROW(PLE.lastrow)-ROW(PLE.firstrow))),0,
           IF(OFFSET(PLE!$G$15,$M155-$A$15,DS$13)="",10^12,OFFSET(PLE!$G$15,$M155-$A$15,DS$13)))</f>
        <v>1000000000000</v>
      </c>
    </row>
    <row r="156" spans="1:123" ht="12.75" x14ac:dyDescent="0.2">
      <c r="A156" s="7">
        <f t="shared" ca="1" si="16"/>
        <v>0</v>
      </c>
      <c r="B156" s="7">
        <f ca="1">OFFSET(ORÇAMENTO!C$15,$L156,0)</f>
        <v>3</v>
      </c>
      <c r="C156" s="7" t="str">
        <f ca="1">OFFSET(ORÇAMENTO!L$15,$L156,0)</f>
        <v>F</v>
      </c>
      <c r="D156" s="116" t="str">
        <f ca="1">OFFSET(ORÇAMENTO!N$15,$L156,0)</f>
        <v>Nível 3</v>
      </c>
      <c r="E156" s="117" t="str">
        <f ca="1">OFFSET(ORÇAMENTO!O$15,$L156,0)</f>
        <v>9.1.3.</v>
      </c>
      <c r="F156" s="163" t="str">
        <f ca="1">OFFSET(ORÇAMENTO!R$15,$L156,0)</f>
        <v>FIOS E CABOS</v>
      </c>
      <c r="G156" s="164" t="str">
        <f ca="1">IF($D156&lt;&gt;"Serviço","",OFFSET(ORÇAMENTO!S$15,$L156,0))</f>
        <v/>
      </c>
      <c r="H156" s="122" cm="1">
        <f t="array" aca="1" ref="H156" ca="1">IF($D156&lt;&gt;"Serviço",0,IF(ACOMPANHAMENTO="BM",ROUND(OFFSET(ORÇAMENTO!AJ$15,$L156,0),15-13*ORÇAMENTO!$AF$7),IF(IFERROR(CÁLCULO.FrentesPreenchidas,0)=0,0,SUM(ROUND(OFFSET($P156,0,1,1,CÁLCULO.FrentesPreenchidas),15-13*ORÇAMENTO!$AF$7)))))</f>
        <v>0</v>
      </c>
      <c r="I156" s="468"/>
      <c r="J156" s="651" t="str" cm="1">
        <f t="array" aca="1" ref="J156" ca="1">IF(OR(B156&lt;&gt;"S",CÁLCULO.FrentesPreenchidas=0),"",IF(AND(ACOMPANHAMENTO="PLE",AUTOEVENTO="Manual",OR(H156&gt;0,ORÇAMENTO!AC156="QUANT."),OR(K156="",M156=0,N156="")),"►E",IF(AND(ACOMPANHAMENTO="PLE",ORÇAMENTO!AC156="QUANT."),"►Q",IF(AND(ACOMPANHAMENTO="PLE",H156&lt;&gt;SUMPRODUCT(($Q$1:$AQ$1=1)*ROUND(Q156:AQ156,15))),"►S",IF(AND(COUNTIF($P$11:$AQ$11,"▼")=0,H156&gt;0,I156=""),"◄M","")))))</f>
        <v/>
      </c>
      <c r="K156" s="652"/>
      <c r="L156" s="165">
        <f t="shared" ca="1" si="17"/>
        <v>141</v>
      </c>
      <c r="M156" s="166" t="str">
        <f ca="1">IF($D156&lt;&gt;"Serviço","",
          IF(AUTOEVENTO="manual",$A156,
                IF(ISERROR(MATCH($A156,$A$15:OFFSET($A156,-1,0),0)),MAX($M$15:OFFSET(M156,-1,0))+1,
                      INDEX($M$15:OFFSET(M156,-1,0),MATCH($A156,$A$15:OFFSET($A156,-1,0),0)))))</f>
        <v/>
      </c>
      <c r="N156" s="167" t="str">
        <f ca="1">IF($D156&lt;&gt;"Serviço","",
         IF(AUTOEVENTO="Manual",
                IF($A156=0,"&lt;-- defina o número do agrupador",
                       OFFSET(EVENTOS!$D$15,$A156-$A$15,0)),
                OFFSET($F$15,$A156,0)))</f>
        <v/>
      </c>
      <c r="O156" s="168"/>
      <c r="Q156" s="168"/>
      <c r="R156" s="169"/>
      <c r="S156" s="169"/>
      <c r="T156" s="169"/>
      <c r="U156" s="169"/>
      <c r="V156" s="169"/>
      <c r="W156" s="169"/>
      <c r="X156" s="169"/>
      <c r="Y156" s="169"/>
      <c r="Z156" s="170"/>
      <c r="AA156" s="169"/>
      <c r="AB156" s="169"/>
      <c r="AC156" s="169"/>
      <c r="AD156" s="169"/>
      <c r="AE156" s="169"/>
      <c r="AF156" s="169"/>
      <c r="AG156" s="169"/>
      <c r="AH156" s="170"/>
      <c r="AI156" s="169"/>
      <c r="AJ156" s="169"/>
      <c r="AK156" s="169"/>
      <c r="AL156" s="169"/>
      <c r="AM156" s="169"/>
      <c r="AN156" s="169"/>
      <c r="AO156" s="169"/>
      <c r="AP156" s="170"/>
      <c r="AR156" s="453">
        <f ca="1">IF(AND($D156="Serviço",AR$12&lt;&gt;0,$H156&gt;0,OR(AUTOEVENTO&lt;&gt;"manual",$M156&lt;&gt;$A$15)),
        IF(Import.TipoArredondamento&lt;&gt;"TransfereGOV",
              ROUND(OFFSET($P156,0,AR$13),15-13*ORÇAMENTO!$AF$7)/$H156*OFFSET(ORÇAMENTO!$X$15,ROW(AR156)-ROW(AR$15),0),
              ROUND(ROUND(OFFSET($P156,0,AR$13),15-13*ORÇAMENTO!$AF$7)*OFFSET(ORÇAMENTO!$W$15,ROW(AR156)-ROW(AR$15),0),15-13*ORÇAMENTO!$AF$11)),
         0)</f>
        <v>0</v>
      </c>
      <c r="AS156" s="453">
        <f ca="1">IF(AND($D156="Serviço",AS$12&lt;&gt;0,$H156&gt;0,OR(AUTOEVENTO&lt;&gt;"manual",$M156&lt;&gt;$A$15)),
        IF(Import.TipoArredondamento&lt;&gt;"TransfereGOV",
              ROUND(OFFSET($P156,0,AS$13),15-13*ORÇAMENTO!$AF$7)/$H156*OFFSET(ORÇAMENTO!$X$15,ROW(AS156)-ROW(AS$15),0),
              ROUND(ROUND(OFFSET($P156,0,AS$13),15-13*ORÇAMENTO!$AF$7)*OFFSET(ORÇAMENTO!$W$15,ROW(AS156)-ROW(AS$15),0),15-13*ORÇAMENTO!$AF$11)),
         0)</f>
        <v>0</v>
      </c>
      <c r="AT156" s="453">
        <f ca="1">IF(AND($D156="Serviço",AT$12&lt;&gt;0,$H156&gt;0,OR(AUTOEVENTO&lt;&gt;"manual",$M156&lt;&gt;$A$15)),
        IF(Import.TipoArredondamento&lt;&gt;"TransfereGOV",
              ROUND(OFFSET($P156,0,AT$13),15-13*ORÇAMENTO!$AF$7)/$H156*OFFSET(ORÇAMENTO!$X$15,ROW(AT156)-ROW(AT$15),0),
              ROUND(ROUND(OFFSET($P156,0,AT$13),15-13*ORÇAMENTO!$AF$7)*OFFSET(ORÇAMENTO!$W$15,ROW(AT156)-ROW(AT$15),0),15-13*ORÇAMENTO!$AF$11)),
         0)</f>
        <v>0</v>
      </c>
      <c r="AU156" s="453">
        <f ca="1">IF(AND($D156="Serviço",AU$12&lt;&gt;0,$H156&gt;0,OR(AUTOEVENTO&lt;&gt;"manual",$M156&lt;&gt;$A$15)),
        IF(Import.TipoArredondamento&lt;&gt;"TransfereGOV",
              ROUND(OFFSET($P156,0,AU$13),15-13*ORÇAMENTO!$AF$7)/$H156*OFFSET(ORÇAMENTO!$X$15,ROW(AU156)-ROW(AU$15),0),
              ROUND(ROUND(OFFSET($P156,0,AU$13),15-13*ORÇAMENTO!$AF$7)*OFFSET(ORÇAMENTO!$W$15,ROW(AU156)-ROW(AU$15),0),15-13*ORÇAMENTO!$AF$11)),
         0)</f>
        <v>0</v>
      </c>
      <c r="AV156" s="453">
        <f ca="1">IF(AND($D156="Serviço",AV$12&lt;&gt;0,$H156&gt;0,OR(AUTOEVENTO&lt;&gt;"manual",$M156&lt;&gt;$A$15)),
        IF(Import.TipoArredondamento&lt;&gt;"TransfereGOV",
              ROUND(OFFSET($P156,0,AV$13),15-13*ORÇAMENTO!$AF$7)/$H156*OFFSET(ORÇAMENTO!$X$15,ROW(AV156)-ROW(AV$15),0),
              ROUND(ROUND(OFFSET($P156,0,AV$13),15-13*ORÇAMENTO!$AF$7)*OFFSET(ORÇAMENTO!$W$15,ROW(AV156)-ROW(AV$15),0),15-13*ORÇAMENTO!$AF$11)),
         0)</f>
        <v>0</v>
      </c>
      <c r="AW156" s="453">
        <f ca="1">IF(AND($D156="Serviço",AW$12&lt;&gt;0,$H156&gt;0,OR(AUTOEVENTO&lt;&gt;"manual",$M156&lt;&gt;$A$15)),
        IF(Import.TipoArredondamento&lt;&gt;"TransfereGOV",
              ROUND(OFFSET($P156,0,AW$13),15-13*ORÇAMENTO!$AF$7)/$H156*OFFSET(ORÇAMENTO!$X$15,ROW(AW156)-ROW(AW$15),0),
              ROUND(ROUND(OFFSET($P156,0,AW$13),15-13*ORÇAMENTO!$AF$7)*OFFSET(ORÇAMENTO!$W$15,ROW(AW156)-ROW(AW$15),0),15-13*ORÇAMENTO!$AF$11)),
         0)</f>
        <v>0</v>
      </c>
      <c r="AX156" s="453">
        <f ca="1">IF(AND($D156="Serviço",AX$12&lt;&gt;0,$H156&gt;0,OR(AUTOEVENTO&lt;&gt;"manual",$M156&lt;&gt;$A$15)),
        IF(Import.TipoArredondamento&lt;&gt;"TransfereGOV",
              ROUND(OFFSET($P156,0,AX$13),15-13*ORÇAMENTO!$AF$7)/$H156*OFFSET(ORÇAMENTO!$X$15,ROW(AX156)-ROW(AX$15),0),
              ROUND(ROUND(OFFSET($P156,0,AX$13),15-13*ORÇAMENTO!$AF$7)*OFFSET(ORÇAMENTO!$W$15,ROW(AX156)-ROW(AX$15),0),15-13*ORÇAMENTO!$AF$11)),
         0)</f>
        <v>0</v>
      </c>
      <c r="AY156" s="453">
        <f ca="1">IF(AND($D156="Serviço",AY$12&lt;&gt;0,$H156&gt;0,OR(AUTOEVENTO&lt;&gt;"manual",$M156&lt;&gt;$A$15)),
        IF(Import.TipoArredondamento&lt;&gt;"TransfereGOV",
              ROUND(OFFSET($P156,0,AY$13),15-13*ORÇAMENTO!$AF$7)/$H156*OFFSET(ORÇAMENTO!$X$15,ROW(AY156)-ROW(AY$15),0),
              ROUND(ROUND(OFFSET($P156,0,AY$13),15-13*ORÇAMENTO!$AF$7)*OFFSET(ORÇAMENTO!$W$15,ROW(AY156)-ROW(AY$15),0),15-13*ORÇAMENTO!$AF$11)),
         0)</f>
        <v>0</v>
      </c>
      <c r="AZ156" s="453">
        <f ca="1">IF(AND($D156="Serviço",AZ$12&lt;&gt;0,$H156&gt;0,OR(AUTOEVENTO&lt;&gt;"manual",$M156&lt;&gt;$A$15)),
        IF(Import.TipoArredondamento&lt;&gt;"TransfereGOV",
              ROUND(OFFSET($P156,0,AZ$13),15-13*ORÇAMENTO!$AF$7)/$H156*OFFSET(ORÇAMENTO!$X$15,ROW(AZ156)-ROW(AZ$15),0),
              ROUND(ROUND(OFFSET($P156,0,AZ$13),15-13*ORÇAMENTO!$AF$7)*OFFSET(ORÇAMENTO!$W$15,ROW(AZ156)-ROW(AZ$15),0),15-13*ORÇAMENTO!$AF$11)),
         0)</f>
        <v>0</v>
      </c>
      <c r="BA156" s="453">
        <f ca="1">IF(AND($D156="Serviço",BA$12&lt;&gt;0,$H156&gt;0,OR(AUTOEVENTO&lt;&gt;"manual",$M156&lt;&gt;$A$15)),
        IF(Import.TipoArredondamento&lt;&gt;"TransfereGOV",
              ROUND(OFFSET($P156,0,BA$13),15-13*ORÇAMENTO!$AF$7)/$H156*OFFSET(ORÇAMENTO!$X$15,ROW(BA156)-ROW(BA$15),0),
              ROUND(ROUND(OFFSET($P156,0,BA$13),15-13*ORÇAMENTO!$AF$7)*OFFSET(ORÇAMENTO!$W$15,ROW(BA156)-ROW(BA$15),0),15-13*ORÇAMENTO!$AF$11)),
         0)</f>
        <v>0</v>
      </c>
      <c r="BB156" s="453">
        <f ca="1">IF(AND($D156="Serviço",BB$12&lt;&gt;0,$H156&gt;0,OR(AUTOEVENTO&lt;&gt;"manual",$M156&lt;&gt;$A$15)),
        IF(Import.TipoArredondamento&lt;&gt;"TransfereGOV",
              ROUND(OFFSET($P156,0,BB$13),15-13*ORÇAMENTO!$AF$7)/$H156*OFFSET(ORÇAMENTO!$X$15,ROW(BB156)-ROW(BB$15),0),
              ROUND(ROUND(OFFSET($P156,0,BB$13),15-13*ORÇAMENTO!$AF$7)*OFFSET(ORÇAMENTO!$W$15,ROW(BB156)-ROW(BB$15),0),15-13*ORÇAMENTO!$AF$11)),
         0)</f>
        <v>0</v>
      </c>
      <c r="BC156" s="453">
        <f ca="1">IF(AND($D156="Serviço",BC$12&lt;&gt;0,$H156&gt;0,OR(AUTOEVENTO&lt;&gt;"manual",$M156&lt;&gt;$A$15)),
        IF(Import.TipoArredondamento&lt;&gt;"TransfereGOV",
              ROUND(OFFSET($P156,0,BC$13),15-13*ORÇAMENTO!$AF$7)/$H156*OFFSET(ORÇAMENTO!$X$15,ROW(BC156)-ROW(BC$15),0),
              ROUND(ROUND(OFFSET($P156,0,BC$13),15-13*ORÇAMENTO!$AF$7)*OFFSET(ORÇAMENTO!$W$15,ROW(BC156)-ROW(BC$15),0),15-13*ORÇAMENTO!$AF$11)),
         0)</f>
        <v>0</v>
      </c>
      <c r="BD156" s="453">
        <f ca="1">IF(AND($D156="Serviço",BD$12&lt;&gt;0,$H156&gt;0,OR(AUTOEVENTO&lt;&gt;"manual",$M156&lt;&gt;$A$15)),
        IF(Import.TipoArredondamento&lt;&gt;"TransfereGOV",
              ROUND(OFFSET($P156,0,BD$13),15-13*ORÇAMENTO!$AF$7)/$H156*OFFSET(ORÇAMENTO!$X$15,ROW(BD156)-ROW(BD$15),0),
              ROUND(ROUND(OFFSET($P156,0,BD$13),15-13*ORÇAMENTO!$AF$7)*OFFSET(ORÇAMENTO!$W$15,ROW(BD156)-ROW(BD$15),0),15-13*ORÇAMENTO!$AF$11)),
         0)</f>
        <v>0</v>
      </c>
      <c r="BE156" s="453">
        <f ca="1">IF(AND($D156="Serviço",BE$12&lt;&gt;0,$H156&gt;0,OR(AUTOEVENTO&lt;&gt;"manual",$M156&lt;&gt;$A$15)),
        IF(Import.TipoArredondamento&lt;&gt;"TransfereGOV",
              ROUND(OFFSET($P156,0,BE$13),15-13*ORÇAMENTO!$AF$7)/$H156*OFFSET(ORÇAMENTO!$X$15,ROW(BE156)-ROW(BE$15),0),
              ROUND(ROUND(OFFSET($P156,0,BE$13),15-13*ORÇAMENTO!$AF$7)*OFFSET(ORÇAMENTO!$W$15,ROW(BE156)-ROW(BE$15),0),15-13*ORÇAMENTO!$AF$11)),
         0)</f>
        <v>0</v>
      </c>
      <c r="BF156" s="453">
        <f ca="1">IF(AND($D156="Serviço",BF$12&lt;&gt;0,$H156&gt;0,OR(AUTOEVENTO&lt;&gt;"manual",$M156&lt;&gt;$A$15)),
        IF(Import.TipoArredondamento&lt;&gt;"TransfereGOV",
              ROUND(OFFSET($P156,0,BF$13),15-13*ORÇAMENTO!$AF$7)/$H156*OFFSET(ORÇAMENTO!$X$15,ROW(BF156)-ROW(BF$15),0),
              ROUND(ROUND(OFFSET($P156,0,BF$13),15-13*ORÇAMENTO!$AF$7)*OFFSET(ORÇAMENTO!$W$15,ROW(BF156)-ROW(BF$15),0),15-13*ORÇAMENTO!$AF$11)),
         0)</f>
        <v>0</v>
      </c>
      <c r="BG156" s="453">
        <f ca="1">IF(AND($D156="Serviço",BG$12&lt;&gt;0,$H156&gt;0,OR(AUTOEVENTO&lt;&gt;"manual",$M156&lt;&gt;$A$15)),
        IF(Import.TipoArredondamento&lt;&gt;"TransfereGOV",
              ROUND(OFFSET($P156,0,BG$13),15-13*ORÇAMENTO!$AF$7)/$H156*OFFSET(ORÇAMENTO!$X$15,ROW(BG156)-ROW(BG$15),0),
              ROUND(ROUND(OFFSET($P156,0,BG$13),15-13*ORÇAMENTO!$AF$7)*OFFSET(ORÇAMENTO!$W$15,ROW(BG156)-ROW(BG$15),0),15-13*ORÇAMENTO!$AF$11)),
         0)</f>
        <v>0</v>
      </c>
      <c r="BH156" s="453">
        <f ca="1">IF(AND($D156="Serviço",BH$12&lt;&gt;0,$H156&gt;0,OR(AUTOEVENTO&lt;&gt;"manual",$M156&lt;&gt;$A$15)),
        IF(Import.TipoArredondamento&lt;&gt;"TransfereGOV",
              ROUND(OFFSET($P156,0,BH$13),15-13*ORÇAMENTO!$AF$7)/$H156*OFFSET(ORÇAMENTO!$X$15,ROW(BH156)-ROW(BH$15),0),
              ROUND(ROUND(OFFSET($P156,0,BH$13),15-13*ORÇAMENTO!$AF$7)*OFFSET(ORÇAMENTO!$W$15,ROW(BH156)-ROW(BH$15),0),15-13*ORÇAMENTO!$AF$11)),
         0)</f>
        <v>0</v>
      </c>
      <c r="BI156" s="453">
        <f ca="1">IF(AND($D156="Serviço",BI$12&lt;&gt;0,$H156&gt;0,OR(AUTOEVENTO&lt;&gt;"manual",$M156&lt;&gt;$A$15)),
        IF(Import.TipoArredondamento&lt;&gt;"TransfereGOV",
              ROUND(OFFSET($P156,0,BI$13),15-13*ORÇAMENTO!$AF$7)/$H156*OFFSET(ORÇAMENTO!$X$15,ROW(BI156)-ROW(BI$15),0),
              ROUND(ROUND(OFFSET($P156,0,BI$13),15-13*ORÇAMENTO!$AF$7)*OFFSET(ORÇAMENTO!$W$15,ROW(BI156)-ROW(BI$15),0),15-13*ORÇAMENTO!$AF$11)),
         0)</f>
        <v>0</v>
      </c>
      <c r="BJ156" s="453">
        <f ca="1">IF(AND($D156="Serviço",BJ$12&lt;&gt;0,$H156&gt;0,OR(AUTOEVENTO&lt;&gt;"manual",$M156&lt;&gt;$A$15)),
        IF(Import.TipoArredondamento&lt;&gt;"TransfereGOV",
              ROUND(OFFSET($P156,0,BJ$13),15-13*ORÇAMENTO!$AF$7)/$H156*OFFSET(ORÇAMENTO!$X$15,ROW(BJ156)-ROW(BJ$15),0),
              ROUND(ROUND(OFFSET($P156,0,BJ$13),15-13*ORÇAMENTO!$AF$7)*OFFSET(ORÇAMENTO!$W$15,ROW(BJ156)-ROW(BJ$15),0),15-13*ORÇAMENTO!$AF$11)),
         0)</f>
        <v>0</v>
      </c>
      <c r="BK156" s="453">
        <f ca="1">IF(AND($D156="Serviço",BK$12&lt;&gt;0,$H156&gt;0,OR(AUTOEVENTO&lt;&gt;"manual",$M156&lt;&gt;$A$15)),
        IF(Import.TipoArredondamento&lt;&gt;"TransfereGOV",
              ROUND(OFFSET($P156,0,BK$13),15-13*ORÇAMENTO!$AF$7)/$H156*OFFSET(ORÇAMENTO!$X$15,ROW(BK156)-ROW(BK$15),0),
              ROUND(ROUND(OFFSET($P156,0,BK$13),15-13*ORÇAMENTO!$AF$7)*OFFSET(ORÇAMENTO!$W$15,ROW(BK156)-ROW(BK$15),0),15-13*ORÇAMENTO!$AF$11)),
         0)</f>
        <v>0</v>
      </c>
      <c r="BL156" s="453">
        <f ca="1">IF(AND($D156="Serviço",BL$12&lt;&gt;0,$H156&gt;0,OR(AUTOEVENTO&lt;&gt;"manual",$M156&lt;&gt;$A$15)),
        IF(Import.TipoArredondamento&lt;&gt;"TransfereGOV",
              ROUND(OFFSET($P156,0,BL$13),15-13*ORÇAMENTO!$AF$7)/$H156*OFFSET(ORÇAMENTO!$X$15,ROW(BL156)-ROW(BL$15),0),
              ROUND(ROUND(OFFSET($P156,0,BL$13),15-13*ORÇAMENTO!$AF$7)*OFFSET(ORÇAMENTO!$W$15,ROW(BL156)-ROW(BL$15),0),15-13*ORÇAMENTO!$AF$11)),
         0)</f>
        <v>0</v>
      </c>
      <c r="BM156" s="453">
        <f ca="1">IF(AND($D156="Serviço",BM$12&lt;&gt;0,$H156&gt;0,OR(AUTOEVENTO&lt;&gt;"manual",$M156&lt;&gt;$A$15)),
        IF(Import.TipoArredondamento&lt;&gt;"TransfereGOV",
              ROUND(OFFSET($P156,0,BM$13),15-13*ORÇAMENTO!$AF$7)/$H156*OFFSET(ORÇAMENTO!$X$15,ROW(BM156)-ROW(BM$15),0),
              ROUND(ROUND(OFFSET($P156,0,BM$13),15-13*ORÇAMENTO!$AF$7)*OFFSET(ORÇAMENTO!$W$15,ROW(BM156)-ROW(BM$15),0),15-13*ORÇAMENTO!$AF$11)),
         0)</f>
        <v>0</v>
      </c>
      <c r="BN156" s="453">
        <f ca="1">IF(AND($D156="Serviço",BN$12&lt;&gt;0,$H156&gt;0,OR(AUTOEVENTO&lt;&gt;"manual",$M156&lt;&gt;$A$15)),
        IF(Import.TipoArredondamento&lt;&gt;"TransfereGOV",
              ROUND(OFFSET($P156,0,BN$13),15-13*ORÇAMENTO!$AF$7)/$H156*OFFSET(ORÇAMENTO!$X$15,ROW(BN156)-ROW(BN$15),0),
              ROUND(ROUND(OFFSET($P156,0,BN$13),15-13*ORÇAMENTO!$AF$7)*OFFSET(ORÇAMENTO!$W$15,ROW(BN156)-ROW(BN$15),0),15-13*ORÇAMENTO!$AF$11)),
         0)</f>
        <v>0</v>
      </c>
      <c r="BO156" s="453">
        <f ca="1">IF(AND($D156="Serviço",BO$12&lt;&gt;0,$H156&gt;0,OR(AUTOEVENTO&lt;&gt;"manual",$M156&lt;&gt;$A$15)),
        IF(Import.TipoArredondamento&lt;&gt;"TransfereGOV",
              ROUND(OFFSET($P156,0,BO$13),15-13*ORÇAMENTO!$AF$7)/$H156*OFFSET(ORÇAMENTO!$X$15,ROW(BO156)-ROW(BO$15),0),
              ROUND(ROUND(OFFSET($P156,0,BO$13),15-13*ORÇAMENTO!$AF$7)*OFFSET(ORÇAMENTO!$W$15,ROW(BO156)-ROW(BO$15),0),15-13*ORÇAMENTO!$AF$11)),
         0)</f>
        <v>0</v>
      </c>
      <c r="BP156" s="453">
        <f ca="1">IF(AND($D156="Serviço",BP$12&lt;&gt;0,$H156&gt;0,OR(AUTOEVENTO&lt;&gt;"manual",$M156&lt;&gt;$A$15)),
        IF(Import.TipoArredondamento&lt;&gt;"TransfereGOV",
              ROUND(OFFSET($P156,0,BP$13),15-13*ORÇAMENTO!$AF$7)/$H156*OFFSET(ORÇAMENTO!$X$15,ROW(BP156)-ROW(BP$15),0),
              ROUND(ROUND(OFFSET($P156,0,BP$13),15-13*ORÇAMENTO!$AF$7)*OFFSET(ORÇAMENTO!$W$15,ROW(BP156)-ROW(BP$15),0),15-13*ORÇAMENTO!$AF$11)),
         0)</f>
        <v>0</v>
      </c>
      <c r="BQ156" s="453">
        <f ca="1">IF(AND($D156="Serviço",BQ$12&lt;&gt;0,$H156&gt;0,OR(AUTOEVENTO&lt;&gt;"manual",$M156&lt;&gt;$A$15)),
        IF(Import.TipoArredondamento&lt;&gt;"TransfereGOV",
              ROUND(OFFSET($P156,0,BQ$13),15-13*ORÇAMENTO!$AF$7)/$H156*OFFSET(ORÇAMENTO!$X$15,ROW(BQ156)-ROW(BQ$15),0),
              ROUND(ROUND(OFFSET($P156,0,BQ$13),15-13*ORÇAMENTO!$AF$7)*OFFSET(ORÇAMENTO!$W$15,ROW(BQ156)-ROW(BQ$15),0),15-13*ORÇAMENTO!$AF$11)),
         0)</f>
        <v>0</v>
      </c>
      <c r="BS156" s="171">
        <f ca="1">IF(OR($D156&lt;&gt;"Serviço",AND(AUTOEVENTO="Manual",$M156=$A$15)),0,
         IF(OFFSET(CRONOPLE!$F$15,$M156-$A$15,BS$13)=0,10^12,OFFSET(CRONOPLE!$F$15,$M156-$A$15,BS$13)))</f>
        <v>0</v>
      </c>
      <c r="BT156" s="171">
        <f ca="1">IF(OR($D156&lt;&gt;"Serviço",AND(AUTOEVENTO="Manual",$M156=$A$15)),0,
         IF(OFFSET(CRONOPLE!$F$15,$M156-$A$15,BT$13)=0,10^12,OFFSET(CRONOPLE!$F$15,$M156-$A$15,BT$13)))</f>
        <v>0</v>
      </c>
      <c r="BU156" s="171">
        <f ca="1">IF(OR($D156&lt;&gt;"Serviço",AND(AUTOEVENTO="Manual",$M156=$A$15)),0,
         IF(OFFSET(CRONOPLE!$F$15,$M156-$A$15,BU$13)=0,10^12,OFFSET(CRONOPLE!$F$15,$M156-$A$15,BU$13)))</f>
        <v>0</v>
      </c>
      <c r="BV156" s="171">
        <f ca="1">IF(OR($D156&lt;&gt;"Serviço",AND(AUTOEVENTO="Manual",$M156=$A$15)),0,
         IF(OFFSET(CRONOPLE!$F$15,$M156-$A$15,BV$13)=0,10^12,OFFSET(CRONOPLE!$F$15,$M156-$A$15,BV$13)))</f>
        <v>0</v>
      </c>
      <c r="BW156" s="171">
        <f ca="1">IF(OR($D156&lt;&gt;"Serviço",AND(AUTOEVENTO="Manual",$M156=$A$15)),0,
         IF(OFFSET(CRONOPLE!$F$15,$M156-$A$15,BW$13)=0,10^12,OFFSET(CRONOPLE!$F$15,$M156-$A$15,BW$13)))</f>
        <v>0</v>
      </c>
      <c r="BX156" s="171">
        <f ca="1">IF(OR($D156&lt;&gt;"Serviço",AND(AUTOEVENTO="Manual",$M156=$A$15)),0,
         IF(OFFSET(CRONOPLE!$F$15,$M156-$A$15,BX$13)=0,10^12,OFFSET(CRONOPLE!$F$15,$M156-$A$15,BX$13)))</f>
        <v>0</v>
      </c>
      <c r="BY156" s="171">
        <f ca="1">IF(OR($D156&lt;&gt;"Serviço",AND(AUTOEVENTO="Manual",$M156=$A$15)),0,
         IF(OFFSET(CRONOPLE!$F$15,$M156-$A$15,BY$13)=0,10^12,OFFSET(CRONOPLE!$F$15,$M156-$A$15,BY$13)))</f>
        <v>0</v>
      </c>
      <c r="BZ156" s="171">
        <f ca="1">IF(OR($D156&lt;&gt;"Serviço",AND(AUTOEVENTO="Manual",$M156=$A$15)),0,
         IF(OFFSET(CRONOPLE!$F$15,$M156-$A$15,BZ$13)=0,10^12,OFFSET(CRONOPLE!$F$15,$M156-$A$15,BZ$13)))</f>
        <v>0</v>
      </c>
      <c r="CA156" s="171">
        <f ca="1">IF(OR($D156&lt;&gt;"Serviço",AND(AUTOEVENTO="Manual",$M156=$A$15)),0,
         IF(OFFSET(CRONOPLE!$F$15,$M156-$A$15,CA$13)=0,10^12,OFFSET(CRONOPLE!$F$15,$M156-$A$15,CA$13)))</f>
        <v>0</v>
      </c>
      <c r="CB156" s="171">
        <f ca="1">IF(OR($D156&lt;&gt;"Serviço",AND(AUTOEVENTO="Manual",$M156=$A$15)),0,
         IF(OFFSET(CRONOPLE!$F$15,$M156-$A$15,CB$13)=0,10^12,OFFSET(CRONOPLE!$F$15,$M156-$A$15,CB$13)))</f>
        <v>0</v>
      </c>
      <c r="CC156" s="171">
        <f ca="1">IF(OR($D156&lt;&gt;"Serviço",AND(AUTOEVENTO="Manual",$M156=$A$15)),0,
         IF(OFFSET(CRONOPLE!$F$15,$M156-$A$15,CC$13)=0,10^12,OFFSET(CRONOPLE!$F$15,$M156-$A$15,CC$13)))</f>
        <v>0</v>
      </c>
      <c r="CD156" s="171">
        <f ca="1">IF(OR($D156&lt;&gt;"Serviço",AND(AUTOEVENTO="Manual",$M156=$A$15)),0,
         IF(OFFSET(CRONOPLE!$F$15,$M156-$A$15,CD$13)=0,10^12,OFFSET(CRONOPLE!$F$15,$M156-$A$15,CD$13)))</f>
        <v>0</v>
      </c>
      <c r="CE156" s="171">
        <f ca="1">IF(OR($D156&lt;&gt;"Serviço",AND(AUTOEVENTO="Manual",$M156=$A$15)),0,
         IF(OFFSET(CRONOPLE!$F$15,$M156-$A$15,CE$13)=0,10^12,OFFSET(CRONOPLE!$F$15,$M156-$A$15,CE$13)))</f>
        <v>0</v>
      </c>
      <c r="CF156" s="171">
        <f ca="1">IF(OR($D156&lt;&gt;"Serviço",AND(AUTOEVENTO="Manual",$M156=$A$15)),0,
         IF(OFFSET(CRONOPLE!$F$15,$M156-$A$15,CF$13)=0,10^12,OFFSET(CRONOPLE!$F$15,$M156-$A$15,CF$13)))</f>
        <v>0</v>
      </c>
      <c r="CG156" s="171">
        <f ca="1">IF(OR($D156&lt;&gt;"Serviço",AND(AUTOEVENTO="Manual",$M156=$A$15)),0,
         IF(OFFSET(CRONOPLE!$F$15,$M156-$A$15,CG$13)=0,10^12,OFFSET(CRONOPLE!$F$15,$M156-$A$15,CG$13)))</f>
        <v>0</v>
      </c>
      <c r="CH156" s="171">
        <f ca="1">IF(OR($D156&lt;&gt;"Serviço",AND(AUTOEVENTO="Manual",$M156=$A$15)),0,
         IF(OFFSET(CRONOPLE!$F$15,$M156-$A$15,CH$13)=0,10^12,OFFSET(CRONOPLE!$F$15,$M156-$A$15,CH$13)))</f>
        <v>0</v>
      </c>
      <c r="CI156" s="171">
        <f ca="1">IF(OR($D156&lt;&gt;"Serviço",AND(AUTOEVENTO="Manual",$M156=$A$15)),0,
         IF(OFFSET(CRONOPLE!$F$15,$M156-$A$15,CI$13)=0,10^12,OFFSET(CRONOPLE!$F$15,$M156-$A$15,CI$13)))</f>
        <v>0</v>
      </c>
      <c r="CJ156" s="171">
        <f ca="1">IF(OR($D156&lt;&gt;"Serviço",AND(AUTOEVENTO="Manual",$M156=$A$15)),0,
         IF(OFFSET(CRONOPLE!$F$15,$M156-$A$15,CJ$13)=0,10^12,OFFSET(CRONOPLE!$F$15,$M156-$A$15,CJ$13)))</f>
        <v>0</v>
      </c>
      <c r="CK156" s="171">
        <f ca="1">IF(OR($D156&lt;&gt;"Serviço",AND(AUTOEVENTO="Manual",$M156=$A$15)),0,
         IF(OFFSET(CRONOPLE!$F$15,$M156-$A$15,CK$13)=0,10^12,OFFSET(CRONOPLE!$F$15,$M156-$A$15,CK$13)))</f>
        <v>0</v>
      </c>
      <c r="CL156" s="171">
        <f ca="1">IF(OR($D156&lt;&gt;"Serviço",AND(AUTOEVENTO="Manual",$M156=$A$15)),0,
         IF(OFFSET(CRONOPLE!$F$15,$M156-$A$15,CL$13)=0,10^12,OFFSET(CRONOPLE!$F$15,$M156-$A$15,CL$13)))</f>
        <v>0</v>
      </c>
      <c r="CM156" s="171">
        <f ca="1">IF(OR($D156&lt;&gt;"Serviço",AND(AUTOEVENTO="Manual",$M156=$A$15)),0,
         IF(OFFSET(CRONOPLE!$F$15,$M156-$A$15,CM$13)=0,10^12,OFFSET(CRONOPLE!$F$15,$M156-$A$15,CM$13)))</f>
        <v>0</v>
      </c>
      <c r="CN156" s="171">
        <f ca="1">IF(OR($D156&lt;&gt;"Serviço",AND(AUTOEVENTO="Manual",$M156=$A$15)),0,
         IF(OFFSET(CRONOPLE!$F$15,$M156-$A$15,CN$13)=0,10^12,OFFSET(CRONOPLE!$F$15,$M156-$A$15,CN$13)))</f>
        <v>0</v>
      </c>
      <c r="CO156" s="171">
        <f ca="1">IF(OR($D156&lt;&gt;"Serviço",AND(AUTOEVENTO="Manual",$M156=$A$15)),0,
         IF(OFFSET(CRONOPLE!$F$15,$M156-$A$15,CO$13)=0,10^12,OFFSET(CRONOPLE!$F$15,$M156-$A$15,CO$13)))</f>
        <v>0</v>
      </c>
      <c r="CP156" s="171">
        <f ca="1">IF(OR($D156&lt;&gt;"Serviço",AND(AUTOEVENTO="Manual",$M156=$A$15)),0,
         IF(OFFSET(CRONOPLE!$F$15,$M156-$A$15,CP$13)=0,10^12,OFFSET(CRONOPLE!$F$15,$M156-$A$15,CP$13)))</f>
        <v>0</v>
      </c>
      <c r="CQ156" s="171">
        <f ca="1">IF(OR($D156&lt;&gt;"Serviço",AND(AUTOEVENTO="Manual",$M156=$A$15)),0,
         IF(OFFSET(CRONOPLE!$F$15,$M156-$A$15,CQ$13)=0,10^12,OFFSET(CRONOPLE!$F$15,$M156-$A$15,CQ$13)))</f>
        <v>0</v>
      </c>
      <c r="CR156" s="171">
        <f ca="1">IF(OR($D156&lt;&gt;"Serviço",AND(AUTOEVENTO="Manual",$M156=$A$15)),0,
         IF(OFFSET(CRONOPLE!$F$15,$M156-$A$15,CR$13)=0,10^12,OFFSET(CRONOPLE!$F$15,$M156-$A$15,CR$13)))</f>
        <v>0</v>
      </c>
      <c r="CT156" s="172" cm="1">
        <f t="array" aca="1" ref="CT156" ca="1">IF(OR($D156&lt;&gt;"Serviço",AND(AUTOEVENTO="Manual",$M156=$A$15),$M156&gt;(ROW(PLE.lastrow)-ROW(PLE.firstrow))),0,
           IF(OFFSET(PLE!$G$15,$M156-$A$15,CT$13)="",10^12,OFFSET(PLE!$G$15,$M156-$A$15,CT$13)))</f>
        <v>0</v>
      </c>
      <c r="CU156" s="172" cm="1">
        <f t="array" aca="1" ref="CU156" ca="1">IF(OR($D156&lt;&gt;"Serviço",AND(AUTOEVENTO="Manual",$M156=$A$15),$M156&gt;(ROW(PLE.lastrow)-ROW(PLE.firstrow))),0,
           IF(OFFSET(PLE!$G$15,$M156-$A$15,CU$13)="",10^12,OFFSET(PLE!$G$15,$M156-$A$15,CU$13)))</f>
        <v>0</v>
      </c>
      <c r="CV156" s="172" cm="1">
        <f t="array" aca="1" ref="CV156" ca="1">IF(OR($D156&lt;&gt;"Serviço",AND(AUTOEVENTO="Manual",$M156=$A$15),$M156&gt;(ROW(PLE.lastrow)-ROW(PLE.firstrow))),0,
           IF(OFFSET(PLE!$G$15,$M156-$A$15,CV$13)="",10^12,OFFSET(PLE!$G$15,$M156-$A$15,CV$13)))</f>
        <v>0</v>
      </c>
      <c r="CW156" s="172" cm="1">
        <f t="array" aca="1" ref="CW156" ca="1">IF(OR($D156&lt;&gt;"Serviço",AND(AUTOEVENTO="Manual",$M156=$A$15),$M156&gt;(ROW(PLE.lastrow)-ROW(PLE.firstrow))),0,
           IF(OFFSET(PLE!$G$15,$M156-$A$15,CW$13)="",10^12,OFFSET(PLE!$G$15,$M156-$A$15,CW$13)))</f>
        <v>0</v>
      </c>
      <c r="CX156" s="172" cm="1">
        <f t="array" aca="1" ref="CX156" ca="1">IF(OR($D156&lt;&gt;"Serviço",AND(AUTOEVENTO="Manual",$M156=$A$15),$M156&gt;(ROW(PLE.lastrow)-ROW(PLE.firstrow))),0,
           IF(OFFSET(PLE!$G$15,$M156-$A$15,CX$13)="",10^12,OFFSET(PLE!$G$15,$M156-$A$15,CX$13)))</f>
        <v>0</v>
      </c>
      <c r="CY156" s="172" cm="1">
        <f t="array" aca="1" ref="CY156" ca="1">IF(OR($D156&lt;&gt;"Serviço",AND(AUTOEVENTO="Manual",$M156=$A$15),$M156&gt;(ROW(PLE.lastrow)-ROW(PLE.firstrow))),0,
           IF(OFFSET(PLE!$G$15,$M156-$A$15,CY$13)="",10^12,OFFSET(PLE!$G$15,$M156-$A$15,CY$13)))</f>
        <v>0</v>
      </c>
      <c r="CZ156" s="172" cm="1">
        <f t="array" aca="1" ref="CZ156" ca="1">IF(OR($D156&lt;&gt;"Serviço",AND(AUTOEVENTO="Manual",$M156=$A$15),$M156&gt;(ROW(PLE.lastrow)-ROW(PLE.firstrow))),0,
           IF(OFFSET(PLE!$G$15,$M156-$A$15,CZ$13)="",10^12,OFFSET(PLE!$G$15,$M156-$A$15,CZ$13)))</f>
        <v>0</v>
      </c>
      <c r="DA156" s="172" cm="1">
        <f t="array" aca="1" ref="DA156" ca="1">IF(OR($D156&lt;&gt;"Serviço",AND(AUTOEVENTO="Manual",$M156=$A$15),$M156&gt;(ROW(PLE.lastrow)-ROW(PLE.firstrow))),0,
           IF(OFFSET(PLE!$G$15,$M156-$A$15,DA$13)="",10^12,OFFSET(PLE!$G$15,$M156-$A$15,DA$13)))</f>
        <v>0</v>
      </c>
      <c r="DB156" s="172" cm="1">
        <f t="array" aca="1" ref="DB156" ca="1">IF(OR($D156&lt;&gt;"Serviço",AND(AUTOEVENTO="Manual",$M156=$A$15),$M156&gt;(ROW(PLE.lastrow)-ROW(PLE.firstrow))),0,
           IF(OFFSET(PLE!$G$15,$M156-$A$15,DB$13)="",10^12,OFFSET(PLE!$G$15,$M156-$A$15,DB$13)))</f>
        <v>0</v>
      </c>
      <c r="DC156" s="172" cm="1">
        <f t="array" aca="1" ref="DC156" ca="1">IF(OR($D156&lt;&gt;"Serviço",AND(AUTOEVENTO="Manual",$M156=$A$15),$M156&gt;(ROW(PLE.lastrow)-ROW(PLE.firstrow))),0,
           IF(OFFSET(PLE!$G$15,$M156-$A$15,DC$13)="",10^12,OFFSET(PLE!$G$15,$M156-$A$15,DC$13)))</f>
        <v>0</v>
      </c>
      <c r="DD156" s="172" cm="1">
        <f t="array" aca="1" ref="DD156" ca="1">IF(OR($D156&lt;&gt;"Serviço",AND(AUTOEVENTO="Manual",$M156=$A$15),$M156&gt;(ROW(PLE.lastrow)-ROW(PLE.firstrow))),0,
           IF(OFFSET(PLE!$G$15,$M156-$A$15,DD$13)="",10^12,OFFSET(PLE!$G$15,$M156-$A$15,DD$13)))</f>
        <v>0</v>
      </c>
      <c r="DE156" s="172" cm="1">
        <f t="array" aca="1" ref="DE156" ca="1">IF(OR($D156&lt;&gt;"Serviço",AND(AUTOEVENTO="Manual",$M156=$A$15),$M156&gt;(ROW(PLE.lastrow)-ROW(PLE.firstrow))),0,
           IF(OFFSET(PLE!$G$15,$M156-$A$15,DE$13)="",10^12,OFFSET(PLE!$G$15,$M156-$A$15,DE$13)))</f>
        <v>0</v>
      </c>
      <c r="DF156" s="172" cm="1">
        <f t="array" aca="1" ref="DF156" ca="1">IF(OR($D156&lt;&gt;"Serviço",AND(AUTOEVENTO="Manual",$M156=$A$15),$M156&gt;(ROW(PLE.lastrow)-ROW(PLE.firstrow))),0,
           IF(OFFSET(PLE!$G$15,$M156-$A$15,DF$13)="",10^12,OFFSET(PLE!$G$15,$M156-$A$15,DF$13)))</f>
        <v>0</v>
      </c>
      <c r="DG156" s="172" cm="1">
        <f t="array" aca="1" ref="DG156" ca="1">IF(OR($D156&lt;&gt;"Serviço",AND(AUTOEVENTO="Manual",$M156=$A$15),$M156&gt;(ROW(PLE.lastrow)-ROW(PLE.firstrow))),0,
           IF(OFFSET(PLE!$G$15,$M156-$A$15,DG$13)="",10^12,OFFSET(PLE!$G$15,$M156-$A$15,DG$13)))</f>
        <v>0</v>
      </c>
      <c r="DH156" s="172" cm="1">
        <f t="array" aca="1" ref="DH156" ca="1">IF(OR($D156&lt;&gt;"Serviço",AND(AUTOEVENTO="Manual",$M156=$A$15),$M156&gt;(ROW(PLE.lastrow)-ROW(PLE.firstrow))),0,
           IF(OFFSET(PLE!$G$15,$M156-$A$15,DH$13)="",10^12,OFFSET(PLE!$G$15,$M156-$A$15,DH$13)))</f>
        <v>0</v>
      </c>
      <c r="DI156" s="172" cm="1">
        <f t="array" aca="1" ref="DI156" ca="1">IF(OR($D156&lt;&gt;"Serviço",AND(AUTOEVENTO="Manual",$M156=$A$15),$M156&gt;(ROW(PLE.lastrow)-ROW(PLE.firstrow))),0,
           IF(OFFSET(PLE!$G$15,$M156-$A$15,DI$13)="",10^12,OFFSET(PLE!$G$15,$M156-$A$15,DI$13)))</f>
        <v>0</v>
      </c>
      <c r="DJ156" s="172" cm="1">
        <f t="array" aca="1" ref="DJ156" ca="1">IF(OR($D156&lt;&gt;"Serviço",AND(AUTOEVENTO="Manual",$M156=$A$15),$M156&gt;(ROW(PLE.lastrow)-ROW(PLE.firstrow))),0,
           IF(OFFSET(PLE!$G$15,$M156-$A$15,DJ$13)="",10^12,OFFSET(PLE!$G$15,$M156-$A$15,DJ$13)))</f>
        <v>0</v>
      </c>
      <c r="DK156" s="172" cm="1">
        <f t="array" aca="1" ref="DK156" ca="1">IF(OR($D156&lt;&gt;"Serviço",AND(AUTOEVENTO="Manual",$M156=$A$15),$M156&gt;(ROW(PLE.lastrow)-ROW(PLE.firstrow))),0,
           IF(OFFSET(PLE!$G$15,$M156-$A$15,DK$13)="",10^12,OFFSET(PLE!$G$15,$M156-$A$15,DK$13)))</f>
        <v>0</v>
      </c>
      <c r="DL156" s="172" cm="1">
        <f t="array" aca="1" ref="DL156" ca="1">IF(OR($D156&lt;&gt;"Serviço",AND(AUTOEVENTO="Manual",$M156=$A$15),$M156&gt;(ROW(PLE.lastrow)-ROW(PLE.firstrow))),0,
           IF(OFFSET(PLE!$G$15,$M156-$A$15,DL$13)="",10^12,OFFSET(PLE!$G$15,$M156-$A$15,DL$13)))</f>
        <v>0</v>
      </c>
      <c r="DM156" s="172" cm="1">
        <f t="array" aca="1" ref="DM156" ca="1">IF(OR($D156&lt;&gt;"Serviço",AND(AUTOEVENTO="Manual",$M156=$A$15),$M156&gt;(ROW(PLE.lastrow)-ROW(PLE.firstrow))),0,
           IF(OFFSET(PLE!$G$15,$M156-$A$15,DM$13)="",10^12,OFFSET(PLE!$G$15,$M156-$A$15,DM$13)))</f>
        <v>0</v>
      </c>
      <c r="DN156" s="172" cm="1">
        <f t="array" aca="1" ref="DN156" ca="1">IF(OR($D156&lt;&gt;"Serviço",AND(AUTOEVENTO="Manual",$M156=$A$15),$M156&gt;(ROW(PLE.lastrow)-ROW(PLE.firstrow))),0,
           IF(OFFSET(PLE!$G$15,$M156-$A$15,DN$13)="",10^12,OFFSET(PLE!$G$15,$M156-$A$15,DN$13)))</f>
        <v>0</v>
      </c>
      <c r="DO156" s="172" cm="1">
        <f t="array" aca="1" ref="DO156" ca="1">IF(OR($D156&lt;&gt;"Serviço",AND(AUTOEVENTO="Manual",$M156=$A$15),$M156&gt;(ROW(PLE.lastrow)-ROW(PLE.firstrow))),0,
           IF(OFFSET(PLE!$G$15,$M156-$A$15,DO$13)="",10^12,OFFSET(PLE!$G$15,$M156-$A$15,DO$13)))</f>
        <v>0</v>
      </c>
      <c r="DP156" s="172" cm="1">
        <f t="array" aca="1" ref="DP156" ca="1">IF(OR($D156&lt;&gt;"Serviço",AND(AUTOEVENTO="Manual",$M156=$A$15),$M156&gt;(ROW(PLE.lastrow)-ROW(PLE.firstrow))),0,
           IF(OFFSET(PLE!$G$15,$M156-$A$15,DP$13)="",10^12,OFFSET(PLE!$G$15,$M156-$A$15,DP$13)))</f>
        <v>0</v>
      </c>
      <c r="DQ156" s="172" cm="1">
        <f t="array" aca="1" ref="DQ156" ca="1">IF(OR($D156&lt;&gt;"Serviço",AND(AUTOEVENTO="Manual",$M156=$A$15),$M156&gt;(ROW(PLE.lastrow)-ROW(PLE.firstrow))),0,
           IF(OFFSET(PLE!$G$15,$M156-$A$15,DQ$13)="",10^12,OFFSET(PLE!$G$15,$M156-$A$15,DQ$13)))</f>
        <v>0</v>
      </c>
      <c r="DR156" s="172" cm="1">
        <f t="array" aca="1" ref="DR156" ca="1">IF(OR($D156&lt;&gt;"Serviço",AND(AUTOEVENTO="Manual",$M156=$A$15),$M156&gt;(ROW(PLE.lastrow)-ROW(PLE.firstrow))),0,
           IF(OFFSET(PLE!$G$15,$M156-$A$15,DR$13)="",10^12,OFFSET(PLE!$G$15,$M156-$A$15,DR$13)))</f>
        <v>0</v>
      </c>
      <c r="DS156" s="172" cm="1">
        <f t="array" aca="1" ref="DS156" ca="1">IF(OR($D156&lt;&gt;"Serviço",AND(AUTOEVENTO="Manual",$M156=$A$15),$M156&gt;(ROW(PLE.lastrow)-ROW(PLE.firstrow))),0,
           IF(OFFSET(PLE!$G$15,$M156-$A$15,DS$13)="",10^12,OFFSET(PLE!$G$15,$M156-$A$15,DS$13)))</f>
        <v>0</v>
      </c>
    </row>
    <row r="157" spans="1:123" ht="38.25" x14ac:dyDescent="0.2">
      <c r="A157" s="7">
        <f t="shared" ca="1" si="16"/>
        <v>9</v>
      </c>
      <c r="B157" s="7" t="str">
        <f ca="1">OFFSET(ORÇAMENTO!C$15,$L157,0)</f>
        <v>S</v>
      </c>
      <c r="C157" s="7" t="str">
        <f ca="1">OFFSET(ORÇAMENTO!L$15,$L157,0)</f>
        <v/>
      </c>
      <c r="D157" s="116" t="str">
        <f ca="1">OFFSET(ORÇAMENTO!N$15,$L157,0)</f>
        <v>Serviço</v>
      </c>
      <c r="E157" s="117" t="str">
        <f ca="1">OFFSET(ORÇAMENTO!O$15,$L157,0)</f>
        <v>-</v>
      </c>
      <c r="F157" s="163" t="str">
        <f ca="1">OFFSET(ORÇAMENTO!R$15,$L157,0)</f>
        <v>(Código não identificado nas referências)</v>
      </c>
      <c r="G157" s="164" t="str">
        <f ca="1">IF($D157&lt;&gt;"Serviço","",OFFSET(ORÇAMENTO!S$15,$L157,0))</f>
        <v>-</v>
      </c>
      <c r="H157" s="122" cm="1">
        <f t="array" aca="1" ref="H157" ca="1">IF($D157&lt;&gt;"Serviço",0,IF(ACOMPANHAMENTO="BM",ROUND(OFFSET(ORÇAMENTO!AJ$15,$L157,0),15-13*ORÇAMENTO!$AF$7),IF(IFERROR(CÁLCULO.FrentesPreenchidas,0)=0,0,SUM(ROUND(OFFSET($P157,0,1,1,CÁLCULO.FrentesPreenchidas),15-13*ORÇAMENTO!$AF$7)))))</f>
        <v>1958.0000000000007</v>
      </c>
      <c r="I157" s="468" t="s">
        <v>1235</v>
      </c>
      <c r="J157" s="651" t="str" cm="1">
        <f t="array" aca="1" ref="J157" ca="1">IF(OR(B157&lt;&gt;"S",CÁLCULO.FrentesPreenchidas=0),"",IF(AND(ACOMPANHAMENTO="PLE",AUTOEVENTO="Manual",OR(H157&gt;0,ORÇAMENTO!AC157="QUANT."),OR(K157="",M157=0,N157="")),"►E",IF(AND(ACOMPANHAMENTO="PLE",ORÇAMENTO!AC157="QUANT."),"►Q",IF(AND(ACOMPANHAMENTO="PLE",H157&lt;&gt;SUMPRODUCT(($Q$1:$AQ$1=1)*ROUND(Q157:AQ157,15))),"►S",IF(AND(COUNTIF($P$11:$AQ$11,"▼")=0,H157&gt;0,I157=""),"◄M","")))))</f>
        <v/>
      </c>
      <c r="K157" s="652" t="s">
        <v>1257</v>
      </c>
      <c r="L157" s="165">
        <f t="shared" ca="1" si="17"/>
        <v>142</v>
      </c>
      <c r="M157" s="166">
        <f ca="1">IF($D157&lt;&gt;"Serviço","",
          IF(AUTOEVENTO="manual",$A157,
                IF(ISERROR(MATCH($A157,$A$15:OFFSET($A157,-1,0),0)),MAX($M$15:OFFSET(M157,-1,0))+1,
                      INDEX($M$15:OFFSET(M157,-1,0),MATCH($A157,$A$15:OFFSET($A157,-1,0),0)))))</f>
        <v>9</v>
      </c>
      <c r="N157" s="167" t="str">
        <f ca="1">IF($D157&lt;&gt;"Serviço","",
         IF(AUTOEVENTO="Manual",
                IF($A157=0,"&lt;-- defina o número do agrupador",
                       OFFSET(EVENTOS!$D$15,$A157-$A$15,0)),
                OFFSET($F$15,$A157,0)))</f>
        <v>INSTALAÇÕES</v>
      </c>
      <c r="O157" s="168"/>
      <c r="Q157" s="168">
        <v>97.9</v>
      </c>
      <c r="R157" s="169">
        <v>97.9</v>
      </c>
      <c r="S157" s="169">
        <v>97.9</v>
      </c>
      <c r="T157" s="169">
        <v>97.9</v>
      </c>
      <c r="U157" s="169">
        <v>97.9</v>
      </c>
      <c r="V157" s="169">
        <v>97.9</v>
      </c>
      <c r="W157" s="169">
        <v>97.9</v>
      </c>
      <c r="X157" s="169">
        <v>97.9</v>
      </c>
      <c r="Y157" s="169">
        <v>97.9</v>
      </c>
      <c r="Z157" s="170">
        <v>97.9</v>
      </c>
      <c r="AA157" s="169">
        <v>97.9</v>
      </c>
      <c r="AB157" s="169">
        <v>97.9</v>
      </c>
      <c r="AC157" s="169">
        <v>97.9</v>
      </c>
      <c r="AD157" s="169">
        <v>97.9</v>
      </c>
      <c r="AE157" s="169">
        <v>97.9</v>
      </c>
      <c r="AF157" s="169">
        <v>97.9</v>
      </c>
      <c r="AG157" s="169">
        <v>97.9</v>
      </c>
      <c r="AH157" s="170">
        <v>97.9</v>
      </c>
      <c r="AI157" s="169">
        <v>97.9</v>
      </c>
      <c r="AJ157" s="169">
        <v>97.9</v>
      </c>
      <c r="AK157" s="169"/>
      <c r="AL157" s="169"/>
      <c r="AM157" s="169"/>
      <c r="AN157" s="169"/>
      <c r="AO157" s="169"/>
      <c r="AP157" s="170"/>
      <c r="AR157" s="453">
        <f ca="1">IF(AND($D157="Serviço",AR$12&lt;&gt;0,$H157&gt;0,OR(AUTOEVENTO&lt;&gt;"manual",$M157&lt;&gt;$A$15)),
        IF(Import.TipoArredondamento&lt;&gt;"TransfereGOV",
              ROUND(OFFSET($P157,0,AR$13),15-13*ORÇAMENTO!$AF$7)/$H157*OFFSET(ORÇAMENTO!$X$15,ROW(AR157)-ROW(AR$15),0),
              ROUND(ROUND(OFFSET($P157,0,AR$13),15-13*ORÇAMENTO!$AF$7)*OFFSET(ORÇAMENTO!$W$15,ROW(AR157)-ROW(AR$15),0),15-13*ORÇAMENTO!$AF$11)),
         0)</f>
        <v>0</v>
      </c>
      <c r="AS157" s="453">
        <f ca="1">IF(AND($D157="Serviço",AS$12&lt;&gt;0,$H157&gt;0,OR(AUTOEVENTO&lt;&gt;"manual",$M157&lt;&gt;$A$15)),
        IF(Import.TipoArredondamento&lt;&gt;"TransfereGOV",
              ROUND(OFFSET($P157,0,AS$13),15-13*ORÇAMENTO!$AF$7)/$H157*OFFSET(ORÇAMENTO!$X$15,ROW(AS157)-ROW(AS$15),0),
              ROUND(ROUND(OFFSET($P157,0,AS$13),15-13*ORÇAMENTO!$AF$7)*OFFSET(ORÇAMENTO!$W$15,ROW(AS157)-ROW(AS$15),0),15-13*ORÇAMENTO!$AF$11)),
         0)</f>
        <v>0</v>
      </c>
      <c r="AT157" s="453">
        <f ca="1">IF(AND($D157="Serviço",AT$12&lt;&gt;0,$H157&gt;0,OR(AUTOEVENTO&lt;&gt;"manual",$M157&lt;&gt;$A$15)),
        IF(Import.TipoArredondamento&lt;&gt;"TransfereGOV",
              ROUND(OFFSET($P157,0,AT$13),15-13*ORÇAMENTO!$AF$7)/$H157*OFFSET(ORÇAMENTO!$X$15,ROW(AT157)-ROW(AT$15),0),
              ROUND(ROUND(OFFSET($P157,0,AT$13),15-13*ORÇAMENTO!$AF$7)*OFFSET(ORÇAMENTO!$W$15,ROW(AT157)-ROW(AT$15),0),15-13*ORÇAMENTO!$AF$11)),
         0)</f>
        <v>0</v>
      </c>
      <c r="AU157" s="453">
        <f ca="1">IF(AND($D157="Serviço",AU$12&lt;&gt;0,$H157&gt;0,OR(AUTOEVENTO&lt;&gt;"manual",$M157&lt;&gt;$A$15)),
        IF(Import.TipoArredondamento&lt;&gt;"TransfereGOV",
              ROUND(OFFSET($P157,0,AU$13),15-13*ORÇAMENTO!$AF$7)/$H157*OFFSET(ORÇAMENTO!$X$15,ROW(AU157)-ROW(AU$15),0),
              ROUND(ROUND(OFFSET($P157,0,AU$13),15-13*ORÇAMENTO!$AF$7)*OFFSET(ORÇAMENTO!$W$15,ROW(AU157)-ROW(AU$15),0),15-13*ORÇAMENTO!$AF$11)),
         0)</f>
        <v>0</v>
      </c>
      <c r="AV157" s="453">
        <f ca="1">IF(AND($D157="Serviço",AV$12&lt;&gt;0,$H157&gt;0,OR(AUTOEVENTO&lt;&gt;"manual",$M157&lt;&gt;$A$15)),
        IF(Import.TipoArredondamento&lt;&gt;"TransfereGOV",
              ROUND(OFFSET($P157,0,AV$13),15-13*ORÇAMENTO!$AF$7)/$H157*OFFSET(ORÇAMENTO!$X$15,ROW(AV157)-ROW(AV$15),0),
              ROUND(ROUND(OFFSET($P157,0,AV$13),15-13*ORÇAMENTO!$AF$7)*OFFSET(ORÇAMENTO!$W$15,ROW(AV157)-ROW(AV$15),0),15-13*ORÇAMENTO!$AF$11)),
         0)</f>
        <v>0</v>
      </c>
      <c r="AW157" s="453">
        <f ca="1">IF(AND($D157="Serviço",AW$12&lt;&gt;0,$H157&gt;0,OR(AUTOEVENTO&lt;&gt;"manual",$M157&lt;&gt;$A$15)),
        IF(Import.TipoArredondamento&lt;&gt;"TransfereGOV",
              ROUND(OFFSET($P157,0,AW$13),15-13*ORÇAMENTO!$AF$7)/$H157*OFFSET(ORÇAMENTO!$X$15,ROW(AW157)-ROW(AW$15),0),
              ROUND(ROUND(OFFSET($P157,0,AW$13),15-13*ORÇAMENTO!$AF$7)*OFFSET(ORÇAMENTO!$W$15,ROW(AW157)-ROW(AW$15),0),15-13*ORÇAMENTO!$AF$11)),
         0)</f>
        <v>0</v>
      </c>
      <c r="AX157" s="453">
        <f ca="1">IF(AND($D157="Serviço",AX$12&lt;&gt;0,$H157&gt;0,OR(AUTOEVENTO&lt;&gt;"manual",$M157&lt;&gt;$A$15)),
        IF(Import.TipoArredondamento&lt;&gt;"TransfereGOV",
              ROUND(OFFSET($P157,0,AX$13),15-13*ORÇAMENTO!$AF$7)/$H157*OFFSET(ORÇAMENTO!$X$15,ROW(AX157)-ROW(AX$15),0),
              ROUND(ROUND(OFFSET($P157,0,AX$13),15-13*ORÇAMENTO!$AF$7)*OFFSET(ORÇAMENTO!$W$15,ROW(AX157)-ROW(AX$15),0),15-13*ORÇAMENTO!$AF$11)),
         0)</f>
        <v>0</v>
      </c>
      <c r="AY157" s="453">
        <f ca="1">IF(AND($D157="Serviço",AY$12&lt;&gt;0,$H157&gt;0,OR(AUTOEVENTO&lt;&gt;"manual",$M157&lt;&gt;$A$15)),
        IF(Import.TipoArredondamento&lt;&gt;"TransfereGOV",
              ROUND(OFFSET($P157,0,AY$13),15-13*ORÇAMENTO!$AF$7)/$H157*OFFSET(ORÇAMENTO!$X$15,ROW(AY157)-ROW(AY$15),0),
              ROUND(ROUND(OFFSET($P157,0,AY$13),15-13*ORÇAMENTO!$AF$7)*OFFSET(ORÇAMENTO!$W$15,ROW(AY157)-ROW(AY$15),0),15-13*ORÇAMENTO!$AF$11)),
         0)</f>
        <v>0</v>
      </c>
      <c r="AZ157" s="453">
        <f ca="1">IF(AND($D157="Serviço",AZ$12&lt;&gt;0,$H157&gt;0,OR(AUTOEVENTO&lt;&gt;"manual",$M157&lt;&gt;$A$15)),
        IF(Import.TipoArredondamento&lt;&gt;"TransfereGOV",
              ROUND(OFFSET($P157,0,AZ$13),15-13*ORÇAMENTO!$AF$7)/$H157*OFFSET(ORÇAMENTO!$X$15,ROW(AZ157)-ROW(AZ$15),0),
              ROUND(ROUND(OFFSET($P157,0,AZ$13),15-13*ORÇAMENTO!$AF$7)*OFFSET(ORÇAMENTO!$W$15,ROW(AZ157)-ROW(AZ$15),0),15-13*ORÇAMENTO!$AF$11)),
         0)</f>
        <v>0</v>
      </c>
      <c r="BA157" s="453">
        <f ca="1">IF(AND($D157="Serviço",BA$12&lt;&gt;0,$H157&gt;0,OR(AUTOEVENTO&lt;&gt;"manual",$M157&lt;&gt;$A$15)),
        IF(Import.TipoArredondamento&lt;&gt;"TransfereGOV",
              ROUND(OFFSET($P157,0,BA$13),15-13*ORÇAMENTO!$AF$7)/$H157*OFFSET(ORÇAMENTO!$X$15,ROW(BA157)-ROW(BA$15),0),
              ROUND(ROUND(OFFSET($P157,0,BA$13),15-13*ORÇAMENTO!$AF$7)*OFFSET(ORÇAMENTO!$W$15,ROW(BA157)-ROW(BA$15),0),15-13*ORÇAMENTO!$AF$11)),
         0)</f>
        <v>0</v>
      </c>
      <c r="BB157" s="453">
        <f ca="1">IF(AND($D157="Serviço",BB$12&lt;&gt;0,$H157&gt;0,OR(AUTOEVENTO&lt;&gt;"manual",$M157&lt;&gt;$A$15)),
        IF(Import.TipoArredondamento&lt;&gt;"TransfereGOV",
              ROUND(OFFSET($P157,0,BB$13),15-13*ORÇAMENTO!$AF$7)/$H157*OFFSET(ORÇAMENTO!$X$15,ROW(BB157)-ROW(BB$15),0),
              ROUND(ROUND(OFFSET($P157,0,BB$13),15-13*ORÇAMENTO!$AF$7)*OFFSET(ORÇAMENTO!$W$15,ROW(BB157)-ROW(BB$15),0),15-13*ORÇAMENTO!$AF$11)),
         0)</f>
        <v>0</v>
      </c>
      <c r="BC157" s="453">
        <f ca="1">IF(AND($D157="Serviço",BC$12&lt;&gt;0,$H157&gt;0,OR(AUTOEVENTO&lt;&gt;"manual",$M157&lt;&gt;$A$15)),
        IF(Import.TipoArredondamento&lt;&gt;"TransfereGOV",
              ROUND(OFFSET($P157,0,BC$13),15-13*ORÇAMENTO!$AF$7)/$H157*OFFSET(ORÇAMENTO!$X$15,ROW(BC157)-ROW(BC$15),0),
              ROUND(ROUND(OFFSET($P157,0,BC$13),15-13*ORÇAMENTO!$AF$7)*OFFSET(ORÇAMENTO!$W$15,ROW(BC157)-ROW(BC$15),0),15-13*ORÇAMENTO!$AF$11)),
         0)</f>
        <v>0</v>
      </c>
      <c r="BD157" s="453">
        <f ca="1">IF(AND($D157="Serviço",BD$12&lt;&gt;0,$H157&gt;0,OR(AUTOEVENTO&lt;&gt;"manual",$M157&lt;&gt;$A$15)),
        IF(Import.TipoArredondamento&lt;&gt;"TransfereGOV",
              ROUND(OFFSET($P157,0,BD$13),15-13*ORÇAMENTO!$AF$7)/$H157*OFFSET(ORÇAMENTO!$X$15,ROW(BD157)-ROW(BD$15),0),
              ROUND(ROUND(OFFSET($P157,0,BD$13),15-13*ORÇAMENTO!$AF$7)*OFFSET(ORÇAMENTO!$W$15,ROW(BD157)-ROW(BD$15),0),15-13*ORÇAMENTO!$AF$11)),
         0)</f>
        <v>0</v>
      </c>
      <c r="BE157" s="453">
        <f ca="1">IF(AND($D157="Serviço",BE$12&lt;&gt;0,$H157&gt;0,OR(AUTOEVENTO&lt;&gt;"manual",$M157&lt;&gt;$A$15)),
        IF(Import.TipoArredondamento&lt;&gt;"TransfereGOV",
              ROUND(OFFSET($P157,0,BE$13),15-13*ORÇAMENTO!$AF$7)/$H157*OFFSET(ORÇAMENTO!$X$15,ROW(BE157)-ROW(BE$15),0),
              ROUND(ROUND(OFFSET($P157,0,BE$13),15-13*ORÇAMENTO!$AF$7)*OFFSET(ORÇAMENTO!$W$15,ROW(BE157)-ROW(BE$15),0),15-13*ORÇAMENTO!$AF$11)),
         0)</f>
        <v>0</v>
      </c>
      <c r="BF157" s="453">
        <f ca="1">IF(AND($D157="Serviço",BF$12&lt;&gt;0,$H157&gt;0,OR(AUTOEVENTO&lt;&gt;"manual",$M157&lt;&gt;$A$15)),
        IF(Import.TipoArredondamento&lt;&gt;"TransfereGOV",
              ROUND(OFFSET($P157,0,BF$13),15-13*ORÇAMENTO!$AF$7)/$H157*OFFSET(ORÇAMENTO!$X$15,ROW(BF157)-ROW(BF$15),0),
              ROUND(ROUND(OFFSET($P157,0,BF$13),15-13*ORÇAMENTO!$AF$7)*OFFSET(ORÇAMENTO!$W$15,ROW(BF157)-ROW(BF$15),0),15-13*ORÇAMENTO!$AF$11)),
         0)</f>
        <v>0</v>
      </c>
      <c r="BG157" s="453">
        <f ca="1">IF(AND($D157="Serviço",BG$12&lt;&gt;0,$H157&gt;0,OR(AUTOEVENTO&lt;&gt;"manual",$M157&lt;&gt;$A$15)),
        IF(Import.TipoArredondamento&lt;&gt;"TransfereGOV",
              ROUND(OFFSET($P157,0,BG$13),15-13*ORÇAMENTO!$AF$7)/$H157*OFFSET(ORÇAMENTO!$X$15,ROW(BG157)-ROW(BG$15),0),
              ROUND(ROUND(OFFSET($P157,0,BG$13),15-13*ORÇAMENTO!$AF$7)*OFFSET(ORÇAMENTO!$W$15,ROW(BG157)-ROW(BG$15),0),15-13*ORÇAMENTO!$AF$11)),
         0)</f>
        <v>0</v>
      </c>
      <c r="BH157" s="453">
        <f ca="1">IF(AND($D157="Serviço",BH$12&lt;&gt;0,$H157&gt;0,OR(AUTOEVENTO&lt;&gt;"manual",$M157&lt;&gt;$A$15)),
        IF(Import.TipoArredondamento&lt;&gt;"TransfereGOV",
              ROUND(OFFSET($P157,0,BH$13),15-13*ORÇAMENTO!$AF$7)/$H157*OFFSET(ORÇAMENTO!$X$15,ROW(BH157)-ROW(BH$15),0),
              ROUND(ROUND(OFFSET($P157,0,BH$13),15-13*ORÇAMENTO!$AF$7)*OFFSET(ORÇAMENTO!$W$15,ROW(BH157)-ROW(BH$15),0),15-13*ORÇAMENTO!$AF$11)),
         0)</f>
        <v>0</v>
      </c>
      <c r="BI157" s="453">
        <f ca="1">IF(AND($D157="Serviço",BI$12&lt;&gt;0,$H157&gt;0,OR(AUTOEVENTO&lt;&gt;"manual",$M157&lt;&gt;$A$15)),
        IF(Import.TipoArredondamento&lt;&gt;"TransfereGOV",
              ROUND(OFFSET($P157,0,BI$13),15-13*ORÇAMENTO!$AF$7)/$H157*OFFSET(ORÇAMENTO!$X$15,ROW(BI157)-ROW(BI$15),0),
              ROUND(ROUND(OFFSET($P157,0,BI$13),15-13*ORÇAMENTO!$AF$7)*OFFSET(ORÇAMENTO!$W$15,ROW(BI157)-ROW(BI$15),0),15-13*ORÇAMENTO!$AF$11)),
         0)</f>
        <v>0</v>
      </c>
      <c r="BJ157" s="453">
        <f ca="1">IF(AND($D157="Serviço",BJ$12&lt;&gt;0,$H157&gt;0,OR(AUTOEVENTO&lt;&gt;"manual",$M157&lt;&gt;$A$15)),
        IF(Import.TipoArredondamento&lt;&gt;"TransfereGOV",
              ROUND(OFFSET($P157,0,BJ$13),15-13*ORÇAMENTO!$AF$7)/$H157*OFFSET(ORÇAMENTO!$X$15,ROW(BJ157)-ROW(BJ$15),0),
              ROUND(ROUND(OFFSET($P157,0,BJ$13),15-13*ORÇAMENTO!$AF$7)*OFFSET(ORÇAMENTO!$W$15,ROW(BJ157)-ROW(BJ$15),0),15-13*ORÇAMENTO!$AF$11)),
         0)</f>
        <v>0</v>
      </c>
      <c r="BK157" s="453">
        <f ca="1">IF(AND($D157="Serviço",BK$12&lt;&gt;0,$H157&gt;0,OR(AUTOEVENTO&lt;&gt;"manual",$M157&lt;&gt;$A$15)),
        IF(Import.TipoArredondamento&lt;&gt;"TransfereGOV",
              ROUND(OFFSET($P157,0,BK$13),15-13*ORÇAMENTO!$AF$7)/$H157*OFFSET(ORÇAMENTO!$X$15,ROW(BK157)-ROW(BK$15),0),
              ROUND(ROUND(OFFSET($P157,0,BK$13),15-13*ORÇAMENTO!$AF$7)*OFFSET(ORÇAMENTO!$W$15,ROW(BK157)-ROW(BK$15),0),15-13*ORÇAMENTO!$AF$11)),
         0)</f>
        <v>0</v>
      </c>
      <c r="BL157" s="453">
        <f ca="1">IF(AND($D157="Serviço",BL$12&lt;&gt;0,$H157&gt;0,OR(AUTOEVENTO&lt;&gt;"manual",$M157&lt;&gt;$A$15)),
        IF(Import.TipoArredondamento&lt;&gt;"TransfereGOV",
              ROUND(OFFSET($P157,0,BL$13),15-13*ORÇAMENTO!$AF$7)/$H157*OFFSET(ORÇAMENTO!$X$15,ROW(BL157)-ROW(BL$15),0),
              ROUND(ROUND(OFFSET($P157,0,BL$13),15-13*ORÇAMENTO!$AF$7)*OFFSET(ORÇAMENTO!$W$15,ROW(BL157)-ROW(BL$15),0),15-13*ORÇAMENTO!$AF$11)),
         0)</f>
        <v>0</v>
      </c>
      <c r="BM157" s="453">
        <f ca="1">IF(AND($D157="Serviço",BM$12&lt;&gt;0,$H157&gt;0,OR(AUTOEVENTO&lt;&gt;"manual",$M157&lt;&gt;$A$15)),
        IF(Import.TipoArredondamento&lt;&gt;"TransfereGOV",
              ROUND(OFFSET($P157,0,BM$13),15-13*ORÇAMENTO!$AF$7)/$H157*OFFSET(ORÇAMENTO!$X$15,ROW(BM157)-ROW(BM$15),0),
              ROUND(ROUND(OFFSET($P157,0,BM$13),15-13*ORÇAMENTO!$AF$7)*OFFSET(ORÇAMENTO!$W$15,ROW(BM157)-ROW(BM$15),0),15-13*ORÇAMENTO!$AF$11)),
         0)</f>
        <v>0</v>
      </c>
      <c r="BN157" s="453">
        <f ca="1">IF(AND($D157="Serviço",BN$12&lt;&gt;0,$H157&gt;0,OR(AUTOEVENTO&lt;&gt;"manual",$M157&lt;&gt;$A$15)),
        IF(Import.TipoArredondamento&lt;&gt;"TransfereGOV",
              ROUND(OFFSET($P157,0,BN$13),15-13*ORÇAMENTO!$AF$7)/$H157*OFFSET(ORÇAMENTO!$X$15,ROW(BN157)-ROW(BN$15),0),
              ROUND(ROUND(OFFSET($P157,0,BN$13),15-13*ORÇAMENTO!$AF$7)*OFFSET(ORÇAMENTO!$W$15,ROW(BN157)-ROW(BN$15),0),15-13*ORÇAMENTO!$AF$11)),
         0)</f>
        <v>0</v>
      </c>
      <c r="BO157" s="453">
        <f ca="1">IF(AND($D157="Serviço",BO$12&lt;&gt;0,$H157&gt;0,OR(AUTOEVENTO&lt;&gt;"manual",$M157&lt;&gt;$A$15)),
        IF(Import.TipoArredondamento&lt;&gt;"TransfereGOV",
              ROUND(OFFSET($P157,0,BO$13),15-13*ORÇAMENTO!$AF$7)/$H157*OFFSET(ORÇAMENTO!$X$15,ROW(BO157)-ROW(BO$15),0),
              ROUND(ROUND(OFFSET($P157,0,BO$13),15-13*ORÇAMENTO!$AF$7)*OFFSET(ORÇAMENTO!$W$15,ROW(BO157)-ROW(BO$15),0),15-13*ORÇAMENTO!$AF$11)),
         0)</f>
        <v>0</v>
      </c>
      <c r="BP157" s="453">
        <f ca="1">IF(AND($D157="Serviço",BP$12&lt;&gt;0,$H157&gt;0,OR(AUTOEVENTO&lt;&gt;"manual",$M157&lt;&gt;$A$15)),
        IF(Import.TipoArredondamento&lt;&gt;"TransfereGOV",
              ROUND(OFFSET($P157,0,BP$13),15-13*ORÇAMENTO!$AF$7)/$H157*OFFSET(ORÇAMENTO!$X$15,ROW(BP157)-ROW(BP$15),0),
              ROUND(ROUND(OFFSET($P157,0,BP$13),15-13*ORÇAMENTO!$AF$7)*OFFSET(ORÇAMENTO!$W$15,ROW(BP157)-ROW(BP$15),0),15-13*ORÇAMENTO!$AF$11)),
         0)</f>
        <v>0</v>
      </c>
      <c r="BQ157" s="453">
        <f ca="1">IF(AND($D157="Serviço",BQ$12&lt;&gt;0,$H157&gt;0,OR(AUTOEVENTO&lt;&gt;"manual",$M157&lt;&gt;$A$15)),
        IF(Import.TipoArredondamento&lt;&gt;"TransfereGOV",
              ROUND(OFFSET($P157,0,BQ$13),15-13*ORÇAMENTO!$AF$7)/$H157*OFFSET(ORÇAMENTO!$X$15,ROW(BQ157)-ROW(BQ$15),0),
              ROUND(ROUND(OFFSET($P157,0,BQ$13),15-13*ORÇAMENTO!$AF$7)*OFFSET(ORÇAMENTO!$W$15,ROW(BQ157)-ROW(BQ$15),0),15-13*ORÇAMENTO!$AF$11)),
         0)</f>
        <v>0</v>
      </c>
      <c r="BS157" s="171">
        <f ca="1">IF(OR($D157&lt;&gt;"Serviço",AND(AUTOEVENTO="Manual",$M157=$A$15)),0,
         IF(OFFSET(CRONOPLE!$F$15,$M157-$A$15,BS$13)=0,10^12,OFFSET(CRONOPLE!$F$15,$M157-$A$15,BS$13)))</f>
        <v>1</v>
      </c>
      <c r="BT157" s="171">
        <f ca="1">IF(OR($D157&lt;&gt;"Serviço",AND(AUTOEVENTO="Manual",$M157=$A$15)),0,
         IF(OFFSET(CRONOPLE!$F$15,$M157-$A$15,BT$13)=0,10^12,OFFSET(CRONOPLE!$F$15,$M157-$A$15,BT$13)))</f>
        <v>2</v>
      </c>
      <c r="BU157" s="171">
        <f ca="1">IF(OR($D157&lt;&gt;"Serviço",AND(AUTOEVENTO="Manual",$M157=$A$15)),0,
         IF(OFFSET(CRONOPLE!$F$15,$M157-$A$15,BU$13)=0,10^12,OFFSET(CRONOPLE!$F$15,$M157-$A$15,BU$13)))</f>
        <v>3</v>
      </c>
      <c r="BV157" s="171">
        <f ca="1">IF(OR($D157&lt;&gt;"Serviço",AND(AUTOEVENTO="Manual",$M157=$A$15)),0,
         IF(OFFSET(CRONOPLE!$F$15,$M157-$A$15,BV$13)=0,10^12,OFFSET(CRONOPLE!$F$15,$M157-$A$15,BV$13)))</f>
        <v>4</v>
      </c>
      <c r="BW157" s="171">
        <f ca="1">IF(OR($D157&lt;&gt;"Serviço",AND(AUTOEVENTO="Manual",$M157=$A$15)),0,
         IF(OFFSET(CRONOPLE!$F$15,$M157-$A$15,BW$13)=0,10^12,OFFSET(CRONOPLE!$F$15,$M157-$A$15,BW$13)))</f>
        <v>5</v>
      </c>
      <c r="BX157" s="171">
        <f ca="1">IF(OR($D157&lt;&gt;"Serviço",AND(AUTOEVENTO="Manual",$M157=$A$15)),0,
         IF(OFFSET(CRONOPLE!$F$15,$M157-$A$15,BX$13)=0,10^12,OFFSET(CRONOPLE!$F$15,$M157-$A$15,BX$13)))</f>
        <v>6</v>
      </c>
      <c r="BY157" s="171">
        <f ca="1">IF(OR($D157&lt;&gt;"Serviço",AND(AUTOEVENTO="Manual",$M157=$A$15)),0,
         IF(OFFSET(CRONOPLE!$F$15,$M157-$A$15,BY$13)=0,10^12,OFFSET(CRONOPLE!$F$15,$M157-$A$15,BY$13)))</f>
        <v>7</v>
      </c>
      <c r="BZ157" s="171">
        <f ca="1">IF(OR($D157&lt;&gt;"Serviço",AND(AUTOEVENTO="Manual",$M157=$A$15)),0,
         IF(OFFSET(CRONOPLE!$F$15,$M157-$A$15,BZ$13)=0,10^12,OFFSET(CRONOPLE!$F$15,$M157-$A$15,BZ$13)))</f>
        <v>8</v>
      </c>
      <c r="CA157" s="171">
        <f ca="1">IF(OR($D157&lt;&gt;"Serviço",AND(AUTOEVENTO="Manual",$M157=$A$15)),0,
         IF(OFFSET(CRONOPLE!$F$15,$M157-$A$15,CA$13)=0,10^12,OFFSET(CRONOPLE!$F$15,$M157-$A$15,CA$13)))</f>
        <v>9</v>
      </c>
      <c r="CB157" s="171">
        <f ca="1">IF(OR($D157&lt;&gt;"Serviço",AND(AUTOEVENTO="Manual",$M157=$A$15)),0,
         IF(OFFSET(CRONOPLE!$F$15,$M157-$A$15,CB$13)=0,10^12,OFFSET(CRONOPLE!$F$15,$M157-$A$15,CB$13)))</f>
        <v>10</v>
      </c>
      <c r="CC157" s="171">
        <f ca="1">IF(OR($D157&lt;&gt;"Serviço",AND(AUTOEVENTO="Manual",$M157=$A$15)),0,
         IF(OFFSET(CRONOPLE!$F$15,$M157-$A$15,CC$13)=0,10^12,OFFSET(CRONOPLE!$F$15,$M157-$A$15,CC$13)))</f>
        <v>11</v>
      </c>
      <c r="CD157" s="171">
        <f ca="1">IF(OR($D157&lt;&gt;"Serviço",AND(AUTOEVENTO="Manual",$M157=$A$15)),0,
         IF(OFFSET(CRONOPLE!$F$15,$M157-$A$15,CD$13)=0,10^12,OFFSET(CRONOPLE!$F$15,$M157-$A$15,CD$13)))</f>
        <v>12</v>
      </c>
      <c r="CE157" s="171">
        <f ca="1">IF(OR($D157&lt;&gt;"Serviço",AND(AUTOEVENTO="Manual",$M157=$A$15)),0,
         IF(OFFSET(CRONOPLE!$F$15,$M157-$A$15,CE$13)=0,10^12,OFFSET(CRONOPLE!$F$15,$M157-$A$15,CE$13)))</f>
        <v>13</v>
      </c>
      <c r="CF157" s="171">
        <f ca="1">IF(OR($D157&lt;&gt;"Serviço",AND(AUTOEVENTO="Manual",$M157=$A$15)),0,
         IF(OFFSET(CRONOPLE!$F$15,$M157-$A$15,CF$13)=0,10^12,OFFSET(CRONOPLE!$F$15,$M157-$A$15,CF$13)))</f>
        <v>14</v>
      </c>
      <c r="CG157" s="171">
        <f ca="1">IF(OR($D157&lt;&gt;"Serviço",AND(AUTOEVENTO="Manual",$M157=$A$15)),0,
         IF(OFFSET(CRONOPLE!$F$15,$M157-$A$15,CG$13)=0,10^12,OFFSET(CRONOPLE!$F$15,$M157-$A$15,CG$13)))</f>
        <v>15</v>
      </c>
      <c r="CH157" s="171">
        <f ca="1">IF(OR($D157&lt;&gt;"Serviço",AND(AUTOEVENTO="Manual",$M157=$A$15)),0,
         IF(OFFSET(CRONOPLE!$F$15,$M157-$A$15,CH$13)=0,10^12,OFFSET(CRONOPLE!$F$15,$M157-$A$15,CH$13)))</f>
        <v>16</v>
      </c>
      <c r="CI157" s="171">
        <f ca="1">IF(OR($D157&lt;&gt;"Serviço",AND(AUTOEVENTO="Manual",$M157=$A$15)),0,
         IF(OFFSET(CRONOPLE!$F$15,$M157-$A$15,CI$13)=0,10^12,OFFSET(CRONOPLE!$F$15,$M157-$A$15,CI$13)))</f>
        <v>17</v>
      </c>
      <c r="CJ157" s="171">
        <f ca="1">IF(OR($D157&lt;&gt;"Serviço",AND(AUTOEVENTO="Manual",$M157=$A$15)),0,
         IF(OFFSET(CRONOPLE!$F$15,$M157-$A$15,CJ$13)=0,10^12,OFFSET(CRONOPLE!$F$15,$M157-$A$15,CJ$13)))</f>
        <v>18</v>
      </c>
      <c r="CK157" s="171">
        <f ca="1">IF(OR($D157&lt;&gt;"Serviço",AND(AUTOEVENTO="Manual",$M157=$A$15)),0,
         IF(OFFSET(CRONOPLE!$F$15,$M157-$A$15,CK$13)=0,10^12,OFFSET(CRONOPLE!$F$15,$M157-$A$15,CK$13)))</f>
        <v>19</v>
      </c>
      <c r="CL157" s="171">
        <f ca="1">IF(OR($D157&lt;&gt;"Serviço",AND(AUTOEVENTO="Manual",$M157=$A$15)),0,
         IF(OFFSET(CRONOPLE!$F$15,$M157-$A$15,CL$13)=0,10^12,OFFSET(CRONOPLE!$F$15,$M157-$A$15,CL$13)))</f>
        <v>20</v>
      </c>
      <c r="CM157" s="171">
        <f ca="1">IF(OR($D157&lt;&gt;"Serviço",AND(AUTOEVENTO="Manual",$M157=$A$15)),0,
         IF(OFFSET(CRONOPLE!$F$15,$M157-$A$15,CM$13)=0,10^12,OFFSET(CRONOPLE!$F$15,$M157-$A$15,CM$13)))</f>
        <v>1000000000000</v>
      </c>
      <c r="CN157" s="171">
        <f ca="1">IF(OR($D157&lt;&gt;"Serviço",AND(AUTOEVENTO="Manual",$M157=$A$15)),0,
         IF(OFFSET(CRONOPLE!$F$15,$M157-$A$15,CN$13)=0,10^12,OFFSET(CRONOPLE!$F$15,$M157-$A$15,CN$13)))</f>
        <v>1000000000000</v>
      </c>
      <c r="CO157" s="171">
        <f ca="1">IF(OR($D157&lt;&gt;"Serviço",AND(AUTOEVENTO="Manual",$M157=$A$15)),0,
         IF(OFFSET(CRONOPLE!$F$15,$M157-$A$15,CO$13)=0,10^12,OFFSET(CRONOPLE!$F$15,$M157-$A$15,CO$13)))</f>
        <v>1000000000000</v>
      </c>
      <c r="CP157" s="171">
        <f ca="1">IF(OR($D157&lt;&gt;"Serviço",AND(AUTOEVENTO="Manual",$M157=$A$15)),0,
         IF(OFFSET(CRONOPLE!$F$15,$M157-$A$15,CP$13)=0,10^12,OFFSET(CRONOPLE!$F$15,$M157-$A$15,CP$13)))</f>
        <v>1000000000000</v>
      </c>
      <c r="CQ157" s="171">
        <f ca="1">IF(OR($D157&lt;&gt;"Serviço",AND(AUTOEVENTO="Manual",$M157=$A$15)),0,
         IF(OFFSET(CRONOPLE!$F$15,$M157-$A$15,CQ$13)=0,10^12,OFFSET(CRONOPLE!$F$15,$M157-$A$15,CQ$13)))</f>
        <v>1000000000000</v>
      </c>
      <c r="CR157" s="171">
        <f ca="1">IF(OR($D157&lt;&gt;"Serviço",AND(AUTOEVENTO="Manual",$M157=$A$15)),0,
         IF(OFFSET(CRONOPLE!$F$15,$M157-$A$15,CR$13)=0,10^12,OFFSET(CRONOPLE!$F$15,$M157-$A$15,CR$13)))</f>
        <v>1000000000000</v>
      </c>
      <c r="CT157" s="172" cm="1">
        <f t="array" aca="1" ref="CT157" ca="1">IF(OR($D157&lt;&gt;"Serviço",AND(AUTOEVENTO="Manual",$M157=$A$15),$M157&gt;(ROW(PLE.lastrow)-ROW(PLE.firstrow))),0,
           IF(OFFSET(PLE!$G$15,$M157-$A$15,CT$13)="",10^12,OFFSET(PLE!$G$15,$M157-$A$15,CT$13)))</f>
        <v>1000000000000</v>
      </c>
      <c r="CU157" s="172" cm="1">
        <f t="array" aca="1" ref="CU157" ca="1">IF(OR($D157&lt;&gt;"Serviço",AND(AUTOEVENTO="Manual",$M157=$A$15),$M157&gt;(ROW(PLE.lastrow)-ROW(PLE.firstrow))),0,
           IF(OFFSET(PLE!$G$15,$M157-$A$15,CU$13)="",10^12,OFFSET(PLE!$G$15,$M157-$A$15,CU$13)))</f>
        <v>1000000000000</v>
      </c>
      <c r="CV157" s="172" cm="1">
        <f t="array" aca="1" ref="CV157" ca="1">IF(OR($D157&lt;&gt;"Serviço",AND(AUTOEVENTO="Manual",$M157=$A$15),$M157&gt;(ROW(PLE.lastrow)-ROW(PLE.firstrow))),0,
           IF(OFFSET(PLE!$G$15,$M157-$A$15,CV$13)="",10^12,OFFSET(PLE!$G$15,$M157-$A$15,CV$13)))</f>
        <v>1000000000000</v>
      </c>
      <c r="CW157" s="172" cm="1">
        <f t="array" aca="1" ref="CW157" ca="1">IF(OR($D157&lt;&gt;"Serviço",AND(AUTOEVENTO="Manual",$M157=$A$15),$M157&gt;(ROW(PLE.lastrow)-ROW(PLE.firstrow))),0,
           IF(OFFSET(PLE!$G$15,$M157-$A$15,CW$13)="",10^12,OFFSET(PLE!$G$15,$M157-$A$15,CW$13)))</f>
        <v>1000000000000</v>
      </c>
      <c r="CX157" s="172" cm="1">
        <f t="array" aca="1" ref="CX157" ca="1">IF(OR($D157&lt;&gt;"Serviço",AND(AUTOEVENTO="Manual",$M157=$A$15),$M157&gt;(ROW(PLE.lastrow)-ROW(PLE.firstrow))),0,
           IF(OFFSET(PLE!$G$15,$M157-$A$15,CX$13)="",10^12,OFFSET(PLE!$G$15,$M157-$A$15,CX$13)))</f>
        <v>1000000000000</v>
      </c>
      <c r="CY157" s="172" cm="1">
        <f t="array" aca="1" ref="CY157" ca="1">IF(OR($D157&lt;&gt;"Serviço",AND(AUTOEVENTO="Manual",$M157=$A$15),$M157&gt;(ROW(PLE.lastrow)-ROW(PLE.firstrow))),0,
           IF(OFFSET(PLE!$G$15,$M157-$A$15,CY$13)="",10^12,OFFSET(PLE!$G$15,$M157-$A$15,CY$13)))</f>
        <v>1000000000000</v>
      </c>
      <c r="CZ157" s="172" cm="1">
        <f t="array" aca="1" ref="CZ157" ca="1">IF(OR($D157&lt;&gt;"Serviço",AND(AUTOEVENTO="Manual",$M157=$A$15),$M157&gt;(ROW(PLE.lastrow)-ROW(PLE.firstrow))),0,
           IF(OFFSET(PLE!$G$15,$M157-$A$15,CZ$13)="",10^12,OFFSET(PLE!$G$15,$M157-$A$15,CZ$13)))</f>
        <v>1000000000000</v>
      </c>
      <c r="DA157" s="172" cm="1">
        <f t="array" aca="1" ref="DA157" ca="1">IF(OR($D157&lt;&gt;"Serviço",AND(AUTOEVENTO="Manual",$M157=$A$15),$M157&gt;(ROW(PLE.lastrow)-ROW(PLE.firstrow))),0,
           IF(OFFSET(PLE!$G$15,$M157-$A$15,DA$13)="",10^12,OFFSET(PLE!$G$15,$M157-$A$15,DA$13)))</f>
        <v>1000000000000</v>
      </c>
      <c r="DB157" s="172" cm="1">
        <f t="array" aca="1" ref="DB157" ca="1">IF(OR($D157&lt;&gt;"Serviço",AND(AUTOEVENTO="Manual",$M157=$A$15),$M157&gt;(ROW(PLE.lastrow)-ROW(PLE.firstrow))),0,
           IF(OFFSET(PLE!$G$15,$M157-$A$15,DB$13)="",10^12,OFFSET(PLE!$G$15,$M157-$A$15,DB$13)))</f>
        <v>1000000000000</v>
      </c>
      <c r="DC157" s="172" cm="1">
        <f t="array" aca="1" ref="DC157" ca="1">IF(OR($D157&lt;&gt;"Serviço",AND(AUTOEVENTO="Manual",$M157=$A$15),$M157&gt;(ROW(PLE.lastrow)-ROW(PLE.firstrow))),0,
           IF(OFFSET(PLE!$G$15,$M157-$A$15,DC$13)="",10^12,OFFSET(PLE!$G$15,$M157-$A$15,DC$13)))</f>
        <v>1000000000000</v>
      </c>
      <c r="DD157" s="172" cm="1">
        <f t="array" aca="1" ref="DD157" ca="1">IF(OR($D157&lt;&gt;"Serviço",AND(AUTOEVENTO="Manual",$M157=$A$15),$M157&gt;(ROW(PLE.lastrow)-ROW(PLE.firstrow))),0,
           IF(OFFSET(PLE!$G$15,$M157-$A$15,DD$13)="",10^12,OFFSET(PLE!$G$15,$M157-$A$15,DD$13)))</f>
        <v>1000000000000</v>
      </c>
      <c r="DE157" s="172" cm="1">
        <f t="array" aca="1" ref="DE157" ca="1">IF(OR($D157&lt;&gt;"Serviço",AND(AUTOEVENTO="Manual",$M157=$A$15),$M157&gt;(ROW(PLE.lastrow)-ROW(PLE.firstrow))),0,
           IF(OFFSET(PLE!$G$15,$M157-$A$15,DE$13)="",10^12,OFFSET(PLE!$G$15,$M157-$A$15,DE$13)))</f>
        <v>1000000000000</v>
      </c>
      <c r="DF157" s="172" cm="1">
        <f t="array" aca="1" ref="DF157" ca="1">IF(OR($D157&lt;&gt;"Serviço",AND(AUTOEVENTO="Manual",$M157=$A$15),$M157&gt;(ROW(PLE.lastrow)-ROW(PLE.firstrow))),0,
           IF(OFFSET(PLE!$G$15,$M157-$A$15,DF$13)="",10^12,OFFSET(PLE!$G$15,$M157-$A$15,DF$13)))</f>
        <v>1000000000000</v>
      </c>
      <c r="DG157" s="172" cm="1">
        <f t="array" aca="1" ref="DG157" ca="1">IF(OR($D157&lt;&gt;"Serviço",AND(AUTOEVENTO="Manual",$M157=$A$15),$M157&gt;(ROW(PLE.lastrow)-ROW(PLE.firstrow))),0,
           IF(OFFSET(PLE!$G$15,$M157-$A$15,DG$13)="",10^12,OFFSET(PLE!$G$15,$M157-$A$15,DG$13)))</f>
        <v>1000000000000</v>
      </c>
      <c r="DH157" s="172" cm="1">
        <f t="array" aca="1" ref="DH157" ca="1">IF(OR($D157&lt;&gt;"Serviço",AND(AUTOEVENTO="Manual",$M157=$A$15),$M157&gt;(ROW(PLE.lastrow)-ROW(PLE.firstrow))),0,
           IF(OFFSET(PLE!$G$15,$M157-$A$15,DH$13)="",10^12,OFFSET(PLE!$G$15,$M157-$A$15,DH$13)))</f>
        <v>1000000000000</v>
      </c>
      <c r="DI157" s="172" cm="1">
        <f t="array" aca="1" ref="DI157" ca="1">IF(OR($D157&lt;&gt;"Serviço",AND(AUTOEVENTO="Manual",$M157=$A$15),$M157&gt;(ROW(PLE.lastrow)-ROW(PLE.firstrow))),0,
           IF(OFFSET(PLE!$G$15,$M157-$A$15,DI$13)="",10^12,OFFSET(PLE!$G$15,$M157-$A$15,DI$13)))</f>
        <v>1000000000000</v>
      </c>
      <c r="DJ157" s="172" cm="1">
        <f t="array" aca="1" ref="DJ157" ca="1">IF(OR($D157&lt;&gt;"Serviço",AND(AUTOEVENTO="Manual",$M157=$A$15),$M157&gt;(ROW(PLE.lastrow)-ROW(PLE.firstrow))),0,
           IF(OFFSET(PLE!$G$15,$M157-$A$15,DJ$13)="",10^12,OFFSET(PLE!$G$15,$M157-$A$15,DJ$13)))</f>
        <v>1000000000000</v>
      </c>
      <c r="DK157" s="172" cm="1">
        <f t="array" aca="1" ref="DK157" ca="1">IF(OR($D157&lt;&gt;"Serviço",AND(AUTOEVENTO="Manual",$M157=$A$15),$M157&gt;(ROW(PLE.lastrow)-ROW(PLE.firstrow))),0,
           IF(OFFSET(PLE!$G$15,$M157-$A$15,DK$13)="",10^12,OFFSET(PLE!$G$15,$M157-$A$15,DK$13)))</f>
        <v>1000000000000</v>
      </c>
      <c r="DL157" s="172" cm="1">
        <f t="array" aca="1" ref="DL157" ca="1">IF(OR($D157&lt;&gt;"Serviço",AND(AUTOEVENTO="Manual",$M157=$A$15),$M157&gt;(ROW(PLE.lastrow)-ROW(PLE.firstrow))),0,
           IF(OFFSET(PLE!$G$15,$M157-$A$15,DL$13)="",10^12,OFFSET(PLE!$G$15,$M157-$A$15,DL$13)))</f>
        <v>1000000000000</v>
      </c>
      <c r="DM157" s="172" cm="1">
        <f t="array" aca="1" ref="DM157" ca="1">IF(OR($D157&lt;&gt;"Serviço",AND(AUTOEVENTO="Manual",$M157=$A$15),$M157&gt;(ROW(PLE.lastrow)-ROW(PLE.firstrow))),0,
           IF(OFFSET(PLE!$G$15,$M157-$A$15,DM$13)="",10^12,OFFSET(PLE!$G$15,$M157-$A$15,DM$13)))</f>
        <v>1000000000000</v>
      </c>
      <c r="DN157" s="172" cm="1">
        <f t="array" aca="1" ref="DN157" ca="1">IF(OR($D157&lt;&gt;"Serviço",AND(AUTOEVENTO="Manual",$M157=$A$15),$M157&gt;(ROW(PLE.lastrow)-ROW(PLE.firstrow))),0,
           IF(OFFSET(PLE!$G$15,$M157-$A$15,DN$13)="",10^12,OFFSET(PLE!$G$15,$M157-$A$15,DN$13)))</f>
        <v>1000000000000</v>
      </c>
      <c r="DO157" s="172" cm="1">
        <f t="array" aca="1" ref="DO157" ca="1">IF(OR($D157&lt;&gt;"Serviço",AND(AUTOEVENTO="Manual",$M157=$A$15),$M157&gt;(ROW(PLE.lastrow)-ROW(PLE.firstrow))),0,
           IF(OFFSET(PLE!$G$15,$M157-$A$15,DO$13)="",10^12,OFFSET(PLE!$G$15,$M157-$A$15,DO$13)))</f>
        <v>1000000000000</v>
      </c>
      <c r="DP157" s="172" cm="1">
        <f t="array" aca="1" ref="DP157" ca="1">IF(OR($D157&lt;&gt;"Serviço",AND(AUTOEVENTO="Manual",$M157=$A$15),$M157&gt;(ROW(PLE.lastrow)-ROW(PLE.firstrow))),0,
           IF(OFFSET(PLE!$G$15,$M157-$A$15,DP$13)="",10^12,OFFSET(PLE!$G$15,$M157-$A$15,DP$13)))</f>
        <v>1000000000000</v>
      </c>
      <c r="DQ157" s="172" cm="1">
        <f t="array" aca="1" ref="DQ157" ca="1">IF(OR($D157&lt;&gt;"Serviço",AND(AUTOEVENTO="Manual",$M157=$A$15),$M157&gt;(ROW(PLE.lastrow)-ROW(PLE.firstrow))),0,
           IF(OFFSET(PLE!$G$15,$M157-$A$15,DQ$13)="",10^12,OFFSET(PLE!$G$15,$M157-$A$15,DQ$13)))</f>
        <v>1000000000000</v>
      </c>
      <c r="DR157" s="172" cm="1">
        <f t="array" aca="1" ref="DR157" ca="1">IF(OR($D157&lt;&gt;"Serviço",AND(AUTOEVENTO="Manual",$M157=$A$15),$M157&gt;(ROW(PLE.lastrow)-ROW(PLE.firstrow))),0,
           IF(OFFSET(PLE!$G$15,$M157-$A$15,DR$13)="",10^12,OFFSET(PLE!$G$15,$M157-$A$15,DR$13)))</f>
        <v>1000000000000</v>
      </c>
      <c r="DS157" s="172" cm="1">
        <f t="array" aca="1" ref="DS157" ca="1">IF(OR($D157&lt;&gt;"Serviço",AND(AUTOEVENTO="Manual",$M157=$A$15),$M157&gt;(ROW(PLE.lastrow)-ROW(PLE.firstrow))),0,
           IF(OFFSET(PLE!$G$15,$M157-$A$15,DS$13)="",10^12,OFFSET(PLE!$G$15,$M157-$A$15,DS$13)))</f>
        <v>1000000000000</v>
      </c>
    </row>
    <row r="158" spans="1:123" ht="38.25" x14ac:dyDescent="0.2">
      <c r="A158" s="7">
        <f t="shared" ca="1" si="16"/>
        <v>9</v>
      </c>
      <c r="B158" s="7" t="str">
        <f ca="1">OFFSET(ORÇAMENTO!C$15,$L158,0)</f>
        <v>S</v>
      </c>
      <c r="C158" s="7" t="str">
        <f ca="1">OFFSET(ORÇAMENTO!L$15,$L158,0)</f>
        <v/>
      </c>
      <c r="D158" s="116" t="str">
        <f ca="1">OFFSET(ORÇAMENTO!N$15,$L158,0)</f>
        <v>Serviço</v>
      </c>
      <c r="E158" s="117" t="str">
        <f ca="1">OFFSET(ORÇAMENTO!O$15,$L158,0)</f>
        <v>-</v>
      </c>
      <c r="F158" s="163" t="str">
        <f ca="1">OFFSET(ORÇAMENTO!R$15,$L158,0)</f>
        <v>(Código não identificado nas referências)</v>
      </c>
      <c r="G158" s="164" t="str">
        <f ca="1">IF($D158&lt;&gt;"Serviço","",OFFSET(ORÇAMENTO!S$15,$L158,0))</f>
        <v>-</v>
      </c>
      <c r="H158" s="122" cm="1">
        <f t="array" aca="1" ref="H158" ca="1">IF($D158&lt;&gt;"Serviço",0,IF(ACOMPANHAMENTO="BM",ROUND(OFFSET(ORÇAMENTO!AJ$15,$L158,0),15-13*ORÇAMENTO!$AF$7),IF(IFERROR(CÁLCULO.FrentesPreenchidas,0)=0,0,SUM(ROUND(OFFSET($P158,0,1,1,CÁLCULO.FrentesPreenchidas),15-13*ORÇAMENTO!$AF$7)))))</f>
        <v>5176.0000000000018</v>
      </c>
      <c r="I158" s="468" t="s">
        <v>1235</v>
      </c>
      <c r="J158" s="651" t="str" cm="1">
        <f t="array" aca="1" ref="J158" ca="1">IF(OR(B158&lt;&gt;"S",CÁLCULO.FrentesPreenchidas=0),"",IF(AND(ACOMPANHAMENTO="PLE",AUTOEVENTO="Manual",OR(H158&gt;0,ORÇAMENTO!AC158="QUANT."),OR(K158="",M158=0,N158="")),"►E",IF(AND(ACOMPANHAMENTO="PLE",ORÇAMENTO!AC158="QUANT."),"►Q",IF(AND(ACOMPANHAMENTO="PLE",H158&lt;&gt;SUMPRODUCT(($Q$1:$AQ$1=1)*ROUND(Q158:AQ158,15))),"►S",IF(AND(COUNTIF($P$11:$AQ$11,"▼")=0,H158&gt;0,I158=""),"◄M","")))))</f>
        <v/>
      </c>
      <c r="K158" s="652" t="s">
        <v>1257</v>
      </c>
      <c r="L158" s="165">
        <f t="shared" ca="1" si="17"/>
        <v>143</v>
      </c>
      <c r="M158" s="166">
        <f ca="1">IF($D158&lt;&gt;"Serviço","",
          IF(AUTOEVENTO="manual",$A158,
                IF(ISERROR(MATCH($A158,$A$15:OFFSET($A158,-1,0),0)),MAX($M$15:OFFSET(M158,-1,0))+1,
                      INDEX($M$15:OFFSET(M158,-1,0),MATCH($A158,$A$15:OFFSET($A158,-1,0),0)))))</f>
        <v>9</v>
      </c>
      <c r="N158" s="167" t="str">
        <f ca="1">IF($D158&lt;&gt;"Serviço","",
         IF(AUTOEVENTO="Manual",
                IF($A158=0,"&lt;-- defina o número do agrupador",
                       OFFSET(EVENTOS!$D$15,$A158-$A$15,0)),
                OFFSET($F$15,$A158,0)))</f>
        <v>INSTALAÇÕES</v>
      </c>
      <c r="O158" s="168"/>
      <c r="Q158" s="168">
        <v>258.8</v>
      </c>
      <c r="R158" s="169">
        <v>258.8</v>
      </c>
      <c r="S158" s="169">
        <v>258.8</v>
      </c>
      <c r="T158" s="169">
        <v>258.8</v>
      </c>
      <c r="U158" s="169">
        <v>258.8</v>
      </c>
      <c r="V158" s="169">
        <v>258.8</v>
      </c>
      <c r="W158" s="169">
        <v>258.8</v>
      </c>
      <c r="X158" s="169">
        <v>258.8</v>
      </c>
      <c r="Y158" s="169">
        <v>258.8</v>
      </c>
      <c r="Z158" s="170">
        <v>258.8</v>
      </c>
      <c r="AA158" s="169">
        <v>258.8</v>
      </c>
      <c r="AB158" s="169">
        <v>258.8</v>
      </c>
      <c r="AC158" s="169">
        <v>258.8</v>
      </c>
      <c r="AD158" s="169">
        <v>258.8</v>
      </c>
      <c r="AE158" s="169">
        <v>258.8</v>
      </c>
      <c r="AF158" s="169">
        <v>258.8</v>
      </c>
      <c r="AG158" s="169">
        <v>258.8</v>
      </c>
      <c r="AH158" s="170">
        <v>258.8</v>
      </c>
      <c r="AI158" s="169">
        <v>258.8</v>
      </c>
      <c r="AJ158" s="169">
        <v>258.8</v>
      </c>
      <c r="AK158" s="169"/>
      <c r="AL158" s="169"/>
      <c r="AM158" s="169"/>
      <c r="AN158" s="169"/>
      <c r="AO158" s="169"/>
      <c r="AP158" s="170"/>
      <c r="AR158" s="453">
        <f ca="1">IF(AND($D158="Serviço",AR$12&lt;&gt;0,$H158&gt;0,OR(AUTOEVENTO&lt;&gt;"manual",$M158&lt;&gt;$A$15)),
        IF(Import.TipoArredondamento&lt;&gt;"TransfereGOV",
              ROUND(OFFSET($P158,0,AR$13),15-13*ORÇAMENTO!$AF$7)/$H158*OFFSET(ORÇAMENTO!$X$15,ROW(AR158)-ROW(AR$15),0),
              ROUND(ROUND(OFFSET($P158,0,AR$13),15-13*ORÇAMENTO!$AF$7)*OFFSET(ORÇAMENTO!$W$15,ROW(AR158)-ROW(AR$15),0),15-13*ORÇAMENTO!$AF$11)),
         0)</f>
        <v>0</v>
      </c>
      <c r="AS158" s="453">
        <f ca="1">IF(AND($D158="Serviço",AS$12&lt;&gt;0,$H158&gt;0,OR(AUTOEVENTO&lt;&gt;"manual",$M158&lt;&gt;$A$15)),
        IF(Import.TipoArredondamento&lt;&gt;"TransfereGOV",
              ROUND(OFFSET($P158,0,AS$13),15-13*ORÇAMENTO!$AF$7)/$H158*OFFSET(ORÇAMENTO!$X$15,ROW(AS158)-ROW(AS$15),0),
              ROUND(ROUND(OFFSET($P158,0,AS$13),15-13*ORÇAMENTO!$AF$7)*OFFSET(ORÇAMENTO!$W$15,ROW(AS158)-ROW(AS$15),0),15-13*ORÇAMENTO!$AF$11)),
         0)</f>
        <v>0</v>
      </c>
      <c r="AT158" s="453">
        <f ca="1">IF(AND($D158="Serviço",AT$12&lt;&gt;0,$H158&gt;0,OR(AUTOEVENTO&lt;&gt;"manual",$M158&lt;&gt;$A$15)),
        IF(Import.TipoArredondamento&lt;&gt;"TransfereGOV",
              ROUND(OFFSET($P158,0,AT$13),15-13*ORÇAMENTO!$AF$7)/$H158*OFFSET(ORÇAMENTO!$X$15,ROW(AT158)-ROW(AT$15),0),
              ROUND(ROUND(OFFSET($P158,0,AT$13),15-13*ORÇAMENTO!$AF$7)*OFFSET(ORÇAMENTO!$W$15,ROW(AT158)-ROW(AT$15),0),15-13*ORÇAMENTO!$AF$11)),
         0)</f>
        <v>0</v>
      </c>
      <c r="AU158" s="453">
        <f ca="1">IF(AND($D158="Serviço",AU$12&lt;&gt;0,$H158&gt;0,OR(AUTOEVENTO&lt;&gt;"manual",$M158&lt;&gt;$A$15)),
        IF(Import.TipoArredondamento&lt;&gt;"TransfereGOV",
              ROUND(OFFSET($P158,0,AU$13),15-13*ORÇAMENTO!$AF$7)/$H158*OFFSET(ORÇAMENTO!$X$15,ROW(AU158)-ROW(AU$15),0),
              ROUND(ROUND(OFFSET($P158,0,AU$13),15-13*ORÇAMENTO!$AF$7)*OFFSET(ORÇAMENTO!$W$15,ROW(AU158)-ROW(AU$15),0),15-13*ORÇAMENTO!$AF$11)),
         0)</f>
        <v>0</v>
      </c>
      <c r="AV158" s="453">
        <f ca="1">IF(AND($D158="Serviço",AV$12&lt;&gt;0,$H158&gt;0,OR(AUTOEVENTO&lt;&gt;"manual",$M158&lt;&gt;$A$15)),
        IF(Import.TipoArredondamento&lt;&gt;"TransfereGOV",
              ROUND(OFFSET($P158,0,AV$13),15-13*ORÇAMENTO!$AF$7)/$H158*OFFSET(ORÇAMENTO!$X$15,ROW(AV158)-ROW(AV$15),0),
              ROUND(ROUND(OFFSET($P158,0,AV$13),15-13*ORÇAMENTO!$AF$7)*OFFSET(ORÇAMENTO!$W$15,ROW(AV158)-ROW(AV$15),0),15-13*ORÇAMENTO!$AF$11)),
         0)</f>
        <v>0</v>
      </c>
      <c r="AW158" s="453">
        <f ca="1">IF(AND($D158="Serviço",AW$12&lt;&gt;0,$H158&gt;0,OR(AUTOEVENTO&lt;&gt;"manual",$M158&lt;&gt;$A$15)),
        IF(Import.TipoArredondamento&lt;&gt;"TransfereGOV",
              ROUND(OFFSET($P158,0,AW$13),15-13*ORÇAMENTO!$AF$7)/$H158*OFFSET(ORÇAMENTO!$X$15,ROW(AW158)-ROW(AW$15),0),
              ROUND(ROUND(OFFSET($P158,0,AW$13),15-13*ORÇAMENTO!$AF$7)*OFFSET(ORÇAMENTO!$W$15,ROW(AW158)-ROW(AW$15),0),15-13*ORÇAMENTO!$AF$11)),
         0)</f>
        <v>0</v>
      </c>
      <c r="AX158" s="453">
        <f ca="1">IF(AND($D158="Serviço",AX$12&lt;&gt;0,$H158&gt;0,OR(AUTOEVENTO&lt;&gt;"manual",$M158&lt;&gt;$A$15)),
        IF(Import.TipoArredondamento&lt;&gt;"TransfereGOV",
              ROUND(OFFSET($P158,0,AX$13),15-13*ORÇAMENTO!$AF$7)/$H158*OFFSET(ORÇAMENTO!$X$15,ROW(AX158)-ROW(AX$15),0),
              ROUND(ROUND(OFFSET($P158,0,AX$13),15-13*ORÇAMENTO!$AF$7)*OFFSET(ORÇAMENTO!$W$15,ROW(AX158)-ROW(AX$15),0),15-13*ORÇAMENTO!$AF$11)),
         0)</f>
        <v>0</v>
      </c>
      <c r="AY158" s="453">
        <f ca="1">IF(AND($D158="Serviço",AY$12&lt;&gt;0,$H158&gt;0,OR(AUTOEVENTO&lt;&gt;"manual",$M158&lt;&gt;$A$15)),
        IF(Import.TipoArredondamento&lt;&gt;"TransfereGOV",
              ROUND(OFFSET($P158,0,AY$13),15-13*ORÇAMENTO!$AF$7)/$H158*OFFSET(ORÇAMENTO!$X$15,ROW(AY158)-ROW(AY$15),0),
              ROUND(ROUND(OFFSET($P158,0,AY$13),15-13*ORÇAMENTO!$AF$7)*OFFSET(ORÇAMENTO!$W$15,ROW(AY158)-ROW(AY$15),0),15-13*ORÇAMENTO!$AF$11)),
         0)</f>
        <v>0</v>
      </c>
      <c r="AZ158" s="453">
        <f ca="1">IF(AND($D158="Serviço",AZ$12&lt;&gt;0,$H158&gt;0,OR(AUTOEVENTO&lt;&gt;"manual",$M158&lt;&gt;$A$15)),
        IF(Import.TipoArredondamento&lt;&gt;"TransfereGOV",
              ROUND(OFFSET($P158,0,AZ$13),15-13*ORÇAMENTO!$AF$7)/$H158*OFFSET(ORÇAMENTO!$X$15,ROW(AZ158)-ROW(AZ$15),0),
              ROUND(ROUND(OFFSET($P158,0,AZ$13),15-13*ORÇAMENTO!$AF$7)*OFFSET(ORÇAMENTO!$W$15,ROW(AZ158)-ROW(AZ$15),0),15-13*ORÇAMENTO!$AF$11)),
         0)</f>
        <v>0</v>
      </c>
      <c r="BA158" s="453">
        <f ca="1">IF(AND($D158="Serviço",BA$12&lt;&gt;0,$H158&gt;0,OR(AUTOEVENTO&lt;&gt;"manual",$M158&lt;&gt;$A$15)),
        IF(Import.TipoArredondamento&lt;&gt;"TransfereGOV",
              ROUND(OFFSET($P158,0,BA$13),15-13*ORÇAMENTO!$AF$7)/$H158*OFFSET(ORÇAMENTO!$X$15,ROW(BA158)-ROW(BA$15),0),
              ROUND(ROUND(OFFSET($P158,0,BA$13),15-13*ORÇAMENTO!$AF$7)*OFFSET(ORÇAMENTO!$W$15,ROW(BA158)-ROW(BA$15),0),15-13*ORÇAMENTO!$AF$11)),
         0)</f>
        <v>0</v>
      </c>
      <c r="BB158" s="453">
        <f ca="1">IF(AND($D158="Serviço",BB$12&lt;&gt;0,$H158&gt;0,OR(AUTOEVENTO&lt;&gt;"manual",$M158&lt;&gt;$A$15)),
        IF(Import.TipoArredondamento&lt;&gt;"TransfereGOV",
              ROUND(OFFSET($P158,0,BB$13),15-13*ORÇAMENTO!$AF$7)/$H158*OFFSET(ORÇAMENTO!$X$15,ROW(BB158)-ROW(BB$15),0),
              ROUND(ROUND(OFFSET($P158,0,BB$13),15-13*ORÇAMENTO!$AF$7)*OFFSET(ORÇAMENTO!$W$15,ROW(BB158)-ROW(BB$15),0),15-13*ORÇAMENTO!$AF$11)),
         0)</f>
        <v>0</v>
      </c>
      <c r="BC158" s="453">
        <f ca="1">IF(AND($D158="Serviço",BC$12&lt;&gt;0,$H158&gt;0,OR(AUTOEVENTO&lt;&gt;"manual",$M158&lt;&gt;$A$15)),
        IF(Import.TipoArredondamento&lt;&gt;"TransfereGOV",
              ROUND(OFFSET($P158,0,BC$13),15-13*ORÇAMENTO!$AF$7)/$H158*OFFSET(ORÇAMENTO!$X$15,ROW(BC158)-ROW(BC$15),0),
              ROUND(ROUND(OFFSET($P158,0,BC$13),15-13*ORÇAMENTO!$AF$7)*OFFSET(ORÇAMENTO!$W$15,ROW(BC158)-ROW(BC$15),0),15-13*ORÇAMENTO!$AF$11)),
         0)</f>
        <v>0</v>
      </c>
      <c r="BD158" s="453">
        <f ca="1">IF(AND($D158="Serviço",BD$12&lt;&gt;0,$H158&gt;0,OR(AUTOEVENTO&lt;&gt;"manual",$M158&lt;&gt;$A$15)),
        IF(Import.TipoArredondamento&lt;&gt;"TransfereGOV",
              ROUND(OFFSET($P158,0,BD$13),15-13*ORÇAMENTO!$AF$7)/$H158*OFFSET(ORÇAMENTO!$X$15,ROW(BD158)-ROW(BD$15),0),
              ROUND(ROUND(OFFSET($P158,0,BD$13),15-13*ORÇAMENTO!$AF$7)*OFFSET(ORÇAMENTO!$W$15,ROW(BD158)-ROW(BD$15),0),15-13*ORÇAMENTO!$AF$11)),
         0)</f>
        <v>0</v>
      </c>
      <c r="BE158" s="453">
        <f ca="1">IF(AND($D158="Serviço",BE$12&lt;&gt;0,$H158&gt;0,OR(AUTOEVENTO&lt;&gt;"manual",$M158&lt;&gt;$A$15)),
        IF(Import.TipoArredondamento&lt;&gt;"TransfereGOV",
              ROUND(OFFSET($P158,0,BE$13),15-13*ORÇAMENTO!$AF$7)/$H158*OFFSET(ORÇAMENTO!$X$15,ROW(BE158)-ROW(BE$15),0),
              ROUND(ROUND(OFFSET($P158,0,BE$13),15-13*ORÇAMENTO!$AF$7)*OFFSET(ORÇAMENTO!$W$15,ROW(BE158)-ROW(BE$15),0),15-13*ORÇAMENTO!$AF$11)),
         0)</f>
        <v>0</v>
      </c>
      <c r="BF158" s="453">
        <f ca="1">IF(AND($D158="Serviço",BF$12&lt;&gt;0,$H158&gt;0,OR(AUTOEVENTO&lt;&gt;"manual",$M158&lt;&gt;$A$15)),
        IF(Import.TipoArredondamento&lt;&gt;"TransfereGOV",
              ROUND(OFFSET($P158,0,BF$13),15-13*ORÇAMENTO!$AF$7)/$H158*OFFSET(ORÇAMENTO!$X$15,ROW(BF158)-ROW(BF$15),0),
              ROUND(ROUND(OFFSET($P158,0,BF$13),15-13*ORÇAMENTO!$AF$7)*OFFSET(ORÇAMENTO!$W$15,ROW(BF158)-ROW(BF$15),0),15-13*ORÇAMENTO!$AF$11)),
         0)</f>
        <v>0</v>
      </c>
      <c r="BG158" s="453">
        <f ca="1">IF(AND($D158="Serviço",BG$12&lt;&gt;0,$H158&gt;0,OR(AUTOEVENTO&lt;&gt;"manual",$M158&lt;&gt;$A$15)),
        IF(Import.TipoArredondamento&lt;&gt;"TransfereGOV",
              ROUND(OFFSET($P158,0,BG$13),15-13*ORÇAMENTO!$AF$7)/$H158*OFFSET(ORÇAMENTO!$X$15,ROW(BG158)-ROW(BG$15),0),
              ROUND(ROUND(OFFSET($P158,0,BG$13),15-13*ORÇAMENTO!$AF$7)*OFFSET(ORÇAMENTO!$W$15,ROW(BG158)-ROW(BG$15),0),15-13*ORÇAMENTO!$AF$11)),
         0)</f>
        <v>0</v>
      </c>
      <c r="BH158" s="453">
        <f ca="1">IF(AND($D158="Serviço",BH$12&lt;&gt;0,$H158&gt;0,OR(AUTOEVENTO&lt;&gt;"manual",$M158&lt;&gt;$A$15)),
        IF(Import.TipoArredondamento&lt;&gt;"TransfereGOV",
              ROUND(OFFSET($P158,0,BH$13),15-13*ORÇAMENTO!$AF$7)/$H158*OFFSET(ORÇAMENTO!$X$15,ROW(BH158)-ROW(BH$15),0),
              ROUND(ROUND(OFFSET($P158,0,BH$13),15-13*ORÇAMENTO!$AF$7)*OFFSET(ORÇAMENTO!$W$15,ROW(BH158)-ROW(BH$15),0),15-13*ORÇAMENTO!$AF$11)),
         0)</f>
        <v>0</v>
      </c>
      <c r="BI158" s="453">
        <f ca="1">IF(AND($D158="Serviço",BI$12&lt;&gt;0,$H158&gt;0,OR(AUTOEVENTO&lt;&gt;"manual",$M158&lt;&gt;$A$15)),
        IF(Import.TipoArredondamento&lt;&gt;"TransfereGOV",
              ROUND(OFFSET($P158,0,BI$13),15-13*ORÇAMENTO!$AF$7)/$H158*OFFSET(ORÇAMENTO!$X$15,ROW(BI158)-ROW(BI$15),0),
              ROUND(ROUND(OFFSET($P158,0,BI$13),15-13*ORÇAMENTO!$AF$7)*OFFSET(ORÇAMENTO!$W$15,ROW(BI158)-ROW(BI$15),0),15-13*ORÇAMENTO!$AF$11)),
         0)</f>
        <v>0</v>
      </c>
      <c r="BJ158" s="453">
        <f ca="1">IF(AND($D158="Serviço",BJ$12&lt;&gt;0,$H158&gt;0,OR(AUTOEVENTO&lt;&gt;"manual",$M158&lt;&gt;$A$15)),
        IF(Import.TipoArredondamento&lt;&gt;"TransfereGOV",
              ROUND(OFFSET($P158,0,BJ$13),15-13*ORÇAMENTO!$AF$7)/$H158*OFFSET(ORÇAMENTO!$X$15,ROW(BJ158)-ROW(BJ$15),0),
              ROUND(ROUND(OFFSET($P158,0,BJ$13),15-13*ORÇAMENTO!$AF$7)*OFFSET(ORÇAMENTO!$W$15,ROW(BJ158)-ROW(BJ$15),0),15-13*ORÇAMENTO!$AF$11)),
         0)</f>
        <v>0</v>
      </c>
      <c r="BK158" s="453">
        <f ca="1">IF(AND($D158="Serviço",BK$12&lt;&gt;0,$H158&gt;0,OR(AUTOEVENTO&lt;&gt;"manual",$M158&lt;&gt;$A$15)),
        IF(Import.TipoArredondamento&lt;&gt;"TransfereGOV",
              ROUND(OFFSET($P158,0,BK$13),15-13*ORÇAMENTO!$AF$7)/$H158*OFFSET(ORÇAMENTO!$X$15,ROW(BK158)-ROW(BK$15),0),
              ROUND(ROUND(OFFSET($P158,0,BK$13),15-13*ORÇAMENTO!$AF$7)*OFFSET(ORÇAMENTO!$W$15,ROW(BK158)-ROW(BK$15),0),15-13*ORÇAMENTO!$AF$11)),
         0)</f>
        <v>0</v>
      </c>
      <c r="BL158" s="453">
        <f ca="1">IF(AND($D158="Serviço",BL$12&lt;&gt;0,$H158&gt;0,OR(AUTOEVENTO&lt;&gt;"manual",$M158&lt;&gt;$A$15)),
        IF(Import.TipoArredondamento&lt;&gt;"TransfereGOV",
              ROUND(OFFSET($P158,0,BL$13),15-13*ORÇAMENTO!$AF$7)/$H158*OFFSET(ORÇAMENTO!$X$15,ROW(BL158)-ROW(BL$15),0),
              ROUND(ROUND(OFFSET($P158,0,BL$13),15-13*ORÇAMENTO!$AF$7)*OFFSET(ORÇAMENTO!$W$15,ROW(BL158)-ROW(BL$15),0),15-13*ORÇAMENTO!$AF$11)),
         0)</f>
        <v>0</v>
      </c>
      <c r="BM158" s="453">
        <f ca="1">IF(AND($D158="Serviço",BM$12&lt;&gt;0,$H158&gt;0,OR(AUTOEVENTO&lt;&gt;"manual",$M158&lt;&gt;$A$15)),
        IF(Import.TipoArredondamento&lt;&gt;"TransfereGOV",
              ROUND(OFFSET($P158,0,BM$13),15-13*ORÇAMENTO!$AF$7)/$H158*OFFSET(ORÇAMENTO!$X$15,ROW(BM158)-ROW(BM$15),0),
              ROUND(ROUND(OFFSET($P158,0,BM$13),15-13*ORÇAMENTO!$AF$7)*OFFSET(ORÇAMENTO!$W$15,ROW(BM158)-ROW(BM$15),0),15-13*ORÇAMENTO!$AF$11)),
         0)</f>
        <v>0</v>
      </c>
      <c r="BN158" s="453">
        <f ca="1">IF(AND($D158="Serviço",BN$12&lt;&gt;0,$H158&gt;0,OR(AUTOEVENTO&lt;&gt;"manual",$M158&lt;&gt;$A$15)),
        IF(Import.TipoArredondamento&lt;&gt;"TransfereGOV",
              ROUND(OFFSET($P158,0,BN$13),15-13*ORÇAMENTO!$AF$7)/$H158*OFFSET(ORÇAMENTO!$X$15,ROW(BN158)-ROW(BN$15),0),
              ROUND(ROUND(OFFSET($P158,0,BN$13),15-13*ORÇAMENTO!$AF$7)*OFFSET(ORÇAMENTO!$W$15,ROW(BN158)-ROW(BN$15),0),15-13*ORÇAMENTO!$AF$11)),
         0)</f>
        <v>0</v>
      </c>
      <c r="BO158" s="453">
        <f ca="1">IF(AND($D158="Serviço",BO$12&lt;&gt;0,$H158&gt;0,OR(AUTOEVENTO&lt;&gt;"manual",$M158&lt;&gt;$A$15)),
        IF(Import.TipoArredondamento&lt;&gt;"TransfereGOV",
              ROUND(OFFSET($P158,0,BO$13),15-13*ORÇAMENTO!$AF$7)/$H158*OFFSET(ORÇAMENTO!$X$15,ROW(BO158)-ROW(BO$15),0),
              ROUND(ROUND(OFFSET($P158,0,BO$13),15-13*ORÇAMENTO!$AF$7)*OFFSET(ORÇAMENTO!$W$15,ROW(BO158)-ROW(BO$15),0),15-13*ORÇAMENTO!$AF$11)),
         0)</f>
        <v>0</v>
      </c>
      <c r="BP158" s="453">
        <f ca="1">IF(AND($D158="Serviço",BP$12&lt;&gt;0,$H158&gt;0,OR(AUTOEVENTO&lt;&gt;"manual",$M158&lt;&gt;$A$15)),
        IF(Import.TipoArredondamento&lt;&gt;"TransfereGOV",
              ROUND(OFFSET($P158,0,BP$13),15-13*ORÇAMENTO!$AF$7)/$H158*OFFSET(ORÇAMENTO!$X$15,ROW(BP158)-ROW(BP$15),0),
              ROUND(ROUND(OFFSET($P158,0,BP$13),15-13*ORÇAMENTO!$AF$7)*OFFSET(ORÇAMENTO!$W$15,ROW(BP158)-ROW(BP$15),0),15-13*ORÇAMENTO!$AF$11)),
         0)</f>
        <v>0</v>
      </c>
      <c r="BQ158" s="453">
        <f ca="1">IF(AND($D158="Serviço",BQ$12&lt;&gt;0,$H158&gt;0,OR(AUTOEVENTO&lt;&gt;"manual",$M158&lt;&gt;$A$15)),
        IF(Import.TipoArredondamento&lt;&gt;"TransfereGOV",
              ROUND(OFFSET($P158,0,BQ$13),15-13*ORÇAMENTO!$AF$7)/$H158*OFFSET(ORÇAMENTO!$X$15,ROW(BQ158)-ROW(BQ$15),0),
              ROUND(ROUND(OFFSET($P158,0,BQ$13),15-13*ORÇAMENTO!$AF$7)*OFFSET(ORÇAMENTO!$W$15,ROW(BQ158)-ROW(BQ$15),0),15-13*ORÇAMENTO!$AF$11)),
         0)</f>
        <v>0</v>
      </c>
      <c r="BS158" s="171">
        <f ca="1">IF(OR($D158&lt;&gt;"Serviço",AND(AUTOEVENTO="Manual",$M158=$A$15)),0,
         IF(OFFSET(CRONOPLE!$F$15,$M158-$A$15,BS$13)=0,10^12,OFFSET(CRONOPLE!$F$15,$M158-$A$15,BS$13)))</f>
        <v>1</v>
      </c>
      <c r="BT158" s="171">
        <f ca="1">IF(OR($D158&lt;&gt;"Serviço",AND(AUTOEVENTO="Manual",$M158=$A$15)),0,
         IF(OFFSET(CRONOPLE!$F$15,$M158-$A$15,BT$13)=0,10^12,OFFSET(CRONOPLE!$F$15,$M158-$A$15,BT$13)))</f>
        <v>2</v>
      </c>
      <c r="BU158" s="171">
        <f ca="1">IF(OR($D158&lt;&gt;"Serviço",AND(AUTOEVENTO="Manual",$M158=$A$15)),0,
         IF(OFFSET(CRONOPLE!$F$15,$M158-$A$15,BU$13)=0,10^12,OFFSET(CRONOPLE!$F$15,$M158-$A$15,BU$13)))</f>
        <v>3</v>
      </c>
      <c r="BV158" s="171">
        <f ca="1">IF(OR($D158&lt;&gt;"Serviço",AND(AUTOEVENTO="Manual",$M158=$A$15)),0,
         IF(OFFSET(CRONOPLE!$F$15,$M158-$A$15,BV$13)=0,10^12,OFFSET(CRONOPLE!$F$15,$M158-$A$15,BV$13)))</f>
        <v>4</v>
      </c>
      <c r="BW158" s="171">
        <f ca="1">IF(OR($D158&lt;&gt;"Serviço",AND(AUTOEVENTO="Manual",$M158=$A$15)),0,
         IF(OFFSET(CRONOPLE!$F$15,$M158-$A$15,BW$13)=0,10^12,OFFSET(CRONOPLE!$F$15,$M158-$A$15,BW$13)))</f>
        <v>5</v>
      </c>
      <c r="BX158" s="171">
        <f ca="1">IF(OR($D158&lt;&gt;"Serviço",AND(AUTOEVENTO="Manual",$M158=$A$15)),0,
         IF(OFFSET(CRONOPLE!$F$15,$M158-$A$15,BX$13)=0,10^12,OFFSET(CRONOPLE!$F$15,$M158-$A$15,BX$13)))</f>
        <v>6</v>
      </c>
      <c r="BY158" s="171">
        <f ca="1">IF(OR($D158&lt;&gt;"Serviço",AND(AUTOEVENTO="Manual",$M158=$A$15)),0,
         IF(OFFSET(CRONOPLE!$F$15,$M158-$A$15,BY$13)=0,10^12,OFFSET(CRONOPLE!$F$15,$M158-$A$15,BY$13)))</f>
        <v>7</v>
      </c>
      <c r="BZ158" s="171">
        <f ca="1">IF(OR($D158&lt;&gt;"Serviço",AND(AUTOEVENTO="Manual",$M158=$A$15)),0,
         IF(OFFSET(CRONOPLE!$F$15,$M158-$A$15,BZ$13)=0,10^12,OFFSET(CRONOPLE!$F$15,$M158-$A$15,BZ$13)))</f>
        <v>8</v>
      </c>
      <c r="CA158" s="171">
        <f ca="1">IF(OR($D158&lt;&gt;"Serviço",AND(AUTOEVENTO="Manual",$M158=$A$15)),0,
         IF(OFFSET(CRONOPLE!$F$15,$M158-$A$15,CA$13)=0,10^12,OFFSET(CRONOPLE!$F$15,$M158-$A$15,CA$13)))</f>
        <v>9</v>
      </c>
      <c r="CB158" s="171">
        <f ca="1">IF(OR($D158&lt;&gt;"Serviço",AND(AUTOEVENTO="Manual",$M158=$A$15)),0,
         IF(OFFSET(CRONOPLE!$F$15,$M158-$A$15,CB$13)=0,10^12,OFFSET(CRONOPLE!$F$15,$M158-$A$15,CB$13)))</f>
        <v>10</v>
      </c>
      <c r="CC158" s="171">
        <f ca="1">IF(OR($D158&lt;&gt;"Serviço",AND(AUTOEVENTO="Manual",$M158=$A$15)),0,
         IF(OFFSET(CRONOPLE!$F$15,$M158-$A$15,CC$13)=0,10^12,OFFSET(CRONOPLE!$F$15,$M158-$A$15,CC$13)))</f>
        <v>11</v>
      </c>
      <c r="CD158" s="171">
        <f ca="1">IF(OR($D158&lt;&gt;"Serviço",AND(AUTOEVENTO="Manual",$M158=$A$15)),0,
         IF(OFFSET(CRONOPLE!$F$15,$M158-$A$15,CD$13)=0,10^12,OFFSET(CRONOPLE!$F$15,$M158-$A$15,CD$13)))</f>
        <v>12</v>
      </c>
      <c r="CE158" s="171">
        <f ca="1">IF(OR($D158&lt;&gt;"Serviço",AND(AUTOEVENTO="Manual",$M158=$A$15)),0,
         IF(OFFSET(CRONOPLE!$F$15,$M158-$A$15,CE$13)=0,10^12,OFFSET(CRONOPLE!$F$15,$M158-$A$15,CE$13)))</f>
        <v>13</v>
      </c>
      <c r="CF158" s="171">
        <f ca="1">IF(OR($D158&lt;&gt;"Serviço",AND(AUTOEVENTO="Manual",$M158=$A$15)),0,
         IF(OFFSET(CRONOPLE!$F$15,$M158-$A$15,CF$13)=0,10^12,OFFSET(CRONOPLE!$F$15,$M158-$A$15,CF$13)))</f>
        <v>14</v>
      </c>
      <c r="CG158" s="171">
        <f ca="1">IF(OR($D158&lt;&gt;"Serviço",AND(AUTOEVENTO="Manual",$M158=$A$15)),0,
         IF(OFFSET(CRONOPLE!$F$15,$M158-$A$15,CG$13)=0,10^12,OFFSET(CRONOPLE!$F$15,$M158-$A$15,CG$13)))</f>
        <v>15</v>
      </c>
      <c r="CH158" s="171">
        <f ca="1">IF(OR($D158&lt;&gt;"Serviço",AND(AUTOEVENTO="Manual",$M158=$A$15)),0,
         IF(OFFSET(CRONOPLE!$F$15,$M158-$A$15,CH$13)=0,10^12,OFFSET(CRONOPLE!$F$15,$M158-$A$15,CH$13)))</f>
        <v>16</v>
      </c>
      <c r="CI158" s="171">
        <f ca="1">IF(OR($D158&lt;&gt;"Serviço",AND(AUTOEVENTO="Manual",$M158=$A$15)),0,
         IF(OFFSET(CRONOPLE!$F$15,$M158-$A$15,CI$13)=0,10^12,OFFSET(CRONOPLE!$F$15,$M158-$A$15,CI$13)))</f>
        <v>17</v>
      </c>
      <c r="CJ158" s="171">
        <f ca="1">IF(OR($D158&lt;&gt;"Serviço",AND(AUTOEVENTO="Manual",$M158=$A$15)),0,
         IF(OFFSET(CRONOPLE!$F$15,$M158-$A$15,CJ$13)=0,10^12,OFFSET(CRONOPLE!$F$15,$M158-$A$15,CJ$13)))</f>
        <v>18</v>
      </c>
      <c r="CK158" s="171">
        <f ca="1">IF(OR($D158&lt;&gt;"Serviço",AND(AUTOEVENTO="Manual",$M158=$A$15)),0,
         IF(OFFSET(CRONOPLE!$F$15,$M158-$A$15,CK$13)=0,10^12,OFFSET(CRONOPLE!$F$15,$M158-$A$15,CK$13)))</f>
        <v>19</v>
      </c>
      <c r="CL158" s="171">
        <f ca="1">IF(OR($D158&lt;&gt;"Serviço",AND(AUTOEVENTO="Manual",$M158=$A$15)),0,
         IF(OFFSET(CRONOPLE!$F$15,$M158-$A$15,CL$13)=0,10^12,OFFSET(CRONOPLE!$F$15,$M158-$A$15,CL$13)))</f>
        <v>20</v>
      </c>
      <c r="CM158" s="171">
        <f ca="1">IF(OR($D158&lt;&gt;"Serviço",AND(AUTOEVENTO="Manual",$M158=$A$15)),0,
         IF(OFFSET(CRONOPLE!$F$15,$M158-$A$15,CM$13)=0,10^12,OFFSET(CRONOPLE!$F$15,$M158-$A$15,CM$13)))</f>
        <v>1000000000000</v>
      </c>
      <c r="CN158" s="171">
        <f ca="1">IF(OR($D158&lt;&gt;"Serviço",AND(AUTOEVENTO="Manual",$M158=$A$15)),0,
         IF(OFFSET(CRONOPLE!$F$15,$M158-$A$15,CN$13)=0,10^12,OFFSET(CRONOPLE!$F$15,$M158-$A$15,CN$13)))</f>
        <v>1000000000000</v>
      </c>
      <c r="CO158" s="171">
        <f ca="1">IF(OR($D158&lt;&gt;"Serviço",AND(AUTOEVENTO="Manual",$M158=$A$15)),0,
         IF(OFFSET(CRONOPLE!$F$15,$M158-$A$15,CO$13)=0,10^12,OFFSET(CRONOPLE!$F$15,$M158-$A$15,CO$13)))</f>
        <v>1000000000000</v>
      </c>
      <c r="CP158" s="171">
        <f ca="1">IF(OR($D158&lt;&gt;"Serviço",AND(AUTOEVENTO="Manual",$M158=$A$15)),0,
         IF(OFFSET(CRONOPLE!$F$15,$M158-$A$15,CP$13)=0,10^12,OFFSET(CRONOPLE!$F$15,$M158-$A$15,CP$13)))</f>
        <v>1000000000000</v>
      </c>
      <c r="CQ158" s="171">
        <f ca="1">IF(OR($D158&lt;&gt;"Serviço",AND(AUTOEVENTO="Manual",$M158=$A$15)),0,
         IF(OFFSET(CRONOPLE!$F$15,$M158-$A$15,CQ$13)=0,10^12,OFFSET(CRONOPLE!$F$15,$M158-$A$15,CQ$13)))</f>
        <v>1000000000000</v>
      </c>
      <c r="CR158" s="171">
        <f ca="1">IF(OR($D158&lt;&gt;"Serviço",AND(AUTOEVENTO="Manual",$M158=$A$15)),0,
         IF(OFFSET(CRONOPLE!$F$15,$M158-$A$15,CR$13)=0,10^12,OFFSET(CRONOPLE!$F$15,$M158-$A$15,CR$13)))</f>
        <v>1000000000000</v>
      </c>
      <c r="CT158" s="172" cm="1">
        <f t="array" aca="1" ref="CT158" ca="1">IF(OR($D158&lt;&gt;"Serviço",AND(AUTOEVENTO="Manual",$M158=$A$15),$M158&gt;(ROW(PLE.lastrow)-ROW(PLE.firstrow))),0,
           IF(OFFSET(PLE!$G$15,$M158-$A$15,CT$13)="",10^12,OFFSET(PLE!$G$15,$M158-$A$15,CT$13)))</f>
        <v>1000000000000</v>
      </c>
      <c r="CU158" s="172" cm="1">
        <f t="array" aca="1" ref="CU158" ca="1">IF(OR($D158&lt;&gt;"Serviço",AND(AUTOEVENTO="Manual",$M158=$A$15),$M158&gt;(ROW(PLE.lastrow)-ROW(PLE.firstrow))),0,
           IF(OFFSET(PLE!$G$15,$M158-$A$15,CU$13)="",10^12,OFFSET(PLE!$G$15,$M158-$A$15,CU$13)))</f>
        <v>1000000000000</v>
      </c>
      <c r="CV158" s="172" cm="1">
        <f t="array" aca="1" ref="CV158" ca="1">IF(OR($D158&lt;&gt;"Serviço",AND(AUTOEVENTO="Manual",$M158=$A$15),$M158&gt;(ROW(PLE.lastrow)-ROW(PLE.firstrow))),0,
           IF(OFFSET(PLE!$G$15,$M158-$A$15,CV$13)="",10^12,OFFSET(PLE!$G$15,$M158-$A$15,CV$13)))</f>
        <v>1000000000000</v>
      </c>
      <c r="CW158" s="172" cm="1">
        <f t="array" aca="1" ref="CW158" ca="1">IF(OR($D158&lt;&gt;"Serviço",AND(AUTOEVENTO="Manual",$M158=$A$15),$M158&gt;(ROW(PLE.lastrow)-ROW(PLE.firstrow))),0,
           IF(OFFSET(PLE!$G$15,$M158-$A$15,CW$13)="",10^12,OFFSET(PLE!$G$15,$M158-$A$15,CW$13)))</f>
        <v>1000000000000</v>
      </c>
      <c r="CX158" s="172" cm="1">
        <f t="array" aca="1" ref="CX158" ca="1">IF(OR($D158&lt;&gt;"Serviço",AND(AUTOEVENTO="Manual",$M158=$A$15),$M158&gt;(ROW(PLE.lastrow)-ROW(PLE.firstrow))),0,
           IF(OFFSET(PLE!$G$15,$M158-$A$15,CX$13)="",10^12,OFFSET(PLE!$G$15,$M158-$A$15,CX$13)))</f>
        <v>1000000000000</v>
      </c>
      <c r="CY158" s="172" cm="1">
        <f t="array" aca="1" ref="CY158" ca="1">IF(OR($D158&lt;&gt;"Serviço",AND(AUTOEVENTO="Manual",$M158=$A$15),$M158&gt;(ROW(PLE.lastrow)-ROW(PLE.firstrow))),0,
           IF(OFFSET(PLE!$G$15,$M158-$A$15,CY$13)="",10^12,OFFSET(PLE!$G$15,$M158-$A$15,CY$13)))</f>
        <v>1000000000000</v>
      </c>
      <c r="CZ158" s="172" cm="1">
        <f t="array" aca="1" ref="CZ158" ca="1">IF(OR($D158&lt;&gt;"Serviço",AND(AUTOEVENTO="Manual",$M158=$A$15),$M158&gt;(ROW(PLE.lastrow)-ROW(PLE.firstrow))),0,
           IF(OFFSET(PLE!$G$15,$M158-$A$15,CZ$13)="",10^12,OFFSET(PLE!$G$15,$M158-$A$15,CZ$13)))</f>
        <v>1000000000000</v>
      </c>
      <c r="DA158" s="172" cm="1">
        <f t="array" aca="1" ref="DA158" ca="1">IF(OR($D158&lt;&gt;"Serviço",AND(AUTOEVENTO="Manual",$M158=$A$15),$M158&gt;(ROW(PLE.lastrow)-ROW(PLE.firstrow))),0,
           IF(OFFSET(PLE!$G$15,$M158-$A$15,DA$13)="",10^12,OFFSET(PLE!$G$15,$M158-$A$15,DA$13)))</f>
        <v>1000000000000</v>
      </c>
      <c r="DB158" s="172" cm="1">
        <f t="array" aca="1" ref="DB158" ca="1">IF(OR($D158&lt;&gt;"Serviço",AND(AUTOEVENTO="Manual",$M158=$A$15),$M158&gt;(ROW(PLE.lastrow)-ROW(PLE.firstrow))),0,
           IF(OFFSET(PLE!$G$15,$M158-$A$15,DB$13)="",10^12,OFFSET(PLE!$G$15,$M158-$A$15,DB$13)))</f>
        <v>1000000000000</v>
      </c>
      <c r="DC158" s="172" cm="1">
        <f t="array" aca="1" ref="DC158" ca="1">IF(OR($D158&lt;&gt;"Serviço",AND(AUTOEVENTO="Manual",$M158=$A$15),$M158&gt;(ROW(PLE.lastrow)-ROW(PLE.firstrow))),0,
           IF(OFFSET(PLE!$G$15,$M158-$A$15,DC$13)="",10^12,OFFSET(PLE!$G$15,$M158-$A$15,DC$13)))</f>
        <v>1000000000000</v>
      </c>
      <c r="DD158" s="172" cm="1">
        <f t="array" aca="1" ref="DD158" ca="1">IF(OR($D158&lt;&gt;"Serviço",AND(AUTOEVENTO="Manual",$M158=$A$15),$M158&gt;(ROW(PLE.lastrow)-ROW(PLE.firstrow))),0,
           IF(OFFSET(PLE!$G$15,$M158-$A$15,DD$13)="",10^12,OFFSET(PLE!$G$15,$M158-$A$15,DD$13)))</f>
        <v>1000000000000</v>
      </c>
      <c r="DE158" s="172" cm="1">
        <f t="array" aca="1" ref="DE158" ca="1">IF(OR($D158&lt;&gt;"Serviço",AND(AUTOEVENTO="Manual",$M158=$A$15),$M158&gt;(ROW(PLE.lastrow)-ROW(PLE.firstrow))),0,
           IF(OFFSET(PLE!$G$15,$M158-$A$15,DE$13)="",10^12,OFFSET(PLE!$G$15,$M158-$A$15,DE$13)))</f>
        <v>1000000000000</v>
      </c>
      <c r="DF158" s="172" cm="1">
        <f t="array" aca="1" ref="DF158" ca="1">IF(OR($D158&lt;&gt;"Serviço",AND(AUTOEVENTO="Manual",$M158=$A$15),$M158&gt;(ROW(PLE.lastrow)-ROW(PLE.firstrow))),0,
           IF(OFFSET(PLE!$G$15,$M158-$A$15,DF$13)="",10^12,OFFSET(PLE!$G$15,$M158-$A$15,DF$13)))</f>
        <v>1000000000000</v>
      </c>
      <c r="DG158" s="172" cm="1">
        <f t="array" aca="1" ref="DG158" ca="1">IF(OR($D158&lt;&gt;"Serviço",AND(AUTOEVENTO="Manual",$M158=$A$15),$M158&gt;(ROW(PLE.lastrow)-ROW(PLE.firstrow))),0,
           IF(OFFSET(PLE!$G$15,$M158-$A$15,DG$13)="",10^12,OFFSET(PLE!$G$15,$M158-$A$15,DG$13)))</f>
        <v>1000000000000</v>
      </c>
      <c r="DH158" s="172" cm="1">
        <f t="array" aca="1" ref="DH158" ca="1">IF(OR($D158&lt;&gt;"Serviço",AND(AUTOEVENTO="Manual",$M158=$A$15),$M158&gt;(ROW(PLE.lastrow)-ROW(PLE.firstrow))),0,
           IF(OFFSET(PLE!$G$15,$M158-$A$15,DH$13)="",10^12,OFFSET(PLE!$G$15,$M158-$A$15,DH$13)))</f>
        <v>1000000000000</v>
      </c>
      <c r="DI158" s="172" cm="1">
        <f t="array" aca="1" ref="DI158" ca="1">IF(OR($D158&lt;&gt;"Serviço",AND(AUTOEVENTO="Manual",$M158=$A$15),$M158&gt;(ROW(PLE.lastrow)-ROW(PLE.firstrow))),0,
           IF(OFFSET(PLE!$G$15,$M158-$A$15,DI$13)="",10^12,OFFSET(PLE!$G$15,$M158-$A$15,DI$13)))</f>
        <v>1000000000000</v>
      </c>
      <c r="DJ158" s="172" cm="1">
        <f t="array" aca="1" ref="DJ158" ca="1">IF(OR($D158&lt;&gt;"Serviço",AND(AUTOEVENTO="Manual",$M158=$A$15),$M158&gt;(ROW(PLE.lastrow)-ROW(PLE.firstrow))),0,
           IF(OFFSET(PLE!$G$15,$M158-$A$15,DJ$13)="",10^12,OFFSET(PLE!$G$15,$M158-$A$15,DJ$13)))</f>
        <v>1000000000000</v>
      </c>
      <c r="DK158" s="172" cm="1">
        <f t="array" aca="1" ref="DK158" ca="1">IF(OR($D158&lt;&gt;"Serviço",AND(AUTOEVENTO="Manual",$M158=$A$15),$M158&gt;(ROW(PLE.lastrow)-ROW(PLE.firstrow))),0,
           IF(OFFSET(PLE!$G$15,$M158-$A$15,DK$13)="",10^12,OFFSET(PLE!$G$15,$M158-$A$15,DK$13)))</f>
        <v>1000000000000</v>
      </c>
      <c r="DL158" s="172" cm="1">
        <f t="array" aca="1" ref="DL158" ca="1">IF(OR($D158&lt;&gt;"Serviço",AND(AUTOEVENTO="Manual",$M158=$A$15),$M158&gt;(ROW(PLE.lastrow)-ROW(PLE.firstrow))),0,
           IF(OFFSET(PLE!$G$15,$M158-$A$15,DL$13)="",10^12,OFFSET(PLE!$G$15,$M158-$A$15,DL$13)))</f>
        <v>1000000000000</v>
      </c>
      <c r="DM158" s="172" cm="1">
        <f t="array" aca="1" ref="DM158" ca="1">IF(OR($D158&lt;&gt;"Serviço",AND(AUTOEVENTO="Manual",$M158=$A$15),$M158&gt;(ROW(PLE.lastrow)-ROW(PLE.firstrow))),0,
           IF(OFFSET(PLE!$G$15,$M158-$A$15,DM$13)="",10^12,OFFSET(PLE!$G$15,$M158-$A$15,DM$13)))</f>
        <v>1000000000000</v>
      </c>
      <c r="DN158" s="172" cm="1">
        <f t="array" aca="1" ref="DN158" ca="1">IF(OR($D158&lt;&gt;"Serviço",AND(AUTOEVENTO="Manual",$M158=$A$15),$M158&gt;(ROW(PLE.lastrow)-ROW(PLE.firstrow))),0,
           IF(OFFSET(PLE!$G$15,$M158-$A$15,DN$13)="",10^12,OFFSET(PLE!$G$15,$M158-$A$15,DN$13)))</f>
        <v>1000000000000</v>
      </c>
      <c r="DO158" s="172" cm="1">
        <f t="array" aca="1" ref="DO158" ca="1">IF(OR($D158&lt;&gt;"Serviço",AND(AUTOEVENTO="Manual",$M158=$A$15),$M158&gt;(ROW(PLE.lastrow)-ROW(PLE.firstrow))),0,
           IF(OFFSET(PLE!$G$15,$M158-$A$15,DO$13)="",10^12,OFFSET(PLE!$G$15,$M158-$A$15,DO$13)))</f>
        <v>1000000000000</v>
      </c>
      <c r="DP158" s="172" cm="1">
        <f t="array" aca="1" ref="DP158" ca="1">IF(OR($D158&lt;&gt;"Serviço",AND(AUTOEVENTO="Manual",$M158=$A$15),$M158&gt;(ROW(PLE.lastrow)-ROW(PLE.firstrow))),0,
           IF(OFFSET(PLE!$G$15,$M158-$A$15,DP$13)="",10^12,OFFSET(PLE!$G$15,$M158-$A$15,DP$13)))</f>
        <v>1000000000000</v>
      </c>
      <c r="DQ158" s="172" cm="1">
        <f t="array" aca="1" ref="DQ158" ca="1">IF(OR($D158&lt;&gt;"Serviço",AND(AUTOEVENTO="Manual",$M158=$A$15),$M158&gt;(ROW(PLE.lastrow)-ROW(PLE.firstrow))),0,
           IF(OFFSET(PLE!$G$15,$M158-$A$15,DQ$13)="",10^12,OFFSET(PLE!$G$15,$M158-$A$15,DQ$13)))</f>
        <v>1000000000000</v>
      </c>
      <c r="DR158" s="172" cm="1">
        <f t="array" aca="1" ref="DR158" ca="1">IF(OR($D158&lt;&gt;"Serviço",AND(AUTOEVENTO="Manual",$M158=$A$15),$M158&gt;(ROW(PLE.lastrow)-ROW(PLE.firstrow))),0,
           IF(OFFSET(PLE!$G$15,$M158-$A$15,DR$13)="",10^12,OFFSET(PLE!$G$15,$M158-$A$15,DR$13)))</f>
        <v>1000000000000</v>
      </c>
      <c r="DS158" s="172" cm="1">
        <f t="array" aca="1" ref="DS158" ca="1">IF(OR($D158&lt;&gt;"Serviço",AND(AUTOEVENTO="Manual",$M158=$A$15),$M158&gt;(ROW(PLE.lastrow)-ROW(PLE.firstrow))),0,
           IF(OFFSET(PLE!$G$15,$M158-$A$15,DS$13)="",10^12,OFFSET(PLE!$G$15,$M158-$A$15,DS$13)))</f>
        <v>1000000000000</v>
      </c>
    </row>
    <row r="159" spans="1:123" ht="38.25" x14ac:dyDescent="0.2">
      <c r="A159" s="7">
        <f t="shared" ca="1" si="16"/>
        <v>9</v>
      </c>
      <c r="B159" s="7" t="str">
        <f ca="1">OFFSET(ORÇAMENTO!C$15,$L159,0)</f>
        <v>S</v>
      </c>
      <c r="C159" s="7" t="str">
        <f ca="1">OFFSET(ORÇAMENTO!L$15,$L159,0)</f>
        <v/>
      </c>
      <c r="D159" s="116" t="str">
        <f ca="1">OFFSET(ORÇAMENTO!N$15,$L159,0)</f>
        <v>Serviço</v>
      </c>
      <c r="E159" s="117" t="str">
        <f ca="1">OFFSET(ORÇAMENTO!O$15,$L159,0)</f>
        <v>-</v>
      </c>
      <c r="F159" s="163" t="str">
        <f ca="1">OFFSET(ORÇAMENTO!R$15,$L159,0)</f>
        <v>(Código não identificado nas referências)</v>
      </c>
      <c r="G159" s="164" t="str">
        <f ca="1">IF($D159&lt;&gt;"Serviço","",OFFSET(ORÇAMENTO!S$15,$L159,0))</f>
        <v>-</v>
      </c>
      <c r="H159" s="122" cm="1">
        <f t="array" aca="1" ref="H159" ca="1">IF($D159&lt;&gt;"Serviço",0,IF(ACOMPANHAMENTO="BM",ROUND(OFFSET(ORÇAMENTO!AJ$15,$L159,0),15-13*ORÇAMENTO!$AF$7),IF(IFERROR(CÁLCULO.FrentesPreenchidas,0)=0,0,SUM(ROUND(OFFSET($P159,0,1,1,CÁLCULO.FrentesPreenchidas),15-13*ORÇAMENTO!$AF$7)))))</f>
        <v>496.00000000000017</v>
      </c>
      <c r="I159" s="468" t="s">
        <v>1235</v>
      </c>
      <c r="J159" s="651" t="str" cm="1">
        <f t="array" aca="1" ref="J159" ca="1">IF(OR(B159&lt;&gt;"S",CÁLCULO.FrentesPreenchidas=0),"",IF(AND(ACOMPANHAMENTO="PLE",AUTOEVENTO="Manual",OR(H159&gt;0,ORÇAMENTO!AC159="QUANT."),OR(K159="",M159=0,N159="")),"►E",IF(AND(ACOMPANHAMENTO="PLE",ORÇAMENTO!AC159="QUANT."),"►Q",IF(AND(ACOMPANHAMENTO="PLE",H159&lt;&gt;SUMPRODUCT(($Q$1:$AQ$1=1)*ROUND(Q159:AQ159,15))),"►S",IF(AND(COUNTIF($P$11:$AQ$11,"▼")=0,H159&gt;0,I159=""),"◄M","")))))</f>
        <v/>
      </c>
      <c r="K159" s="652" t="s">
        <v>1257</v>
      </c>
      <c r="L159" s="165">
        <f t="shared" ca="1" si="17"/>
        <v>144</v>
      </c>
      <c r="M159" s="166">
        <f ca="1">IF($D159&lt;&gt;"Serviço","",
          IF(AUTOEVENTO="manual",$A159,
                IF(ISERROR(MATCH($A159,$A$15:OFFSET($A159,-1,0),0)),MAX($M$15:OFFSET(M159,-1,0))+1,
                      INDEX($M$15:OFFSET(M159,-1,0),MATCH($A159,$A$15:OFFSET($A159,-1,0),0)))))</f>
        <v>9</v>
      </c>
      <c r="N159" s="167" t="str">
        <f ca="1">IF($D159&lt;&gt;"Serviço","",
         IF(AUTOEVENTO="Manual",
                IF($A159=0,"&lt;-- defina o número do agrupador",
                       OFFSET(EVENTOS!$D$15,$A159-$A$15,0)),
                OFFSET($F$15,$A159,0)))</f>
        <v>INSTALAÇÕES</v>
      </c>
      <c r="O159" s="168"/>
      <c r="Q159" s="168">
        <v>24.8</v>
      </c>
      <c r="R159" s="169">
        <v>24.8</v>
      </c>
      <c r="S159" s="169">
        <v>24.8</v>
      </c>
      <c r="T159" s="169">
        <v>24.8</v>
      </c>
      <c r="U159" s="169">
        <v>24.8</v>
      </c>
      <c r="V159" s="169">
        <v>24.8</v>
      </c>
      <c r="W159" s="169">
        <v>24.8</v>
      </c>
      <c r="X159" s="169">
        <v>24.8</v>
      </c>
      <c r="Y159" s="169">
        <v>24.8</v>
      </c>
      <c r="Z159" s="170">
        <v>24.8</v>
      </c>
      <c r="AA159" s="169">
        <v>24.8</v>
      </c>
      <c r="AB159" s="169">
        <v>24.8</v>
      </c>
      <c r="AC159" s="169">
        <v>24.8</v>
      </c>
      <c r="AD159" s="169">
        <v>24.8</v>
      </c>
      <c r="AE159" s="169">
        <v>24.8</v>
      </c>
      <c r="AF159" s="169">
        <v>24.8</v>
      </c>
      <c r="AG159" s="169">
        <v>24.8</v>
      </c>
      <c r="AH159" s="170">
        <v>24.8</v>
      </c>
      <c r="AI159" s="169">
        <v>24.8</v>
      </c>
      <c r="AJ159" s="169">
        <v>24.8</v>
      </c>
      <c r="AK159" s="169"/>
      <c r="AL159" s="169"/>
      <c r="AM159" s="169"/>
      <c r="AN159" s="169"/>
      <c r="AO159" s="169"/>
      <c r="AP159" s="170"/>
      <c r="AR159" s="453">
        <f ca="1">IF(AND($D159="Serviço",AR$12&lt;&gt;0,$H159&gt;0,OR(AUTOEVENTO&lt;&gt;"manual",$M159&lt;&gt;$A$15)),
        IF(Import.TipoArredondamento&lt;&gt;"TransfereGOV",
              ROUND(OFFSET($P159,0,AR$13),15-13*ORÇAMENTO!$AF$7)/$H159*OFFSET(ORÇAMENTO!$X$15,ROW(AR159)-ROW(AR$15),0),
              ROUND(ROUND(OFFSET($P159,0,AR$13),15-13*ORÇAMENTO!$AF$7)*OFFSET(ORÇAMENTO!$W$15,ROW(AR159)-ROW(AR$15),0),15-13*ORÇAMENTO!$AF$11)),
         0)</f>
        <v>0</v>
      </c>
      <c r="AS159" s="453">
        <f ca="1">IF(AND($D159="Serviço",AS$12&lt;&gt;0,$H159&gt;0,OR(AUTOEVENTO&lt;&gt;"manual",$M159&lt;&gt;$A$15)),
        IF(Import.TipoArredondamento&lt;&gt;"TransfereGOV",
              ROUND(OFFSET($P159,0,AS$13),15-13*ORÇAMENTO!$AF$7)/$H159*OFFSET(ORÇAMENTO!$X$15,ROW(AS159)-ROW(AS$15),0),
              ROUND(ROUND(OFFSET($P159,0,AS$13),15-13*ORÇAMENTO!$AF$7)*OFFSET(ORÇAMENTO!$W$15,ROW(AS159)-ROW(AS$15),0),15-13*ORÇAMENTO!$AF$11)),
         0)</f>
        <v>0</v>
      </c>
      <c r="AT159" s="453">
        <f ca="1">IF(AND($D159="Serviço",AT$12&lt;&gt;0,$H159&gt;0,OR(AUTOEVENTO&lt;&gt;"manual",$M159&lt;&gt;$A$15)),
        IF(Import.TipoArredondamento&lt;&gt;"TransfereGOV",
              ROUND(OFFSET($P159,0,AT$13),15-13*ORÇAMENTO!$AF$7)/$H159*OFFSET(ORÇAMENTO!$X$15,ROW(AT159)-ROW(AT$15),0),
              ROUND(ROUND(OFFSET($P159,0,AT$13),15-13*ORÇAMENTO!$AF$7)*OFFSET(ORÇAMENTO!$W$15,ROW(AT159)-ROW(AT$15),0),15-13*ORÇAMENTO!$AF$11)),
         0)</f>
        <v>0</v>
      </c>
      <c r="AU159" s="453">
        <f ca="1">IF(AND($D159="Serviço",AU$12&lt;&gt;0,$H159&gt;0,OR(AUTOEVENTO&lt;&gt;"manual",$M159&lt;&gt;$A$15)),
        IF(Import.TipoArredondamento&lt;&gt;"TransfereGOV",
              ROUND(OFFSET($P159,0,AU$13),15-13*ORÇAMENTO!$AF$7)/$H159*OFFSET(ORÇAMENTO!$X$15,ROW(AU159)-ROW(AU$15),0),
              ROUND(ROUND(OFFSET($P159,0,AU$13),15-13*ORÇAMENTO!$AF$7)*OFFSET(ORÇAMENTO!$W$15,ROW(AU159)-ROW(AU$15),0),15-13*ORÇAMENTO!$AF$11)),
         0)</f>
        <v>0</v>
      </c>
      <c r="AV159" s="453">
        <f ca="1">IF(AND($D159="Serviço",AV$12&lt;&gt;0,$H159&gt;0,OR(AUTOEVENTO&lt;&gt;"manual",$M159&lt;&gt;$A$15)),
        IF(Import.TipoArredondamento&lt;&gt;"TransfereGOV",
              ROUND(OFFSET($P159,0,AV$13),15-13*ORÇAMENTO!$AF$7)/$H159*OFFSET(ORÇAMENTO!$X$15,ROW(AV159)-ROW(AV$15),0),
              ROUND(ROUND(OFFSET($P159,0,AV$13),15-13*ORÇAMENTO!$AF$7)*OFFSET(ORÇAMENTO!$W$15,ROW(AV159)-ROW(AV$15),0),15-13*ORÇAMENTO!$AF$11)),
         0)</f>
        <v>0</v>
      </c>
      <c r="AW159" s="453">
        <f ca="1">IF(AND($D159="Serviço",AW$12&lt;&gt;0,$H159&gt;0,OR(AUTOEVENTO&lt;&gt;"manual",$M159&lt;&gt;$A$15)),
        IF(Import.TipoArredondamento&lt;&gt;"TransfereGOV",
              ROUND(OFFSET($P159,0,AW$13),15-13*ORÇAMENTO!$AF$7)/$H159*OFFSET(ORÇAMENTO!$X$15,ROW(AW159)-ROW(AW$15),0),
              ROUND(ROUND(OFFSET($P159,0,AW$13),15-13*ORÇAMENTO!$AF$7)*OFFSET(ORÇAMENTO!$W$15,ROW(AW159)-ROW(AW$15),0),15-13*ORÇAMENTO!$AF$11)),
         0)</f>
        <v>0</v>
      </c>
      <c r="AX159" s="453">
        <f ca="1">IF(AND($D159="Serviço",AX$12&lt;&gt;0,$H159&gt;0,OR(AUTOEVENTO&lt;&gt;"manual",$M159&lt;&gt;$A$15)),
        IF(Import.TipoArredondamento&lt;&gt;"TransfereGOV",
              ROUND(OFFSET($P159,0,AX$13),15-13*ORÇAMENTO!$AF$7)/$H159*OFFSET(ORÇAMENTO!$X$15,ROW(AX159)-ROW(AX$15),0),
              ROUND(ROUND(OFFSET($P159,0,AX$13),15-13*ORÇAMENTO!$AF$7)*OFFSET(ORÇAMENTO!$W$15,ROW(AX159)-ROW(AX$15),0),15-13*ORÇAMENTO!$AF$11)),
         0)</f>
        <v>0</v>
      </c>
      <c r="AY159" s="453">
        <f ca="1">IF(AND($D159="Serviço",AY$12&lt;&gt;0,$H159&gt;0,OR(AUTOEVENTO&lt;&gt;"manual",$M159&lt;&gt;$A$15)),
        IF(Import.TipoArredondamento&lt;&gt;"TransfereGOV",
              ROUND(OFFSET($P159,0,AY$13),15-13*ORÇAMENTO!$AF$7)/$H159*OFFSET(ORÇAMENTO!$X$15,ROW(AY159)-ROW(AY$15),0),
              ROUND(ROUND(OFFSET($P159,0,AY$13),15-13*ORÇAMENTO!$AF$7)*OFFSET(ORÇAMENTO!$W$15,ROW(AY159)-ROW(AY$15),0),15-13*ORÇAMENTO!$AF$11)),
         0)</f>
        <v>0</v>
      </c>
      <c r="AZ159" s="453">
        <f ca="1">IF(AND($D159="Serviço",AZ$12&lt;&gt;0,$H159&gt;0,OR(AUTOEVENTO&lt;&gt;"manual",$M159&lt;&gt;$A$15)),
        IF(Import.TipoArredondamento&lt;&gt;"TransfereGOV",
              ROUND(OFFSET($P159,0,AZ$13),15-13*ORÇAMENTO!$AF$7)/$H159*OFFSET(ORÇAMENTO!$X$15,ROW(AZ159)-ROW(AZ$15),0),
              ROUND(ROUND(OFFSET($P159,0,AZ$13),15-13*ORÇAMENTO!$AF$7)*OFFSET(ORÇAMENTO!$W$15,ROW(AZ159)-ROW(AZ$15),0),15-13*ORÇAMENTO!$AF$11)),
         0)</f>
        <v>0</v>
      </c>
      <c r="BA159" s="453">
        <f ca="1">IF(AND($D159="Serviço",BA$12&lt;&gt;0,$H159&gt;0,OR(AUTOEVENTO&lt;&gt;"manual",$M159&lt;&gt;$A$15)),
        IF(Import.TipoArredondamento&lt;&gt;"TransfereGOV",
              ROUND(OFFSET($P159,0,BA$13),15-13*ORÇAMENTO!$AF$7)/$H159*OFFSET(ORÇAMENTO!$X$15,ROW(BA159)-ROW(BA$15),0),
              ROUND(ROUND(OFFSET($P159,0,BA$13),15-13*ORÇAMENTO!$AF$7)*OFFSET(ORÇAMENTO!$W$15,ROW(BA159)-ROW(BA$15),0),15-13*ORÇAMENTO!$AF$11)),
         0)</f>
        <v>0</v>
      </c>
      <c r="BB159" s="453">
        <f ca="1">IF(AND($D159="Serviço",BB$12&lt;&gt;0,$H159&gt;0,OR(AUTOEVENTO&lt;&gt;"manual",$M159&lt;&gt;$A$15)),
        IF(Import.TipoArredondamento&lt;&gt;"TransfereGOV",
              ROUND(OFFSET($P159,0,BB$13),15-13*ORÇAMENTO!$AF$7)/$H159*OFFSET(ORÇAMENTO!$X$15,ROW(BB159)-ROW(BB$15),0),
              ROUND(ROUND(OFFSET($P159,0,BB$13),15-13*ORÇAMENTO!$AF$7)*OFFSET(ORÇAMENTO!$W$15,ROW(BB159)-ROW(BB$15),0),15-13*ORÇAMENTO!$AF$11)),
         0)</f>
        <v>0</v>
      </c>
      <c r="BC159" s="453">
        <f ca="1">IF(AND($D159="Serviço",BC$12&lt;&gt;0,$H159&gt;0,OR(AUTOEVENTO&lt;&gt;"manual",$M159&lt;&gt;$A$15)),
        IF(Import.TipoArredondamento&lt;&gt;"TransfereGOV",
              ROUND(OFFSET($P159,0,BC$13),15-13*ORÇAMENTO!$AF$7)/$H159*OFFSET(ORÇAMENTO!$X$15,ROW(BC159)-ROW(BC$15),0),
              ROUND(ROUND(OFFSET($P159,0,BC$13),15-13*ORÇAMENTO!$AF$7)*OFFSET(ORÇAMENTO!$W$15,ROW(BC159)-ROW(BC$15),0),15-13*ORÇAMENTO!$AF$11)),
         0)</f>
        <v>0</v>
      </c>
      <c r="BD159" s="453">
        <f ca="1">IF(AND($D159="Serviço",BD$12&lt;&gt;0,$H159&gt;0,OR(AUTOEVENTO&lt;&gt;"manual",$M159&lt;&gt;$A$15)),
        IF(Import.TipoArredondamento&lt;&gt;"TransfereGOV",
              ROUND(OFFSET($P159,0,BD$13),15-13*ORÇAMENTO!$AF$7)/$H159*OFFSET(ORÇAMENTO!$X$15,ROW(BD159)-ROW(BD$15),0),
              ROUND(ROUND(OFFSET($P159,0,BD$13),15-13*ORÇAMENTO!$AF$7)*OFFSET(ORÇAMENTO!$W$15,ROW(BD159)-ROW(BD$15),0),15-13*ORÇAMENTO!$AF$11)),
         0)</f>
        <v>0</v>
      </c>
      <c r="BE159" s="453">
        <f ca="1">IF(AND($D159="Serviço",BE$12&lt;&gt;0,$H159&gt;0,OR(AUTOEVENTO&lt;&gt;"manual",$M159&lt;&gt;$A$15)),
        IF(Import.TipoArredondamento&lt;&gt;"TransfereGOV",
              ROUND(OFFSET($P159,0,BE$13),15-13*ORÇAMENTO!$AF$7)/$H159*OFFSET(ORÇAMENTO!$X$15,ROW(BE159)-ROW(BE$15),0),
              ROUND(ROUND(OFFSET($P159,0,BE$13),15-13*ORÇAMENTO!$AF$7)*OFFSET(ORÇAMENTO!$W$15,ROW(BE159)-ROW(BE$15),0),15-13*ORÇAMENTO!$AF$11)),
         0)</f>
        <v>0</v>
      </c>
      <c r="BF159" s="453">
        <f ca="1">IF(AND($D159="Serviço",BF$12&lt;&gt;0,$H159&gt;0,OR(AUTOEVENTO&lt;&gt;"manual",$M159&lt;&gt;$A$15)),
        IF(Import.TipoArredondamento&lt;&gt;"TransfereGOV",
              ROUND(OFFSET($P159,0,BF$13),15-13*ORÇAMENTO!$AF$7)/$H159*OFFSET(ORÇAMENTO!$X$15,ROW(BF159)-ROW(BF$15),0),
              ROUND(ROUND(OFFSET($P159,0,BF$13),15-13*ORÇAMENTO!$AF$7)*OFFSET(ORÇAMENTO!$W$15,ROW(BF159)-ROW(BF$15),0),15-13*ORÇAMENTO!$AF$11)),
         0)</f>
        <v>0</v>
      </c>
      <c r="BG159" s="453">
        <f ca="1">IF(AND($D159="Serviço",BG$12&lt;&gt;0,$H159&gt;0,OR(AUTOEVENTO&lt;&gt;"manual",$M159&lt;&gt;$A$15)),
        IF(Import.TipoArredondamento&lt;&gt;"TransfereGOV",
              ROUND(OFFSET($P159,0,BG$13),15-13*ORÇAMENTO!$AF$7)/$H159*OFFSET(ORÇAMENTO!$X$15,ROW(BG159)-ROW(BG$15),0),
              ROUND(ROUND(OFFSET($P159,0,BG$13),15-13*ORÇAMENTO!$AF$7)*OFFSET(ORÇAMENTO!$W$15,ROW(BG159)-ROW(BG$15),0),15-13*ORÇAMENTO!$AF$11)),
         0)</f>
        <v>0</v>
      </c>
      <c r="BH159" s="453">
        <f ca="1">IF(AND($D159="Serviço",BH$12&lt;&gt;0,$H159&gt;0,OR(AUTOEVENTO&lt;&gt;"manual",$M159&lt;&gt;$A$15)),
        IF(Import.TipoArredondamento&lt;&gt;"TransfereGOV",
              ROUND(OFFSET($P159,0,BH$13),15-13*ORÇAMENTO!$AF$7)/$H159*OFFSET(ORÇAMENTO!$X$15,ROW(BH159)-ROW(BH$15),0),
              ROUND(ROUND(OFFSET($P159,0,BH$13),15-13*ORÇAMENTO!$AF$7)*OFFSET(ORÇAMENTO!$W$15,ROW(BH159)-ROW(BH$15),0),15-13*ORÇAMENTO!$AF$11)),
         0)</f>
        <v>0</v>
      </c>
      <c r="BI159" s="453">
        <f ca="1">IF(AND($D159="Serviço",BI$12&lt;&gt;0,$H159&gt;0,OR(AUTOEVENTO&lt;&gt;"manual",$M159&lt;&gt;$A$15)),
        IF(Import.TipoArredondamento&lt;&gt;"TransfereGOV",
              ROUND(OFFSET($P159,0,BI$13),15-13*ORÇAMENTO!$AF$7)/$H159*OFFSET(ORÇAMENTO!$X$15,ROW(BI159)-ROW(BI$15),0),
              ROUND(ROUND(OFFSET($P159,0,BI$13),15-13*ORÇAMENTO!$AF$7)*OFFSET(ORÇAMENTO!$W$15,ROW(BI159)-ROW(BI$15),0),15-13*ORÇAMENTO!$AF$11)),
         0)</f>
        <v>0</v>
      </c>
      <c r="BJ159" s="453">
        <f ca="1">IF(AND($D159="Serviço",BJ$12&lt;&gt;0,$H159&gt;0,OR(AUTOEVENTO&lt;&gt;"manual",$M159&lt;&gt;$A$15)),
        IF(Import.TipoArredondamento&lt;&gt;"TransfereGOV",
              ROUND(OFFSET($P159,0,BJ$13),15-13*ORÇAMENTO!$AF$7)/$H159*OFFSET(ORÇAMENTO!$X$15,ROW(BJ159)-ROW(BJ$15),0),
              ROUND(ROUND(OFFSET($P159,0,BJ$13),15-13*ORÇAMENTO!$AF$7)*OFFSET(ORÇAMENTO!$W$15,ROW(BJ159)-ROW(BJ$15),0),15-13*ORÇAMENTO!$AF$11)),
         0)</f>
        <v>0</v>
      </c>
      <c r="BK159" s="453">
        <f ca="1">IF(AND($D159="Serviço",BK$12&lt;&gt;0,$H159&gt;0,OR(AUTOEVENTO&lt;&gt;"manual",$M159&lt;&gt;$A$15)),
        IF(Import.TipoArredondamento&lt;&gt;"TransfereGOV",
              ROUND(OFFSET($P159,0,BK$13),15-13*ORÇAMENTO!$AF$7)/$H159*OFFSET(ORÇAMENTO!$X$15,ROW(BK159)-ROW(BK$15),0),
              ROUND(ROUND(OFFSET($P159,0,BK$13),15-13*ORÇAMENTO!$AF$7)*OFFSET(ORÇAMENTO!$W$15,ROW(BK159)-ROW(BK$15),0),15-13*ORÇAMENTO!$AF$11)),
         0)</f>
        <v>0</v>
      </c>
      <c r="BL159" s="453">
        <f ca="1">IF(AND($D159="Serviço",BL$12&lt;&gt;0,$H159&gt;0,OR(AUTOEVENTO&lt;&gt;"manual",$M159&lt;&gt;$A$15)),
        IF(Import.TipoArredondamento&lt;&gt;"TransfereGOV",
              ROUND(OFFSET($P159,0,BL$13),15-13*ORÇAMENTO!$AF$7)/$H159*OFFSET(ORÇAMENTO!$X$15,ROW(BL159)-ROW(BL$15),0),
              ROUND(ROUND(OFFSET($P159,0,BL$13),15-13*ORÇAMENTO!$AF$7)*OFFSET(ORÇAMENTO!$W$15,ROW(BL159)-ROW(BL$15),0),15-13*ORÇAMENTO!$AF$11)),
         0)</f>
        <v>0</v>
      </c>
      <c r="BM159" s="453">
        <f ca="1">IF(AND($D159="Serviço",BM$12&lt;&gt;0,$H159&gt;0,OR(AUTOEVENTO&lt;&gt;"manual",$M159&lt;&gt;$A$15)),
        IF(Import.TipoArredondamento&lt;&gt;"TransfereGOV",
              ROUND(OFFSET($P159,0,BM$13),15-13*ORÇAMENTO!$AF$7)/$H159*OFFSET(ORÇAMENTO!$X$15,ROW(BM159)-ROW(BM$15),0),
              ROUND(ROUND(OFFSET($P159,0,BM$13),15-13*ORÇAMENTO!$AF$7)*OFFSET(ORÇAMENTO!$W$15,ROW(BM159)-ROW(BM$15),0),15-13*ORÇAMENTO!$AF$11)),
         0)</f>
        <v>0</v>
      </c>
      <c r="BN159" s="453">
        <f ca="1">IF(AND($D159="Serviço",BN$12&lt;&gt;0,$H159&gt;0,OR(AUTOEVENTO&lt;&gt;"manual",$M159&lt;&gt;$A$15)),
        IF(Import.TipoArredondamento&lt;&gt;"TransfereGOV",
              ROUND(OFFSET($P159,0,BN$13),15-13*ORÇAMENTO!$AF$7)/$H159*OFFSET(ORÇAMENTO!$X$15,ROW(BN159)-ROW(BN$15),0),
              ROUND(ROUND(OFFSET($P159,0,BN$13),15-13*ORÇAMENTO!$AF$7)*OFFSET(ORÇAMENTO!$W$15,ROW(BN159)-ROW(BN$15),0),15-13*ORÇAMENTO!$AF$11)),
         0)</f>
        <v>0</v>
      </c>
      <c r="BO159" s="453">
        <f ca="1">IF(AND($D159="Serviço",BO$12&lt;&gt;0,$H159&gt;0,OR(AUTOEVENTO&lt;&gt;"manual",$M159&lt;&gt;$A$15)),
        IF(Import.TipoArredondamento&lt;&gt;"TransfereGOV",
              ROUND(OFFSET($P159,0,BO$13),15-13*ORÇAMENTO!$AF$7)/$H159*OFFSET(ORÇAMENTO!$X$15,ROW(BO159)-ROW(BO$15),0),
              ROUND(ROUND(OFFSET($P159,0,BO$13),15-13*ORÇAMENTO!$AF$7)*OFFSET(ORÇAMENTO!$W$15,ROW(BO159)-ROW(BO$15),0),15-13*ORÇAMENTO!$AF$11)),
         0)</f>
        <v>0</v>
      </c>
      <c r="BP159" s="453">
        <f ca="1">IF(AND($D159="Serviço",BP$12&lt;&gt;0,$H159&gt;0,OR(AUTOEVENTO&lt;&gt;"manual",$M159&lt;&gt;$A$15)),
        IF(Import.TipoArredondamento&lt;&gt;"TransfereGOV",
              ROUND(OFFSET($P159,0,BP$13),15-13*ORÇAMENTO!$AF$7)/$H159*OFFSET(ORÇAMENTO!$X$15,ROW(BP159)-ROW(BP$15),0),
              ROUND(ROUND(OFFSET($P159,0,BP$13),15-13*ORÇAMENTO!$AF$7)*OFFSET(ORÇAMENTO!$W$15,ROW(BP159)-ROW(BP$15),0),15-13*ORÇAMENTO!$AF$11)),
         0)</f>
        <v>0</v>
      </c>
      <c r="BQ159" s="453">
        <f ca="1">IF(AND($D159="Serviço",BQ$12&lt;&gt;0,$H159&gt;0,OR(AUTOEVENTO&lt;&gt;"manual",$M159&lt;&gt;$A$15)),
        IF(Import.TipoArredondamento&lt;&gt;"TransfereGOV",
              ROUND(OFFSET($P159,0,BQ$13),15-13*ORÇAMENTO!$AF$7)/$H159*OFFSET(ORÇAMENTO!$X$15,ROW(BQ159)-ROW(BQ$15),0),
              ROUND(ROUND(OFFSET($P159,0,BQ$13),15-13*ORÇAMENTO!$AF$7)*OFFSET(ORÇAMENTO!$W$15,ROW(BQ159)-ROW(BQ$15),0),15-13*ORÇAMENTO!$AF$11)),
         0)</f>
        <v>0</v>
      </c>
      <c r="BS159" s="171">
        <f ca="1">IF(OR($D159&lt;&gt;"Serviço",AND(AUTOEVENTO="Manual",$M159=$A$15)),0,
         IF(OFFSET(CRONOPLE!$F$15,$M159-$A$15,BS$13)=0,10^12,OFFSET(CRONOPLE!$F$15,$M159-$A$15,BS$13)))</f>
        <v>1</v>
      </c>
      <c r="BT159" s="171">
        <f ca="1">IF(OR($D159&lt;&gt;"Serviço",AND(AUTOEVENTO="Manual",$M159=$A$15)),0,
         IF(OFFSET(CRONOPLE!$F$15,$M159-$A$15,BT$13)=0,10^12,OFFSET(CRONOPLE!$F$15,$M159-$A$15,BT$13)))</f>
        <v>2</v>
      </c>
      <c r="BU159" s="171">
        <f ca="1">IF(OR($D159&lt;&gt;"Serviço",AND(AUTOEVENTO="Manual",$M159=$A$15)),0,
         IF(OFFSET(CRONOPLE!$F$15,$M159-$A$15,BU$13)=0,10^12,OFFSET(CRONOPLE!$F$15,$M159-$A$15,BU$13)))</f>
        <v>3</v>
      </c>
      <c r="BV159" s="171">
        <f ca="1">IF(OR($D159&lt;&gt;"Serviço",AND(AUTOEVENTO="Manual",$M159=$A$15)),0,
         IF(OFFSET(CRONOPLE!$F$15,$M159-$A$15,BV$13)=0,10^12,OFFSET(CRONOPLE!$F$15,$M159-$A$15,BV$13)))</f>
        <v>4</v>
      </c>
      <c r="BW159" s="171">
        <f ca="1">IF(OR($D159&lt;&gt;"Serviço",AND(AUTOEVENTO="Manual",$M159=$A$15)),0,
         IF(OFFSET(CRONOPLE!$F$15,$M159-$A$15,BW$13)=0,10^12,OFFSET(CRONOPLE!$F$15,$M159-$A$15,BW$13)))</f>
        <v>5</v>
      </c>
      <c r="BX159" s="171">
        <f ca="1">IF(OR($D159&lt;&gt;"Serviço",AND(AUTOEVENTO="Manual",$M159=$A$15)),0,
         IF(OFFSET(CRONOPLE!$F$15,$M159-$A$15,BX$13)=0,10^12,OFFSET(CRONOPLE!$F$15,$M159-$A$15,BX$13)))</f>
        <v>6</v>
      </c>
      <c r="BY159" s="171">
        <f ca="1">IF(OR($D159&lt;&gt;"Serviço",AND(AUTOEVENTO="Manual",$M159=$A$15)),0,
         IF(OFFSET(CRONOPLE!$F$15,$M159-$A$15,BY$13)=0,10^12,OFFSET(CRONOPLE!$F$15,$M159-$A$15,BY$13)))</f>
        <v>7</v>
      </c>
      <c r="BZ159" s="171">
        <f ca="1">IF(OR($D159&lt;&gt;"Serviço",AND(AUTOEVENTO="Manual",$M159=$A$15)),0,
         IF(OFFSET(CRONOPLE!$F$15,$M159-$A$15,BZ$13)=0,10^12,OFFSET(CRONOPLE!$F$15,$M159-$A$15,BZ$13)))</f>
        <v>8</v>
      </c>
      <c r="CA159" s="171">
        <f ca="1">IF(OR($D159&lt;&gt;"Serviço",AND(AUTOEVENTO="Manual",$M159=$A$15)),0,
         IF(OFFSET(CRONOPLE!$F$15,$M159-$A$15,CA$13)=0,10^12,OFFSET(CRONOPLE!$F$15,$M159-$A$15,CA$13)))</f>
        <v>9</v>
      </c>
      <c r="CB159" s="171">
        <f ca="1">IF(OR($D159&lt;&gt;"Serviço",AND(AUTOEVENTO="Manual",$M159=$A$15)),0,
         IF(OFFSET(CRONOPLE!$F$15,$M159-$A$15,CB$13)=0,10^12,OFFSET(CRONOPLE!$F$15,$M159-$A$15,CB$13)))</f>
        <v>10</v>
      </c>
      <c r="CC159" s="171">
        <f ca="1">IF(OR($D159&lt;&gt;"Serviço",AND(AUTOEVENTO="Manual",$M159=$A$15)),0,
         IF(OFFSET(CRONOPLE!$F$15,$M159-$A$15,CC$13)=0,10^12,OFFSET(CRONOPLE!$F$15,$M159-$A$15,CC$13)))</f>
        <v>11</v>
      </c>
      <c r="CD159" s="171">
        <f ca="1">IF(OR($D159&lt;&gt;"Serviço",AND(AUTOEVENTO="Manual",$M159=$A$15)),0,
         IF(OFFSET(CRONOPLE!$F$15,$M159-$A$15,CD$13)=0,10^12,OFFSET(CRONOPLE!$F$15,$M159-$A$15,CD$13)))</f>
        <v>12</v>
      </c>
      <c r="CE159" s="171">
        <f ca="1">IF(OR($D159&lt;&gt;"Serviço",AND(AUTOEVENTO="Manual",$M159=$A$15)),0,
         IF(OFFSET(CRONOPLE!$F$15,$M159-$A$15,CE$13)=0,10^12,OFFSET(CRONOPLE!$F$15,$M159-$A$15,CE$13)))</f>
        <v>13</v>
      </c>
      <c r="CF159" s="171">
        <f ca="1">IF(OR($D159&lt;&gt;"Serviço",AND(AUTOEVENTO="Manual",$M159=$A$15)),0,
         IF(OFFSET(CRONOPLE!$F$15,$M159-$A$15,CF$13)=0,10^12,OFFSET(CRONOPLE!$F$15,$M159-$A$15,CF$13)))</f>
        <v>14</v>
      </c>
      <c r="CG159" s="171">
        <f ca="1">IF(OR($D159&lt;&gt;"Serviço",AND(AUTOEVENTO="Manual",$M159=$A$15)),0,
         IF(OFFSET(CRONOPLE!$F$15,$M159-$A$15,CG$13)=0,10^12,OFFSET(CRONOPLE!$F$15,$M159-$A$15,CG$13)))</f>
        <v>15</v>
      </c>
      <c r="CH159" s="171">
        <f ca="1">IF(OR($D159&lt;&gt;"Serviço",AND(AUTOEVENTO="Manual",$M159=$A$15)),0,
         IF(OFFSET(CRONOPLE!$F$15,$M159-$A$15,CH$13)=0,10^12,OFFSET(CRONOPLE!$F$15,$M159-$A$15,CH$13)))</f>
        <v>16</v>
      </c>
      <c r="CI159" s="171">
        <f ca="1">IF(OR($D159&lt;&gt;"Serviço",AND(AUTOEVENTO="Manual",$M159=$A$15)),0,
         IF(OFFSET(CRONOPLE!$F$15,$M159-$A$15,CI$13)=0,10^12,OFFSET(CRONOPLE!$F$15,$M159-$A$15,CI$13)))</f>
        <v>17</v>
      </c>
      <c r="CJ159" s="171">
        <f ca="1">IF(OR($D159&lt;&gt;"Serviço",AND(AUTOEVENTO="Manual",$M159=$A$15)),0,
         IF(OFFSET(CRONOPLE!$F$15,$M159-$A$15,CJ$13)=0,10^12,OFFSET(CRONOPLE!$F$15,$M159-$A$15,CJ$13)))</f>
        <v>18</v>
      </c>
      <c r="CK159" s="171">
        <f ca="1">IF(OR($D159&lt;&gt;"Serviço",AND(AUTOEVENTO="Manual",$M159=$A$15)),0,
         IF(OFFSET(CRONOPLE!$F$15,$M159-$A$15,CK$13)=0,10^12,OFFSET(CRONOPLE!$F$15,$M159-$A$15,CK$13)))</f>
        <v>19</v>
      </c>
      <c r="CL159" s="171">
        <f ca="1">IF(OR($D159&lt;&gt;"Serviço",AND(AUTOEVENTO="Manual",$M159=$A$15)),0,
         IF(OFFSET(CRONOPLE!$F$15,$M159-$A$15,CL$13)=0,10^12,OFFSET(CRONOPLE!$F$15,$M159-$A$15,CL$13)))</f>
        <v>20</v>
      </c>
      <c r="CM159" s="171">
        <f ca="1">IF(OR($D159&lt;&gt;"Serviço",AND(AUTOEVENTO="Manual",$M159=$A$15)),0,
         IF(OFFSET(CRONOPLE!$F$15,$M159-$A$15,CM$13)=0,10^12,OFFSET(CRONOPLE!$F$15,$M159-$A$15,CM$13)))</f>
        <v>1000000000000</v>
      </c>
      <c r="CN159" s="171">
        <f ca="1">IF(OR($D159&lt;&gt;"Serviço",AND(AUTOEVENTO="Manual",$M159=$A$15)),0,
         IF(OFFSET(CRONOPLE!$F$15,$M159-$A$15,CN$13)=0,10^12,OFFSET(CRONOPLE!$F$15,$M159-$A$15,CN$13)))</f>
        <v>1000000000000</v>
      </c>
      <c r="CO159" s="171">
        <f ca="1">IF(OR($D159&lt;&gt;"Serviço",AND(AUTOEVENTO="Manual",$M159=$A$15)),0,
         IF(OFFSET(CRONOPLE!$F$15,$M159-$A$15,CO$13)=0,10^12,OFFSET(CRONOPLE!$F$15,$M159-$A$15,CO$13)))</f>
        <v>1000000000000</v>
      </c>
      <c r="CP159" s="171">
        <f ca="1">IF(OR($D159&lt;&gt;"Serviço",AND(AUTOEVENTO="Manual",$M159=$A$15)),0,
         IF(OFFSET(CRONOPLE!$F$15,$M159-$A$15,CP$13)=0,10^12,OFFSET(CRONOPLE!$F$15,$M159-$A$15,CP$13)))</f>
        <v>1000000000000</v>
      </c>
      <c r="CQ159" s="171">
        <f ca="1">IF(OR($D159&lt;&gt;"Serviço",AND(AUTOEVENTO="Manual",$M159=$A$15)),0,
         IF(OFFSET(CRONOPLE!$F$15,$M159-$A$15,CQ$13)=0,10^12,OFFSET(CRONOPLE!$F$15,$M159-$A$15,CQ$13)))</f>
        <v>1000000000000</v>
      </c>
      <c r="CR159" s="171">
        <f ca="1">IF(OR($D159&lt;&gt;"Serviço",AND(AUTOEVENTO="Manual",$M159=$A$15)),0,
         IF(OFFSET(CRONOPLE!$F$15,$M159-$A$15,CR$13)=0,10^12,OFFSET(CRONOPLE!$F$15,$M159-$A$15,CR$13)))</f>
        <v>1000000000000</v>
      </c>
      <c r="CT159" s="172" cm="1">
        <f t="array" aca="1" ref="CT159" ca="1">IF(OR($D159&lt;&gt;"Serviço",AND(AUTOEVENTO="Manual",$M159=$A$15),$M159&gt;(ROW(PLE.lastrow)-ROW(PLE.firstrow))),0,
           IF(OFFSET(PLE!$G$15,$M159-$A$15,CT$13)="",10^12,OFFSET(PLE!$G$15,$M159-$A$15,CT$13)))</f>
        <v>1000000000000</v>
      </c>
      <c r="CU159" s="172" cm="1">
        <f t="array" aca="1" ref="CU159" ca="1">IF(OR($D159&lt;&gt;"Serviço",AND(AUTOEVENTO="Manual",$M159=$A$15),$M159&gt;(ROW(PLE.lastrow)-ROW(PLE.firstrow))),0,
           IF(OFFSET(PLE!$G$15,$M159-$A$15,CU$13)="",10^12,OFFSET(PLE!$G$15,$M159-$A$15,CU$13)))</f>
        <v>1000000000000</v>
      </c>
      <c r="CV159" s="172" cm="1">
        <f t="array" aca="1" ref="CV159" ca="1">IF(OR($D159&lt;&gt;"Serviço",AND(AUTOEVENTO="Manual",$M159=$A$15),$M159&gt;(ROW(PLE.lastrow)-ROW(PLE.firstrow))),0,
           IF(OFFSET(PLE!$G$15,$M159-$A$15,CV$13)="",10^12,OFFSET(PLE!$G$15,$M159-$A$15,CV$13)))</f>
        <v>1000000000000</v>
      </c>
      <c r="CW159" s="172" cm="1">
        <f t="array" aca="1" ref="CW159" ca="1">IF(OR($D159&lt;&gt;"Serviço",AND(AUTOEVENTO="Manual",$M159=$A$15),$M159&gt;(ROW(PLE.lastrow)-ROW(PLE.firstrow))),0,
           IF(OFFSET(PLE!$G$15,$M159-$A$15,CW$13)="",10^12,OFFSET(PLE!$G$15,$M159-$A$15,CW$13)))</f>
        <v>1000000000000</v>
      </c>
      <c r="CX159" s="172" cm="1">
        <f t="array" aca="1" ref="CX159" ca="1">IF(OR($D159&lt;&gt;"Serviço",AND(AUTOEVENTO="Manual",$M159=$A$15),$M159&gt;(ROW(PLE.lastrow)-ROW(PLE.firstrow))),0,
           IF(OFFSET(PLE!$G$15,$M159-$A$15,CX$13)="",10^12,OFFSET(PLE!$G$15,$M159-$A$15,CX$13)))</f>
        <v>1000000000000</v>
      </c>
      <c r="CY159" s="172" cm="1">
        <f t="array" aca="1" ref="CY159" ca="1">IF(OR($D159&lt;&gt;"Serviço",AND(AUTOEVENTO="Manual",$M159=$A$15),$M159&gt;(ROW(PLE.lastrow)-ROW(PLE.firstrow))),0,
           IF(OFFSET(PLE!$G$15,$M159-$A$15,CY$13)="",10^12,OFFSET(PLE!$G$15,$M159-$A$15,CY$13)))</f>
        <v>1000000000000</v>
      </c>
      <c r="CZ159" s="172" cm="1">
        <f t="array" aca="1" ref="CZ159" ca="1">IF(OR($D159&lt;&gt;"Serviço",AND(AUTOEVENTO="Manual",$M159=$A$15),$M159&gt;(ROW(PLE.lastrow)-ROW(PLE.firstrow))),0,
           IF(OFFSET(PLE!$G$15,$M159-$A$15,CZ$13)="",10^12,OFFSET(PLE!$G$15,$M159-$A$15,CZ$13)))</f>
        <v>1000000000000</v>
      </c>
      <c r="DA159" s="172" cm="1">
        <f t="array" aca="1" ref="DA159" ca="1">IF(OR($D159&lt;&gt;"Serviço",AND(AUTOEVENTO="Manual",$M159=$A$15),$M159&gt;(ROW(PLE.lastrow)-ROW(PLE.firstrow))),0,
           IF(OFFSET(PLE!$G$15,$M159-$A$15,DA$13)="",10^12,OFFSET(PLE!$G$15,$M159-$A$15,DA$13)))</f>
        <v>1000000000000</v>
      </c>
      <c r="DB159" s="172" cm="1">
        <f t="array" aca="1" ref="DB159" ca="1">IF(OR($D159&lt;&gt;"Serviço",AND(AUTOEVENTO="Manual",$M159=$A$15),$M159&gt;(ROW(PLE.lastrow)-ROW(PLE.firstrow))),0,
           IF(OFFSET(PLE!$G$15,$M159-$A$15,DB$13)="",10^12,OFFSET(PLE!$G$15,$M159-$A$15,DB$13)))</f>
        <v>1000000000000</v>
      </c>
      <c r="DC159" s="172" cm="1">
        <f t="array" aca="1" ref="DC159" ca="1">IF(OR($D159&lt;&gt;"Serviço",AND(AUTOEVENTO="Manual",$M159=$A$15),$M159&gt;(ROW(PLE.lastrow)-ROW(PLE.firstrow))),0,
           IF(OFFSET(PLE!$G$15,$M159-$A$15,DC$13)="",10^12,OFFSET(PLE!$G$15,$M159-$A$15,DC$13)))</f>
        <v>1000000000000</v>
      </c>
      <c r="DD159" s="172" cm="1">
        <f t="array" aca="1" ref="DD159" ca="1">IF(OR($D159&lt;&gt;"Serviço",AND(AUTOEVENTO="Manual",$M159=$A$15),$M159&gt;(ROW(PLE.lastrow)-ROW(PLE.firstrow))),0,
           IF(OFFSET(PLE!$G$15,$M159-$A$15,DD$13)="",10^12,OFFSET(PLE!$G$15,$M159-$A$15,DD$13)))</f>
        <v>1000000000000</v>
      </c>
      <c r="DE159" s="172" cm="1">
        <f t="array" aca="1" ref="DE159" ca="1">IF(OR($D159&lt;&gt;"Serviço",AND(AUTOEVENTO="Manual",$M159=$A$15),$M159&gt;(ROW(PLE.lastrow)-ROW(PLE.firstrow))),0,
           IF(OFFSET(PLE!$G$15,$M159-$A$15,DE$13)="",10^12,OFFSET(PLE!$G$15,$M159-$A$15,DE$13)))</f>
        <v>1000000000000</v>
      </c>
      <c r="DF159" s="172" cm="1">
        <f t="array" aca="1" ref="DF159" ca="1">IF(OR($D159&lt;&gt;"Serviço",AND(AUTOEVENTO="Manual",$M159=$A$15),$M159&gt;(ROW(PLE.lastrow)-ROW(PLE.firstrow))),0,
           IF(OFFSET(PLE!$G$15,$M159-$A$15,DF$13)="",10^12,OFFSET(PLE!$G$15,$M159-$A$15,DF$13)))</f>
        <v>1000000000000</v>
      </c>
      <c r="DG159" s="172" cm="1">
        <f t="array" aca="1" ref="DG159" ca="1">IF(OR($D159&lt;&gt;"Serviço",AND(AUTOEVENTO="Manual",$M159=$A$15),$M159&gt;(ROW(PLE.lastrow)-ROW(PLE.firstrow))),0,
           IF(OFFSET(PLE!$G$15,$M159-$A$15,DG$13)="",10^12,OFFSET(PLE!$G$15,$M159-$A$15,DG$13)))</f>
        <v>1000000000000</v>
      </c>
      <c r="DH159" s="172" cm="1">
        <f t="array" aca="1" ref="DH159" ca="1">IF(OR($D159&lt;&gt;"Serviço",AND(AUTOEVENTO="Manual",$M159=$A$15),$M159&gt;(ROW(PLE.lastrow)-ROW(PLE.firstrow))),0,
           IF(OFFSET(PLE!$G$15,$M159-$A$15,DH$13)="",10^12,OFFSET(PLE!$G$15,$M159-$A$15,DH$13)))</f>
        <v>1000000000000</v>
      </c>
      <c r="DI159" s="172" cm="1">
        <f t="array" aca="1" ref="DI159" ca="1">IF(OR($D159&lt;&gt;"Serviço",AND(AUTOEVENTO="Manual",$M159=$A$15),$M159&gt;(ROW(PLE.lastrow)-ROW(PLE.firstrow))),0,
           IF(OFFSET(PLE!$G$15,$M159-$A$15,DI$13)="",10^12,OFFSET(PLE!$G$15,$M159-$A$15,DI$13)))</f>
        <v>1000000000000</v>
      </c>
      <c r="DJ159" s="172" cm="1">
        <f t="array" aca="1" ref="DJ159" ca="1">IF(OR($D159&lt;&gt;"Serviço",AND(AUTOEVENTO="Manual",$M159=$A$15),$M159&gt;(ROW(PLE.lastrow)-ROW(PLE.firstrow))),0,
           IF(OFFSET(PLE!$G$15,$M159-$A$15,DJ$13)="",10^12,OFFSET(PLE!$G$15,$M159-$A$15,DJ$13)))</f>
        <v>1000000000000</v>
      </c>
      <c r="DK159" s="172" cm="1">
        <f t="array" aca="1" ref="DK159" ca="1">IF(OR($D159&lt;&gt;"Serviço",AND(AUTOEVENTO="Manual",$M159=$A$15),$M159&gt;(ROW(PLE.lastrow)-ROW(PLE.firstrow))),0,
           IF(OFFSET(PLE!$G$15,$M159-$A$15,DK$13)="",10^12,OFFSET(PLE!$G$15,$M159-$A$15,DK$13)))</f>
        <v>1000000000000</v>
      </c>
      <c r="DL159" s="172" cm="1">
        <f t="array" aca="1" ref="DL159" ca="1">IF(OR($D159&lt;&gt;"Serviço",AND(AUTOEVENTO="Manual",$M159=$A$15),$M159&gt;(ROW(PLE.lastrow)-ROW(PLE.firstrow))),0,
           IF(OFFSET(PLE!$G$15,$M159-$A$15,DL$13)="",10^12,OFFSET(PLE!$G$15,$M159-$A$15,DL$13)))</f>
        <v>1000000000000</v>
      </c>
      <c r="DM159" s="172" cm="1">
        <f t="array" aca="1" ref="DM159" ca="1">IF(OR($D159&lt;&gt;"Serviço",AND(AUTOEVENTO="Manual",$M159=$A$15),$M159&gt;(ROW(PLE.lastrow)-ROW(PLE.firstrow))),0,
           IF(OFFSET(PLE!$G$15,$M159-$A$15,DM$13)="",10^12,OFFSET(PLE!$G$15,$M159-$A$15,DM$13)))</f>
        <v>1000000000000</v>
      </c>
      <c r="DN159" s="172" cm="1">
        <f t="array" aca="1" ref="DN159" ca="1">IF(OR($D159&lt;&gt;"Serviço",AND(AUTOEVENTO="Manual",$M159=$A$15),$M159&gt;(ROW(PLE.lastrow)-ROW(PLE.firstrow))),0,
           IF(OFFSET(PLE!$G$15,$M159-$A$15,DN$13)="",10^12,OFFSET(PLE!$G$15,$M159-$A$15,DN$13)))</f>
        <v>1000000000000</v>
      </c>
      <c r="DO159" s="172" cm="1">
        <f t="array" aca="1" ref="DO159" ca="1">IF(OR($D159&lt;&gt;"Serviço",AND(AUTOEVENTO="Manual",$M159=$A$15),$M159&gt;(ROW(PLE.lastrow)-ROW(PLE.firstrow))),0,
           IF(OFFSET(PLE!$G$15,$M159-$A$15,DO$13)="",10^12,OFFSET(PLE!$G$15,$M159-$A$15,DO$13)))</f>
        <v>1000000000000</v>
      </c>
      <c r="DP159" s="172" cm="1">
        <f t="array" aca="1" ref="DP159" ca="1">IF(OR($D159&lt;&gt;"Serviço",AND(AUTOEVENTO="Manual",$M159=$A$15),$M159&gt;(ROW(PLE.lastrow)-ROW(PLE.firstrow))),0,
           IF(OFFSET(PLE!$G$15,$M159-$A$15,DP$13)="",10^12,OFFSET(PLE!$G$15,$M159-$A$15,DP$13)))</f>
        <v>1000000000000</v>
      </c>
      <c r="DQ159" s="172" cm="1">
        <f t="array" aca="1" ref="DQ159" ca="1">IF(OR($D159&lt;&gt;"Serviço",AND(AUTOEVENTO="Manual",$M159=$A$15),$M159&gt;(ROW(PLE.lastrow)-ROW(PLE.firstrow))),0,
           IF(OFFSET(PLE!$G$15,$M159-$A$15,DQ$13)="",10^12,OFFSET(PLE!$G$15,$M159-$A$15,DQ$13)))</f>
        <v>1000000000000</v>
      </c>
      <c r="DR159" s="172" cm="1">
        <f t="array" aca="1" ref="DR159" ca="1">IF(OR($D159&lt;&gt;"Serviço",AND(AUTOEVENTO="Manual",$M159=$A$15),$M159&gt;(ROW(PLE.lastrow)-ROW(PLE.firstrow))),0,
           IF(OFFSET(PLE!$G$15,$M159-$A$15,DR$13)="",10^12,OFFSET(PLE!$G$15,$M159-$A$15,DR$13)))</f>
        <v>1000000000000</v>
      </c>
      <c r="DS159" s="172" cm="1">
        <f t="array" aca="1" ref="DS159" ca="1">IF(OR($D159&lt;&gt;"Serviço",AND(AUTOEVENTO="Manual",$M159=$A$15),$M159&gt;(ROW(PLE.lastrow)-ROW(PLE.firstrow))),0,
           IF(OFFSET(PLE!$G$15,$M159-$A$15,DS$13)="",10^12,OFFSET(PLE!$G$15,$M159-$A$15,DS$13)))</f>
        <v>1000000000000</v>
      </c>
    </row>
    <row r="160" spans="1:123" ht="38.25" x14ac:dyDescent="0.2">
      <c r="A160" s="7">
        <f t="shared" ca="1" si="16"/>
        <v>9</v>
      </c>
      <c r="B160" s="7" t="str">
        <f ca="1">OFFSET(ORÇAMENTO!C$15,$L160,0)</f>
        <v>S</v>
      </c>
      <c r="C160" s="7" t="str">
        <f ca="1">OFFSET(ORÇAMENTO!L$15,$L160,0)</f>
        <v/>
      </c>
      <c r="D160" s="116" t="str">
        <f ca="1">OFFSET(ORÇAMENTO!N$15,$L160,0)</f>
        <v>Serviço</v>
      </c>
      <c r="E160" s="117" t="str">
        <f ca="1">OFFSET(ORÇAMENTO!O$15,$L160,0)</f>
        <v>-</v>
      </c>
      <c r="F160" s="163" t="str">
        <f ca="1">OFFSET(ORÇAMENTO!R$15,$L160,0)</f>
        <v>(Código não identificado nas referências)</v>
      </c>
      <c r="G160" s="164" t="str">
        <f ca="1">IF($D160&lt;&gt;"Serviço","",OFFSET(ORÇAMENTO!S$15,$L160,0))</f>
        <v>-</v>
      </c>
      <c r="H160" s="122" cm="1">
        <f t="array" aca="1" ref="H160" ca="1">IF($D160&lt;&gt;"Serviço",0,IF(ACOMPANHAMENTO="BM",ROUND(OFFSET(ORÇAMENTO!AJ$15,$L160,0),15-13*ORÇAMENTO!$AF$7),IF(IFERROR(CÁLCULO.FrentesPreenchidas,0)=0,0,SUM(ROUND(OFFSET($P160,0,1,1,CÁLCULO.FrentesPreenchidas),15-13*ORÇAMENTO!$AF$7)))))</f>
        <v>517.99999999999977</v>
      </c>
      <c r="I160" s="468" t="s">
        <v>1235</v>
      </c>
      <c r="J160" s="651" t="str" cm="1">
        <f t="array" aca="1" ref="J160" ca="1">IF(OR(B160&lt;&gt;"S",CÁLCULO.FrentesPreenchidas=0),"",IF(AND(ACOMPANHAMENTO="PLE",AUTOEVENTO="Manual",OR(H160&gt;0,ORÇAMENTO!AC160="QUANT."),OR(K160="",M160=0,N160="")),"►E",IF(AND(ACOMPANHAMENTO="PLE",ORÇAMENTO!AC160="QUANT."),"►Q",IF(AND(ACOMPANHAMENTO="PLE",H160&lt;&gt;SUMPRODUCT(($Q$1:$AQ$1=1)*ROUND(Q160:AQ160,15))),"►S",IF(AND(COUNTIF($P$11:$AQ$11,"▼")=0,H160&gt;0,I160=""),"◄M","")))))</f>
        <v/>
      </c>
      <c r="K160" s="652" t="s">
        <v>1257</v>
      </c>
      <c r="L160" s="165">
        <f t="shared" ca="1" si="17"/>
        <v>145</v>
      </c>
      <c r="M160" s="166">
        <f ca="1">IF($D160&lt;&gt;"Serviço","",
          IF(AUTOEVENTO="manual",$A160,
                IF(ISERROR(MATCH($A160,$A$15:OFFSET($A160,-1,0),0)),MAX($M$15:OFFSET(M160,-1,0))+1,
                      INDEX($M$15:OFFSET(M160,-1,0),MATCH($A160,$A$15:OFFSET($A160,-1,0),0)))))</f>
        <v>9</v>
      </c>
      <c r="N160" s="167" t="str">
        <f ca="1">IF($D160&lt;&gt;"Serviço","",
         IF(AUTOEVENTO="Manual",
                IF($A160=0,"&lt;-- defina o número do agrupador",
                       OFFSET(EVENTOS!$D$15,$A160-$A$15,0)),
                OFFSET($F$15,$A160,0)))</f>
        <v>INSTALAÇÕES</v>
      </c>
      <c r="O160" s="168"/>
      <c r="Q160" s="168">
        <v>25.9</v>
      </c>
      <c r="R160" s="169">
        <v>25.9</v>
      </c>
      <c r="S160" s="169">
        <v>25.9</v>
      </c>
      <c r="T160" s="169">
        <v>25.9</v>
      </c>
      <c r="U160" s="169">
        <v>25.9</v>
      </c>
      <c r="V160" s="169">
        <v>25.9</v>
      </c>
      <c r="W160" s="169">
        <v>25.9</v>
      </c>
      <c r="X160" s="169">
        <v>25.9</v>
      </c>
      <c r="Y160" s="169">
        <v>25.9</v>
      </c>
      <c r="Z160" s="170">
        <v>25.9</v>
      </c>
      <c r="AA160" s="169">
        <v>25.9</v>
      </c>
      <c r="AB160" s="169">
        <v>25.9</v>
      </c>
      <c r="AC160" s="169">
        <v>25.9</v>
      </c>
      <c r="AD160" s="169">
        <v>25.9</v>
      </c>
      <c r="AE160" s="169">
        <v>25.9</v>
      </c>
      <c r="AF160" s="169">
        <v>25.9</v>
      </c>
      <c r="AG160" s="169">
        <v>25.9</v>
      </c>
      <c r="AH160" s="170">
        <v>25.9</v>
      </c>
      <c r="AI160" s="169">
        <v>25.9</v>
      </c>
      <c r="AJ160" s="169">
        <v>25.9</v>
      </c>
      <c r="AK160" s="169"/>
      <c r="AL160" s="169"/>
      <c r="AM160" s="169"/>
      <c r="AN160" s="169"/>
      <c r="AO160" s="169"/>
      <c r="AP160" s="170"/>
      <c r="AR160" s="453">
        <f ca="1">IF(AND($D160="Serviço",AR$12&lt;&gt;0,$H160&gt;0,OR(AUTOEVENTO&lt;&gt;"manual",$M160&lt;&gt;$A$15)),
        IF(Import.TipoArredondamento&lt;&gt;"TransfereGOV",
              ROUND(OFFSET($P160,0,AR$13),15-13*ORÇAMENTO!$AF$7)/$H160*OFFSET(ORÇAMENTO!$X$15,ROW(AR160)-ROW(AR$15),0),
              ROUND(ROUND(OFFSET($P160,0,AR$13),15-13*ORÇAMENTO!$AF$7)*OFFSET(ORÇAMENTO!$W$15,ROW(AR160)-ROW(AR$15),0),15-13*ORÇAMENTO!$AF$11)),
         0)</f>
        <v>0</v>
      </c>
      <c r="AS160" s="453">
        <f ca="1">IF(AND($D160="Serviço",AS$12&lt;&gt;0,$H160&gt;0,OR(AUTOEVENTO&lt;&gt;"manual",$M160&lt;&gt;$A$15)),
        IF(Import.TipoArredondamento&lt;&gt;"TransfereGOV",
              ROUND(OFFSET($P160,0,AS$13),15-13*ORÇAMENTO!$AF$7)/$H160*OFFSET(ORÇAMENTO!$X$15,ROW(AS160)-ROW(AS$15),0),
              ROUND(ROUND(OFFSET($P160,0,AS$13),15-13*ORÇAMENTO!$AF$7)*OFFSET(ORÇAMENTO!$W$15,ROW(AS160)-ROW(AS$15),0),15-13*ORÇAMENTO!$AF$11)),
         0)</f>
        <v>0</v>
      </c>
      <c r="AT160" s="453">
        <f ca="1">IF(AND($D160="Serviço",AT$12&lt;&gt;0,$H160&gt;0,OR(AUTOEVENTO&lt;&gt;"manual",$M160&lt;&gt;$A$15)),
        IF(Import.TipoArredondamento&lt;&gt;"TransfereGOV",
              ROUND(OFFSET($P160,0,AT$13),15-13*ORÇAMENTO!$AF$7)/$H160*OFFSET(ORÇAMENTO!$X$15,ROW(AT160)-ROW(AT$15),0),
              ROUND(ROUND(OFFSET($P160,0,AT$13),15-13*ORÇAMENTO!$AF$7)*OFFSET(ORÇAMENTO!$W$15,ROW(AT160)-ROW(AT$15),0),15-13*ORÇAMENTO!$AF$11)),
         0)</f>
        <v>0</v>
      </c>
      <c r="AU160" s="453">
        <f ca="1">IF(AND($D160="Serviço",AU$12&lt;&gt;0,$H160&gt;0,OR(AUTOEVENTO&lt;&gt;"manual",$M160&lt;&gt;$A$15)),
        IF(Import.TipoArredondamento&lt;&gt;"TransfereGOV",
              ROUND(OFFSET($P160,0,AU$13),15-13*ORÇAMENTO!$AF$7)/$H160*OFFSET(ORÇAMENTO!$X$15,ROW(AU160)-ROW(AU$15),0),
              ROUND(ROUND(OFFSET($P160,0,AU$13),15-13*ORÇAMENTO!$AF$7)*OFFSET(ORÇAMENTO!$W$15,ROW(AU160)-ROW(AU$15),0),15-13*ORÇAMENTO!$AF$11)),
         0)</f>
        <v>0</v>
      </c>
      <c r="AV160" s="453">
        <f ca="1">IF(AND($D160="Serviço",AV$12&lt;&gt;0,$H160&gt;0,OR(AUTOEVENTO&lt;&gt;"manual",$M160&lt;&gt;$A$15)),
        IF(Import.TipoArredondamento&lt;&gt;"TransfereGOV",
              ROUND(OFFSET($P160,0,AV$13),15-13*ORÇAMENTO!$AF$7)/$H160*OFFSET(ORÇAMENTO!$X$15,ROW(AV160)-ROW(AV$15),0),
              ROUND(ROUND(OFFSET($P160,0,AV$13),15-13*ORÇAMENTO!$AF$7)*OFFSET(ORÇAMENTO!$W$15,ROW(AV160)-ROW(AV$15),0),15-13*ORÇAMENTO!$AF$11)),
         0)</f>
        <v>0</v>
      </c>
      <c r="AW160" s="453">
        <f ca="1">IF(AND($D160="Serviço",AW$12&lt;&gt;0,$H160&gt;0,OR(AUTOEVENTO&lt;&gt;"manual",$M160&lt;&gt;$A$15)),
        IF(Import.TipoArredondamento&lt;&gt;"TransfereGOV",
              ROUND(OFFSET($P160,0,AW$13),15-13*ORÇAMENTO!$AF$7)/$H160*OFFSET(ORÇAMENTO!$X$15,ROW(AW160)-ROW(AW$15),0),
              ROUND(ROUND(OFFSET($P160,0,AW$13),15-13*ORÇAMENTO!$AF$7)*OFFSET(ORÇAMENTO!$W$15,ROW(AW160)-ROW(AW$15),0),15-13*ORÇAMENTO!$AF$11)),
         0)</f>
        <v>0</v>
      </c>
      <c r="AX160" s="453">
        <f ca="1">IF(AND($D160="Serviço",AX$12&lt;&gt;0,$H160&gt;0,OR(AUTOEVENTO&lt;&gt;"manual",$M160&lt;&gt;$A$15)),
        IF(Import.TipoArredondamento&lt;&gt;"TransfereGOV",
              ROUND(OFFSET($P160,0,AX$13),15-13*ORÇAMENTO!$AF$7)/$H160*OFFSET(ORÇAMENTO!$X$15,ROW(AX160)-ROW(AX$15),0),
              ROUND(ROUND(OFFSET($P160,0,AX$13),15-13*ORÇAMENTO!$AF$7)*OFFSET(ORÇAMENTO!$W$15,ROW(AX160)-ROW(AX$15),0),15-13*ORÇAMENTO!$AF$11)),
         0)</f>
        <v>0</v>
      </c>
      <c r="AY160" s="453">
        <f ca="1">IF(AND($D160="Serviço",AY$12&lt;&gt;0,$H160&gt;0,OR(AUTOEVENTO&lt;&gt;"manual",$M160&lt;&gt;$A$15)),
        IF(Import.TipoArredondamento&lt;&gt;"TransfereGOV",
              ROUND(OFFSET($P160,0,AY$13),15-13*ORÇAMENTO!$AF$7)/$H160*OFFSET(ORÇAMENTO!$X$15,ROW(AY160)-ROW(AY$15),0),
              ROUND(ROUND(OFFSET($P160,0,AY$13),15-13*ORÇAMENTO!$AF$7)*OFFSET(ORÇAMENTO!$W$15,ROW(AY160)-ROW(AY$15),0),15-13*ORÇAMENTO!$AF$11)),
         0)</f>
        <v>0</v>
      </c>
      <c r="AZ160" s="453">
        <f ca="1">IF(AND($D160="Serviço",AZ$12&lt;&gt;0,$H160&gt;0,OR(AUTOEVENTO&lt;&gt;"manual",$M160&lt;&gt;$A$15)),
        IF(Import.TipoArredondamento&lt;&gt;"TransfereGOV",
              ROUND(OFFSET($P160,0,AZ$13),15-13*ORÇAMENTO!$AF$7)/$H160*OFFSET(ORÇAMENTO!$X$15,ROW(AZ160)-ROW(AZ$15),0),
              ROUND(ROUND(OFFSET($P160,0,AZ$13),15-13*ORÇAMENTO!$AF$7)*OFFSET(ORÇAMENTO!$W$15,ROW(AZ160)-ROW(AZ$15),0),15-13*ORÇAMENTO!$AF$11)),
         0)</f>
        <v>0</v>
      </c>
      <c r="BA160" s="453">
        <f ca="1">IF(AND($D160="Serviço",BA$12&lt;&gt;0,$H160&gt;0,OR(AUTOEVENTO&lt;&gt;"manual",$M160&lt;&gt;$A$15)),
        IF(Import.TipoArredondamento&lt;&gt;"TransfereGOV",
              ROUND(OFFSET($P160,0,BA$13),15-13*ORÇAMENTO!$AF$7)/$H160*OFFSET(ORÇAMENTO!$X$15,ROW(BA160)-ROW(BA$15),0),
              ROUND(ROUND(OFFSET($P160,0,BA$13),15-13*ORÇAMENTO!$AF$7)*OFFSET(ORÇAMENTO!$W$15,ROW(BA160)-ROW(BA$15),0),15-13*ORÇAMENTO!$AF$11)),
         0)</f>
        <v>0</v>
      </c>
      <c r="BB160" s="453">
        <f ca="1">IF(AND($D160="Serviço",BB$12&lt;&gt;0,$H160&gt;0,OR(AUTOEVENTO&lt;&gt;"manual",$M160&lt;&gt;$A$15)),
        IF(Import.TipoArredondamento&lt;&gt;"TransfereGOV",
              ROUND(OFFSET($P160,0,BB$13),15-13*ORÇAMENTO!$AF$7)/$H160*OFFSET(ORÇAMENTO!$X$15,ROW(BB160)-ROW(BB$15),0),
              ROUND(ROUND(OFFSET($P160,0,BB$13),15-13*ORÇAMENTO!$AF$7)*OFFSET(ORÇAMENTO!$W$15,ROW(BB160)-ROW(BB$15),0),15-13*ORÇAMENTO!$AF$11)),
         0)</f>
        <v>0</v>
      </c>
      <c r="BC160" s="453">
        <f ca="1">IF(AND($D160="Serviço",BC$12&lt;&gt;0,$H160&gt;0,OR(AUTOEVENTO&lt;&gt;"manual",$M160&lt;&gt;$A$15)),
        IF(Import.TipoArredondamento&lt;&gt;"TransfereGOV",
              ROUND(OFFSET($P160,0,BC$13),15-13*ORÇAMENTO!$AF$7)/$H160*OFFSET(ORÇAMENTO!$X$15,ROW(BC160)-ROW(BC$15),0),
              ROUND(ROUND(OFFSET($P160,0,BC$13),15-13*ORÇAMENTO!$AF$7)*OFFSET(ORÇAMENTO!$W$15,ROW(BC160)-ROW(BC$15),0),15-13*ORÇAMENTO!$AF$11)),
         0)</f>
        <v>0</v>
      </c>
      <c r="BD160" s="453">
        <f ca="1">IF(AND($D160="Serviço",BD$12&lt;&gt;0,$H160&gt;0,OR(AUTOEVENTO&lt;&gt;"manual",$M160&lt;&gt;$A$15)),
        IF(Import.TipoArredondamento&lt;&gt;"TransfereGOV",
              ROUND(OFFSET($P160,0,BD$13),15-13*ORÇAMENTO!$AF$7)/$H160*OFFSET(ORÇAMENTO!$X$15,ROW(BD160)-ROW(BD$15),0),
              ROUND(ROUND(OFFSET($P160,0,BD$13),15-13*ORÇAMENTO!$AF$7)*OFFSET(ORÇAMENTO!$W$15,ROW(BD160)-ROW(BD$15),0),15-13*ORÇAMENTO!$AF$11)),
         0)</f>
        <v>0</v>
      </c>
      <c r="BE160" s="453">
        <f ca="1">IF(AND($D160="Serviço",BE$12&lt;&gt;0,$H160&gt;0,OR(AUTOEVENTO&lt;&gt;"manual",$M160&lt;&gt;$A$15)),
        IF(Import.TipoArredondamento&lt;&gt;"TransfereGOV",
              ROUND(OFFSET($P160,0,BE$13),15-13*ORÇAMENTO!$AF$7)/$H160*OFFSET(ORÇAMENTO!$X$15,ROW(BE160)-ROW(BE$15),0),
              ROUND(ROUND(OFFSET($P160,0,BE$13),15-13*ORÇAMENTO!$AF$7)*OFFSET(ORÇAMENTO!$W$15,ROW(BE160)-ROW(BE$15),0),15-13*ORÇAMENTO!$AF$11)),
         0)</f>
        <v>0</v>
      </c>
      <c r="BF160" s="453">
        <f ca="1">IF(AND($D160="Serviço",BF$12&lt;&gt;0,$H160&gt;0,OR(AUTOEVENTO&lt;&gt;"manual",$M160&lt;&gt;$A$15)),
        IF(Import.TipoArredondamento&lt;&gt;"TransfereGOV",
              ROUND(OFFSET($P160,0,BF$13),15-13*ORÇAMENTO!$AF$7)/$H160*OFFSET(ORÇAMENTO!$X$15,ROW(BF160)-ROW(BF$15),0),
              ROUND(ROUND(OFFSET($P160,0,BF$13),15-13*ORÇAMENTO!$AF$7)*OFFSET(ORÇAMENTO!$W$15,ROW(BF160)-ROW(BF$15),0),15-13*ORÇAMENTO!$AF$11)),
         0)</f>
        <v>0</v>
      </c>
      <c r="BG160" s="453">
        <f ca="1">IF(AND($D160="Serviço",BG$12&lt;&gt;0,$H160&gt;0,OR(AUTOEVENTO&lt;&gt;"manual",$M160&lt;&gt;$A$15)),
        IF(Import.TipoArredondamento&lt;&gt;"TransfereGOV",
              ROUND(OFFSET($P160,0,BG$13),15-13*ORÇAMENTO!$AF$7)/$H160*OFFSET(ORÇAMENTO!$X$15,ROW(BG160)-ROW(BG$15),0),
              ROUND(ROUND(OFFSET($P160,0,BG$13),15-13*ORÇAMENTO!$AF$7)*OFFSET(ORÇAMENTO!$W$15,ROW(BG160)-ROW(BG$15),0),15-13*ORÇAMENTO!$AF$11)),
         0)</f>
        <v>0</v>
      </c>
      <c r="BH160" s="453">
        <f ca="1">IF(AND($D160="Serviço",BH$12&lt;&gt;0,$H160&gt;0,OR(AUTOEVENTO&lt;&gt;"manual",$M160&lt;&gt;$A$15)),
        IF(Import.TipoArredondamento&lt;&gt;"TransfereGOV",
              ROUND(OFFSET($P160,0,BH$13),15-13*ORÇAMENTO!$AF$7)/$H160*OFFSET(ORÇAMENTO!$X$15,ROW(BH160)-ROW(BH$15),0),
              ROUND(ROUND(OFFSET($P160,0,BH$13),15-13*ORÇAMENTO!$AF$7)*OFFSET(ORÇAMENTO!$W$15,ROW(BH160)-ROW(BH$15),0),15-13*ORÇAMENTO!$AF$11)),
         0)</f>
        <v>0</v>
      </c>
      <c r="BI160" s="453">
        <f ca="1">IF(AND($D160="Serviço",BI$12&lt;&gt;0,$H160&gt;0,OR(AUTOEVENTO&lt;&gt;"manual",$M160&lt;&gt;$A$15)),
        IF(Import.TipoArredondamento&lt;&gt;"TransfereGOV",
              ROUND(OFFSET($P160,0,BI$13),15-13*ORÇAMENTO!$AF$7)/$H160*OFFSET(ORÇAMENTO!$X$15,ROW(BI160)-ROW(BI$15),0),
              ROUND(ROUND(OFFSET($P160,0,BI$13),15-13*ORÇAMENTO!$AF$7)*OFFSET(ORÇAMENTO!$W$15,ROW(BI160)-ROW(BI$15),0),15-13*ORÇAMENTO!$AF$11)),
         0)</f>
        <v>0</v>
      </c>
      <c r="BJ160" s="453">
        <f ca="1">IF(AND($D160="Serviço",BJ$12&lt;&gt;0,$H160&gt;0,OR(AUTOEVENTO&lt;&gt;"manual",$M160&lt;&gt;$A$15)),
        IF(Import.TipoArredondamento&lt;&gt;"TransfereGOV",
              ROUND(OFFSET($P160,0,BJ$13),15-13*ORÇAMENTO!$AF$7)/$H160*OFFSET(ORÇAMENTO!$X$15,ROW(BJ160)-ROW(BJ$15),0),
              ROUND(ROUND(OFFSET($P160,0,BJ$13),15-13*ORÇAMENTO!$AF$7)*OFFSET(ORÇAMENTO!$W$15,ROW(BJ160)-ROW(BJ$15),0),15-13*ORÇAMENTO!$AF$11)),
         0)</f>
        <v>0</v>
      </c>
      <c r="BK160" s="453">
        <f ca="1">IF(AND($D160="Serviço",BK$12&lt;&gt;0,$H160&gt;0,OR(AUTOEVENTO&lt;&gt;"manual",$M160&lt;&gt;$A$15)),
        IF(Import.TipoArredondamento&lt;&gt;"TransfereGOV",
              ROUND(OFFSET($P160,0,BK$13),15-13*ORÇAMENTO!$AF$7)/$H160*OFFSET(ORÇAMENTO!$X$15,ROW(BK160)-ROW(BK$15),0),
              ROUND(ROUND(OFFSET($P160,0,BK$13),15-13*ORÇAMENTO!$AF$7)*OFFSET(ORÇAMENTO!$W$15,ROW(BK160)-ROW(BK$15),0),15-13*ORÇAMENTO!$AF$11)),
         0)</f>
        <v>0</v>
      </c>
      <c r="BL160" s="453">
        <f ca="1">IF(AND($D160="Serviço",BL$12&lt;&gt;0,$H160&gt;0,OR(AUTOEVENTO&lt;&gt;"manual",$M160&lt;&gt;$A$15)),
        IF(Import.TipoArredondamento&lt;&gt;"TransfereGOV",
              ROUND(OFFSET($P160,0,BL$13),15-13*ORÇAMENTO!$AF$7)/$H160*OFFSET(ORÇAMENTO!$X$15,ROW(BL160)-ROW(BL$15),0),
              ROUND(ROUND(OFFSET($P160,0,BL$13),15-13*ORÇAMENTO!$AF$7)*OFFSET(ORÇAMENTO!$W$15,ROW(BL160)-ROW(BL$15),0),15-13*ORÇAMENTO!$AF$11)),
         0)</f>
        <v>0</v>
      </c>
      <c r="BM160" s="453">
        <f ca="1">IF(AND($D160="Serviço",BM$12&lt;&gt;0,$H160&gt;0,OR(AUTOEVENTO&lt;&gt;"manual",$M160&lt;&gt;$A$15)),
        IF(Import.TipoArredondamento&lt;&gt;"TransfereGOV",
              ROUND(OFFSET($P160,0,BM$13),15-13*ORÇAMENTO!$AF$7)/$H160*OFFSET(ORÇAMENTO!$X$15,ROW(BM160)-ROW(BM$15),0),
              ROUND(ROUND(OFFSET($P160,0,BM$13),15-13*ORÇAMENTO!$AF$7)*OFFSET(ORÇAMENTO!$W$15,ROW(BM160)-ROW(BM$15),0),15-13*ORÇAMENTO!$AF$11)),
         0)</f>
        <v>0</v>
      </c>
      <c r="BN160" s="453">
        <f ca="1">IF(AND($D160="Serviço",BN$12&lt;&gt;0,$H160&gt;0,OR(AUTOEVENTO&lt;&gt;"manual",$M160&lt;&gt;$A$15)),
        IF(Import.TipoArredondamento&lt;&gt;"TransfereGOV",
              ROUND(OFFSET($P160,0,BN$13),15-13*ORÇAMENTO!$AF$7)/$H160*OFFSET(ORÇAMENTO!$X$15,ROW(BN160)-ROW(BN$15),0),
              ROUND(ROUND(OFFSET($P160,0,BN$13),15-13*ORÇAMENTO!$AF$7)*OFFSET(ORÇAMENTO!$W$15,ROW(BN160)-ROW(BN$15),0),15-13*ORÇAMENTO!$AF$11)),
         0)</f>
        <v>0</v>
      </c>
      <c r="BO160" s="453">
        <f ca="1">IF(AND($D160="Serviço",BO$12&lt;&gt;0,$H160&gt;0,OR(AUTOEVENTO&lt;&gt;"manual",$M160&lt;&gt;$A$15)),
        IF(Import.TipoArredondamento&lt;&gt;"TransfereGOV",
              ROUND(OFFSET($P160,0,BO$13),15-13*ORÇAMENTO!$AF$7)/$H160*OFFSET(ORÇAMENTO!$X$15,ROW(BO160)-ROW(BO$15),0),
              ROUND(ROUND(OFFSET($P160,0,BO$13),15-13*ORÇAMENTO!$AF$7)*OFFSET(ORÇAMENTO!$W$15,ROW(BO160)-ROW(BO$15),0),15-13*ORÇAMENTO!$AF$11)),
         0)</f>
        <v>0</v>
      </c>
      <c r="BP160" s="453">
        <f ca="1">IF(AND($D160="Serviço",BP$12&lt;&gt;0,$H160&gt;0,OR(AUTOEVENTO&lt;&gt;"manual",$M160&lt;&gt;$A$15)),
        IF(Import.TipoArredondamento&lt;&gt;"TransfereGOV",
              ROUND(OFFSET($P160,0,BP$13),15-13*ORÇAMENTO!$AF$7)/$H160*OFFSET(ORÇAMENTO!$X$15,ROW(BP160)-ROW(BP$15),0),
              ROUND(ROUND(OFFSET($P160,0,BP$13),15-13*ORÇAMENTO!$AF$7)*OFFSET(ORÇAMENTO!$W$15,ROW(BP160)-ROW(BP$15),0),15-13*ORÇAMENTO!$AF$11)),
         0)</f>
        <v>0</v>
      </c>
      <c r="BQ160" s="453">
        <f ca="1">IF(AND($D160="Serviço",BQ$12&lt;&gt;0,$H160&gt;0,OR(AUTOEVENTO&lt;&gt;"manual",$M160&lt;&gt;$A$15)),
        IF(Import.TipoArredondamento&lt;&gt;"TransfereGOV",
              ROUND(OFFSET($P160,0,BQ$13),15-13*ORÇAMENTO!$AF$7)/$H160*OFFSET(ORÇAMENTO!$X$15,ROW(BQ160)-ROW(BQ$15),0),
              ROUND(ROUND(OFFSET($P160,0,BQ$13),15-13*ORÇAMENTO!$AF$7)*OFFSET(ORÇAMENTO!$W$15,ROW(BQ160)-ROW(BQ$15),0),15-13*ORÇAMENTO!$AF$11)),
         0)</f>
        <v>0</v>
      </c>
      <c r="BS160" s="171">
        <f ca="1">IF(OR($D160&lt;&gt;"Serviço",AND(AUTOEVENTO="Manual",$M160=$A$15)),0,
         IF(OFFSET(CRONOPLE!$F$15,$M160-$A$15,BS$13)=0,10^12,OFFSET(CRONOPLE!$F$15,$M160-$A$15,BS$13)))</f>
        <v>1</v>
      </c>
      <c r="BT160" s="171">
        <f ca="1">IF(OR($D160&lt;&gt;"Serviço",AND(AUTOEVENTO="Manual",$M160=$A$15)),0,
         IF(OFFSET(CRONOPLE!$F$15,$M160-$A$15,BT$13)=0,10^12,OFFSET(CRONOPLE!$F$15,$M160-$A$15,BT$13)))</f>
        <v>2</v>
      </c>
      <c r="BU160" s="171">
        <f ca="1">IF(OR($D160&lt;&gt;"Serviço",AND(AUTOEVENTO="Manual",$M160=$A$15)),0,
         IF(OFFSET(CRONOPLE!$F$15,$M160-$A$15,BU$13)=0,10^12,OFFSET(CRONOPLE!$F$15,$M160-$A$15,BU$13)))</f>
        <v>3</v>
      </c>
      <c r="BV160" s="171">
        <f ca="1">IF(OR($D160&lt;&gt;"Serviço",AND(AUTOEVENTO="Manual",$M160=$A$15)),0,
         IF(OFFSET(CRONOPLE!$F$15,$M160-$A$15,BV$13)=0,10^12,OFFSET(CRONOPLE!$F$15,$M160-$A$15,BV$13)))</f>
        <v>4</v>
      </c>
      <c r="BW160" s="171">
        <f ca="1">IF(OR($D160&lt;&gt;"Serviço",AND(AUTOEVENTO="Manual",$M160=$A$15)),0,
         IF(OFFSET(CRONOPLE!$F$15,$M160-$A$15,BW$13)=0,10^12,OFFSET(CRONOPLE!$F$15,$M160-$A$15,BW$13)))</f>
        <v>5</v>
      </c>
      <c r="BX160" s="171">
        <f ca="1">IF(OR($D160&lt;&gt;"Serviço",AND(AUTOEVENTO="Manual",$M160=$A$15)),0,
         IF(OFFSET(CRONOPLE!$F$15,$M160-$A$15,BX$13)=0,10^12,OFFSET(CRONOPLE!$F$15,$M160-$A$15,BX$13)))</f>
        <v>6</v>
      </c>
      <c r="BY160" s="171">
        <f ca="1">IF(OR($D160&lt;&gt;"Serviço",AND(AUTOEVENTO="Manual",$M160=$A$15)),0,
         IF(OFFSET(CRONOPLE!$F$15,$M160-$A$15,BY$13)=0,10^12,OFFSET(CRONOPLE!$F$15,$M160-$A$15,BY$13)))</f>
        <v>7</v>
      </c>
      <c r="BZ160" s="171">
        <f ca="1">IF(OR($D160&lt;&gt;"Serviço",AND(AUTOEVENTO="Manual",$M160=$A$15)),0,
         IF(OFFSET(CRONOPLE!$F$15,$M160-$A$15,BZ$13)=0,10^12,OFFSET(CRONOPLE!$F$15,$M160-$A$15,BZ$13)))</f>
        <v>8</v>
      </c>
      <c r="CA160" s="171">
        <f ca="1">IF(OR($D160&lt;&gt;"Serviço",AND(AUTOEVENTO="Manual",$M160=$A$15)),0,
         IF(OFFSET(CRONOPLE!$F$15,$M160-$A$15,CA$13)=0,10^12,OFFSET(CRONOPLE!$F$15,$M160-$A$15,CA$13)))</f>
        <v>9</v>
      </c>
      <c r="CB160" s="171">
        <f ca="1">IF(OR($D160&lt;&gt;"Serviço",AND(AUTOEVENTO="Manual",$M160=$A$15)),0,
         IF(OFFSET(CRONOPLE!$F$15,$M160-$A$15,CB$13)=0,10^12,OFFSET(CRONOPLE!$F$15,$M160-$A$15,CB$13)))</f>
        <v>10</v>
      </c>
      <c r="CC160" s="171">
        <f ca="1">IF(OR($D160&lt;&gt;"Serviço",AND(AUTOEVENTO="Manual",$M160=$A$15)),0,
         IF(OFFSET(CRONOPLE!$F$15,$M160-$A$15,CC$13)=0,10^12,OFFSET(CRONOPLE!$F$15,$M160-$A$15,CC$13)))</f>
        <v>11</v>
      </c>
      <c r="CD160" s="171">
        <f ca="1">IF(OR($D160&lt;&gt;"Serviço",AND(AUTOEVENTO="Manual",$M160=$A$15)),0,
         IF(OFFSET(CRONOPLE!$F$15,$M160-$A$15,CD$13)=0,10^12,OFFSET(CRONOPLE!$F$15,$M160-$A$15,CD$13)))</f>
        <v>12</v>
      </c>
      <c r="CE160" s="171">
        <f ca="1">IF(OR($D160&lt;&gt;"Serviço",AND(AUTOEVENTO="Manual",$M160=$A$15)),0,
         IF(OFFSET(CRONOPLE!$F$15,$M160-$A$15,CE$13)=0,10^12,OFFSET(CRONOPLE!$F$15,$M160-$A$15,CE$13)))</f>
        <v>13</v>
      </c>
      <c r="CF160" s="171">
        <f ca="1">IF(OR($D160&lt;&gt;"Serviço",AND(AUTOEVENTO="Manual",$M160=$A$15)),0,
         IF(OFFSET(CRONOPLE!$F$15,$M160-$A$15,CF$13)=0,10^12,OFFSET(CRONOPLE!$F$15,$M160-$A$15,CF$13)))</f>
        <v>14</v>
      </c>
      <c r="CG160" s="171">
        <f ca="1">IF(OR($D160&lt;&gt;"Serviço",AND(AUTOEVENTO="Manual",$M160=$A$15)),0,
         IF(OFFSET(CRONOPLE!$F$15,$M160-$A$15,CG$13)=0,10^12,OFFSET(CRONOPLE!$F$15,$M160-$A$15,CG$13)))</f>
        <v>15</v>
      </c>
      <c r="CH160" s="171">
        <f ca="1">IF(OR($D160&lt;&gt;"Serviço",AND(AUTOEVENTO="Manual",$M160=$A$15)),0,
         IF(OFFSET(CRONOPLE!$F$15,$M160-$A$15,CH$13)=0,10^12,OFFSET(CRONOPLE!$F$15,$M160-$A$15,CH$13)))</f>
        <v>16</v>
      </c>
      <c r="CI160" s="171">
        <f ca="1">IF(OR($D160&lt;&gt;"Serviço",AND(AUTOEVENTO="Manual",$M160=$A$15)),0,
         IF(OFFSET(CRONOPLE!$F$15,$M160-$A$15,CI$13)=0,10^12,OFFSET(CRONOPLE!$F$15,$M160-$A$15,CI$13)))</f>
        <v>17</v>
      </c>
      <c r="CJ160" s="171">
        <f ca="1">IF(OR($D160&lt;&gt;"Serviço",AND(AUTOEVENTO="Manual",$M160=$A$15)),0,
         IF(OFFSET(CRONOPLE!$F$15,$M160-$A$15,CJ$13)=0,10^12,OFFSET(CRONOPLE!$F$15,$M160-$A$15,CJ$13)))</f>
        <v>18</v>
      </c>
      <c r="CK160" s="171">
        <f ca="1">IF(OR($D160&lt;&gt;"Serviço",AND(AUTOEVENTO="Manual",$M160=$A$15)),0,
         IF(OFFSET(CRONOPLE!$F$15,$M160-$A$15,CK$13)=0,10^12,OFFSET(CRONOPLE!$F$15,$M160-$A$15,CK$13)))</f>
        <v>19</v>
      </c>
      <c r="CL160" s="171">
        <f ca="1">IF(OR($D160&lt;&gt;"Serviço",AND(AUTOEVENTO="Manual",$M160=$A$15)),0,
         IF(OFFSET(CRONOPLE!$F$15,$M160-$A$15,CL$13)=0,10^12,OFFSET(CRONOPLE!$F$15,$M160-$A$15,CL$13)))</f>
        <v>20</v>
      </c>
      <c r="CM160" s="171">
        <f ca="1">IF(OR($D160&lt;&gt;"Serviço",AND(AUTOEVENTO="Manual",$M160=$A$15)),0,
         IF(OFFSET(CRONOPLE!$F$15,$M160-$A$15,CM$13)=0,10^12,OFFSET(CRONOPLE!$F$15,$M160-$A$15,CM$13)))</f>
        <v>1000000000000</v>
      </c>
      <c r="CN160" s="171">
        <f ca="1">IF(OR($D160&lt;&gt;"Serviço",AND(AUTOEVENTO="Manual",$M160=$A$15)),0,
         IF(OFFSET(CRONOPLE!$F$15,$M160-$A$15,CN$13)=0,10^12,OFFSET(CRONOPLE!$F$15,$M160-$A$15,CN$13)))</f>
        <v>1000000000000</v>
      </c>
      <c r="CO160" s="171">
        <f ca="1">IF(OR($D160&lt;&gt;"Serviço",AND(AUTOEVENTO="Manual",$M160=$A$15)),0,
         IF(OFFSET(CRONOPLE!$F$15,$M160-$A$15,CO$13)=0,10^12,OFFSET(CRONOPLE!$F$15,$M160-$A$15,CO$13)))</f>
        <v>1000000000000</v>
      </c>
      <c r="CP160" s="171">
        <f ca="1">IF(OR($D160&lt;&gt;"Serviço",AND(AUTOEVENTO="Manual",$M160=$A$15)),0,
         IF(OFFSET(CRONOPLE!$F$15,$M160-$A$15,CP$13)=0,10^12,OFFSET(CRONOPLE!$F$15,$M160-$A$15,CP$13)))</f>
        <v>1000000000000</v>
      </c>
      <c r="CQ160" s="171">
        <f ca="1">IF(OR($D160&lt;&gt;"Serviço",AND(AUTOEVENTO="Manual",$M160=$A$15)),0,
         IF(OFFSET(CRONOPLE!$F$15,$M160-$A$15,CQ$13)=0,10^12,OFFSET(CRONOPLE!$F$15,$M160-$A$15,CQ$13)))</f>
        <v>1000000000000</v>
      </c>
      <c r="CR160" s="171">
        <f ca="1">IF(OR($D160&lt;&gt;"Serviço",AND(AUTOEVENTO="Manual",$M160=$A$15)),0,
         IF(OFFSET(CRONOPLE!$F$15,$M160-$A$15,CR$13)=0,10^12,OFFSET(CRONOPLE!$F$15,$M160-$A$15,CR$13)))</f>
        <v>1000000000000</v>
      </c>
      <c r="CT160" s="172" cm="1">
        <f t="array" aca="1" ref="CT160" ca="1">IF(OR($D160&lt;&gt;"Serviço",AND(AUTOEVENTO="Manual",$M160=$A$15),$M160&gt;(ROW(PLE.lastrow)-ROW(PLE.firstrow))),0,
           IF(OFFSET(PLE!$G$15,$M160-$A$15,CT$13)="",10^12,OFFSET(PLE!$G$15,$M160-$A$15,CT$13)))</f>
        <v>1000000000000</v>
      </c>
      <c r="CU160" s="172" cm="1">
        <f t="array" aca="1" ref="CU160" ca="1">IF(OR($D160&lt;&gt;"Serviço",AND(AUTOEVENTO="Manual",$M160=$A$15),$M160&gt;(ROW(PLE.lastrow)-ROW(PLE.firstrow))),0,
           IF(OFFSET(PLE!$G$15,$M160-$A$15,CU$13)="",10^12,OFFSET(PLE!$G$15,$M160-$A$15,CU$13)))</f>
        <v>1000000000000</v>
      </c>
      <c r="CV160" s="172" cm="1">
        <f t="array" aca="1" ref="CV160" ca="1">IF(OR($D160&lt;&gt;"Serviço",AND(AUTOEVENTO="Manual",$M160=$A$15),$M160&gt;(ROW(PLE.lastrow)-ROW(PLE.firstrow))),0,
           IF(OFFSET(PLE!$G$15,$M160-$A$15,CV$13)="",10^12,OFFSET(PLE!$G$15,$M160-$A$15,CV$13)))</f>
        <v>1000000000000</v>
      </c>
      <c r="CW160" s="172" cm="1">
        <f t="array" aca="1" ref="CW160" ca="1">IF(OR($D160&lt;&gt;"Serviço",AND(AUTOEVENTO="Manual",$M160=$A$15),$M160&gt;(ROW(PLE.lastrow)-ROW(PLE.firstrow))),0,
           IF(OFFSET(PLE!$G$15,$M160-$A$15,CW$13)="",10^12,OFFSET(PLE!$G$15,$M160-$A$15,CW$13)))</f>
        <v>1000000000000</v>
      </c>
      <c r="CX160" s="172" cm="1">
        <f t="array" aca="1" ref="CX160" ca="1">IF(OR($D160&lt;&gt;"Serviço",AND(AUTOEVENTO="Manual",$M160=$A$15),$M160&gt;(ROW(PLE.lastrow)-ROW(PLE.firstrow))),0,
           IF(OFFSET(PLE!$G$15,$M160-$A$15,CX$13)="",10^12,OFFSET(PLE!$G$15,$M160-$A$15,CX$13)))</f>
        <v>1000000000000</v>
      </c>
      <c r="CY160" s="172" cm="1">
        <f t="array" aca="1" ref="CY160" ca="1">IF(OR($D160&lt;&gt;"Serviço",AND(AUTOEVENTO="Manual",$M160=$A$15),$M160&gt;(ROW(PLE.lastrow)-ROW(PLE.firstrow))),0,
           IF(OFFSET(PLE!$G$15,$M160-$A$15,CY$13)="",10^12,OFFSET(PLE!$G$15,$M160-$A$15,CY$13)))</f>
        <v>1000000000000</v>
      </c>
      <c r="CZ160" s="172" cm="1">
        <f t="array" aca="1" ref="CZ160" ca="1">IF(OR($D160&lt;&gt;"Serviço",AND(AUTOEVENTO="Manual",$M160=$A$15),$M160&gt;(ROW(PLE.lastrow)-ROW(PLE.firstrow))),0,
           IF(OFFSET(PLE!$G$15,$M160-$A$15,CZ$13)="",10^12,OFFSET(PLE!$G$15,$M160-$A$15,CZ$13)))</f>
        <v>1000000000000</v>
      </c>
      <c r="DA160" s="172" cm="1">
        <f t="array" aca="1" ref="DA160" ca="1">IF(OR($D160&lt;&gt;"Serviço",AND(AUTOEVENTO="Manual",$M160=$A$15),$M160&gt;(ROW(PLE.lastrow)-ROW(PLE.firstrow))),0,
           IF(OFFSET(PLE!$G$15,$M160-$A$15,DA$13)="",10^12,OFFSET(PLE!$G$15,$M160-$A$15,DA$13)))</f>
        <v>1000000000000</v>
      </c>
      <c r="DB160" s="172" cm="1">
        <f t="array" aca="1" ref="DB160" ca="1">IF(OR($D160&lt;&gt;"Serviço",AND(AUTOEVENTO="Manual",$M160=$A$15),$M160&gt;(ROW(PLE.lastrow)-ROW(PLE.firstrow))),0,
           IF(OFFSET(PLE!$G$15,$M160-$A$15,DB$13)="",10^12,OFFSET(PLE!$G$15,$M160-$A$15,DB$13)))</f>
        <v>1000000000000</v>
      </c>
      <c r="DC160" s="172" cm="1">
        <f t="array" aca="1" ref="DC160" ca="1">IF(OR($D160&lt;&gt;"Serviço",AND(AUTOEVENTO="Manual",$M160=$A$15),$M160&gt;(ROW(PLE.lastrow)-ROW(PLE.firstrow))),0,
           IF(OFFSET(PLE!$G$15,$M160-$A$15,DC$13)="",10^12,OFFSET(PLE!$G$15,$M160-$A$15,DC$13)))</f>
        <v>1000000000000</v>
      </c>
      <c r="DD160" s="172" cm="1">
        <f t="array" aca="1" ref="DD160" ca="1">IF(OR($D160&lt;&gt;"Serviço",AND(AUTOEVENTO="Manual",$M160=$A$15),$M160&gt;(ROW(PLE.lastrow)-ROW(PLE.firstrow))),0,
           IF(OFFSET(PLE!$G$15,$M160-$A$15,DD$13)="",10^12,OFFSET(PLE!$G$15,$M160-$A$15,DD$13)))</f>
        <v>1000000000000</v>
      </c>
      <c r="DE160" s="172" cm="1">
        <f t="array" aca="1" ref="DE160" ca="1">IF(OR($D160&lt;&gt;"Serviço",AND(AUTOEVENTO="Manual",$M160=$A$15),$M160&gt;(ROW(PLE.lastrow)-ROW(PLE.firstrow))),0,
           IF(OFFSET(PLE!$G$15,$M160-$A$15,DE$13)="",10^12,OFFSET(PLE!$G$15,$M160-$A$15,DE$13)))</f>
        <v>1000000000000</v>
      </c>
      <c r="DF160" s="172" cm="1">
        <f t="array" aca="1" ref="DF160" ca="1">IF(OR($D160&lt;&gt;"Serviço",AND(AUTOEVENTO="Manual",$M160=$A$15),$M160&gt;(ROW(PLE.lastrow)-ROW(PLE.firstrow))),0,
           IF(OFFSET(PLE!$G$15,$M160-$A$15,DF$13)="",10^12,OFFSET(PLE!$G$15,$M160-$A$15,DF$13)))</f>
        <v>1000000000000</v>
      </c>
      <c r="DG160" s="172" cm="1">
        <f t="array" aca="1" ref="DG160" ca="1">IF(OR($D160&lt;&gt;"Serviço",AND(AUTOEVENTO="Manual",$M160=$A$15),$M160&gt;(ROW(PLE.lastrow)-ROW(PLE.firstrow))),0,
           IF(OFFSET(PLE!$G$15,$M160-$A$15,DG$13)="",10^12,OFFSET(PLE!$G$15,$M160-$A$15,DG$13)))</f>
        <v>1000000000000</v>
      </c>
      <c r="DH160" s="172" cm="1">
        <f t="array" aca="1" ref="DH160" ca="1">IF(OR($D160&lt;&gt;"Serviço",AND(AUTOEVENTO="Manual",$M160=$A$15),$M160&gt;(ROW(PLE.lastrow)-ROW(PLE.firstrow))),0,
           IF(OFFSET(PLE!$G$15,$M160-$A$15,DH$13)="",10^12,OFFSET(PLE!$G$15,$M160-$A$15,DH$13)))</f>
        <v>1000000000000</v>
      </c>
      <c r="DI160" s="172" cm="1">
        <f t="array" aca="1" ref="DI160" ca="1">IF(OR($D160&lt;&gt;"Serviço",AND(AUTOEVENTO="Manual",$M160=$A$15),$M160&gt;(ROW(PLE.lastrow)-ROW(PLE.firstrow))),0,
           IF(OFFSET(PLE!$G$15,$M160-$A$15,DI$13)="",10^12,OFFSET(PLE!$G$15,$M160-$A$15,DI$13)))</f>
        <v>1000000000000</v>
      </c>
      <c r="DJ160" s="172" cm="1">
        <f t="array" aca="1" ref="DJ160" ca="1">IF(OR($D160&lt;&gt;"Serviço",AND(AUTOEVENTO="Manual",$M160=$A$15),$M160&gt;(ROW(PLE.lastrow)-ROW(PLE.firstrow))),0,
           IF(OFFSET(PLE!$G$15,$M160-$A$15,DJ$13)="",10^12,OFFSET(PLE!$G$15,$M160-$A$15,DJ$13)))</f>
        <v>1000000000000</v>
      </c>
      <c r="DK160" s="172" cm="1">
        <f t="array" aca="1" ref="DK160" ca="1">IF(OR($D160&lt;&gt;"Serviço",AND(AUTOEVENTO="Manual",$M160=$A$15),$M160&gt;(ROW(PLE.lastrow)-ROW(PLE.firstrow))),0,
           IF(OFFSET(PLE!$G$15,$M160-$A$15,DK$13)="",10^12,OFFSET(PLE!$G$15,$M160-$A$15,DK$13)))</f>
        <v>1000000000000</v>
      </c>
      <c r="DL160" s="172" cm="1">
        <f t="array" aca="1" ref="DL160" ca="1">IF(OR($D160&lt;&gt;"Serviço",AND(AUTOEVENTO="Manual",$M160=$A$15),$M160&gt;(ROW(PLE.lastrow)-ROW(PLE.firstrow))),0,
           IF(OFFSET(PLE!$G$15,$M160-$A$15,DL$13)="",10^12,OFFSET(PLE!$G$15,$M160-$A$15,DL$13)))</f>
        <v>1000000000000</v>
      </c>
      <c r="DM160" s="172" cm="1">
        <f t="array" aca="1" ref="DM160" ca="1">IF(OR($D160&lt;&gt;"Serviço",AND(AUTOEVENTO="Manual",$M160=$A$15),$M160&gt;(ROW(PLE.lastrow)-ROW(PLE.firstrow))),0,
           IF(OFFSET(PLE!$G$15,$M160-$A$15,DM$13)="",10^12,OFFSET(PLE!$G$15,$M160-$A$15,DM$13)))</f>
        <v>1000000000000</v>
      </c>
      <c r="DN160" s="172" cm="1">
        <f t="array" aca="1" ref="DN160" ca="1">IF(OR($D160&lt;&gt;"Serviço",AND(AUTOEVENTO="Manual",$M160=$A$15),$M160&gt;(ROW(PLE.lastrow)-ROW(PLE.firstrow))),0,
           IF(OFFSET(PLE!$G$15,$M160-$A$15,DN$13)="",10^12,OFFSET(PLE!$G$15,$M160-$A$15,DN$13)))</f>
        <v>1000000000000</v>
      </c>
      <c r="DO160" s="172" cm="1">
        <f t="array" aca="1" ref="DO160" ca="1">IF(OR($D160&lt;&gt;"Serviço",AND(AUTOEVENTO="Manual",$M160=$A$15),$M160&gt;(ROW(PLE.lastrow)-ROW(PLE.firstrow))),0,
           IF(OFFSET(PLE!$G$15,$M160-$A$15,DO$13)="",10^12,OFFSET(PLE!$G$15,$M160-$A$15,DO$13)))</f>
        <v>1000000000000</v>
      </c>
      <c r="DP160" s="172" cm="1">
        <f t="array" aca="1" ref="DP160" ca="1">IF(OR($D160&lt;&gt;"Serviço",AND(AUTOEVENTO="Manual",$M160=$A$15),$M160&gt;(ROW(PLE.lastrow)-ROW(PLE.firstrow))),0,
           IF(OFFSET(PLE!$G$15,$M160-$A$15,DP$13)="",10^12,OFFSET(PLE!$G$15,$M160-$A$15,DP$13)))</f>
        <v>1000000000000</v>
      </c>
      <c r="DQ160" s="172" cm="1">
        <f t="array" aca="1" ref="DQ160" ca="1">IF(OR($D160&lt;&gt;"Serviço",AND(AUTOEVENTO="Manual",$M160=$A$15),$M160&gt;(ROW(PLE.lastrow)-ROW(PLE.firstrow))),0,
           IF(OFFSET(PLE!$G$15,$M160-$A$15,DQ$13)="",10^12,OFFSET(PLE!$G$15,$M160-$A$15,DQ$13)))</f>
        <v>1000000000000</v>
      </c>
      <c r="DR160" s="172" cm="1">
        <f t="array" aca="1" ref="DR160" ca="1">IF(OR($D160&lt;&gt;"Serviço",AND(AUTOEVENTO="Manual",$M160=$A$15),$M160&gt;(ROW(PLE.lastrow)-ROW(PLE.firstrow))),0,
           IF(OFFSET(PLE!$G$15,$M160-$A$15,DR$13)="",10^12,OFFSET(PLE!$G$15,$M160-$A$15,DR$13)))</f>
        <v>1000000000000</v>
      </c>
      <c r="DS160" s="172" cm="1">
        <f t="array" aca="1" ref="DS160" ca="1">IF(OR($D160&lt;&gt;"Serviço",AND(AUTOEVENTO="Manual",$M160=$A$15),$M160&gt;(ROW(PLE.lastrow)-ROW(PLE.firstrow))),0,
           IF(OFFSET(PLE!$G$15,$M160-$A$15,DS$13)="",10^12,OFFSET(PLE!$G$15,$M160-$A$15,DS$13)))</f>
        <v>1000000000000</v>
      </c>
    </row>
    <row r="161" spans="1:123" ht="38.25" x14ac:dyDescent="0.2">
      <c r="A161" s="7">
        <f t="shared" ca="1" si="16"/>
        <v>9</v>
      </c>
      <c r="B161" s="7" t="str">
        <f ca="1">OFFSET(ORÇAMENTO!C$15,$L161,0)</f>
        <v>S</v>
      </c>
      <c r="C161" s="7" t="str">
        <f ca="1">OFFSET(ORÇAMENTO!L$15,$L161,0)</f>
        <v/>
      </c>
      <c r="D161" s="116" t="str">
        <f ca="1">OFFSET(ORÇAMENTO!N$15,$L161,0)</f>
        <v>Serviço</v>
      </c>
      <c r="E161" s="117" t="str">
        <f ca="1">OFFSET(ORÇAMENTO!O$15,$L161,0)</f>
        <v>-</v>
      </c>
      <c r="F161" s="163" t="str">
        <f ca="1">OFFSET(ORÇAMENTO!R$15,$L161,0)</f>
        <v>(Código não identificado nas referências)</v>
      </c>
      <c r="G161" s="164" t="str">
        <f ca="1">IF($D161&lt;&gt;"Serviço","",OFFSET(ORÇAMENTO!S$15,$L161,0))</f>
        <v>-</v>
      </c>
      <c r="H161" s="122" cm="1">
        <f t="array" aca="1" ref="H161" ca="1">IF($D161&lt;&gt;"Serviço",0,IF(ACOMPANHAMENTO="BM",ROUND(OFFSET(ORÇAMENTO!AJ$15,$L161,0),15-13*ORÇAMENTO!$AF$7),IF(IFERROR(CÁLCULO.FrentesPreenchidas,0)=0,0,SUM(ROUND(OFFSET($P161,0,1,1,CÁLCULO.FrentesPreenchidas),15-13*ORÇAMENTO!$AF$7)))))</f>
        <v>166.00000000000003</v>
      </c>
      <c r="I161" s="468" t="s">
        <v>1235</v>
      </c>
      <c r="J161" s="651" t="str" cm="1">
        <f t="array" aca="1" ref="J161" ca="1">IF(OR(B161&lt;&gt;"S",CÁLCULO.FrentesPreenchidas=0),"",IF(AND(ACOMPANHAMENTO="PLE",AUTOEVENTO="Manual",OR(H161&gt;0,ORÇAMENTO!AC161="QUANT."),OR(K161="",M161=0,N161="")),"►E",IF(AND(ACOMPANHAMENTO="PLE",ORÇAMENTO!AC161="QUANT."),"►Q",IF(AND(ACOMPANHAMENTO="PLE",H161&lt;&gt;SUMPRODUCT(($Q$1:$AQ$1=1)*ROUND(Q161:AQ161,15))),"►S",IF(AND(COUNTIF($P$11:$AQ$11,"▼")=0,H161&gt;0,I161=""),"◄M","")))))</f>
        <v/>
      </c>
      <c r="K161" s="652" t="s">
        <v>1257</v>
      </c>
      <c r="L161" s="165">
        <f t="shared" ca="1" si="17"/>
        <v>146</v>
      </c>
      <c r="M161" s="166">
        <f ca="1">IF($D161&lt;&gt;"Serviço","",
          IF(AUTOEVENTO="manual",$A161,
                IF(ISERROR(MATCH($A161,$A$15:OFFSET($A161,-1,0),0)),MAX($M$15:OFFSET(M161,-1,0))+1,
                      INDEX($M$15:OFFSET(M161,-1,0),MATCH($A161,$A$15:OFFSET($A161,-1,0),0)))))</f>
        <v>9</v>
      </c>
      <c r="N161" s="167" t="str">
        <f ca="1">IF($D161&lt;&gt;"Serviço","",
         IF(AUTOEVENTO="Manual",
                IF($A161=0,"&lt;-- defina o número do agrupador",
                       OFFSET(EVENTOS!$D$15,$A161-$A$15,0)),
                OFFSET($F$15,$A161,0)))</f>
        <v>INSTALAÇÕES</v>
      </c>
      <c r="O161" s="168"/>
      <c r="Q161" s="168">
        <v>8.3000000000000007</v>
      </c>
      <c r="R161" s="169">
        <v>8.3000000000000007</v>
      </c>
      <c r="S161" s="169">
        <v>8.3000000000000007</v>
      </c>
      <c r="T161" s="169">
        <v>8.3000000000000007</v>
      </c>
      <c r="U161" s="169">
        <v>8.3000000000000007</v>
      </c>
      <c r="V161" s="169">
        <v>8.3000000000000007</v>
      </c>
      <c r="W161" s="169">
        <v>8.3000000000000007</v>
      </c>
      <c r="X161" s="169">
        <v>8.3000000000000007</v>
      </c>
      <c r="Y161" s="169">
        <v>8.3000000000000007</v>
      </c>
      <c r="Z161" s="170">
        <v>8.3000000000000007</v>
      </c>
      <c r="AA161" s="169">
        <v>8.3000000000000007</v>
      </c>
      <c r="AB161" s="169">
        <v>8.3000000000000007</v>
      </c>
      <c r="AC161" s="169">
        <v>8.3000000000000007</v>
      </c>
      <c r="AD161" s="169">
        <v>8.3000000000000007</v>
      </c>
      <c r="AE161" s="169">
        <v>8.3000000000000007</v>
      </c>
      <c r="AF161" s="169">
        <v>8.3000000000000007</v>
      </c>
      <c r="AG161" s="169">
        <v>8.3000000000000007</v>
      </c>
      <c r="AH161" s="170">
        <v>8.3000000000000007</v>
      </c>
      <c r="AI161" s="169">
        <v>8.3000000000000007</v>
      </c>
      <c r="AJ161" s="169">
        <v>8.3000000000000007</v>
      </c>
      <c r="AK161" s="169"/>
      <c r="AL161" s="169"/>
      <c r="AM161" s="169"/>
      <c r="AN161" s="169"/>
      <c r="AO161" s="169"/>
      <c r="AP161" s="170"/>
      <c r="AR161" s="453">
        <f ca="1">IF(AND($D161="Serviço",AR$12&lt;&gt;0,$H161&gt;0,OR(AUTOEVENTO&lt;&gt;"manual",$M161&lt;&gt;$A$15)),
        IF(Import.TipoArredondamento&lt;&gt;"TransfereGOV",
              ROUND(OFFSET($P161,0,AR$13),15-13*ORÇAMENTO!$AF$7)/$H161*OFFSET(ORÇAMENTO!$X$15,ROW(AR161)-ROW(AR$15),0),
              ROUND(ROUND(OFFSET($P161,0,AR$13),15-13*ORÇAMENTO!$AF$7)*OFFSET(ORÇAMENTO!$W$15,ROW(AR161)-ROW(AR$15),0),15-13*ORÇAMENTO!$AF$11)),
         0)</f>
        <v>0</v>
      </c>
      <c r="AS161" s="453">
        <f ca="1">IF(AND($D161="Serviço",AS$12&lt;&gt;0,$H161&gt;0,OR(AUTOEVENTO&lt;&gt;"manual",$M161&lt;&gt;$A$15)),
        IF(Import.TipoArredondamento&lt;&gt;"TransfereGOV",
              ROUND(OFFSET($P161,0,AS$13),15-13*ORÇAMENTO!$AF$7)/$H161*OFFSET(ORÇAMENTO!$X$15,ROW(AS161)-ROW(AS$15),0),
              ROUND(ROUND(OFFSET($P161,0,AS$13),15-13*ORÇAMENTO!$AF$7)*OFFSET(ORÇAMENTO!$W$15,ROW(AS161)-ROW(AS$15),0),15-13*ORÇAMENTO!$AF$11)),
         0)</f>
        <v>0</v>
      </c>
      <c r="AT161" s="453">
        <f ca="1">IF(AND($D161="Serviço",AT$12&lt;&gt;0,$H161&gt;0,OR(AUTOEVENTO&lt;&gt;"manual",$M161&lt;&gt;$A$15)),
        IF(Import.TipoArredondamento&lt;&gt;"TransfereGOV",
              ROUND(OFFSET($P161,0,AT$13),15-13*ORÇAMENTO!$AF$7)/$H161*OFFSET(ORÇAMENTO!$X$15,ROW(AT161)-ROW(AT$15),0),
              ROUND(ROUND(OFFSET($P161,0,AT$13),15-13*ORÇAMENTO!$AF$7)*OFFSET(ORÇAMENTO!$W$15,ROW(AT161)-ROW(AT$15),0),15-13*ORÇAMENTO!$AF$11)),
         0)</f>
        <v>0</v>
      </c>
      <c r="AU161" s="453">
        <f ca="1">IF(AND($D161="Serviço",AU$12&lt;&gt;0,$H161&gt;0,OR(AUTOEVENTO&lt;&gt;"manual",$M161&lt;&gt;$A$15)),
        IF(Import.TipoArredondamento&lt;&gt;"TransfereGOV",
              ROUND(OFFSET($P161,0,AU$13),15-13*ORÇAMENTO!$AF$7)/$H161*OFFSET(ORÇAMENTO!$X$15,ROW(AU161)-ROW(AU$15),0),
              ROUND(ROUND(OFFSET($P161,0,AU$13),15-13*ORÇAMENTO!$AF$7)*OFFSET(ORÇAMENTO!$W$15,ROW(AU161)-ROW(AU$15),0),15-13*ORÇAMENTO!$AF$11)),
         0)</f>
        <v>0</v>
      </c>
      <c r="AV161" s="453">
        <f ca="1">IF(AND($D161="Serviço",AV$12&lt;&gt;0,$H161&gt;0,OR(AUTOEVENTO&lt;&gt;"manual",$M161&lt;&gt;$A$15)),
        IF(Import.TipoArredondamento&lt;&gt;"TransfereGOV",
              ROUND(OFFSET($P161,0,AV$13),15-13*ORÇAMENTO!$AF$7)/$H161*OFFSET(ORÇAMENTO!$X$15,ROW(AV161)-ROW(AV$15),0),
              ROUND(ROUND(OFFSET($P161,0,AV$13),15-13*ORÇAMENTO!$AF$7)*OFFSET(ORÇAMENTO!$W$15,ROW(AV161)-ROW(AV$15),0),15-13*ORÇAMENTO!$AF$11)),
         0)</f>
        <v>0</v>
      </c>
      <c r="AW161" s="453">
        <f ca="1">IF(AND($D161="Serviço",AW$12&lt;&gt;0,$H161&gt;0,OR(AUTOEVENTO&lt;&gt;"manual",$M161&lt;&gt;$A$15)),
        IF(Import.TipoArredondamento&lt;&gt;"TransfereGOV",
              ROUND(OFFSET($P161,0,AW$13),15-13*ORÇAMENTO!$AF$7)/$H161*OFFSET(ORÇAMENTO!$X$15,ROW(AW161)-ROW(AW$15),0),
              ROUND(ROUND(OFFSET($P161,0,AW$13),15-13*ORÇAMENTO!$AF$7)*OFFSET(ORÇAMENTO!$W$15,ROW(AW161)-ROW(AW$15),0),15-13*ORÇAMENTO!$AF$11)),
         0)</f>
        <v>0</v>
      </c>
      <c r="AX161" s="453">
        <f ca="1">IF(AND($D161="Serviço",AX$12&lt;&gt;0,$H161&gt;0,OR(AUTOEVENTO&lt;&gt;"manual",$M161&lt;&gt;$A$15)),
        IF(Import.TipoArredondamento&lt;&gt;"TransfereGOV",
              ROUND(OFFSET($P161,0,AX$13),15-13*ORÇAMENTO!$AF$7)/$H161*OFFSET(ORÇAMENTO!$X$15,ROW(AX161)-ROW(AX$15),0),
              ROUND(ROUND(OFFSET($P161,0,AX$13),15-13*ORÇAMENTO!$AF$7)*OFFSET(ORÇAMENTO!$W$15,ROW(AX161)-ROW(AX$15),0),15-13*ORÇAMENTO!$AF$11)),
         0)</f>
        <v>0</v>
      </c>
      <c r="AY161" s="453">
        <f ca="1">IF(AND($D161="Serviço",AY$12&lt;&gt;0,$H161&gt;0,OR(AUTOEVENTO&lt;&gt;"manual",$M161&lt;&gt;$A$15)),
        IF(Import.TipoArredondamento&lt;&gt;"TransfereGOV",
              ROUND(OFFSET($P161,0,AY$13),15-13*ORÇAMENTO!$AF$7)/$H161*OFFSET(ORÇAMENTO!$X$15,ROW(AY161)-ROW(AY$15),0),
              ROUND(ROUND(OFFSET($P161,0,AY$13),15-13*ORÇAMENTO!$AF$7)*OFFSET(ORÇAMENTO!$W$15,ROW(AY161)-ROW(AY$15),0),15-13*ORÇAMENTO!$AF$11)),
         0)</f>
        <v>0</v>
      </c>
      <c r="AZ161" s="453">
        <f ca="1">IF(AND($D161="Serviço",AZ$12&lt;&gt;0,$H161&gt;0,OR(AUTOEVENTO&lt;&gt;"manual",$M161&lt;&gt;$A$15)),
        IF(Import.TipoArredondamento&lt;&gt;"TransfereGOV",
              ROUND(OFFSET($P161,0,AZ$13),15-13*ORÇAMENTO!$AF$7)/$H161*OFFSET(ORÇAMENTO!$X$15,ROW(AZ161)-ROW(AZ$15),0),
              ROUND(ROUND(OFFSET($P161,0,AZ$13),15-13*ORÇAMENTO!$AF$7)*OFFSET(ORÇAMENTO!$W$15,ROW(AZ161)-ROW(AZ$15),0),15-13*ORÇAMENTO!$AF$11)),
         0)</f>
        <v>0</v>
      </c>
      <c r="BA161" s="453">
        <f ca="1">IF(AND($D161="Serviço",BA$12&lt;&gt;0,$H161&gt;0,OR(AUTOEVENTO&lt;&gt;"manual",$M161&lt;&gt;$A$15)),
        IF(Import.TipoArredondamento&lt;&gt;"TransfereGOV",
              ROUND(OFFSET($P161,0,BA$13),15-13*ORÇAMENTO!$AF$7)/$H161*OFFSET(ORÇAMENTO!$X$15,ROW(BA161)-ROW(BA$15),0),
              ROUND(ROUND(OFFSET($P161,0,BA$13),15-13*ORÇAMENTO!$AF$7)*OFFSET(ORÇAMENTO!$W$15,ROW(BA161)-ROW(BA$15),0),15-13*ORÇAMENTO!$AF$11)),
         0)</f>
        <v>0</v>
      </c>
      <c r="BB161" s="453">
        <f ca="1">IF(AND($D161="Serviço",BB$12&lt;&gt;0,$H161&gt;0,OR(AUTOEVENTO&lt;&gt;"manual",$M161&lt;&gt;$A$15)),
        IF(Import.TipoArredondamento&lt;&gt;"TransfereGOV",
              ROUND(OFFSET($P161,0,BB$13),15-13*ORÇAMENTO!$AF$7)/$H161*OFFSET(ORÇAMENTO!$X$15,ROW(BB161)-ROW(BB$15),0),
              ROUND(ROUND(OFFSET($P161,0,BB$13),15-13*ORÇAMENTO!$AF$7)*OFFSET(ORÇAMENTO!$W$15,ROW(BB161)-ROW(BB$15),0),15-13*ORÇAMENTO!$AF$11)),
         0)</f>
        <v>0</v>
      </c>
      <c r="BC161" s="453">
        <f ca="1">IF(AND($D161="Serviço",BC$12&lt;&gt;0,$H161&gt;0,OR(AUTOEVENTO&lt;&gt;"manual",$M161&lt;&gt;$A$15)),
        IF(Import.TipoArredondamento&lt;&gt;"TransfereGOV",
              ROUND(OFFSET($P161,0,BC$13),15-13*ORÇAMENTO!$AF$7)/$H161*OFFSET(ORÇAMENTO!$X$15,ROW(BC161)-ROW(BC$15),0),
              ROUND(ROUND(OFFSET($P161,0,BC$13),15-13*ORÇAMENTO!$AF$7)*OFFSET(ORÇAMENTO!$W$15,ROW(BC161)-ROW(BC$15),0),15-13*ORÇAMENTO!$AF$11)),
         0)</f>
        <v>0</v>
      </c>
      <c r="BD161" s="453">
        <f ca="1">IF(AND($D161="Serviço",BD$12&lt;&gt;0,$H161&gt;0,OR(AUTOEVENTO&lt;&gt;"manual",$M161&lt;&gt;$A$15)),
        IF(Import.TipoArredondamento&lt;&gt;"TransfereGOV",
              ROUND(OFFSET($P161,0,BD$13),15-13*ORÇAMENTO!$AF$7)/$H161*OFFSET(ORÇAMENTO!$X$15,ROW(BD161)-ROW(BD$15),0),
              ROUND(ROUND(OFFSET($P161,0,BD$13),15-13*ORÇAMENTO!$AF$7)*OFFSET(ORÇAMENTO!$W$15,ROW(BD161)-ROW(BD$15),0),15-13*ORÇAMENTO!$AF$11)),
         0)</f>
        <v>0</v>
      </c>
      <c r="BE161" s="453">
        <f ca="1">IF(AND($D161="Serviço",BE$12&lt;&gt;0,$H161&gt;0,OR(AUTOEVENTO&lt;&gt;"manual",$M161&lt;&gt;$A$15)),
        IF(Import.TipoArredondamento&lt;&gt;"TransfereGOV",
              ROUND(OFFSET($P161,0,BE$13),15-13*ORÇAMENTO!$AF$7)/$H161*OFFSET(ORÇAMENTO!$X$15,ROW(BE161)-ROW(BE$15),0),
              ROUND(ROUND(OFFSET($P161,0,BE$13),15-13*ORÇAMENTO!$AF$7)*OFFSET(ORÇAMENTO!$W$15,ROW(BE161)-ROW(BE$15),0),15-13*ORÇAMENTO!$AF$11)),
         0)</f>
        <v>0</v>
      </c>
      <c r="BF161" s="453">
        <f ca="1">IF(AND($D161="Serviço",BF$12&lt;&gt;0,$H161&gt;0,OR(AUTOEVENTO&lt;&gt;"manual",$M161&lt;&gt;$A$15)),
        IF(Import.TipoArredondamento&lt;&gt;"TransfereGOV",
              ROUND(OFFSET($P161,0,BF$13),15-13*ORÇAMENTO!$AF$7)/$H161*OFFSET(ORÇAMENTO!$X$15,ROW(BF161)-ROW(BF$15),0),
              ROUND(ROUND(OFFSET($P161,0,BF$13),15-13*ORÇAMENTO!$AF$7)*OFFSET(ORÇAMENTO!$W$15,ROW(BF161)-ROW(BF$15),0),15-13*ORÇAMENTO!$AF$11)),
         0)</f>
        <v>0</v>
      </c>
      <c r="BG161" s="453">
        <f ca="1">IF(AND($D161="Serviço",BG$12&lt;&gt;0,$H161&gt;0,OR(AUTOEVENTO&lt;&gt;"manual",$M161&lt;&gt;$A$15)),
        IF(Import.TipoArredondamento&lt;&gt;"TransfereGOV",
              ROUND(OFFSET($P161,0,BG$13),15-13*ORÇAMENTO!$AF$7)/$H161*OFFSET(ORÇAMENTO!$X$15,ROW(BG161)-ROW(BG$15),0),
              ROUND(ROUND(OFFSET($P161,0,BG$13),15-13*ORÇAMENTO!$AF$7)*OFFSET(ORÇAMENTO!$W$15,ROW(BG161)-ROW(BG$15),0),15-13*ORÇAMENTO!$AF$11)),
         0)</f>
        <v>0</v>
      </c>
      <c r="BH161" s="453">
        <f ca="1">IF(AND($D161="Serviço",BH$12&lt;&gt;0,$H161&gt;0,OR(AUTOEVENTO&lt;&gt;"manual",$M161&lt;&gt;$A$15)),
        IF(Import.TipoArredondamento&lt;&gt;"TransfereGOV",
              ROUND(OFFSET($P161,0,BH$13),15-13*ORÇAMENTO!$AF$7)/$H161*OFFSET(ORÇAMENTO!$X$15,ROW(BH161)-ROW(BH$15),0),
              ROUND(ROUND(OFFSET($P161,0,BH$13),15-13*ORÇAMENTO!$AF$7)*OFFSET(ORÇAMENTO!$W$15,ROW(BH161)-ROW(BH$15),0),15-13*ORÇAMENTO!$AF$11)),
         0)</f>
        <v>0</v>
      </c>
      <c r="BI161" s="453">
        <f ca="1">IF(AND($D161="Serviço",BI$12&lt;&gt;0,$H161&gt;0,OR(AUTOEVENTO&lt;&gt;"manual",$M161&lt;&gt;$A$15)),
        IF(Import.TipoArredondamento&lt;&gt;"TransfereGOV",
              ROUND(OFFSET($P161,0,BI$13),15-13*ORÇAMENTO!$AF$7)/$H161*OFFSET(ORÇAMENTO!$X$15,ROW(BI161)-ROW(BI$15),0),
              ROUND(ROUND(OFFSET($P161,0,BI$13),15-13*ORÇAMENTO!$AF$7)*OFFSET(ORÇAMENTO!$W$15,ROW(BI161)-ROW(BI$15),0),15-13*ORÇAMENTO!$AF$11)),
         0)</f>
        <v>0</v>
      </c>
      <c r="BJ161" s="453">
        <f ca="1">IF(AND($D161="Serviço",BJ$12&lt;&gt;0,$H161&gt;0,OR(AUTOEVENTO&lt;&gt;"manual",$M161&lt;&gt;$A$15)),
        IF(Import.TipoArredondamento&lt;&gt;"TransfereGOV",
              ROUND(OFFSET($P161,0,BJ$13),15-13*ORÇAMENTO!$AF$7)/$H161*OFFSET(ORÇAMENTO!$X$15,ROW(BJ161)-ROW(BJ$15),0),
              ROUND(ROUND(OFFSET($P161,0,BJ$13),15-13*ORÇAMENTO!$AF$7)*OFFSET(ORÇAMENTO!$W$15,ROW(BJ161)-ROW(BJ$15),0),15-13*ORÇAMENTO!$AF$11)),
         0)</f>
        <v>0</v>
      </c>
      <c r="BK161" s="453">
        <f ca="1">IF(AND($D161="Serviço",BK$12&lt;&gt;0,$H161&gt;0,OR(AUTOEVENTO&lt;&gt;"manual",$M161&lt;&gt;$A$15)),
        IF(Import.TipoArredondamento&lt;&gt;"TransfereGOV",
              ROUND(OFFSET($P161,0,BK$13),15-13*ORÇAMENTO!$AF$7)/$H161*OFFSET(ORÇAMENTO!$X$15,ROW(BK161)-ROW(BK$15),0),
              ROUND(ROUND(OFFSET($P161,0,BK$13),15-13*ORÇAMENTO!$AF$7)*OFFSET(ORÇAMENTO!$W$15,ROW(BK161)-ROW(BK$15),0),15-13*ORÇAMENTO!$AF$11)),
         0)</f>
        <v>0</v>
      </c>
      <c r="BL161" s="453">
        <f ca="1">IF(AND($D161="Serviço",BL$12&lt;&gt;0,$H161&gt;0,OR(AUTOEVENTO&lt;&gt;"manual",$M161&lt;&gt;$A$15)),
        IF(Import.TipoArredondamento&lt;&gt;"TransfereGOV",
              ROUND(OFFSET($P161,0,BL$13),15-13*ORÇAMENTO!$AF$7)/$H161*OFFSET(ORÇAMENTO!$X$15,ROW(BL161)-ROW(BL$15),0),
              ROUND(ROUND(OFFSET($P161,0,BL$13),15-13*ORÇAMENTO!$AF$7)*OFFSET(ORÇAMENTO!$W$15,ROW(BL161)-ROW(BL$15),0),15-13*ORÇAMENTO!$AF$11)),
         0)</f>
        <v>0</v>
      </c>
      <c r="BM161" s="453">
        <f ca="1">IF(AND($D161="Serviço",BM$12&lt;&gt;0,$H161&gt;0,OR(AUTOEVENTO&lt;&gt;"manual",$M161&lt;&gt;$A$15)),
        IF(Import.TipoArredondamento&lt;&gt;"TransfereGOV",
              ROUND(OFFSET($P161,0,BM$13),15-13*ORÇAMENTO!$AF$7)/$H161*OFFSET(ORÇAMENTO!$X$15,ROW(BM161)-ROW(BM$15),0),
              ROUND(ROUND(OFFSET($P161,0,BM$13),15-13*ORÇAMENTO!$AF$7)*OFFSET(ORÇAMENTO!$W$15,ROW(BM161)-ROW(BM$15),0),15-13*ORÇAMENTO!$AF$11)),
         0)</f>
        <v>0</v>
      </c>
      <c r="BN161" s="453">
        <f ca="1">IF(AND($D161="Serviço",BN$12&lt;&gt;0,$H161&gt;0,OR(AUTOEVENTO&lt;&gt;"manual",$M161&lt;&gt;$A$15)),
        IF(Import.TipoArredondamento&lt;&gt;"TransfereGOV",
              ROUND(OFFSET($P161,0,BN$13),15-13*ORÇAMENTO!$AF$7)/$H161*OFFSET(ORÇAMENTO!$X$15,ROW(BN161)-ROW(BN$15),0),
              ROUND(ROUND(OFFSET($P161,0,BN$13),15-13*ORÇAMENTO!$AF$7)*OFFSET(ORÇAMENTO!$W$15,ROW(BN161)-ROW(BN$15),0),15-13*ORÇAMENTO!$AF$11)),
         0)</f>
        <v>0</v>
      </c>
      <c r="BO161" s="453">
        <f ca="1">IF(AND($D161="Serviço",BO$12&lt;&gt;0,$H161&gt;0,OR(AUTOEVENTO&lt;&gt;"manual",$M161&lt;&gt;$A$15)),
        IF(Import.TipoArredondamento&lt;&gt;"TransfereGOV",
              ROUND(OFFSET($P161,0,BO$13),15-13*ORÇAMENTO!$AF$7)/$H161*OFFSET(ORÇAMENTO!$X$15,ROW(BO161)-ROW(BO$15),0),
              ROUND(ROUND(OFFSET($P161,0,BO$13),15-13*ORÇAMENTO!$AF$7)*OFFSET(ORÇAMENTO!$W$15,ROW(BO161)-ROW(BO$15),0),15-13*ORÇAMENTO!$AF$11)),
         0)</f>
        <v>0</v>
      </c>
      <c r="BP161" s="453">
        <f ca="1">IF(AND($D161="Serviço",BP$12&lt;&gt;0,$H161&gt;0,OR(AUTOEVENTO&lt;&gt;"manual",$M161&lt;&gt;$A$15)),
        IF(Import.TipoArredondamento&lt;&gt;"TransfereGOV",
              ROUND(OFFSET($P161,0,BP$13),15-13*ORÇAMENTO!$AF$7)/$H161*OFFSET(ORÇAMENTO!$X$15,ROW(BP161)-ROW(BP$15),0),
              ROUND(ROUND(OFFSET($P161,0,BP$13),15-13*ORÇAMENTO!$AF$7)*OFFSET(ORÇAMENTO!$W$15,ROW(BP161)-ROW(BP$15),0),15-13*ORÇAMENTO!$AF$11)),
         0)</f>
        <v>0</v>
      </c>
      <c r="BQ161" s="453">
        <f ca="1">IF(AND($D161="Serviço",BQ$12&lt;&gt;0,$H161&gt;0,OR(AUTOEVENTO&lt;&gt;"manual",$M161&lt;&gt;$A$15)),
        IF(Import.TipoArredondamento&lt;&gt;"TransfereGOV",
              ROUND(OFFSET($P161,0,BQ$13),15-13*ORÇAMENTO!$AF$7)/$H161*OFFSET(ORÇAMENTO!$X$15,ROW(BQ161)-ROW(BQ$15),0),
              ROUND(ROUND(OFFSET($P161,0,BQ$13),15-13*ORÇAMENTO!$AF$7)*OFFSET(ORÇAMENTO!$W$15,ROW(BQ161)-ROW(BQ$15),0),15-13*ORÇAMENTO!$AF$11)),
         0)</f>
        <v>0</v>
      </c>
      <c r="BS161" s="171">
        <f ca="1">IF(OR($D161&lt;&gt;"Serviço",AND(AUTOEVENTO="Manual",$M161=$A$15)),0,
         IF(OFFSET(CRONOPLE!$F$15,$M161-$A$15,BS$13)=0,10^12,OFFSET(CRONOPLE!$F$15,$M161-$A$15,BS$13)))</f>
        <v>1</v>
      </c>
      <c r="BT161" s="171">
        <f ca="1">IF(OR($D161&lt;&gt;"Serviço",AND(AUTOEVENTO="Manual",$M161=$A$15)),0,
         IF(OFFSET(CRONOPLE!$F$15,$M161-$A$15,BT$13)=0,10^12,OFFSET(CRONOPLE!$F$15,$M161-$A$15,BT$13)))</f>
        <v>2</v>
      </c>
      <c r="BU161" s="171">
        <f ca="1">IF(OR($D161&lt;&gt;"Serviço",AND(AUTOEVENTO="Manual",$M161=$A$15)),0,
         IF(OFFSET(CRONOPLE!$F$15,$M161-$A$15,BU$13)=0,10^12,OFFSET(CRONOPLE!$F$15,$M161-$A$15,BU$13)))</f>
        <v>3</v>
      </c>
      <c r="BV161" s="171">
        <f ca="1">IF(OR($D161&lt;&gt;"Serviço",AND(AUTOEVENTO="Manual",$M161=$A$15)),0,
         IF(OFFSET(CRONOPLE!$F$15,$M161-$A$15,BV$13)=0,10^12,OFFSET(CRONOPLE!$F$15,$M161-$A$15,BV$13)))</f>
        <v>4</v>
      </c>
      <c r="BW161" s="171">
        <f ca="1">IF(OR($D161&lt;&gt;"Serviço",AND(AUTOEVENTO="Manual",$M161=$A$15)),0,
         IF(OFFSET(CRONOPLE!$F$15,$M161-$A$15,BW$13)=0,10^12,OFFSET(CRONOPLE!$F$15,$M161-$A$15,BW$13)))</f>
        <v>5</v>
      </c>
      <c r="BX161" s="171">
        <f ca="1">IF(OR($D161&lt;&gt;"Serviço",AND(AUTOEVENTO="Manual",$M161=$A$15)),0,
         IF(OFFSET(CRONOPLE!$F$15,$M161-$A$15,BX$13)=0,10^12,OFFSET(CRONOPLE!$F$15,$M161-$A$15,BX$13)))</f>
        <v>6</v>
      </c>
      <c r="BY161" s="171">
        <f ca="1">IF(OR($D161&lt;&gt;"Serviço",AND(AUTOEVENTO="Manual",$M161=$A$15)),0,
         IF(OFFSET(CRONOPLE!$F$15,$M161-$A$15,BY$13)=0,10^12,OFFSET(CRONOPLE!$F$15,$M161-$A$15,BY$13)))</f>
        <v>7</v>
      </c>
      <c r="BZ161" s="171">
        <f ca="1">IF(OR($D161&lt;&gt;"Serviço",AND(AUTOEVENTO="Manual",$M161=$A$15)),0,
         IF(OFFSET(CRONOPLE!$F$15,$M161-$A$15,BZ$13)=0,10^12,OFFSET(CRONOPLE!$F$15,$M161-$A$15,BZ$13)))</f>
        <v>8</v>
      </c>
      <c r="CA161" s="171">
        <f ca="1">IF(OR($D161&lt;&gt;"Serviço",AND(AUTOEVENTO="Manual",$M161=$A$15)),0,
         IF(OFFSET(CRONOPLE!$F$15,$M161-$A$15,CA$13)=0,10^12,OFFSET(CRONOPLE!$F$15,$M161-$A$15,CA$13)))</f>
        <v>9</v>
      </c>
      <c r="CB161" s="171">
        <f ca="1">IF(OR($D161&lt;&gt;"Serviço",AND(AUTOEVENTO="Manual",$M161=$A$15)),0,
         IF(OFFSET(CRONOPLE!$F$15,$M161-$A$15,CB$13)=0,10^12,OFFSET(CRONOPLE!$F$15,$M161-$A$15,CB$13)))</f>
        <v>10</v>
      </c>
      <c r="CC161" s="171">
        <f ca="1">IF(OR($D161&lt;&gt;"Serviço",AND(AUTOEVENTO="Manual",$M161=$A$15)),0,
         IF(OFFSET(CRONOPLE!$F$15,$M161-$A$15,CC$13)=0,10^12,OFFSET(CRONOPLE!$F$15,$M161-$A$15,CC$13)))</f>
        <v>11</v>
      </c>
      <c r="CD161" s="171">
        <f ca="1">IF(OR($D161&lt;&gt;"Serviço",AND(AUTOEVENTO="Manual",$M161=$A$15)),0,
         IF(OFFSET(CRONOPLE!$F$15,$M161-$A$15,CD$13)=0,10^12,OFFSET(CRONOPLE!$F$15,$M161-$A$15,CD$13)))</f>
        <v>12</v>
      </c>
      <c r="CE161" s="171">
        <f ca="1">IF(OR($D161&lt;&gt;"Serviço",AND(AUTOEVENTO="Manual",$M161=$A$15)),0,
         IF(OFFSET(CRONOPLE!$F$15,$M161-$A$15,CE$13)=0,10^12,OFFSET(CRONOPLE!$F$15,$M161-$A$15,CE$13)))</f>
        <v>13</v>
      </c>
      <c r="CF161" s="171">
        <f ca="1">IF(OR($D161&lt;&gt;"Serviço",AND(AUTOEVENTO="Manual",$M161=$A$15)),0,
         IF(OFFSET(CRONOPLE!$F$15,$M161-$A$15,CF$13)=0,10^12,OFFSET(CRONOPLE!$F$15,$M161-$A$15,CF$13)))</f>
        <v>14</v>
      </c>
      <c r="CG161" s="171">
        <f ca="1">IF(OR($D161&lt;&gt;"Serviço",AND(AUTOEVENTO="Manual",$M161=$A$15)),0,
         IF(OFFSET(CRONOPLE!$F$15,$M161-$A$15,CG$13)=0,10^12,OFFSET(CRONOPLE!$F$15,$M161-$A$15,CG$13)))</f>
        <v>15</v>
      </c>
      <c r="CH161" s="171">
        <f ca="1">IF(OR($D161&lt;&gt;"Serviço",AND(AUTOEVENTO="Manual",$M161=$A$15)),0,
         IF(OFFSET(CRONOPLE!$F$15,$M161-$A$15,CH$13)=0,10^12,OFFSET(CRONOPLE!$F$15,$M161-$A$15,CH$13)))</f>
        <v>16</v>
      </c>
      <c r="CI161" s="171">
        <f ca="1">IF(OR($D161&lt;&gt;"Serviço",AND(AUTOEVENTO="Manual",$M161=$A$15)),0,
         IF(OFFSET(CRONOPLE!$F$15,$M161-$A$15,CI$13)=0,10^12,OFFSET(CRONOPLE!$F$15,$M161-$A$15,CI$13)))</f>
        <v>17</v>
      </c>
      <c r="CJ161" s="171">
        <f ca="1">IF(OR($D161&lt;&gt;"Serviço",AND(AUTOEVENTO="Manual",$M161=$A$15)),0,
         IF(OFFSET(CRONOPLE!$F$15,$M161-$A$15,CJ$13)=0,10^12,OFFSET(CRONOPLE!$F$15,$M161-$A$15,CJ$13)))</f>
        <v>18</v>
      </c>
      <c r="CK161" s="171">
        <f ca="1">IF(OR($D161&lt;&gt;"Serviço",AND(AUTOEVENTO="Manual",$M161=$A$15)),0,
         IF(OFFSET(CRONOPLE!$F$15,$M161-$A$15,CK$13)=0,10^12,OFFSET(CRONOPLE!$F$15,$M161-$A$15,CK$13)))</f>
        <v>19</v>
      </c>
      <c r="CL161" s="171">
        <f ca="1">IF(OR($D161&lt;&gt;"Serviço",AND(AUTOEVENTO="Manual",$M161=$A$15)),0,
         IF(OFFSET(CRONOPLE!$F$15,$M161-$A$15,CL$13)=0,10^12,OFFSET(CRONOPLE!$F$15,$M161-$A$15,CL$13)))</f>
        <v>20</v>
      </c>
      <c r="CM161" s="171">
        <f ca="1">IF(OR($D161&lt;&gt;"Serviço",AND(AUTOEVENTO="Manual",$M161=$A$15)),0,
         IF(OFFSET(CRONOPLE!$F$15,$M161-$A$15,CM$13)=0,10^12,OFFSET(CRONOPLE!$F$15,$M161-$A$15,CM$13)))</f>
        <v>1000000000000</v>
      </c>
      <c r="CN161" s="171">
        <f ca="1">IF(OR($D161&lt;&gt;"Serviço",AND(AUTOEVENTO="Manual",$M161=$A$15)),0,
         IF(OFFSET(CRONOPLE!$F$15,$M161-$A$15,CN$13)=0,10^12,OFFSET(CRONOPLE!$F$15,$M161-$A$15,CN$13)))</f>
        <v>1000000000000</v>
      </c>
      <c r="CO161" s="171">
        <f ca="1">IF(OR($D161&lt;&gt;"Serviço",AND(AUTOEVENTO="Manual",$M161=$A$15)),0,
         IF(OFFSET(CRONOPLE!$F$15,$M161-$A$15,CO$13)=0,10^12,OFFSET(CRONOPLE!$F$15,$M161-$A$15,CO$13)))</f>
        <v>1000000000000</v>
      </c>
      <c r="CP161" s="171">
        <f ca="1">IF(OR($D161&lt;&gt;"Serviço",AND(AUTOEVENTO="Manual",$M161=$A$15)),0,
         IF(OFFSET(CRONOPLE!$F$15,$M161-$A$15,CP$13)=0,10^12,OFFSET(CRONOPLE!$F$15,$M161-$A$15,CP$13)))</f>
        <v>1000000000000</v>
      </c>
      <c r="CQ161" s="171">
        <f ca="1">IF(OR($D161&lt;&gt;"Serviço",AND(AUTOEVENTO="Manual",$M161=$A$15)),0,
         IF(OFFSET(CRONOPLE!$F$15,$M161-$A$15,CQ$13)=0,10^12,OFFSET(CRONOPLE!$F$15,$M161-$A$15,CQ$13)))</f>
        <v>1000000000000</v>
      </c>
      <c r="CR161" s="171">
        <f ca="1">IF(OR($D161&lt;&gt;"Serviço",AND(AUTOEVENTO="Manual",$M161=$A$15)),0,
         IF(OFFSET(CRONOPLE!$F$15,$M161-$A$15,CR$13)=0,10^12,OFFSET(CRONOPLE!$F$15,$M161-$A$15,CR$13)))</f>
        <v>1000000000000</v>
      </c>
      <c r="CT161" s="172" cm="1">
        <f t="array" aca="1" ref="CT161" ca="1">IF(OR($D161&lt;&gt;"Serviço",AND(AUTOEVENTO="Manual",$M161=$A$15),$M161&gt;(ROW(PLE.lastrow)-ROW(PLE.firstrow))),0,
           IF(OFFSET(PLE!$G$15,$M161-$A$15,CT$13)="",10^12,OFFSET(PLE!$G$15,$M161-$A$15,CT$13)))</f>
        <v>1000000000000</v>
      </c>
      <c r="CU161" s="172" cm="1">
        <f t="array" aca="1" ref="CU161" ca="1">IF(OR($D161&lt;&gt;"Serviço",AND(AUTOEVENTO="Manual",$M161=$A$15),$M161&gt;(ROW(PLE.lastrow)-ROW(PLE.firstrow))),0,
           IF(OFFSET(PLE!$G$15,$M161-$A$15,CU$13)="",10^12,OFFSET(PLE!$G$15,$M161-$A$15,CU$13)))</f>
        <v>1000000000000</v>
      </c>
      <c r="CV161" s="172" cm="1">
        <f t="array" aca="1" ref="CV161" ca="1">IF(OR($D161&lt;&gt;"Serviço",AND(AUTOEVENTO="Manual",$M161=$A$15),$M161&gt;(ROW(PLE.lastrow)-ROW(PLE.firstrow))),0,
           IF(OFFSET(PLE!$G$15,$M161-$A$15,CV$13)="",10^12,OFFSET(PLE!$G$15,$M161-$A$15,CV$13)))</f>
        <v>1000000000000</v>
      </c>
      <c r="CW161" s="172" cm="1">
        <f t="array" aca="1" ref="CW161" ca="1">IF(OR($D161&lt;&gt;"Serviço",AND(AUTOEVENTO="Manual",$M161=$A$15),$M161&gt;(ROW(PLE.lastrow)-ROW(PLE.firstrow))),0,
           IF(OFFSET(PLE!$G$15,$M161-$A$15,CW$13)="",10^12,OFFSET(PLE!$G$15,$M161-$A$15,CW$13)))</f>
        <v>1000000000000</v>
      </c>
      <c r="CX161" s="172" cm="1">
        <f t="array" aca="1" ref="CX161" ca="1">IF(OR($D161&lt;&gt;"Serviço",AND(AUTOEVENTO="Manual",$M161=$A$15),$M161&gt;(ROW(PLE.lastrow)-ROW(PLE.firstrow))),0,
           IF(OFFSET(PLE!$G$15,$M161-$A$15,CX$13)="",10^12,OFFSET(PLE!$G$15,$M161-$A$15,CX$13)))</f>
        <v>1000000000000</v>
      </c>
      <c r="CY161" s="172" cm="1">
        <f t="array" aca="1" ref="CY161" ca="1">IF(OR($D161&lt;&gt;"Serviço",AND(AUTOEVENTO="Manual",$M161=$A$15),$M161&gt;(ROW(PLE.lastrow)-ROW(PLE.firstrow))),0,
           IF(OFFSET(PLE!$G$15,$M161-$A$15,CY$13)="",10^12,OFFSET(PLE!$G$15,$M161-$A$15,CY$13)))</f>
        <v>1000000000000</v>
      </c>
      <c r="CZ161" s="172" cm="1">
        <f t="array" aca="1" ref="CZ161" ca="1">IF(OR($D161&lt;&gt;"Serviço",AND(AUTOEVENTO="Manual",$M161=$A$15),$M161&gt;(ROW(PLE.lastrow)-ROW(PLE.firstrow))),0,
           IF(OFFSET(PLE!$G$15,$M161-$A$15,CZ$13)="",10^12,OFFSET(PLE!$G$15,$M161-$A$15,CZ$13)))</f>
        <v>1000000000000</v>
      </c>
      <c r="DA161" s="172" cm="1">
        <f t="array" aca="1" ref="DA161" ca="1">IF(OR($D161&lt;&gt;"Serviço",AND(AUTOEVENTO="Manual",$M161=$A$15),$M161&gt;(ROW(PLE.lastrow)-ROW(PLE.firstrow))),0,
           IF(OFFSET(PLE!$G$15,$M161-$A$15,DA$13)="",10^12,OFFSET(PLE!$G$15,$M161-$A$15,DA$13)))</f>
        <v>1000000000000</v>
      </c>
      <c r="DB161" s="172" cm="1">
        <f t="array" aca="1" ref="DB161" ca="1">IF(OR($D161&lt;&gt;"Serviço",AND(AUTOEVENTO="Manual",$M161=$A$15),$M161&gt;(ROW(PLE.lastrow)-ROW(PLE.firstrow))),0,
           IF(OFFSET(PLE!$G$15,$M161-$A$15,DB$13)="",10^12,OFFSET(PLE!$G$15,$M161-$A$15,DB$13)))</f>
        <v>1000000000000</v>
      </c>
      <c r="DC161" s="172" cm="1">
        <f t="array" aca="1" ref="DC161" ca="1">IF(OR($D161&lt;&gt;"Serviço",AND(AUTOEVENTO="Manual",$M161=$A$15),$M161&gt;(ROW(PLE.lastrow)-ROW(PLE.firstrow))),0,
           IF(OFFSET(PLE!$G$15,$M161-$A$15,DC$13)="",10^12,OFFSET(PLE!$G$15,$M161-$A$15,DC$13)))</f>
        <v>1000000000000</v>
      </c>
      <c r="DD161" s="172" cm="1">
        <f t="array" aca="1" ref="DD161" ca="1">IF(OR($D161&lt;&gt;"Serviço",AND(AUTOEVENTO="Manual",$M161=$A$15),$M161&gt;(ROW(PLE.lastrow)-ROW(PLE.firstrow))),0,
           IF(OFFSET(PLE!$G$15,$M161-$A$15,DD$13)="",10^12,OFFSET(PLE!$G$15,$M161-$A$15,DD$13)))</f>
        <v>1000000000000</v>
      </c>
      <c r="DE161" s="172" cm="1">
        <f t="array" aca="1" ref="DE161" ca="1">IF(OR($D161&lt;&gt;"Serviço",AND(AUTOEVENTO="Manual",$M161=$A$15),$M161&gt;(ROW(PLE.lastrow)-ROW(PLE.firstrow))),0,
           IF(OFFSET(PLE!$G$15,$M161-$A$15,DE$13)="",10^12,OFFSET(PLE!$G$15,$M161-$A$15,DE$13)))</f>
        <v>1000000000000</v>
      </c>
      <c r="DF161" s="172" cm="1">
        <f t="array" aca="1" ref="DF161" ca="1">IF(OR($D161&lt;&gt;"Serviço",AND(AUTOEVENTO="Manual",$M161=$A$15),$M161&gt;(ROW(PLE.lastrow)-ROW(PLE.firstrow))),0,
           IF(OFFSET(PLE!$G$15,$M161-$A$15,DF$13)="",10^12,OFFSET(PLE!$G$15,$M161-$A$15,DF$13)))</f>
        <v>1000000000000</v>
      </c>
      <c r="DG161" s="172" cm="1">
        <f t="array" aca="1" ref="DG161" ca="1">IF(OR($D161&lt;&gt;"Serviço",AND(AUTOEVENTO="Manual",$M161=$A$15),$M161&gt;(ROW(PLE.lastrow)-ROW(PLE.firstrow))),0,
           IF(OFFSET(PLE!$G$15,$M161-$A$15,DG$13)="",10^12,OFFSET(PLE!$G$15,$M161-$A$15,DG$13)))</f>
        <v>1000000000000</v>
      </c>
      <c r="DH161" s="172" cm="1">
        <f t="array" aca="1" ref="DH161" ca="1">IF(OR($D161&lt;&gt;"Serviço",AND(AUTOEVENTO="Manual",$M161=$A$15),$M161&gt;(ROW(PLE.lastrow)-ROW(PLE.firstrow))),0,
           IF(OFFSET(PLE!$G$15,$M161-$A$15,DH$13)="",10^12,OFFSET(PLE!$G$15,$M161-$A$15,DH$13)))</f>
        <v>1000000000000</v>
      </c>
      <c r="DI161" s="172" cm="1">
        <f t="array" aca="1" ref="DI161" ca="1">IF(OR($D161&lt;&gt;"Serviço",AND(AUTOEVENTO="Manual",$M161=$A$15),$M161&gt;(ROW(PLE.lastrow)-ROW(PLE.firstrow))),0,
           IF(OFFSET(PLE!$G$15,$M161-$A$15,DI$13)="",10^12,OFFSET(PLE!$G$15,$M161-$A$15,DI$13)))</f>
        <v>1000000000000</v>
      </c>
      <c r="DJ161" s="172" cm="1">
        <f t="array" aca="1" ref="DJ161" ca="1">IF(OR($D161&lt;&gt;"Serviço",AND(AUTOEVENTO="Manual",$M161=$A$15),$M161&gt;(ROW(PLE.lastrow)-ROW(PLE.firstrow))),0,
           IF(OFFSET(PLE!$G$15,$M161-$A$15,DJ$13)="",10^12,OFFSET(PLE!$G$15,$M161-$A$15,DJ$13)))</f>
        <v>1000000000000</v>
      </c>
      <c r="DK161" s="172" cm="1">
        <f t="array" aca="1" ref="DK161" ca="1">IF(OR($D161&lt;&gt;"Serviço",AND(AUTOEVENTO="Manual",$M161=$A$15),$M161&gt;(ROW(PLE.lastrow)-ROW(PLE.firstrow))),0,
           IF(OFFSET(PLE!$G$15,$M161-$A$15,DK$13)="",10^12,OFFSET(PLE!$G$15,$M161-$A$15,DK$13)))</f>
        <v>1000000000000</v>
      </c>
      <c r="DL161" s="172" cm="1">
        <f t="array" aca="1" ref="DL161" ca="1">IF(OR($D161&lt;&gt;"Serviço",AND(AUTOEVENTO="Manual",$M161=$A$15),$M161&gt;(ROW(PLE.lastrow)-ROW(PLE.firstrow))),0,
           IF(OFFSET(PLE!$G$15,$M161-$A$15,DL$13)="",10^12,OFFSET(PLE!$G$15,$M161-$A$15,DL$13)))</f>
        <v>1000000000000</v>
      </c>
      <c r="DM161" s="172" cm="1">
        <f t="array" aca="1" ref="DM161" ca="1">IF(OR($D161&lt;&gt;"Serviço",AND(AUTOEVENTO="Manual",$M161=$A$15),$M161&gt;(ROW(PLE.lastrow)-ROW(PLE.firstrow))),0,
           IF(OFFSET(PLE!$G$15,$M161-$A$15,DM$13)="",10^12,OFFSET(PLE!$G$15,$M161-$A$15,DM$13)))</f>
        <v>1000000000000</v>
      </c>
      <c r="DN161" s="172" cm="1">
        <f t="array" aca="1" ref="DN161" ca="1">IF(OR($D161&lt;&gt;"Serviço",AND(AUTOEVENTO="Manual",$M161=$A$15),$M161&gt;(ROW(PLE.lastrow)-ROW(PLE.firstrow))),0,
           IF(OFFSET(PLE!$G$15,$M161-$A$15,DN$13)="",10^12,OFFSET(PLE!$G$15,$M161-$A$15,DN$13)))</f>
        <v>1000000000000</v>
      </c>
      <c r="DO161" s="172" cm="1">
        <f t="array" aca="1" ref="DO161" ca="1">IF(OR($D161&lt;&gt;"Serviço",AND(AUTOEVENTO="Manual",$M161=$A$15),$M161&gt;(ROW(PLE.lastrow)-ROW(PLE.firstrow))),0,
           IF(OFFSET(PLE!$G$15,$M161-$A$15,DO$13)="",10^12,OFFSET(PLE!$G$15,$M161-$A$15,DO$13)))</f>
        <v>1000000000000</v>
      </c>
      <c r="DP161" s="172" cm="1">
        <f t="array" aca="1" ref="DP161" ca="1">IF(OR($D161&lt;&gt;"Serviço",AND(AUTOEVENTO="Manual",$M161=$A$15),$M161&gt;(ROW(PLE.lastrow)-ROW(PLE.firstrow))),0,
           IF(OFFSET(PLE!$G$15,$M161-$A$15,DP$13)="",10^12,OFFSET(PLE!$G$15,$M161-$A$15,DP$13)))</f>
        <v>1000000000000</v>
      </c>
      <c r="DQ161" s="172" cm="1">
        <f t="array" aca="1" ref="DQ161" ca="1">IF(OR($D161&lt;&gt;"Serviço",AND(AUTOEVENTO="Manual",$M161=$A$15),$M161&gt;(ROW(PLE.lastrow)-ROW(PLE.firstrow))),0,
           IF(OFFSET(PLE!$G$15,$M161-$A$15,DQ$13)="",10^12,OFFSET(PLE!$G$15,$M161-$A$15,DQ$13)))</f>
        <v>1000000000000</v>
      </c>
      <c r="DR161" s="172" cm="1">
        <f t="array" aca="1" ref="DR161" ca="1">IF(OR($D161&lt;&gt;"Serviço",AND(AUTOEVENTO="Manual",$M161=$A$15),$M161&gt;(ROW(PLE.lastrow)-ROW(PLE.firstrow))),0,
           IF(OFFSET(PLE!$G$15,$M161-$A$15,DR$13)="",10^12,OFFSET(PLE!$G$15,$M161-$A$15,DR$13)))</f>
        <v>1000000000000</v>
      </c>
      <c r="DS161" s="172" cm="1">
        <f t="array" aca="1" ref="DS161" ca="1">IF(OR($D161&lt;&gt;"Serviço",AND(AUTOEVENTO="Manual",$M161=$A$15),$M161&gt;(ROW(PLE.lastrow)-ROW(PLE.firstrow))),0,
           IF(OFFSET(PLE!$G$15,$M161-$A$15,DS$13)="",10^12,OFFSET(PLE!$G$15,$M161-$A$15,DS$13)))</f>
        <v>1000000000000</v>
      </c>
    </row>
    <row r="162" spans="1:123" ht="38.25" x14ac:dyDescent="0.2">
      <c r="A162" s="7">
        <f t="shared" ca="1" si="16"/>
        <v>9</v>
      </c>
      <c r="B162" s="7" t="str">
        <f ca="1">OFFSET(ORÇAMENTO!C$15,$L162,0)</f>
        <v>S</v>
      </c>
      <c r="C162" s="7" t="str">
        <f ca="1">OFFSET(ORÇAMENTO!L$15,$L162,0)</f>
        <v/>
      </c>
      <c r="D162" s="116" t="str">
        <f ca="1">OFFSET(ORÇAMENTO!N$15,$L162,0)</f>
        <v>Serviço</v>
      </c>
      <c r="E162" s="117" t="str">
        <f ca="1">OFFSET(ORÇAMENTO!O$15,$L162,0)</f>
        <v>-</v>
      </c>
      <c r="F162" s="163" t="str">
        <f ca="1">OFFSET(ORÇAMENTO!R$15,$L162,0)</f>
        <v>(Código não identificado nas referências)</v>
      </c>
      <c r="G162" s="164" t="str">
        <f ca="1">IF($D162&lt;&gt;"Serviço","",OFFSET(ORÇAMENTO!S$15,$L162,0))</f>
        <v>-</v>
      </c>
      <c r="H162" s="122" cm="1">
        <f t="array" aca="1" ref="H162" ca="1">IF($D162&lt;&gt;"Serviço",0,IF(ACOMPANHAMENTO="BM",ROUND(OFFSET(ORÇAMENTO!AJ$15,$L162,0),15-13*ORÇAMENTO!$AF$7),IF(IFERROR(CÁLCULO.FrentesPreenchidas,0)=0,0,SUM(ROUND(OFFSET($P162,0,1,1,CÁLCULO.FrentesPreenchidas),15-13*ORÇAMENTO!$AF$7)))))</f>
        <v>894.00000000000034</v>
      </c>
      <c r="I162" s="468" t="s">
        <v>1235</v>
      </c>
      <c r="J162" s="651" t="str" cm="1">
        <f t="array" aca="1" ref="J162" ca="1">IF(OR(B162&lt;&gt;"S",CÁLCULO.FrentesPreenchidas=0),"",IF(AND(ACOMPANHAMENTO="PLE",AUTOEVENTO="Manual",OR(H162&gt;0,ORÇAMENTO!AC162="QUANT."),OR(K162="",M162=0,N162="")),"►E",IF(AND(ACOMPANHAMENTO="PLE",ORÇAMENTO!AC162="QUANT."),"►Q",IF(AND(ACOMPANHAMENTO="PLE",H162&lt;&gt;SUMPRODUCT(($Q$1:$AQ$1=1)*ROUND(Q162:AQ162,15))),"►S",IF(AND(COUNTIF($P$11:$AQ$11,"▼")=0,H162&gt;0,I162=""),"◄M","")))))</f>
        <v/>
      </c>
      <c r="K162" s="652" t="s">
        <v>1257</v>
      </c>
      <c r="L162" s="165">
        <f t="shared" ca="1" si="17"/>
        <v>147</v>
      </c>
      <c r="M162" s="166">
        <f ca="1">IF($D162&lt;&gt;"Serviço","",
          IF(AUTOEVENTO="manual",$A162,
                IF(ISERROR(MATCH($A162,$A$15:OFFSET($A162,-1,0),0)),MAX($M$15:OFFSET(M162,-1,0))+1,
                      INDEX($M$15:OFFSET(M162,-1,0),MATCH($A162,$A$15:OFFSET($A162,-1,0),0)))))</f>
        <v>9</v>
      </c>
      <c r="N162" s="167" t="str">
        <f ca="1">IF($D162&lt;&gt;"Serviço","",
         IF(AUTOEVENTO="Manual",
                IF($A162=0,"&lt;-- defina o número do agrupador",
                       OFFSET(EVENTOS!$D$15,$A162-$A$15,0)),
                OFFSET($F$15,$A162,0)))</f>
        <v>INSTALAÇÕES</v>
      </c>
      <c r="O162" s="168"/>
      <c r="Q162" s="168">
        <v>44.7</v>
      </c>
      <c r="R162" s="169">
        <v>44.7</v>
      </c>
      <c r="S162" s="169">
        <v>44.7</v>
      </c>
      <c r="T162" s="169">
        <v>44.7</v>
      </c>
      <c r="U162" s="169">
        <v>44.7</v>
      </c>
      <c r="V162" s="169">
        <v>44.7</v>
      </c>
      <c r="W162" s="169">
        <v>44.7</v>
      </c>
      <c r="X162" s="169">
        <v>44.7</v>
      </c>
      <c r="Y162" s="169">
        <v>44.7</v>
      </c>
      <c r="Z162" s="170">
        <v>44.7</v>
      </c>
      <c r="AA162" s="169">
        <v>44.7</v>
      </c>
      <c r="AB162" s="169">
        <v>44.7</v>
      </c>
      <c r="AC162" s="169">
        <v>44.7</v>
      </c>
      <c r="AD162" s="169">
        <v>44.7</v>
      </c>
      <c r="AE162" s="169">
        <v>44.7</v>
      </c>
      <c r="AF162" s="169">
        <v>44.7</v>
      </c>
      <c r="AG162" s="169">
        <v>44.7</v>
      </c>
      <c r="AH162" s="170">
        <v>44.7</v>
      </c>
      <c r="AI162" s="169">
        <v>44.7</v>
      </c>
      <c r="AJ162" s="169">
        <v>44.7</v>
      </c>
      <c r="AK162" s="169"/>
      <c r="AL162" s="169"/>
      <c r="AM162" s="169"/>
      <c r="AN162" s="169"/>
      <c r="AO162" s="169"/>
      <c r="AP162" s="170"/>
      <c r="AR162" s="453">
        <f ca="1">IF(AND($D162="Serviço",AR$12&lt;&gt;0,$H162&gt;0,OR(AUTOEVENTO&lt;&gt;"manual",$M162&lt;&gt;$A$15)),
        IF(Import.TipoArredondamento&lt;&gt;"TransfereGOV",
              ROUND(OFFSET($P162,0,AR$13),15-13*ORÇAMENTO!$AF$7)/$H162*OFFSET(ORÇAMENTO!$X$15,ROW(AR162)-ROW(AR$15),0),
              ROUND(ROUND(OFFSET($P162,0,AR$13),15-13*ORÇAMENTO!$AF$7)*OFFSET(ORÇAMENTO!$W$15,ROW(AR162)-ROW(AR$15),0),15-13*ORÇAMENTO!$AF$11)),
         0)</f>
        <v>0</v>
      </c>
      <c r="AS162" s="453">
        <f ca="1">IF(AND($D162="Serviço",AS$12&lt;&gt;0,$H162&gt;0,OR(AUTOEVENTO&lt;&gt;"manual",$M162&lt;&gt;$A$15)),
        IF(Import.TipoArredondamento&lt;&gt;"TransfereGOV",
              ROUND(OFFSET($P162,0,AS$13),15-13*ORÇAMENTO!$AF$7)/$H162*OFFSET(ORÇAMENTO!$X$15,ROW(AS162)-ROW(AS$15),0),
              ROUND(ROUND(OFFSET($P162,0,AS$13),15-13*ORÇAMENTO!$AF$7)*OFFSET(ORÇAMENTO!$W$15,ROW(AS162)-ROW(AS$15),0),15-13*ORÇAMENTO!$AF$11)),
         0)</f>
        <v>0</v>
      </c>
      <c r="AT162" s="453">
        <f ca="1">IF(AND($D162="Serviço",AT$12&lt;&gt;0,$H162&gt;0,OR(AUTOEVENTO&lt;&gt;"manual",$M162&lt;&gt;$A$15)),
        IF(Import.TipoArredondamento&lt;&gt;"TransfereGOV",
              ROUND(OFFSET($P162,0,AT$13),15-13*ORÇAMENTO!$AF$7)/$H162*OFFSET(ORÇAMENTO!$X$15,ROW(AT162)-ROW(AT$15),0),
              ROUND(ROUND(OFFSET($P162,0,AT$13),15-13*ORÇAMENTO!$AF$7)*OFFSET(ORÇAMENTO!$W$15,ROW(AT162)-ROW(AT$15),0),15-13*ORÇAMENTO!$AF$11)),
         0)</f>
        <v>0</v>
      </c>
      <c r="AU162" s="453">
        <f ca="1">IF(AND($D162="Serviço",AU$12&lt;&gt;0,$H162&gt;0,OR(AUTOEVENTO&lt;&gt;"manual",$M162&lt;&gt;$A$15)),
        IF(Import.TipoArredondamento&lt;&gt;"TransfereGOV",
              ROUND(OFFSET($P162,0,AU$13),15-13*ORÇAMENTO!$AF$7)/$H162*OFFSET(ORÇAMENTO!$X$15,ROW(AU162)-ROW(AU$15),0),
              ROUND(ROUND(OFFSET($P162,0,AU$13),15-13*ORÇAMENTO!$AF$7)*OFFSET(ORÇAMENTO!$W$15,ROW(AU162)-ROW(AU$15),0),15-13*ORÇAMENTO!$AF$11)),
         0)</f>
        <v>0</v>
      </c>
      <c r="AV162" s="453">
        <f ca="1">IF(AND($D162="Serviço",AV$12&lt;&gt;0,$H162&gt;0,OR(AUTOEVENTO&lt;&gt;"manual",$M162&lt;&gt;$A$15)),
        IF(Import.TipoArredondamento&lt;&gt;"TransfereGOV",
              ROUND(OFFSET($P162,0,AV$13),15-13*ORÇAMENTO!$AF$7)/$H162*OFFSET(ORÇAMENTO!$X$15,ROW(AV162)-ROW(AV$15),0),
              ROUND(ROUND(OFFSET($P162,0,AV$13),15-13*ORÇAMENTO!$AF$7)*OFFSET(ORÇAMENTO!$W$15,ROW(AV162)-ROW(AV$15),0),15-13*ORÇAMENTO!$AF$11)),
         0)</f>
        <v>0</v>
      </c>
      <c r="AW162" s="453">
        <f ca="1">IF(AND($D162="Serviço",AW$12&lt;&gt;0,$H162&gt;0,OR(AUTOEVENTO&lt;&gt;"manual",$M162&lt;&gt;$A$15)),
        IF(Import.TipoArredondamento&lt;&gt;"TransfereGOV",
              ROUND(OFFSET($P162,0,AW$13),15-13*ORÇAMENTO!$AF$7)/$H162*OFFSET(ORÇAMENTO!$X$15,ROW(AW162)-ROW(AW$15),0),
              ROUND(ROUND(OFFSET($P162,0,AW$13),15-13*ORÇAMENTO!$AF$7)*OFFSET(ORÇAMENTO!$W$15,ROW(AW162)-ROW(AW$15),0),15-13*ORÇAMENTO!$AF$11)),
         0)</f>
        <v>0</v>
      </c>
      <c r="AX162" s="453">
        <f ca="1">IF(AND($D162="Serviço",AX$12&lt;&gt;0,$H162&gt;0,OR(AUTOEVENTO&lt;&gt;"manual",$M162&lt;&gt;$A$15)),
        IF(Import.TipoArredondamento&lt;&gt;"TransfereGOV",
              ROUND(OFFSET($P162,0,AX$13),15-13*ORÇAMENTO!$AF$7)/$H162*OFFSET(ORÇAMENTO!$X$15,ROW(AX162)-ROW(AX$15),0),
              ROUND(ROUND(OFFSET($P162,0,AX$13),15-13*ORÇAMENTO!$AF$7)*OFFSET(ORÇAMENTO!$W$15,ROW(AX162)-ROW(AX$15),0),15-13*ORÇAMENTO!$AF$11)),
         0)</f>
        <v>0</v>
      </c>
      <c r="AY162" s="453">
        <f ca="1">IF(AND($D162="Serviço",AY$12&lt;&gt;0,$H162&gt;0,OR(AUTOEVENTO&lt;&gt;"manual",$M162&lt;&gt;$A$15)),
        IF(Import.TipoArredondamento&lt;&gt;"TransfereGOV",
              ROUND(OFFSET($P162,0,AY$13),15-13*ORÇAMENTO!$AF$7)/$H162*OFFSET(ORÇAMENTO!$X$15,ROW(AY162)-ROW(AY$15),0),
              ROUND(ROUND(OFFSET($P162,0,AY$13),15-13*ORÇAMENTO!$AF$7)*OFFSET(ORÇAMENTO!$W$15,ROW(AY162)-ROW(AY$15),0),15-13*ORÇAMENTO!$AF$11)),
         0)</f>
        <v>0</v>
      </c>
      <c r="AZ162" s="453">
        <f ca="1">IF(AND($D162="Serviço",AZ$12&lt;&gt;0,$H162&gt;0,OR(AUTOEVENTO&lt;&gt;"manual",$M162&lt;&gt;$A$15)),
        IF(Import.TipoArredondamento&lt;&gt;"TransfereGOV",
              ROUND(OFFSET($P162,0,AZ$13),15-13*ORÇAMENTO!$AF$7)/$H162*OFFSET(ORÇAMENTO!$X$15,ROW(AZ162)-ROW(AZ$15),0),
              ROUND(ROUND(OFFSET($P162,0,AZ$13),15-13*ORÇAMENTO!$AF$7)*OFFSET(ORÇAMENTO!$W$15,ROW(AZ162)-ROW(AZ$15),0),15-13*ORÇAMENTO!$AF$11)),
         0)</f>
        <v>0</v>
      </c>
      <c r="BA162" s="453">
        <f ca="1">IF(AND($D162="Serviço",BA$12&lt;&gt;0,$H162&gt;0,OR(AUTOEVENTO&lt;&gt;"manual",$M162&lt;&gt;$A$15)),
        IF(Import.TipoArredondamento&lt;&gt;"TransfereGOV",
              ROUND(OFFSET($P162,0,BA$13),15-13*ORÇAMENTO!$AF$7)/$H162*OFFSET(ORÇAMENTO!$X$15,ROW(BA162)-ROW(BA$15),0),
              ROUND(ROUND(OFFSET($P162,0,BA$13),15-13*ORÇAMENTO!$AF$7)*OFFSET(ORÇAMENTO!$W$15,ROW(BA162)-ROW(BA$15),0),15-13*ORÇAMENTO!$AF$11)),
         0)</f>
        <v>0</v>
      </c>
      <c r="BB162" s="453">
        <f ca="1">IF(AND($D162="Serviço",BB$12&lt;&gt;0,$H162&gt;0,OR(AUTOEVENTO&lt;&gt;"manual",$M162&lt;&gt;$A$15)),
        IF(Import.TipoArredondamento&lt;&gt;"TransfereGOV",
              ROUND(OFFSET($P162,0,BB$13),15-13*ORÇAMENTO!$AF$7)/$H162*OFFSET(ORÇAMENTO!$X$15,ROW(BB162)-ROW(BB$15),0),
              ROUND(ROUND(OFFSET($P162,0,BB$13),15-13*ORÇAMENTO!$AF$7)*OFFSET(ORÇAMENTO!$W$15,ROW(BB162)-ROW(BB$15),0),15-13*ORÇAMENTO!$AF$11)),
         0)</f>
        <v>0</v>
      </c>
      <c r="BC162" s="453">
        <f ca="1">IF(AND($D162="Serviço",BC$12&lt;&gt;0,$H162&gt;0,OR(AUTOEVENTO&lt;&gt;"manual",$M162&lt;&gt;$A$15)),
        IF(Import.TipoArredondamento&lt;&gt;"TransfereGOV",
              ROUND(OFFSET($P162,0,BC$13),15-13*ORÇAMENTO!$AF$7)/$H162*OFFSET(ORÇAMENTO!$X$15,ROW(BC162)-ROW(BC$15),0),
              ROUND(ROUND(OFFSET($P162,0,BC$13),15-13*ORÇAMENTO!$AF$7)*OFFSET(ORÇAMENTO!$W$15,ROW(BC162)-ROW(BC$15),0),15-13*ORÇAMENTO!$AF$11)),
         0)</f>
        <v>0</v>
      </c>
      <c r="BD162" s="453">
        <f ca="1">IF(AND($D162="Serviço",BD$12&lt;&gt;0,$H162&gt;0,OR(AUTOEVENTO&lt;&gt;"manual",$M162&lt;&gt;$A$15)),
        IF(Import.TipoArredondamento&lt;&gt;"TransfereGOV",
              ROUND(OFFSET($P162,0,BD$13),15-13*ORÇAMENTO!$AF$7)/$H162*OFFSET(ORÇAMENTO!$X$15,ROW(BD162)-ROW(BD$15),0),
              ROUND(ROUND(OFFSET($P162,0,BD$13),15-13*ORÇAMENTO!$AF$7)*OFFSET(ORÇAMENTO!$W$15,ROW(BD162)-ROW(BD$15),0),15-13*ORÇAMENTO!$AF$11)),
         0)</f>
        <v>0</v>
      </c>
      <c r="BE162" s="453">
        <f ca="1">IF(AND($D162="Serviço",BE$12&lt;&gt;0,$H162&gt;0,OR(AUTOEVENTO&lt;&gt;"manual",$M162&lt;&gt;$A$15)),
        IF(Import.TipoArredondamento&lt;&gt;"TransfereGOV",
              ROUND(OFFSET($P162,0,BE$13),15-13*ORÇAMENTO!$AF$7)/$H162*OFFSET(ORÇAMENTO!$X$15,ROW(BE162)-ROW(BE$15),0),
              ROUND(ROUND(OFFSET($P162,0,BE$13),15-13*ORÇAMENTO!$AF$7)*OFFSET(ORÇAMENTO!$W$15,ROW(BE162)-ROW(BE$15),0),15-13*ORÇAMENTO!$AF$11)),
         0)</f>
        <v>0</v>
      </c>
      <c r="BF162" s="453">
        <f ca="1">IF(AND($D162="Serviço",BF$12&lt;&gt;0,$H162&gt;0,OR(AUTOEVENTO&lt;&gt;"manual",$M162&lt;&gt;$A$15)),
        IF(Import.TipoArredondamento&lt;&gt;"TransfereGOV",
              ROUND(OFFSET($P162,0,BF$13),15-13*ORÇAMENTO!$AF$7)/$H162*OFFSET(ORÇAMENTO!$X$15,ROW(BF162)-ROW(BF$15),0),
              ROUND(ROUND(OFFSET($P162,0,BF$13),15-13*ORÇAMENTO!$AF$7)*OFFSET(ORÇAMENTO!$W$15,ROW(BF162)-ROW(BF$15),0),15-13*ORÇAMENTO!$AF$11)),
         0)</f>
        <v>0</v>
      </c>
      <c r="BG162" s="453">
        <f ca="1">IF(AND($D162="Serviço",BG$12&lt;&gt;0,$H162&gt;0,OR(AUTOEVENTO&lt;&gt;"manual",$M162&lt;&gt;$A$15)),
        IF(Import.TipoArredondamento&lt;&gt;"TransfereGOV",
              ROUND(OFFSET($P162,0,BG$13),15-13*ORÇAMENTO!$AF$7)/$H162*OFFSET(ORÇAMENTO!$X$15,ROW(BG162)-ROW(BG$15),0),
              ROUND(ROUND(OFFSET($P162,0,BG$13),15-13*ORÇAMENTO!$AF$7)*OFFSET(ORÇAMENTO!$W$15,ROW(BG162)-ROW(BG$15),0),15-13*ORÇAMENTO!$AF$11)),
         0)</f>
        <v>0</v>
      </c>
      <c r="BH162" s="453">
        <f ca="1">IF(AND($D162="Serviço",BH$12&lt;&gt;0,$H162&gt;0,OR(AUTOEVENTO&lt;&gt;"manual",$M162&lt;&gt;$A$15)),
        IF(Import.TipoArredondamento&lt;&gt;"TransfereGOV",
              ROUND(OFFSET($P162,0,BH$13),15-13*ORÇAMENTO!$AF$7)/$H162*OFFSET(ORÇAMENTO!$X$15,ROW(BH162)-ROW(BH$15),0),
              ROUND(ROUND(OFFSET($P162,0,BH$13),15-13*ORÇAMENTO!$AF$7)*OFFSET(ORÇAMENTO!$W$15,ROW(BH162)-ROW(BH$15),0),15-13*ORÇAMENTO!$AF$11)),
         0)</f>
        <v>0</v>
      </c>
      <c r="BI162" s="453">
        <f ca="1">IF(AND($D162="Serviço",BI$12&lt;&gt;0,$H162&gt;0,OR(AUTOEVENTO&lt;&gt;"manual",$M162&lt;&gt;$A$15)),
        IF(Import.TipoArredondamento&lt;&gt;"TransfereGOV",
              ROUND(OFFSET($P162,0,BI$13),15-13*ORÇAMENTO!$AF$7)/$H162*OFFSET(ORÇAMENTO!$X$15,ROW(BI162)-ROW(BI$15),0),
              ROUND(ROUND(OFFSET($P162,0,BI$13),15-13*ORÇAMENTO!$AF$7)*OFFSET(ORÇAMENTO!$W$15,ROW(BI162)-ROW(BI$15),0),15-13*ORÇAMENTO!$AF$11)),
         0)</f>
        <v>0</v>
      </c>
      <c r="BJ162" s="453">
        <f ca="1">IF(AND($D162="Serviço",BJ$12&lt;&gt;0,$H162&gt;0,OR(AUTOEVENTO&lt;&gt;"manual",$M162&lt;&gt;$A$15)),
        IF(Import.TipoArredondamento&lt;&gt;"TransfereGOV",
              ROUND(OFFSET($P162,0,BJ$13),15-13*ORÇAMENTO!$AF$7)/$H162*OFFSET(ORÇAMENTO!$X$15,ROW(BJ162)-ROW(BJ$15),0),
              ROUND(ROUND(OFFSET($P162,0,BJ$13),15-13*ORÇAMENTO!$AF$7)*OFFSET(ORÇAMENTO!$W$15,ROW(BJ162)-ROW(BJ$15),0),15-13*ORÇAMENTO!$AF$11)),
         0)</f>
        <v>0</v>
      </c>
      <c r="BK162" s="453">
        <f ca="1">IF(AND($D162="Serviço",BK$12&lt;&gt;0,$H162&gt;0,OR(AUTOEVENTO&lt;&gt;"manual",$M162&lt;&gt;$A$15)),
        IF(Import.TipoArredondamento&lt;&gt;"TransfereGOV",
              ROUND(OFFSET($P162,0,BK$13),15-13*ORÇAMENTO!$AF$7)/$H162*OFFSET(ORÇAMENTO!$X$15,ROW(BK162)-ROW(BK$15),0),
              ROUND(ROUND(OFFSET($P162,0,BK$13),15-13*ORÇAMENTO!$AF$7)*OFFSET(ORÇAMENTO!$W$15,ROW(BK162)-ROW(BK$15),0),15-13*ORÇAMENTO!$AF$11)),
         0)</f>
        <v>0</v>
      </c>
      <c r="BL162" s="453">
        <f ca="1">IF(AND($D162="Serviço",BL$12&lt;&gt;0,$H162&gt;0,OR(AUTOEVENTO&lt;&gt;"manual",$M162&lt;&gt;$A$15)),
        IF(Import.TipoArredondamento&lt;&gt;"TransfereGOV",
              ROUND(OFFSET($P162,0,BL$13),15-13*ORÇAMENTO!$AF$7)/$H162*OFFSET(ORÇAMENTO!$X$15,ROW(BL162)-ROW(BL$15),0),
              ROUND(ROUND(OFFSET($P162,0,BL$13),15-13*ORÇAMENTO!$AF$7)*OFFSET(ORÇAMENTO!$W$15,ROW(BL162)-ROW(BL$15),0),15-13*ORÇAMENTO!$AF$11)),
         0)</f>
        <v>0</v>
      </c>
      <c r="BM162" s="453">
        <f ca="1">IF(AND($D162="Serviço",BM$12&lt;&gt;0,$H162&gt;0,OR(AUTOEVENTO&lt;&gt;"manual",$M162&lt;&gt;$A$15)),
        IF(Import.TipoArredondamento&lt;&gt;"TransfereGOV",
              ROUND(OFFSET($P162,0,BM$13),15-13*ORÇAMENTO!$AF$7)/$H162*OFFSET(ORÇAMENTO!$X$15,ROW(BM162)-ROW(BM$15),0),
              ROUND(ROUND(OFFSET($P162,0,BM$13),15-13*ORÇAMENTO!$AF$7)*OFFSET(ORÇAMENTO!$W$15,ROW(BM162)-ROW(BM$15),0),15-13*ORÇAMENTO!$AF$11)),
         0)</f>
        <v>0</v>
      </c>
      <c r="BN162" s="453">
        <f ca="1">IF(AND($D162="Serviço",BN$12&lt;&gt;0,$H162&gt;0,OR(AUTOEVENTO&lt;&gt;"manual",$M162&lt;&gt;$A$15)),
        IF(Import.TipoArredondamento&lt;&gt;"TransfereGOV",
              ROUND(OFFSET($P162,0,BN$13),15-13*ORÇAMENTO!$AF$7)/$H162*OFFSET(ORÇAMENTO!$X$15,ROW(BN162)-ROW(BN$15),0),
              ROUND(ROUND(OFFSET($P162,0,BN$13),15-13*ORÇAMENTO!$AF$7)*OFFSET(ORÇAMENTO!$W$15,ROW(BN162)-ROW(BN$15),0),15-13*ORÇAMENTO!$AF$11)),
         0)</f>
        <v>0</v>
      </c>
      <c r="BO162" s="453">
        <f ca="1">IF(AND($D162="Serviço",BO$12&lt;&gt;0,$H162&gt;0,OR(AUTOEVENTO&lt;&gt;"manual",$M162&lt;&gt;$A$15)),
        IF(Import.TipoArredondamento&lt;&gt;"TransfereGOV",
              ROUND(OFFSET($P162,0,BO$13),15-13*ORÇAMENTO!$AF$7)/$H162*OFFSET(ORÇAMENTO!$X$15,ROW(BO162)-ROW(BO$15),0),
              ROUND(ROUND(OFFSET($P162,0,BO$13),15-13*ORÇAMENTO!$AF$7)*OFFSET(ORÇAMENTO!$W$15,ROW(BO162)-ROW(BO$15),0),15-13*ORÇAMENTO!$AF$11)),
         0)</f>
        <v>0</v>
      </c>
      <c r="BP162" s="453">
        <f ca="1">IF(AND($D162="Serviço",BP$12&lt;&gt;0,$H162&gt;0,OR(AUTOEVENTO&lt;&gt;"manual",$M162&lt;&gt;$A$15)),
        IF(Import.TipoArredondamento&lt;&gt;"TransfereGOV",
              ROUND(OFFSET($P162,0,BP$13),15-13*ORÇAMENTO!$AF$7)/$H162*OFFSET(ORÇAMENTO!$X$15,ROW(BP162)-ROW(BP$15),0),
              ROUND(ROUND(OFFSET($P162,0,BP$13),15-13*ORÇAMENTO!$AF$7)*OFFSET(ORÇAMENTO!$W$15,ROW(BP162)-ROW(BP$15),0),15-13*ORÇAMENTO!$AF$11)),
         0)</f>
        <v>0</v>
      </c>
      <c r="BQ162" s="453">
        <f ca="1">IF(AND($D162="Serviço",BQ$12&lt;&gt;0,$H162&gt;0,OR(AUTOEVENTO&lt;&gt;"manual",$M162&lt;&gt;$A$15)),
        IF(Import.TipoArredondamento&lt;&gt;"TransfereGOV",
              ROUND(OFFSET($P162,0,BQ$13),15-13*ORÇAMENTO!$AF$7)/$H162*OFFSET(ORÇAMENTO!$X$15,ROW(BQ162)-ROW(BQ$15),0),
              ROUND(ROUND(OFFSET($P162,0,BQ$13),15-13*ORÇAMENTO!$AF$7)*OFFSET(ORÇAMENTO!$W$15,ROW(BQ162)-ROW(BQ$15),0),15-13*ORÇAMENTO!$AF$11)),
         0)</f>
        <v>0</v>
      </c>
      <c r="BS162" s="171">
        <f ca="1">IF(OR($D162&lt;&gt;"Serviço",AND(AUTOEVENTO="Manual",$M162=$A$15)),0,
         IF(OFFSET(CRONOPLE!$F$15,$M162-$A$15,BS$13)=0,10^12,OFFSET(CRONOPLE!$F$15,$M162-$A$15,BS$13)))</f>
        <v>1</v>
      </c>
      <c r="BT162" s="171">
        <f ca="1">IF(OR($D162&lt;&gt;"Serviço",AND(AUTOEVENTO="Manual",$M162=$A$15)),0,
         IF(OFFSET(CRONOPLE!$F$15,$M162-$A$15,BT$13)=0,10^12,OFFSET(CRONOPLE!$F$15,$M162-$A$15,BT$13)))</f>
        <v>2</v>
      </c>
      <c r="BU162" s="171">
        <f ca="1">IF(OR($D162&lt;&gt;"Serviço",AND(AUTOEVENTO="Manual",$M162=$A$15)),0,
         IF(OFFSET(CRONOPLE!$F$15,$M162-$A$15,BU$13)=0,10^12,OFFSET(CRONOPLE!$F$15,$M162-$A$15,BU$13)))</f>
        <v>3</v>
      </c>
      <c r="BV162" s="171">
        <f ca="1">IF(OR($D162&lt;&gt;"Serviço",AND(AUTOEVENTO="Manual",$M162=$A$15)),0,
         IF(OFFSET(CRONOPLE!$F$15,$M162-$A$15,BV$13)=0,10^12,OFFSET(CRONOPLE!$F$15,$M162-$A$15,BV$13)))</f>
        <v>4</v>
      </c>
      <c r="BW162" s="171">
        <f ca="1">IF(OR($D162&lt;&gt;"Serviço",AND(AUTOEVENTO="Manual",$M162=$A$15)),0,
         IF(OFFSET(CRONOPLE!$F$15,$M162-$A$15,BW$13)=0,10^12,OFFSET(CRONOPLE!$F$15,$M162-$A$15,BW$13)))</f>
        <v>5</v>
      </c>
      <c r="BX162" s="171">
        <f ca="1">IF(OR($D162&lt;&gt;"Serviço",AND(AUTOEVENTO="Manual",$M162=$A$15)),0,
         IF(OFFSET(CRONOPLE!$F$15,$M162-$A$15,BX$13)=0,10^12,OFFSET(CRONOPLE!$F$15,$M162-$A$15,BX$13)))</f>
        <v>6</v>
      </c>
      <c r="BY162" s="171">
        <f ca="1">IF(OR($D162&lt;&gt;"Serviço",AND(AUTOEVENTO="Manual",$M162=$A$15)),0,
         IF(OFFSET(CRONOPLE!$F$15,$M162-$A$15,BY$13)=0,10^12,OFFSET(CRONOPLE!$F$15,$M162-$A$15,BY$13)))</f>
        <v>7</v>
      </c>
      <c r="BZ162" s="171">
        <f ca="1">IF(OR($D162&lt;&gt;"Serviço",AND(AUTOEVENTO="Manual",$M162=$A$15)),0,
         IF(OFFSET(CRONOPLE!$F$15,$M162-$A$15,BZ$13)=0,10^12,OFFSET(CRONOPLE!$F$15,$M162-$A$15,BZ$13)))</f>
        <v>8</v>
      </c>
      <c r="CA162" s="171">
        <f ca="1">IF(OR($D162&lt;&gt;"Serviço",AND(AUTOEVENTO="Manual",$M162=$A$15)),0,
         IF(OFFSET(CRONOPLE!$F$15,$M162-$A$15,CA$13)=0,10^12,OFFSET(CRONOPLE!$F$15,$M162-$A$15,CA$13)))</f>
        <v>9</v>
      </c>
      <c r="CB162" s="171">
        <f ca="1">IF(OR($D162&lt;&gt;"Serviço",AND(AUTOEVENTO="Manual",$M162=$A$15)),0,
         IF(OFFSET(CRONOPLE!$F$15,$M162-$A$15,CB$13)=0,10^12,OFFSET(CRONOPLE!$F$15,$M162-$A$15,CB$13)))</f>
        <v>10</v>
      </c>
      <c r="CC162" s="171">
        <f ca="1">IF(OR($D162&lt;&gt;"Serviço",AND(AUTOEVENTO="Manual",$M162=$A$15)),0,
         IF(OFFSET(CRONOPLE!$F$15,$M162-$A$15,CC$13)=0,10^12,OFFSET(CRONOPLE!$F$15,$M162-$A$15,CC$13)))</f>
        <v>11</v>
      </c>
      <c r="CD162" s="171">
        <f ca="1">IF(OR($D162&lt;&gt;"Serviço",AND(AUTOEVENTO="Manual",$M162=$A$15)),0,
         IF(OFFSET(CRONOPLE!$F$15,$M162-$A$15,CD$13)=0,10^12,OFFSET(CRONOPLE!$F$15,$M162-$A$15,CD$13)))</f>
        <v>12</v>
      </c>
      <c r="CE162" s="171">
        <f ca="1">IF(OR($D162&lt;&gt;"Serviço",AND(AUTOEVENTO="Manual",$M162=$A$15)),0,
         IF(OFFSET(CRONOPLE!$F$15,$M162-$A$15,CE$13)=0,10^12,OFFSET(CRONOPLE!$F$15,$M162-$A$15,CE$13)))</f>
        <v>13</v>
      </c>
      <c r="CF162" s="171">
        <f ca="1">IF(OR($D162&lt;&gt;"Serviço",AND(AUTOEVENTO="Manual",$M162=$A$15)),0,
         IF(OFFSET(CRONOPLE!$F$15,$M162-$A$15,CF$13)=0,10^12,OFFSET(CRONOPLE!$F$15,$M162-$A$15,CF$13)))</f>
        <v>14</v>
      </c>
      <c r="CG162" s="171">
        <f ca="1">IF(OR($D162&lt;&gt;"Serviço",AND(AUTOEVENTO="Manual",$M162=$A$15)),0,
         IF(OFFSET(CRONOPLE!$F$15,$M162-$A$15,CG$13)=0,10^12,OFFSET(CRONOPLE!$F$15,$M162-$A$15,CG$13)))</f>
        <v>15</v>
      </c>
      <c r="CH162" s="171">
        <f ca="1">IF(OR($D162&lt;&gt;"Serviço",AND(AUTOEVENTO="Manual",$M162=$A$15)),0,
         IF(OFFSET(CRONOPLE!$F$15,$M162-$A$15,CH$13)=0,10^12,OFFSET(CRONOPLE!$F$15,$M162-$A$15,CH$13)))</f>
        <v>16</v>
      </c>
      <c r="CI162" s="171">
        <f ca="1">IF(OR($D162&lt;&gt;"Serviço",AND(AUTOEVENTO="Manual",$M162=$A$15)),0,
         IF(OFFSET(CRONOPLE!$F$15,$M162-$A$15,CI$13)=0,10^12,OFFSET(CRONOPLE!$F$15,$M162-$A$15,CI$13)))</f>
        <v>17</v>
      </c>
      <c r="CJ162" s="171">
        <f ca="1">IF(OR($D162&lt;&gt;"Serviço",AND(AUTOEVENTO="Manual",$M162=$A$15)),0,
         IF(OFFSET(CRONOPLE!$F$15,$M162-$A$15,CJ$13)=0,10^12,OFFSET(CRONOPLE!$F$15,$M162-$A$15,CJ$13)))</f>
        <v>18</v>
      </c>
      <c r="CK162" s="171">
        <f ca="1">IF(OR($D162&lt;&gt;"Serviço",AND(AUTOEVENTO="Manual",$M162=$A$15)),0,
         IF(OFFSET(CRONOPLE!$F$15,$M162-$A$15,CK$13)=0,10^12,OFFSET(CRONOPLE!$F$15,$M162-$A$15,CK$13)))</f>
        <v>19</v>
      </c>
      <c r="CL162" s="171">
        <f ca="1">IF(OR($D162&lt;&gt;"Serviço",AND(AUTOEVENTO="Manual",$M162=$A$15)),0,
         IF(OFFSET(CRONOPLE!$F$15,$M162-$A$15,CL$13)=0,10^12,OFFSET(CRONOPLE!$F$15,$M162-$A$15,CL$13)))</f>
        <v>20</v>
      </c>
      <c r="CM162" s="171">
        <f ca="1">IF(OR($D162&lt;&gt;"Serviço",AND(AUTOEVENTO="Manual",$M162=$A$15)),0,
         IF(OFFSET(CRONOPLE!$F$15,$M162-$A$15,CM$13)=0,10^12,OFFSET(CRONOPLE!$F$15,$M162-$A$15,CM$13)))</f>
        <v>1000000000000</v>
      </c>
      <c r="CN162" s="171">
        <f ca="1">IF(OR($D162&lt;&gt;"Serviço",AND(AUTOEVENTO="Manual",$M162=$A$15)),0,
         IF(OFFSET(CRONOPLE!$F$15,$M162-$A$15,CN$13)=0,10^12,OFFSET(CRONOPLE!$F$15,$M162-$A$15,CN$13)))</f>
        <v>1000000000000</v>
      </c>
      <c r="CO162" s="171">
        <f ca="1">IF(OR($D162&lt;&gt;"Serviço",AND(AUTOEVENTO="Manual",$M162=$A$15)),0,
         IF(OFFSET(CRONOPLE!$F$15,$M162-$A$15,CO$13)=0,10^12,OFFSET(CRONOPLE!$F$15,$M162-$A$15,CO$13)))</f>
        <v>1000000000000</v>
      </c>
      <c r="CP162" s="171">
        <f ca="1">IF(OR($D162&lt;&gt;"Serviço",AND(AUTOEVENTO="Manual",$M162=$A$15)),0,
         IF(OFFSET(CRONOPLE!$F$15,$M162-$A$15,CP$13)=0,10^12,OFFSET(CRONOPLE!$F$15,$M162-$A$15,CP$13)))</f>
        <v>1000000000000</v>
      </c>
      <c r="CQ162" s="171">
        <f ca="1">IF(OR($D162&lt;&gt;"Serviço",AND(AUTOEVENTO="Manual",$M162=$A$15)),0,
         IF(OFFSET(CRONOPLE!$F$15,$M162-$A$15,CQ$13)=0,10^12,OFFSET(CRONOPLE!$F$15,$M162-$A$15,CQ$13)))</f>
        <v>1000000000000</v>
      </c>
      <c r="CR162" s="171">
        <f ca="1">IF(OR($D162&lt;&gt;"Serviço",AND(AUTOEVENTO="Manual",$M162=$A$15)),0,
         IF(OFFSET(CRONOPLE!$F$15,$M162-$A$15,CR$13)=0,10^12,OFFSET(CRONOPLE!$F$15,$M162-$A$15,CR$13)))</f>
        <v>1000000000000</v>
      </c>
      <c r="CT162" s="172" cm="1">
        <f t="array" aca="1" ref="CT162" ca="1">IF(OR($D162&lt;&gt;"Serviço",AND(AUTOEVENTO="Manual",$M162=$A$15),$M162&gt;(ROW(PLE.lastrow)-ROW(PLE.firstrow))),0,
           IF(OFFSET(PLE!$G$15,$M162-$A$15,CT$13)="",10^12,OFFSET(PLE!$G$15,$M162-$A$15,CT$13)))</f>
        <v>1000000000000</v>
      </c>
      <c r="CU162" s="172" cm="1">
        <f t="array" aca="1" ref="CU162" ca="1">IF(OR($D162&lt;&gt;"Serviço",AND(AUTOEVENTO="Manual",$M162=$A$15),$M162&gt;(ROW(PLE.lastrow)-ROW(PLE.firstrow))),0,
           IF(OFFSET(PLE!$G$15,$M162-$A$15,CU$13)="",10^12,OFFSET(PLE!$G$15,$M162-$A$15,CU$13)))</f>
        <v>1000000000000</v>
      </c>
      <c r="CV162" s="172" cm="1">
        <f t="array" aca="1" ref="CV162" ca="1">IF(OR($D162&lt;&gt;"Serviço",AND(AUTOEVENTO="Manual",$M162=$A$15),$M162&gt;(ROW(PLE.lastrow)-ROW(PLE.firstrow))),0,
           IF(OFFSET(PLE!$G$15,$M162-$A$15,CV$13)="",10^12,OFFSET(PLE!$G$15,$M162-$A$15,CV$13)))</f>
        <v>1000000000000</v>
      </c>
      <c r="CW162" s="172" cm="1">
        <f t="array" aca="1" ref="CW162" ca="1">IF(OR($D162&lt;&gt;"Serviço",AND(AUTOEVENTO="Manual",$M162=$A$15),$M162&gt;(ROW(PLE.lastrow)-ROW(PLE.firstrow))),0,
           IF(OFFSET(PLE!$G$15,$M162-$A$15,CW$13)="",10^12,OFFSET(PLE!$G$15,$M162-$A$15,CW$13)))</f>
        <v>1000000000000</v>
      </c>
      <c r="CX162" s="172" cm="1">
        <f t="array" aca="1" ref="CX162" ca="1">IF(OR($D162&lt;&gt;"Serviço",AND(AUTOEVENTO="Manual",$M162=$A$15),$M162&gt;(ROW(PLE.lastrow)-ROW(PLE.firstrow))),0,
           IF(OFFSET(PLE!$G$15,$M162-$A$15,CX$13)="",10^12,OFFSET(PLE!$G$15,$M162-$A$15,CX$13)))</f>
        <v>1000000000000</v>
      </c>
      <c r="CY162" s="172" cm="1">
        <f t="array" aca="1" ref="CY162" ca="1">IF(OR($D162&lt;&gt;"Serviço",AND(AUTOEVENTO="Manual",$M162=$A$15),$M162&gt;(ROW(PLE.lastrow)-ROW(PLE.firstrow))),0,
           IF(OFFSET(PLE!$G$15,$M162-$A$15,CY$13)="",10^12,OFFSET(PLE!$G$15,$M162-$A$15,CY$13)))</f>
        <v>1000000000000</v>
      </c>
      <c r="CZ162" s="172" cm="1">
        <f t="array" aca="1" ref="CZ162" ca="1">IF(OR($D162&lt;&gt;"Serviço",AND(AUTOEVENTO="Manual",$M162=$A$15),$M162&gt;(ROW(PLE.lastrow)-ROW(PLE.firstrow))),0,
           IF(OFFSET(PLE!$G$15,$M162-$A$15,CZ$13)="",10^12,OFFSET(PLE!$G$15,$M162-$A$15,CZ$13)))</f>
        <v>1000000000000</v>
      </c>
      <c r="DA162" s="172" cm="1">
        <f t="array" aca="1" ref="DA162" ca="1">IF(OR($D162&lt;&gt;"Serviço",AND(AUTOEVENTO="Manual",$M162=$A$15),$M162&gt;(ROW(PLE.lastrow)-ROW(PLE.firstrow))),0,
           IF(OFFSET(PLE!$G$15,$M162-$A$15,DA$13)="",10^12,OFFSET(PLE!$G$15,$M162-$A$15,DA$13)))</f>
        <v>1000000000000</v>
      </c>
      <c r="DB162" s="172" cm="1">
        <f t="array" aca="1" ref="DB162" ca="1">IF(OR($D162&lt;&gt;"Serviço",AND(AUTOEVENTO="Manual",$M162=$A$15),$M162&gt;(ROW(PLE.lastrow)-ROW(PLE.firstrow))),0,
           IF(OFFSET(PLE!$G$15,$M162-$A$15,DB$13)="",10^12,OFFSET(PLE!$G$15,$M162-$A$15,DB$13)))</f>
        <v>1000000000000</v>
      </c>
      <c r="DC162" s="172" cm="1">
        <f t="array" aca="1" ref="DC162" ca="1">IF(OR($D162&lt;&gt;"Serviço",AND(AUTOEVENTO="Manual",$M162=$A$15),$M162&gt;(ROW(PLE.lastrow)-ROW(PLE.firstrow))),0,
           IF(OFFSET(PLE!$G$15,$M162-$A$15,DC$13)="",10^12,OFFSET(PLE!$G$15,$M162-$A$15,DC$13)))</f>
        <v>1000000000000</v>
      </c>
      <c r="DD162" s="172" cm="1">
        <f t="array" aca="1" ref="DD162" ca="1">IF(OR($D162&lt;&gt;"Serviço",AND(AUTOEVENTO="Manual",$M162=$A$15),$M162&gt;(ROW(PLE.lastrow)-ROW(PLE.firstrow))),0,
           IF(OFFSET(PLE!$G$15,$M162-$A$15,DD$13)="",10^12,OFFSET(PLE!$G$15,$M162-$A$15,DD$13)))</f>
        <v>1000000000000</v>
      </c>
      <c r="DE162" s="172" cm="1">
        <f t="array" aca="1" ref="DE162" ca="1">IF(OR($D162&lt;&gt;"Serviço",AND(AUTOEVENTO="Manual",$M162=$A$15),$M162&gt;(ROW(PLE.lastrow)-ROW(PLE.firstrow))),0,
           IF(OFFSET(PLE!$G$15,$M162-$A$15,DE$13)="",10^12,OFFSET(PLE!$G$15,$M162-$A$15,DE$13)))</f>
        <v>1000000000000</v>
      </c>
      <c r="DF162" s="172" cm="1">
        <f t="array" aca="1" ref="DF162" ca="1">IF(OR($D162&lt;&gt;"Serviço",AND(AUTOEVENTO="Manual",$M162=$A$15),$M162&gt;(ROW(PLE.lastrow)-ROW(PLE.firstrow))),0,
           IF(OFFSET(PLE!$G$15,$M162-$A$15,DF$13)="",10^12,OFFSET(PLE!$G$15,$M162-$A$15,DF$13)))</f>
        <v>1000000000000</v>
      </c>
      <c r="DG162" s="172" cm="1">
        <f t="array" aca="1" ref="DG162" ca="1">IF(OR($D162&lt;&gt;"Serviço",AND(AUTOEVENTO="Manual",$M162=$A$15),$M162&gt;(ROW(PLE.lastrow)-ROW(PLE.firstrow))),0,
           IF(OFFSET(PLE!$G$15,$M162-$A$15,DG$13)="",10^12,OFFSET(PLE!$G$15,$M162-$A$15,DG$13)))</f>
        <v>1000000000000</v>
      </c>
      <c r="DH162" s="172" cm="1">
        <f t="array" aca="1" ref="DH162" ca="1">IF(OR($D162&lt;&gt;"Serviço",AND(AUTOEVENTO="Manual",$M162=$A$15),$M162&gt;(ROW(PLE.lastrow)-ROW(PLE.firstrow))),0,
           IF(OFFSET(PLE!$G$15,$M162-$A$15,DH$13)="",10^12,OFFSET(PLE!$G$15,$M162-$A$15,DH$13)))</f>
        <v>1000000000000</v>
      </c>
      <c r="DI162" s="172" cm="1">
        <f t="array" aca="1" ref="DI162" ca="1">IF(OR($D162&lt;&gt;"Serviço",AND(AUTOEVENTO="Manual",$M162=$A$15),$M162&gt;(ROW(PLE.lastrow)-ROW(PLE.firstrow))),0,
           IF(OFFSET(PLE!$G$15,$M162-$A$15,DI$13)="",10^12,OFFSET(PLE!$G$15,$M162-$A$15,DI$13)))</f>
        <v>1000000000000</v>
      </c>
      <c r="DJ162" s="172" cm="1">
        <f t="array" aca="1" ref="DJ162" ca="1">IF(OR($D162&lt;&gt;"Serviço",AND(AUTOEVENTO="Manual",$M162=$A$15),$M162&gt;(ROW(PLE.lastrow)-ROW(PLE.firstrow))),0,
           IF(OFFSET(PLE!$G$15,$M162-$A$15,DJ$13)="",10^12,OFFSET(PLE!$G$15,$M162-$A$15,DJ$13)))</f>
        <v>1000000000000</v>
      </c>
      <c r="DK162" s="172" cm="1">
        <f t="array" aca="1" ref="DK162" ca="1">IF(OR($D162&lt;&gt;"Serviço",AND(AUTOEVENTO="Manual",$M162=$A$15),$M162&gt;(ROW(PLE.lastrow)-ROW(PLE.firstrow))),0,
           IF(OFFSET(PLE!$G$15,$M162-$A$15,DK$13)="",10^12,OFFSET(PLE!$G$15,$M162-$A$15,DK$13)))</f>
        <v>1000000000000</v>
      </c>
      <c r="DL162" s="172" cm="1">
        <f t="array" aca="1" ref="DL162" ca="1">IF(OR($D162&lt;&gt;"Serviço",AND(AUTOEVENTO="Manual",$M162=$A$15),$M162&gt;(ROW(PLE.lastrow)-ROW(PLE.firstrow))),0,
           IF(OFFSET(PLE!$G$15,$M162-$A$15,DL$13)="",10^12,OFFSET(PLE!$G$15,$M162-$A$15,DL$13)))</f>
        <v>1000000000000</v>
      </c>
      <c r="DM162" s="172" cm="1">
        <f t="array" aca="1" ref="DM162" ca="1">IF(OR($D162&lt;&gt;"Serviço",AND(AUTOEVENTO="Manual",$M162=$A$15),$M162&gt;(ROW(PLE.lastrow)-ROW(PLE.firstrow))),0,
           IF(OFFSET(PLE!$G$15,$M162-$A$15,DM$13)="",10^12,OFFSET(PLE!$G$15,$M162-$A$15,DM$13)))</f>
        <v>1000000000000</v>
      </c>
      <c r="DN162" s="172" cm="1">
        <f t="array" aca="1" ref="DN162" ca="1">IF(OR($D162&lt;&gt;"Serviço",AND(AUTOEVENTO="Manual",$M162=$A$15),$M162&gt;(ROW(PLE.lastrow)-ROW(PLE.firstrow))),0,
           IF(OFFSET(PLE!$G$15,$M162-$A$15,DN$13)="",10^12,OFFSET(PLE!$G$15,$M162-$A$15,DN$13)))</f>
        <v>1000000000000</v>
      </c>
      <c r="DO162" s="172" cm="1">
        <f t="array" aca="1" ref="DO162" ca="1">IF(OR($D162&lt;&gt;"Serviço",AND(AUTOEVENTO="Manual",$M162=$A$15),$M162&gt;(ROW(PLE.lastrow)-ROW(PLE.firstrow))),0,
           IF(OFFSET(PLE!$G$15,$M162-$A$15,DO$13)="",10^12,OFFSET(PLE!$G$15,$M162-$A$15,DO$13)))</f>
        <v>1000000000000</v>
      </c>
      <c r="DP162" s="172" cm="1">
        <f t="array" aca="1" ref="DP162" ca="1">IF(OR($D162&lt;&gt;"Serviço",AND(AUTOEVENTO="Manual",$M162=$A$15),$M162&gt;(ROW(PLE.lastrow)-ROW(PLE.firstrow))),0,
           IF(OFFSET(PLE!$G$15,$M162-$A$15,DP$13)="",10^12,OFFSET(PLE!$G$15,$M162-$A$15,DP$13)))</f>
        <v>1000000000000</v>
      </c>
      <c r="DQ162" s="172" cm="1">
        <f t="array" aca="1" ref="DQ162" ca="1">IF(OR($D162&lt;&gt;"Serviço",AND(AUTOEVENTO="Manual",$M162=$A$15),$M162&gt;(ROW(PLE.lastrow)-ROW(PLE.firstrow))),0,
           IF(OFFSET(PLE!$G$15,$M162-$A$15,DQ$13)="",10^12,OFFSET(PLE!$G$15,$M162-$A$15,DQ$13)))</f>
        <v>1000000000000</v>
      </c>
      <c r="DR162" s="172" cm="1">
        <f t="array" aca="1" ref="DR162" ca="1">IF(OR($D162&lt;&gt;"Serviço",AND(AUTOEVENTO="Manual",$M162=$A$15),$M162&gt;(ROW(PLE.lastrow)-ROW(PLE.firstrow))),0,
           IF(OFFSET(PLE!$G$15,$M162-$A$15,DR$13)="",10^12,OFFSET(PLE!$G$15,$M162-$A$15,DR$13)))</f>
        <v>1000000000000</v>
      </c>
      <c r="DS162" s="172" cm="1">
        <f t="array" aca="1" ref="DS162" ca="1">IF(OR($D162&lt;&gt;"Serviço",AND(AUTOEVENTO="Manual",$M162=$A$15),$M162&gt;(ROW(PLE.lastrow)-ROW(PLE.firstrow))),0,
           IF(OFFSET(PLE!$G$15,$M162-$A$15,DS$13)="",10^12,OFFSET(PLE!$G$15,$M162-$A$15,DS$13)))</f>
        <v>1000000000000</v>
      </c>
    </row>
    <row r="163" spans="1:123" ht="38.25" x14ac:dyDescent="0.2">
      <c r="A163" s="7">
        <f t="shared" ca="1" si="16"/>
        <v>9</v>
      </c>
      <c r="B163" s="7" t="str">
        <f ca="1">OFFSET(ORÇAMENTO!C$15,$L163,0)</f>
        <v>S</v>
      </c>
      <c r="C163" s="7" t="str">
        <f ca="1">OFFSET(ORÇAMENTO!L$15,$L163,0)</f>
        <v/>
      </c>
      <c r="D163" s="116" t="str">
        <f ca="1">OFFSET(ORÇAMENTO!N$15,$L163,0)</f>
        <v>Serviço</v>
      </c>
      <c r="E163" s="117" t="str">
        <f ca="1">OFFSET(ORÇAMENTO!O$15,$L163,0)</f>
        <v>-</v>
      </c>
      <c r="F163" s="163" t="str">
        <f ca="1">OFFSET(ORÇAMENTO!R$15,$L163,0)</f>
        <v>(Código não identificado nas referências)</v>
      </c>
      <c r="G163" s="164" t="str">
        <f ca="1">IF($D163&lt;&gt;"Serviço","",OFFSET(ORÇAMENTO!S$15,$L163,0))</f>
        <v>-</v>
      </c>
      <c r="H163" s="122" cm="1">
        <f t="array" aca="1" ref="H163" ca="1">IF($D163&lt;&gt;"Serviço",0,IF(ACOMPANHAMENTO="BM",ROUND(OFFSET(ORÇAMENTO!AJ$15,$L163,0),15-13*ORÇAMENTO!$AF$7),IF(IFERROR(CÁLCULO.FrentesPreenchidas,0)=0,0,SUM(ROUND(OFFSET($P163,0,1,1,CÁLCULO.FrentesPreenchidas),15-13*ORÇAMENTO!$AF$7)))))</f>
        <v>1165.9999999999995</v>
      </c>
      <c r="I163" s="468" t="s">
        <v>1235</v>
      </c>
      <c r="J163" s="651" t="str" cm="1">
        <f t="array" aca="1" ref="J163" ca="1">IF(OR(B163&lt;&gt;"S",CÁLCULO.FrentesPreenchidas=0),"",IF(AND(ACOMPANHAMENTO="PLE",AUTOEVENTO="Manual",OR(H163&gt;0,ORÇAMENTO!AC163="QUANT."),OR(K163="",M163=0,N163="")),"►E",IF(AND(ACOMPANHAMENTO="PLE",ORÇAMENTO!AC163="QUANT."),"►Q",IF(AND(ACOMPANHAMENTO="PLE",H163&lt;&gt;SUMPRODUCT(($Q$1:$AQ$1=1)*ROUND(Q163:AQ163,15))),"►S",IF(AND(COUNTIF($P$11:$AQ$11,"▼")=0,H163&gt;0,I163=""),"◄M","")))))</f>
        <v/>
      </c>
      <c r="K163" s="652" t="s">
        <v>1257</v>
      </c>
      <c r="L163" s="165">
        <f t="shared" ca="1" si="17"/>
        <v>148</v>
      </c>
      <c r="M163" s="166">
        <f ca="1">IF($D163&lt;&gt;"Serviço","",
          IF(AUTOEVENTO="manual",$A163,
                IF(ISERROR(MATCH($A163,$A$15:OFFSET($A163,-1,0),0)),MAX($M$15:OFFSET(M163,-1,0))+1,
                      INDEX($M$15:OFFSET(M163,-1,0),MATCH($A163,$A$15:OFFSET($A163,-1,0),0)))))</f>
        <v>9</v>
      </c>
      <c r="N163" s="167" t="str">
        <f ca="1">IF($D163&lt;&gt;"Serviço","",
         IF(AUTOEVENTO="Manual",
                IF($A163=0,"&lt;-- defina o número do agrupador",
                       OFFSET(EVENTOS!$D$15,$A163-$A$15,0)),
                OFFSET($F$15,$A163,0)))</f>
        <v>INSTALAÇÕES</v>
      </c>
      <c r="O163" s="168"/>
      <c r="Q163" s="168">
        <v>58.3</v>
      </c>
      <c r="R163" s="169">
        <v>58.3</v>
      </c>
      <c r="S163" s="169">
        <v>58.3</v>
      </c>
      <c r="T163" s="169">
        <v>58.3</v>
      </c>
      <c r="U163" s="169">
        <v>58.3</v>
      </c>
      <c r="V163" s="169">
        <v>58.3</v>
      </c>
      <c r="W163" s="169">
        <v>58.3</v>
      </c>
      <c r="X163" s="169">
        <v>58.3</v>
      </c>
      <c r="Y163" s="169">
        <v>58.3</v>
      </c>
      <c r="Z163" s="170">
        <v>58.3</v>
      </c>
      <c r="AA163" s="169">
        <v>58.3</v>
      </c>
      <c r="AB163" s="169">
        <v>58.3</v>
      </c>
      <c r="AC163" s="169">
        <v>58.3</v>
      </c>
      <c r="AD163" s="169">
        <v>58.3</v>
      </c>
      <c r="AE163" s="169">
        <v>58.3</v>
      </c>
      <c r="AF163" s="169">
        <v>58.3</v>
      </c>
      <c r="AG163" s="169">
        <v>58.3</v>
      </c>
      <c r="AH163" s="170">
        <v>58.3</v>
      </c>
      <c r="AI163" s="169">
        <v>58.3</v>
      </c>
      <c r="AJ163" s="169">
        <v>58.3</v>
      </c>
      <c r="AK163" s="169"/>
      <c r="AL163" s="169"/>
      <c r="AM163" s="169"/>
      <c r="AN163" s="169"/>
      <c r="AO163" s="169"/>
      <c r="AP163" s="170"/>
      <c r="AR163" s="453">
        <f ca="1">IF(AND($D163="Serviço",AR$12&lt;&gt;0,$H163&gt;0,OR(AUTOEVENTO&lt;&gt;"manual",$M163&lt;&gt;$A$15)),
        IF(Import.TipoArredondamento&lt;&gt;"TransfereGOV",
              ROUND(OFFSET($P163,0,AR$13),15-13*ORÇAMENTO!$AF$7)/$H163*OFFSET(ORÇAMENTO!$X$15,ROW(AR163)-ROW(AR$15),0),
              ROUND(ROUND(OFFSET($P163,0,AR$13),15-13*ORÇAMENTO!$AF$7)*OFFSET(ORÇAMENTO!$W$15,ROW(AR163)-ROW(AR$15),0),15-13*ORÇAMENTO!$AF$11)),
         0)</f>
        <v>0</v>
      </c>
      <c r="AS163" s="453">
        <f ca="1">IF(AND($D163="Serviço",AS$12&lt;&gt;0,$H163&gt;0,OR(AUTOEVENTO&lt;&gt;"manual",$M163&lt;&gt;$A$15)),
        IF(Import.TipoArredondamento&lt;&gt;"TransfereGOV",
              ROUND(OFFSET($P163,0,AS$13),15-13*ORÇAMENTO!$AF$7)/$H163*OFFSET(ORÇAMENTO!$X$15,ROW(AS163)-ROW(AS$15),0),
              ROUND(ROUND(OFFSET($P163,0,AS$13),15-13*ORÇAMENTO!$AF$7)*OFFSET(ORÇAMENTO!$W$15,ROW(AS163)-ROW(AS$15),0),15-13*ORÇAMENTO!$AF$11)),
         0)</f>
        <v>0</v>
      </c>
      <c r="AT163" s="453">
        <f ca="1">IF(AND($D163="Serviço",AT$12&lt;&gt;0,$H163&gt;0,OR(AUTOEVENTO&lt;&gt;"manual",$M163&lt;&gt;$A$15)),
        IF(Import.TipoArredondamento&lt;&gt;"TransfereGOV",
              ROUND(OFFSET($P163,0,AT$13),15-13*ORÇAMENTO!$AF$7)/$H163*OFFSET(ORÇAMENTO!$X$15,ROW(AT163)-ROW(AT$15),0),
              ROUND(ROUND(OFFSET($P163,0,AT$13),15-13*ORÇAMENTO!$AF$7)*OFFSET(ORÇAMENTO!$W$15,ROW(AT163)-ROW(AT$15),0),15-13*ORÇAMENTO!$AF$11)),
         0)</f>
        <v>0</v>
      </c>
      <c r="AU163" s="453">
        <f ca="1">IF(AND($D163="Serviço",AU$12&lt;&gt;0,$H163&gt;0,OR(AUTOEVENTO&lt;&gt;"manual",$M163&lt;&gt;$A$15)),
        IF(Import.TipoArredondamento&lt;&gt;"TransfereGOV",
              ROUND(OFFSET($P163,0,AU$13),15-13*ORÇAMENTO!$AF$7)/$H163*OFFSET(ORÇAMENTO!$X$15,ROW(AU163)-ROW(AU$15),0),
              ROUND(ROUND(OFFSET($P163,0,AU$13),15-13*ORÇAMENTO!$AF$7)*OFFSET(ORÇAMENTO!$W$15,ROW(AU163)-ROW(AU$15),0),15-13*ORÇAMENTO!$AF$11)),
         0)</f>
        <v>0</v>
      </c>
      <c r="AV163" s="453">
        <f ca="1">IF(AND($D163="Serviço",AV$12&lt;&gt;0,$H163&gt;0,OR(AUTOEVENTO&lt;&gt;"manual",$M163&lt;&gt;$A$15)),
        IF(Import.TipoArredondamento&lt;&gt;"TransfereGOV",
              ROUND(OFFSET($P163,0,AV$13),15-13*ORÇAMENTO!$AF$7)/$H163*OFFSET(ORÇAMENTO!$X$15,ROW(AV163)-ROW(AV$15),0),
              ROUND(ROUND(OFFSET($P163,0,AV$13),15-13*ORÇAMENTO!$AF$7)*OFFSET(ORÇAMENTO!$W$15,ROW(AV163)-ROW(AV$15),0),15-13*ORÇAMENTO!$AF$11)),
         0)</f>
        <v>0</v>
      </c>
      <c r="AW163" s="453">
        <f ca="1">IF(AND($D163="Serviço",AW$12&lt;&gt;0,$H163&gt;0,OR(AUTOEVENTO&lt;&gt;"manual",$M163&lt;&gt;$A$15)),
        IF(Import.TipoArredondamento&lt;&gt;"TransfereGOV",
              ROUND(OFFSET($P163,0,AW$13),15-13*ORÇAMENTO!$AF$7)/$H163*OFFSET(ORÇAMENTO!$X$15,ROW(AW163)-ROW(AW$15),0),
              ROUND(ROUND(OFFSET($P163,0,AW$13),15-13*ORÇAMENTO!$AF$7)*OFFSET(ORÇAMENTO!$W$15,ROW(AW163)-ROW(AW$15),0),15-13*ORÇAMENTO!$AF$11)),
         0)</f>
        <v>0</v>
      </c>
      <c r="AX163" s="453">
        <f ca="1">IF(AND($D163="Serviço",AX$12&lt;&gt;0,$H163&gt;0,OR(AUTOEVENTO&lt;&gt;"manual",$M163&lt;&gt;$A$15)),
        IF(Import.TipoArredondamento&lt;&gt;"TransfereGOV",
              ROUND(OFFSET($P163,0,AX$13),15-13*ORÇAMENTO!$AF$7)/$H163*OFFSET(ORÇAMENTO!$X$15,ROW(AX163)-ROW(AX$15),0),
              ROUND(ROUND(OFFSET($P163,0,AX$13),15-13*ORÇAMENTO!$AF$7)*OFFSET(ORÇAMENTO!$W$15,ROW(AX163)-ROW(AX$15),0),15-13*ORÇAMENTO!$AF$11)),
         0)</f>
        <v>0</v>
      </c>
      <c r="AY163" s="453">
        <f ca="1">IF(AND($D163="Serviço",AY$12&lt;&gt;0,$H163&gt;0,OR(AUTOEVENTO&lt;&gt;"manual",$M163&lt;&gt;$A$15)),
        IF(Import.TipoArredondamento&lt;&gt;"TransfereGOV",
              ROUND(OFFSET($P163,0,AY$13),15-13*ORÇAMENTO!$AF$7)/$H163*OFFSET(ORÇAMENTO!$X$15,ROW(AY163)-ROW(AY$15),0),
              ROUND(ROUND(OFFSET($P163,0,AY$13),15-13*ORÇAMENTO!$AF$7)*OFFSET(ORÇAMENTO!$W$15,ROW(AY163)-ROW(AY$15),0),15-13*ORÇAMENTO!$AF$11)),
         0)</f>
        <v>0</v>
      </c>
      <c r="AZ163" s="453">
        <f ca="1">IF(AND($D163="Serviço",AZ$12&lt;&gt;0,$H163&gt;0,OR(AUTOEVENTO&lt;&gt;"manual",$M163&lt;&gt;$A$15)),
        IF(Import.TipoArredondamento&lt;&gt;"TransfereGOV",
              ROUND(OFFSET($P163,0,AZ$13),15-13*ORÇAMENTO!$AF$7)/$H163*OFFSET(ORÇAMENTO!$X$15,ROW(AZ163)-ROW(AZ$15),0),
              ROUND(ROUND(OFFSET($P163,0,AZ$13),15-13*ORÇAMENTO!$AF$7)*OFFSET(ORÇAMENTO!$W$15,ROW(AZ163)-ROW(AZ$15),0),15-13*ORÇAMENTO!$AF$11)),
         0)</f>
        <v>0</v>
      </c>
      <c r="BA163" s="453">
        <f ca="1">IF(AND($D163="Serviço",BA$12&lt;&gt;0,$H163&gt;0,OR(AUTOEVENTO&lt;&gt;"manual",$M163&lt;&gt;$A$15)),
        IF(Import.TipoArredondamento&lt;&gt;"TransfereGOV",
              ROUND(OFFSET($P163,0,BA$13),15-13*ORÇAMENTO!$AF$7)/$H163*OFFSET(ORÇAMENTO!$X$15,ROW(BA163)-ROW(BA$15),0),
              ROUND(ROUND(OFFSET($P163,0,BA$13),15-13*ORÇAMENTO!$AF$7)*OFFSET(ORÇAMENTO!$W$15,ROW(BA163)-ROW(BA$15),0),15-13*ORÇAMENTO!$AF$11)),
         0)</f>
        <v>0</v>
      </c>
      <c r="BB163" s="453">
        <f ca="1">IF(AND($D163="Serviço",BB$12&lt;&gt;0,$H163&gt;0,OR(AUTOEVENTO&lt;&gt;"manual",$M163&lt;&gt;$A$15)),
        IF(Import.TipoArredondamento&lt;&gt;"TransfereGOV",
              ROUND(OFFSET($P163,0,BB$13),15-13*ORÇAMENTO!$AF$7)/$H163*OFFSET(ORÇAMENTO!$X$15,ROW(BB163)-ROW(BB$15),0),
              ROUND(ROUND(OFFSET($P163,0,BB$13),15-13*ORÇAMENTO!$AF$7)*OFFSET(ORÇAMENTO!$W$15,ROW(BB163)-ROW(BB$15),0),15-13*ORÇAMENTO!$AF$11)),
         0)</f>
        <v>0</v>
      </c>
      <c r="BC163" s="453">
        <f ca="1">IF(AND($D163="Serviço",BC$12&lt;&gt;0,$H163&gt;0,OR(AUTOEVENTO&lt;&gt;"manual",$M163&lt;&gt;$A$15)),
        IF(Import.TipoArredondamento&lt;&gt;"TransfereGOV",
              ROUND(OFFSET($P163,0,BC$13),15-13*ORÇAMENTO!$AF$7)/$H163*OFFSET(ORÇAMENTO!$X$15,ROW(BC163)-ROW(BC$15),0),
              ROUND(ROUND(OFFSET($P163,0,BC$13),15-13*ORÇAMENTO!$AF$7)*OFFSET(ORÇAMENTO!$W$15,ROW(BC163)-ROW(BC$15),0),15-13*ORÇAMENTO!$AF$11)),
         0)</f>
        <v>0</v>
      </c>
      <c r="BD163" s="453">
        <f ca="1">IF(AND($D163="Serviço",BD$12&lt;&gt;0,$H163&gt;0,OR(AUTOEVENTO&lt;&gt;"manual",$M163&lt;&gt;$A$15)),
        IF(Import.TipoArredondamento&lt;&gt;"TransfereGOV",
              ROUND(OFFSET($P163,0,BD$13),15-13*ORÇAMENTO!$AF$7)/$H163*OFFSET(ORÇAMENTO!$X$15,ROW(BD163)-ROW(BD$15),0),
              ROUND(ROUND(OFFSET($P163,0,BD$13),15-13*ORÇAMENTO!$AF$7)*OFFSET(ORÇAMENTO!$W$15,ROW(BD163)-ROW(BD$15),0),15-13*ORÇAMENTO!$AF$11)),
         0)</f>
        <v>0</v>
      </c>
      <c r="BE163" s="453">
        <f ca="1">IF(AND($D163="Serviço",BE$12&lt;&gt;0,$H163&gt;0,OR(AUTOEVENTO&lt;&gt;"manual",$M163&lt;&gt;$A$15)),
        IF(Import.TipoArredondamento&lt;&gt;"TransfereGOV",
              ROUND(OFFSET($P163,0,BE$13),15-13*ORÇAMENTO!$AF$7)/$H163*OFFSET(ORÇAMENTO!$X$15,ROW(BE163)-ROW(BE$15),0),
              ROUND(ROUND(OFFSET($P163,0,BE$13),15-13*ORÇAMENTO!$AF$7)*OFFSET(ORÇAMENTO!$W$15,ROW(BE163)-ROW(BE$15),0),15-13*ORÇAMENTO!$AF$11)),
         0)</f>
        <v>0</v>
      </c>
      <c r="BF163" s="453">
        <f ca="1">IF(AND($D163="Serviço",BF$12&lt;&gt;0,$H163&gt;0,OR(AUTOEVENTO&lt;&gt;"manual",$M163&lt;&gt;$A$15)),
        IF(Import.TipoArredondamento&lt;&gt;"TransfereGOV",
              ROUND(OFFSET($P163,0,BF$13),15-13*ORÇAMENTO!$AF$7)/$H163*OFFSET(ORÇAMENTO!$X$15,ROW(BF163)-ROW(BF$15),0),
              ROUND(ROUND(OFFSET($P163,0,BF$13),15-13*ORÇAMENTO!$AF$7)*OFFSET(ORÇAMENTO!$W$15,ROW(BF163)-ROW(BF$15),0),15-13*ORÇAMENTO!$AF$11)),
         0)</f>
        <v>0</v>
      </c>
      <c r="BG163" s="453">
        <f ca="1">IF(AND($D163="Serviço",BG$12&lt;&gt;0,$H163&gt;0,OR(AUTOEVENTO&lt;&gt;"manual",$M163&lt;&gt;$A$15)),
        IF(Import.TipoArredondamento&lt;&gt;"TransfereGOV",
              ROUND(OFFSET($P163,0,BG$13),15-13*ORÇAMENTO!$AF$7)/$H163*OFFSET(ORÇAMENTO!$X$15,ROW(BG163)-ROW(BG$15),0),
              ROUND(ROUND(OFFSET($P163,0,BG$13),15-13*ORÇAMENTO!$AF$7)*OFFSET(ORÇAMENTO!$W$15,ROW(BG163)-ROW(BG$15),0),15-13*ORÇAMENTO!$AF$11)),
         0)</f>
        <v>0</v>
      </c>
      <c r="BH163" s="453">
        <f ca="1">IF(AND($D163="Serviço",BH$12&lt;&gt;0,$H163&gt;0,OR(AUTOEVENTO&lt;&gt;"manual",$M163&lt;&gt;$A$15)),
        IF(Import.TipoArredondamento&lt;&gt;"TransfereGOV",
              ROUND(OFFSET($P163,0,BH$13),15-13*ORÇAMENTO!$AF$7)/$H163*OFFSET(ORÇAMENTO!$X$15,ROW(BH163)-ROW(BH$15),0),
              ROUND(ROUND(OFFSET($P163,0,BH$13),15-13*ORÇAMENTO!$AF$7)*OFFSET(ORÇAMENTO!$W$15,ROW(BH163)-ROW(BH$15),0),15-13*ORÇAMENTO!$AF$11)),
         0)</f>
        <v>0</v>
      </c>
      <c r="BI163" s="453">
        <f ca="1">IF(AND($D163="Serviço",BI$12&lt;&gt;0,$H163&gt;0,OR(AUTOEVENTO&lt;&gt;"manual",$M163&lt;&gt;$A$15)),
        IF(Import.TipoArredondamento&lt;&gt;"TransfereGOV",
              ROUND(OFFSET($P163,0,BI$13),15-13*ORÇAMENTO!$AF$7)/$H163*OFFSET(ORÇAMENTO!$X$15,ROW(BI163)-ROW(BI$15),0),
              ROUND(ROUND(OFFSET($P163,0,BI$13),15-13*ORÇAMENTO!$AF$7)*OFFSET(ORÇAMENTO!$W$15,ROW(BI163)-ROW(BI$15),0),15-13*ORÇAMENTO!$AF$11)),
         0)</f>
        <v>0</v>
      </c>
      <c r="BJ163" s="453">
        <f ca="1">IF(AND($D163="Serviço",BJ$12&lt;&gt;0,$H163&gt;0,OR(AUTOEVENTO&lt;&gt;"manual",$M163&lt;&gt;$A$15)),
        IF(Import.TipoArredondamento&lt;&gt;"TransfereGOV",
              ROUND(OFFSET($P163,0,BJ$13),15-13*ORÇAMENTO!$AF$7)/$H163*OFFSET(ORÇAMENTO!$X$15,ROW(BJ163)-ROW(BJ$15),0),
              ROUND(ROUND(OFFSET($P163,0,BJ$13),15-13*ORÇAMENTO!$AF$7)*OFFSET(ORÇAMENTO!$W$15,ROW(BJ163)-ROW(BJ$15),0),15-13*ORÇAMENTO!$AF$11)),
         0)</f>
        <v>0</v>
      </c>
      <c r="BK163" s="453">
        <f ca="1">IF(AND($D163="Serviço",BK$12&lt;&gt;0,$H163&gt;0,OR(AUTOEVENTO&lt;&gt;"manual",$M163&lt;&gt;$A$15)),
        IF(Import.TipoArredondamento&lt;&gt;"TransfereGOV",
              ROUND(OFFSET($P163,0,BK$13),15-13*ORÇAMENTO!$AF$7)/$H163*OFFSET(ORÇAMENTO!$X$15,ROW(BK163)-ROW(BK$15),0),
              ROUND(ROUND(OFFSET($P163,0,BK$13),15-13*ORÇAMENTO!$AF$7)*OFFSET(ORÇAMENTO!$W$15,ROW(BK163)-ROW(BK$15),0),15-13*ORÇAMENTO!$AF$11)),
         0)</f>
        <v>0</v>
      </c>
      <c r="BL163" s="453">
        <f ca="1">IF(AND($D163="Serviço",BL$12&lt;&gt;0,$H163&gt;0,OR(AUTOEVENTO&lt;&gt;"manual",$M163&lt;&gt;$A$15)),
        IF(Import.TipoArredondamento&lt;&gt;"TransfereGOV",
              ROUND(OFFSET($P163,0,BL$13),15-13*ORÇAMENTO!$AF$7)/$H163*OFFSET(ORÇAMENTO!$X$15,ROW(BL163)-ROW(BL$15),0),
              ROUND(ROUND(OFFSET($P163,0,BL$13),15-13*ORÇAMENTO!$AF$7)*OFFSET(ORÇAMENTO!$W$15,ROW(BL163)-ROW(BL$15),0),15-13*ORÇAMENTO!$AF$11)),
         0)</f>
        <v>0</v>
      </c>
      <c r="BM163" s="453">
        <f ca="1">IF(AND($D163="Serviço",BM$12&lt;&gt;0,$H163&gt;0,OR(AUTOEVENTO&lt;&gt;"manual",$M163&lt;&gt;$A$15)),
        IF(Import.TipoArredondamento&lt;&gt;"TransfereGOV",
              ROUND(OFFSET($P163,0,BM$13),15-13*ORÇAMENTO!$AF$7)/$H163*OFFSET(ORÇAMENTO!$X$15,ROW(BM163)-ROW(BM$15),0),
              ROUND(ROUND(OFFSET($P163,0,BM$13),15-13*ORÇAMENTO!$AF$7)*OFFSET(ORÇAMENTO!$W$15,ROW(BM163)-ROW(BM$15),0),15-13*ORÇAMENTO!$AF$11)),
         0)</f>
        <v>0</v>
      </c>
      <c r="BN163" s="453">
        <f ca="1">IF(AND($D163="Serviço",BN$12&lt;&gt;0,$H163&gt;0,OR(AUTOEVENTO&lt;&gt;"manual",$M163&lt;&gt;$A$15)),
        IF(Import.TipoArredondamento&lt;&gt;"TransfereGOV",
              ROUND(OFFSET($P163,0,BN$13),15-13*ORÇAMENTO!$AF$7)/$H163*OFFSET(ORÇAMENTO!$X$15,ROW(BN163)-ROW(BN$15),0),
              ROUND(ROUND(OFFSET($P163,0,BN$13),15-13*ORÇAMENTO!$AF$7)*OFFSET(ORÇAMENTO!$W$15,ROW(BN163)-ROW(BN$15),0),15-13*ORÇAMENTO!$AF$11)),
         0)</f>
        <v>0</v>
      </c>
      <c r="BO163" s="453">
        <f ca="1">IF(AND($D163="Serviço",BO$12&lt;&gt;0,$H163&gt;0,OR(AUTOEVENTO&lt;&gt;"manual",$M163&lt;&gt;$A$15)),
        IF(Import.TipoArredondamento&lt;&gt;"TransfereGOV",
              ROUND(OFFSET($P163,0,BO$13),15-13*ORÇAMENTO!$AF$7)/$H163*OFFSET(ORÇAMENTO!$X$15,ROW(BO163)-ROW(BO$15),0),
              ROUND(ROUND(OFFSET($P163,0,BO$13),15-13*ORÇAMENTO!$AF$7)*OFFSET(ORÇAMENTO!$W$15,ROW(BO163)-ROW(BO$15),0),15-13*ORÇAMENTO!$AF$11)),
         0)</f>
        <v>0</v>
      </c>
      <c r="BP163" s="453">
        <f ca="1">IF(AND($D163="Serviço",BP$12&lt;&gt;0,$H163&gt;0,OR(AUTOEVENTO&lt;&gt;"manual",$M163&lt;&gt;$A$15)),
        IF(Import.TipoArredondamento&lt;&gt;"TransfereGOV",
              ROUND(OFFSET($P163,0,BP$13),15-13*ORÇAMENTO!$AF$7)/$H163*OFFSET(ORÇAMENTO!$X$15,ROW(BP163)-ROW(BP$15),0),
              ROUND(ROUND(OFFSET($P163,0,BP$13),15-13*ORÇAMENTO!$AF$7)*OFFSET(ORÇAMENTO!$W$15,ROW(BP163)-ROW(BP$15),0),15-13*ORÇAMENTO!$AF$11)),
         0)</f>
        <v>0</v>
      </c>
      <c r="BQ163" s="453">
        <f ca="1">IF(AND($D163="Serviço",BQ$12&lt;&gt;0,$H163&gt;0,OR(AUTOEVENTO&lt;&gt;"manual",$M163&lt;&gt;$A$15)),
        IF(Import.TipoArredondamento&lt;&gt;"TransfereGOV",
              ROUND(OFFSET($P163,0,BQ$13),15-13*ORÇAMENTO!$AF$7)/$H163*OFFSET(ORÇAMENTO!$X$15,ROW(BQ163)-ROW(BQ$15),0),
              ROUND(ROUND(OFFSET($P163,0,BQ$13),15-13*ORÇAMENTO!$AF$7)*OFFSET(ORÇAMENTO!$W$15,ROW(BQ163)-ROW(BQ$15),0),15-13*ORÇAMENTO!$AF$11)),
         0)</f>
        <v>0</v>
      </c>
      <c r="BS163" s="171">
        <f ca="1">IF(OR($D163&lt;&gt;"Serviço",AND(AUTOEVENTO="Manual",$M163=$A$15)),0,
         IF(OFFSET(CRONOPLE!$F$15,$M163-$A$15,BS$13)=0,10^12,OFFSET(CRONOPLE!$F$15,$M163-$A$15,BS$13)))</f>
        <v>1</v>
      </c>
      <c r="BT163" s="171">
        <f ca="1">IF(OR($D163&lt;&gt;"Serviço",AND(AUTOEVENTO="Manual",$M163=$A$15)),0,
         IF(OFFSET(CRONOPLE!$F$15,$M163-$A$15,BT$13)=0,10^12,OFFSET(CRONOPLE!$F$15,$M163-$A$15,BT$13)))</f>
        <v>2</v>
      </c>
      <c r="BU163" s="171">
        <f ca="1">IF(OR($D163&lt;&gt;"Serviço",AND(AUTOEVENTO="Manual",$M163=$A$15)),0,
         IF(OFFSET(CRONOPLE!$F$15,$M163-$A$15,BU$13)=0,10^12,OFFSET(CRONOPLE!$F$15,$M163-$A$15,BU$13)))</f>
        <v>3</v>
      </c>
      <c r="BV163" s="171">
        <f ca="1">IF(OR($D163&lt;&gt;"Serviço",AND(AUTOEVENTO="Manual",$M163=$A$15)),0,
         IF(OFFSET(CRONOPLE!$F$15,$M163-$A$15,BV$13)=0,10^12,OFFSET(CRONOPLE!$F$15,$M163-$A$15,BV$13)))</f>
        <v>4</v>
      </c>
      <c r="BW163" s="171">
        <f ca="1">IF(OR($D163&lt;&gt;"Serviço",AND(AUTOEVENTO="Manual",$M163=$A$15)),0,
         IF(OFFSET(CRONOPLE!$F$15,$M163-$A$15,BW$13)=0,10^12,OFFSET(CRONOPLE!$F$15,$M163-$A$15,BW$13)))</f>
        <v>5</v>
      </c>
      <c r="BX163" s="171">
        <f ca="1">IF(OR($D163&lt;&gt;"Serviço",AND(AUTOEVENTO="Manual",$M163=$A$15)),0,
         IF(OFFSET(CRONOPLE!$F$15,$M163-$A$15,BX$13)=0,10^12,OFFSET(CRONOPLE!$F$15,$M163-$A$15,BX$13)))</f>
        <v>6</v>
      </c>
      <c r="BY163" s="171">
        <f ca="1">IF(OR($D163&lt;&gt;"Serviço",AND(AUTOEVENTO="Manual",$M163=$A$15)),0,
         IF(OFFSET(CRONOPLE!$F$15,$M163-$A$15,BY$13)=0,10^12,OFFSET(CRONOPLE!$F$15,$M163-$A$15,BY$13)))</f>
        <v>7</v>
      </c>
      <c r="BZ163" s="171">
        <f ca="1">IF(OR($D163&lt;&gt;"Serviço",AND(AUTOEVENTO="Manual",$M163=$A$15)),0,
         IF(OFFSET(CRONOPLE!$F$15,$M163-$A$15,BZ$13)=0,10^12,OFFSET(CRONOPLE!$F$15,$M163-$A$15,BZ$13)))</f>
        <v>8</v>
      </c>
      <c r="CA163" s="171">
        <f ca="1">IF(OR($D163&lt;&gt;"Serviço",AND(AUTOEVENTO="Manual",$M163=$A$15)),0,
         IF(OFFSET(CRONOPLE!$F$15,$M163-$A$15,CA$13)=0,10^12,OFFSET(CRONOPLE!$F$15,$M163-$A$15,CA$13)))</f>
        <v>9</v>
      </c>
      <c r="CB163" s="171">
        <f ca="1">IF(OR($D163&lt;&gt;"Serviço",AND(AUTOEVENTO="Manual",$M163=$A$15)),0,
         IF(OFFSET(CRONOPLE!$F$15,$M163-$A$15,CB$13)=0,10^12,OFFSET(CRONOPLE!$F$15,$M163-$A$15,CB$13)))</f>
        <v>10</v>
      </c>
      <c r="CC163" s="171">
        <f ca="1">IF(OR($D163&lt;&gt;"Serviço",AND(AUTOEVENTO="Manual",$M163=$A$15)),0,
         IF(OFFSET(CRONOPLE!$F$15,$M163-$A$15,CC$13)=0,10^12,OFFSET(CRONOPLE!$F$15,$M163-$A$15,CC$13)))</f>
        <v>11</v>
      </c>
      <c r="CD163" s="171">
        <f ca="1">IF(OR($D163&lt;&gt;"Serviço",AND(AUTOEVENTO="Manual",$M163=$A$15)),0,
         IF(OFFSET(CRONOPLE!$F$15,$M163-$A$15,CD$13)=0,10^12,OFFSET(CRONOPLE!$F$15,$M163-$A$15,CD$13)))</f>
        <v>12</v>
      </c>
      <c r="CE163" s="171">
        <f ca="1">IF(OR($D163&lt;&gt;"Serviço",AND(AUTOEVENTO="Manual",$M163=$A$15)),0,
         IF(OFFSET(CRONOPLE!$F$15,$M163-$A$15,CE$13)=0,10^12,OFFSET(CRONOPLE!$F$15,$M163-$A$15,CE$13)))</f>
        <v>13</v>
      </c>
      <c r="CF163" s="171">
        <f ca="1">IF(OR($D163&lt;&gt;"Serviço",AND(AUTOEVENTO="Manual",$M163=$A$15)),0,
         IF(OFFSET(CRONOPLE!$F$15,$M163-$A$15,CF$13)=0,10^12,OFFSET(CRONOPLE!$F$15,$M163-$A$15,CF$13)))</f>
        <v>14</v>
      </c>
      <c r="CG163" s="171">
        <f ca="1">IF(OR($D163&lt;&gt;"Serviço",AND(AUTOEVENTO="Manual",$M163=$A$15)),0,
         IF(OFFSET(CRONOPLE!$F$15,$M163-$A$15,CG$13)=0,10^12,OFFSET(CRONOPLE!$F$15,$M163-$A$15,CG$13)))</f>
        <v>15</v>
      </c>
      <c r="CH163" s="171">
        <f ca="1">IF(OR($D163&lt;&gt;"Serviço",AND(AUTOEVENTO="Manual",$M163=$A$15)),0,
         IF(OFFSET(CRONOPLE!$F$15,$M163-$A$15,CH$13)=0,10^12,OFFSET(CRONOPLE!$F$15,$M163-$A$15,CH$13)))</f>
        <v>16</v>
      </c>
      <c r="CI163" s="171">
        <f ca="1">IF(OR($D163&lt;&gt;"Serviço",AND(AUTOEVENTO="Manual",$M163=$A$15)),0,
         IF(OFFSET(CRONOPLE!$F$15,$M163-$A$15,CI$13)=0,10^12,OFFSET(CRONOPLE!$F$15,$M163-$A$15,CI$13)))</f>
        <v>17</v>
      </c>
      <c r="CJ163" s="171">
        <f ca="1">IF(OR($D163&lt;&gt;"Serviço",AND(AUTOEVENTO="Manual",$M163=$A$15)),0,
         IF(OFFSET(CRONOPLE!$F$15,$M163-$A$15,CJ$13)=0,10^12,OFFSET(CRONOPLE!$F$15,$M163-$A$15,CJ$13)))</f>
        <v>18</v>
      </c>
      <c r="CK163" s="171">
        <f ca="1">IF(OR($D163&lt;&gt;"Serviço",AND(AUTOEVENTO="Manual",$M163=$A$15)),0,
         IF(OFFSET(CRONOPLE!$F$15,$M163-$A$15,CK$13)=0,10^12,OFFSET(CRONOPLE!$F$15,$M163-$A$15,CK$13)))</f>
        <v>19</v>
      </c>
      <c r="CL163" s="171">
        <f ca="1">IF(OR($D163&lt;&gt;"Serviço",AND(AUTOEVENTO="Manual",$M163=$A$15)),0,
         IF(OFFSET(CRONOPLE!$F$15,$M163-$A$15,CL$13)=0,10^12,OFFSET(CRONOPLE!$F$15,$M163-$A$15,CL$13)))</f>
        <v>20</v>
      </c>
      <c r="CM163" s="171">
        <f ca="1">IF(OR($D163&lt;&gt;"Serviço",AND(AUTOEVENTO="Manual",$M163=$A$15)),0,
         IF(OFFSET(CRONOPLE!$F$15,$M163-$A$15,CM$13)=0,10^12,OFFSET(CRONOPLE!$F$15,$M163-$A$15,CM$13)))</f>
        <v>1000000000000</v>
      </c>
      <c r="CN163" s="171">
        <f ca="1">IF(OR($D163&lt;&gt;"Serviço",AND(AUTOEVENTO="Manual",$M163=$A$15)),0,
         IF(OFFSET(CRONOPLE!$F$15,$M163-$A$15,CN$13)=0,10^12,OFFSET(CRONOPLE!$F$15,$M163-$A$15,CN$13)))</f>
        <v>1000000000000</v>
      </c>
      <c r="CO163" s="171">
        <f ca="1">IF(OR($D163&lt;&gt;"Serviço",AND(AUTOEVENTO="Manual",$M163=$A$15)),0,
         IF(OFFSET(CRONOPLE!$F$15,$M163-$A$15,CO$13)=0,10^12,OFFSET(CRONOPLE!$F$15,$M163-$A$15,CO$13)))</f>
        <v>1000000000000</v>
      </c>
      <c r="CP163" s="171">
        <f ca="1">IF(OR($D163&lt;&gt;"Serviço",AND(AUTOEVENTO="Manual",$M163=$A$15)),0,
         IF(OFFSET(CRONOPLE!$F$15,$M163-$A$15,CP$13)=0,10^12,OFFSET(CRONOPLE!$F$15,$M163-$A$15,CP$13)))</f>
        <v>1000000000000</v>
      </c>
      <c r="CQ163" s="171">
        <f ca="1">IF(OR($D163&lt;&gt;"Serviço",AND(AUTOEVENTO="Manual",$M163=$A$15)),0,
         IF(OFFSET(CRONOPLE!$F$15,$M163-$A$15,CQ$13)=0,10^12,OFFSET(CRONOPLE!$F$15,$M163-$A$15,CQ$13)))</f>
        <v>1000000000000</v>
      </c>
      <c r="CR163" s="171">
        <f ca="1">IF(OR($D163&lt;&gt;"Serviço",AND(AUTOEVENTO="Manual",$M163=$A$15)),0,
         IF(OFFSET(CRONOPLE!$F$15,$M163-$A$15,CR$13)=0,10^12,OFFSET(CRONOPLE!$F$15,$M163-$A$15,CR$13)))</f>
        <v>1000000000000</v>
      </c>
      <c r="CT163" s="172" cm="1">
        <f t="array" aca="1" ref="CT163" ca="1">IF(OR($D163&lt;&gt;"Serviço",AND(AUTOEVENTO="Manual",$M163=$A$15),$M163&gt;(ROW(PLE.lastrow)-ROW(PLE.firstrow))),0,
           IF(OFFSET(PLE!$G$15,$M163-$A$15,CT$13)="",10^12,OFFSET(PLE!$G$15,$M163-$A$15,CT$13)))</f>
        <v>1000000000000</v>
      </c>
      <c r="CU163" s="172" cm="1">
        <f t="array" aca="1" ref="CU163" ca="1">IF(OR($D163&lt;&gt;"Serviço",AND(AUTOEVENTO="Manual",$M163=$A$15),$M163&gt;(ROW(PLE.lastrow)-ROW(PLE.firstrow))),0,
           IF(OFFSET(PLE!$G$15,$M163-$A$15,CU$13)="",10^12,OFFSET(PLE!$G$15,$M163-$A$15,CU$13)))</f>
        <v>1000000000000</v>
      </c>
      <c r="CV163" s="172" cm="1">
        <f t="array" aca="1" ref="CV163" ca="1">IF(OR($D163&lt;&gt;"Serviço",AND(AUTOEVENTO="Manual",$M163=$A$15),$M163&gt;(ROW(PLE.lastrow)-ROW(PLE.firstrow))),0,
           IF(OFFSET(PLE!$G$15,$M163-$A$15,CV$13)="",10^12,OFFSET(PLE!$G$15,$M163-$A$15,CV$13)))</f>
        <v>1000000000000</v>
      </c>
      <c r="CW163" s="172" cm="1">
        <f t="array" aca="1" ref="CW163" ca="1">IF(OR($D163&lt;&gt;"Serviço",AND(AUTOEVENTO="Manual",$M163=$A$15),$M163&gt;(ROW(PLE.lastrow)-ROW(PLE.firstrow))),0,
           IF(OFFSET(PLE!$G$15,$M163-$A$15,CW$13)="",10^12,OFFSET(PLE!$G$15,$M163-$A$15,CW$13)))</f>
        <v>1000000000000</v>
      </c>
      <c r="CX163" s="172" cm="1">
        <f t="array" aca="1" ref="CX163" ca="1">IF(OR($D163&lt;&gt;"Serviço",AND(AUTOEVENTO="Manual",$M163=$A$15),$M163&gt;(ROW(PLE.lastrow)-ROW(PLE.firstrow))),0,
           IF(OFFSET(PLE!$G$15,$M163-$A$15,CX$13)="",10^12,OFFSET(PLE!$G$15,$M163-$A$15,CX$13)))</f>
        <v>1000000000000</v>
      </c>
      <c r="CY163" s="172" cm="1">
        <f t="array" aca="1" ref="CY163" ca="1">IF(OR($D163&lt;&gt;"Serviço",AND(AUTOEVENTO="Manual",$M163=$A$15),$M163&gt;(ROW(PLE.lastrow)-ROW(PLE.firstrow))),0,
           IF(OFFSET(PLE!$G$15,$M163-$A$15,CY$13)="",10^12,OFFSET(PLE!$G$15,$M163-$A$15,CY$13)))</f>
        <v>1000000000000</v>
      </c>
      <c r="CZ163" s="172" cm="1">
        <f t="array" aca="1" ref="CZ163" ca="1">IF(OR($D163&lt;&gt;"Serviço",AND(AUTOEVENTO="Manual",$M163=$A$15),$M163&gt;(ROW(PLE.lastrow)-ROW(PLE.firstrow))),0,
           IF(OFFSET(PLE!$G$15,$M163-$A$15,CZ$13)="",10^12,OFFSET(PLE!$G$15,$M163-$A$15,CZ$13)))</f>
        <v>1000000000000</v>
      </c>
      <c r="DA163" s="172" cm="1">
        <f t="array" aca="1" ref="DA163" ca="1">IF(OR($D163&lt;&gt;"Serviço",AND(AUTOEVENTO="Manual",$M163=$A$15),$M163&gt;(ROW(PLE.lastrow)-ROW(PLE.firstrow))),0,
           IF(OFFSET(PLE!$G$15,$M163-$A$15,DA$13)="",10^12,OFFSET(PLE!$G$15,$M163-$A$15,DA$13)))</f>
        <v>1000000000000</v>
      </c>
      <c r="DB163" s="172" cm="1">
        <f t="array" aca="1" ref="DB163" ca="1">IF(OR($D163&lt;&gt;"Serviço",AND(AUTOEVENTO="Manual",$M163=$A$15),$M163&gt;(ROW(PLE.lastrow)-ROW(PLE.firstrow))),0,
           IF(OFFSET(PLE!$G$15,$M163-$A$15,DB$13)="",10^12,OFFSET(PLE!$G$15,$M163-$A$15,DB$13)))</f>
        <v>1000000000000</v>
      </c>
      <c r="DC163" s="172" cm="1">
        <f t="array" aca="1" ref="DC163" ca="1">IF(OR($D163&lt;&gt;"Serviço",AND(AUTOEVENTO="Manual",$M163=$A$15),$M163&gt;(ROW(PLE.lastrow)-ROW(PLE.firstrow))),0,
           IF(OFFSET(PLE!$G$15,$M163-$A$15,DC$13)="",10^12,OFFSET(PLE!$G$15,$M163-$A$15,DC$13)))</f>
        <v>1000000000000</v>
      </c>
      <c r="DD163" s="172" cm="1">
        <f t="array" aca="1" ref="DD163" ca="1">IF(OR($D163&lt;&gt;"Serviço",AND(AUTOEVENTO="Manual",$M163=$A$15),$M163&gt;(ROW(PLE.lastrow)-ROW(PLE.firstrow))),0,
           IF(OFFSET(PLE!$G$15,$M163-$A$15,DD$13)="",10^12,OFFSET(PLE!$G$15,$M163-$A$15,DD$13)))</f>
        <v>1000000000000</v>
      </c>
      <c r="DE163" s="172" cm="1">
        <f t="array" aca="1" ref="DE163" ca="1">IF(OR($D163&lt;&gt;"Serviço",AND(AUTOEVENTO="Manual",$M163=$A$15),$M163&gt;(ROW(PLE.lastrow)-ROW(PLE.firstrow))),0,
           IF(OFFSET(PLE!$G$15,$M163-$A$15,DE$13)="",10^12,OFFSET(PLE!$G$15,$M163-$A$15,DE$13)))</f>
        <v>1000000000000</v>
      </c>
      <c r="DF163" s="172" cm="1">
        <f t="array" aca="1" ref="DF163" ca="1">IF(OR($D163&lt;&gt;"Serviço",AND(AUTOEVENTO="Manual",$M163=$A$15),$M163&gt;(ROW(PLE.lastrow)-ROW(PLE.firstrow))),0,
           IF(OFFSET(PLE!$G$15,$M163-$A$15,DF$13)="",10^12,OFFSET(PLE!$G$15,$M163-$A$15,DF$13)))</f>
        <v>1000000000000</v>
      </c>
      <c r="DG163" s="172" cm="1">
        <f t="array" aca="1" ref="DG163" ca="1">IF(OR($D163&lt;&gt;"Serviço",AND(AUTOEVENTO="Manual",$M163=$A$15),$M163&gt;(ROW(PLE.lastrow)-ROW(PLE.firstrow))),0,
           IF(OFFSET(PLE!$G$15,$M163-$A$15,DG$13)="",10^12,OFFSET(PLE!$G$15,$M163-$A$15,DG$13)))</f>
        <v>1000000000000</v>
      </c>
      <c r="DH163" s="172" cm="1">
        <f t="array" aca="1" ref="DH163" ca="1">IF(OR($D163&lt;&gt;"Serviço",AND(AUTOEVENTO="Manual",$M163=$A$15),$M163&gt;(ROW(PLE.lastrow)-ROW(PLE.firstrow))),0,
           IF(OFFSET(PLE!$G$15,$M163-$A$15,DH$13)="",10^12,OFFSET(PLE!$G$15,$M163-$A$15,DH$13)))</f>
        <v>1000000000000</v>
      </c>
      <c r="DI163" s="172" cm="1">
        <f t="array" aca="1" ref="DI163" ca="1">IF(OR($D163&lt;&gt;"Serviço",AND(AUTOEVENTO="Manual",$M163=$A$15),$M163&gt;(ROW(PLE.lastrow)-ROW(PLE.firstrow))),0,
           IF(OFFSET(PLE!$G$15,$M163-$A$15,DI$13)="",10^12,OFFSET(PLE!$G$15,$M163-$A$15,DI$13)))</f>
        <v>1000000000000</v>
      </c>
      <c r="DJ163" s="172" cm="1">
        <f t="array" aca="1" ref="DJ163" ca="1">IF(OR($D163&lt;&gt;"Serviço",AND(AUTOEVENTO="Manual",$M163=$A$15),$M163&gt;(ROW(PLE.lastrow)-ROW(PLE.firstrow))),0,
           IF(OFFSET(PLE!$G$15,$M163-$A$15,DJ$13)="",10^12,OFFSET(PLE!$G$15,$M163-$A$15,DJ$13)))</f>
        <v>1000000000000</v>
      </c>
      <c r="DK163" s="172" cm="1">
        <f t="array" aca="1" ref="DK163" ca="1">IF(OR($D163&lt;&gt;"Serviço",AND(AUTOEVENTO="Manual",$M163=$A$15),$M163&gt;(ROW(PLE.lastrow)-ROW(PLE.firstrow))),0,
           IF(OFFSET(PLE!$G$15,$M163-$A$15,DK$13)="",10^12,OFFSET(PLE!$G$15,$M163-$A$15,DK$13)))</f>
        <v>1000000000000</v>
      </c>
      <c r="DL163" s="172" cm="1">
        <f t="array" aca="1" ref="DL163" ca="1">IF(OR($D163&lt;&gt;"Serviço",AND(AUTOEVENTO="Manual",$M163=$A$15),$M163&gt;(ROW(PLE.lastrow)-ROW(PLE.firstrow))),0,
           IF(OFFSET(PLE!$G$15,$M163-$A$15,DL$13)="",10^12,OFFSET(PLE!$G$15,$M163-$A$15,DL$13)))</f>
        <v>1000000000000</v>
      </c>
      <c r="DM163" s="172" cm="1">
        <f t="array" aca="1" ref="DM163" ca="1">IF(OR($D163&lt;&gt;"Serviço",AND(AUTOEVENTO="Manual",$M163=$A$15),$M163&gt;(ROW(PLE.lastrow)-ROW(PLE.firstrow))),0,
           IF(OFFSET(PLE!$G$15,$M163-$A$15,DM$13)="",10^12,OFFSET(PLE!$G$15,$M163-$A$15,DM$13)))</f>
        <v>1000000000000</v>
      </c>
      <c r="DN163" s="172" cm="1">
        <f t="array" aca="1" ref="DN163" ca="1">IF(OR($D163&lt;&gt;"Serviço",AND(AUTOEVENTO="Manual",$M163=$A$15),$M163&gt;(ROW(PLE.lastrow)-ROW(PLE.firstrow))),0,
           IF(OFFSET(PLE!$G$15,$M163-$A$15,DN$13)="",10^12,OFFSET(PLE!$G$15,$M163-$A$15,DN$13)))</f>
        <v>1000000000000</v>
      </c>
      <c r="DO163" s="172" cm="1">
        <f t="array" aca="1" ref="DO163" ca="1">IF(OR($D163&lt;&gt;"Serviço",AND(AUTOEVENTO="Manual",$M163=$A$15),$M163&gt;(ROW(PLE.lastrow)-ROW(PLE.firstrow))),0,
           IF(OFFSET(PLE!$G$15,$M163-$A$15,DO$13)="",10^12,OFFSET(PLE!$G$15,$M163-$A$15,DO$13)))</f>
        <v>1000000000000</v>
      </c>
      <c r="DP163" s="172" cm="1">
        <f t="array" aca="1" ref="DP163" ca="1">IF(OR($D163&lt;&gt;"Serviço",AND(AUTOEVENTO="Manual",$M163=$A$15),$M163&gt;(ROW(PLE.lastrow)-ROW(PLE.firstrow))),0,
           IF(OFFSET(PLE!$G$15,$M163-$A$15,DP$13)="",10^12,OFFSET(PLE!$G$15,$M163-$A$15,DP$13)))</f>
        <v>1000000000000</v>
      </c>
      <c r="DQ163" s="172" cm="1">
        <f t="array" aca="1" ref="DQ163" ca="1">IF(OR($D163&lt;&gt;"Serviço",AND(AUTOEVENTO="Manual",$M163=$A$15),$M163&gt;(ROW(PLE.lastrow)-ROW(PLE.firstrow))),0,
           IF(OFFSET(PLE!$G$15,$M163-$A$15,DQ$13)="",10^12,OFFSET(PLE!$G$15,$M163-$A$15,DQ$13)))</f>
        <v>1000000000000</v>
      </c>
      <c r="DR163" s="172" cm="1">
        <f t="array" aca="1" ref="DR163" ca="1">IF(OR($D163&lt;&gt;"Serviço",AND(AUTOEVENTO="Manual",$M163=$A$15),$M163&gt;(ROW(PLE.lastrow)-ROW(PLE.firstrow))),0,
           IF(OFFSET(PLE!$G$15,$M163-$A$15,DR$13)="",10^12,OFFSET(PLE!$G$15,$M163-$A$15,DR$13)))</f>
        <v>1000000000000</v>
      </c>
      <c r="DS163" s="172" cm="1">
        <f t="array" aca="1" ref="DS163" ca="1">IF(OR($D163&lt;&gt;"Serviço",AND(AUTOEVENTO="Manual",$M163=$A$15),$M163&gt;(ROW(PLE.lastrow)-ROW(PLE.firstrow))),0,
           IF(OFFSET(PLE!$G$15,$M163-$A$15,DS$13)="",10^12,OFFSET(PLE!$G$15,$M163-$A$15,DS$13)))</f>
        <v>1000000000000</v>
      </c>
    </row>
    <row r="164" spans="1:123" ht="38.25" x14ac:dyDescent="0.2">
      <c r="A164" s="7">
        <f t="shared" ca="1" si="16"/>
        <v>9</v>
      </c>
      <c r="B164" s="7" t="str">
        <f ca="1">OFFSET(ORÇAMENTO!C$15,$L164,0)</f>
        <v>S</v>
      </c>
      <c r="C164" s="7" t="str">
        <f ca="1">OFFSET(ORÇAMENTO!L$15,$L164,0)</f>
        <v/>
      </c>
      <c r="D164" s="116" t="str">
        <f ca="1">OFFSET(ORÇAMENTO!N$15,$L164,0)</f>
        <v>Serviço</v>
      </c>
      <c r="E164" s="117" t="str">
        <f ca="1">OFFSET(ORÇAMENTO!O$15,$L164,0)</f>
        <v>-</v>
      </c>
      <c r="F164" s="163" t="str">
        <f ca="1">OFFSET(ORÇAMENTO!R$15,$L164,0)</f>
        <v>(Código não identificado nas referências)</v>
      </c>
      <c r="G164" s="164" t="str">
        <f ca="1">IF($D164&lt;&gt;"Serviço","",OFFSET(ORÇAMENTO!S$15,$L164,0))</f>
        <v>-</v>
      </c>
      <c r="H164" s="122" cm="1">
        <f t="array" aca="1" ref="H164" ca="1">IF($D164&lt;&gt;"Serviço",0,IF(ACOMPANHAMENTO="BM",ROUND(OFFSET(ORÇAMENTO!AJ$15,$L164,0),15-13*ORÇAMENTO!$AF$7),IF(IFERROR(CÁLCULO.FrentesPreenchidas,0)=0,0,SUM(ROUND(OFFSET($P164,0,1,1,CÁLCULO.FrentesPreenchidas),15-13*ORÇAMENTO!$AF$7)))))</f>
        <v>441.2</v>
      </c>
      <c r="I164" s="468" t="s">
        <v>1235</v>
      </c>
      <c r="J164" s="651" t="str" cm="1">
        <f t="array" aca="1" ref="J164" ca="1">IF(OR(B164&lt;&gt;"S",CÁLCULO.FrentesPreenchidas=0),"",IF(AND(ACOMPANHAMENTO="PLE",AUTOEVENTO="Manual",OR(H164&gt;0,ORÇAMENTO!AC164="QUANT."),OR(K164="",M164=0,N164="")),"►E",IF(AND(ACOMPANHAMENTO="PLE",ORÇAMENTO!AC164="QUANT."),"►Q",IF(AND(ACOMPANHAMENTO="PLE",H164&lt;&gt;SUMPRODUCT(($Q$1:$AQ$1=1)*ROUND(Q164:AQ164,15))),"►S",IF(AND(COUNTIF($P$11:$AQ$11,"▼")=0,H164&gt;0,I164=""),"◄M","")))))</f>
        <v/>
      </c>
      <c r="K164" s="652" t="s">
        <v>1257</v>
      </c>
      <c r="L164" s="165">
        <f t="shared" ca="1" si="17"/>
        <v>149</v>
      </c>
      <c r="M164" s="166">
        <f ca="1">IF($D164&lt;&gt;"Serviço","",
          IF(AUTOEVENTO="manual",$A164,
                IF(ISERROR(MATCH($A164,$A$15:OFFSET($A164,-1,0),0)),MAX($M$15:OFFSET(M164,-1,0))+1,
                      INDEX($M$15:OFFSET(M164,-1,0),MATCH($A164,$A$15:OFFSET($A164,-1,0),0)))))</f>
        <v>9</v>
      </c>
      <c r="N164" s="167" t="str">
        <f ca="1">IF($D164&lt;&gt;"Serviço","",
         IF(AUTOEVENTO="Manual",
                IF($A164=0,"&lt;-- defina o número do agrupador",
                       OFFSET(EVENTOS!$D$15,$A164-$A$15,0)),
                OFFSET($F$15,$A164,0)))</f>
        <v>INSTALAÇÕES</v>
      </c>
      <c r="O164" s="168"/>
      <c r="Q164" s="168">
        <v>22.06</v>
      </c>
      <c r="R164" s="169">
        <v>22.06</v>
      </c>
      <c r="S164" s="169">
        <v>22.06</v>
      </c>
      <c r="T164" s="169">
        <v>22.06</v>
      </c>
      <c r="U164" s="169">
        <v>22.06</v>
      </c>
      <c r="V164" s="169">
        <v>22.06</v>
      </c>
      <c r="W164" s="169">
        <v>22.06</v>
      </c>
      <c r="X164" s="169">
        <v>22.06</v>
      </c>
      <c r="Y164" s="169">
        <v>22.06</v>
      </c>
      <c r="Z164" s="170">
        <v>22.06</v>
      </c>
      <c r="AA164" s="169">
        <v>22.06</v>
      </c>
      <c r="AB164" s="169">
        <v>22.06</v>
      </c>
      <c r="AC164" s="169">
        <v>22.06</v>
      </c>
      <c r="AD164" s="169">
        <v>22.06</v>
      </c>
      <c r="AE164" s="169">
        <v>22.06</v>
      </c>
      <c r="AF164" s="169">
        <v>22.06</v>
      </c>
      <c r="AG164" s="169">
        <v>22.06</v>
      </c>
      <c r="AH164" s="170">
        <v>22.06</v>
      </c>
      <c r="AI164" s="169">
        <v>22.06</v>
      </c>
      <c r="AJ164" s="169">
        <v>22.06</v>
      </c>
      <c r="AK164" s="169"/>
      <c r="AL164" s="169"/>
      <c r="AM164" s="169"/>
      <c r="AN164" s="169"/>
      <c r="AO164" s="169"/>
      <c r="AP164" s="170"/>
      <c r="AR164" s="453">
        <f ca="1">IF(AND($D164="Serviço",AR$12&lt;&gt;0,$H164&gt;0,OR(AUTOEVENTO&lt;&gt;"manual",$M164&lt;&gt;$A$15)),
        IF(Import.TipoArredondamento&lt;&gt;"TransfereGOV",
              ROUND(OFFSET($P164,0,AR$13),15-13*ORÇAMENTO!$AF$7)/$H164*OFFSET(ORÇAMENTO!$X$15,ROW(AR164)-ROW(AR$15),0),
              ROUND(ROUND(OFFSET($P164,0,AR$13),15-13*ORÇAMENTO!$AF$7)*OFFSET(ORÇAMENTO!$W$15,ROW(AR164)-ROW(AR$15),0),15-13*ORÇAMENTO!$AF$11)),
         0)</f>
        <v>0</v>
      </c>
      <c r="AS164" s="453">
        <f ca="1">IF(AND($D164="Serviço",AS$12&lt;&gt;0,$H164&gt;0,OR(AUTOEVENTO&lt;&gt;"manual",$M164&lt;&gt;$A$15)),
        IF(Import.TipoArredondamento&lt;&gt;"TransfereGOV",
              ROUND(OFFSET($P164,0,AS$13),15-13*ORÇAMENTO!$AF$7)/$H164*OFFSET(ORÇAMENTO!$X$15,ROW(AS164)-ROW(AS$15),0),
              ROUND(ROUND(OFFSET($P164,0,AS$13),15-13*ORÇAMENTO!$AF$7)*OFFSET(ORÇAMENTO!$W$15,ROW(AS164)-ROW(AS$15),0),15-13*ORÇAMENTO!$AF$11)),
         0)</f>
        <v>0</v>
      </c>
      <c r="AT164" s="453">
        <f ca="1">IF(AND($D164="Serviço",AT$12&lt;&gt;0,$H164&gt;0,OR(AUTOEVENTO&lt;&gt;"manual",$M164&lt;&gt;$A$15)),
        IF(Import.TipoArredondamento&lt;&gt;"TransfereGOV",
              ROUND(OFFSET($P164,0,AT$13),15-13*ORÇAMENTO!$AF$7)/$H164*OFFSET(ORÇAMENTO!$X$15,ROW(AT164)-ROW(AT$15),0),
              ROUND(ROUND(OFFSET($P164,0,AT$13),15-13*ORÇAMENTO!$AF$7)*OFFSET(ORÇAMENTO!$W$15,ROW(AT164)-ROW(AT$15),0),15-13*ORÇAMENTO!$AF$11)),
         0)</f>
        <v>0</v>
      </c>
      <c r="AU164" s="453">
        <f ca="1">IF(AND($D164="Serviço",AU$12&lt;&gt;0,$H164&gt;0,OR(AUTOEVENTO&lt;&gt;"manual",$M164&lt;&gt;$A$15)),
        IF(Import.TipoArredondamento&lt;&gt;"TransfereGOV",
              ROUND(OFFSET($P164,0,AU$13),15-13*ORÇAMENTO!$AF$7)/$H164*OFFSET(ORÇAMENTO!$X$15,ROW(AU164)-ROW(AU$15),0),
              ROUND(ROUND(OFFSET($P164,0,AU$13),15-13*ORÇAMENTO!$AF$7)*OFFSET(ORÇAMENTO!$W$15,ROW(AU164)-ROW(AU$15),0),15-13*ORÇAMENTO!$AF$11)),
         0)</f>
        <v>0</v>
      </c>
      <c r="AV164" s="453">
        <f ca="1">IF(AND($D164="Serviço",AV$12&lt;&gt;0,$H164&gt;0,OR(AUTOEVENTO&lt;&gt;"manual",$M164&lt;&gt;$A$15)),
        IF(Import.TipoArredondamento&lt;&gt;"TransfereGOV",
              ROUND(OFFSET($P164,0,AV$13),15-13*ORÇAMENTO!$AF$7)/$H164*OFFSET(ORÇAMENTO!$X$15,ROW(AV164)-ROW(AV$15),0),
              ROUND(ROUND(OFFSET($P164,0,AV$13),15-13*ORÇAMENTO!$AF$7)*OFFSET(ORÇAMENTO!$W$15,ROW(AV164)-ROW(AV$15),0),15-13*ORÇAMENTO!$AF$11)),
         0)</f>
        <v>0</v>
      </c>
      <c r="AW164" s="453">
        <f ca="1">IF(AND($D164="Serviço",AW$12&lt;&gt;0,$H164&gt;0,OR(AUTOEVENTO&lt;&gt;"manual",$M164&lt;&gt;$A$15)),
        IF(Import.TipoArredondamento&lt;&gt;"TransfereGOV",
              ROUND(OFFSET($P164,0,AW$13),15-13*ORÇAMENTO!$AF$7)/$H164*OFFSET(ORÇAMENTO!$X$15,ROW(AW164)-ROW(AW$15),0),
              ROUND(ROUND(OFFSET($P164,0,AW$13),15-13*ORÇAMENTO!$AF$7)*OFFSET(ORÇAMENTO!$W$15,ROW(AW164)-ROW(AW$15),0),15-13*ORÇAMENTO!$AF$11)),
         0)</f>
        <v>0</v>
      </c>
      <c r="AX164" s="453">
        <f ca="1">IF(AND($D164="Serviço",AX$12&lt;&gt;0,$H164&gt;0,OR(AUTOEVENTO&lt;&gt;"manual",$M164&lt;&gt;$A$15)),
        IF(Import.TipoArredondamento&lt;&gt;"TransfereGOV",
              ROUND(OFFSET($P164,0,AX$13),15-13*ORÇAMENTO!$AF$7)/$H164*OFFSET(ORÇAMENTO!$X$15,ROW(AX164)-ROW(AX$15),0),
              ROUND(ROUND(OFFSET($P164,0,AX$13),15-13*ORÇAMENTO!$AF$7)*OFFSET(ORÇAMENTO!$W$15,ROW(AX164)-ROW(AX$15),0),15-13*ORÇAMENTO!$AF$11)),
         0)</f>
        <v>0</v>
      </c>
      <c r="AY164" s="453">
        <f ca="1">IF(AND($D164="Serviço",AY$12&lt;&gt;0,$H164&gt;0,OR(AUTOEVENTO&lt;&gt;"manual",$M164&lt;&gt;$A$15)),
        IF(Import.TipoArredondamento&lt;&gt;"TransfereGOV",
              ROUND(OFFSET($P164,0,AY$13),15-13*ORÇAMENTO!$AF$7)/$H164*OFFSET(ORÇAMENTO!$X$15,ROW(AY164)-ROW(AY$15),0),
              ROUND(ROUND(OFFSET($P164,0,AY$13),15-13*ORÇAMENTO!$AF$7)*OFFSET(ORÇAMENTO!$W$15,ROW(AY164)-ROW(AY$15),0),15-13*ORÇAMENTO!$AF$11)),
         0)</f>
        <v>0</v>
      </c>
      <c r="AZ164" s="453">
        <f ca="1">IF(AND($D164="Serviço",AZ$12&lt;&gt;0,$H164&gt;0,OR(AUTOEVENTO&lt;&gt;"manual",$M164&lt;&gt;$A$15)),
        IF(Import.TipoArredondamento&lt;&gt;"TransfereGOV",
              ROUND(OFFSET($P164,0,AZ$13),15-13*ORÇAMENTO!$AF$7)/$H164*OFFSET(ORÇAMENTO!$X$15,ROW(AZ164)-ROW(AZ$15),0),
              ROUND(ROUND(OFFSET($P164,0,AZ$13),15-13*ORÇAMENTO!$AF$7)*OFFSET(ORÇAMENTO!$W$15,ROW(AZ164)-ROW(AZ$15),0),15-13*ORÇAMENTO!$AF$11)),
         0)</f>
        <v>0</v>
      </c>
      <c r="BA164" s="453">
        <f ca="1">IF(AND($D164="Serviço",BA$12&lt;&gt;0,$H164&gt;0,OR(AUTOEVENTO&lt;&gt;"manual",$M164&lt;&gt;$A$15)),
        IF(Import.TipoArredondamento&lt;&gt;"TransfereGOV",
              ROUND(OFFSET($P164,0,BA$13),15-13*ORÇAMENTO!$AF$7)/$H164*OFFSET(ORÇAMENTO!$X$15,ROW(BA164)-ROW(BA$15),0),
              ROUND(ROUND(OFFSET($P164,0,BA$13),15-13*ORÇAMENTO!$AF$7)*OFFSET(ORÇAMENTO!$W$15,ROW(BA164)-ROW(BA$15),0),15-13*ORÇAMENTO!$AF$11)),
         0)</f>
        <v>0</v>
      </c>
      <c r="BB164" s="453">
        <f ca="1">IF(AND($D164="Serviço",BB$12&lt;&gt;0,$H164&gt;0,OR(AUTOEVENTO&lt;&gt;"manual",$M164&lt;&gt;$A$15)),
        IF(Import.TipoArredondamento&lt;&gt;"TransfereGOV",
              ROUND(OFFSET($P164,0,BB$13),15-13*ORÇAMENTO!$AF$7)/$H164*OFFSET(ORÇAMENTO!$X$15,ROW(BB164)-ROW(BB$15),0),
              ROUND(ROUND(OFFSET($P164,0,BB$13),15-13*ORÇAMENTO!$AF$7)*OFFSET(ORÇAMENTO!$W$15,ROW(BB164)-ROW(BB$15),0),15-13*ORÇAMENTO!$AF$11)),
         0)</f>
        <v>0</v>
      </c>
      <c r="BC164" s="453">
        <f ca="1">IF(AND($D164="Serviço",BC$12&lt;&gt;0,$H164&gt;0,OR(AUTOEVENTO&lt;&gt;"manual",$M164&lt;&gt;$A$15)),
        IF(Import.TipoArredondamento&lt;&gt;"TransfereGOV",
              ROUND(OFFSET($P164,0,BC$13),15-13*ORÇAMENTO!$AF$7)/$H164*OFFSET(ORÇAMENTO!$X$15,ROW(BC164)-ROW(BC$15),0),
              ROUND(ROUND(OFFSET($P164,0,BC$13),15-13*ORÇAMENTO!$AF$7)*OFFSET(ORÇAMENTO!$W$15,ROW(BC164)-ROW(BC$15),0),15-13*ORÇAMENTO!$AF$11)),
         0)</f>
        <v>0</v>
      </c>
      <c r="BD164" s="453">
        <f ca="1">IF(AND($D164="Serviço",BD$12&lt;&gt;0,$H164&gt;0,OR(AUTOEVENTO&lt;&gt;"manual",$M164&lt;&gt;$A$15)),
        IF(Import.TipoArredondamento&lt;&gt;"TransfereGOV",
              ROUND(OFFSET($P164,0,BD$13),15-13*ORÇAMENTO!$AF$7)/$H164*OFFSET(ORÇAMENTO!$X$15,ROW(BD164)-ROW(BD$15),0),
              ROUND(ROUND(OFFSET($P164,0,BD$13),15-13*ORÇAMENTO!$AF$7)*OFFSET(ORÇAMENTO!$W$15,ROW(BD164)-ROW(BD$15),0),15-13*ORÇAMENTO!$AF$11)),
         0)</f>
        <v>0</v>
      </c>
      <c r="BE164" s="453">
        <f ca="1">IF(AND($D164="Serviço",BE$12&lt;&gt;0,$H164&gt;0,OR(AUTOEVENTO&lt;&gt;"manual",$M164&lt;&gt;$A$15)),
        IF(Import.TipoArredondamento&lt;&gt;"TransfereGOV",
              ROUND(OFFSET($P164,0,BE$13),15-13*ORÇAMENTO!$AF$7)/$H164*OFFSET(ORÇAMENTO!$X$15,ROW(BE164)-ROW(BE$15),0),
              ROUND(ROUND(OFFSET($P164,0,BE$13),15-13*ORÇAMENTO!$AF$7)*OFFSET(ORÇAMENTO!$W$15,ROW(BE164)-ROW(BE$15),0),15-13*ORÇAMENTO!$AF$11)),
         0)</f>
        <v>0</v>
      </c>
      <c r="BF164" s="453">
        <f ca="1">IF(AND($D164="Serviço",BF$12&lt;&gt;0,$H164&gt;0,OR(AUTOEVENTO&lt;&gt;"manual",$M164&lt;&gt;$A$15)),
        IF(Import.TipoArredondamento&lt;&gt;"TransfereGOV",
              ROUND(OFFSET($P164,0,BF$13),15-13*ORÇAMENTO!$AF$7)/$H164*OFFSET(ORÇAMENTO!$X$15,ROW(BF164)-ROW(BF$15),0),
              ROUND(ROUND(OFFSET($P164,0,BF$13),15-13*ORÇAMENTO!$AF$7)*OFFSET(ORÇAMENTO!$W$15,ROW(BF164)-ROW(BF$15),0),15-13*ORÇAMENTO!$AF$11)),
         0)</f>
        <v>0</v>
      </c>
      <c r="BG164" s="453">
        <f ca="1">IF(AND($D164="Serviço",BG$12&lt;&gt;0,$H164&gt;0,OR(AUTOEVENTO&lt;&gt;"manual",$M164&lt;&gt;$A$15)),
        IF(Import.TipoArredondamento&lt;&gt;"TransfereGOV",
              ROUND(OFFSET($P164,0,BG$13),15-13*ORÇAMENTO!$AF$7)/$H164*OFFSET(ORÇAMENTO!$X$15,ROW(BG164)-ROW(BG$15),0),
              ROUND(ROUND(OFFSET($P164,0,BG$13),15-13*ORÇAMENTO!$AF$7)*OFFSET(ORÇAMENTO!$W$15,ROW(BG164)-ROW(BG$15),0),15-13*ORÇAMENTO!$AF$11)),
         0)</f>
        <v>0</v>
      </c>
      <c r="BH164" s="453">
        <f ca="1">IF(AND($D164="Serviço",BH$12&lt;&gt;0,$H164&gt;0,OR(AUTOEVENTO&lt;&gt;"manual",$M164&lt;&gt;$A$15)),
        IF(Import.TipoArredondamento&lt;&gt;"TransfereGOV",
              ROUND(OFFSET($P164,0,BH$13),15-13*ORÇAMENTO!$AF$7)/$H164*OFFSET(ORÇAMENTO!$X$15,ROW(BH164)-ROW(BH$15),0),
              ROUND(ROUND(OFFSET($P164,0,BH$13),15-13*ORÇAMENTO!$AF$7)*OFFSET(ORÇAMENTO!$W$15,ROW(BH164)-ROW(BH$15),0),15-13*ORÇAMENTO!$AF$11)),
         0)</f>
        <v>0</v>
      </c>
      <c r="BI164" s="453">
        <f ca="1">IF(AND($D164="Serviço",BI$12&lt;&gt;0,$H164&gt;0,OR(AUTOEVENTO&lt;&gt;"manual",$M164&lt;&gt;$A$15)),
        IF(Import.TipoArredondamento&lt;&gt;"TransfereGOV",
              ROUND(OFFSET($P164,0,BI$13),15-13*ORÇAMENTO!$AF$7)/$H164*OFFSET(ORÇAMENTO!$X$15,ROW(BI164)-ROW(BI$15),0),
              ROUND(ROUND(OFFSET($P164,0,BI$13),15-13*ORÇAMENTO!$AF$7)*OFFSET(ORÇAMENTO!$W$15,ROW(BI164)-ROW(BI$15),0),15-13*ORÇAMENTO!$AF$11)),
         0)</f>
        <v>0</v>
      </c>
      <c r="BJ164" s="453">
        <f ca="1">IF(AND($D164="Serviço",BJ$12&lt;&gt;0,$H164&gt;0,OR(AUTOEVENTO&lt;&gt;"manual",$M164&lt;&gt;$A$15)),
        IF(Import.TipoArredondamento&lt;&gt;"TransfereGOV",
              ROUND(OFFSET($P164,0,BJ$13),15-13*ORÇAMENTO!$AF$7)/$H164*OFFSET(ORÇAMENTO!$X$15,ROW(BJ164)-ROW(BJ$15),0),
              ROUND(ROUND(OFFSET($P164,0,BJ$13),15-13*ORÇAMENTO!$AF$7)*OFFSET(ORÇAMENTO!$W$15,ROW(BJ164)-ROW(BJ$15),0),15-13*ORÇAMENTO!$AF$11)),
         0)</f>
        <v>0</v>
      </c>
      <c r="BK164" s="453">
        <f ca="1">IF(AND($D164="Serviço",BK$12&lt;&gt;0,$H164&gt;0,OR(AUTOEVENTO&lt;&gt;"manual",$M164&lt;&gt;$A$15)),
        IF(Import.TipoArredondamento&lt;&gt;"TransfereGOV",
              ROUND(OFFSET($P164,0,BK$13),15-13*ORÇAMENTO!$AF$7)/$H164*OFFSET(ORÇAMENTO!$X$15,ROW(BK164)-ROW(BK$15),0),
              ROUND(ROUND(OFFSET($P164,0,BK$13),15-13*ORÇAMENTO!$AF$7)*OFFSET(ORÇAMENTO!$W$15,ROW(BK164)-ROW(BK$15),0),15-13*ORÇAMENTO!$AF$11)),
         0)</f>
        <v>0</v>
      </c>
      <c r="BL164" s="453">
        <f ca="1">IF(AND($D164="Serviço",BL$12&lt;&gt;0,$H164&gt;0,OR(AUTOEVENTO&lt;&gt;"manual",$M164&lt;&gt;$A$15)),
        IF(Import.TipoArredondamento&lt;&gt;"TransfereGOV",
              ROUND(OFFSET($P164,0,BL$13),15-13*ORÇAMENTO!$AF$7)/$H164*OFFSET(ORÇAMENTO!$X$15,ROW(BL164)-ROW(BL$15),0),
              ROUND(ROUND(OFFSET($P164,0,BL$13),15-13*ORÇAMENTO!$AF$7)*OFFSET(ORÇAMENTO!$W$15,ROW(BL164)-ROW(BL$15),0),15-13*ORÇAMENTO!$AF$11)),
         0)</f>
        <v>0</v>
      </c>
      <c r="BM164" s="453">
        <f ca="1">IF(AND($D164="Serviço",BM$12&lt;&gt;0,$H164&gt;0,OR(AUTOEVENTO&lt;&gt;"manual",$M164&lt;&gt;$A$15)),
        IF(Import.TipoArredondamento&lt;&gt;"TransfereGOV",
              ROUND(OFFSET($P164,0,BM$13),15-13*ORÇAMENTO!$AF$7)/$H164*OFFSET(ORÇAMENTO!$X$15,ROW(BM164)-ROW(BM$15),0),
              ROUND(ROUND(OFFSET($P164,0,BM$13),15-13*ORÇAMENTO!$AF$7)*OFFSET(ORÇAMENTO!$W$15,ROW(BM164)-ROW(BM$15),0),15-13*ORÇAMENTO!$AF$11)),
         0)</f>
        <v>0</v>
      </c>
      <c r="BN164" s="453">
        <f ca="1">IF(AND($D164="Serviço",BN$12&lt;&gt;0,$H164&gt;0,OR(AUTOEVENTO&lt;&gt;"manual",$M164&lt;&gt;$A$15)),
        IF(Import.TipoArredondamento&lt;&gt;"TransfereGOV",
              ROUND(OFFSET($P164,0,BN$13),15-13*ORÇAMENTO!$AF$7)/$H164*OFFSET(ORÇAMENTO!$X$15,ROW(BN164)-ROW(BN$15),0),
              ROUND(ROUND(OFFSET($P164,0,BN$13),15-13*ORÇAMENTO!$AF$7)*OFFSET(ORÇAMENTO!$W$15,ROW(BN164)-ROW(BN$15),0),15-13*ORÇAMENTO!$AF$11)),
         0)</f>
        <v>0</v>
      </c>
      <c r="BO164" s="453">
        <f ca="1">IF(AND($D164="Serviço",BO$12&lt;&gt;0,$H164&gt;0,OR(AUTOEVENTO&lt;&gt;"manual",$M164&lt;&gt;$A$15)),
        IF(Import.TipoArredondamento&lt;&gt;"TransfereGOV",
              ROUND(OFFSET($P164,0,BO$13),15-13*ORÇAMENTO!$AF$7)/$H164*OFFSET(ORÇAMENTO!$X$15,ROW(BO164)-ROW(BO$15),0),
              ROUND(ROUND(OFFSET($P164,0,BO$13),15-13*ORÇAMENTO!$AF$7)*OFFSET(ORÇAMENTO!$W$15,ROW(BO164)-ROW(BO$15),0),15-13*ORÇAMENTO!$AF$11)),
         0)</f>
        <v>0</v>
      </c>
      <c r="BP164" s="453">
        <f ca="1">IF(AND($D164="Serviço",BP$12&lt;&gt;0,$H164&gt;0,OR(AUTOEVENTO&lt;&gt;"manual",$M164&lt;&gt;$A$15)),
        IF(Import.TipoArredondamento&lt;&gt;"TransfereGOV",
              ROUND(OFFSET($P164,0,BP$13),15-13*ORÇAMENTO!$AF$7)/$H164*OFFSET(ORÇAMENTO!$X$15,ROW(BP164)-ROW(BP$15),0),
              ROUND(ROUND(OFFSET($P164,0,BP$13),15-13*ORÇAMENTO!$AF$7)*OFFSET(ORÇAMENTO!$W$15,ROW(BP164)-ROW(BP$15),0),15-13*ORÇAMENTO!$AF$11)),
         0)</f>
        <v>0</v>
      </c>
      <c r="BQ164" s="453">
        <f ca="1">IF(AND($D164="Serviço",BQ$12&lt;&gt;0,$H164&gt;0,OR(AUTOEVENTO&lt;&gt;"manual",$M164&lt;&gt;$A$15)),
        IF(Import.TipoArredondamento&lt;&gt;"TransfereGOV",
              ROUND(OFFSET($P164,0,BQ$13),15-13*ORÇAMENTO!$AF$7)/$H164*OFFSET(ORÇAMENTO!$X$15,ROW(BQ164)-ROW(BQ$15),0),
              ROUND(ROUND(OFFSET($P164,0,BQ$13),15-13*ORÇAMENTO!$AF$7)*OFFSET(ORÇAMENTO!$W$15,ROW(BQ164)-ROW(BQ$15),0),15-13*ORÇAMENTO!$AF$11)),
         0)</f>
        <v>0</v>
      </c>
      <c r="BS164" s="171">
        <f ca="1">IF(OR($D164&lt;&gt;"Serviço",AND(AUTOEVENTO="Manual",$M164=$A$15)),0,
         IF(OFFSET(CRONOPLE!$F$15,$M164-$A$15,BS$13)=0,10^12,OFFSET(CRONOPLE!$F$15,$M164-$A$15,BS$13)))</f>
        <v>1</v>
      </c>
      <c r="BT164" s="171">
        <f ca="1">IF(OR($D164&lt;&gt;"Serviço",AND(AUTOEVENTO="Manual",$M164=$A$15)),0,
         IF(OFFSET(CRONOPLE!$F$15,$M164-$A$15,BT$13)=0,10^12,OFFSET(CRONOPLE!$F$15,$M164-$A$15,BT$13)))</f>
        <v>2</v>
      </c>
      <c r="BU164" s="171">
        <f ca="1">IF(OR($D164&lt;&gt;"Serviço",AND(AUTOEVENTO="Manual",$M164=$A$15)),0,
         IF(OFFSET(CRONOPLE!$F$15,$M164-$A$15,BU$13)=0,10^12,OFFSET(CRONOPLE!$F$15,$M164-$A$15,BU$13)))</f>
        <v>3</v>
      </c>
      <c r="BV164" s="171">
        <f ca="1">IF(OR($D164&lt;&gt;"Serviço",AND(AUTOEVENTO="Manual",$M164=$A$15)),0,
         IF(OFFSET(CRONOPLE!$F$15,$M164-$A$15,BV$13)=0,10^12,OFFSET(CRONOPLE!$F$15,$M164-$A$15,BV$13)))</f>
        <v>4</v>
      </c>
      <c r="BW164" s="171">
        <f ca="1">IF(OR($D164&lt;&gt;"Serviço",AND(AUTOEVENTO="Manual",$M164=$A$15)),0,
         IF(OFFSET(CRONOPLE!$F$15,$M164-$A$15,BW$13)=0,10^12,OFFSET(CRONOPLE!$F$15,$M164-$A$15,BW$13)))</f>
        <v>5</v>
      </c>
      <c r="BX164" s="171">
        <f ca="1">IF(OR($D164&lt;&gt;"Serviço",AND(AUTOEVENTO="Manual",$M164=$A$15)),0,
         IF(OFFSET(CRONOPLE!$F$15,$M164-$A$15,BX$13)=0,10^12,OFFSET(CRONOPLE!$F$15,$M164-$A$15,BX$13)))</f>
        <v>6</v>
      </c>
      <c r="BY164" s="171">
        <f ca="1">IF(OR($D164&lt;&gt;"Serviço",AND(AUTOEVENTO="Manual",$M164=$A$15)),0,
         IF(OFFSET(CRONOPLE!$F$15,$M164-$A$15,BY$13)=0,10^12,OFFSET(CRONOPLE!$F$15,$M164-$A$15,BY$13)))</f>
        <v>7</v>
      </c>
      <c r="BZ164" s="171">
        <f ca="1">IF(OR($D164&lt;&gt;"Serviço",AND(AUTOEVENTO="Manual",$M164=$A$15)),0,
         IF(OFFSET(CRONOPLE!$F$15,$M164-$A$15,BZ$13)=0,10^12,OFFSET(CRONOPLE!$F$15,$M164-$A$15,BZ$13)))</f>
        <v>8</v>
      </c>
      <c r="CA164" s="171">
        <f ca="1">IF(OR($D164&lt;&gt;"Serviço",AND(AUTOEVENTO="Manual",$M164=$A$15)),0,
         IF(OFFSET(CRONOPLE!$F$15,$M164-$A$15,CA$13)=0,10^12,OFFSET(CRONOPLE!$F$15,$M164-$A$15,CA$13)))</f>
        <v>9</v>
      </c>
      <c r="CB164" s="171">
        <f ca="1">IF(OR($D164&lt;&gt;"Serviço",AND(AUTOEVENTO="Manual",$M164=$A$15)),0,
         IF(OFFSET(CRONOPLE!$F$15,$M164-$A$15,CB$13)=0,10^12,OFFSET(CRONOPLE!$F$15,$M164-$A$15,CB$13)))</f>
        <v>10</v>
      </c>
      <c r="CC164" s="171">
        <f ca="1">IF(OR($D164&lt;&gt;"Serviço",AND(AUTOEVENTO="Manual",$M164=$A$15)),0,
         IF(OFFSET(CRONOPLE!$F$15,$M164-$A$15,CC$13)=0,10^12,OFFSET(CRONOPLE!$F$15,$M164-$A$15,CC$13)))</f>
        <v>11</v>
      </c>
      <c r="CD164" s="171">
        <f ca="1">IF(OR($D164&lt;&gt;"Serviço",AND(AUTOEVENTO="Manual",$M164=$A$15)),0,
         IF(OFFSET(CRONOPLE!$F$15,$M164-$A$15,CD$13)=0,10^12,OFFSET(CRONOPLE!$F$15,$M164-$A$15,CD$13)))</f>
        <v>12</v>
      </c>
      <c r="CE164" s="171">
        <f ca="1">IF(OR($D164&lt;&gt;"Serviço",AND(AUTOEVENTO="Manual",$M164=$A$15)),0,
         IF(OFFSET(CRONOPLE!$F$15,$M164-$A$15,CE$13)=0,10^12,OFFSET(CRONOPLE!$F$15,$M164-$A$15,CE$13)))</f>
        <v>13</v>
      </c>
      <c r="CF164" s="171">
        <f ca="1">IF(OR($D164&lt;&gt;"Serviço",AND(AUTOEVENTO="Manual",$M164=$A$15)),0,
         IF(OFFSET(CRONOPLE!$F$15,$M164-$A$15,CF$13)=0,10^12,OFFSET(CRONOPLE!$F$15,$M164-$A$15,CF$13)))</f>
        <v>14</v>
      </c>
      <c r="CG164" s="171">
        <f ca="1">IF(OR($D164&lt;&gt;"Serviço",AND(AUTOEVENTO="Manual",$M164=$A$15)),0,
         IF(OFFSET(CRONOPLE!$F$15,$M164-$A$15,CG$13)=0,10^12,OFFSET(CRONOPLE!$F$15,$M164-$A$15,CG$13)))</f>
        <v>15</v>
      </c>
      <c r="CH164" s="171">
        <f ca="1">IF(OR($D164&lt;&gt;"Serviço",AND(AUTOEVENTO="Manual",$M164=$A$15)),0,
         IF(OFFSET(CRONOPLE!$F$15,$M164-$A$15,CH$13)=0,10^12,OFFSET(CRONOPLE!$F$15,$M164-$A$15,CH$13)))</f>
        <v>16</v>
      </c>
      <c r="CI164" s="171">
        <f ca="1">IF(OR($D164&lt;&gt;"Serviço",AND(AUTOEVENTO="Manual",$M164=$A$15)),0,
         IF(OFFSET(CRONOPLE!$F$15,$M164-$A$15,CI$13)=0,10^12,OFFSET(CRONOPLE!$F$15,$M164-$A$15,CI$13)))</f>
        <v>17</v>
      </c>
      <c r="CJ164" s="171">
        <f ca="1">IF(OR($D164&lt;&gt;"Serviço",AND(AUTOEVENTO="Manual",$M164=$A$15)),0,
         IF(OFFSET(CRONOPLE!$F$15,$M164-$A$15,CJ$13)=0,10^12,OFFSET(CRONOPLE!$F$15,$M164-$A$15,CJ$13)))</f>
        <v>18</v>
      </c>
      <c r="CK164" s="171">
        <f ca="1">IF(OR($D164&lt;&gt;"Serviço",AND(AUTOEVENTO="Manual",$M164=$A$15)),0,
         IF(OFFSET(CRONOPLE!$F$15,$M164-$A$15,CK$13)=0,10^12,OFFSET(CRONOPLE!$F$15,$M164-$A$15,CK$13)))</f>
        <v>19</v>
      </c>
      <c r="CL164" s="171">
        <f ca="1">IF(OR($D164&lt;&gt;"Serviço",AND(AUTOEVENTO="Manual",$M164=$A$15)),0,
         IF(OFFSET(CRONOPLE!$F$15,$M164-$A$15,CL$13)=0,10^12,OFFSET(CRONOPLE!$F$15,$M164-$A$15,CL$13)))</f>
        <v>20</v>
      </c>
      <c r="CM164" s="171">
        <f ca="1">IF(OR($D164&lt;&gt;"Serviço",AND(AUTOEVENTO="Manual",$M164=$A$15)),0,
         IF(OFFSET(CRONOPLE!$F$15,$M164-$A$15,CM$13)=0,10^12,OFFSET(CRONOPLE!$F$15,$M164-$A$15,CM$13)))</f>
        <v>1000000000000</v>
      </c>
      <c r="CN164" s="171">
        <f ca="1">IF(OR($D164&lt;&gt;"Serviço",AND(AUTOEVENTO="Manual",$M164=$A$15)),0,
         IF(OFFSET(CRONOPLE!$F$15,$M164-$A$15,CN$13)=0,10^12,OFFSET(CRONOPLE!$F$15,$M164-$A$15,CN$13)))</f>
        <v>1000000000000</v>
      </c>
      <c r="CO164" s="171">
        <f ca="1">IF(OR($D164&lt;&gt;"Serviço",AND(AUTOEVENTO="Manual",$M164=$A$15)),0,
         IF(OFFSET(CRONOPLE!$F$15,$M164-$A$15,CO$13)=0,10^12,OFFSET(CRONOPLE!$F$15,$M164-$A$15,CO$13)))</f>
        <v>1000000000000</v>
      </c>
      <c r="CP164" s="171">
        <f ca="1">IF(OR($D164&lt;&gt;"Serviço",AND(AUTOEVENTO="Manual",$M164=$A$15)),0,
         IF(OFFSET(CRONOPLE!$F$15,$M164-$A$15,CP$13)=0,10^12,OFFSET(CRONOPLE!$F$15,$M164-$A$15,CP$13)))</f>
        <v>1000000000000</v>
      </c>
      <c r="CQ164" s="171">
        <f ca="1">IF(OR($D164&lt;&gt;"Serviço",AND(AUTOEVENTO="Manual",$M164=$A$15)),0,
         IF(OFFSET(CRONOPLE!$F$15,$M164-$A$15,CQ$13)=0,10^12,OFFSET(CRONOPLE!$F$15,$M164-$A$15,CQ$13)))</f>
        <v>1000000000000</v>
      </c>
      <c r="CR164" s="171">
        <f ca="1">IF(OR($D164&lt;&gt;"Serviço",AND(AUTOEVENTO="Manual",$M164=$A$15)),0,
         IF(OFFSET(CRONOPLE!$F$15,$M164-$A$15,CR$13)=0,10^12,OFFSET(CRONOPLE!$F$15,$M164-$A$15,CR$13)))</f>
        <v>1000000000000</v>
      </c>
      <c r="CT164" s="172" cm="1">
        <f t="array" aca="1" ref="CT164" ca="1">IF(OR($D164&lt;&gt;"Serviço",AND(AUTOEVENTO="Manual",$M164=$A$15),$M164&gt;(ROW(PLE.lastrow)-ROW(PLE.firstrow))),0,
           IF(OFFSET(PLE!$G$15,$M164-$A$15,CT$13)="",10^12,OFFSET(PLE!$G$15,$M164-$A$15,CT$13)))</f>
        <v>1000000000000</v>
      </c>
      <c r="CU164" s="172" cm="1">
        <f t="array" aca="1" ref="CU164" ca="1">IF(OR($D164&lt;&gt;"Serviço",AND(AUTOEVENTO="Manual",$M164=$A$15),$M164&gt;(ROW(PLE.lastrow)-ROW(PLE.firstrow))),0,
           IF(OFFSET(PLE!$G$15,$M164-$A$15,CU$13)="",10^12,OFFSET(PLE!$G$15,$M164-$A$15,CU$13)))</f>
        <v>1000000000000</v>
      </c>
      <c r="CV164" s="172" cm="1">
        <f t="array" aca="1" ref="CV164" ca="1">IF(OR($D164&lt;&gt;"Serviço",AND(AUTOEVENTO="Manual",$M164=$A$15),$M164&gt;(ROW(PLE.lastrow)-ROW(PLE.firstrow))),0,
           IF(OFFSET(PLE!$G$15,$M164-$A$15,CV$13)="",10^12,OFFSET(PLE!$G$15,$M164-$A$15,CV$13)))</f>
        <v>1000000000000</v>
      </c>
      <c r="CW164" s="172" cm="1">
        <f t="array" aca="1" ref="CW164" ca="1">IF(OR($D164&lt;&gt;"Serviço",AND(AUTOEVENTO="Manual",$M164=$A$15),$M164&gt;(ROW(PLE.lastrow)-ROW(PLE.firstrow))),0,
           IF(OFFSET(PLE!$G$15,$M164-$A$15,CW$13)="",10^12,OFFSET(PLE!$G$15,$M164-$A$15,CW$13)))</f>
        <v>1000000000000</v>
      </c>
      <c r="CX164" s="172" cm="1">
        <f t="array" aca="1" ref="CX164" ca="1">IF(OR($D164&lt;&gt;"Serviço",AND(AUTOEVENTO="Manual",$M164=$A$15),$M164&gt;(ROW(PLE.lastrow)-ROW(PLE.firstrow))),0,
           IF(OFFSET(PLE!$G$15,$M164-$A$15,CX$13)="",10^12,OFFSET(PLE!$G$15,$M164-$A$15,CX$13)))</f>
        <v>1000000000000</v>
      </c>
      <c r="CY164" s="172" cm="1">
        <f t="array" aca="1" ref="CY164" ca="1">IF(OR($D164&lt;&gt;"Serviço",AND(AUTOEVENTO="Manual",$M164=$A$15),$M164&gt;(ROW(PLE.lastrow)-ROW(PLE.firstrow))),0,
           IF(OFFSET(PLE!$G$15,$M164-$A$15,CY$13)="",10^12,OFFSET(PLE!$G$15,$M164-$A$15,CY$13)))</f>
        <v>1000000000000</v>
      </c>
      <c r="CZ164" s="172" cm="1">
        <f t="array" aca="1" ref="CZ164" ca="1">IF(OR($D164&lt;&gt;"Serviço",AND(AUTOEVENTO="Manual",$M164=$A$15),$M164&gt;(ROW(PLE.lastrow)-ROW(PLE.firstrow))),0,
           IF(OFFSET(PLE!$G$15,$M164-$A$15,CZ$13)="",10^12,OFFSET(PLE!$G$15,$M164-$A$15,CZ$13)))</f>
        <v>1000000000000</v>
      </c>
      <c r="DA164" s="172" cm="1">
        <f t="array" aca="1" ref="DA164" ca="1">IF(OR($D164&lt;&gt;"Serviço",AND(AUTOEVENTO="Manual",$M164=$A$15),$M164&gt;(ROW(PLE.lastrow)-ROW(PLE.firstrow))),0,
           IF(OFFSET(PLE!$G$15,$M164-$A$15,DA$13)="",10^12,OFFSET(PLE!$G$15,$M164-$A$15,DA$13)))</f>
        <v>1000000000000</v>
      </c>
      <c r="DB164" s="172" cm="1">
        <f t="array" aca="1" ref="DB164" ca="1">IF(OR($D164&lt;&gt;"Serviço",AND(AUTOEVENTO="Manual",$M164=$A$15),$M164&gt;(ROW(PLE.lastrow)-ROW(PLE.firstrow))),0,
           IF(OFFSET(PLE!$G$15,$M164-$A$15,DB$13)="",10^12,OFFSET(PLE!$G$15,$M164-$A$15,DB$13)))</f>
        <v>1000000000000</v>
      </c>
      <c r="DC164" s="172" cm="1">
        <f t="array" aca="1" ref="DC164" ca="1">IF(OR($D164&lt;&gt;"Serviço",AND(AUTOEVENTO="Manual",$M164=$A$15),$M164&gt;(ROW(PLE.lastrow)-ROW(PLE.firstrow))),0,
           IF(OFFSET(PLE!$G$15,$M164-$A$15,DC$13)="",10^12,OFFSET(PLE!$G$15,$M164-$A$15,DC$13)))</f>
        <v>1000000000000</v>
      </c>
      <c r="DD164" s="172" cm="1">
        <f t="array" aca="1" ref="DD164" ca="1">IF(OR($D164&lt;&gt;"Serviço",AND(AUTOEVENTO="Manual",$M164=$A$15),$M164&gt;(ROW(PLE.lastrow)-ROW(PLE.firstrow))),0,
           IF(OFFSET(PLE!$G$15,$M164-$A$15,DD$13)="",10^12,OFFSET(PLE!$G$15,$M164-$A$15,DD$13)))</f>
        <v>1000000000000</v>
      </c>
      <c r="DE164" s="172" cm="1">
        <f t="array" aca="1" ref="DE164" ca="1">IF(OR($D164&lt;&gt;"Serviço",AND(AUTOEVENTO="Manual",$M164=$A$15),$M164&gt;(ROW(PLE.lastrow)-ROW(PLE.firstrow))),0,
           IF(OFFSET(PLE!$G$15,$M164-$A$15,DE$13)="",10^12,OFFSET(PLE!$G$15,$M164-$A$15,DE$13)))</f>
        <v>1000000000000</v>
      </c>
      <c r="DF164" s="172" cm="1">
        <f t="array" aca="1" ref="DF164" ca="1">IF(OR($D164&lt;&gt;"Serviço",AND(AUTOEVENTO="Manual",$M164=$A$15),$M164&gt;(ROW(PLE.lastrow)-ROW(PLE.firstrow))),0,
           IF(OFFSET(PLE!$G$15,$M164-$A$15,DF$13)="",10^12,OFFSET(PLE!$G$15,$M164-$A$15,DF$13)))</f>
        <v>1000000000000</v>
      </c>
      <c r="DG164" s="172" cm="1">
        <f t="array" aca="1" ref="DG164" ca="1">IF(OR($D164&lt;&gt;"Serviço",AND(AUTOEVENTO="Manual",$M164=$A$15),$M164&gt;(ROW(PLE.lastrow)-ROW(PLE.firstrow))),0,
           IF(OFFSET(PLE!$G$15,$M164-$A$15,DG$13)="",10^12,OFFSET(PLE!$G$15,$M164-$A$15,DG$13)))</f>
        <v>1000000000000</v>
      </c>
      <c r="DH164" s="172" cm="1">
        <f t="array" aca="1" ref="DH164" ca="1">IF(OR($D164&lt;&gt;"Serviço",AND(AUTOEVENTO="Manual",$M164=$A$15),$M164&gt;(ROW(PLE.lastrow)-ROW(PLE.firstrow))),0,
           IF(OFFSET(PLE!$G$15,$M164-$A$15,DH$13)="",10^12,OFFSET(PLE!$G$15,$M164-$A$15,DH$13)))</f>
        <v>1000000000000</v>
      </c>
      <c r="DI164" s="172" cm="1">
        <f t="array" aca="1" ref="DI164" ca="1">IF(OR($D164&lt;&gt;"Serviço",AND(AUTOEVENTO="Manual",$M164=$A$15),$M164&gt;(ROW(PLE.lastrow)-ROW(PLE.firstrow))),0,
           IF(OFFSET(PLE!$G$15,$M164-$A$15,DI$13)="",10^12,OFFSET(PLE!$G$15,$M164-$A$15,DI$13)))</f>
        <v>1000000000000</v>
      </c>
      <c r="DJ164" s="172" cm="1">
        <f t="array" aca="1" ref="DJ164" ca="1">IF(OR($D164&lt;&gt;"Serviço",AND(AUTOEVENTO="Manual",$M164=$A$15),$M164&gt;(ROW(PLE.lastrow)-ROW(PLE.firstrow))),0,
           IF(OFFSET(PLE!$G$15,$M164-$A$15,DJ$13)="",10^12,OFFSET(PLE!$G$15,$M164-$A$15,DJ$13)))</f>
        <v>1000000000000</v>
      </c>
      <c r="DK164" s="172" cm="1">
        <f t="array" aca="1" ref="DK164" ca="1">IF(OR($D164&lt;&gt;"Serviço",AND(AUTOEVENTO="Manual",$M164=$A$15),$M164&gt;(ROW(PLE.lastrow)-ROW(PLE.firstrow))),0,
           IF(OFFSET(PLE!$G$15,$M164-$A$15,DK$13)="",10^12,OFFSET(PLE!$G$15,$M164-$A$15,DK$13)))</f>
        <v>1000000000000</v>
      </c>
      <c r="DL164" s="172" cm="1">
        <f t="array" aca="1" ref="DL164" ca="1">IF(OR($D164&lt;&gt;"Serviço",AND(AUTOEVENTO="Manual",$M164=$A$15),$M164&gt;(ROW(PLE.lastrow)-ROW(PLE.firstrow))),0,
           IF(OFFSET(PLE!$G$15,$M164-$A$15,DL$13)="",10^12,OFFSET(PLE!$G$15,$M164-$A$15,DL$13)))</f>
        <v>1000000000000</v>
      </c>
      <c r="DM164" s="172" cm="1">
        <f t="array" aca="1" ref="DM164" ca="1">IF(OR($D164&lt;&gt;"Serviço",AND(AUTOEVENTO="Manual",$M164=$A$15),$M164&gt;(ROW(PLE.lastrow)-ROW(PLE.firstrow))),0,
           IF(OFFSET(PLE!$G$15,$M164-$A$15,DM$13)="",10^12,OFFSET(PLE!$G$15,$M164-$A$15,DM$13)))</f>
        <v>1000000000000</v>
      </c>
      <c r="DN164" s="172" cm="1">
        <f t="array" aca="1" ref="DN164" ca="1">IF(OR($D164&lt;&gt;"Serviço",AND(AUTOEVENTO="Manual",$M164=$A$15),$M164&gt;(ROW(PLE.lastrow)-ROW(PLE.firstrow))),0,
           IF(OFFSET(PLE!$G$15,$M164-$A$15,DN$13)="",10^12,OFFSET(PLE!$G$15,$M164-$A$15,DN$13)))</f>
        <v>1000000000000</v>
      </c>
      <c r="DO164" s="172" cm="1">
        <f t="array" aca="1" ref="DO164" ca="1">IF(OR($D164&lt;&gt;"Serviço",AND(AUTOEVENTO="Manual",$M164=$A$15),$M164&gt;(ROW(PLE.lastrow)-ROW(PLE.firstrow))),0,
           IF(OFFSET(PLE!$G$15,$M164-$A$15,DO$13)="",10^12,OFFSET(PLE!$G$15,$M164-$A$15,DO$13)))</f>
        <v>1000000000000</v>
      </c>
      <c r="DP164" s="172" cm="1">
        <f t="array" aca="1" ref="DP164" ca="1">IF(OR($D164&lt;&gt;"Serviço",AND(AUTOEVENTO="Manual",$M164=$A$15),$M164&gt;(ROW(PLE.lastrow)-ROW(PLE.firstrow))),0,
           IF(OFFSET(PLE!$G$15,$M164-$A$15,DP$13)="",10^12,OFFSET(PLE!$G$15,$M164-$A$15,DP$13)))</f>
        <v>1000000000000</v>
      </c>
      <c r="DQ164" s="172" cm="1">
        <f t="array" aca="1" ref="DQ164" ca="1">IF(OR($D164&lt;&gt;"Serviço",AND(AUTOEVENTO="Manual",$M164=$A$15),$M164&gt;(ROW(PLE.lastrow)-ROW(PLE.firstrow))),0,
           IF(OFFSET(PLE!$G$15,$M164-$A$15,DQ$13)="",10^12,OFFSET(PLE!$G$15,$M164-$A$15,DQ$13)))</f>
        <v>1000000000000</v>
      </c>
      <c r="DR164" s="172" cm="1">
        <f t="array" aca="1" ref="DR164" ca="1">IF(OR($D164&lt;&gt;"Serviço",AND(AUTOEVENTO="Manual",$M164=$A$15),$M164&gt;(ROW(PLE.lastrow)-ROW(PLE.firstrow))),0,
           IF(OFFSET(PLE!$G$15,$M164-$A$15,DR$13)="",10^12,OFFSET(PLE!$G$15,$M164-$A$15,DR$13)))</f>
        <v>1000000000000</v>
      </c>
      <c r="DS164" s="172" cm="1">
        <f t="array" aca="1" ref="DS164" ca="1">IF(OR($D164&lt;&gt;"Serviço",AND(AUTOEVENTO="Manual",$M164=$A$15),$M164&gt;(ROW(PLE.lastrow)-ROW(PLE.firstrow))),0,
           IF(OFFSET(PLE!$G$15,$M164-$A$15,DS$13)="",10^12,OFFSET(PLE!$G$15,$M164-$A$15,DS$13)))</f>
        <v>1000000000000</v>
      </c>
    </row>
    <row r="165" spans="1:123" ht="25.5" x14ac:dyDescent="0.2">
      <c r="A165" s="7">
        <f t="shared" ca="1" si="16"/>
        <v>9</v>
      </c>
      <c r="B165" s="7" t="str">
        <f ca="1">OFFSET(ORÇAMENTO!C$15,$L165,0)</f>
        <v>S</v>
      </c>
      <c r="C165" s="7" t="str">
        <f ca="1">OFFSET(ORÇAMENTO!L$15,$L165,0)</f>
        <v/>
      </c>
      <c r="D165" s="116" t="str">
        <f ca="1">OFFSET(ORÇAMENTO!N$15,$L165,0)</f>
        <v>Serviço</v>
      </c>
      <c r="E165" s="117" t="str">
        <f ca="1">OFFSET(ORÇAMENTO!O$15,$L165,0)</f>
        <v>-</v>
      </c>
      <c r="F165" s="163" t="str">
        <f ca="1">OFFSET(ORÇAMENTO!R$15,$L165,0)</f>
        <v>(Código não identificado nas referências)</v>
      </c>
      <c r="G165" s="164" t="str">
        <f ca="1">IF($D165&lt;&gt;"Serviço","",OFFSET(ORÇAMENTO!S$15,$L165,0))</f>
        <v>-</v>
      </c>
      <c r="H165" s="122" cm="1">
        <f t="array" aca="1" ref="H165" ca="1">IF($D165&lt;&gt;"Serviço",0,IF(ACOMPANHAMENTO="BM",ROUND(OFFSET(ORÇAMENTO!AJ$15,$L165,0),15-13*ORÇAMENTO!$AF$7),IF(IFERROR(CÁLCULO.FrentesPreenchidas,0)=0,0,SUM(ROUND(OFFSET($P165,0,1,1,CÁLCULO.FrentesPreenchidas),15-13*ORÇAMENTO!$AF$7)))))</f>
        <v>1165.9999999999995</v>
      </c>
      <c r="I165" s="468" t="s">
        <v>1235</v>
      </c>
      <c r="J165" s="651" t="str" cm="1">
        <f t="array" aca="1" ref="J165" ca="1">IF(OR(B165&lt;&gt;"S",CÁLCULO.FrentesPreenchidas=0),"",IF(AND(ACOMPANHAMENTO="PLE",AUTOEVENTO="Manual",OR(H165&gt;0,ORÇAMENTO!AC165="QUANT."),OR(K165="",M165=0,N165="")),"►E",IF(AND(ACOMPANHAMENTO="PLE",ORÇAMENTO!AC165="QUANT."),"►Q",IF(AND(ACOMPANHAMENTO="PLE",H165&lt;&gt;SUMPRODUCT(($Q$1:$AQ$1=1)*ROUND(Q165:AQ165,15))),"►S",IF(AND(COUNTIF($P$11:$AQ$11,"▼")=0,H165&gt;0,I165=""),"◄M","")))))</f>
        <v/>
      </c>
      <c r="K165" s="652" t="s">
        <v>1257</v>
      </c>
      <c r="L165" s="165">
        <f t="shared" ca="1" si="17"/>
        <v>150</v>
      </c>
      <c r="M165" s="166">
        <f ca="1">IF($D165&lt;&gt;"Serviço","",
          IF(AUTOEVENTO="manual",$A165,
                IF(ISERROR(MATCH($A165,$A$15:OFFSET($A165,-1,0),0)),MAX($M$15:OFFSET(M165,-1,0))+1,
                      INDEX($M$15:OFFSET(M165,-1,0),MATCH($A165,$A$15:OFFSET($A165,-1,0),0)))))</f>
        <v>9</v>
      </c>
      <c r="N165" s="167" t="str">
        <f ca="1">IF($D165&lt;&gt;"Serviço","",
         IF(AUTOEVENTO="Manual",
                IF($A165=0,"&lt;-- defina o número do agrupador",
                       OFFSET(EVENTOS!$D$15,$A165-$A$15,0)),
                OFFSET($F$15,$A165,0)))</f>
        <v>INSTALAÇÕES</v>
      </c>
      <c r="O165" s="168"/>
      <c r="Q165" s="168">
        <v>58.3</v>
      </c>
      <c r="R165" s="169">
        <v>58.3</v>
      </c>
      <c r="S165" s="169">
        <v>58.3</v>
      </c>
      <c r="T165" s="169">
        <v>58.3</v>
      </c>
      <c r="U165" s="169">
        <v>58.3</v>
      </c>
      <c r="V165" s="169">
        <v>58.3</v>
      </c>
      <c r="W165" s="169">
        <v>58.3</v>
      </c>
      <c r="X165" s="169">
        <v>58.3</v>
      </c>
      <c r="Y165" s="169">
        <v>58.3</v>
      </c>
      <c r="Z165" s="170">
        <v>58.3</v>
      </c>
      <c r="AA165" s="169">
        <v>58.3</v>
      </c>
      <c r="AB165" s="169">
        <v>58.3</v>
      </c>
      <c r="AC165" s="169">
        <v>58.3</v>
      </c>
      <c r="AD165" s="169">
        <v>58.3</v>
      </c>
      <c r="AE165" s="169">
        <v>58.3</v>
      </c>
      <c r="AF165" s="169">
        <v>58.3</v>
      </c>
      <c r="AG165" s="169">
        <v>58.3</v>
      </c>
      <c r="AH165" s="170">
        <v>58.3</v>
      </c>
      <c r="AI165" s="169">
        <v>58.3</v>
      </c>
      <c r="AJ165" s="169">
        <v>58.3</v>
      </c>
      <c r="AK165" s="169"/>
      <c r="AL165" s="169"/>
      <c r="AM165" s="169"/>
      <c r="AN165" s="169"/>
      <c r="AO165" s="169"/>
      <c r="AP165" s="170"/>
      <c r="AR165" s="453">
        <f ca="1">IF(AND($D165="Serviço",AR$12&lt;&gt;0,$H165&gt;0,OR(AUTOEVENTO&lt;&gt;"manual",$M165&lt;&gt;$A$15)),
        IF(Import.TipoArredondamento&lt;&gt;"TransfereGOV",
              ROUND(OFFSET($P165,0,AR$13),15-13*ORÇAMENTO!$AF$7)/$H165*OFFSET(ORÇAMENTO!$X$15,ROW(AR165)-ROW(AR$15),0),
              ROUND(ROUND(OFFSET($P165,0,AR$13),15-13*ORÇAMENTO!$AF$7)*OFFSET(ORÇAMENTO!$W$15,ROW(AR165)-ROW(AR$15),0),15-13*ORÇAMENTO!$AF$11)),
         0)</f>
        <v>0</v>
      </c>
      <c r="AS165" s="453">
        <f ca="1">IF(AND($D165="Serviço",AS$12&lt;&gt;0,$H165&gt;0,OR(AUTOEVENTO&lt;&gt;"manual",$M165&lt;&gt;$A$15)),
        IF(Import.TipoArredondamento&lt;&gt;"TransfereGOV",
              ROUND(OFFSET($P165,0,AS$13),15-13*ORÇAMENTO!$AF$7)/$H165*OFFSET(ORÇAMENTO!$X$15,ROW(AS165)-ROW(AS$15),0),
              ROUND(ROUND(OFFSET($P165,0,AS$13),15-13*ORÇAMENTO!$AF$7)*OFFSET(ORÇAMENTO!$W$15,ROW(AS165)-ROW(AS$15),0),15-13*ORÇAMENTO!$AF$11)),
         0)</f>
        <v>0</v>
      </c>
      <c r="AT165" s="453">
        <f ca="1">IF(AND($D165="Serviço",AT$12&lt;&gt;0,$H165&gt;0,OR(AUTOEVENTO&lt;&gt;"manual",$M165&lt;&gt;$A$15)),
        IF(Import.TipoArredondamento&lt;&gt;"TransfereGOV",
              ROUND(OFFSET($P165,0,AT$13),15-13*ORÇAMENTO!$AF$7)/$H165*OFFSET(ORÇAMENTO!$X$15,ROW(AT165)-ROW(AT$15),0),
              ROUND(ROUND(OFFSET($P165,0,AT$13),15-13*ORÇAMENTO!$AF$7)*OFFSET(ORÇAMENTO!$W$15,ROW(AT165)-ROW(AT$15),0),15-13*ORÇAMENTO!$AF$11)),
         0)</f>
        <v>0</v>
      </c>
      <c r="AU165" s="453">
        <f ca="1">IF(AND($D165="Serviço",AU$12&lt;&gt;0,$H165&gt;0,OR(AUTOEVENTO&lt;&gt;"manual",$M165&lt;&gt;$A$15)),
        IF(Import.TipoArredondamento&lt;&gt;"TransfereGOV",
              ROUND(OFFSET($P165,0,AU$13),15-13*ORÇAMENTO!$AF$7)/$H165*OFFSET(ORÇAMENTO!$X$15,ROW(AU165)-ROW(AU$15),0),
              ROUND(ROUND(OFFSET($P165,0,AU$13),15-13*ORÇAMENTO!$AF$7)*OFFSET(ORÇAMENTO!$W$15,ROW(AU165)-ROW(AU$15),0),15-13*ORÇAMENTO!$AF$11)),
         0)</f>
        <v>0</v>
      </c>
      <c r="AV165" s="453">
        <f ca="1">IF(AND($D165="Serviço",AV$12&lt;&gt;0,$H165&gt;0,OR(AUTOEVENTO&lt;&gt;"manual",$M165&lt;&gt;$A$15)),
        IF(Import.TipoArredondamento&lt;&gt;"TransfereGOV",
              ROUND(OFFSET($P165,0,AV$13),15-13*ORÇAMENTO!$AF$7)/$H165*OFFSET(ORÇAMENTO!$X$15,ROW(AV165)-ROW(AV$15),0),
              ROUND(ROUND(OFFSET($P165,0,AV$13),15-13*ORÇAMENTO!$AF$7)*OFFSET(ORÇAMENTO!$W$15,ROW(AV165)-ROW(AV$15),0),15-13*ORÇAMENTO!$AF$11)),
         0)</f>
        <v>0</v>
      </c>
      <c r="AW165" s="453">
        <f ca="1">IF(AND($D165="Serviço",AW$12&lt;&gt;0,$H165&gt;0,OR(AUTOEVENTO&lt;&gt;"manual",$M165&lt;&gt;$A$15)),
        IF(Import.TipoArredondamento&lt;&gt;"TransfereGOV",
              ROUND(OFFSET($P165,0,AW$13),15-13*ORÇAMENTO!$AF$7)/$H165*OFFSET(ORÇAMENTO!$X$15,ROW(AW165)-ROW(AW$15),0),
              ROUND(ROUND(OFFSET($P165,0,AW$13),15-13*ORÇAMENTO!$AF$7)*OFFSET(ORÇAMENTO!$W$15,ROW(AW165)-ROW(AW$15),0),15-13*ORÇAMENTO!$AF$11)),
         0)</f>
        <v>0</v>
      </c>
      <c r="AX165" s="453">
        <f ca="1">IF(AND($D165="Serviço",AX$12&lt;&gt;0,$H165&gt;0,OR(AUTOEVENTO&lt;&gt;"manual",$M165&lt;&gt;$A$15)),
        IF(Import.TipoArredondamento&lt;&gt;"TransfereGOV",
              ROUND(OFFSET($P165,0,AX$13),15-13*ORÇAMENTO!$AF$7)/$H165*OFFSET(ORÇAMENTO!$X$15,ROW(AX165)-ROW(AX$15),0),
              ROUND(ROUND(OFFSET($P165,0,AX$13),15-13*ORÇAMENTO!$AF$7)*OFFSET(ORÇAMENTO!$W$15,ROW(AX165)-ROW(AX$15),0),15-13*ORÇAMENTO!$AF$11)),
         0)</f>
        <v>0</v>
      </c>
      <c r="AY165" s="453">
        <f ca="1">IF(AND($D165="Serviço",AY$12&lt;&gt;0,$H165&gt;0,OR(AUTOEVENTO&lt;&gt;"manual",$M165&lt;&gt;$A$15)),
        IF(Import.TipoArredondamento&lt;&gt;"TransfereGOV",
              ROUND(OFFSET($P165,0,AY$13),15-13*ORÇAMENTO!$AF$7)/$H165*OFFSET(ORÇAMENTO!$X$15,ROW(AY165)-ROW(AY$15),0),
              ROUND(ROUND(OFFSET($P165,0,AY$13),15-13*ORÇAMENTO!$AF$7)*OFFSET(ORÇAMENTO!$W$15,ROW(AY165)-ROW(AY$15),0),15-13*ORÇAMENTO!$AF$11)),
         0)</f>
        <v>0</v>
      </c>
      <c r="AZ165" s="453">
        <f ca="1">IF(AND($D165="Serviço",AZ$12&lt;&gt;0,$H165&gt;0,OR(AUTOEVENTO&lt;&gt;"manual",$M165&lt;&gt;$A$15)),
        IF(Import.TipoArredondamento&lt;&gt;"TransfereGOV",
              ROUND(OFFSET($P165,0,AZ$13),15-13*ORÇAMENTO!$AF$7)/$H165*OFFSET(ORÇAMENTO!$X$15,ROW(AZ165)-ROW(AZ$15),0),
              ROUND(ROUND(OFFSET($P165,0,AZ$13),15-13*ORÇAMENTO!$AF$7)*OFFSET(ORÇAMENTO!$W$15,ROW(AZ165)-ROW(AZ$15),0),15-13*ORÇAMENTO!$AF$11)),
         0)</f>
        <v>0</v>
      </c>
      <c r="BA165" s="453">
        <f ca="1">IF(AND($D165="Serviço",BA$12&lt;&gt;0,$H165&gt;0,OR(AUTOEVENTO&lt;&gt;"manual",$M165&lt;&gt;$A$15)),
        IF(Import.TipoArredondamento&lt;&gt;"TransfereGOV",
              ROUND(OFFSET($P165,0,BA$13),15-13*ORÇAMENTO!$AF$7)/$H165*OFFSET(ORÇAMENTO!$X$15,ROW(BA165)-ROW(BA$15),0),
              ROUND(ROUND(OFFSET($P165,0,BA$13),15-13*ORÇAMENTO!$AF$7)*OFFSET(ORÇAMENTO!$W$15,ROW(BA165)-ROW(BA$15),0),15-13*ORÇAMENTO!$AF$11)),
         0)</f>
        <v>0</v>
      </c>
      <c r="BB165" s="453">
        <f ca="1">IF(AND($D165="Serviço",BB$12&lt;&gt;0,$H165&gt;0,OR(AUTOEVENTO&lt;&gt;"manual",$M165&lt;&gt;$A$15)),
        IF(Import.TipoArredondamento&lt;&gt;"TransfereGOV",
              ROUND(OFFSET($P165,0,BB$13),15-13*ORÇAMENTO!$AF$7)/$H165*OFFSET(ORÇAMENTO!$X$15,ROW(BB165)-ROW(BB$15),0),
              ROUND(ROUND(OFFSET($P165,0,BB$13),15-13*ORÇAMENTO!$AF$7)*OFFSET(ORÇAMENTO!$W$15,ROW(BB165)-ROW(BB$15),0),15-13*ORÇAMENTO!$AF$11)),
         0)</f>
        <v>0</v>
      </c>
      <c r="BC165" s="453">
        <f ca="1">IF(AND($D165="Serviço",BC$12&lt;&gt;0,$H165&gt;0,OR(AUTOEVENTO&lt;&gt;"manual",$M165&lt;&gt;$A$15)),
        IF(Import.TipoArredondamento&lt;&gt;"TransfereGOV",
              ROUND(OFFSET($P165,0,BC$13),15-13*ORÇAMENTO!$AF$7)/$H165*OFFSET(ORÇAMENTO!$X$15,ROW(BC165)-ROW(BC$15),0),
              ROUND(ROUND(OFFSET($P165,0,BC$13),15-13*ORÇAMENTO!$AF$7)*OFFSET(ORÇAMENTO!$W$15,ROW(BC165)-ROW(BC$15),0),15-13*ORÇAMENTO!$AF$11)),
         0)</f>
        <v>0</v>
      </c>
      <c r="BD165" s="453">
        <f ca="1">IF(AND($D165="Serviço",BD$12&lt;&gt;0,$H165&gt;0,OR(AUTOEVENTO&lt;&gt;"manual",$M165&lt;&gt;$A$15)),
        IF(Import.TipoArredondamento&lt;&gt;"TransfereGOV",
              ROUND(OFFSET($P165,0,BD$13),15-13*ORÇAMENTO!$AF$7)/$H165*OFFSET(ORÇAMENTO!$X$15,ROW(BD165)-ROW(BD$15),0),
              ROUND(ROUND(OFFSET($P165,0,BD$13),15-13*ORÇAMENTO!$AF$7)*OFFSET(ORÇAMENTO!$W$15,ROW(BD165)-ROW(BD$15),0),15-13*ORÇAMENTO!$AF$11)),
         0)</f>
        <v>0</v>
      </c>
      <c r="BE165" s="453">
        <f ca="1">IF(AND($D165="Serviço",BE$12&lt;&gt;0,$H165&gt;0,OR(AUTOEVENTO&lt;&gt;"manual",$M165&lt;&gt;$A$15)),
        IF(Import.TipoArredondamento&lt;&gt;"TransfereGOV",
              ROUND(OFFSET($P165,0,BE$13),15-13*ORÇAMENTO!$AF$7)/$H165*OFFSET(ORÇAMENTO!$X$15,ROW(BE165)-ROW(BE$15),0),
              ROUND(ROUND(OFFSET($P165,0,BE$13),15-13*ORÇAMENTO!$AF$7)*OFFSET(ORÇAMENTO!$W$15,ROW(BE165)-ROW(BE$15),0),15-13*ORÇAMENTO!$AF$11)),
         0)</f>
        <v>0</v>
      </c>
      <c r="BF165" s="453">
        <f ca="1">IF(AND($D165="Serviço",BF$12&lt;&gt;0,$H165&gt;0,OR(AUTOEVENTO&lt;&gt;"manual",$M165&lt;&gt;$A$15)),
        IF(Import.TipoArredondamento&lt;&gt;"TransfereGOV",
              ROUND(OFFSET($P165,0,BF$13),15-13*ORÇAMENTO!$AF$7)/$H165*OFFSET(ORÇAMENTO!$X$15,ROW(BF165)-ROW(BF$15),0),
              ROUND(ROUND(OFFSET($P165,0,BF$13),15-13*ORÇAMENTO!$AF$7)*OFFSET(ORÇAMENTO!$W$15,ROW(BF165)-ROW(BF$15),0),15-13*ORÇAMENTO!$AF$11)),
         0)</f>
        <v>0</v>
      </c>
      <c r="BG165" s="453">
        <f ca="1">IF(AND($D165="Serviço",BG$12&lt;&gt;0,$H165&gt;0,OR(AUTOEVENTO&lt;&gt;"manual",$M165&lt;&gt;$A$15)),
        IF(Import.TipoArredondamento&lt;&gt;"TransfereGOV",
              ROUND(OFFSET($P165,0,BG$13),15-13*ORÇAMENTO!$AF$7)/$H165*OFFSET(ORÇAMENTO!$X$15,ROW(BG165)-ROW(BG$15),0),
              ROUND(ROUND(OFFSET($P165,0,BG$13),15-13*ORÇAMENTO!$AF$7)*OFFSET(ORÇAMENTO!$W$15,ROW(BG165)-ROW(BG$15),0),15-13*ORÇAMENTO!$AF$11)),
         0)</f>
        <v>0</v>
      </c>
      <c r="BH165" s="453">
        <f ca="1">IF(AND($D165="Serviço",BH$12&lt;&gt;0,$H165&gt;0,OR(AUTOEVENTO&lt;&gt;"manual",$M165&lt;&gt;$A$15)),
        IF(Import.TipoArredondamento&lt;&gt;"TransfereGOV",
              ROUND(OFFSET($P165,0,BH$13),15-13*ORÇAMENTO!$AF$7)/$H165*OFFSET(ORÇAMENTO!$X$15,ROW(BH165)-ROW(BH$15),0),
              ROUND(ROUND(OFFSET($P165,0,BH$13),15-13*ORÇAMENTO!$AF$7)*OFFSET(ORÇAMENTO!$W$15,ROW(BH165)-ROW(BH$15),0),15-13*ORÇAMENTO!$AF$11)),
         0)</f>
        <v>0</v>
      </c>
      <c r="BI165" s="453">
        <f ca="1">IF(AND($D165="Serviço",BI$12&lt;&gt;0,$H165&gt;0,OR(AUTOEVENTO&lt;&gt;"manual",$M165&lt;&gt;$A$15)),
        IF(Import.TipoArredondamento&lt;&gt;"TransfereGOV",
              ROUND(OFFSET($P165,0,BI$13),15-13*ORÇAMENTO!$AF$7)/$H165*OFFSET(ORÇAMENTO!$X$15,ROW(BI165)-ROW(BI$15),0),
              ROUND(ROUND(OFFSET($P165,0,BI$13),15-13*ORÇAMENTO!$AF$7)*OFFSET(ORÇAMENTO!$W$15,ROW(BI165)-ROW(BI$15),0),15-13*ORÇAMENTO!$AF$11)),
         0)</f>
        <v>0</v>
      </c>
      <c r="BJ165" s="453">
        <f ca="1">IF(AND($D165="Serviço",BJ$12&lt;&gt;0,$H165&gt;0,OR(AUTOEVENTO&lt;&gt;"manual",$M165&lt;&gt;$A$15)),
        IF(Import.TipoArredondamento&lt;&gt;"TransfereGOV",
              ROUND(OFFSET($P165,0,BJ$13),15-13*ORÇAMENTO!$AF$7)/$H165*OFFSET(ORÇAMENTO!$X$15,ROW(BJ165)-ROW(BJ$15),0),
              ROUND(ROUND(OFFSET($P165,0,BJ$13),15-13*ORÇAMENTO!$AF$7)*OFFSET(ORÇAMENTO!$W$15,ROW(BJ165)-ROW(BJ$15),0),15-13*ORÇAMENTO!$AF$11)),
         0)</f>
        <v>0</v>
      </c>
      <c r="BK165" s="453">
        <f ca="1">IF(AND($D165="Serviço",BK$12&lt;&gt;0,$H165&gt;0,OR(AUTOEVENTO&lt;&gt;"manual",$M165&lt;&gt;$A$15)),
        IF(Import.TipoArredondamento&lt;&gt;"TransfereGOV",
              ROUND(OFFSET($P165,0,BK$13),15-13*ORÇAMENTO!$AF$7)/$H165*OFFSET(ORÇAMENTO!$X$15,ROW(BK165)-ROW(BK$15),0),
              ROUND(ROUND(OFFSET($P165,0,BK$13),15-13*ORÇAMENTO!$AF$7)*OFFSET(ORÇAMENTO!$W$15,ROW(BK165)-ROW(BK$15),0),15-13*ORÇAMENTO!$AF$11)),
         0)</f>
        <v>0</v>
      </c>
      <c r="BL165" s="453">
        <f ca="1">IF(AND($D165="Serviço",BL$12&lt;&gt;0,$H165&gt;0,OR(AUTOEVENTO&lt;&gt;"manual",$M165&lt;&gt;$A$15)),
        IF(Import.TipoArredondamento&lt;&gt;"TransfereGOV",
              ROUND(OFFSET($P165,0,BL$13),15-13*ORÇAMENTO!$AF$7)/$H165*OFFSET(ORÇAMENTO!$X$15,ROW(BL165)-ROW(BL$15),0),
              ROUND(ROUND(OFFSET($P165,0,BL$13),15-13*ORÇAMENTO!$AF$7)*OFFSET(ORÇAMENTO!$W$15,ROW(BL165)-ROW(BL$15),0),15-13*ORÇAMENTO!$AF$11)),
         0)</f>
        <v>0</v>
      </c>
      <c r="BM165" s="453">
        <f ca="1">IF(AND($D165="Serviço",BM$12&lt;&gt;0,$H165&gt;0,OR(AUTOEVENTO&lt;&gt;"manual",$M165&lt;&gt;$A$15)),
        IF(Import.TipoArredondamento&lt;&gt;"TransfereGOV",
              ROUND(OFFSET($P165,0,BM$13),15-13*ORÇAMENTO!$AF$7)/$H165*OFFSET(ORÇAMENTO!$X$15,ROW(BM165)-ROW(BM$15),0),
              ROUND(ROUND(OFFSET($P165,0,BM$13),15-13*ORÇAMENTO!$AF$7)*OFFSET(ORÇAMENTO!$W$15,ROW(BM165)-ROW(BM$15),0),15-13*ORÇAMENTO!$AF$11)),
         0)</f>
        <v>0</v>
      </c>
      <c r="BN165" s="453">
        <f ca="1">IF(AND($D165="Serviço",BN$12&lt;&gt;0,$H165&gt;0,OR(AUTOEVENTO&lt;&gt;"manual",$M165&lt;&gt;$A$15)),
        IF(Import.TipoArredondamento&lt;&gt;"TransfereGOV",
              ROUND(OFFSET($P165,0,BN$13),15-13*ORÇAMENTO!$AF$7)/$H165*OFFSET(ORÇAMENTO!$X$15,ROW(BN165)-ROW(BN$15),0),
              ROUND(ROUND(OFFSET($P165,0,BN$13),15-13*ORÇAMENTO!$AF$7)*OFFSET(ORÇAMENTO!$W$15,ROW(BN165)-ROW(BN$15),0),15-13*ORÇAMENTO!$AF$11)),
         0)</f>
        <v>0</v>
      </c>
      <c r="BO165" s="453">
        <f ca="1">IF(AND($D165="Serviço",BO$12&lt;&gt;0,$H165&gt;0,OR(AUTOEVENTO&lt;&gt;"manual",$M165&lt;&gt;$A$15)),
        IF(Import.TipoArredondamento&lt;&gt;"TransfereGOV",
              ROUND(OFFSET($P165,0,BO$13),15-13*ORÇAMENTO!$AF$7)/$H165*OFFSET(ORÇAMENTO!$X$15,ROW(BO165)-ROW(BO$15),0),
              ROUND(ROUND(OFFSET($P165,0,BO$13),15-13*ORÇAMENTO!$AF$7)*OFFSET(ORÇAMENTO!$W$15,ROW(BO165)-ROW(BO$15),0),15-13*ORÇAMENTO!$AF$11)),
         0)</f>
        <v>0</v>
      </c>
      <c r="BP165" s="453">
        <f ca="1">IF(AND($D165="Serviço",BP$12&lt;&gt;0,$H165&gt;0,OR(AUTOEVENTO&lt;&gt;"manual",$M165&lt;&gt;$A$15)),
        IF(Import.TipoArredondamento&lt;&gt;"TransfereGOV",
              ROUND(OFFSET($P165,0,BP$13),15-13*ORÇAMENTO!$AF$7)/$H165*OFFSET(ORÇAMENTO!$X$15,ROW(BP165)-ROW(BP$15),0),
              ROUND(ROUND(OFFSET($P165,0,BP$13),15-13*ORÇAMENTO!$AF$7)*OFFSET(ORÇAMENTO!$W$15,ROW(BP165)-ROW(BP$15),0),15-13*ORÇAMENTO!$AF$11)),
         0)</f>
        <v>0</v>
      </c>
      <c r="BQ165" s="453">
        <f ca="1">IF(AND($D165="Serviço",BQ$12&lt;&gt;0,$H165&gt;0,OR(AUTOEVENTO&lt;&gt;"manual",$M165&lt;&gt;$A$15)),
        IF(Import.TipoArredondamento&lt;&gt;"TransfereGOV",
              ROUND(OFFSET($P165,0,BQ$13),15-13*ORÇAMENTO!$AF$7)/$H165*OFFSET(ORÇAMENTO!$X$15,ROW(BQ165)-ROW(BQ$15),0),
              ROUND(ROUND(OFFSET($P165,0,BQ$13),15-13*ORÇAMENTO!$AF$7)*OFFSET(ORÇAMENTO!$W$15,ROW(BQ165)-ROW(BQ$15),0),15-13*ORÇAMENTO!$AF$11)),
         0)</f>
        <v>0</v>
      </c>
      <c r="BS165" s="171">
        <f ca="1">IF(OR($D165&lt;&gt;"Serviço",AND(AUTOEVENTO="Manual",$M165=$A$15)),0,
         IF(OFFSET(CRONOPLE!$F$15,$M165-$A$15,BS$13)=0,10^12,OFFSET(CRONOPLE!$F$15,$M165-$A$15,BS$13)))</f>
        <v>1</v>
      </c>
      <c r="BT165" s="171">
        <f ca="1">IF(OR($D165&lt;&gt;"Serviço",AND(AUTOEVENTO="Manual",$M165=$A$15)),0,
         IF(OFFSET(CRONOPLE!$F$15,$M165-$A$15,BT$13)=0,10^12,OFFSET(CRONOPLE!$F$15,$M165-$A$15,BT$13)))</f>
        <v>2</v>
      </c>
      <c r="BU165" s="171">
        <f ca="1">IF(OR($D165&lt;&gt;"Serviço",AND(AUTOEVENTO="Manual",$M165=$A$15)),0,
         IF(OFFSET(CRONOPLE!$F$15,$M165-$A$15,BU$13)=0,10^12,OFFSET(CRONOPLE!$F$15,$M165-$A$15,BU$13)))</f>
        <v>3</v>
      </c>
      <c r="BV165" s="171">
        <f ca="1">IF(OR($D165&lt;&gt;"Serviço",AND(AUTOEVENTO="Manual",$M165=$A$15)),0,
         IF(OFFSET(CRONOPLE!$F$15,$M165-$A$15,BV$13)=0,10^12,OFFSET(CRONOPLE!$F$15,$M165-$A$15,BV$13)))</f>
        <v>4</v>
      </c>
      <c r="BW165" s="171">
        <f ca="1">IF(OR($D165&lt;&gt;"Serviço",AND(AUTOEVENTO="Manual",$M165=$A$15)),0,
         IF(OFFSET(CRONOPLE!$F$15,$M165-$A$15,BW$13)=0,10^12,OFFSET(CRONOPLE!$F$15,$M165-$A$15,BW$13)))</f>
        <v>5</v>
      </c>
      <c r="BX165" s="171">
        <f ca="1">IF(OR($D165&lt;&gt;"Serviço",AND(AUTOEVENTO="Manual",$M165=$A$15)),0,
         IF(OFFSET(CRONOPLE!$F$15,$M165-$A$15,BX$13)=0,10^12,OFFSET(CRONOPLE!$F$15,$M165-$A$15,BX$13)))</f>
        <v>6</v>
      </c>
      <c r="BY165" s="171">
        <f ca="1">IF(OR($D165&lt;&gt;"Serviço",AND(AUTOEVENTO="Manual",$M165=$A$15)),0,
         IF(OFFSET(CRONOPLE!$F$15,$M165-$A$15,BY$13)=0,10^12,OFFSET(CRONOPLE!$F$15,$M165-$A$15,BY$13)))</f>
        <v>7</v>
      </c>
      <c r="BZ165" s="171">
        <f ca="1">IF(OR($D165&lt;&gt;"Serviço",AND(AUTOEVENTO="Manual",$M165=$A$15)),0,
         IF(OFFSET(CRONOPLE!$F$15,$M165-$A$15,BZ$13)=0,10^12,OFFSET(CRONOPLE!$F$15,$M165-$A$15,BZ$13)))</f>
        <v>8</v>
      </c>
      <c r="CA165" s="171">
        <f ca="1">IF(OR($D165&lt;&gt;"Serviço",AND(AUTOEVENTO="Manual",$M165=$A$15)),0,
         IF(OFFSET(CRONOPLE!$F$15,$M165-$A$15,CA$13)=0,10^12,OFFSET(CRONOPLE!$F$15,$M165-$A$15,CA$13)))</f>
        <v>9</v>
      </c>
      <c r="CB165" s="171">
        <f ca="1">IF(OR($D165&lt;&gt;"Serviço",AND(AUTOEVENTO="Manual",$M165=$A$15)),0,
         IF(OFFSET(CRONOPLE!$F$15,$M165-$A$15,CB$13)=0,10^12,OFFSET(CRONOPLE!$F$15,$M165-$A$15,CB$13)))</f>
        <v>10</v>
      </c>
      <c r="CC165" s="171">
        <f ca="1">IF(OR($D165&lt;&gt;"Serviço",AND(AUTOEVENTO="Manual",$M165=$A$15)),0,
         IF(OFFSET(CRONOPLE!$F$15,$M165-$A$15,CC$13)=0,10^12,OFFSET(CRONOPLE!$F$15,$M165-$A$15,CC$13)))</f>
        <v>11</v>
      </c>
      <c r="CD165" s="171">
        <f ca="1">IF(OR($D165&lt;&gt;"Serviço",AND(AUTOEVENTO="Manual",$M165=$A$15)),0,
         IF(OFFSET(CRONOPLE!$F$15,$M165-$A$15,CD$13)=0,10^12,OFFSET(CRONOPLE!$F$15,$M165-$A$15,CD$13)))</f>
        <v>12</v>
      </c>
      <c r="CE165" s="171">
        <f ca="1">IF(OR($D165&lt;&gt;"Serviço",AND(AUTOEVENTO="Manual",$M165=$A$15)),0,
         IF(OFFSET(CRONOPLE!$F$15,$M165-$A$15,CE$13)=0,10^12,OFFSET(CRONOPLE!$F$15,$M165-$A$15,CE$13)))</f>
        <v>13</v>
      </c>
      <c r="CF165" s="171">
        <f ca="1">IF(OR($D165&lt;&gt;"Serviço",AND(AUTOEVENTO="Manual",$M165=$A$15)),0,
         IF(OFFSET(CRONOPLE!$F$15,$M165-$A$15,CF$13)=0,10^12,OFFSET(CRONOPLE!$F$15,$M165-$A$15,CF$13)))</f>
        <v>14</v>
      </c>
      <c r="CG165" s="171">
        <f ca="1">IF(OR($D165&lt;&gt;"Serviço",AND(AUTOEVENTO="Manual",$M165=$A$15)),0,
         IF(OFFSET(CRONOPLE!$F$15,$M165-$A$15,CG$13)=0,10^12,OFFSET(CRONOPLE!$F$15,$M165-$A$15,CG$13)))</f>
        <v>15</v>
      </c>
      <c r="CH165" s="171">
        <f ca="1">IF(OR($D165&lt;&gt;"Serviço",AND(AUTOEVENTO="Manual",$M165=$A$15)),0,
         IF(OFFSET(CRONOPLE!$F$15,$M165-$A$15,CH$13)=0,10^12,OFFSET(CRONOPLE!$F$15,$M165-$A$15,CH$13)))</f>
        <v>16</v>
      </c>
      <c r="CI165" s="171">
        <f ca="1">IF(OR($D165&lt;&gt;"Serviço",AND(AUTOEVENTO="Manual",$M165=$A$15)),0,
         IF(OFFSET(CRONOPLE!$F$15,$M165-$A$15,CI$13)=0,10^12,OFFSET(CRONOPLE!$F$15,$M165-$A$15,CI$13)))</f>
        <v>17</v>
      </c>
      <c r="CJ165" s="171">
        <f ca="1">IF(OR($D165&lt;&gt;"Serviço",AND(AUTOEVENTO="Manual",$M165=$A$15)),0,
         IF(OFFSET(CRONOPLE!$F$15,$M165-$A$15,CJ$13)=0,10^12,OFFSET(CRONOPLE!$F$15,$M165-$A$15,CJ$13)))</f>
        <v>18</v>
      </c>
      <c r="CK165" s="171">
        <f ca="1">IF(OR($D165&lt;&gt;"Serviço",AND(AUTOEVENTO="Manual",$M165=$A$15)),0,
         IF(OFFSET(CRONOPLE!$F$15,$M165-$A$15,CK$13)=0,10^12,OFFSET(CRONOPLE!$F$15,$M165-$A$15,CK$13)))</f>
        <v>19</v>
      </c>
      <c r="CL165" s="171">
        <f ca="1">IF(OR($D165&lt;&gt;"Serviço",AND(AUTOEVENTO="Manual",$M165=$A$15)),0,
         IF(OFFSET(CRONOPLE!$F$15,$M165-$A$15,CL$13)=0,10^12,OFFSET(CRONOPLE!$F$15,$M165-$A$15,CL$13)))</f>
        <v>20</v>
      </c>
      <c r="CM165" s="171">
        <f ca="1">IF(OR($D165&lt;&gt;"Serviço",AND(AUTOEVENTO="Manual",$M165=$A$15)),0,
         IF(OFFSET(CRONOPLE!$F$15,$M165-$A$15,CM$13)=0,10^12,OFFSET(CRONOPLE!$F$15,$M165-$A$15,CM$13)))</f>
        <v>1000000000000</v>
      </c>
      <c r="CN165" s="171">
        <f ca="1">IF(OR($D165&lt;&gt;"Serviço",AND(AUTOEVENTO="Manual",$M165=$A$15)),0,
         IF(OFFSET(CRONOPLE!$F$15,$M165-$A$15,CN$13)=0,10^12,OFFSET(CRONOPLE!$F$15,$M165-$A$15,CN$13)))</f>
        <v>1000000000000</v>
      </c>
      <c r="CO165" s="171">
        <f ca="1">IF(OR($D165&lt;&gt;"Serviço",AND(AUTOEVENTO="Manual",$M165=$A$15)),0,
         IF(OFFSET(CRONOPLE!$F$15,$M165-$A$15,CO$13)=0,10^12,OFFSET(CRONOPLE!$F$15,$M165-$A$15,CO$13)))</f>
        <v>1000000000000</v>
      </c>
      <c r="CP165" s="171">
        <f ca="1">IF(OR($D165&lt;&gt;"Serviço",AND(AUTOEVENTO="Manual",$M165=$A$15)),0,
         IF(OFFSET(CRONOPLE!$F$15,$M165-$A$15,CP$13)=0,10^12,OFFSET(CRONOPLE!$F$15,$M165-$A$15,CP$13)))</f>
        <v>1000000000000</v>
      </c>
      <c r="CQ165" s="171">
        <f ca="1">IF(OR($D165&lt;&gt;"Serviço",AND(AUTOEVENTO="Manual",$M165=$A$15)),0,
         IF(OFFSET(CRONOPLE!$F$15,$M165-$A$15,CQ$13)=0,10^12,OFFSET(CRONOPLE!$F$15,$M165-$A$15,CQ$13)))</f>
        <v>1000000000000</v>
      </c>
      <c r="CR165" s="171">
        <f ca="1">IF(OR($D165&lt;&gt;"Serviço",AND(AUTOEVENTO="Manual",$M165=$A$15)),0,
         IF(OFFSET(CRONOPLE!$F$15,$M165-$A$15,CR$13)=0,10^12,OFFSET(CRONOPLE!$F$15,$M165-$A$15,CR$13)))</f>
        <v>1000000000000</v>
      </c>
      <c r="CT165" s="172" cm="1">
        <f t="array" aca="1" ref="CT165" ca="1">IF(OR($D165&lt;&gt;"Serviço",AND(AUTOEVENTO="Manual",$M165=$A$15),$M165&gt;(ROW(PLE.lastrow)-ROW(PLE.firstrow))),0,
           IF(OFFSET(PLE!$G$15,$M165-$A$15,CT$13)="",10^12,OFFSET(PLE!$G$15,$M165-$A$15,CT$13)))</f>
        <v>1000000000000</v>
      </c>
      <c r="CU165" s="172" cm="1">
        <f t="array" aca="1" ref="CU165" ca="1">IF(OR($D165&lt;&gt;"Serviço",AND(AUTOEVENTO="Manual",$M165=$A$15),$M165&gt;(ROW(PLE.lastrow)-ROW(PLE.firstrow))),0,
           IF(OFFSET(PLE!$G$15,$M165-$A$15,CU$13)="",10^12,OFFSET(PLE!$G$15,$M165-$A$15,CU$13)))</f>
        <v>1000000000000</v>
      </c>
      <c r="CV165" s="172" cm="1">
        <f t="array" aca="1" ref="CV165" ca="1">IF(OR($D165&lt;&gt;"Serviço",AND(AUTOEVENTO="Manual",$M165=$A$15),$M165&gt;(ROW(PLE.lastrow)-ROW(PLE.firstrow))),0,
           IF(OFFSET(PLE!$G$15,$M165-$A$15,CV$13)="",10^12,OFFSET(PLE!$G$15,$M165-$A$15,CV$13)))</f>
        <v>1000000000000</v>
      </c>
      <c r="CW165" s="172" cm="1">
        <f t="array" aca="1" ref="CW165" ca="1">IF(OR($D165&lt;&gt;"Serviço",AND(AUTOEVENTO="Manual",$M165=$A$15),$M165&gt;(ROW(PLE.lastrow)-ROW(PLE.firstrow))),0,
           IF(OFFSET(PLE!$G$15,$M165-$A$15,CW$13)="",10^12,OFFSET(PLE!$G$15,$M165-$A$15,CW$13)))</f>
        <v>1000000000000</v>
      </c>
      <c r="CX165" s="172" cm="1">
        <f t="array" aca="1" ref="CX165" ca="1">IF(OR($D165&lt;&gt;"Serviço",AND(AUTOEVENTO="Manual",$M165=$A$15),$M165&gt;(ROW(PLE.lastrow)-ROW(PLE.firstrow))),0,
           IF(OFFSET(PLE!$G$15,$M165-$A$15,CX$13)="",10^12,OFFSET(PLE!$G$15,$M165-$A$15,CX$13)))</f>
        <v>1000000000000</v>
      </c>
      <c r="CY165" s="172" cm="1">
        <f t="array" aca="1" ref="CY165" ca="1">IF(OR($D165&lt;&gt;"Serviço",AND(AUTOEVENTO="Manual",$M165=$A$15),$M165&gt;(ROW(PLE.lastrow)-ROW(PLE.firstrow))),0,
           IF(OFFSET(PLE!$G$15,$M165-$A$15,CY$13)="",10^12,OFFSET(PLE!$G$15,$M165-$A$15,CY$13)))</f>
        <v>1000000000000</v>
      </c>
      <c r="CZ165" s="172" cm="1">
        <f t="array" aca="1" ref="CZ165" ca="1">IF(OR($D165&lt;&gt;"Serviço",AND(AUTOEVENTO="Manual",$M165=$A$15),$M165&gt;(ROW(PLE.lastrow)-ROW(PLE.firstrow))),0,
           IF(OFFSET(PLE!$G$15,$M165-$A$15,CZ$13)="",10^12,OFFSET(PLE!$G$15,$M165-$A$15,CZ$13)))</f>
        <v>1000000000000</v>
      </c>
      <c r="DA165" s="172" cm="1">
        <f t="array" aca="1" ref="DA165" ca="1">IF(OR($D165&lt;&gt;"Serviço",AND(AUTOEVENTO="Manual",$M165=$A$15),$M165&gt;(ROW(PLE.lastrow)-ROW(PLE.firstrow))),0,
           IF(OFFSET(PLE!$G$15,$M165-$A$15,DA$13)="",10^12,OFFSET(PLE!$G$15,$M165-$A$15,DA$13)))</f>
        <v>1000000000000</v>
      </c>
      <c r="DB165" s="172" cm="1">
        <f t="array" aca="1" ref="DB165" ca="1">IF(OR($D165&lt;&gt;"Serviço",AND(AUTOEVENTO="Manual",$M165=$A$15),$M165&gt;(ROW(PLE.lastrow)-ROW(PLE.firstrow))),0,
           IF(OFFSET(PLE!$G$15,$M165-$A$15,DB$13)="",10^12,OFFSET(PLE!$G$15,$M165-$A$15,DB$13)))</f>
        <v>1000000000000</v>
      </c>
      <c r="DC165" s="172" cm="1">
        <f t="array" aca="1" ref="DC165" ca="1">IF(OR($D165&lt;&gt;"Serviço",AND(AUTOEVENTO="Manual",$M165=$A$15),$M165&gt;(ROW(PLE.lastrow)-ROW(PLE.firstrow))),0,
           IF(OFFSET(PLE!$G$15,$M165-$A$15,DC$13)="",10^12,OFFSET(PLE!$G$15,$M165-$A$15,DC$13)))</f>
        <v>1000000000000</v>
      </c>
      <c r="DD165" s="172" cm="1">
        <f t="array" aca="1" ref="DD165" ca="1">IF(OR($D165&lt;&gt;"Serviço",AND(AUTOEVENTO="Manual",$M165=$A$15),$M165&gt;(ROW(PLE.lastrow)-ROW(PLE.firstrow))),0,
           IF(OFFSET(PLE!$G$15,$M165-$A$15,DD$13)="",10^12,OFFSET(PLE!$G$15,$M165-$A$15,DD$13)))</f>
        <v>1000000000000</v>
      </c>
      <c r="DE165" s="172" cm="1">
        <f t="array" aca="1" ref="DE165" ca="1">IF(OR($D165&lt;&gt;"Serviço",AND(AUTOEVENTO="Manual",$M165=$A$15),$M165&gt;(ROW(PLE.lastrow)-ROW(PLE.firstrow))),0,
           IF(OFFSET(PLE!$G$15,$M165-$A$15,DE$13)="",10^12,OFFSET(PLE!$G$15,$M165-$A$15,DE$13)))</f>
        <v>1000000000000</v>
      </c>
      <c r="DF165" s="172" cm="1">
        <f t="array" aca="1" ref="DF165" ca="1">IF(OR($D165&lt;&gt;"Serviço",AND(AUTOEVENTO="Manual",$M165=$A$15),$M165&gt;(ROW(PLE.lastrow)-ROW(PLE.firstrow))),0,
           IF(OFFSET(PLE!$G$15,$M165-$A$15,DF$13)="",10^12,OFFSET(PLE!$G$15,$M165-$A$15,DF$13)))</f>
        <v>1000000000000</v>
      </c>
      <c r="DG165" s="172" cm="1">
        <f t="array" aca="1" ref="DG165" ca="1">IF(OR($D165&lt;&gt;"Serviço",AND(AUTOEVENTO="Manual",$M165=$A$15),$M165&gt;(ROW(PLE.lastrow)-ROW(PLE.firstrow))),0,
           IF(OFFSET(PLE!$G$15,$M165-$A$15,DG$13)="",10^12,OFFSET(PLE!$G$15,$M165-$A$15,DG$13)))</f>
        <v>1000000000000</v>
      </c>
      <c r="DH165" s="172" cm="1">
        <f t="array" aca="1" ref="DH165" ca="1">IF(OR($D165&lt;&gt;"Serviço",AND(AUTOEVENTO="Manual",$M165=$A$15),$M165&gt;(ROW(PLE.lastrow)-ROW(PLE.firstrow))),0,
           IF(OFFSET(PLE!$G$15,$M165-$A$15,DH$13)="",10^12,OFFSET(PLE!$G$15,$M165-$A$15,DH$13)))</f>
        <v>1000000000000</v>
      </c>
      <c r="DI165" s="172" cm="1">
        <f t="array" aca="1" ref="DI165" ca="1">IF(OR($D165&lt;&gt;"Serviço",AND(AUTOEVENTO="Manual",$M165=$A$15),$M165&gt;(ROW(PLE.lastrow)-ROW(PLE.firstrow))),0,
           IF(OFFSET(PLE!$G$15,$M165-$A$15,DI$13)="",10^12,OFFSET(PLE!$G$15,$M165-$A$15,DI$13)))</f>
        <v>1000000000000</v>
      </c>
      <c r="DJ165" s="172" cm="1">
        <f t="array" aca="1" ref="DJ165" ca="1">IF(OR($D165&lt;&gt;"Serviço",AND(AUTOEVENTO="Manual",$M165=$A$15),$M165&gt;(ROW(PLE.lastrow)-ROW(PLE.firstrow))),0,
           IF(OFFSET(PLE!$G$15,$M165-$A$15,DJ$13)="",10^12,OFFSET(PLE!$G$15,$M165-$A$15,DJ$13)))</f>
        <v>1000000000000</v>
      </c>
      <c r="DK165" s="172" cm="1">
        <f t="array" aca="1" ref="DK165" ca="1">IF(OR($D165&lt;&gt;"Serviço",AND(AUTOEVENTO="Manual",$M165=$A$15),$M165&gt;(ROW(PLE.lastrow)-ROW(PLE.firstrow))),0,
           IF(OFFSET(PLE!$G$15,$M165-$A$15,DK$13)="",10^12,OFFSET(PLE!$G$15,$M165-$A$15,DK$13)))</f>
        <v>1000000000000</v>
      </c>
      <c r="DL165" s="172" cm="1">
        <f t="array" aca="1" ref="DL165" ca="1">IF(OR($D165&lt;&gt;"Serviço",AND(AUTOEVENTO="Manual",$M165=$A$15),$M165&gt;(ROW(PLE.lastrow)-ROW(PLE.firstrow))),0,
           IF(OFFSET(PLE!$G$15,$M165-$A$15,DL$13)="",10^12,OFFSET(PLE!$G$15,$M165-$A$15,DL$13)))</f>
        <v>1000000000000</v>
      </c>
      <c r="DM165" s="172" cm="1">
        <f t="array" aca="1" ref="DM165" ca="1">IF(OR($D165&lt;&gt;"Serviço",AND(AUTOEVENTO="Manual",$M165=$A$15),$M165&gt;(ROW(PLE.lastrow)-ROW(PLE.firstrow))),0,
           IF(OFFSET(PLE!$G$15,$M165-$A$15,DM$13)="",10^12,OFFSET(PLE!$G$15,$M165-$A$15,DM$13)))</f>
        <v>1000000000000</v>
      </c>
      <c r="DN165" s="172" cm="1">
        <f t="array" aca="1" ref="DN165" ca="1">IF(OR($D165&lt;&gt;"Serviço",AND(AUTOEVENTO="Manual",$M165=$A$15),$M165&gt;(ROW(PLE.lastrow)-ROW(PLE.firstrow))),0,
           IF(OFFSET(PLE!$G$15,$M165-$A$15,DN$13)="",10^12,OFFSET(PLE!$G$15,$M165-$A$15,DN$13)))</f>
        <v>1000000000000</v>
      </c>
      <c r="DO165" s="172" cm="1">
        <f t="array" aca="1" ref="DO165" ca="1">IF(OR($D165&lt;&gt;"Serviço",AND(AUTOEVENTO="Manual",$M165=$A$15),$M165&gt;(ROW(PLE.lastrow)-ROW(PLE.firstrow))),0,
           IF(OFFSET(PLE!$G$15,$M165-$A$15,DO$13)="",10^12,OFFSET(PLE!$G$15,$M165-$A$15,DO$13)))</f>
        <v>1000000000000</v>
      </c>
      <c r="DP165" s="172" cm="1">
        <f t="array" aca="1" ref="DP165" ca="1">IF(OR($D165&lt;&gt;"Serviço",AND(AUTOEVENTO="Manual",$M165=$A$15),$M165&gt;(ROW(PLE.lastrow)-ROW(PLE.firstrow))),0,
           IF(OFFSET(PLE!$G$15,$M165-$A$15,DP$13)="",10^12,OFFSET(PLE!$G$15,$M165-$A$15,DP$13)))</f>
        <v>1000000000000</v>
      </c>
      <c r="DQ165" s="172" cm="1">
        <f t="array" aca="1" ref="DQ165" ca="1">IF(OR($D165&lt;&gt;"Serviço",AND(AUTOEVENTO="Manual",$M165=$A$15),$M165&gt;(ROW(PLE.lastrow)-ROW(PLE.firstrow))),0,
           IF(OFFSET(PLE!$G$15,$M165-$A$15,DQ$13)="",10^12,OFFSET(PLE!$G$15,$M165-$A$15,DQ$13)))</f>
        <v>1000000000000</v>
      </c>
      <c r="DR165" s="172" cm="1">
        <f t="array" aca="1" ref="DR165" ca="1">IF(OR($D165&lt;&gt;"Serviço",AND(AUTOEVENTO="Manual",$M165=$A$15),$M165&gt;(ROW(PLE.lastrow)-ROW(PLE.firstrow))),0,
           IF(OFFSET(PLE!$G$15,$M165-$A$15,DR$13)="",10^12,OFFSET(PLE!$G$15,$M165-$A$15,DR$13)))</f>
        <v>1000000000000</v>
      </c>
      <c r="DS165" s="172" cm="1">
        <f t="array" aca="1" ref="DS165" ca="1">IF(OR($D165&lt;&gt;"Serviço",AND(AUTOEVENTO="Manual",$M165=$A$15),$M165&gt;(ROW(PLE.lastrow)-ROW(PLE.firstrow))),0,
           IF(OFFSET(PLE!$G$15,$M165-$A$15,DS$13)="",10^12,OFFSET(PLE!$G$15,$M165-$A$15,DS$13)))</f>
        <v>1000000000000</v>
      </c>
    </row>
    <row r="166" spans="1:123" ht="12.75" x14ac:dyDescent="0.2">
      <c r="A166" s="7">
        <f t="shared" ca="1" si="16"/>
        <v>0</v>
      </c>
      <c r="B166" s="7">
        <f ca="1">OFFSET(ORÇAMENTO!C$15,$L166,0)</f>
        <v>2</v>
      </c>
      <c r="C166" s="7" t="str">
        <f ca="1">OFFSET(ORÇAMENTO!L$15,$L166,0)</f>
        <v>F</v>
      </c>
      <c r="D166" s="116" t="str">
        <f ca="1">OFFSET(ORÇAMENTO!N$15,$L166,0)</f>
        <v>Nível 2</v>
      </c>
      <c r="E166" s="117" t="str">
        <f ca="1">OFFSET(ORÇAMENTO!O$15,$L166,0)</f>
        <v>9.2.</v>
      </c>
      <c r="F166" s="163" t="str">
        <f ca="1">OFFSET(ORÇAMENTO!R$15,$L166,0)</f>
        <v>HIDRÁULICAS / GÁS / INCÊNCIO</v>
      </c>
      <c r="G166" s="164" t="str">
        <f ca="1">IF($D166&lt;&gt;"Serviço","",OFFSET(ORÇAMENTO!S$15,$L166,0))</f>
        <v/>
      </c>
      <c r="H166" s="122" cm="1">
        <f t="array" aca="1" ref="H166" ca="1">IF($D166&lt;&gt;"Serviço",0,IF(ACOMPANHAMENTO="BM",ROUND(OFFSET(ORÇAMENTO!AJ$15,$L166,0),15-13*ORÇAMENTO!$AF$7),IF(IFERROR(CÁLCULO.FrentesPreenchidas,0)=0,0,SUM(ROUND(OFFSET($P166,0,1,1,CÁLCULO.FrentesPreenchidas),15-13*ORÇAMENTO!$AF$7)))))</f>
        <v>0</v>
      </c>
      <c r="I166" s="468"/>
      <c r="J166" s="651" t="str" cm="1">
        <f t="array" aca="1" ref="J166" ca="1">IF(OR(B166&lt;&gt;"S",CÁLCULO.FrentesPreenchidas=0),"",IF(AND(ACOMPANHAMENTO="PLE",AUTOEVENTO="Manual",OR(H166&gt;0,ORÇAMENTO!AC166="QUANT."),OR(K166="",M166=0,N166="")),"►E",IF(AND(ACOMPANHAMENTO="PLE",ORÇAMENTO!AC166="QUANT."),"►Q",IF(AND(ACOMPANHAMENTO="PLE",H166&lt;&gt;SUMPRODUCT(($Q$1:$AQ$1=1)*ROUND(Q166:AQ166,15))),"►S",IF(AND(COUNTIF($P$11:$AQ$11,"▼")=0,H166&gt;0,I166=""),"◄M","")))))</f>
        <v/>
      </c>
      <c r="K166" s="652"/>
      <c r="L166" s="165">
        <f t="shared" ca="1" si="17"/>
        <v>151</v>
      </c>
      <c r="M166" s="166" t="str">
        <f ca="1">IF($D166&lt;&gt;"Serviço","",
          IF(AUTOEVENTO="manual",$A166,
                IF(ISERROR(MATCH($A166,$A$15:OFFSET($A166,-1,0),0)),MAX($M$15:OFFSET(M166,-1,0))+1,
                      INDEX($M$15:OFFSET(M166,-1,0),MATCH($A166,$A$15:OFFSET($A166,-1,0),0)))))</f>
        <v/>
      </c>
      <c r="N166" s="167" t="str">
        <f ca="1">IF($D166&lt;&gt;"Serviço","",
         IF(AUTOEVENTO="Manual",
                IF($A166=0,"&lt;-- defina o número do agrupador",
                       OFFSET(EVENTOS!$D$15,$A166-$A$15,0)),
                OFFSET($F$15,$A166,0)))</f>
        <v/>
      </c>
      <c r="O166" s="168"/>
      <c r="Q166" s="168"/>
      <c r="R166" s="169"/>
      <c r="S166" s="169"/>
      <c r="T166" s="169"/>
      <c r="U166" s="169"/>
      <c r="V166" s="169"/>
      <c r="W166" s="169"/>
      <c r="X166" s="169"/>
      <c r="Y166" s="169"/>
      <c r="Z166" s="170"/>
      <c r="AA166" s="169"/>
      <c r="AB166" s="169"/>
      <c r="AC166" s="169"/>
      <c r="AD166" s="169"/>
      <c r="AE166" s="169"/>
      <c r="AF166" s="169"/>
      <c r="AG166" s="169"/>
      <c r="AH166" s="170"/>
      <c r="AI166" s="169"/>
      <c r="AJ166" s="169"/>
      <c r="AK166" s="169"/>
      <c r="AL166" s="169"/>
      <c r="AM166" s="169"/>
      <c r="AN166" s="169"/>
      <c r="AO166" s="169"/>
      <c r="AP166" s="170"/>
      <c r="AR166" s="453">
        <f ca="1">IF(AND($D166="Serviço",AR$12&lt;&gt;0,$H166&gt;0,OR(AUTOEVENTO&lt;&gt;"manual",$M166&lt;&gt;$A$15)),
        IF(Import.TipoArredondamento&lt;&gt;"TransfereGOV",
              ROUND(OFFSET($P166,0,AR$13),15-13*ORÇAMENTO!$AF$7)/$H166*OFFSET(ORÇAMENTO!$X$15,ROW(AR166)-ROW(AR$15),0),
              ROUND(ROUND(OFFSET($P166,0,AR$13),15-13*ORÇAMENTO!$AF$7)*OFFSET(ORÇAMENTO!$W$15,ROW(AR166)-ROW(AR$15),0),15-13*ORÇAMENTO!$AF$11)),
         0)</f>
        <v>0</v>
      </c>
      <c r="AS166" s="453">
        <f ca="1">IF(AND($D166="Serviço",AS$12&lt;&gt;0,$H166&gt;0,OR(AUTOEVENTO&lt;&gt;"manual",$M166&lt;&gt;$A$15)),
        IF(Import.TipoArredondamento&lt;&gt;"TransfereGOV",
              ROUND(OFFSET($P166,0,AS$13),15-13*ORÇAMENTO!$AF$7)/$H166*OFFSET(ORÇAMENTO!$X$15,ROW(AS166)-ROW(AS$15),0),
              ROUND(ROUND(OFFSET($P166,0,AS$13),15-13*ORÇAMENTO!$AF$7)*OFFSET(ORÇAMENTO!$W$15,ROW(AS166)-ROW(AS$15),0),15-13*ORÇAMENTO!$AF$11)),
         0)</f>
        <v>0</v>
      </c>
      <c r="AT166" s="453">
        <f ca="1">IF(AND($D166="Serviço",AT$12&lt;&gt;0,$H166&gt;0,OR(AUTOEVENTO&lt;&gt;"manual",$M166&lt;&gt;$A$15)),
        IF(Import.TipoArredondamento&lt;&gt;"TransfereGOV",
              ROUND(OFFSET($P166,0,AT$13),15-13*ORÇAMENTO!$AF$7)/$H166*OFFSET(ORÇAMENTO!$X$15,ROW(AT166)-ROW(AT$15),0),
              ROUND(ROUND(OFFSET($P166,0,AT$13),15-13*ORÇAMENTO!$AF$7)*OFFSET(ORÇAMENTO!$W$15,ROW(AT166)-ROW(AT$15),0),15-13*ORÇAMENTO!$AF$11)),
         0)</f>
        <v>0</v>
      </c>
      <c r="AU166" s="453">
        <f ca="1">IF(AND($D166="Serviço",AU$12&lt;&gt;0,$H166&gt;0,OR(AUTOEVENTO&lt;&gt;"manual",$M166&lt;&gt;$A$15)),
        IF(Import.TipoArredondamento&lt;&gt;"TransfereGOV",
              ROUND(OFFSET($P166,0,AU$13),15-13*ORÇAMENTO!$AF$7)/$H166*OFFSET(ORÇAMENTO!$X$15,ROW(AU166)-ROW(AU$15),0),
              ROUND(ROUND(OFFSET($P166,0,AU$13),15-13*ORÇAMENTO!$AF$7)*OFFSET(ORÇAMENTO!$W$15,ROW(AU166)-ROW(AU$15),0),15-13*ORÇAMENTO!$AF$11)),
         0)</f>
        <v>0</v>
      </c>
      <c r="AV166" s="453">
        <f ca="1">IF(AND($D166="Serviço",AV$12&lt;&gt;0,$H166&gt;0,OR(AUTOEVENTO&lt;&gt;"manual",$M166&lt;&gt;$A$15)),
        IF(Import.TipoArredondamento&lt;&gt;"TransfereGOV",
              ROUND(OFFSET($P166,0,AV$13),15-13*ORÇAMENTO!$AF$7)/$H166*OFFSET(ORÇAMENTO!$X$15,ROW(AV166)-ROW(AV$15),0),
              ROUND(ROUND(OFFSET($P166,0,AV$13),15-13*ORÇAMENTO!$AF$7)*OFFSET(ORÇAMENTO!$W$15,ROW(AV166)-ROW(AV$15),0),15-13*ORÇAMENTO!$AF$11)),
         0)</f>
        <v>0</v>
      </c>
      <c r="AW166" s="453">
        <f ca="1">IF(AND($D166="Serviço",AW$12&lt;&gt;0,$H166&gt;0,OR(AUTOEVENTO&lt;&gt;"manual",$M166&lt;&gt;$A$15)),
        IF(Import.TipoArredondamento&lt;&gt;"TransfereGOV",
              ROUND(OFFSET($P166,0,AW$13),15-13*ORÇAMENTO!$AF$7)/$H166*OFFSET(ORÇAMENTO!$X$15,ROW(AW166)-ROW(AW$15),0),
              ROUND(ROUND(OFFSET($P166,0,AW$13),15-13*ORÇAMENTO!$AF$7)*OFFSET(ORÇAMENTO!$W$15,ROW(AW166)-ROW(AW$15),0),15-13*ORÇAMENTO!$AF$11)),
         0)</f>
        <v>0</v>
      </c>
      <c r="AX166" s="453">
        <f ca="1">IF(AND($D166="Serviço",AX$12&lt;&gt;0,$H166&gt;0,OR(AUTOEVENTO&lt;&gt;"manual",$M166&lt;&gt;$A$15)),
        IF(Import.TipoArredondamento&lt;&gt;"TransfereGOV",
              ROUND(OFFSET($P166,0,AX$13),15-13*ORÇAMENTO!$AF$7)/$H166*OFFSET(ORÇAMENTO!$X$15,ROW(AX166)-ROW(AX$15),0),
              ROUND(ROUND(OFFSET($P166,0,AX$13),15-13*ORÇAMENTO!$AF$7)*OFFSET(ORÇAMENTO!$W$15,ROW(AX166)-ROW(AX$15),0),15-13*ORÇAMENTO!$AF$11)),
         0)</f>
        <v>0</v>
      </c>
      <c r="AY166" s="453">
        <f ca="1">IF(AND($D166="Serviço",AY$12&lt;&gt;0,$H166&gt;0,OR(AUTOEVENTO&lt;&gt;"manual",$M166&lt;&gt;$A$15)),
        IF(Import.TipoArredondamento&lt;&gt;"TransfereGOV",
              ROUND(OFFSET($P166,0,AY$13),15-13*ORÇAMENTO!$AF$7)/$H166*OFFSET(ORÇAMENTO!$X$15,ROW(AY166)-ROW(AY$15),0),
              ROUND(ROUND(OFFSET($P166,0,AY$13),15-13*ORÇAMENTO!$AF$7)*OFFSET(ORÇAMENTO!$W$15,ROW(AY166)-ROW(AY$15),0),15-13*ORÇAMENTO!$AF$11)),
         0)</f>
        <v>0</v>
      </c>
      <c r="AZ166" s="453">
        <f ca="1">IF(AND($D166="Serviço",AZ$12&lt;&gt;0,$H166&gt;0,OR(AUTOEVENTO&lt;&gt;"manual",$M166&lt;&gt;$A$15)),
        IF(Import.TipoArredondamento&lt;&gt;"TransfereGOV",
              ROUND(OFFSET($P166,0,AZ$13),15-13*ORÇAMENTO!$AF$7)/$H166*OFFSET(ORÇAMENTO!$X$15,ROW(AZ166)-ROW(AZ$15),0),
              ROUND(ROUND(OFFSET($P166,0,AZ$13),15-13*ORÇAMENTO!$AF$7)*OFFSET(ORÇAMENTO!$W$15,ROW(AZ166)-ROW(AZ$15),0),15-13*ORÇAMENTO!$AF$11)),
         0)</f>
        <v>0</v>
      </c>
      <c r="BA166" s="453">
        <f ca="1">IF(AND($D166="Serviço",BA$12&lt;&gt;0,$H166&gt;0,OR(AUTOEVENTO&lt;&gt;"manual",$M166&lt;&gt;$A$15)),
        IF(Import.TipoArredondamento&lt;&gt;"TransfereGOV",
              ROUND(OFFSET($P166,0,BA$13),15-13*ORÇAMENTO!$AF$7)/$H166*OFFSET(ORÇAMENTO!$X$15,ROW(BA166)-ROW(BA$15),0),
              ROUND(ROUND(OFFSET($P166,0,BA$13),15-13*ORÇAMENTO!$AF$7)*OFFSET(ORÇAMENTO!$W$15,ROW(BA166)-ROW(BA$15),0),15-13*ORÇAMENTO!$AF$11)),
         0)</f>
        <v>0</v>
      </c>
      <c r="BB166" s="453">
        <f ca="1">IF(AND($D166="Serviço",BB$12&lt;&gt;0,$H166&gt;0,OR(AUTOEVENTO&lt;&gt;"manual",$M166&lt;&gt;$A$15)),
        IF(Import.TipoArredondamento&lt;&gt;"TransfereGOV",
              ROUND(OFFSET($P166,0,BB$13),15-13*ORÇAMENTO!$AF$7)/$H166*OFFSET(ORÇAMENTO!$X$15,ROW(BB166)-ROW(BB$15),0),
              ROUND(ROUND(OFFSET($P166,0,BB$13),15-13*ORÇAMENTO!$AF$7)*OFFSET(ORÇAMENTO!$W$15,ROW(BB166)-ROW(BB$15),0),15-13*ORÇAMENTO!$AF$11)),
         0)</f>
        <v>0</v>
      </c>
      <c r="BC166" s="453">
        <f ca="1">IF(AND($D166="Serviço",BC$12&lt;&gt;0,$H166&gt;0,OR(AUTOEVENTO&lt;&gt;"manual",$M166&lt;&gt;$A$15)),
        IF(Import.TipoArredondamento&lt;&gt;"TransfereGOV",
              ROUND(OFFSET($P166,0,BC$13),15-13*ORÇAMENTO!$AF$7)/$H166*OFFSET(ORÇAMENTO!$X$15,ROW(BC166)-ROW(BC$15),0),
              ROUND(ROUND(OFFSET($P166,0,BC$13),15-13*ORÇAMENTO!$AF$7)*OFFSET(ORÇAMENTO!$W$15,ROW(BC166)-ROW(BC$15),0),15-13*ORÇAMENTO!$AF$11)),
         0)</f>
        <v>0</v>
      </c>
      <c r="BD166" s="453">
        <f ca="1">IF(AND($D166="Serviço",BD$12&lt;&gt;0,$H166&gt;0,OR(AUTOEVENTO&lt;&gt;"manual",$M166&lt;&gt;$A$15)),
        IF(Import.TipoArredondamento&lt;&gt;"TransfereGOV",
              ROUND(OFFSET($P166,0,BD$13),15-13*ORÇAMENTO!$AF$7)/$H166*OFFSET(ORÇAMENTO!$X$15,ROW(BD166)-ROW(BD$15),0),
              ROUND(ROUND(OFFSET($P166,0,BD$13),15-13*ORÇAMENTO!$AF$7)*OFFSET(ORÇAMENTO!$W$15,ROW(BD166)-ROW(BD$15),0),15-13*ORÇAMENTO!$AF$11)),
         0)</f>
        <v>0</v>
      </c>
      <c r="BE166" s="453">
        <f ca="1">IF(AND($D166="Serviço",BE$12&lt;&gt;0,$H166&gt;0,OR(AUTOEVENTO&lt;&gt;"manual",$M166&lt;&gt;$A$15)),
        IF(Import.TipoArredondamento&lt;&gt;"TransfereGOV",
              ROUND(OFFSET($P166,0,BE$13),15-13*ORÇAMENTO!$AF$7)/$H166*OFFSET(ORÇAMENTO!$X$15,ROW(BE166)-ROW(BE$15),0),
              ROUND(ROUND(OFFSET($P166,0,BE$13),15-13*ORÇAMENTO!$AF$7)*OFFSET(ORÇAMENTO!$W$15,ROW(BE166)-ROW(BE$15),0),15-13*ORÇAMENTO!$AF$11)),
         0)</f>
        <v>0</v>
      </c>
      <c r="BF166" s="453">
        <f ca="1">IF(AND($D166="Serviço",BF$12&lt;&gt;0,$H166&gt;0,OR(AUTOEVENTO&lt;&gt;"manual",$M166&lt;&gt;$A$15)),
        IF(Import.TipoArredondamento&lt;&gt;"TransfereGOV",
              ROUND(OFFSET($P166,0,BF$13),15-13*ORÇAMENTO!$AF$7)/$H166*OFFSET(ORÇAMENTO!$X$15,ROW(BF166)-ROW(BF$15),0),
              ROUND(ROUND(OFFSET($P166,0,BF$13),15-13*ORÇAMENTO!$AF$7)*OFFSET(ORÇAMENTO!$W$15,ROW(BF166)-ROW(BF$15),0),15-13*ORÇAMENTO!$AF$11)),
         0)</f>
        <v>0</v>
      </c>
      <c r="BG166" s="453">
        <f ca="1">IF(AND($D166="Serviço",BG$12&lt;&gt;0,$H166&gt;0,OR(AUTOEVENTO&lt;&gt;"manual",$M166&lt;&gt;$A$15)),
        IF(Import.TipoArredondamento&lt;&gt;"TransfereGOV",
              ROUND(OFFSET($P166,0,BG$13),15-13*ORÇAMENTO!$AF$7)/$H166*OFFSET(ORÇAMENTO!$X$15,ROW(BG166)-ROW(BG$15),0),
              ROUND(ROUND(OFFSET($P166,0,BG$13),15-13*ORÇAMENTO!$AF$7)*OFFSET(ORÇAMENTO!$W$15,ROW(BG166)-ROW(BG$15),0),15-13*ORÇAMENTO!$AF$11)),
         0)</f>
        <v>0</v>
      </c>
      <c r="BH166" s="453">
        <f ca="1">IF(AND($D166="Serviço",BH$12&lt;&gt;0,$H166&gt;0,OR(AUTOEVENTO&lt;&gt;"manual",$M166&lt;&gt;$A$15)),
        IF(Import.TipoArredondamento&lt;&gt;"TransfereGOV",
              ROUND(OFFSET($P166,0,BH$13),15-13*ORÇAMENTO!$AF$7)/$H166*OFFSET(ORÇAMENTO!$X$15,ROW(BH166)-ROW(BH$15),0),
              ROUND(ROUND(OFFSET($P166,0,BH$13),15-13*ORÇAMENTO!$AF$7)*OFFSET(ORÇAMENTO!$W$15,ROW(BH166)-ROW(BH$15),0),15-13*ORÇAMENTO!$AF$11)),
         0)</f>
        <v>0</v>
      </c>
      <c r="BI166" s="453">
        <f ca="1">IF(AND($D166="Serviço",BI$12&lt;&gt;0,$H166&gt;0,OR(AUTOEVENTO&lt;&gt;"manual",$M166&lt;&gt;$A$15)),
        IF(Import.TipoArredondamento&lt;&gt;"TransfereGOV",
              ROUND(OFFSET($P166,0,BI$13),15-13*ORÇAMENTO!$AF$7)/$H166*OFFSET(ORÇAMENTO!$X$15,ROW(BI166)-ROW(BI$15),0),
              ROUND(ROUND(OFFSET($P166,0,BI$13),15-13*ORÇAMENTO!$AF$7)*OFFSET(ORÇAMENTO!$W$15,ROW(BI166)-ROW(BI$15),0),15-13*ORÇAMENTO!$AF$11)),
         0)</f>
        <v>0</v>
      </c>
      <c r="BJ166" s="453">
        <f ca="1">IF(AND($D166="Serviço",BJ$12&lt;&gt;0,$H166&gt;0,OR(AUTOEVENTO&lt;&gt;"manual",$M166&lt;&gt;$A$15)),
        IF(Import.TipoArredondamento&lt;&gt;"TransfereGOV",
              ROUND(OFFSET($P166,0,BJ$13),15-13*ORÇAMENTO!$AF$7)/$H166*OFFSET(ORÇAMENTO!$X$15,ROW(BJ166)-ROW(BJ$15),0),
              ROUND(ROUND(OFFSET($P166,0,BJ$13),15-13*ORÇAMENTO!$AF$7)*OFFSET(ORÇAMENTO!$W$15,ROW(BJ166)-ROW(BJ$15),0),15-13*ORÇAMENTO!$AF$11)),
         0)</f>
        <v>0</v>
      </c>
      <c r="BK166" s="453">
        <f ca="1">IF(AND($D166="Serviço",BK$12&lt;&gt;0,$H166&gt;0,OR(AUTOEVENTO&lt;&gt;"manual",$M166&lt;&gt;$A$15)),
        IF(Import.TipoArredondamento&lt;&gt;"TransfereGOV",
              ROUND(OFFSET($P166,0,BK$13),15-13*ORÇAMENTO!$AF$7)/$H166*OFFSET(ORÇAMENTO!$X$15,ROW(BK166)-ROW(BK$15),0),
              ROUND(ROUND(OFFSET($P166,0,BK$13),15-13*ORÇAMENTO!$AF$7)*OFFSET(ORÇAMENTO!$W$15,ROW(BK166)-ROW(BK$15),0),15-13*ORÇAMENTO!$AF$11)),
         0)</f>
        <v>0</v>
      </c>
      <c r="BL166" s="453">
        <f ca="1">IF(AND($D166="Serviço",BL$12&lt;&gt;0,$H166&gt;0,OR(AUTOEVENTO&lt;&gt;"manual",$M166&lt;&gt;$A$15)),
        IF(Import.TipoArredondamento&lt;&gt;"TransfereGOV",
              ROUND(OFFSET($P166,0,BL$13),15-13*ORÇAMENTO!$AF$7)/$H166*OFFSET(ORÇAMENTO!$X$15,ROW(BL166)-ROW(BL$15),0),
              ROUND(ROUND(OFFSET($P166,0,BL$13),15-13*ORÇAMENTO!$AF$7)*OFFSET(ORÇAMENTO!$W$15,ROW(BL166)-ROW(BL$15),0),15-13*ORÇAMENTO!$AF$11)),
         0)</f>
        <v>0</v>
      </c>
      <c r="BM166" s="453">
        <f ca="1">IF(AND($D166="Serviço",BM$12&lt;&gt;0,$H166&gt;0,OR(AUTOEVENTO&lt;&gt;"manual",$M166&lt;&gt;$A$15)),
        IF(Import.TipoArredondamento&lt;&gt;"TransfereGOV",
              ROUND(OFFSET($P166,0,BM$13),15-13*ORÇAMENTO!$AF$7)/$H166*OFFSET(ORÇAMENTO!$X$15,ROW(BM166)-ROW(BM$15),0),
              ROUND(ROUND(OFFSET($P166,0,BM$13),15-13*ORÇAMENTO!$AF$7)*OFFSET(ORÇAMENTO!$W$15,ROW(BM166)-ROW(BM$15),0),15-13*ORÇAMENTO!$AF$11)),
         0)</f>
        <v>0</v>
      </c>
      <c r="BN166" s="453">
        <f ca="1">IF(AND($D166="Serviço",BN$12&lt;&gt;0,$H166&gt;0,OR(AUTOEVENTO&lt;&gt;"manual",$M166&lt;&gt;$A$15)),
        IF(Import.TipoArredondamento&lt;&gt;"TransfereGOV",
              ROUND(OFFSET($P166,0,BN$13),15-13*ORÇAMENTO!$AF$7)/$H166*OFFSET(ORÇAMENTO!$X$15,ROW(BN166)-ROW(BN$15),0),
              ROUND(ROUND(OFFSET($P166,0,BN$13),15-13*ORÇAMENTO!$AF$7)*OFFSET(ORÇAMENTO!$W$15,ROW(BN166)-ROW(BN$15),0),15-13*ORÇAMENTO!$AF$11)),
         0)</f>
        <v>0</v>
      </c>
      <c r="BO166" s="453">
        <f ca="1">IF(AND($D166="Serviço",BO$12&lt;&gt;0,$H166&gt;0,OR(AUTOEVENTO&lt;&gt;"manual",$M166&lt;&gt;$A$15)),
        IF(Import.TipoArredondamento&lt;&gt;"TransfereGOV",
              ROUND(OFFSET($P166,0,BO$13),15-13*ORÇAMENTO!$AF$7)/$H166*OFFSET(ORÇAMENTO!$X$15,ROW(BO166)-ROW(BO$15),0),
              ROUND(ROUND(OFFSET($P166,0,BO$13),15-13*ORÇAMENTO!$AF$7)*OFFSET(ORÇAMENTO!$W$15,ROW(BO166)-ROW(BO$15),0),15-13*ORÇAMENTO!$AF$11)),
         0)</f>
        <v>0</v>
      </c>
      <c r="BP166" s="453">
        <f ca="1">IF(AND($D166="Serviço",BP$12&lt;&gt;0,$H166&gt;0,OR(AUTOEVENTO&lt;&gt;"manual",$M166&lt;&gt;$A$15)),
        IF(Import.TipoArredondamento&lt;&gt;"TransfereGOV",
              ROUND(OFFSET($P166,0,BP$13),15-13*ORÇAMENTO!$AF$7)/$H166*OFFSET(ORÇAMENTO!$X$15,ROW(BP166)-ROW(BP$15),0),
              ROUND(ROUND(OFFSET($P166,0,BP$13),15-13*ORÇAMENTO!$AF$7)*OFFSET(ORÇAMENTO!$W$15,ROW(BP166)-ROW(BP$15),0),15-13*ORÇAMENTO!$AF$11)),
         0)</f>
        <v>0</v>
      </c>
      <c r="BQ166" s="453">
        <f ca="1">IF(AND($D166="Serviço",BQ$12&lt;&gt;0,$H166&gt;0,OR(AUTOEVENTO&lt;&gt;"manual",$M166&lt;&gt;$A$15)),
        IF(Import.TipoArredondamento&lt;&gt;"TransfereGOV",
              ROUND(OFFSET($P166,0,BQ$13),15-13*ORÇAMENTO!$AF$7)/$H166*OFFSET(ORÇAMENTO!$X$15,ROW(BQ166)-ROW(BQ$15),0),
              ROUND(ROUND(OFFSET($P166,0,BQ$13),15-13*ORÇAMENTO!$AF$7)*OFFSET(ORÇAMENTO!$W$15,ROW(BQ166)-ROW(BQ$15),0),15-13*ORÇAMENTO!$AF$11)),
         0)</f>
        <v>0</v>
      </c>
      <c r="BS166" s="171">
        <f ca="1">IF(OR($D166&lt;&gt;"Serviço",AND(AUTOEVENTO="Manual",$M166=$A$15)),0,
         IF(OFFSET(CRONOPLE!$F$15,$M166-$A$15,BS$13)=0,10^12,OFFSET(CRONOPLE!$F$15,$M166-$A$15,BS$13)))</f>
        <v>0</v>
      </c>
      <c r="BT166" s="171">
        <f ca="1">IF(OR($D166&lt;&gt;"Serviço",AND(AUTOEVENTO="Manual",$M166=$A$15)),0,
         IF(OFFSET(CRONOPLE!$F$15,$M166-$A$15,BT$13)=0,10^12,OFFSET(CRONOPLE!$F$15,$M166-$A$15,BT$13)))</f>
        <v>0</v>
      </c>
      <c r="BU166" s="171">
        <f ca="1">IF(OR($D166&lt;&gt;"Serviço",AND(AUTOEVENTO="Manual",$M166=$A$15)),0,
         IF(OFFSET(CRONOPLE!$F$15,$M166-$A$15,BU$13)=0,10^12,OFFSET(CRONOPLE!$F$15,$M166-$A$15,BU$13)))</f>
        <v>0</v>
      </c>
      <c r="BV166" s="171">
        <f ca="1">IF(OR($D166&lt;&gt;"Serviço",AND(AUTOEVENTO="Manual",$M166=$A$15)),0,
         IF(OFFSET(CRONOPLE!$F$15,$M166-$A$15,BV$13)=0,10^12,OFFSET(CRONOPLE!$F$15,$M166-$A$15,BV$13)))</f>
        <v>0</v>
      </c>
      <c r="BW166" s="171">
        <f ca="1">IF(OR($D166&lt;&gt;"Serviço",AND(AUTOEVENTO="Manual",$M166=$A$15)),0,
         IF(OFFSET(CRONOPLE!$F$15,$M166-$A$15,BW$13)=0,10^12,OFFSET(CRONOPLE!$F$15,$M166-$A$15,BW$13)))</f>
        <v>0</v>
      </c>
      <c r="BX166" s="171">
        <f ca="1">IF(OR($D166&lt;&gt;"Serviço",AND(AUTOEVENTO="Manual",$M166=$A$15)),0,
         IF(OFFSET(CRONOPLE!$F$15,$M166-$A$15,BX$13)=0,10^12,OFFSET(CRONOPLE!$F$15,$M166-$A$15,BX$13)))</f>
        <v>0</v>
      </c>
      <c r="BY166" s="171">
        <f ca="1">IF(OR($D166&lt;&gt;"Serviço",AND(AUTOEVENTO="Manual",$M166=$A$15)),0,
         IF(OFFSET(CRONOPLE!$F$15,$M166-$A$15,BY$13)=0,10^12,OFFSET(CRONOPLE!$F$15,$M166-$A$15,BY$13)))</f>
        <v>0</v>
      </c>
      <c r="BZ166" s="171">
        <f ca="1">IF(OR($D166&lt;&gt;"Serviço",AND(AUTOEVENTO="Manual",$M166=$A$15)),0,
         IF(OFFSET(CRONOPLE!$F$15,$M166-$A$15,BZ$13)=0,10^12,OFFSET(CRONOPLE!$F$15,$M166-$A$15,BZ$13)))</f>
        <v>0</v>
      </c>
      <c r="CA166" s="171">
        <f ca="1">IF(OR($D166&lt;&gt;"Serviço",AND(AUTOEVENTO="Manual",$M166=$A$15)),0,
         IF(OFFSET(CRONOPLE!$F$15,$M166-$A$15,CA$13)=0,10^12,OFFSET(CRONOPLE!$F$15,$M166-$A$15,CA$13)))</f>
        <v>0</v>
      </c>
      <c r="CB166" s="171">
        <f ca="1">IF(OR($D166&lt;&gt;"Serviço",AND(AUTOEVENTO="Manual",$M166=$A$15)),0,
         IF(OFFSET(CRONOPLE!$F$15,$M166-$A$15,CB$13)=0,10^12,OFFSET(CRONOPLE!$F$15,$M166-$A$15,CB$13)))</f>
        <v>0</v>
      </c>
      <c r="CC166" s="171">
        <f ca="1">IF(OR($D166&lt;&gt;"Serviço",AND(AUTOEVENTO="Manual",$M166=$A$15)),0,
         IF(OFFSET(CRONOPLE!$F$15,$M166-$A$15,CC$13)=0,10^12,OFFSET(CRONOPLE!$F$15,$M166-$A$15,CC$13)))</f>
        <v>0</v>
      </c>
      <c r="CD166" s="171">
        <f ca="1">IF(OR($D166&lt;&gt;"Serviço",AND(AUTOEVENTO="Manual",$M166=$A$15)),0,
         IF(OFFSET(CRONOPLE!$F$15,$M166-$A$15,CD$13)=0,10^12,OFFSET(CRONOPLE!$F$15,$M166-$A$15,CD$13)))</f>
        <v>0</v>
      </c>
      <c r="CE166" s="171">
        <f ca="1">IF(OR($D166&lt;&gt;"Serviço",AND(AUTOEVENTO="Manual",$M166=$A$15)),0,
         IF(OFFSET(CRONOPLE!$F$15,$M166-$A$15,CE$13)=0,10^12,OFFSET(CRONOPLE!$F$15,$M166-$A$15,CE$13)))</f>
        <v>0</v>
      </c>
      <c r="CF166" s="171">
        <f ca="1">IF(OR($D166&lt;&gt;"Serviço",AND(AUTOEVENTO="Manual",$M166=$A$15)),0,
         IF(OFFSET(CRONOPLE!$F$15,$M166-$A$15,CF$13)=0,10^12,OFFSET(CRONOPLE!$F$15,$M166-$A$15,CF$13)))</f>
        <v>0</v>
      </c>
      <c r="CG166" s="171">
        <f ca="1">IF(OR($D166&lt;&gt;"Serviço",AND(AUTOEVENTO="Manual",$M166=$A$15)),0,
         IF(OFFSET(CRONOPLE!$F$15,$M166-$A$15,CG$13)=0,10^12,OFFSET(CRONOPLE!$F$15,$M166-$A$15,CG$13)))</f>
        <v>0</v>
      </c>
      <c r="CH166" s="171">
        <f ca="1">IF(OR($D166&lt;&gt;"Serviço",AND(AUTOEVENTO="Manual",$M166=$A$15)),0,
         IF(OFFSET(CRONOPLE!$F$15,$M166-$A$15,CH$13)=0,10^12,OFFSET(CRONOPLE!$F$15,$M166-$A$15,CH$13)))</f>
        <v>0</v>
      </c>
      <c r="CI166" s="171">
        <f ca="1">IF(OR($D166&lt;&gt;"Serviço",AND(AUTOEVENTO="Manual",$M166=$A$15)),0,
         IF(OFFSET(CRONOPLE!$F$15,$M166-$A$15,CI$13)=0,10^12,OFFSET(CRONOPLE!$F$15,$M166-$A$15,CI$13)))</f>
        <v>0</v>
      </c>
      <c r="CJ166" s="171">
        <f ca="1">IF(OR($D166&lt;&gt;"Serviço",AND(AUTOEVENTO="Manual",$M166=$A$15)),0,
         IF(OFFSET(CRONOPLE!$F$15,$M166-$A$15,CJ$13)=0,10^12,OFFSET(CRONOPLE!$F$15,$M166-$A$15,CJ$13)))</f>
        <v>0</v>
      </c>
      <c r="CK166" s="171">
        <f ca="1">IF(OR($D166&lt;&gt;"Serviço",AND(AUTOEVENTO="Manual",$M166=$A$15)),0,
         IF(OFFSET(CRONOPLE!$F$15,$M166-$A$15,CK$13)=0,10^12,OFFSET(CRONOPLE!$F$15,$M166-$A$15,CK$13)))</f>
        <v>0</v>
      </c>
      <c r="CL166" s="171">
        <f ca="1">IF(OR($D166&lt;&gt;"Serviço",AND(AUTOEVENTO="Manual",$M166=$A$15)),0,
         IF(OFFSET(CRONOPLE!$F$15,$M166-$A$15,CL$13)=0,10^12,OFFSET(CRONOPLE!$F$15,$M166-$A$15,CL$13)))</f>
        <v>0</v>
      </c>
      <c r="CM166" s="171">
        <f ca="1">IF(OR($D166&lt;&gt;"Serviço",AND(AUTOEVENTO="Manual",$M166=$A$15)),0,
         IF(OFFSET(CRONOPLE!$F$15,$M166-$A$15,CM$13)=0,10^12,OFFSET(CRONOPLE!$F$15,$M166-$A$15,CM$13)))</f>
        <v>0</v>
      </c>
      <c r="CN166" s="171">
        <f ca="1">IF(OR($D166&lt;&gt;"Serviço",AND(AUTOEVENTO="Manual",$M166=$A$15)),0,
         IF(OFFSET(CRONOPLE!$F$15,$M166-$A$15,CN$13)=0,10^12,OFFSET(CRONOPLE!$F$15,$M166-$A$15,CN$13)))</f>
        <v>0</v>
      </c>
      <c r="CO166" s="171">
        <f ca="1">IF(OR($D166&lt;&gt;"Serviço",AND(AUTOEVENTO="Manual",$M166=$A$15)),0,
         IF(OFFSET(CRONOPLE!$F$15,$M166-$A$15,CO$13)=0,10^12,OFFSET(CRONOPLE!$F$15,$M166-$A$15,CO$13)))</f>
        <v>0</v>
      </c>
      <c r="CP166" s="171">
        <f ca="1">IF(OR($D166&lt;&gt;"Serviço",AND(AUTOEVENTO="Manual",$M166=$A$15)),0,
         IF(OFFSET(CRONOPLE!$F$15,$M166-$A$15,CP$13)=0,10^12,OFFSET(CRONOPLE!$F$15,$M166-$A$15,CP$13)))</f>
        <v>0</v>
      </c>
      <c r="CQ166" s="171">
        <f ca="1">IF(OR($D166&lt;&gt;"Serviço",AND(AUTOEVENTO="Manual",$M166=$A$15)),0,
         IF(OFFSET(CRONOPLE!$F$15,$M166-$A$15,CQ$13)=0,10^12,OFFSET(CRONOPLE!$F$15,$M166-$A$15,CQ$13)))</f>
        <v>0</v>
      </c>
      <c r="CR166" s="171">
        <f ca="1">IF(OR($D166&lt;&gt;"Serviço",AND(AUTOEVENTO="Manual",$M166=$A$15)),0,
         IF(OFFSET(CRONOPLE!$F$15,$M166-$A$15,CR$13)=0,10^12,OFFSET(CRONOPLE!$F$15,$M166-$A$15,CR$13)))</f>
        <v>0</v>
      </c>
      <c r="CT166" s="172" cm="1">
        <f t="array" aca="1" ref="CT166" ca="1">IF(OR($D166&lt;&gt;"Serviço",AND(AUTOEVENTO="Manual",$M166=$A$15),$M166&gt;(ROW(PLE.lastrow)-ROW(PLE.firstrow))),0,
           IF(OFFSET(PLE!$G$15,$M166-$A$15,CT$13)="",10^12,OFFSET(PLE!$G$15,$M166-$A$15,CT$13)))</f>
        <v>0</v>
      </c>
      <c r="CU166" s="172" cm="1">
        <f t="array" aca="1" ref="CU166" ca="1">IF(OR($D166&lt;&gt;"Serviço",AND(AUTOEVENTO="Manual",$M166=$A$15),$M166&gt;(ROW(PLE.lastrow)-ROW(PLE.firstrow))),0,
           IF(OFFSET(PLE!$G$15,$M166-$A$15,CU$13)="",10^12,OFFSET(PLE!$G$15,$M166-$A$15,CU$13)))</f>
        <v>0</v>
      </c>
      <c r="CV166" s="172" cm="1">
        <f t="array" aca="1" ref="CV166" ca="1">IF(OR($D166&lt;&gt;"Serviço",AND(AUTOEVENTO="Manual",$M166=$A$15),$M166&gt;(ROW(PLE.lastrow)-ROW(PLE.firstrow))),0,
           IF(OFFSET(PLE!$G$15,$M166-$A$15,CV$13)="",10^12,OFFSET(PLE!$G$15,$M166-$A$15,CV$13)))</f>
        <v>0</v>
      </c>
      <c r="CW166" s="172" cm="1">
        <f t="array" aca="1" ref="CW166" ca="1">IF(OR($D166&lt;&gt;"Serviço",AND(AUTOEVENTO="Manual",$M166=$A$15),$M166&gt;(ROW(PLE.lastrow)-ROW(PLE.firstrow))),0,
           IF(OFFSET(PLE!$G$15,$M166-$A$15,CW$13)="",10^12,OFFSET(PLE!$G$15,$M166-$A$15,CW$13)))</f>
        <v>0</v>
      </c>
      <c r="CX166" s="172" cm="1">
        <f t="array" aca="1" ref="CX166" ca="1">IF(OR($D166&lt;&gt;"Serviço",AND(AUTOEVENTO="Manual",$M166=$A$15),$M166&gt;(ROW(PLE.lastrow)-ROW(PLE.firstrow))),0,
           IF(OFFSET(PLE!$G$15,$M166-$A$15,CX$13)="",10^12,OFFSET(PLE!$G$15,$M166-$A$15,CX$13)))</f>
        <v>0</v>
      </c>
      <c r="CY166" s="172" cm="1">
        <f t="array" aca="1" ref="CY166" ca="1">IF(OR($D166&lt;&gt;"Serviço",AND(AUTOEVENTO="Manual",$M166=$A$15),$M166&gt;(ROW(PLE.lastrow)-ROW(PLE.firstrow))),0,
           IF(OFFSET(PLE!$G$15,$M166-$A$15,CY$13)="",10^12,OFFSET(PLE!$G$15,$M166-$A$15,CY$13)))</f>
        <v>0</v>
      </c>
      <c r="CZ166" s="172" cm="1">
        <f t="array" aca="1" ref="CZ166" ca="1">IF(OR($D166&lt;&gt;"Serviço",AND(AUTOEVENTO="Manual",$M166=$A$15),$M166&gt;(ROW(PLE.lastrow)-ROW(PLE.firstrow))),0,
           IF(OFFSET(PLE!$G$15,$M166-$A$15,CZ$13)="",10^12,OFFSET(PLE!$G$15,$M166-$A$15,CZ$13)))</f>
        <v>0</v>
      </c>
      <c r="DA166" s="172" cm="1">
        <f t="array" aca="1" ref="DA166" ca="1">IF(OR($D166&lt;&gt;"Serviço",AND(AUTOEVENTO="Manual",$M166=$A$15),$M166&gt;(ROW(PLE.lastrow)-ROW(PLE.firstrow))),0,
           IF(OFFSET(PLE!$G$15,$M166-$A$15,DA$13)="",10^12,OFFSET(PLE!$G$15,$M166-$A$15,DA$13)))</f>
        <v>0</v>
      </c>
      <c r="DB166" s="172" cm="1">
        <f t="array" aca="1" ref="DB166" ca="1">IF(OR($D166&lt;&gt;"Serviço",AND(AUTOEVENTO="Manual",$M166=$A$15),$M166&gt;(ROW(PLE.lastrow)-ROW(PLE.firstrow))),0,
           IF(OFFSET(PLE!$G$15,$M166-$A$15,DB$13)="",10^12,OFFSET(PLE!$G$15,$M166-$A$15,DB$13)))</f>
        <v>0</v>
      </c>
      <c r="DC166" s="172" cm="1">
        <f t="array" aca="1" ref="DC166" ca="1">IF(OR($D166&lt;&gt;"Serviço",AND(AUTOEVENTO="Manual",$M166=$A$15),$M166&gt;(ROW(PLE.lastrow)-ROW(PLE.firstrow))),0,
           IF(OFFSET(PLE!$G$15,$M166-$A$15,DC$13)="",10^12,OFFSET(PLE!$G$15,$M166-$A$15,DC$13)))</f>
        <v>0</v>
      </c>
      <c r="DD166" s="172" cm="1">
        <f t="array" aca="1" ref="DD166" ca="1">IF(OR($D166&lt;&gt;"Serviço",AND(AUTOEVENTO="Manual",$M166=$A$15),$M166&gt;(ROW(PLE.lastrow)-ROW(PLE.firstrow))),0,
           IF(OFFSET(PLE!$G$15,$M166-$A$15,DD$13)="",10^12,OFFSET(PLE!$G$15,$M166-$A$15,DD$13)))</f>
        <v>0</v>
      </c>
      <c r="DE166" s="172" cm="1">
        <f t="array" aca="1" ref="DE166" ca="1">IF(OR($D166&lt;&gt;"Serviço",AND(AUTOEVENTO="Manual",$M166=$A$15),$M166&gt;(ROW(PLE.lastrow)-ROW(PLE.firstrow))),0,
           IF(OFFSET(PLE!$G$15,$M166-$A$15,DE$13)="",10^12,OFFSET(PLE!$G$15,$M166-$A$15,DE$13)))</f>
        <v>0</v>
      </c>
      <c r="DF166" s="172" cm="1">
        <f t="array" aca="1" ref="DF166" ca="1">IF(OR($D166&lt;&gt;"Serviço",AND(AUTOEVENTO="Manual",$M166=$A$15),$M166&gt;(ROW(PLE.lastrow)-ROW(PLE.firstrow))),0,
           IF(OFFSET(PLE!$G$15,$M166-$A$15,DF$13)="",10^12,OFFSET(PLE!$G$15,$M166-$A$15,DF$13)))</f>
        <v>0</v>
      </c>
      <c r="DG166" s="172" cm="1">
        <f t="array" aca="1" ref="DG166" ca="1">IF(OR($D166&lt;&gt;"Serviço",AND(AUTOEVENTO="Manual",$M166=$A$15),$M166&gt;(ROW(PLE.lastrow)-ROW(PLE.firstrow))),0,
           IF(OFFSET(PLE!$G$15,$M166-$A$15,DG$13)="",10^12,OFFSET(PLE!$G$15,$M166-$A$15,DG$13)))</f>
        <v>0</v>
      </c>
      <c r="DH166" s="172" cm="1">
        <f t="array" aca="1" ref="DH166" ca="1">IF(OR($D166&lt;&gt;"Serviço",AND(AUTOEVENTO="Manual",$M166=$A$15),$M166&gt;(ROW(PLE.lastrow)-ROW(PLE.firstrow))),0,
           IF(OFFSET(PLE!$G$15,$M166-$A$15,DH$13)="",10^12,OFFSET(PLE!$G$15,$M166-$A$15,DH$13)))</f>
        <v>0</v>
      </c>
      <c r="DI166" s="172" cm="1">
        <f t="array" aca="1" ref="DI166" ca="1">IF(OR($D166&lt;&gt;"Serviço",AND(AUTOEVENTO="Manual",$M166=$A$15),$M166&gt;(ROW(PLE.lastrow)-ROW(PLE.firstrow))),0,
           IF(OFFSET(PLE!$G$15,$M166-$A$15,DI$13)="",10^12,OFFSET(PLE!$G$15,$M166-$A$15,DI$13)))</f>
        <v>0</v>
      </c>
      <c r="DJ166" s="172" cm="1">
        <f t="array" aca="1" ref="DJ166" ca="1">IF(OR($D166&lt;&gt;"Serviço",AND(AUTOEVENTO="Manual",$M166=$A$15),$M166&gt;(ROW(PLE.lastrow)-ROW(PLE.firstrow))),0,
           IF(OFFSET(PLE!$G$15,$M166-$A$15,DJ$13)="",10^12,OFFSET(PLE!$G$15,$M166-$A$15,DJ$13)))</f>
        <v>0</v>
      </c>
      <c r="DK166" s="172" cm="1">
        <f t="array" aca="1" ref="DK166" ca="1">IF(OR($D166&lt;&gt;"Serviço",AND(AUTOEVENTO="Manual",$M166=$A$15),$M166&gt;(ROW(PLE.lastrow)-ROW(PLE.firstrow))),0,
           IF(OFFSET(PLE!$G$15,$M166-$A$15,DK$13)="",10^12,OFFSET(PLE!$G$15,$M166-$A$15,DK$13)))</f>
        <v>0</v>
      </c>
      <c r="DL166" s="172" cm="1">
        <f t="array" aca="1" ref="DL166" ca="1">IF(OR($D166&lt;&gt;"Serviço",AND(AUTOEVENTO="Manual",$M166=$A$15),$M166&gt;(ROW(PLE.lastrow)-ROW(PLE.firstrow))),0,
           IF(OFFSET(PLE!$G$15,$M166-$A$15,DL$13)="",10^12,OFFSET(PLE!$G$15,$M166-$A$15,DL$13)))</f>
        <v>0</v>
      </c>
      <c r="DM166" s="172" cm="1">
        <f t="array" aca="1" ref="DM166" ca="1">IF(OR($D166&lt;&gt;"Serviço",AND(AUTOEVENTO="Manual",$M166=$A$15),$M166&gt;(ROW(PLE.lastrow)-ROW(PLE.firstrow))),0,
           IF(OFFSET(PLE!$G$15,$M166-$A$15,DM$13)="",10^12,OFFSET(PLE!$G$15,$M166-$A$15,DM$13)))</f>
        <v>0</v>
      </c>
      <c r="DN166" s="172" cm="1">
        <f t="array" aca="1" ref="DN166" ca="1">IF(OR($D166&lt;&gt;"Serviço",AND(AUTOEVENTO="Manual",$M166=$A$15),$M166&gt;(ROW(PLE.lastrow)-ROW(PLE.firstrow))),0,
           IF(OFFSET(PLE!$G$15,$M166-$A$15,DN$13)="",10^12,OFFSET(PLE!$G$15,$M166-$A$15,DN$13)))</f>
        <v>0</v>
      </c>
      <c r="DO166" s="172" cm="1">
        <f t="array" aca="1" ref="DO166" ca="1">IF(OR($D166&lt;&gt;"Serviço",AND(AUTOEVENTO="Manual",$M166=$A$15),$M166&gt;(ROW(PLE.lastrow)-ROW(PLE.firstrow))),0,
           IF(OFFSET(PLE!$G$15,$M166-$A$15,DO$13)="",10^12,OFFSET(PLE!$G$15,$M166-$A$15,DO$13)))</f>
        <v>0</v>
      </c>
      <c r="DP166" s="172" cm="1">
        <f t="array" aca="1" ref="DP166" ca="1">IF(OR($D166&lt;&gt;"Serviço",AND(AUTOEVENTO="Manual",$M166=$A$15),$M166&gt;(ROW(PLE.lastrow)-ROW(PLE.firstrow))),0,
           IF(OFFSET(PLE!$G$15,$M166-$A$15,DP$13)="",10^12,OFFSET(PLE!$G$15,$M166-$A$15,DP$13)))</f>
        <v>0</v>
      </c>
      <c r="DQ166" s="172" cm="1">
        <f t="array" aca="1" ref="DQ166" ca="1">IF(OR($D166&lt;&gt;"Serviço",AND(AUTOEVENTO="Manual",$M166=$A$15),$M166&gt;(ROW(PLE.lastrow)-ROW(PLE.firstrow))),0,
           IF(OFFSET(PLE!$G$15,$M166-$A$15,DQ$13)="",10^12,OFFSET(PLE!$G$15,$M166-$A$15,DQ$13)))</f>
        <v>0</v>
      </c>
      <c r="DR166" s="172" cm="1">
        <f t="array" aca="1" ref="DR166" ca="1">IF(OR($D166&lt;&gt;"Serviço",AND(AUTOEVENTO="Manual",$M166=$A$15),$M166&gt;(ROW(PLE.lastrow)-ROW(PLE.firstrow))),0,
           IF(OFFSET(PLE!$G$15,$M166-$A$15,DR$13)="",10^12,OFFSET(PLE!$G$15,$M166-$A$15,DR$13)))</f>
        <v>0</v>
      </c>
      <c r="DS166" s="172" cm="1">
        <f t="array" aca="1" ref="DS166" ca="1">IF(OR($D166&lt;&gt;"Serviço",AND(AUTOEVENTO="Manual",$M166=$A$15),$M166&gt;(ROW(PLE.lastrow)-ROW(PLE.firstrow))),0,
           IF(OFFSET(PLE!$G$15,$M166-$A$15,DS$13)="",10^12,OFFSET(PLE!$G$15,$M166-$A$15,DS$13)))</f>
        <v>0</v>
      </c>
    </row>
    <row r="167" spans="1:123" ht="12.75" x14ac:dyDescent="0.2">
      <c r="A167" s="7">
        <f t="shared" ca="1" si="16"/>
        <v>0</v>
      </c>
      <c r="B167" s="7">
        <f ca="1">OFFSET(ORÇAMENTO!C$15,$L167,0)</f>
        <v>3</v>
      </c>
      <c r="C167" s="7" t="str">
        <f ca="1">OFFSET(ORÇAMENTO!L$15,$L167,0)</f>
        <v>F</v>
      </c>
      <c r="D167" s="116" t="str">
        <f ca="1">OFFSET(ORÇAMENTO!N$15,$L167,0)</f>
        <v>Nível 3</v>
      </c>
      <c r="E167" s="117" t="str">
        <f ca="1">OFFSET(ORÇAMENTO!O$15,$L167,0)</f>
        <v>9.2.1.</v>
      </c>
      <c r="F167" s="163" t="str">
        <f ca="1">OFFSET(ORÇAMENTO!R$15,$L167,0)</f>
        <v>TUBULAÇÕES E CONEXÕES HIDRÁULICAS</v>
      </c>
      <c r="G167" s="164" t="str">
        <f ca="1">IF($D167&lt;&gt;"Serviço","",OFFSET(ORÇAMENTO!S$15,$L167,0))</f>
        <v/>
      </c>
      <c r="H167" s="122" cm="1">
        <f t="array" aca="1" ref="H167" ca="1">IF($D167&lt;&gt;"Serviço",0,IF(ACOMPANHAMENTO="BM",ROUND(OFFSET(ORÇAMENTO!AJ$15,$L167,0),15-13*ORÇAMENTO!$AF$7),IF(IFERROR(CÁLCULO.FrentesPreenchidas,0)=0,0,SUM(ROUND(OFFSET($P167,0,1,1,CÁLCULO.FrentesPreenchidas),15-13*ORÇAMENTO!$AF$7)))))</f>
        <v>0</v>
      </c>
      <c r="I167" s="468"/>
      <c r="J167" s="651" t="str" cm="1">
        <f t="array" aca="1" ref="J167" ca="1">IF(OR(B167&lt;&gt;"S",CÁLCULO.FrentesPreenchidas=0),"",IF(AND(ACOMPANHAMENTO="PLE",AUTOEVENTO="Manual",OR(H167&gt;0,ORÇAMENTO!AC167="QUANT."),OR(K167="",M167=0,N167="")),"►E",IF(AND(ACOMPANHAMENTO="PLE",ORÇAMENTO!AC167="QUANT."),"►Q",IF(AND(ACOMPANHAMENTO="PLE",H167&lt;&gt;SUMPRODUCT(($Q$1:$AQ$1=1)*ROUND(Q167:AQ167,15))),"►S",IF(AND(COUNTIF($P$11:$AQ$11,"▼")=0,H167&gt;0,I167=""),"◄M","")))))</f>
        <v/>
      </c>
      <c r="K167" s="652"/>
      <c r="L167" s="165">
        <f t="shared" ca="1" si="17"/>
        <v>152</v>
      </c>
      <c r="M167" s="166" t="str">
        <f ca="1">IF($D167&lt;&gt;"Serviço","",
          IF(AUTOEVENTO="manual",$A167,
                IF(ISERROR(MATCH($A167,$A$15:OFFSET($A167,-1,0),0)),MAX($M$15:OFFSET(M167,-1,0))+1,
                      INDEX($M$15:OFFSET(M167,-1,0),MATCH($A167,$A$15:OFFSET($A167,-1,0),0)))))</f>
        <v/>
      </c>
      <c r="N167" s="167" t="str">
        <f ca="1">IF($D167&lt;&gt;"Serviço","",
         IF(AUTOEVENTO="Manual",
                IF($A167=0,"&lt;-- defina o número do agrupador",
                       OFFSET(EVENTOS!$D$15,$A167-$A$15,0)),
                OFFSET($F$15,$A167,0)))</f>
        <v/>
      </c>
      <c r="O167" s="168"/>
      <c r="Q167" s="168"/>
      <c r="R167" s="169"/>
      <c r="S167" s="169"/>
      <c r="T167" s="169"/>
      <c r="U167" s="169"/>
      <c r="V167" s="169"/>
      <c r="W167" s="169"/>
      <c r="X167" s="169"/>
      <c r="Y167" s="169"/>
      <c r="Z167" s="170"/>
      <c r="AA167" s="169"/>
      <c r="AB167" s="169"/>
      <c r="AC167" s="169"/>
      <c r="AD167" s="169"/>
      <c r="AE167" s="169"/>
      <c r="AF167" s="169"/>
      <c r="AG167" s="169"/>
      <c r="AH167" s="170"/>
      <c r="AI167" s="169"/>
      <c r="AJ167" s="169"/>
      <c r="AK167" s="169"/>
      <c r="AL167" s="169"/>
      <c r="AM167" s="169"/>
      <c r="AN167" s="169"/>
      <c r="AO167" s="169"/>
      <c r="AP167" s="170"/>
      <c r="AR167" s="453">
        <f ca="1">IF(AND($D167="Serviço",AR$12&lt;&gt;0,$H167&gt;0,OR(AUTOEVENTO&lt;&gt;"manual",$M167&lt;&gt;$A$15)),
        IF(Import.TipoArredondamento&lt;&gt;"TransfereGOV",
              ROUND(OFFSET($P167,0,AR$13),15-13*ORÇAMENTO!$AF$7)/$H167*OFFSET(ORÇAMENTO!$X$15,ROW(AR167)-ROW(AR$15),0),
              ROUND(ROUND(OFFSET($P167,0,AR$13),15-13*ORÇAMENTO!$AF$7)*OFFSET(ORÇAMENTO!$W$15,ROW(AR167)-ROW(AR$15),0),15-13*ORÇAMENTO!$AF$11)),
         0)</f>
        <v>0</v>
      </c>
      <c r="AS167" s="453">
        <f ca="1">IF(AND($D167="Serviço",AS$12&lt;&gt;0,$H167&gt;0,OR(AUTOEVENTO&lt;&gt;"manual",$M167&lt;&gt;$A$15)),
        IF(Import.TipoArredondamento&lt;&gt;"TransfereGOV",
              ROUND(OFFSET($P167,0,AS$13),15-13*ORÇAMENTO!$AF$7)/$H167*OFFSET(ORÇAMENTO!$X$15,ROW(AS167)-ROW(AS$15),0),
              ROUND(ROUND(OFFSET($P167,0,AS$13),15-13*ORÇAMENTO!$AF$7)*OFFSET(ORÇAMENTO!$W$15,ROW(AS167)-ROW(AS$15),0),15-13*ORÇAMENTO!$AF$11)),
         0)</f>
        <v>0</v>
      </c>
      <c r="AT167" s="453">
        <f ca="1">IF(AND($D167="Serviço",AT$12&lt;&gt;0,$H167&gt;0,OR(AUTOEVENTO&lt;&gt;"manual",$M167&lt;&gt;$A$15)),
        IF(Import.TipoArredondamento&lt;&gt;"TransfereGOV",
              ROUND(OFFSET($P167,0,AT$13),15-13*ORÇAMENTO!$AF$7)/$H167*OFFSET(ORÇAMENTO!$X$15,ROW(AT167)-ROW(AT$15),0),
              ROUND(ROUND(OFFSET($P167,0,AT$13),15-13*ORÇAMENTO!$AF$7)*OFFSET(ORÇAMENTO!$W$15,ROW(AT167)-ROW(AT$15),0),15-13*ORÇAMENTO!$AF$11)),
         0)</f>
        <v>0</v>
      </c>
      <c r="AU167" s="453">
        <f ca="1">IF(AND($D167="Serviço",AU$12&lt;&gt;0,$H167&gt;0,OR(AUTOEVENTO&lt;&gt;"manual",$M167&lt;&gt;$A$15)),
        IF(Import.TipoArredondamento&lt;&gt;"TransfereGOV",
              ROUND(OFFSET($P167,0,AU$13),15-13*ORÇAMENTO!$AF$7)/$H167*OFFSET(ORÇAMENTO!$X$15,ROW(AU167)-ROW(AU$15),0),
              ROUND(ROUND(OFFSET($P167,0,AU$13),15-13*ORÇAMENTO!$AF$7)*OFFSET(ORÇAMENTO!$W$15,ROW(AU167)-ROW(AU$15),0),15-13*ORÇAMENTO!$AF$11)),
         0)</f>
        <v>0</v>
      </c>
      <c r="AV167" s="453">
        <f ca="1">IF(AND($D167="Serviço",AV$12&lt;&gt;0,$H167&gt;0,OR(AUTOEVENTO&lt;&gt;"manual",$M167&lt;&gt;$A$15)),
        IF(Import.TipoArredondamento&lt;&gt;"TransfereGOV",
              ROUND(OFFSET($P167,0,AV$13),15-13*ORÇAMENTO!$AF$7)/$H167*OFFSET(ORÇAMENTO!$X$15,ROW(AV167)-ROW(AV$15),0),
              ROUND(ROUND(OFFSET($P167,0,AV$13),15-13*ORÇAMENTO!$AF$7)*OFFSET(ORÇAMENTO!$W$15,ROW(AV167)-ROW(AV$15),0),15-13*ORÇAMENTO!$AF$11)),
         0)</f>
        <v>0</v>
      </c>
      <c r="AW167" s="453">
        <f ca="1">IF(AND($D167="Serviço",AW$12&lt;&gt;0,$H167&gt;0,OR(AUTOEVENTO&lt;&gt;"manual",$M167&lt;&gt;$A$15)),
        IF(Import.TipoArredondamento&lt;&gt;"TransfereGOV",
              ROUND(OFFSET($P167,0,AW$13),15-13*ORÇAMENTO!$AF$7)/$H167*OFFSET(ORÇAMENTO!$X$15,ROW(AW167)-ROW(AW$15),0),
              ROUND(ROUND(OFFSET($P167,0,AW$13),15-13*ORÇAMENTO!$AF$7)*OFFSET(ORÇAMENTO!$W$15,ROW(AW167)-ROW(AW$15),0),15-13*ORÇAMENTO!$AF$11)),
         0)</f>
        <v>0</v>
      </c>
      <c r="AX167" s="453">
        <f ca="1">IF(AND($D167="Serviço",AX$12&lt;&gt;0,$H167&gt;0,OR(AUTOEVENTO&lt;&gt;"manual",$M167&lt;&gt;$A$15)),
        IF(Import.TipoArredondamento&lt;&gt;"TransfereGOV",
              ROUND(OFFSET($P167,0,AX$13),15-13*ORÇAMENTO!$AF$7)/$H167*OFFSET(ORÇAMENTO!$X$15,ROW(AX167)-ROW(AX$15),0),
              ROUND(ROUND(OFFSET($P167,0,AX$13),15-13*ORÇAMENTO!$AF$7)*OFFSET(ORÇAMENTO!$W$15,ROW(AX167)-ROW(AX$15),0),15-13*ORÇAMENTO!$AF$11)),
         0)</f>
        <v>0</v>
      </c>
      <c r="AY167" s="453">
        <f ca="1">IF(AND($D167="Serviço",AY$12&lt;&gt;0,$H167&gt;0,OR(AUTOEVENTO&lt;&gt;"manual",$M167&lt;&gt;$A$15)),
        IF(Import.TipoArredondamento&lt;&gt;"TransfereGOV",
              ROUND(OFFSET($P167,0,AY$13),15-13*ORÇAMENTO!$AF$7)/$H167*OFFSET(ORÇAMENTO!$X$15,ROW(AY167)-ROW(AY$15),0),
              ROUND(ROUND(OFFSET($P167,0,AY$13),15-13*ORÇAMENTO!$AF$7)*OFFSET(ORÇAMENTO!$W$15,ROW(AY167)-ROW(AY$15),0),15-13*ORÇAMENTO!$AF$11)),
         0)</f>
        <v>0</v>
      </c>
      <c r="AZ167" s="453">
        <f ca="1">IF(AND($D167="Serviço",AZ$12&lt;&gt;0,$H167&gt;0,OR(AUTOEVENTO&lt;&gt;"manual",$M167&lt;&gt;$A$15)),
        IF(Import.TipoArredondamento&lt;&gt;"TransfereGOV",
              ROUND(OFFSET($P167,0,AZ$13),15-13*ORÇAMENTO!$AF$7)/$H167*OFFSET(ORÇAMENTO!$X$15,ROW(AZ167)-ROW(AZ$15),0),
              ROUND(ROUND(OFFSET($P167,0,AZ$13),15-13*ORÇAMENTO!$AF$7)*OFFSET(ORÇAMENTO!$W$15,ROW(AZ167)-ROW(AZ$15),0),15-13*ORÇAMENTO!$AF$11)),
         0)</f>
        <v>0</v>
      </c>
      <c r="BA167" s="453">
        <f ca="1">IF(AND($D167="Serviço",BA$12&lt;&gt;0,$H167&gt;0,OR(AUTOEVENTO&lt;&gt;"manual",$M167&lt;&gt;$A$15)),
        IF(Import.TipoArredondamento&lt;&gt;"TransfereGOV",
              ROUND(OFFSET($P167,0,BA$13),15-13*ORÇAMENTO!$AF$7)/$H167*OFFSET(ORÇAMENTO!$X$15,ROW(BA167)-ROW(BA$15),0),
              ROUND(ROUND(OFFSET($P167,0,BA$13),15-13*ORÇAMENTO!$AF$7)*OFFSET(ORÇAMENTO!$W$15,ROW(BA167)-ROW(BA$15),0),15-13*ORÇAMENTO!$AF$11)),
         0)</f>
        <v>0</v>
      </c>
      <c r="BB167" s="453">
        <f ca="1">IF(AND($D167="Serviço",BB$12&lt;&gt;0,$H167&gt;0,OR(AUTOEVENTO&lt;&gt;"manual",$M167&lt;&gt;$A$15)),
        IF(Import.TipoArredondamento&lt;&gt;"TransfereGOV",
              ROUND(OFFSET($P167,0,BB$13),15-13*ORÇAMENTO!$AF$7)/$H167*OFFSET(ORÇAMENTO!$X$15,ROW(BB167)-ROW(BB$15),0),
              ROUND(ROUND(OFFSET($P167,0,BB$13),15-13*ORÇAMENTO!$AF$7)*OFFSET(ORÇAMENTO!$W$15,ROW(BB167)-ROW(BB$15),0),15-13*ORÇAMENTO!$AF$11)),
         0)</f>
        <v>0</v>
      </c>
      <c r="BC167" s="453">
        <f ca="1">IF(AND($D167="Serviço",BC$12&lt;&gt;0,$H167&gt;0,OR(AUTOEVENTO&lt;&gt;"manual",$M167&lt;&gt;$A$15)),
        IF(Import.TipoArredondamento&lt;&gt;"TransfereGOV",
              ROUND(OFFSET($P167,0,BC$13),15-13*ORÇAMENTO!$AF$7)/$H167*OFFSET(ORÇAMENTO!$X$15,ROW(BC167)-ROW(BC$15),0),
              ROUND(ROUND(OFFSET($P167,0,BC$13),15-13*ORÇAMENTO!$AF$7)*OFFSET(ORÇAMENTO!$W$15,ROW(BC167)-ROW(BC$15),0),15-13*ORÇAMENTO!$AF$11)),
         0)</f>
        <v>0</v>
      </c>
      <c r="BD167" s="453">
        <f ca="1">IF(AND($D167="Serviço",BD$12&lt;&gt;0,$H167&gt;0,OR(AUTOEVENTO&lt;&gt;"manual",$M167&lt;&gt;$A$15)),
        IF(Import.TipoArredondamento&lt;&gt;"TransfereGOV",
              ROUND(OFFSET($P167,0,BD$13),15-13*ORÇAMENTO!$AF$7)/$H167*OFFSET(ORÇAMENTO!$X$15,ROW(BD167)-ROW(BD$15),0),
              ROUND(ROUND(OFFSET($P167,0,BD$13),15-13*ORÇAMENTO!$AF$7)*OFFSET(ORÇAMENTO!$W$15,ROW(BD167)-ROW(BD$15),0),15-13*ORÇAMENTO!$AF$11)),
         0)</f>
        <v>0</v>
      </c>
      <c r="BE167" s="453">
        <f ca="1">IF(AND($D167="Serviço",BE$12&lt;&gt;0,$H167&gt;0,OR(AUTOEVENTO&lt;&gt;"manual",$M167&lt;&gt;$A$15)),
        IF(Import.TipoArredondamento&lt;&gt;"TransfereGOV",
              ROUND(OFFSET($P167,0,BE$13),15-13*ORÇAMENTO!$AF$7)/$H167*OFFSET(ORÇAMENTO!$X$15,ROW(BE167)-ROW(BE$15),0),
              ROUND(ROUND(OFFSET($P167,0,BE$13),15-13*ORÇAMENTO!$AF$7)*OFFSET(ORÇAMENTO!$W$15,ROW(BE167)-ROW(BE$15),0),15-13*ORÇAMENTO!$AF$11)),
         0)</f>
        <v>0</v>
      </c>
      <c r="BF167" s="453">
        <f ca="1">IF(AND($D167="Serviço",BF$12&lt;&gt;0,$H167&gt;0,OR(AUTOEVENTO&lt;&gt;"manual",$M167&lt;&gt;$A$15)),
        IF(Import.TipoArredondamento&lt;&gt;"TransfereGOV",
              ROUND(OFFSET($P167,0,BF$13),15-13*ORÇAMENTO!$AF$7)/$H167*OFFSET(ORÇAMENTO!$X$15,ROW(BF167)-ROW(BF$15),0),
              ROUND(ROUND(OFFSET($P167,0,BF$13),15-13*ORÇAMENTO!$AF$7)*OFFSET(ORÇAMENTO!$W$15,ROW(BF167)-ROW(BF$15),0),15-13*ORÇAMENTO!$AF$11)),
         0)</f>
        <v>0</v>
      </c>
      <c r="BG167" s="453">
        <f ca="1">IF(AND($D167="Serviço",BG$12&lt;&gt;0,$H167&gt;0,OR(AUTOEVENTO&lt;&gt;"manual",$M167&lt;&gt;$A$15)),
        IF(Import.TipoArredondamento&lt;&gt;"TransfereGOV",
              ROUND(OFFSET($P167,0,BG$13),15-13*ORÇAMENTO!$AF$7)/$H167*OFFSET(ORÇAMENTO!$X$15,ROW(BG167)-ROW(BG$15),0),
              ROUND(ROUND(OFFSET($P167,0,BG$13),15-13*ORÇAMENTO!$AF$7)*OFFSET(ORÇAMENTO!$W$15,ROW(BG167)-ROW(BG$15),0),15-13*ORÇAMENTO!$AF$11)),
         0)</f>
        <v>0</v>
      </c>
      <c r="BH167" s="453">
        <f ca="1">IF(AND($D167="Serviço",BH$12&lt;&gt;0,$H167&gt;0,OR(AUTOEVENTO&lt;&gt;"manual",$M167&lt;&gt;$A$15)),
        IF(Import.TipoArredondamento&lt;&gt;"TransfereGOV",
              ROUND(OFFSET($P167,0,BH$13),15-13*ORÇAMENTO!$AF$7)/$H167*OFFSET(ORÇAMENTO!$X$15,ROW(BH167)-ROW(BH$15),0),
              ROUND(ROUND(OFFSET($P167,0,BH$13),15-13*ORÇAMENTO!$AF$7)*OFFSET(ORÇAMENTO!$W$15,ROW(BH167)-ROW(BH$15),0),15-13*ORÇAMENTO!$AF$11)),
         0)</f>
        <v>0</v>
      </c>
      <c r="BI167" s="453">
        <f ca="1">IF(AND($D167="Serviço",BI$12&lt;&gt;0,$H167&gt;0,OR(AUTOEVENTO&lt;&gt;"manual",$M167&lt;&gt;$A$15)),
        IF(Import.TipoArredondamento&lt;&gt;"TransfereGOV",
              ROUND(OFFSET($P167,0,BI$13),15-13*ORÇAMENTO!$AF$7)/$H167*OFFSET(ORÇAMENTO!$X$15,ROW(BI167)-ROW(BI$15),0),
              ROUND(ROUND(OFFSET($P167,0,BI$13),15-13*ORÇAMENTO!$AF$7)*OFFSET(ORÇAMENTO!$W$15,ROW(BI167)-ROW(BI$15),0),15-13*ORÇAMENTO!$AF$11)),
         0)</f>
        <v>0</v>
      </c>
      <c r="BJ167" s="453">
        <f ca="1">IF(AND($D167="Serviço",BJ$12&lt;&gt;0,$H167&gt;0,OR(AUTOEVENTO&lt;&gt;"manual",$M167&lt;&gt;$A$15)),
        IF(Import.TipoArredondamento&lt;&gt;"TransfereGOV",
              ROUND(OFFSET($P167,0,BJ$13),15-13*ORÇAMENTO!$AF$7)/$H167*OFFSET(ORÇAMENTO!$X$15,ROW(BJ167)-ROW(BJ$15),0),
              ROUND(ROUND(OFFSET($P167,0,BJ$13),15-13*ORÇAMENTO!$AF$7)*OFFSET(ORÇAMENTO!$W$15,ROW(BJ167)-ROW(BJ$15),0),15-13*ORÇAMENTO!$AF$11)),
         0)</f>
        <v>0</v>
      </c>
      <c r="BK167" s="453">
        <f ca="1">IF(AND($D167="Serviço",BK$12&lt;&gt;0,$H167&gt;0,OR(AUTOEVENTO&lt;&gt;"manual",$M167&lt;&gt;$A$15)),
        IF(Import.TipoArredondamento&lt;&gt;"TransfereGOV",
              ROUND(OFFSET($P167,0,BK$13),15-13*ORÇAMENTO!$AF$7)/$H167*OFFSET(ORÇAMENTO!$X$15,ROW(BK167)-ROW(BK$15),0),
              ROUND(ROUND(OFFSET($P167,0,BK$13),15-13*ORÇAMENTO!$AF$7)*OFFSET(ORÇAMENTO!$W$15,ROW(BK167)-ROW(BK$15),0),15-13*ORÇAMENTO!$AF$11)),
         0)</f>
        <v>0</v>
      </c>
      <c r="BL167" s="453">
        <f ca="1">IF(AND($D167="Serviço",BL$12&lt;&gt;0,$H167&gt;0,OR(AUTOEVENTO&lt;&gt;"manual",$M167&lt;&gt;$A$15)),
        IF(Import.TipoArredondamento&lt;&gt;"TransfereGOV",
              ROUND(OFFSET($P167,0,BL$13),15-13*ORÇAMENTO!$AF$7)/$H167*OFFSET(ORÇAMENTO!$X$15,ROW(BL167)-ROW(BL$15),0),
              ROUND(ROUND(OFFSET($P167,0,BL$13),15-13*ORÇAMENTO!$AF$7)*OFFSET(ORÇAMENTO!$W$15,ROW(BL167)-ROW(BL$15),0),15-13*ORÇAMENTO!$AF$11)),
         0)</f>
        <v>0</v>
      </c>
      <c r="BM167" s="453">
        <f ca="1">IF(AND($D167="Serviço",BM$12&lt;&gt;0,$H167&gt;0,OR(AUTOEVENTO&lt;&gt;"manual",$M167&lt;&gt;$A$15)),
        IF(Import.TipoArredondamento&lt;&gt;"TransfereGOV",
              ROUND(OFFSET($P167,0,BM$13),15-13*ORÇAMENTO!$AF$7)/$H167*OFFSET(ORÇAMENTO!$X$15,ROW(BM167)-ROW(BM$15),0),
              ROUND(ROUND(OFFSET($P167,0,BM$13),15-13*ORÇAMENTO!$AF$7)*OFFSET(ORÇAMENTO!$W$15,ROW(BM167)-ROW(BM$15),0),15-13*ORÇAMENTO!$AF$11)),
         0)</f>
        <v>0</v>
      </c>
      <c r="BN167" s="453">
        <f ca="1">IF(AND($D167="Serviço",BN$12&lt;&gt;0,$H167&gt;0,OR(AUTOEVENTO&lt;&gt;"manual",$M167&lt;&gt;$A$15)),
        IF(Import.TipoArredondamento&lt;&gt;"TransfereGOV",
              ROUND(OFFSET($P167,0,BN$13),15-13*ORÇAMENTO!$AF$7)/$H167*OFFSET(ORÇAMENTO!$X$15,ROW(BN167)-ROW(BN$15),0),
              ROUND(ROUND(OFFSET($P167,0,BN$13),15-13*ORÇAMENTO!$AF$7)*OFFSET(ORÇAMENTO!$W$15,ROW(BN167)-ROW(BN$15),0),15-13*ORÇAMENTO!$AF$11)),
         0)</f>
        <v>0</v>
      </c>
      <c r="BO167" s="453">
        <f ca="1">IF(AND($D167="Serviço",BO$12&lt;&gt;0,$H167&gt;0,OR(AUTOEVENTO&lt;&gt;"manual",$M167&lt;&gt;$A$15)),
        IF(Import.TipoArredondamento&lt;&gt;"TransfereGOV",
              ROUND(OFFSET($P167,0,BO$13),15-13*ORÇAMENTO!$AF$7)/$H167*OFFSET(ORÇAMENTO!$X$15,ROW(BO167)-ROW(BO$15),0),
              ROUND(ROUND(OFFSET($P167,0,BO$13),15-13*ORÇAMENTO!$AF$7)*OFFSET(ORÇAMENTO!$W$15,ROW(BO167)-ROW(BO$15),0),15-13*ORÇAMENTO!$AF$11)),
         0)</f>
        <v>0</v>
      </c>
      <c r="BP167" s="453">
        <f ca="1">IF(AND($D167="Serviço",BP$12&lt;&gt;0,$H167&gt;0,OR(AUTOEVENTO&lt;&gt;"manual",$M167&lt;&gt;$A$15)),
        IF(Import.TipoArredondamento&lt;&gt;"TransfereGOV",
              ROUND(OFFSET($P167,0,BP$13),15-13*ORÇAMENTO!$AF$7)/$H167*OFFSET(ORÇAMENTO!$X$15,ROW(BP167)-ROW(BP$15),0),
              ROUND(ROUND(OFFSET($P167,0,BP$13),15-13*ORÇAMENTO!$AF$7)*OFFSET(ORÇAMENTO!$W$15,ROW(BP167)-ROW(BP$15),0),15-13*ORÇAMENTO!$AF$11)),
         0)</f>
        <v>0</v>
      </c>
      <c r="BQ167" s="453">
        <f ca="1">IF(AND($D167="Serviço",BQ$12&lt;&gt;0,$H167&gt;0,OR(AUTOEVENTO&lt;&gt;"manual",$M167&lt;&gt;$A$15)),
        IF(Import.TipoArredondamento&lt;&gt;"TransfereGOV",
              ROUND(OFFSET($P167,0,BQ$13),15-13*ORÇAMENTO!$AF$7)/$H167*OFFSET(ORÇAMENTO!$X$15,ROW(BQ167)-ROW(BQ$15),0),
              ROUND(ROUND(OFFSET($P167,0,BQ$13),15-13*ORÇAMENTO!$AF$7)*OFFSET(ORÇAMENTO!$W$15,ROW(BQ167)-ROW(BQ$15),0),15-13*ORÇAMENTO!$AF$11)),
         0)</f>
        <v>0</v>
      </c>
      <c r="BS167" s="171">
        <f ca="1">IF(OR($D167&lt;&gt;"Serviço",AND(AUTOEVENTO="Manual",$M167=$A$15)),0,
         IF(OFFSET(CRONOPLE!$F$15,$M167-$A$15,BS$13)=0,10^12,OFFSET(CRONOPLE!$F$15,$M167-$A$15,BS$13)))</f>
        <v>0</v>
      </c>
      <c r="BT167" s="171">
        <f ca="1">IF(OR($D167&lt;&gt;"Serviço",AND(AUTOEVENTO="Manual",$M167=$A$15)),0,
         IF(OFFSET(CRONOPLE!$F$15,$M167-$A$15,BT$13)=0,10^12,OFFSET(CRONOPLE!$F$15,$M167-$A$15,BT$13)))</f>
        <v>0</v>
      </c>
      <c r="BU167" s="171">
        <f ca="1">IF(OR($D167&lt;&gt;"Serviço",AND(AUTOEVENTO="Manual",$M167=$A$15)),0,
         IF(OFFSET(CRONOPLE!$F$15,$M167-$A$15,BU$13)=0,10^12,OFFSET(CRONOPLE!$F$15,$M167-$A$15,BU$13)))</f>
        <v>0</v>
      </c>
      <c r="BV167" s="171">
        <f ca="1">IF(OR($D167&lt;&gt;"Serviço",AND(AUTOEVENTO="Manual",$M167=$A$15)),0,
         IF(OFFSET(CRONOPLE!$F$15,$M167-$A$15,BV$13)=0,10^12,OFFSET(CRONOPLE!$F$15,$M167-$A$15,BV$13)))</f>
        <v>0</v>
      </c>
      <c r="BW167" s="171">
        <f ca="1">IF(OR($D167&lt;&gt;"Serviço",AND(AUTOEVENTO="Manual",$M167=$A$15)),0,
         IF(OFFSET(CRONOPLE!$F$15,$M167-$A$15,BW$13)=0,10^12,OFFSET(CRONOPLE!$F$15,$M167-$A$15,BW$13)))</f>
        <v>0</v>
      </c>
      <c r="BX167" s="171">
        <f ca="1">IF(OR($D167&lt;&gt;"Serviço",AND(AUTOEVENTO="Manual",$M167=$A$15)),0,
         IF(OFFSET(CRONOPLE!$F$15,$M167-$A$15,BX$13)=0,10^12,OFFSET(CRONOPLE!$F$15,$M167-$A$15,BX$13)))</f>
        <v>0</v>
      </c>
      <c r="BY167" s="171">
        <f ca="1">IF(OR($D167&lt;&gt;"Serviço",AND(AUTOEVENTO="Manual",$M167=$A$15)),0,
         IF(OFFSET(CRONOPLE!$F$15,$M167-$A$15,BY$13)=0,10^12,OFFSET(CRONOPLE!$F$15,$M167-$A$15,BY$13)))</f>
        <v>0</v>
      </c>
      <c r="BZ167" s="171">
        <f ca="1">IF(OR($D167&lt;&gt;"Serviço",AND(AUTOEVENTO="Manual",$M167=$A$15)),0,
         IF(OFFSET(CRONOPLE!$F$15,$M167-$A$15,BZ$13)=0,10^12,OFFSET(CRONOPLE!$F$15,$M167-$A$15,BZ$13)))</f>
        <v>0</v>
      </c>
      <c r="CA167" s="171">
        <f ca="1">IF(OR($D167&lt;&gt;"Serviço",AND(AUTOEVENTO="Manual",$M167=$A$15)),0,
         IF(OFFSET(CRONOPLE!$F$15,$M167-$A$15,CA$13)=0,10^12,OFFSET(CRONOPLE!$F$15,$M167-$A$15,CA$13)))</f>
        <v>0</v>
      </c>
      <c r="CB167" s="171">
        <f ca="1">IF(OR($D167&lt;&gt;"Serviço",AND(AUTOEVENTO="Manual",$M167=$A$15)),0,
         IF(OFFSET(CRONOPLE!$F$15,$M167-$A$15,CB$13)=0,10^12,OFFSET(CRONOPLE!$F$15,$M167-$A$15,CB$13)))</f>
        <v>0</v>
      </c>
      <c r="CC167" s="171">
        <f ca="1">IF(OR($D167&lt;&gt;"Serviço",AND(AUTOEVENTO="Manual",$M167=$A$15)),0,
         IF(OFFSET(CRONOPLE!$F$15,$M167-$A$15,CC$13)=0,10^12,OFFSET(CRONOPLE!$F$15,$M167-$A$15,CC$13)))</f>
        <v>0</v>
      </c>
      <c r="CD167" s="171">
        <f ca="1">IF(OR($D167&lt;&gt;"Serviço",AND(AUTOEVENTO="Manual",$M167=$A$15)),0,
         IF(OFFSET(CRONOPLE!$F$15,$M167-$A$15,CD$13)=0,10^12,OFFSET(CRONOPLE!$F$15,$M167-$A$15,CD$13)))</f>
        <v>0</v>
      </c>
      <c r="CE167" s="171">
        <f ca="1">IF(OR($D167&lt;&gt;"Serviço",AND(AUTOEVENTO="Manual",$M167=$A$15)),0,
         IF(OFFSET(CRONOPLE!$F$15,$M167-$A$15,CE$13)=0,10^12,OFFSET(CRONOPLE!$F$15,$M167-$A$15,CE$13)))</f>
        <v>0</v>
      </c>
      <c r="CF167" s="171">
        <f ca="1">IF(OR($D167&lt;&gt;"Serviço",AND(AUTOEVENTO="Manual",$M167=$A$15)),0,
         IF(OFFSET(CRONOPLE!$F$15,$M167-$A$15,CF$13)=0,10^12,OFFSET(CRONOPLE!$F$15,$M167-$A$15,CF$13)))</f>
        <v>0</v>
      </c>
      <c r="CG167" s="171">
        <f ca="1">IF(OR($D167&lt;&gt;"Serviço",AND(AUTOEVENTO="Manual",$M167=$A$15)),0,
         IF(OFFSET(CRONOPLE!$F$15,$M167-$A$15,CG$13)=0,10^12,OFFSET(CRONOPLE!$F$15,$M167-$A$15,CG$13)))</f>
        <v>0</v>
      </c>
      <c r="CH167" s="171">
        <f ca="1">IF(OR($D167&lt;&gt;"Serviço",AND(AUTOEVENTO="Manual",$M167=$A$15)),0,
         IF(OFFSET(CRONOPLE!$F$15,$M167-$A$15,CH$13)=0,10^12,OFFSET(CRONOPLE!$F$15,$M167-$A$15,CH$13)))</f>
        <v>0</v>
      </c>
      <c r="CI167" s="171">
        <f ca="1">IF(OR($D167&lt;&gt;"Serviço",AND(AUTOEVENTO="Manual",$M167=$A$15)),0,
         IF(OFFSET(CRONOPLE!$F$15,$M167-$A$15,CI$13)=0,10^12,OFFSET(CRONOPLE!$F$15,$M167-$A$15,CI$13)))</f>
        <v>0</v>
      </c>
      <c r="CJ167" s="171">
        <f ca="1">IF(OR($D167&lt;&gt;"Serviço",AND(AUTOEVENTO="Manual",$M167=$A$15)),0,
         IF(OFFSET(CRONOPLE!$F$15,$M167-$A$15,CJ$13)=0,10^12,OFFSET(CRONOPLE!$F$15,$M167-$A$15,CJ$13)))</f>
        <v>0</v>
      </c>
      <c r="CK167" s="171">
        <f ca="1">IF(OR($D167&lt;&gt;"Serviço",AND(AUTOEVENTO="Manual",$M167=$A$15)),0,
         IF(OFFSET(CRONOPLE!$F$15,$M167-$A$15,CK$13)=0,10^12,OFFSET(CRONOPLE!$F$15,$M167-$A$15,CK$13)))</f>
        <v>0</v>
      </c>
      <c r="CL167" s="171">
        <f ca="1">IF(OR($D167&lt;&gt;"Serviço",AND(AUTOEVENTO="Manual",$M167=$A$15)),0,
         IF(OFFSET(CRONOPLE!$F$15,$M167-$A$15,CL$13)=0,10^12,OFFSET(CRONOPLE!$F$15,$M167-$A$15,CL$13)))</f>
        <v>0</v>
      </c>
      <c r="CM167" s="171">
        <f ca="1">IF(OR($D167&lt;&gt;"Serviço",AND(AUTOEVENTO="Manual",$M167=$A$15)),0,
         IF(OFFSET(CRONOPLE!$F$15,$M167-$A$15,CM$13)=0,10^12,OFFSET(CRONOPLE!$F$15,$M167-$A$15,CM$13)))</f>
        <v>0</v>
      </c>
      <c r="CN167" s="171">
        <f ca="1">IF(OR($D167&lt;&gt;"Serviço",AND(AUTOEVENTO="Manual",$M167=$A$15)),0,
         IF(OFFSET(CRONOPLE!$F$15,$M167-$A$15,CN$13)=0,10^12,OFFSET(CRONOPLE!$F$15,$M167-$A$15,CN$13)))</f>
        <v>0</v>
      </c>
      <c r="CO167" s="171">
        <f ca="1">IF(OR($D167&lt;&gt;"Serviço",AND(AUTOEVENTO="Manual",$M167=$A$15)),0,
         IF(OFFSET(CRONOPLE!$F$15,$M167-$A$15,CO$13)=0,10^12,OFFSET(CRONOPLE!$F$15,$M167-$A$15,CO$13)))</f>
        <v>0</v>
      </c>
      <c r="CP167" s="171">
        <f ca="1">IF(OR($D167&lt;&gt;"Serviço",AND(AUTOEVENTO="Manual",$M167=$A$15)),0,
         IF(OFFSET(CRONOPLE!$F$15,$M167-$A$15,CP$13)=0,10^12,OFFSET(CRONOPLE!$F$15,$M167-$A$15,CP$13)))</f>
        <v>0</v>
      </c>
      <c r="CQ167" s="171">
        <f ca="1">IF(OR($D167&lt;&gt;"Serviço",AND(AUTOEVENTO="Manual",$M167=$A$15)),0,
         IF(OFFSET(CRONOPLE!$F$15,$M167-$A$15,CQ$13)=0,10^12,OFFSET(CRONOPLE!$F$15,$M167-$A$15,CQ$13)))</f>
        <v>0</v>
      </c>
      <c r="CR167" s="171">
        <f ca="1">IF(OR($D167&lt;&gt;"Serviço",AND(AUTOEVENTO="Manual",$M167=$A$15)),0,
         IF(OFFSET(CRONOPLE!$F$15,$M167-$A$15,CR$13)=0,10^12,OFFSET(CRONOPLE!$F$15,$M167-$A$15,CR$13)))</f>
        <v>0</v>
      </c>
      <c r="CT167" s="172" cm="1">
        <f t="array" aca="1" ref="CT167" ca="1">IF(OR($D167&lt;&gt;"Serviço",AND(AUTOEVENTO="Manual",$M167=$A$15),$M167&gt;(ROW(PLE.lastrow)-ROW(PLE.firstrow))),0,
           IF(OFFSET(PLE!$G$15,$M167-$A$15,CT$13)="",10^12,OFFSET(PLE!$G$15,$M167-$A$15,CT$13)))</f>
        <v>0</v>
      </c>
      <c r="CU167" s="172" cm="1">
        <f t="array" aca="1" ref="CU167" ca="1">IF(OR($D167&lt;&gt;"Serviço",AND(AUTOEVENTO="Manual",$M167=$A$15),$M167&gt;(ROW(PLE.lastrow)-ROW(PLE.firstrow))),0,
           IF(OFFSET(PLE!$G$15,$M167-$A$15,CU$13)="",10^12,OFFSET(PLE!$G$15,$M167-$A$15,CU$13)))</f>
        <v>0</v>
      </c>
      <c r="CV167" s="172" cm="1">
        <f t="array" aca="1" ref="CV167" ca="1">IF(OR($D167&lt;&gt;"Serviço",AND(AUTOEVENTO="Manual",$M167=$A$15),$M167&gt;(ROW(PLE.lastrow)-ROW(PLE.firstrow))),0,
           IF(OFFSET(PLE!$G$15,$M167-$A$15,CV$13)="",10^12,OFFSET(PLE!$G$15,$M167-$A$15,CV$13)))</f>
        <v>0</v>
      </c>
      <c r="CW167" s="172" cm="1">
        <f t="array" aca="1" ref="CW167" ca="1">IF(OR($D167&lt;&gt;"Serviço",AND(AUTOEVENTO="Manual",$M167=$A$15),$M167&gt;(ROW(PLE.lastrow)-ROW(PLE.firstrow))),0,
           IF(OFFSET(PLE!$G$15,$M167-$A$15,CW$13)="",10^12,OFFSET(PLE!$G$15,$M167-$A$15,CW$13)))</f>
        <v>0</v>
      </c>
      <c r="CX167" s="172" cm="1">
        <f t="array" aca="1" ref="CX167" ca="1">IF(OR($D167&lt;&gt;"Serviço",AND(AUTOEVENTO="Manual",$M167=$A$15),$M167&gt;(ROW(PLE.lastrow)-ROW(PLE.firstrow))),0,
           IF(OFFSET(PLE!$G$15,$M167-$A$15,CX$13)="",10^12,OFFSET(PLE!$G$15,$M167-$A$15,CX$13)))</f>
        <v>0</v>
      </c>
      <c r="CY167" s="172" cm="1">
        <f t="array" aca="1" ref="CY167" ca="1">IF(OR($D167&lt;&gt;"Serviço",AND(AUTOEVENTO="Manual",$M167=$A$15),$M167&gt;(ROW(PLE.lastrow)-ROW(PLE.firstrow))),0,
           IF(OFFSET(PLE!$G$15,$M167-$A$15,CY$13)="",10^12,OFFSET(PLE!$G$15,$M167-$A$15,CY$13)))</f>
        <v>0</v>
      </c>
      <c r="CZ167" s="172" cm="1">
        <f t="array" aca="1" ref="CZ167" ca="1">IF(OR($D167&lt;&gt;"Serviço",AND(AUTOEVENTO="Manual",$M167=$A$15),$M167&gt;(ROW(PLE.lastrow)-ROW(PLE.firstrow))),0,
           IF(OFFSET(PLE!$G$15,$M167-$A$15,CZ$13)="",10^12,OFFSET(PLE!$G$15,$M167-$A$15,CZ$13)))</f>
        <v>0</v>
      </c>
      <c r="DA167" s="172" cm="1">
        <f t="array" aca="1" ref="DA167" ca="1">IF(OR($D167&lt;&gt;"Serviço",AND(AUTOEVENTO="Manual",$M167=$A$15),$M167&gt;(ROW(PLE.lastrow)-ROW(PLE.firstrow))),0,
           IF(OFFSET(PLE!$G$15,$M167-$A$15,DA$13)="",10^12,OFFSET(PLE!$G$15,$M167-$A$15,DA$13)))</f>
        <v>0</v>
      </c>
      <c r="DB167" s="172" cm="1">
        <f t="array" aca="1" ref="DB167" ca="1">IF(OR($D167&lt;&gt;"Serviço",AND(AUTOEVENTO="Manual",$M167=$A$15),$M167&gt;(ROW(PLE.lastrow)-ROW(PLE.firstrow))),0,
           IF(OFFSET(PLE!$G$15,$M167-$A$15,DB$13)="",10^12,OFFSET(PLE!$G$15,$M167-$A$15,DB$13)))</f>
        <v>0</v>
      </c>
      <c r="DC167" s="172" cm="1">
        <f t="array" aca="1" ref="DC167" ca="1">IF(OR($D167&lt;&gt;"Serviço",AND(AUTOEVENTO="Manual",$M167=$A$15),$M167&gt;(ROW(PLE.lastrow)-ROW(PLE.firstrow))),0,
           IF(OFFSET(PLE!$G$15,$M167-$A$15,DC$13)="",10^12,OFFSET(PLE!$G$15,$M167-$A$15,DC$13)))</f>
        <v>0</v>
      </c>
      <c r="DD167" s="172" cm="1">
        <f t="array" aca="1" ref="DD167" ca="1">IF(OR($D167&lt;&gt;"Serviço",AND(AUTOEVENTO="Manual",$M167=$A$15),$M167&gt;(ROW(PLE.lastrow)-ROW(PLE.firstrow))),0,
           IF(OFFSET(PLE!$G$15,$M167-$A$15,DD$13)="",10^12,OFFSET(PLE!$G$15,$M167-$A$15,DD$13)))</f>
        <v>0</v>
      </c>
      <c r="DE167" s="172" cm="1">
        <f t="array" aca="1" ref="DE167" ca="1">IF(OR($D167&lt;&gt;"Serviço",AND(AUTOEVENTO="Manual",$M167=$A$15),$M167&gt;(ROW(PLE.lastrow)-ROW(PLE.firstrow))),0,
           IF(OFFSET(PLE!$G$15,$M167-$A$15,DE$13)="",10^12,OFFSET(PLE!$G$15,$M167-$A$15,DE$13)))</f>
        <v>0</v>
      </c>
      <c r="DF167" s="172" cm="1">
        <f t="array" aca="1" ref="DF167" ca="1">IF(OR($D167&lt;&gt;"Serviço",AND(AUTOEVENTO="Manual",$M167=$A$15),$M167&gt;(ROW(PLE.lastrow)-ROW(PLE.firstrow))),0,
           IF(OFFSET(PLE!$G$15,$M167-$A$15,DF$13)="",10^12,OFFSET(PLE!$G$15,$M167-$A$15,DF$13)))</f>
        <v>0</v>
      </c>
      <c r="DG167" s="172" cm="1">
        <f t="array" aca="1" ref="DG167" ca="1">IF(OR($D167&lt;&gt;"Serviço",AND(AUTOEVENTO="Manual",$M167=$A$15),$M167&gt;(ROW(PLE.lastrow)-ROW(PLE.firstrow))),0,
           IF(OFFSET(PLE!$G$15,$M167-$A$15,DG$13)="",10^12,OFFSET(PLE!$G$15,$M167-$A$15,DG$13)))</f>
        <v>0</v>
      </c>
      <c r="DH167" s="172" cm="1">
        <f t="array" aca="1" ref="DH167" ca="1">IF(OR($D167&lt;&gt;"Serviço",AND(AUTOEVENTO="Manual",$M167=$A$15),$M167&gt;(ROW(PLE.lastrow)-ROW(PLE.firstrow))),0,
           IF(OFFSET(PLE!$G$15,$M167-$A$15,DH$13)="",10^12,OFFSET(PLE!$G$15,$M167-$A$15,DH$13)))</f>
        <v>0</v>
      </c>
      <c r="DI167" s="172" cm="1">
        <f t="array" aca="1" ref="DI167" ca="1">IF(OR($D167&lt;&gt;"Serviço",AND(AUTOEVENTO="Manual",$M167=$A$15),$M167&gt;(ROW(PLE.lastrow)-ROW(PLE.firstrow))),0,
           IF(OFFSET(PLE!$G$15,$M167-$A$15,DI$13)="",10^12,OFFSET(PLE!$G$15,$M167-$A$15,DI$13)))</f>
        <v>0</v>
      </c>
      <c r="DJ167" s="172" cm="1">
        <f t="array" aca="1" ref="DJ167" ca="1">IF(OR($D167&lt;&gt;"Serviço",AND(AUTOEVENTO="Manual",$M167=$A$15),$M167&gt;(ROW(PLE.lastrow)-ROW(PLE.firstrow))),0,
           IF(OFFSET(PLE!$G$15,$M167-$A$15,DJ$13)="",10^12,OFFSET(PLE!$G$15,$M167-$A$15,DJ$13)))</f>
        <v>0</v>
      </c>
      <c r="DK167" s="172" cm="1">
        <f t="array" aca="1" ref="DK167" ca="1">IF(OR($D167&lt;&gt;"Serviço",AND(AUTOEVENTO="Manual",$M167=$A$15),$M167&gt;(ROW(PLE.lastrow)-ROW(PLE.firstrow))),0,
           IF(OFFSET(PLE!$G$15,$M167-$A$15,DK$13)="",10^12,OFFSET(PLE!$G$15,$M167-$A$15,DK$13)))</f>
        <v>0</v>
      </c>
      <c r="DL167" s="172" cm="1">
        <f t="array" aca="1" ref="DL167" ca="1">IF(OR($D167&lt;&gt;"Serviço",AND(AUTOEVENTO="Manual",$M167=$A$15),$M167&gt;(ROW(PLE.lastrow)-ROW(PLE.firstrow))),0,
           IF(OFFSET(PLE!$G$15,$M167-$A$15,DL$13)="",10^12,OFFSET(PLE!$G$15,$M167-$A$15,DL$13)))</f>
        <v>0</v>
      </c>
      <c r="DM167" s="172" cm="1">
        <f t="array" aca="1" ref="DM167" ca="1">IF(OR($D167&lt;&gt;"Serviço",AND(AUTOEVENTO="Manual",$M167=$A$15),$M167&gt;(ROW(PLE.lastrow)-ROW(PLE.firstrow))),0,
           IF(OFFSET(PLE!$G$15,$M167-$A$15,DM$13)="",10^12,OFFSET(PLE!$G$15,$M167-$A$15,DM$13)))</f>
        <v>0</v>
      </c>
      <c r="DN167" s="172" cm="1">
        <f t="array" aca="1" ref="DN167" ca="1">IF(OR($D167&lt;&gt;"Serviço",AND(AUTOEVENTO="Manual",$M167=$A$15),$M167&gt;(ROW(PLE.lastrow)-ROW(PLE.firstrow))),0,
           IF(OFFSET(PLE!$G$15,$M167-$A$15,DN$13)="",10^12,OFFSET(PLE!$G$15,$M167-$A$15,DN$13)))</f>
        <v>0</v>
      </c>
      <c r="DO167" s="172" cm="1">
        <f t="array" aca="1" ref="DO167" ca="1">IF(OR($D167&lt;&gt;"Serviço",AND(AUTOEVENTO="Manual",$M167=$A$15),$M167&gt;(ROW(PLE.lastrow)-ROW(PLE.firstrow))),0,
           IF(OFFSET(PLE!$G$15,$M167-$A$15,DO$13)="",10^12,OFFSET(PLE!$G$15,$M167-$A$15,DO$13)))</f>
        <v>0</v>
      </c>
      <c r="DP167" s="172" cm="1">
        <f t="array" aca="1" ref="DP167" ca="1">IF(OR($D167&lt;&gt;"Serviço",AND(AUTOEVENTO="Manual",$M167=$A$15),$M167&gt;(ROW(PLE.lastrow)-ROW(PLE.firstrow))),0,
           IF(OFFSET(PLE!$G$15,$M167-$A$15,DP$13)="",10^12,OFFSET(PLE!$G$15,$M167-$A$15,DP$13)))</f>
        <v>0</v>
      </c>
      <c r="DQ167" s="172" cm="1">
        <f t="array" aca="1" ref="DQ167" ca="1">IF(OR($D167&lt;&gt;"Serviço",AND(AUTOEVENTO="Manual",$M167=$A$15),$M167&gt;(ROW(PLE.lastrow)-ROW(PLE.firstrow))),0,
           IF(OFFSET(PLE!$G$15,$M167-$A$15,DQ$13)="",10^12,OFFSET(PLE!$G$15,$M167-$A$15,DQ$13)))</f>
        <v>0</v>
      </c>
      <c r="DR167" s="172" cm="1">
        <f t="array" aca="1" ref="DR167" ca="1">IF(OR($D167&lt;&gt;"Serviço",AND(AUTOEVENTO="Manual",$M167=$A$15),$M167&gt;(ROW(PLE.lastrow)-ROW(PLE.firstrow))),0,
           IF(OFFSET(PLE!$G$15,$M167-$A$15,DR$13)="",10^12,OFFSET(PLE!$G$15,$M167-$A$15,DR$13)))</f>
        <v>0</v>
      </c>
      <c r="DS167" s="172" cm="1">
        <f t="array" aca="1" ref="DS167" ca="1">IF(OR($D167&lt;&gt;"Serviço",AND(AUTOEVENTO="Manual",$M167=$A$15),$M167&gt;(ROW(PLE.lastrow)-ROW(PLE.firstrow))),0,
           IF(OFFSET(PLE!$G$15,$M167-$A$15,DS$13)="",10^12,OFFSET(PLE!$G$15,$M167-$A$15,DS$13)))</f>
        <v>0</v>
      </c>
    </row>
    <row r="168" spans="1:123" ht="38.25" x14ac:dyDescent="0.2">
      <c r="A168" s="7">
        <f t="shared" ca="1" si="16"/>
        <v>9</v>
      </c>
      <c r="B168" s="7" t="str">
        <f ca="1">OFFSET(ORÇAMENTO!C$15,$L168,0)</f>
        <v>S</v>
      </c>
      <c r="C168" s="7" t="str">
        <f ca="1">OFFSET(ORÇAMENTO!L$15,$L168,0)</f>
        <v/>
      </c>
      <c r="D168" s="116" t="str">
        <f ca="1">OFFSET(ORÇAMENTO!N$15,$L168,0)</f>
        <v>Serviço</v>
      </c>
      <c r="E168" s="117" t="str">
        <f ca="1">OFFSET(ORÇAMENTO!O$15,$L168,0)</f>
        <v>-</v>
      </c>
      <c r="F168" s="163" t="str">
        <f ca="1">OFFSET(ORÇAMENTO!R$15,$L168,0)</f>
        <v>(Código não identificado nas referências)</v>
      </c>
      <c r="G168" s="164" t="str">
        <f ca="1">IF($D168&lt;&gt;"Serviço","",OFFSET(ORÇAMENTO!S$15,$L168,0))</f>
        <v>-</v>
      </c>
      <c r="H168" s="122" cm="1">
        <f t="array" aca="1" ref="H168" ca="1">IF($D168&lt;&gt;"Serviço",0,IF(ACOMPANHAMENTO="BM",ROUND(OFFSET(ORÇAMENTO!AJ$15,$L168,0),15-13*ORÇAMENTO!$AF$7),IF(IFERROR(CÁLCULO.FrentesPreenchidas,0)=0,0,SUM(ROUND(OFFSET($P168,0,1,1,CÁLCULO.FrentesPreenchidas),15-13*ORÇAMENTO!$AF$7)))))</f>
        <v>140</v>
      </c>
      <c r="I168" s="468" t="s">
        <v>1235</v>
      </c>
      <c r="J168" s="651" t="str" cm="1">
        <f t="array" aca="1" ref="J168" ca="1">IF(OR(B168&lt;&gt;"S",CÁLCULO.FrentesPreenchidas=0),"",IF(AND(ACOMPANHAMENTO="PLE",AUTOEVENTO="Manual",OR(H168&gt;0,ORÇAMENTO!AC168="QUANT."),OR(K168="",M168=0,N168="")),"►E",IF(AND(ACOMPANHAMENTO="PLE",ORÇAMENTO!AC168="QUANT."),"►Q",IF(AND(ACOMPANHAMENTO="PLE",H168&lt;&gt;SUMPRODUCT(($Q$1:$AQ$1=1)*ROUND(Q168:AQ168,15))),"►S",IF(AND(COUNTIF($P$11:$AQ$11,"▼")=0,H168&gt;0,I168=""),"◄M","")))))</f>
        <v/>
      </c>
      <c r="K168" s="652" t="s">
        <v>1257</v>
      </c>
      <c r="L168" s="165">
        <f t="shared" ca="1" si="17"/>
        <v>153</v>
      </c>
      <c r="M168" s="166">
        <f ca="1">IF($D168&lt;&gt;"Serviço","",
          IF(AUTOEVENTO="manual",$A168,
                IF(ISERROR(MATCH($A168,$A$15:OFFSET($A168,-1,0),0)),MAX($M$15:OFFSET(M168,-1,0))+1,
                      INDEX($M$15:OFFSET(M168,-1,0),MATCH($A168,$A$15:OFFSET($A168,-1,0),0)))))</f>
        <v>9</v>
      </c>
      <c r="N168" s="167" t="str">
        <f ca="1">IF($D168&lt;&gt;"Serviço","",
         IF(AUTOEVENTO="Manual",
                IF($A168=0,"&lt;-- defina o número do agrupador",
                       OFFSET(EVENTOS!$D$15,$A168-$A$15,0)),
                OFFSET($F$15,$A168,0)))</f>
        <v>INSTALAÇÕES</v>
      </c>
      <c r="O168" s="168"/>
      <c r="Q168" s="168">
        <v>7</v>
      </c>
      <c r="R168" s="169">
        <v>7</v>
      </c>
      <c r="S168" s="169">
        <v>7</v>
      </c>
      <c r="T168" s="169">
        <v>7</v>
      </c>
      <c r="U168" s="169">
        <v>7</v>
      </c>
      <c r="V168" s="169">
        <v>7</v>
      </c>
      <c r="W168" s="169">
        <v>7</v>
      </c>
      <c r="X168" s="169">
        <v>7</v>
      </c>
      <c r="Y168" s="169">
        <v>7</v>
      </c>
      <c r="Z168" s="170">
        <v>7</v>
      </c>
      <c r="AA168" s="169">
        <v>7</v>
      </c>
      <c r="AB168" s="169">
        <v>7</v>
      </c>
      <c r="AC168" s="169">
        <v>7</v>
      </c>
      <c r="AD168" s="169">
        <v>7</v>
      </c>
      <c r="AE168" s="169">
        <v>7</v>
      </c>
      <c r="AF168" s="169">
        <v>7</v>
      </c>
      <c r="AG168" s="169">
        <v>7</v>
      </c>
      <c r="AH168" s="170">
        <v>7</v>
      </c>
      <c r="AI168" s="169">
        <v>7</v>
      </c>
      <c r="AJ168" s="169">
        <v>7</v>
      </c>
      <c r="AK168" s="169"/>
      <c r="AL168" s="169"/>
      <c r="AM168" s="169"/>
      <c r="AN168" s="169"/>
      <c r="AO168" s="169"/>
      <c r="AP168" s="170"/>
      <c r="AR168" s="453">
        <f ca="1">IF(AND($D168="Serviço",AR$12&lt;&gt;0,$H168&gt;0,OR(AUTOEVENTO&lt;&gt;"manual",$M168&lt;&gt;$A$15)),
        IF(Import.TipoArredondamento&lt;&gt;"TransfereGOV",
              ROUND(OFFSET($P168,0,AR$13),15-13*ORÇAMENTO!$AF$7)/$H168*OFFSET(ORÇAMENTO!$X$15,ROW(AR168)-ROW(AR$15),0),
              ROUND(ROUND(OFFSET($P168,0,AR$13),15-13*ORÇAMENTO!$AF$7)*OFFSET(ORÇAMENTO!$W$15,ROW(AR168)-ROW(AR$15),0),15-13*ORÇAMENTO!$AF$11)),
         0)</f>
        <v>0</v>
      </c>
      <c r="AS168" s="453">
        <f ca="1">IF(AND($D168="Serviço",AS$12&lt;&gt;0,$H168&gt;0,OR(AUTOEVENTO&lt;&gt;"manual",$M168&lt;&gt;$A$15)),
        IF(Import.TipoArredondamento&lt;&gt;"TransfereGOV",
              ROUND(OFFSET($P168,0,AS$13),15-13*ORÇAMENTO!$AF$7)/$H168*OFFSET(ORÇAMENTO!$X$15,ROW(AS168)-ROW(AS$15),0),
              ROUND(ROUND(OFFSET($P168,0,AS$13),15-13*ORÇAMENTO!$AF$7)*OFFSET(ORÇAMENTO!$W$15,ROW(AS168)-ROW(AS$15),0),15-13*ORÇAMENTO!$AF$11)),
         0)</f>
        <v>0</v>
      </c>
      <c r="AT168" s="453">
        <f ca="1">IF(AND($D168="Serviço",AT$12&lt;&gt;0,$H168&gt;0,OR(AUTOEVENTO&lt;&gt;"manual",$M168&lt;&gt;$A$15)),
        IF(Import.TipoArredondamento&lt;&gt;"TransfereGOV",
              ROUND(OFFSET($P168,0,AT$13),15-13*ORÇAMENTO!$AF$7)/$H168*OFFSET(ORÇAMENTO!$X$15,ROW(AT168)-ROW(AT$15),0),
              ROUND(ROUND(OFFSET($P168,0,AT$13),15-13*ORÇAMENTO!$AF$7)*OFFSET(ORÇAMENTO!$W$15,ROW(AT168)-ROW(AT$15),0),15-13*ORÇAMENTO!$AF$11)),
         0)</f>
        <v>0</v>
      </c>
      <c r="AU168" s="453">
        <f ca="1">IF(AND($D168="Serviço",AU$12&lt;&gt;0,$H168&gt;0,OR(AUTOEVENTO&lt;&gt;"manual",$M168&lt;&gt;$A$15)),
        IF(Import.TipoArredondamento&lt;&gt;"TransfereGOV",
              ROUND(OFFSET($P168,0,AU$13),15-13*ORÇAMENTO!$AF$7)/$H168*OFFSET(ORÇAMENTO!$X$15,ROW(AU168)-ROW(AU$15),0),
              ROUND(ROUND(OFFSET($P168,0,AU$13),15-13*ORÇAMENTO!$AF$7)*OFFSET(ORÇAMENTO!$W$15,ROW(AU168)-ROW(AU$15),0),15-13*ORÇAMENTO!$AF$11)),
         0)</f>
        <v>0</v>
      </c>
      <c r="AV168" s="453">
        <f ca="1">IF(AND($D168="Serviço",AV$12&lt;&gt;0,$H168&gt;0,OR(AUTOEVENTO&lt;&gt;"manual",$M168&lt;&gt;$A$15)),
        IF(Import.TipoArredondamento&lt;&gt;"TransfereGOV",
              ROUND(OFFSET($P168,0,AV$13),15-13*ORÇAMENTO!$AF$7)/$H168*OFFSET(ORÇAMENTO!$X$15,ROW(AV168)-ROW(AV$15),0),
              ROUND(ROUND(OFFSET($P168,0,AV$13),15-13*ORÇAMENTO!$AF$7)*OFFSET(ORÇAMENTO!$W$15,ROW(AV168)-ROW(AV$15),0),15-13*ORÇAMENTO!$AF$11)),
         0)</f>
        <v>0</v>
      </c>
      <c r="AW168" s="453">
        <f ca="1">IF(AND($D168="Serviço",AW$12&lt;&gt;0,$H168&gt;0,OR(AUTOEVENTO&lt;&gt;"manual",$M168&lt;&gt;$A$15)),
        IF(Import.TipoArredondamento&lt;&gt;"TransfereGOV",
              ROUND(OFFSET($P168,0,AW$13),15-13*ORÇAMENTO!$AF$7)/$H168*OFFSET(ORÇAMENTO!$X$15,ROW(AW168)-ROW(AW$15),0),
              ROUND(ROUND(OFFSET($P168,0,AW$13),15-13*ORÇAMENTO!$AF$7)*OFFSET(ORÇAMENTO!$W$15,ROW(AW168)-ROW(AW$15),0),15-13*ORÇAMENTO!$AF$11)),
         0)</f>
        <v>0</v>
      </c>
      <c r="AX168" s="453">
        <f ca="1">IF(AND($D168="Serviço",AX$12&lt;&gt;0,$H168&gt;0,OR(AUTOEVENTO&lt;&gt;"manual",$M168&lt;&gt;$A$15)),
        IF(Import.TipoArredondamento&lt;&gt;"TransfereGOV",
              ROUND(OFFSET($P168,0,AX$13),15-13*ORÇAMENTO!$AF$7)/$H168*OFFSET(ORÇAMENTO!$X$15,ROW(AX168)-ROW(AX$15),0),
              ROUND(ROUND(OFFSET($P168,0,AX$13),15-13*ORÇAMENTO!$AF$7)*OFFSET(ORÇAMENTO!$W$15,ROW(AX168)-ROW(AX$15),0),15-13*ORÇAMENTO!$AF$11)),
         0)</f>
        <v>0</v>
      </c>
      <c r="AY168" s="453">
        <f ca="1">IF(AND($D168="Serviço",AY$12&lt;&gt;0,$H168&gt;0,OR(AUTOEVENTO&lt;&gt;"manual",$M168&lt;&gt;$A$15)),
        IF(Import.TipoArredondamento&lt;&gt;"TransfereGOV",
              ROUND(OFFSET($P168,0,AY$13),15-13*ORÇAMENTO!$AF$7)/$H168*OFFSET(ORÇAMENTO!$X$15,ROW(AY168)-ROW(AY$15),0),
              ROUND(ROUND(OFFSET($P168,0,AY$13),15-13*ORÇAMENTO!$AF$7)*OFFSET(ORÇAMENTO!$W$15,ROW(AY168)-ROW(AY$15),0),15-13*ORÇAMENTO!$AF$11)),
         0)</f>
        <v>0</v>
      </c>
      <c r="AZ168" s="453">
        <f ca="1">IF(AND($D168="Serviço",AZ$12&lt;&gt;0,$H168&gt;0,OR(AUTOEVENTO&lt;&gt;"manual",$M168&lt;&gt;$A$15)),
        IF(Import.TipoArredondamento&lt;&gt;"TransfereGOV",
              ROUND(OFFSET($P168,0,AZ$13),15-13*ORÇAMENTO!$AF$7)/$H168*OFFSET(ORÇAMENTO!$X$15,ROW(AZ168)-ROW(AZ$15),0),
              ROUND(ROUND(OFFSET($P168,0,AZ$13),15-13*ORÇAMENTO!$AF$7)*OFFSET(ORÇAMENTO!$W$15,ROW(AZ168)-ROW(AZ$15),0),15-13*ORÇAMENTO!$AF$11)),
         0)</f>
        <v>0</v>
      </c>
      <c r="BA168" s="453">
        <f ca="1">IF(AND($D168="Serviço",BA$12&lt;&gt;0,$H168&gt;0,OR(AUTOEVENTO&lt;&gt;"manual",$M168&lt;&gt;$A$15)),
        IF(Import.TipoArredondamento&lt;&gt;"TransfereGOV",
              ROUND(OFFSET($P168,0,BA$13),15-13*ORÇAMENTO!$AF$7)/$H168*OFFSET(ORÇAMENTO!$X$15,ROW(BA168)-ROW(BA$15),0),
              ROUND(ROUND(OFFSET($P168,0,BA$13),15-13*ORÇAMENTO!$AF$7)*OFFSET(ORÇAMENTO!$W$15,ROW(BA168)-ROW(BA$15),0),15-13*ORÇAMENTO!$AF$11)),
         0)</f>
        <v>0</v>
      </c>
      <c r="BB168" s="453">
        <f ca="1">IF(AND($D168="Serviço",BB$12&lt;&gt;0,$H168&gt;0,OR(AUTOEVENTO&lt;&gt;"manual",$M168&lt;&gt;$A$15)),
        IF(Import.TipoArredondamento&lt;&gt;"TransfereGOV",
              ROUND(OFFSET($P168,0,BB$13),15-13*ORÇAMENTO!$AF$7)/$H168*OFFSET(ORÇAMENTO!$X$15,ROW(BB168)-ROW(BB$15),0),
              ROUND(ROUND(OFFSET($P168,0,BB$13),15-13*ORÇAMENTO!$AF$7)*OFFSET(ORÇAMENTO!$W$15,ROW(BB168)-ROW(BB$15),0),15-13*ORÇAMENTO!$AF$11)),
         0)</f>
        <v>0</v>
      </c>
      <c r="BC168" s="453">
        <f ca="1">IF(AND($D168="Serviço",BC$12&lt;&gt;0,$H168&gt;0,OR(AUTOEVENTO&lt;&gt;"manual",$M168&lt;&gt;$A$15)),
        IF(Import.TipoArredondamento&lt;&gt;"TransfereGOV",
              ROUND(OFFSET($P168,0,BC$13),15-13*ORÇAMENTO!$AF$7)/$H168*OFFSET(ORÇAMENTO!$X$15,ROW(BC168)-ROW(BC$15),0),
              ROUND(ROUND(OFFSET($P168,0,BC$13),15-13*ORÇAMENTO!$AF$7)*OFFSET(ORÇAMENTO!$W$15,ROW(BC168)-ROW(BC$15),0),15-13*ORÇAMENTO!$AF$11)),
         0)</f>
        <v>0</v>
      </c>
      <c r="BD168" s="453">
        <f ca="1">IF(AND($D168="Serviço",BD$12&lt;&gt;0,$H168&gt;0,OR(AUTOEVENTO&lt;&gt;"manual",$M168&lt;&gt;$A$15)),
        IF(Import.TipoArredondamento&lt;&gt;"TransfereGOV",
              ROUND(OFFSET($P168,0,BD$13),15-13*ORÇAMENTO!$AF$7)/$H168*OFFSET(ORÇAMENTO!$X$15,ROW(BD168)-ROW(BD$15),0),
              ROUND(ROUND(OFFSET($P168,0,BD$13),15-13*ORÇAMENTO!$AF$7)*OFFSET(ORÇAMENTO!$W$15,ROW(BD168)-ROW(BD$15),0),15-13*ORÇAMENTO!$AF$11)),
         0)</f>
        <v>0</v>
      </c>
      <c r="BE168" s="453">
        <f ca="1">IF(AND($D168="Serviço",BE$12&lt;&gt;0,$H168&gt;0,OR(AUTOEVENTO&lt;&gt;"manual",$M168&lt;&gt;$A$15)),
        IF(Import.TipoArredondamento&lt;&gt;"TransfereGOV",
              ROUND(OFFSET($P168,0,BE$13),15-13*ORÇAMENTO!$AF$7)/$H168*OFFSET(ORÇAMENTO!$X$15,ROW(BE168)-ROW(BE$15),0),
              ROUND(ROUND(OFFSET($P168,0,BE$13),15-13*ORÇAMENTO!$AF$7)*OFFSET(ORÇAMENTO!$W$15,ROW(BE168)-ROW(BE$15),0),15-13*ORÇAMENTO!$AF$11)),
         0)</f>
        <v>0</v>
      </c>
      <c r="BF168" s="453">
        <f ca="1">IF(AND($D168="Serviço",BF$12&lt;&gt;0,$H168&gt;0,OR(AUTOEVENTO&lt;&gt;"manual",$M168&lt;&gt;$A$15)),
        IF(Import.TipoArredondamento&lt;&gt;"TransfereGOV",
              ROUND(OFFSET($P168,0,BF$13),15-13*ORÇAMENTO!$AF$7)/$H168*OFFSET(ORÇAMENTO!$X$15,ROW(BF168)-ROW(BF$15),0),
              ROUND(ROUND(OFFSET($P168,0,BF$13),15-13*ORÇAMENTO!$AF$7)*OFFSET(ORÇAMENTO!$W$15,ROW(BF168)-ROW(BF$15),0),15-13*ORÇAMENTO!$AF$11)),
         0)</f>
        <v>0</v>
      </c>
      <c r="BG168" s="453">
        <f ca="1">IF(AND($D168="Serviço",BG$12&lt;&gt;0,$H168&gt;0,OR(AUTOEVENTO&lt;&gt;"manual",$M168&lt;&gt;$A$15)),
        IF(Import.TipoArredondamento&lt;&gt;"TransfereGOV",
              ROUND(OFFSET($P168,0,BG$13),15-13*ORÇAMENTO!$AF$7)/$H168*OFFSET(ORÇAMENTO!$X$15,ROW(BG168)-ROW(BG$15),0),
              ROUND(ROUND(OFFSET($P168,0,BG$13),15-13*ORÇAMENTO!$AF$7)*OFFSET(ORÇAMENTO!$W$15,ROW(BG168)-ROW(BG$15),0),15-13*ORÇAMENTO!$AF$11)),
         0)</f>
        <v>0</v>
      </c>
      <c r="BH168" s="453">
        <f ca="1">IF(AND($D168="Serviço",BH$12&lt;&gt;0,$H168&gt;0,OR(AUTOEVENTO&lt;&gt;"manual",$M168&lt;&gt;$A$15)),
        IF(Import.TipoArredondamento&lt;&gt;"TransfereGOV",
              ROUND(OFFSET($P168,0,BH$13),15-13*ORÇAMENTO!$AF$7)/$H168*OFFSET(ORÇAMENTO!$X$15,ROW(BH168)-ROW(BH$15),0),
              ROUND(ROUND(OFFSET($P168,0,BH$13),15-13*ORÇAMENTO!$AF$7)*OFFSET(ORÇAMENTO!$W$15,ROW(BH168)-ROW(BH$15),0),15-13*ORÇAMENTO!$AF$11)),
         0)</f>
        <v>0</v>
      </c>
      <c r="BI168" s="453">
        <f ca="1">IF(AND($D168="Serviço",BI$12&lt;&gt;0,$H168&gt;0,OR(AUTOEVENTO&lt;&gt;"manual",$M168&lt;&gt;$A$15)),
        IF(Import.TipoArredondamento&lt;&gt;"TransfereGOV",
              ROUND(OFFSET($P168,0,BI$13),15-13*ORÇAMENTO!$AF$7)/$H168*OFFSET(ORÇAMENTO!$X$15,ROW(BI168)-ROW(BI$15),0),
              ROUND(ROUND(OFFSET($P168,0,BI$13),15-13*ORÇAMENTO!$AF$7)*OFFSET(ORÇAMENTO!$W$15,ROW(BI168)-ROW(BI$15),0),15-13*ORÇAMENTO!$AF$11)),
         0)</f>
        <v>0</v>
      </c>
      <c r="BJ168" s="453">
        <f ca="1">IF(AND($D168="Serviço",BJ$12&lt;&gt;0,$H168&gt;0,OR(AUTOEVENTO&lt;&gt;"manual",$M168&lt;&gt;$A$15)),
        IF(Import.TipoArredondamento&lt;&gt;"TransfereGOV",
              ROUND(OFFSET($P168,0,BJ$13),15-13*ORÇAMENTO!$AF$7)/$H168*OFFSET(ORÇAMENTO!$X$15,ROW(BJ168)-ROW(BJ$15),0),
              ROUND(ROUND(OFFSET($P168,0,BJ$13),15-13*ORÇAMENTO!$AF$7)*OFFSET(ORÇAMENTO!$W$15,ROW(BJ168)-ROW(BJ$15),0),15-13*ORÇAMENTO!$AF$11)),
         0)</f>
        <v>0</v>
      </c>
      <c r="BK168" s="453">
        <f ca="1">IF(AND($D168="Serviço",BK$12&lt;&gt;0,$H168&gt;0,OR(AUTOEVENTO&lt;&gt;"manual",$M168&lt;&gt;$A$15)),
        IF(Import.TipoArredondamento&lt;&gt;"TransfereGOV",
              ROUND(OFFSET($P168,0,BK$13),15-13*ORÇAMENTO!$AF$7)/$H168*OFFSET(ORÇAMENTO!$X$15,ROW(BK168)-ROW(BK$15),0),
              ROUND(ROUND(OFFSET($P168,0,BK$13),15-13*ORÇAMENTO!$AF$7)*OFFSET(ORÇAMENTO!$W$15,ROW(BK168)-ROW(BK$15),0),15-13*ORÇAMENTO!$AF$11)),
         0)</f>
        <v>0</v>
      </c>
      <c r="BL168" s="453">
        <f ca="1">IF(AND($D168="Serviço",BL$12&lt;&gt;0,$H168&gt;0,OR(AUTOEVENTO&lt;&gt;"manual",$M168&lt;&gt;$A$15)),
        IF(Import.TipoArredondamento&lt;&gt;"TransfereGOV",
              ROUND(OFFSET($P168,0,BL$13),15-13*ORÇAMENTO!$AF$7)/$H168*OFFSET(ORÇAMENTO!$X$15,ROW(BL168)-ROW(BL$15),0),
              ROUND(ROUND(OFFSET($P168,0,BL$13),15-13*ORÇAMENTO!$AF$7)*OFFSET(ORÇAMENTO!$W$15,ROW(BL168)-ROW(BL$15),0),15-13*ORÇAMENTO!$AF$11)),
         0)</f>
        <v>0</v>
      </c>
      <c r="BM168" s="453">
        <f ca="1">IF(AND($D168="Serviço",BM$12&lt;&gt;0,$H168&gt;0,OR(AUTOEVENTO&lt;&gt;"manual",$M168&lt;&gt;$A$15)),
        IF(Import.TipoArredondamento&lt;&gt;"TransfereGOV",
              ROUND(OFFSET($P168,0,BM$13),15-13*ORÇAMENTO!$AF$7)/$H168*OFFSET(ORÇAMENTO!$X$15,ROW(BM168)-ROW(BM$15),0),
              ROUND(ROUND(OFFSET($P168,0,BM$13),15-13*ORÇAMENTO!$AF$7)*OFFSET(ORÇAMENTO!$W$15,ROW(BM168)-ROW(BM$15),0),15-13*ORÇAMENTO!$AF$11)),
         0)</f>
        <v>0</v>
      </c>
      <c r="BN168" s="453">
        <f ca="1">IF(AND($D168="Serviço",BN$12&lt;&gt;0,$H168&gt;0,OR(AUTOEVENTO&lt;&gt;"manual",$M168&lt;&gt;$A$15)),
        IF(Import.TipoArredondamento&lt;&gt;"TransfereGOV",
              ROUND(OFFSET($P168,0,BN$13),15-13*ORÇAMENTO!$AF$7)/$H168*OFFSET(ORÇAMENTO!$X$15,ROW(BN168)-ROW(BN$15),0),
              ROUND(ROUND(OFFSET($P168,0,BN$13),15-13*ORÇAMENTO!$AF$7)*OFFSET(ORÇAMENTO!$W$15,ROW(BN168)-ROW(BN$15),0),15-13*ORÇAMENTO!$AF$11)),
         0)</f>
        <v>0</v>
      </c>
      <c r="BO168" s="453">
        <f ca="1">IF(AND($D168="Serviço",BO$12&lt;&gt;0,$H168&gt;0,OR(AUTOEVENTO&lt;&gt;"manual",$M168&lt;&gt;$A$15)),
        IF(Import.TipoArredondamento&lt;&gt;"TransfereGOV",
              ROUND(OFFSET($P168,0,BO$13),15-13*ORÇAMENTO!$AF$7)/$H168*OFFSET(ORÇAMENTO!$X$15,ROW(BO168)-ROW(BO$15),0),
              ROUND(ROUND(OFFSET($P168,0,BO$13),15-13*ORÇAMENTO!$AF$7)*OFFSET(ORÇAMENTO!$W$15,ROW(BO168)-ROW(BO$15),0),15-13*ORÇAMENTO!$AF$11)),
         0)</f>
        <v>0</v>
      </c>
      <c r="BP168" s="453">
        <f ca="1">IF(AND($D168="Serviço",BP$12&lt;&gt;0,$H168&gt;0,OR(AUTOEVENTO&lt;&gt;"manual",$M168&lt;&gt;$A$15)),
        IF(Import.TipoArredondamento&lt;&gt;"TransfereGOV",
              ROUND(OFFSET($P168,0,BP$13),15-13*ORÇAMENTO!$AF$7)/$H168*OFFSET(ORÇAMENTO!$X$15,ROW(BP168)-ROW(BP$15),0),
              ROUND(ROUND(OFFSET($P168,0,BP$13),15-13*ORÇAMENTO!$AF$7)*OFFSET(ORÇAMENTO!$W$15,ROW(BP168)-ROW(BP$15),0),15-13*ORÇAMENTO!$AF$11)),
         0)</f>
        <v>0</v>
      </c>
      <c r="BQ168" s="453">
        <f ca="1">IF(AND($D168="Serviço",BQ$12&lt;&gt;0,$H168&gt;0,OR(AUTOEVENTO&lt;&gt;"manual",$M168&lt;&gt;$A$15)),
        IF(Import.TipoArredondamento&lt;&gt;"TransfereGOV",
              ROUND(OFFSET($P168,0,BQ$13),15-13*ORÇAMENTO!$AF$7)/$H168*OFFSET(ORÇAMENTO!$X$15,ROW(BQ168)-ROW(BQ$15),0),
              ROUND(ROUND(OFFSET($P168,0,BQ$13),15-13*ORÇAMENTO!$AF$7)*OFFSET(ORÇAMENTO!$W$15,ROW(BQ168)-ROW(BQ$15),0),15-13*ORÇAMENTO!$AF$11)),
         0)</f>
        <v>0</v>
      </c>
      <c r="BS168" s="171">
        <f ca="1">IF(OR($D168&lt;&gt;"Serviço",AND(AUTOEVENTO="Manual",$M168=$A$15)),0,
         IF(OFFSET(CRONOPLE!$F$15,$M168-$A$15,BS$13)=0,10^12,OFFSET(CRONOPLE!$F$15,$M168-$A$15,BS$13)))</f>
        <v>1</v>
      </c>
      <c r="BT168" s="171">
        <f ca="1">IF(OR($D168&lt;&gt;"Serviço",AND(AUTOEVENTO="Manual",$M168=$A$15)),0,
         IF(OFFSET(CRONOPLE!$F$15,$M168-$A$15,BT$13)=0,10^12,OFFSET(CRONOPLE!$F$15,$M168-$A$15,BT$13)))</f>
        <v>2</v>
      </c>
      <c r="BU168" s="171">
        <f ca="1">IF(OR($D168&lt;&gt;"Serviço",AND(AUTOEVENTO="Manual",$M168=$A$15)),0,
         IF(OFFSET(CRONOPLE!$F$15,$M168-$A$15,BU$13)=0,10^12,OFFSET(CRONOPLE!$F$15,$M168-$A$15,BU$13)))</f>
        <v>3</v>
      </c>
      <c r="BV168" s="171">
        <f ca="1">IF(OR($D168&lt;&gt;"Serviço",AND(AUTOEVENTO="Manual",$M168=$A$15)),0,
         IF(OFFSET(CRONOPLE!$F$15,$M168-$A$15,BV$13)=0,10^12,OFFSET(CRONOPLE!$F$15,$M168-$A$15,BV$13)))</f>
        <v>4</v>
      </c>
      <c r="BW168" s="171">
        <f ca="1">IF(OR($D168&lt;&gt;"Serviço",AND(AUTOEVENTO="Manual",$M168=$A$15)),0,
         IF(OFFSET(CRONOPLE!$F$15,$M168-$A$15,BW$13)=0,10^12,OFFSET(CRONOPLE!$F$15,$M168-$A$15,BW$13)))</f>
        <v>5</v>
      </c>
      <c r="BX168" s="171">
        <f ca="1">IF(OR($D168&lt;&gt;"Serviço",AND(AUTOEVENTO="Manual",$M168=$A$15)),0,
         IF(OFFSET(CRONOPLE!$F$15,$M168-$A$15,BX$13)=0,10^12,OFFSET(CRONOPLE!$F$15,$M168-$A$15,BX$13)))</f>
        <v>6</v>
      </c>
      <c r="BY168" s="171">
        <f ca="1">IF(OR($D168&lt;&gt;"Serviço",AND(AUTOEVENTO="Manual",$M168=$A$15)),0,
         IF(OFFSET(CRONOPLE!$F$15,$M168-$A$15,BY$13)=0,10^12,OFFSET(CRONOPLE!$F$15,$M168-$A$15,BY$13)))</f>
        <v>7</v>
      </c>
      <c r="BZ168" s="171">
        <f ca="1">IF(OR($D168&lt;&gt;"Serviço",AND(AUTOEVENTO="Manual",$M168=$A$15)),0,
         IF(OFFSET(CRONOPLE!$F$15,$M168-$A$15,BZ$13)=0,10^12,OFFSET(CRONOPLE!$F$15,$M168-$A$15,BZ$13)))</f>
        <v>8</v>
      </c>
      <c r="CA168" s="171">
        <f ca="1">IF(OR($D168&lt;&gt;"Serviço",AND(AUTOEVENTO="Manual",$M168=$A$15)),0,
         IF(OFFSET(CRONOPLE!$F$15,$M168-$A$15,CA$13)=0,10^12,OFFSET(CRONOPLE!$F$15,$M168-$A$15,CA$13)))</f>
        <v>9</v>
      </c>
      <c r="CB168" s="171">
        <f ca="1">IF(OR($D168&lt;&gt;"Serviço",AND(AUTOEVENTO="Manual",$M168=$A$15)),0,
         IF(OFFSET(CRONOPLE!$F$15,$M168-$A$15,CB$13)=0,10^12,OFFSET(CRONOPLE!$F$15,$M168-$A$15,CB$13)))</f>
        <v>10</v>
      </c>
      <c r="CC168" s="171">
        <f ca="1">IF(OR($D168&lt;&gt;"Serviço",AND(AUTOEVENTO="Manual",$M168=$A$15)),0,
         IF(OFFSET(CRONOPLE!$F$15,$M168-$A$15,CC$13)=0,10^12,OFFSET(CRONOPLE!$F$15,$M168-$A$15,CC$13)))</f>
        <v>11</v>
      </c>
      <c r="CD168" s="171">
        <f ca="1">IF(OR($D168&lt;&gt;"Serviço",AND(AUTOEVENTO="Manual",$M168=$A$15)),0,
         IF(OFFSET(CRONOPLE!$F$15,$M168-$A$15,CD$13)=0,10^12,OFFSET(CRONOPLE!$F$15,$M168-$A$15,CD$13)))</f>
        <v>12</v>
      </c>
      <c r="CE168" s="171">
        <f ca="1">IF(OR($D168&lt;&gt;"Serviço",AND(AUTOEVENTO="Manual",$M168=$A$15)),0,
         IF(OFFSET(CRONOPLE!$F$15,$M168-$A$15,CE$13)=0,10^12,OFFSET(CRONOPLE!$F$15,$M168-$A$15,CE$13)))</f>
        <v>13</v>
      </c>
      <c r="CF168" s="171">
        <f ca="1">IF(OR($D168&lt;&gt;"Serviço",AND(AUTOEVENTO="Manual",$M168=$A$15)),0,
         IF(OFFSET(CRONOPLE!$F$15,$M168-$A$15,CF$13)=0,10^12,OFFSET(CRONOPLE!$F$15,$M168-$A$15,CF$13)))</f>
        <v>14</v>
      </c>
      <c r="CG168" s="171">
        <f ca="1">IF(OR($D168&lt;&gt;"Serviço",AND(AUTOEVENTO="Manual",$M168=$A$15)),0,
         IF(OFFSET(CRONOPLE!$F$15,$M168-$A$15,CG$13)=0,10^12,OFFSET(CRONOPLE!$F$15,$M168-$A$15,CG$13)))</f>
        <v>15</v>
      </c>
      <c r="CH168" s="171">
        <f ca="1">IF(OR($D168&lt;&gt;"Serviço",AND(AUTOEVENTO="Manual",$M168=$A$15)),0,
         IF(OFFSET(CRONOPLE!$F$15,$M168-$A$15,CH$13)=0,10^12,OFFSET(CRONOPLE!$F$15,$M168-$A$15,CH$13)))</f>
        <v>16</v>
      </c>
      <c r="CI168" s="171">
        <f ca="1">IF(OR($D168&lt;&gt;"Serviço",AND(AUTOEVENTO="Manual",$M168=$A$15)),0,
         IF(OFFSET(CRONOPLE!$F$15,$M168-$A$15,CI$13)=0,10^12,OFFSET(CRONOPLE!$F$15,$M168-$A$15,CI$13)))</f>
        <v>17</v>
      </c>
      <c r="CJ168" s="171">
        <f ca="1">IF(OR($D168&lt;&gt;"Serviço",AND(AUTOEVENTO="Manual",$M168=$A$15)),0,
         IF(OFFSET(CRONOPLE!$F$15,$M168-$A$15,CJ$13)=0,10^12,OFFSET(CRONOPLE!$F$15,$M168-$A$15,CJ$13)))</f>
        <v>18</v>
      </c>
      <c r="CK168" s="171">
        <f ca="1">IF(OR($D168&lt;&gt;"Serviço",AND(AUTOEVENTO="Manual",$M168=$A$15)),0,
         IF(OFFSET(CRONOPLE!$F$15,$M168-$A$15,CK$13)=0,10^12,OFFSET(CRONOPLE!$F$15,$M168-$A$15,CK$13)))</f>
        <v>19</v>
      </c>
      <c r="CL168" s="171">
        <f ca="1">IF(OR($D168&lt;&gt;"Serviço",AND(AUTOEVENTO="Manual",$M168=$A$15)),0,
         IF(OFFSET(CRONOPLE!$F$15,$M168-$A$15,CL$13)=0,10^12,OFFSET(CRONOPLE!$F$15,$M168-$A$15,CL$13)))</f>
        <v>20</v>
      </c>
      <c r="CM168" s="171">
        <f ca="1">IF(OR($D168&lt;&gt;"Serviço",AND(AUTOEVENTO="Manual",$M168=$A$15)),0,
         IF(OFFSET(CRONOPLE!$F$15,$M168-$A$15,CM$13)=0,10^12,OFFSET(CRONOPLE!$F$15,$M168-$A$15,CM$13)))</f>
        <v>1000000000000</v>
      </c>
      <c r="CN168" s="171">
        <f ca="1">IF(OR($D168&lt;&gt;"Serviço",AND(AUTOEVENTO="Manual",$M168=$A$15)),0,
         IF(OFFSET(CRONOPLE!$F$15,$M168-$A$15,CN$13)=0,10^12,OFFSET(CRONOPLE!$F$15,$M168-$A$15,CN$13)))</f>
        <v>1000000000000</v>
      </c>
      <c r="CO168" s="171">
        <f ca="1">IF(OR($D168&lt;&gt;"Serviço",AND(AUTOEVENTO="Manual",$M168=$A$15)),0,
         IF(OFFSET(CRONOPLE!$F$15,$M168-$A$15,CO$13)=0,10^12,OFFSET(CRONOPLE!$F$15,$M168-$A$15,CO$13)))</f>
        <v>1000000000000</v>
      </c>
      <c r="CP168" s="171">
        <f ca="1">IF(OR($D168&lt;&gt;"Serviço",AND(AUTOEVENTO="Manual",$M168=$A$15)),0,
         IF(OFFSET(CRONOPLE!$F$15,$M168-$A$15,CP$13)=0,10^12,OFFSET(CRONOPLE!$F$15,$M168-$A$15,CP$13)))</f>
        <v>1000000000000</v>
      </c>
      <c r="CQ168" s="171">
        <f ca="1">IF(OR($D168&lt;&gt;"Serviço",AND(AUTOEVENTO="Manual",$M168=$A$15)),0,
         IF(OFFSET(CRONOPLE!$F$15,$M168-$A$15,CQ$13)=0,10^12,OFFSET(CRONOPLE!$F$15,$M168-$A$15,CQ$13)))</f>
        <v>1000000000000</v>
      </c>
      <c r="CR168" s="171">
        <f ca="1">IF(OR($D168&lt;&gt;"Serviço",AND(AUTOEVENTO="Manual",$M168=$A$15)),0,
         IF(OFFSET(CRONOPLE!$F$15,$M168-$A$15,CR$13)=0,10^12,OFFSET(CRONOPLE!$F$15,$M168-$A$15,CR$13)))</f>
        <v>1000000000000</v>
      </c>
      <c r="CT168" s="172" cm="1">
        <f t="array" aca="1" ref="CT168" ca="1">IF(OR($D168&lt;&gt;"Serviço",AND(AUTOEVENTO="Manual",$M168=$A$15),$M168&gt;(ROW(PLE.lastrow)-ROW(PLE.firstrow))),0,
           IF(OFFSET(PLE!$G$15,$M168-$A$15,CT$13)="",10^12,OFFSET(PLE!$G$15,$M168-$A$15,CT$13)))</f>
        <v>1000000000000</v>
      </c>
      <c r="CU168" s="172" cm="1">
        <f t="array" aca="1" ref="CU168" ca="1">IF(OR($D168&lt;&gt;"Serviço",AND(AUTOEVENTO="Manual",$M168=$A$15),$M168&gt;(ROW(PLE.lastrow)-ROW(PLE.firstrow))),0,
           IF(OFFSET(PLE!$G$15,$M168-$A$15,CU$13)="",10^12,OFFSET(PLE!$G$15,$M168-$A$15,CU$13)))</f>
        <v>1000000000000</v>
      </c>
      <c r="CV168" s="172" cm="1">
        <f t="array" aca="1" ref="CV168" ca="1">IF(OR($D168&lt;&gt;"Serviço",AND(AUTOEVENTO="Manual",$M168=$A$15),$M168&gt;(ROW(PLE.lastrow)-ROW(PLE.firstrow))),0,
           IF(OFFSET(PLE!$G$15,$M168-$A$15,CV$13)="",10^12,OFFSET(PLE!$G$15,$M168-$A$15,CV$13)))</f>
        <v>1000000000000</v>
      </c>
      <c r="CW168" s="172" cm="1">
        <f t="array" aca="1" ref="CW168" ca="1">IF(OR($D168&lt;&gt;"Serviço",AND(AUTOEVENTO="Manual",$M168=$A$15),$M168&gt;(ROW(PLE.lastrow)-ROW(PLE.firstrow))),0,
           IF(OFFSET(PLE!$G$15,$M168-$A$15,CW$13)="",10^12,OFFSET(PLE!$G$15,$M168-$A$15,CW$13)))</f>
        <v>1000000000000</v>
      </c>
      <c r="CX168" s="172" cm="1">
        <f t="array" aca="1" ref="CX168" ca="1">IF(OR($D168&lt;&gt;"Serviço",AND(AUTOEVENTO="Manual",$M168=$A$15),$M168&gt;(ROW(PLE.lastrow)-ROW(PLE.firstrow))),0,
           IF(OFFSET(PLE!$G$15,$M168-$A$15,CX$13)="",10^12,OFFSET(PLE!$G$15,$M168-$A$15,CX$13)))</f>
        <v>1000000000000</v>
      </c>
      <c r="CY168" s="172" cm="1">
        <f t="array" aca="1" ref="CY168" ca="1">IF(OR($D168&lt;&gt;"Serviço",AND(AUTOEVENTO="Manual",$M168=$A$15),$M168&gt;(ROW(PLE.lastrow)-ROW(PLE.firstrow))),0,
           IF(OFFSET(PLE!$G$15,$M168-$A$15,CY$13)="",10^12,OFFSET(PLE!$G$15,$M168-$A$15,CY$13)))</f>
        <v>1000000000000</v>
      </c>
      <c r="CZ168" s="172" cm="1">
        <f t="array" aca="1" ref="CZ168" ca="1">IF(OR($D168&lt;&gt;"Serviço",AND(AUTOEVENTO="Manual",$M168=$A$15),$M168&gt;(ROW(PLE.lastrow)-ROW(PLE.firstrow))),0,
           IF(OFFSET(PLE!$G$15,$M168-$A$15,CZ$13)="",10^12,OFFSET(PLE!$G$15,$M168-$A$15,CZ$13)))</f>
        <v>1000000000000</v>
      </c>
      <c r="DA168" s="172" cm="1">
        <f t="array" aca="1" ref="DA168" ca="1">IF(OR($D168&lt;&gt;"Serviço",AND(AUTOEVENTO="Manual",$M168=$A$15),$M168&gt;(ROW(PLE.lastrow)-ROW(PLE.firstrow))),0,
           IF(OFFSET(PLE!$G$15,$M168-$A$15,DA$13)="",10^12,OFFSET(PLE!$G$15,$M168-$A$15,DA$13)))</f>
        <v>1000000000000</v>
      </c>
      <c r="DB168" s="172" cm="1">
        <f t="array" aca="1" ref="DB168" ca="1">IF(OR($D168&lt;&gt;"Serviço",AND(AUTOEVENTO="Manual",$M168=$A$15),$M168&gt;(ROW(PLE.lastrow)-ROW(PLE.firstrow))),0,
           IF(OFFSET(PLE!$G$15,$M168-$A$15,DB$13)="",10^12,OFFSET(PLE!$G$15,$M168-$A$15,DB$13)))</f>
        <v>1000000000000</v>
      </c>
      <c r="DC168" s="172" cm="1">
        <f t="array" aca="1" ref="DC168" ca="1">IF(OR($D168&lt;&gt;"Serviço",AND(AUTOEVENTO="Manual",$M168=$A$15),$M168&gt;(ROW(PLE.lastrow)-ROW(PLE.firstrow))),0,
           IF(OFFSET(PLE!$G$15,$M168-$A$15,DC$13)="",10^12,OFFSET(PLE!$G$15,$M168-$A$15,DC$13)))</f>
        <v>1000000000000</v>
      </c>
      <c r="DD168" s="172" cm="1">
        <f t="array" aca="1" ref="DD168" ca="1">IF(OR($D168&lt;&gt;"Serviço",AND(AUTOEVENTO="Manual",$M168=$A$15),$M168&gt;(ROW(PLE.lastrow)-ROW(PLE.firstrow))),0,
           IF(OFFSET(PLE!$G$15,$M168-$A$15,DD$13)="",10^12,OFFSET(PLE!$G$15,$M168-$A$15,DD$13)))</f>
        <v>1000000000000</v>
      </c>
      <c r="DE168" s="172" cm="1">
        <f t="array" aca="1" ref="DE168" ca="1">IF(OR($D168&lt;&gt;"Serviço",AND(AUTOEVENTO="Manual",$M168=$A$15),$M168&gt;(ROW(PLE.lastrow)-ROW(PLE.firstrow))),0,
           IF(OFFSET(PLE!$G$15,$M168-$A$15,DE$13)="",10^12,OFFSET(PLE!$G$15,$M168-$A$15,DE$13)))</f>
        <v>1000000000000</v>
      </c>
      <c r="DF168" s="172" cm="1">
        <f t="array" aca="1" ref="DF168" ca="1">IF(OR($D168&lt;&gt;"Serviço",AND(AUTOEVENTO="Manual",$M168=$A$15),$M168&gt;(ROW(PLE.lastrow)-ROW(PLE.firstrow))),0,
           IF(OFFSET(PLE!$G$15,$M168-$A$15,DF$13)="",10^12,OFFSET(PLE!$G$15,$M168-$A$15,DF$13)))</f>
        <v>1000000000000</v>
      </c>
      <c r="DG168" s="172" cm="1">
        <f t="array" aca="1" ref="DG168" ca="1">IF(OR($D168&lt;&gt;"Serviço",AND(AUTOEVENTO="Manual",$M168=$A$15),$M168&gt;(ROW(PLE.lastrow)-ROW(PLE.firstrow))),0,
           IF(OFFSET(PLE!$G$15,$M168-$A$15,DG$13)="",10^12,OFFSET(PLE!$G$15,$M168-$A$15,DG$13)))</f>
        <v>1000000000000</v>
      </c>
      <c r="DH168" s="172" cm="1">
        <f t="array" aca="1" ref="DH168" ca="1">IF(OR($D168&lt;&gt;"Serviço",AND(AUTOEVENTO="Manual",$M168=$A$15),$M168&gt;(ROW(PLE.lastrow)-ROW(PLE.firstrow))),0,
           IF(OFFSET(PLE!$G$15,$M168-$A$15,DH$13)="",10^12,OFFSET(PLE!$G$15,$M168-$A$15,DH$13)))</f>
        <v>1000000000000</v>
      </c>
      <c r="DI168" s="172" cm="1">
        <f t="array" aca="1" ref="DI168" ca="1">IF(OR($D168&lt;&gt;"Serviço",AND(AUTOEVENTO="Manual",$M168=$A$15),$M168&gt;(ROW(PLE.lastrow)-ROW(PLE.firstrow))),0,
           IF(OFFSET(PLE!$G$15,$M168-$A$15,DI$13)="",10^12,OFFSET(PLE!$G$15,$M168-$A$15,DI$13)))</f>
        <v>1000000000000</v>
      </c>
      <c r="DJ168" s="172" cm="1">
        <f t="array" aca="1" ref="DJ168" ca="1">IF(OR($D168&lt;&gt;"Serviço",AND(AUTOEVENTO="Manual",$M168=$A$15),$M168&gt;(ROW(PLE.lastrow)-ROW(PLE.firstrow))),0,
           IF(OFFSET(PLE!$G$15,$M168-$A$15,DJ$13)="",10^12,OFFSET(PLE!$G$15,$M168-$A$15,DJ$13)))</f>
        <v>1000000000000</v>
      </c>
      <c r="DK168" s="172" cm="1">
        <f t="array" aca="1" ref="DK168" ca="1">IF(OR($D168&lt;&gt;"Serviço",AND(AUTOEVENTO="Manual",$M168=$A$15),$M168&gt;(ROW(PLE.lastrow)-ROW(PLE.firstrow))),0,
           IF(OFFSET(PLE!$G$15,$M168-$A$15,DK$13)="",10^12,OFFSET(PLE!$G$15,$M168-$A$15,DK$13)))</f>
        <v>1000000000000</v>
      </c>
      <c r="DL168" s="172" cm="1">
        <f t="array" aca="1" ref="DL168" ca="1">IF(OR($D168&lt;&gt;"Serviço",AND(AUTOEVENTO="Manual",$M168=$A$15),$M168&gt;(ROW(PLE.lastrow)-ROW(PLE.firstrow))),0,
           IF(OFFSET(PLE!$G$15,$M168-$A$15,DL$13)="",10^12,OFFSET(PLE!$G$15,$M168-$A$15,DL$13)))</f>
        <v>1000000000000</v>
      </c>
      <c r="DM168" s="172" cm="1">
        <f t="array" aca="1" ref="DM168" ca="1">IF(OR($D168&lt;&gt;"Serviço",AND(AUTOEVENTO="Manual",$M168=$A$15),$M168&gt;(ROW(PLE.lastrow)-ROW(PLE.firstrow))),0,
           IF(OFFSET(PLE!$G$15,$M168-$A$15,DM$13)="",10^12,OFFSET(PLE!$G$15,$M168-$A$15,DM$13)))</f>
        <v>1000000000000</v>
      </c>
      <c r="DN168" s="172" cm="1">
        <f t="array" aca="1" ref="DN168" ca="1">IF(OR($D168&lt;&gt;"Serviço",AND(AUTOEVENTO="Manual",$M168=$A$15),$M168&gt;(ROW(PLE.lastrow)-ROW(PLE.firstrow))),0,
           IF(OFFSET(PLE!$G$15,$M168-$A$15,DN$13)="",10^12,OFFSET(PLE!$G$15,$M168-$A$15,DN$13)))</f>
        <v>1000000000000</v>
      </c>
      <c r="DO168" s="172" cm="1">
        <f t="array" aca="1" ref="DO168" ca="1">IF(OR($D168&lt;&gt;"Serviço",AND(AUTOEVENTO="Manual",$M168=$A$15),$M168&gt;(ROW(PLE.lastrow)-ROW(PLE.firstrow))),0,
           IF(OFFSET(PLE!$G$15,$M168-$A$15,DO$13)="",10^12,OFFSET(PLE!$G$15,$M168-$A$15,DO$13)))</f>
        <v>1000000000000</v>
      </c>
      <c r="DP168" s="172" cm="1">
        <f t="array" aca="1" ref="DP168" ca="1">IF(OR($D168&lt;&gt;"Serviço",AND(AUTOEVENTO="Manual",$M168=$A$15),$M168&gt;(ROW(PLE.lastrow)-ROW(PLE.firstrow))),0,
           IF(OFFSET(PLE!$G$15,$M168-$A$15,DP$13)="",10^12,OFFSET(PLE!$G$15,$M168-$A$15,DP$13)))</f>
        <v>1000000000000</v>
      </c>
      <c r="DQ168" s="172" cm="1">
        <f t="array" aca="1" ref="DQ168" ca="1">IF(OR($D168&lt;&gt;"Serviço",AND(AUTOEVENTO="Manual",$M168=$A$15),$M168&gt;(ROW(PLE.lastrow)-ROW(PLE.firstrow))),0,
           IF(OFFSET(PLE!$G$15,$M168-$A$15,DQ$13)="",10^12,OFFSET(PLE!$G$15,$M168-$A$15,DQ$13)))</f>
        <v>1000000000000</v>
      </c>
      <c r="DR168" s="172" cm="1">
        <f t="array" aca="1" ref="DR168" ca="1">IF(OR($D168&lt;&gt;"Serviço",AND(AUTOEVENTO="Manual",$M168=$A$15),$M168&gt;(ROW(PLE.lastrow)-ROW(PLE.firstrow))),0,
           IF(OFFSET(PLE!$G$15,$M168-$A$15,DR$13)="",10^12,OFFSET(PLE!$G$15,$M168-$A$15,DR$13)))</f>
        <v>1000000000000</v>
      </c>
      <c r="DS168" s="172" cm="1">
        <f t="array" aca="1" ref="DS168" ca="1">IF(OR($D168&lt;&gt;"Serviço",AND(AUTOEVENTO="Manual",$M168=$A$15),$M168&gt;(ROW(PLE.lastrow)-ROW(PLE.firstrow))),0,
           IF(OFFSET(PLE!$G$15,$M168-$A$15,DS$13)="",10^12,OFFSET(PLE!$G$15,$M168-$A$15,DS$13)))</f>
        <v>1000000000000</v>
      </c>
    </row>
    <row r="169" spans="1:123" ht="38.25" x14ac:dyDescent="0.2">
      <c r="A169" s="7">
        <f t="shared" ca="1" si="16"/>
        <v>9</v>
      </c>
      <c r="B169" s="7" t="str">
        <f ca="1">OFFSET(ORÇAMENTO!C$15,$L169,0)</f>
        <v>S</v>
      </c>
      <c r="C169" s="7" t="str">
        <f ca="1">OFFSET(ORÇAMENTO!L$15,$L169,0)</f>
        <v/>
      </c>
      <c r="D169" s="116" t="str">
        <f ca="1">OFFSET(ORÇAMENTO!N$15,$L169,0)</f>
        <v>Serviço</v>
      </c>
      <c r="E169" s="117" t="str">
        <f ca="1">OFFSET(ORÇAMENTO!O$15,$L169,0)</f>
        <v>-</v>
      </c>
      <c r="F169" s="163" t="str">
        <f ca="1">OFFSET(ORÇAMENTO!R$15,$L169,0)</f>
        <v>(Código não identificado nas referências)</v>
      </c>
      <c r="G169" s="164" t="str">
        <f ca="1">IF($D169&lt;&gt;"Serviço","",OFFSET(ORÇAMENTO!S$15,$L169,0))</f>
        <v>-</v>
      </c>
      <c r="H169" s="122" cm="1">
        <f t="array" aca="1" ref="H169" ca="1">IF($D169&lt;&gt;"Serviço",0,IF(ACOMPANHAMENTO="BM",ROUND(OFFSET(ORÇAMENTO!AJ$15,$L169,0),15-13*ORÇAMENTO!$AF$7),IF(IFERROR(CÁLCULO.FrentesPreenchidas,0)=0,0,SUM(ROUND(OFFSET($P169,0,1,1,CÁLCULO.FrentesPreenchidas),15-13*ORÇAMENTO!$AF$7)))))</f>
        <v>160</v>
      </c>
      <c r="I169" s="468" t="s">
        <v>1235</v>
      </c>
      <c r="J169" s="651" t="str" cm="1">
        <f t="array" aca="1" ref="J169" ca="1">IF(OR(B169&lt;&gt;"S",CÁLCULO.FrentesPreenchidas=0),"",IF(AND(ACOMPANHAMENTO="PLE",AUTOEVENTO="Manual",OR(H169&gt;0,ORÇAMENTO!AC169="QUANT."),OR(K169="",M169=0,N169="")),"►E",IF(AND(ACOMPANHAMENTO="PLE",ORÇAMENTO!AC169="QUANT."),"►Q",IF(AND(ACOMPANHAMENTO="PLE",H169&lt;&gt;SUMPRODUCT(($Q$1:$AQ$1=1)*ROUND(Q169:AQ169,15))),"►S",IF(AND(COUNTIF($P$11:$AQ$11,"▼")=0,H169&gt;0,I169=""),"◄M","")))))</f>
        <v/>
      </c>
      <c r="K169" s="652" t="s">
        <v>1257</v>
      </c>
      <c r="L169" s="165">
        <f t="shared" ca="1" si="17"/>
        <v>154</v>
      </c>
      <c r="M169" s="166">
        <f ca="1">IF($D169&lt;&gt;"Serviço","",
          IF(AUTOEVENTO="manual",$A169,
                IF(ISERROR(MATCH($A169,$A$15:OFFSET($A169,-1,0),0)),MAX($M$15:OFFSET(M169,-1,0))+1,
                      INDEX($M$15:OFFSET(M169,-1,0),MATCH($A169,$A$15:OFFSET($A169,-1,0),0)))))</f>
        <v>9</v>
      </c>
      <c r="N169" s="167" t="str">
        <f ca="1">IF($D169&lt;&gt;"Serviço","",
         IF(AUTOEVENTO="Manual",
                IF($A169=0,"&lt;-- defina o número do agrupador",
                       OFFSET(EVENTOS!$D$15,$A169-$A$15,0)),
                OFFSET($F$15,$A169,0)))</f>
        <v>INSTALAÇÕES</v>
      </c>
      <c r="O169" s="168"/>
      <c r="Q169" s="168">
        <v>8</v>
      </c>
      <c r="R169" s="169">
        <v>8</v>
      </c>
      <c r="S169" s="169">
        <v>8</v>
      </c>
      <c r="T169" s="169">
        <v>8</v>
      </c>
      <c r="U169" s="169">
        <v>8</v>
      </c>
      <c r="V169" s="169">
        <v>8</v>
      </c>
      <c r="W169" s="169">
        <v>8</v>
      </c>
      <c r="X169" s="169">
        <v>8</v>
      </c>
      <c r="Y169" s="169">
        <v>8</v>
      </c>
      <c r="Z169" s="170">
        <v>8</v>
      </c>
      <c r="AA169" s="169">
        <v>8</v>
      </c>
      <c r="AB169" s="169">
        <v>8</v>
      </c>
      <c r="AC169" s="169">
        <v>8</v>
      </c>
      <c r="AD169" s="169">
        <v>8</v>
      </c>
      <c r="AE169" s="169">
        <v>8</v>
      </c>
      <c r="AF169" s="169">
        <v>8</v>
      </c>
      <c r="AG169" s="169">
        <v>8</v>
      </c>
      <c r="AH169" s="170">
        <v>8</v>
      </c>
      <c r="AI169" s="169">
        <v>8</v>
      </c>
      <c r="AJ169" s="169">
        <v>8</v>
      </c>
      <c r="AK169" s="169"/>
      <c r="AL169" s="169"/>
      <c r="AM169" s="169"/>
      <c r="AN169" s="169"/>
      <c r="AO169" s="169"/>
      <c r="AP169" s="170"/>
      <c r="AR169" s="453">
        <f ca="1">IF(AND($D169="Serviço",AR$12&lt;&gt;0,$H169&gt;0,OR(AUTOEVENTO&lt;&gt;"manual",$M169&lt;&gt;$A$15)),
        IF(Import.TipoArredondamento&lt;&gt;"TransfereGOV",
              ROUND(OFFSET($P169,0,AR$13),15-13*ORÇAMENTO!$AF$7)/$H169*OFFSET(ORÇAMENTO!$X$15,ROW(AR169)-ROW(AR$15),0),
              ROUND(ROUND(OFFSET($P169,0,AR$13),15-13*ORÇAMENTO!$AF$7)*OFFSET(ORÇAMENTO!$W$15,ROW(AR169)-ROW(AR$15),0),15-13*ORÇAMENTO!$AF$11)),
         0)</f>
        <v>0</v>
      </c>
      <c r="AS169" s="453">
        <f ca="1">IF(AND($D169="Serviço",AS$12&lt;&gt;0,$H169&gt;0,OR(AUTOEVENTO&lt;&gt;"manual",$M169&lt;&gt;$A$15)),
        IF(Import.TipoArredondamento&lt;&gt;"TransfereGOV",
              ROUND(OFFSET($P169,0,AS$13),15-13*ORÇAMENTO!$AF$7)/$H169*OFFSET(ORÇAMENTO!$X$15,ROW(AS169)-ROW(AS$15),0),
              ROUND(ROUND(OFFSET($P169,0,AS$13),15-13*ORÇAMENTO!$AF$7)*OFFSET(ORÇAMENTO!$W$15,ROW(AS169)-ROW(AS$15),0),15-13*ORÇAMENTO!$AF$11)),
         0)</f>
        <v>0</v>
      </c>
      <c r="AT169" s="453">
        <f ca="1">IF(AND($D169="Serviço",AT$12&lt;&gt;0,$H169&gt;0,OR(AUTOEVENTO&lt;&gt;"manual",$M169&lt;&gt;$A$15)),
        IF(Import.TipoArredondamento&lt;&gt;"TransfereGOV",
              ROUND(OFFSET($P169,0,AT$13),15-13*ORÇAMENTO!$AF$7)/$H169*OFFSET(ORÇAMENTO!$X$15,ROW(AT169)-ROW(AT$15),0),
              ROUND(ROUND(OFFSET($P169,0,AT$13),15-13*ORÇAMENTO!$AF$7)*OFFSET(ORÇAMENTO!$W$15,ROW(AT169)-ROW(AT$15),0),15-13*ORÇAMENTO!$AF$11)),
         0)</f>
        <v>0</v>
      </c>
      <c r="AU169" s="453">
        <f ca="1">IF(AND($D169="Serviço",AU$12&lt;&gt;0,$H169&gt;0,OR(AUTOEVENTO&lt;&gt;"manual",$M169&lt;&gt;$A$15)),
        IF(Import.TipoArredondamento&lt;&gt;"TransfereGOV",
              ROUND(OFFSET($P169,0,AU$13),15-13*ORÇAMENTO!$AF$7)/$H169*OFFSET(ORÇAMENTO!$X$15,ROW(AU169)-ROW(AU$15),0),
              ROUND(ROUND(OFFSET($P169,0,AU$13),15-13*ORÇAMENTO!$AF$7)*OFFSET(ORÇAMENTO!$W$15,ROW(AU169)-ROW(AU$15),0),15-13*ORÇAMENTO!$AF$11)),
         0)</f>
        <v>0</v>
      </c>
      <c r="AV169" s="453">
        <f ca="1">IF(AND($D169="Serviço",AV$12&lt;&gt;0,$H169&gt;0,OR(AUTOEVENTO&lt;&gt;"manual",$M169&lt;&gt;$A$15)),
        IF(Import.TipoArredondamento&lt;&gt;"TransfereGOV",
              ROUND(OFFSET($P169,0,AV$13),15-13*ORÇAMENTO!$AF$7)/$H169*OFFSET(ORÇAMENTO!$X$15,ROW(AV169)-ROW(AV$15),0),
              ROUND(ROUND(OFFSET($P169,0,AV$13),15-13*ORÇAMENTO!$AF$7)*OFFSET(ORÇAMENTO!$W$15,ROW(AV169)-ROW(AV$15),0),15-13*ORÇAMENTO!$AF$11)),
         0)</f>
        <v>0</v>
      </c>
      <c r="AW169" s="453">
        <f ca="1">IF(AND($D169="Serviço",AW$12&lt;&gt;0,$H169&gt;0,OR(AUTOEVENTO&lt;&gt;"manual",$M169&lt;&gt;$A$15)),
        IF(Import.TipoArredondamento&lt;&gt;"TransfereGOV",
              ROUND(OFFSET($P169,0,AW$13),15-13*ORÇAMENTO!$AF$7)/$H169*OFFSET(ORÇAMENTO!$X$15,ROW(AW169)-ROW(AW$15),0),
              ROUND(ROUND(OFFSET($P169,0,AW$13),15-13*ORÇAMENTO!$AF$7)*OFFSET(ORÇAMENTO!$W$15,ROW(AW169)-ROW(AW$15),0),15-13*ORÇAMENTO!$AF$11)),
         0)</f>
        <v>0</v>
      </c>
      <c r="AX169" s="453">
        <f ca="1">IF(AND($D169="Serviço",AX$12&lt;&gt;0,$H169&gt;0,OR(AUTOEVENTO&lt;&gt;"manual",$M169&lt;&gt;$A$15)),
        IF(Import.TipoArredondamento&lt;&gt;"TransfereGOV",
              ROUND(OFFSET($P169,0,AX$13),15-13*ORÇAMENTO!$AF$7)/$H169*OFFSET(ORÇAMENTO!$X$15,ROW(AX169)-ROW(AX$15),0),
              ROUND(ROUND(OFFSET($P169,0,AX$13),15-13*ORÇAMENTO!$AF$7)*OFFSET(ORÇAMENTO!$W$15,ROW(AX169)-ROW(AX$15),0),15-13*ORÇAMENTO!$AF$11)),
         0)</f>
        <v>0</v>
      </c>
      <c r="AY169" s="453">
        <f ca="1">IF(AND($D169="Serviço",AY$12&lt;&gt;0,$H169&gt;0,OR(AUTOEVENTO&lt;&gt;"manual",$M169&lt;&gt;$A$15)),
        IF(Import.TipoArredondamento&lt;&gt;"TransfereGOV",
              ROUND(OFFSET($P169,0,AY$13),15-13*ORÇAMENTO!$AF$7)/$H169*OFFSET(ORÇAMENTO!$X$15,ROW(AY169)-ROW(AY$15),0),
              ROUND(ROUND(OFFSET($P169,0,AY$13),15-13*ORÇAMENTO!$AF$7)*OFFSET(ORÇAMENTO!$W$15,ROW(AY169)-ROW(AY$15),0),15-13*ORÇAMENTO!$AF$11)),
         0)</f>
        <v>0</v>
      </c>
      <c r="AZ169" s="453">
        <f ca="1">IF(AND($D169="Serviço",AZ$12&lt;&gt;0,$H169&gt;0,OR(AUTOEVENTO&lt;&gt;"manual",$M169&lt;&gt;$A$15)),
        IF(Import.TipoArredondamento&lt;&gt;"TransfereGOV",
              ROUND(OFFSET($P169,0,AZ$13),15-13*ORÇAMENTO!$AF$7)/$H169*OFFSET(ORÇAMENTO!$X$15,ROW(AZ169)-ROW(AZ$15),0),
              ROUND(ROUND(OFFSET($P169,0,AZ$13),15-13*ORÇAMENTO!$AF$7)*OFFSET(ORÇAMENTO!$W$15,ROW(AZ169)-ROW(AZ$15),0),15-13*ORÇAMENTO!$AF$11)),
         0)</f>
        <v>0</v>
      </c>
      <c r="BA169" s="453">
        <f ca="1">IF(AND($D169="Serviço",BA$12&lt;&gt;0,$H169&gt;0,OR(AUTOEVENTO&lt;&gt;"manual",$M169&lt;&gt;$A$15)),
        IF(Import.TipoArredondamento&lt;&gt;"TransfereGOV",
              ROUND(OFFSET($P169,0,BA$13),15-13*ORÇAMENTO!$AF$7)/$H169*OFFSET(ORÇAMENTO!$X$15,ROW(BA169)-ROW(BA$15),0),
              ROUND(ROUND(OFFSET($P169,0,BA$13),15-13*ORÇAMENTO!$AF$7)*OFFSET(ORÇAMENTO!$W$15,ROW(BA169)-ROW(BA$15),0),15-13*ORÇAMENTO!$AF$11)),
         0)</f>
        <v>0</v>
      </c>
      <c r="BB169" s="453">
        <f ca="1">IF(AND($D169="Serviço",BB$12&lt;&gt;0,$H169&gt;0,OR(AUTOEVENTO&lt;&gt;"manual",$M169&lt;&gt;$A$15)),
        IF(Import.TipoArredondamento&lt;&gt;"TransfereGOV",
              ROUND(OFFSET($P169,0,BB$13),15-13*ORÇAMENTO!$AF$7)/$H169*OFFSET(ORÇAMENTO!$X$15,ROW(BB169)-ROW(BB$15),0),
              ROUND(ROUND(OFFSET($P169,0,BB$13),15-13*ORÇAMENTO!$AF$7)*OFFSET(ORÇAMENTO!$W$15,ROW(BB169)-ROW(BB$15),0),15-13*ORÇAMENTO!$AF$11)),
         0)</f>
        <v>0</v>
      </c>
      <c r="BC169" s="453">
        <f ca="1">IF(AND($D169="Serviço",BC$12&lt;&gt;0,$H169&gt;0,OR(AUTOEVENTO&lt;&gt;"manual",$M169&lt;&gt;$A$15)),
        IF(Import.TipoArredondamento&lt;&gt;"TransfereGOV",
              ROUND(OFFSET($P169,0,BC$13),15-13*ORÇAMENTO!$AF$7)/$H169*OFFSET(ORÇAMENTO!$X$15,ROW(BC169)-ROW(BC$15),0),
              ROUND(ROUND(OFFSET($P169,0,BC$13),15-13*ORÇAMENTO!$AF$7)*OFFSET(ORÇAMENTO!$W$15,ROW(BC169)-ROW(BC$15),0),15-13*ORÇAMENTO!$AF$11)),
         0)</f>
        <v>0</v>
      </c>
      <c r="BD169" s="453">
        <f ca="1">IF(AND($D169="Serviço",BD$12&lt;&gt;0,$H169&gt;0,OR(AUTOEVENTO&lt;&gt;"manual",$M169&lt;&gt;$A$15)),
        IF(Import.TipoArredondamento&lt;&gt;"TransfereGOV",
              ROUND(OFFSET($P169,0,BD$13),15-13*ORÇAMENTO!$AF$7)/$H169*OFFSET(ORÇAMENTO!$X$15,ROW(BD169)-ROW(BD$15),0),
              ROUND(ROUND(OFFSET($P169,0,BD$13),15-13*ORÇAMENTO!$AF$7)*OFFSET(ORÇAMENTO!$W$15,ROW(BD169)-ROW(BD$15),0),15-13*ORÇAMENTO!$AF$11)),
         0)</f>
        <v>0</v>
      </c>
      <c r="BE169" s="453">
        <f ca="1">IF(AND($D169="Serviço",BE$12&lt;&gt;0,$H169&gt;0,OR(AUTOEVENTO&lt;&gt;"manual",$M169&lt;&gt;$A$15)),
        IF(Import.TipoArredondamento&lt;&gt;"TransfereGOV",
              ROUND(OFFSET($P169,0,BE$13),15-13*ORÇAMENTO!$AF$7)/$H169*OFFSET(ORÇAMENTO!$X$15,ROW(BE169)-ROW(BE$15),0),
              ROUND(ROUND(OFFSET($P169,0,BE$13),15-13*ORÇAMENTO!$AF$7)*OFFSET(ORÇAMENTO!$W$15,ROW(BE169)-ROW(BE$15),0),15-13*ORÇAMENTO!$AF$11)),
         0)</f>
        <v>0</v>
      </c>
      <c r="BF169" s="453">
        <f ca="1">IF(AND($D169="Serviço",BF$12&lt;&gt;0,$H169&gt;0,OR(AUTOEVENTO&lt;&gt;"manual",$M169&lt;&gt;$A$15)),
        IF(Import.TipoArredondamento&lt;&gt;"TransfereGOV",
              ROUND(OFFSET($P169,0,BF$13),15-13*ORÇAMENTO!$AF$7)/$H169*OFFSET(ORÇAMENTO!$X$15,ROW(BF169)-ROW(BF$15),0),
              ROUND(ROUND(OFFSET($P169,0,BF$13),15-13*ORÇAMENTO!$AF$7)*OFFSET(ORÇAMENTO!$W$15,ROW(BF169)-ROW(BF$15),0),15-13*ORÇAMENTO!$AF$11)),
         0)</f>
        <v>0</v>
      </c>
      <c r="BG169" s="453">
        <f ca="1">IF(AND($D169="Serviço",BG$12&lt;&gt;0,$H169&gt;0,OR(AUTOEVENTO&lt;&gt;"manual",$M169&lt;&gt;$A$15)),
        IF(Import.TipoArredondamento&lt;&gt;"TransfereGOV",
              ROUND(OFFSET($P169,0,BG$13),15-13*ORÇAMENTO!$AF$7)/$H169*OFFSET(ORÇAMENTO!$X$15,ROW(BG169)-ROW(BG$15),0),
              ROUND(ROUND(OFFSET($P169,0,BG$13),15-13*ORÇAMENTO!$AF$7)*OFFSET(ORÇAMENTO!$W$15,ROW(BG169)-ROW(BG$15),0),15-13*ORÇAMENTO!$AF$11)),
         0)</f>
        <v>0</v>
      </c>
      <c r="BH169" s="453">
        <f ca="1">IF(AND($D169="Serviço",BH$12&lt;&gt;0,$H169&gt;0,OR(AUTOEVENTO&lt;&gt;"manual",$M169&lt;&gt;$A$15)),
        IF(Import.TipoArredondamento&lt;&gt;"TransfereGOV",
              ROUND(OFFSET($P169,0,BH$13),15-13*ORÇAMENTO!$AF$7)/$H169*OFFSET(ORÇAMENTO!$X$15,ROW(BH169)-ROW(BH$15),0),
              ROUND(ROUND(OFFSET($P169,0,BH$13),15-13*ORÇAMENTO!$AF$7)*OFFSET(ORÇAMENTO!$W$15,ROW(BH169)-ROW(BH$15),0),15-13*ORÇAMENTO!$AF$11)),
         0)</f>
        <v>0</v>
      </c>
      <c r="BI169" s="453">
        <f ca="1">IF(AND($D169="Serviço",BI$12&lt;&gt;0,$H169&gt;0,OR(AUTOEVENTO&lt;&gt;"manual",$M169&lt;&gt;$A$15)),
        IF(Import.TipoArredondamento&lt;&gt;"TransfereGOV",
              ROUND(OFFSET($P169,0,BI$13),15-13*ORÇAMENTO!$AF$7)/$H169*OFFSET(ORÇAMENTO!$X$15,ROW(BI169)-ROW(BI$15),0),
              ROUND(ROUND(OFFSET($P169,0,BI$13),15-13*ORÇAMENTO!$AF$7)*OFFSET(ORÇAMENTO!$W$15,ROW(BI169)-ROW(BI$15),0),15-13*ORÇAMENTO!$AF$11)),
         0)</f>
        <v>0</v>
      </c>
      <c r="BJ169" s="453">
        <f ca="1">IF(AND($D169="Serviço",BJ$12&lt;&gt;0,$H169&gt;0,OR(AUTOEVENTO&lt;&gt;"manual",$M169&lt;&gt;$A$15)),
        IF(Import.TipoArredondamento&lt;&gt;"TransfereGOV",
              ROUND(OFFSET($P169,0,BJ$13),15-13*ORÇAMENTO!$AF$7)/$H169*OFFSET(ORÇAMENTO!$X$15,ROW(BJ169)-ROW(BJ$15),0),
              ROUND(ROUND(OFFSET($P169,0,BJ$13),15-13*ORÇAMENTO!$AF$7)*OFFSET(ORÇAMENTO!$W$15,ROW(BJ169)-ROW(BJ$15),0),15-13*ORÇAMENTO!$AF$11)),
         0)</f>
        <v>0</v>
      </c>
      <c r="BK169" s="453">
        <f ca="1">IF(AND($D169="Serviço",BK$12&lt;&gt;0,$H169&gt;0,OR(AUTOEVENTO&lt;&gt;"manual",$M169&lt;&gt;$A$15)),
        IF(Import.TipoArredondamento&lt;&gt;"TransfereGOV",
              ROUND(OFFSET($P169,0,BK$13),15-13*ORÇAMENTO!$AF$7)/$H169*OFFSET(ORÇAMENTO!$X$15,ROW(BK169)-ROW(BK$15),0),
              ROUND(ROUND(OFFSET($P169,0,BK$13),15-13*ORÇAMENTO!$AF$7)*OFFSET(ORÇAMENTO!$W$15,ROW(BK169)-ROW(BK$15),0),15-13*ORÇAMENTO!$AF$11)),
         0)</f>
        <v>0</v>
      </c>
      <c r="BL169" s="453">
        <f ca="1">IF(AND($D169="Serviço",BL$12&lt;&gt;0,$H169&gt;0,OR(AUTOEVENTO&lt;&gt;"manual",$M169&lt;&gt;$A$15)),
        IF(Import.TipoArredondamento&lt;&gt;"TransfereGOV",
              ROUND(OFFSET($P169,0,BL$13),15-13*ORÇAMENTO!$AF$7)/$H169*OFFSET(ORÇAMENTO!$X$15,ROW(BL169)-ROW(BL$15),0),
              ROUND(ROUND(OFFSET($P169,0,BL$13),15-13*ORÇAMENTO!$AF$7)*OFFSET(ORÇAMENTO!$W$15,ROW(BL169)-ROW(BL$15),0),15-13*ORÇAMENTO!$AF$11)),
         0)</f>
        <v>0</v>
      </c>
      <c r="BM169" s="453">
        <f ca="1">IF(AND($D169="Serviço",BM$12&lt;&gt;0,$H169&gt;0,OR(AUTOEVENTO&lt;&gt;"manual",$M169&lt;&gt;$A$15)),
        IF(Import.TipoArredondamento&lt;&gt;"TransfereGOV",
              ROUND(OFFSET($P169,0,BM$13),15-13*ORÇAMENTO!$AF$7)/$H169*OFFSET(ORÇAMENTO!$X$15,ROW(BM169)-ROW(BM$15),0),
              ROUND(ROUND(OFFSET($P169,0,BM$13),15-13*ORÇAMENTO!$AF$7)*OFFSET(ORÇAMENTO!$W$15,ROW(BM169)-ROW(BM$15),0),15-13*ORÇAMENTO!$AF$11)),
         0)</f>
        <v>0</v>
      </c>
      <c r="BN169" s="453">
        <f ca="1">IF(AND($D169="Serviço",BN$12&lt;&gt;0,$H169&gt;0,OR(AUTOEVENTO&lt;&gt;"manual",$M169&lt;&gt;$A$15)),
        IF(Import.TipoArredondamento&lt;&gt;"TransfereGOV",
              ROUND(OFFSET($P169,0,BN$13),15-13*ORÇAMENTO!$AF$7)/$H169*OFFSET(ORÇAMENTO!$X$15,ROW(BN169)-ROW(BN$15),0),
              ROUND(ROUND(OFFSET($P169,0,BN$13),15-13*ORÇAMENTO!$AF$7)*OFFSET(ORÇAMENTO!$W$15,ROW(BN169)-ROW(BN$15),0),15-13*ORÇAMENTO!$AF$11)),
         0)</f>
        <v>0</v>
      </c>
      <c r="BO169" s="453">
        <f ca="1">IF(AND($D169="Serviço",BO$12&lt;&gt;0,$H169&gt;0,OR(AUTOEVENTO&lt;&gt;"manual",$M169&lt;&gt;$A$15)),
        IF(Import.TipoArredondamento&lt;&gt;"TransfereGOV",
              ROUND(OFFSET($P169,0,BO$13),15-13*ORÇAMENTO!$AF$7)/$H169*OFFSET(ORÇAMENTO!$X$15,ROW(BO169)-ROW(BO$15),0),
              ROUND(ROUND(OFFSET($P169,0,BO$13),15-13*ORÇAMENTO!$AF$7)*OFFSET(ORÇAMENTO!$W$15,ROW(BO169)-ROW(BO$15),0),15-13*ORÇAMENTO!$AF$11)),
         0)</f>
        <v>0</v>
      </c>
      <c r="BP169" s="453">
        <f ca="1">IF(AND($D169="Serviço",BP$12&lt;&gt;0,$H169&gt;0,OR(AUTOEVENTO&lt;&gt;"manual",$M169&lt;&gt;$A$15)),
        IF(Import.TipoArredondamento&lt;&gt;"TransfereGOV",
              ROUND(OFFSET($P169,0,BP$13),15-13*ORÇAMENTO!$AF$7)/$H169*OFFSET(ORÇAMENTO!$X$15,ROW(BP169)-ROW(BP$15),0),
              ROUND(ROUND(OFFSET($P169,0,BP$13),15-13*ORÇAMENTO!$AF$7)*OFFSET(ORÇAMENTO!$W$15,ROW(BP169)-ROW(BP$15),0),15-13*ORÇAMENTO!$AF$11)),
         0)</f>
        <v>0</v>
      </c>
      <c r="BQ169" s="453">
        <f ca="1">IF(AND($D169="Serviço",BQ$12&lt;&gt;0,$H169&gt;0,OR(AUTOEVENTO&lt;&gt;"manual",$M169&lt;&gt;$A$15)),
        IF(Import.TipoArredondamento&lt;&gt;"TransfereGOV",
              ROUND(OFFSET($P169,0,BQ$13),15-13*ORÇAMENTO!$AF$7)/$H169*OFFSET(ORÇAMENTO!$X$15,ROW(BQ169)-ROW(BQ$15),0),
              ROUND(ROUND(OFFSET($P169,0,BQ$13),15-13*ORÇAMENTO!$AF$7)*OFFSET(ORÇAMENTO!$W$15,ROW(BQ169)-ROW(BQ$15),0),15-13*ORÇAMENTO!$AF$11)),
         0)</f>
        <v>0</v>
      </c>
      <c r="BS169" s="171">
        <f ca="1">IF(OR($D169&lt;&gt;"Serviço",AND(AUTOEVENTO="Manual",$M169=$A$15)),0,
         IF(OFFSET(CRONOPLE!$F$15,$M169-$A$15,BS$13)=0,10^12,OFFSET(CRONOPLE!$F$15,$M169-$A$15,BS$13)))</f>
        <v>1</v>
      </c>
      <c r="BT169" s="171">
        <f ca="1">IF(OR($D169&lt;&gt;"Serviço",AND(AUTOEVENTO="Manual",$M169=$A$15)),0,
         IF(OFFSET(CRONOPLE!$F$15,$M169-$A$15,BT$13)=0,10^12,OFFSET(CRONOPLE!$F$15,$M169-$A$15,BT$13)))</f>
        <v>2</v>
      </c>
      <c r="BU169" s="171">
        <f ca="1">IF(OR($D169&lt;&gt;"Serviço",AND(AUTOEVENTO="Manual",$M169=$A$15)),0,
         IF(OFFSET(CRONOPLE!$F$15,$M169-$A$15,BU$13)=0,10^12,OFFSET(CRONOPLE!$F$15,$M169-$A$15,BU$13)))</f>
        <v>3</v>
      </c>
      <c r="BV169" s="171">
        <f ca="1">IF(OR($D169&lt;&gt;"Serviço",AND(AUTOEVENTO="Manual",$M169=$A$15)),0,
         IF(OFFSET(CRONOPLE!$F$15,$M169-$A$15,BV$13)=0,10^12,OFFSET(CRONOPLE!$F$15,$M169-$A$15,BV$13)))</f>
        <v>4</v>
      </c>
      <c r="BW169" s="171">
        <f ca="1">IF(OR($D169&lt;&gt;"Serviço",AND(AUTOEVENTO="Manual",$M169=$A$15)),0,
         IF(OFFSET(CRONOPLE!$F$15,$M169-$A$15,BW$13)=0,10^12,OFFSET(CRONOPLE!$F$15,$M169-$A$15,BW$13)))</f>
        <v>5</v>
      </c>
      <c r="BX169" s="171">
        <f ca="1">IF(OR($D169&lt;&gt;"Serviço",AND(AUTOEVENTO="Manual",$M169=$A$15)),0,
         IF(OFFSET(CRONOPLE!$F$15,$M169-$A$15,BX$13)=0,10^12,OFFSET(CRONOPLE!$F$15,$M169-$A$15,BX$13)))</f>
        <v>6</v>
      </c>
      <c r="BY169" s="171">
        <f ca="1">IF(OR($D169&lt;&gt;"Serviço",AND(AUTOEVENTO="Manual",$M169=$A$15)),0,
         IF(OFFSET(CRONOPLE!$F$15,$M169-$A$15,BY$13)=0,10^12,OFFSET(CRONOPLE!$F$15,$M169-$A$15,BY$13)))</f>
        <v>7</v>
      </c>
      <c r="BZ169" s="171">
        <f ca="1">IF(OR($D169&lt;&gt;"Serviço",AND(AUTOEVENTO="Manual",$M169=$A$15)),0,
         IF(OFFSET(CRONOPLE!$F$15,$M169-$A$15,BZ$13)=0,10^12,OFFSET(CRONOPLE!$F$15,$M169-$A$15,BZ$13)))</f>
        <v>8</v>
      </c>
      <c r="CA169" s="171">
        <f ca="1">IF(OR($D169&lt;&gt;"Serviço",AND(AUTOEVENTO="Manual",$M169=$A$15)),0,
         IF(OFFSET(CRONOPLE!$F$15,$M169-$A$15,CA$13)=0,10^12,OFFSET(CRONOPLE!$F$15,$M169-$A$15,CA$13)))</f>
        <v>9</v>
      </c>
      <c r="CB169" s="171">
        <f ca="1">IF(OR($D169&lt;&gt;"Serviço",AND(AUTOEVENTO="Manual",$M169=$A$15)),0,
         IF(OFFSET(CRONOPLE!$F$15,$M169-$A$15,CB$13)=0,10^12,OFFSET(CRONOPLE!$F$15,$M169-$A$15,CB$13)))</f>
        <v>10</v>
      </c>
      <c r="CC169" s="171">
        <f ca="1">IF(OR($D169&lt;&gt;"Serviço",AND(AUTOEVENTO="Manual",$M169=$A$15)),0,
         IF(OFFSET(CRONOPLE!$F$15,$M169-$A$15,CC$13)=0,10^12,OFFSET(CRONOPLE!$F$15,$M169-$A$15,CC$13)))</f>
        <v>11</v>
      </c>
      <c r="CD169" s="171">
        <f ca="1">IF(OR($D169&lt;&gt;"Serviço",AND(AUTOEVENTO="Manual",$M169=$A$15)),0,
         IF(OFFSET(CRONOPLE!$F$15,$M169-$A$15,CD$13)=0,10^12,OFFSET(CRONOPLE!$F$15,$M169-$A$15,CD$13)))</f>
        <v>12</v>
      </c>
      <c r="CE169" s="171">
        <f ca="1">IF(OR($D169&lt;&gt;"Serviço",AND(AUTOEVENTO="Manual",$M169=$A$15)),0,
         IF(OFFSET(CRONOPLE!$F$15,$M169-$A$15,CE$13)=0,10^12,OFFSET(CRONOPLE!$F$15,$M169-$A$15,CE$13)))</f>
        <v>13</v>
      </c>
      <c r="CF169" s="171">
        <f ca="1">IF(OR($D169&lt;&gt;"Serviço",AND(AUTOEVENTO="Manual",$M169=$A$15)),0,
         IF(OFFSET(CRONOPLE!$F$15,$M169-$A$15,CF$13)=0,10^12,OFFSET(CRONOPLE!$F$15,$M169-$A$15,CF$13)))</f>
        <v>14</v>
      </c>
      <c r="CG169" s="171">
        <f ca="1">IF(OR($D169&lt;&gt;"Serviço",AND(AUTOEVENTO="Manual",$M169=$A$15)),0,
         IF(OFFSET(CRONOPLE!$F$15,$M169-$A$15,CG$13)=0,10^12,OFFSET(CRONOPLE!$F$15,$M169-$A$15,CG$13)))</f>
        <v>15</v>
      </c>
      <c r="CH169" s="171">
        <f ca="1">IF(OR($D169&lt;&gt;"Serviço",AND(AUTOEVENTO="Manual",$M169=$A$15)),0,
         IF(OFFSET(CRONOPLE!$F$15,$M169-$A$15,CH$13)=0,10^12,OFFSET(CRONOPLE!$F$15,$M169-$A$15,CH$13)))</f>
        <v>16</v>
      </c>
      <c r="CI169" s="171">
        <f ca="1">IF(OR($D169&lt;&gt;"Serviço",AND(AUTOEVENTO="Manual",$M169=$A$15)),0,
         IF(OFFSET(CRONOPLE!$F$15,$M169-$A$15,CI$13)=0,10^12,OFFSET(CRONOPLE!$F$15,$M169-$A$15,CI$13)))</f>
        <v>17</v>
      </c>
      <c r="CJ169" s="171">
        <f ca="1">IF(OR($D169&lt;&gt;"Serviço",AND(AUTOEVENTO="Manual",$M169=$A$15)),0,
         IF(OFFSET(CRONOPLE!$F$15,$M169-$A$15,CJ$13)=0,10^12,OFFSET(CRONOPLE!$F$15,$M169-$A$15,CJ$13)))</f>
        <v>18</v>
      </c>
      <c r="CK169" s="171">
        <f ca="1">IF(OR($D169&lt;&gt;"Serviço",AND(AUTOEVENTO="Manual",$M169=$A$15)),0,
         IF(OFFSET(CRONOPLE!$F$15,$M169-$A$15,CK$13)=0,10^12,OFFSET(CRONOPLE!$F$15,$M169-$A$15,CK$13)))</f>
        <v>19</v>
      </c>
      <c r="CL169" s="171">
        <f ca="1">IF(OR($D169&lt;&gt;"Serviço",AND(AUTOEVENTO="Manual",$M169=$A$15)),0,
         IF(OFFSET(CRONOPLE!$F$15,$M169-$A$15,CL$13)=0,10^12,OFFSET(CRONOPLE!$F$15,$M169-$A$15,CL$13)))</f>
        <v>20</v>
      </c>
      <c r="CM169" s="171">
        <f ca="1">IF(OR($D169&lt;&gt;"Serviço",AND(AUTOEVENTO="Manual",$M169=$A$15)),0,
         IF(OFFSET(CRONOPLE!$F$15,$M169-$A$15,CM$13)=0,10^12,OFFSET(CRONOPLE!$F$15,$M169-$A$15,CM$13)))</f>
        <v>1000000000000</v>
      </c>
      <c r="CN169" s="171">
        <f ca="1">IF(OR($D169&lt;&gt;"Serviço",AND(AUTOEVENTO="Manual",$M169=$A$15)),0,
         IF(OFFSET(CRONOPLE!$F$15,$M169-$A$15,CN$13)=0,10^12,OFFSET(CRONOPLE!$F$15,$M169-$A$15,CN$13)))</f>
        <v>1000000000000</v>
      </c>
      <c r="CO169" s="171">
        <f ca="1">IF(OR($D169&lt;&gt;"Serviço",AND(AUTOEVENTO="Manual",$M169=$A$15)),0,
         IF(OFFSET(CRONOPLE!$F$15,$M169-$A$15,CO$13)=0,10^12,OFFSET(CRONOPLE!$F$15,$M169-$A$15,CO$13)))</f>
        <v>1000000000000</v>
      </c>
      <c r="CP169" s="171">
        <f ca="1">IF(OR($D169&lt;&gt;"Serviço",AND(AUTOEVENTO="Manual",$M169=$A$15)),0,
         IF(OFFSET(CRONOPLE!$F$15,$M169-$A$15,CP$13)=0,10^12,OFFSET(CRONOPLE!$F$15,$M169-$A$15,CP$13)))</f>
        <v>1000000000000</v>
      </c>
      <c r="CQ169" s="171">
        <f ca="1">IF(OR($D169&lt;&gt;"Serviço",AND(AUTOEVENTO="Manual",$M169=$A$15)),0,
         IF(OFFSET(CRONOPLE!$F$15,$M169-$A$15,CQ$13)=0,10^12,OFFSET(CRONOPLE!$F$15,$M169-$A$15,CQ$13)))</f>
        <v>1000000000000</v>
      </c>
      <c r="CR169" s="171">
        <f ca="1">IF(OR($D169&lt;&gt;"Serviço",AND(AUTOEVENTO="Manual",$M169=$A$15)),0,
         IF(OFFSET(CRONOPLE!$F$15,$M169-$A$15,CR$13)=0,10^12,OFFSET(CRONOPLE!$F$15,$M169-$A$15,CR$13)))</f>
        <v>1000000000000</v>
      </c>
      <c r="CT169" s="172" cm="1">
        <f t="array" aca="1" ref="CT169" ca="1">IF(OR($D169&lt;&gt;"Serviço",AND(AUTOEVENTO="Manual",$M169=$A$15),$M169&gt;(ROW(PLE.lastrow)-ROW(PLE.firstrow))),0,
           IF(OFFSET(PLE!$G$15,$M169-$A$15,CT$13)="",10^12,OFFSET(PLE!$G$15,$M169-$A$15,CT$13)))</f>
        <v>1000000000000</v>
      </c>
      <c r="CU169" s="172" cm="1">
        <f t="array" aca="1" ref="CU169" ca="1">IF(OR($D169&lt;&gt;"Serviço",AND(AUTOEVENTO="Manual",$M169=$A$15),$M169&gt;(ROW(PLE.lastrow)-ROW(PLE.firstrow))),0,
           IF(OFFSET(PLE!$G$15,$M169-$A$15,CU$13)="",10^12,OFFSET(PLE!$G$15,$M169-$A$15,CU$13)))</f>
        <v>1000000000000</v>
      </c>
      <c r="CV169" s="172" cm="1">
        <f t="array" aca="1" ref="CV169" ca="1">IF(OR($D169&lt;&gt;"Serviço",AND(AUTOEVENTO="Manual",$M169=$A$15),$M169&gt;(ROW(PLE.lastrow)-ROW(PLE.firstrow))),0,
           IF(OFFSET(PLE!$G$15,$M169-$A$15,CV$13)="",10^12,OFFSET(PLE!$G$15,$M169-$A$15,CV$13)))</f>
        <v>1000000000000</v>
      </c>
      <c r="CW169" s="172" cm="1">
        <f t="array" aca="1" ref="CW169" ca="1">IF(OR($D169&lt;&gt;"Serviço",AND(AUTOEVENTO="Manual",$M169=$A$15),$M169&gt;(ROW(PLE.lastrow)-ROW(PLE.firstrow))),0,
           IF(OFFSET(PLE!$G$15,$M169-$A$15,CW$13)="",10^12,OFFSET(PLE!$G$15,$M169-$A$15,CW$13)))</f>
        <v>1000000000000</v>
      </c>
      <c r="CX169" s="172" cm="1">
        <f t="array" aca="1" ref="CX169" ca="1">IF(OR($D169&lt;&gt;"Serviço",AND(AUTOEVENTO="Manual",$M169=$A$15),$M169&gt;(ROW(PLE.lastrow)-ROW(PLE.firstrow))),0,
           IF(OFFSET(PLE!$G$15,$M169-$A$15,CX$13)="",10^12,OFFSET(PLE!$G$15,$M169-$A$15,CX$13)))</f>
        <v>1000000000000</v>
      </c>
      <c r="CY169" s="172" cm="1">
        <f t="array" aca="1" ref="CY169" ca="1">IF(OR($D169&lt;&gt;"Serviço",AND(AUTOEVENTO="Manual",$M169=$A$15),$M169&gt;(ROW(PLE.lastrow)-ROW(PLE.firstrow))),0,
           IF(OFFSET(PLE!$G$15,$M169-$A$15,CY$13)="",10^12,OFFSET(PLE!$G$15,$M169-$A$15,CY$13)))</f>
        <v>1000000000000</v>
      </c>
      <c r="CZ169" s="172" cm="1">
        <f t="array" aca="1" ref="CZ169" ca="1">IF(OR($D169&lt;&gt;"Serviço",AND(AUTOEVENTO="Manual",$M169=$A$15),$M169&gt;(ROW(PLE.lastrow)-ROW(PLE.firstrow))),0,
           IF(OFFSET(PLE!$G$15,$M169-$A$15,CZ$13)="",10^12,OFFSET(PLE!$G$15,$M169-$A$15,CZ$13)))</f>
        <v>1000000000000</v>
      </c>
      <c r="DA169" s="172" cm="1">
        <f t="array" aca="1" ref="DA169" ca="1">IF(OR($D169&lt;&gt;"Serviço",AND(AUTOEVENTO="Manual",$M169=$A$15),$M169&gt;(ROW(PLE.lastrow)-ROW(PLE.firstrow))),0,
           IF(OFFSET(PLE!$G$15,$M169-$A$15,DA$13)="",10^12,OFFSET(PLE!$G$15,$M169-$A$15,DA$13)))</f>
        <v>1000000000000</v>
      </c>
      <c r="DB169" s="172" cm="1">
        <f t="array" aca="1" ref="DB169" ca="1">IF(OR($D169&lt;&gt;"Serviço",AND(AUTOEVENTO="Manual",$M169=$A$15),$M169&gt;(ROW(PLE.lastrow)-ROW(PLE.firstrow))),0,
           IF(OFFSET(PLE!$G$15,$M169-$A$15,DB$13)="",10^12,OFFSET(PLE!$G$15,$M169-$A$15,DB$13)))</f>
        <v>1000000000000</v>
      </c>
      <c r="DC169" s="172" cm="1">
        <f t="array" aca="1" ref="DC169" ca="1">IF(OR($D169&lt;&gt;"Serviço",AND(AUTOEVENTO="Manual",$M169=$A$15),$M169&gt;(ROW(PLE.lastrow)-ROW(PLE.firstrow))),0,
           IF(OFFSET(PLE!$G$15,$M169-$A$15,DC$13)="",10^12,OFFSET(PLE!$G$15,$M169-$A$15,DC$13)))</f>
        <v>1000000000000</v>
      </c>
      <c r="DD169" s="172" cm="1">
        <f t="array" aca="1" ref="DD169" ca="1">IF(OR($D169&lt;&gt;"Serviço",AND(AUTOEVENTO="Manual",$M169=$A$15),$M169&gt;(ROW(PLE.lastrow)-ROW(PLE.firstrow))),0,
           IF(OFFSET(PLE!$G$15,$M169-$A$15,DD$13)="",10^12,OFFSET(PLE!$G$15,$M169-$A$15,DD$13)))</f>
        <v>1000000000000</v>
      </c>
      <c r="DE169" s="172" cm="1">
        <f t="array" aca="1" ref="DE169" ca="1">IF(OR($D169&lt;&gt;"Serviço",AND(AUTOEVENTO="Manual",$M169=$A$15),$M169&gt;(ROW(PLE.lastrow)-ROW(PLE.firstrow))),0,
           IF(OFFSET(PLE!$G$15,$M169-$A$15,DE$13)="",10^12,OFFSET(PLE!$G$15,$M169-$A$15,DE$13)))</f>
        <v>1000000000000</v>
      </c>
      <c r="DF169" s="172" cm="1">
        <f t="array" aca="1" ref="DF169" ca="1">IF(OR($D169&lt;&gt;"Serviço",AND(AUTOEVENTO="Manual",$M169=$A$15),$M169&gt;(ROW(PLE.lastrow)-ROW(PLE.firstrow))),0,
           IF(OFFSET(PLE!$G$15,$M169-$A$15,DF$13)="",10^12,OFFSET(PLE!$G$15,$M169-$A$15,DF$13)))</f>
        <v>1000000000000</v>
      </c>
      <c r="DG169" s="172" cm="1">
        <f t="array" aca="1" ref="DG169" ca="1">IF(OR($D169&lt;&gt;"Serviço",AND(AUTOEVENTO="Manual",$M169=$A$15),$M169&gt;(ROW(PLE.lastrow)-ROW(PLE.firstrow))),0,
           IF(OFFSET(PLE!$G$15,$M169-$A$15,DG$13)="",10^12,OFFSET(PLE!$G$15,$M169-$A$15,DG$13)))</f>
        <v>1000000000000</v>
      </c>
      <c r="DH169" s="172" cm="1">
        <f t="array" aca="1" ref="DH169" ca="1">IF(OR($D169&lt;&gt;"Serviço",AND(AUTOEVENTO="Manual",$M169=$A$15),$M169&gt;(ROW(PLE.lastrow)-ROW(PLE.firstrow))),0,
           IF(OFFSET(PLE!$G$15,$M169-$A$15,DH$13)="",10^12,OFFSET(PLE!$G$15,$M169-$A$15,DH$13)))</f>
        <v>1000000000000</v>
      </c>
      <c r="DI169" s="172" cm="1">
        <f t="array" aca="1" ref="DI169" ca="1">IF(OR($D169&lt;&gt;"Serviço",AND(AUTOEVENTO="Manual",$M169=$A$15),$M169&gt;(ROW(PLE.lastrow)-ROW(PLE.firstrow))),0,
           IF(OFFSET(PLE!$G$15,$M169-$A$15,DI$13)="",10^12,OFFSET(PLE!$G$15,$M169-$A$15,DI$13)))</f>
        <v>1000000000000</v>
      </c>
      <c r="DJ169" s="172" cm="1">
        <f t="array" aca="1" ref="DJ169" ca="1">IF(OR($D169&lt;&gt;"Serviço",AND(AUTOEVENTO="Manual",$M169=$A$15),$M169&gt;(ROW(PLE.lastrow)-ROW(PLE.firstrow))),0,
           IF(OFFSET(PLE!$G$15,$M169-$A$15,DJ$13)="",10^12,OFFSET(PLE!$G$15,$M169-$A$15,DJ$13)))</f>
        <v>1000000000000</v>
      </c>
      <c r="DK169" s="172" cm="1">
        <f t="array" aca="1" ref="DK169" ca="1">IF(OR($D169&lt;&gt;"Serviço",AND(AUTOEVENTO="Manual",$M169=$A$15),$M169&gt;(ROW(PLE.lastrow)-ROW(PLE.firstrow))),0,
           IF(OFFSET(PLE!$G$15,$M169-$A$15,DK$13)="",10^12,OFFSET(PLE!$G$15,$M169-$A$15,DK$13)))</f>
        <v>1000000000000</v>
      </c>
      <c r="DL169" s="172" cm="1">
        <f t="array" aca="1" ref="DL169" ca="1">IF(OR($D169&lt;&gt;"Serviço",AND(AUTOEVENTO="Manual",$M169=$A$15),$M169&gt;(ROW(PLE.lastrow)-ROW(PLE.firstrow))),0,
           IF(OFFSET(PLE!$G$15,$M169-$A$15,DL$13)="",10^12,OFFSET(PLE!$G$15,$M169-$A$15,DL$13)))</f>
        <v>1000000000000</v>
      </c>
      <c r="DM169" s="172" cm="1">
        <f t="array" aca="1" ref="DM169" ca="1">IF(OR($D169&lt;&gt;"Serviço",AND(AUTOEVENTO="Manual",$M169=$A$15),$M169&gt;(ROW(PLE.lastrow)-ROW(PLE.firstrow))),0,
           IF(OFFSET(PLE!$G$15,$M169-$A$15,DM$13)="",10^12,OFFSET(PLE!$G$15,$M169-$A$15,DM$13)))</f>
        <v>1000000000000</v>
      </c>
      <c r="DN169" s="172" cm="1">
        <f t="array" aca="1" ref="DN169" ca="1">IF(OR($D169&lt;&gt;"Serviço",AND(AUTOEVENTO="Manual",$M169=$A$15),$M169&gt;(ROW(PLE.lastrow)-ROW(PLE.firstrow))),0,
           IF(OFFSET(PLE!$G$15,$M169-$A$15,DN$13)="",10^12,OFFSET(PLE!$G$15,$M169-$A$15,DN$13)))</f>
        <v>1000000000000</v>
      </c>
      <c r="DO169" s="172" cm="1">
        <f t="array" aca="1" ref="DO169" ca="1">IF(OR($D169&lt;&gt;"Serviço",AND(AUTOEVENTO="Manual",$M169=$A$15),$M169&gt;(ROW(PLE.lastrow)-ROW(PLE.firstrow))),0,
           IF(OFFSET(PLE!$G$15,$M169-$A$15,DO$13)="",10^12,OFFSET(PLE!$G$15,$M169-$A$15,DO$13)))</f>
        <v>1000000000000</v>
      </c>
      <c r="DP169" s="172" cm="1">
        <f t="array" aca="1" ref="DP169" ca="1">IF(OR($D169&lt;&gt;"Serviço",AND(AUTOEVENTO="Manual",$M169=$A$15),$M169&gt;(ROW(PLE.lastrow)-ROW(PLE.firstrow))),0,
           IF(OFFSET(PLE!$G$15,$M169-$A$15,DP$13)="",10^12,OFFSET(PLE!$G$15,$M169-$A$15,DP$13)))</f>
        <v>1000000000000</v>
      </c>
      <c r="DQ169" s="172" cm="1">
        <f t="array" aca="1" ref="DQ169" ca="1">IF(OR($D169&lt;&gt;"Serviço",AND(AUTOEVENTO="Manual",$M169=$A$15),$M169&gt;(ROW(PLE.lastrow)-ROW(PLE.firstrow))),0,
           IF(OFFSET(PLE!$G$15,$M169-$A$15,DQ$13)="",10^12,OFFSET(PLE!$G$15,$M169-$A$15,DQ$13)))</f>
        <v>1000000000000</v>
      </c>
      <c r="DR169" s="172" cm="1">
        <f t="array" aca="1" ref="DR169" ca="1">IF(OR($D169&lt;&gt;"Serviço",AND(AUTOEVENTO="Manual",$M169=$A$15),$M169&gt;(ROW(PLE.lastrow)-ROW(PLE.firstrow))),0,
           IF(OFFSET(PLE!$G$15,$M169-$A$15,DR$13)="",10^12,OFFSET(PLE!$G$15,$M169-$A$15,DR$13)))</f>
        <v>1000000000000</v>
      </c>
      <c r="DS169" s="172" cm="1">
        <f t="array" aca="1" ref="DS169" ca="1">IF(OR($D169&lt;&gt;"Serviço",AND(AUTOEVENTO="Manual",$M169=$A$15),$M169&gt;(ROW(PLE.lastrow)-ROW(PLE.firstrow))),0,
           IF(OFFSET(PLE!$G$15,$M169-$A$15,DS$13)="",10^12,OFFSET(PLE!$G$15,$M169-$A$15,DS$13)))</f>
        <v>1000000000000</v>
      </c>
    </row>
    <row r="170" spans="1:123" ht="25.5" x14ac:dyDescent="0.2">
      <c r="A170" s="7">
        <f t="shared" ca="1" si="16"/>
        <v>9</v>
      </c>
      <c r="B170" s="7" t="str">
        <f ca="1">OFFSET(ORÇAMENTO!C$15,$L170,0)</f>
        <v>S</v>
      </c>
      <c r="C170" s="7" t="str">
        <f ca="1">OFFSET(ORÇAMENTO!L$15,$L170,0)</f>
        <v/>
      </c>
      <c r="D170" s="116" t="str">
        <f ca="1">OFFSET(ORÇAMENTO!N$15,$L170,0)</f>
        <v>Serviço</v>
      </c>
      <c r="E170" s="117" t="str">
        <f ca="1">OFFSET(ORÇAMENTO!O$15,$L170,0)</f>
        <v>-</v>
      </c>
      <c r="F170" s="163" t="str">
        <f ca="1">OFFSET(ORÇAMENTO!R$15,$L170,0)</f>
        <v>(Código não identificado nas referências)</v>
      </c>
      <c r="G170" s="164" t="str">
        <f ca="1">IF($D170&lt;&gt;"Serviço","",OFFSET(ORÇAMENTO!S$15,$L170,0))</f>
        <v>-</v>
      </c>
      <c r="H170" s="122" cm="1">
        <f t="array" aca="1" ref="H170" ca="1">IF($D170&lt;&gt;"Serviço",0,IF(ACOMPANHAMENTO="BM",ROUND(OFFSET(ORÇAMENTO!AJ$15,$L170,0),15-13*ORÇAMENTO!$AF$7),IF(IFERROR(CÁLCULO.FrentesPreenchidas,0)=0,0,SUM(ROUND(OFFSET($P170,0,1,1,CÁLCULO.FrentesPreenchidas),15-13*ORÇAMENTO!$AF$7)))))</f>
        <v>80</v>
      </c>
      <c r="I170" s="468" t="s">
        <v>1235</v>
      </c>
      <c r="J170" s="651" t="str" cm="1">
        <f t="array" aca="1" ref="J170" ca="1">IF(OR(B170&lt;&gt;"S",CÁLCULO.FrentesPreenchidas=0),"",IF(AND(ACOMPANHAMENTO="PLE",AUTOEVENTO="Manual",OR(H170&gt;0,ORÇAMENTO!AC170="QUANT."),OR(K170="",M170=0,N170="")),"►E",IF(AND(ACOMPANHAMENTO="PLE",ORÇAMENTO!AC170="QUANT."),"►Q",IF(AND(ACOMPANHAMENTO="PLE",H170&lt;&gt;SUMPRODUCT(($Q$1:$AQ$1=1)*ROUND(Q170:AQ170,15))),"►S",IF(AND(COUNTIF($P$11:$AQ$11,"▼")=0,H170&gt;0,I170=""),"◄M","")))))</f>
        <v/>
      </c>
      <c r="K170" s="652" t="s">
        <v>1257</v>
      </c>
      <c r="L170" s="165">
        <f t="shared" ca="1" si="17"/>
        <v>155</v>
      </c>
      <c r="M170" s="166">
        <f ca="1">IF($D170&lt;&gt;"Serviço","",
          IF(AUTOEVENTO="manual",$A170,
                IF(ISERROR(MATCH($A170,$A$15:OFFSET($A170,-1,0),0)),MAX($M$15:OFFSET(M170,-1,0))+1,
                      INDEX($M$15:OFFSET(M170,-1,0),MATCH($A170,$A$15:OFFSET($A170,-1,0),0)))))</f>
        <v>9</v>
      </c>
      <c r="N170" s="167" t="str">
        <f ca="1">IF($D170&lt;&gt;"Serviço","",
         IF(AUTOEVENTO="Manual",
                IF($A170=0,"&lt;-- defina o número do agrupador",
                       OFFSET(EVENTOS!$D$15,$A170-$A$15,0)),
                OFFSET($F$15,$A170,0)))</f>
        <v>INSTALAÇÕES</v>
      </c>
      <c r="O170" s="168"/>
      <c r="Q170" s="168">
        <v>4</v>
      </c>
      <c r="R170" s="169">
        <v>4</v>
      </c>
      <c r="S170" s="169">
        <v>4</v>
      </c>
      <c r="T170" s="169">
        <v>4</v>
      </c>
      <c r="U170" s="169">
        <v>4</v>
      </c>
      <c r="V170" s="169">
        <v>4</v>
      </c>
      <c r="W170" s="169">
        <v>4</v>
      </c>
      <c r="X170" s="169">
        <v>4</v>
      </c>
      <c r="Y170" s="169">
        <v>4</v>
      </c>
      <c r="Z170" s="170">
        <v>4</v>
      </c>
      <c r="AA170" s="169">
        <v>4</v>
      </c>
      <c r="AB170" s="169">
        <v>4</v>
      </c>
      <c r="AC170" s="169">
        <v>4</v>
      </c>
      <c r="AD170" s="169">
        <v>4</v>
      </c>
      <c r="AE170" s="169">
        <v>4</v>
      </c>
      <c r="AF170" s="169">
        <v>4</v>
      </c>
      <c r="AG170" s="169">
        <v>4</v>
      </c>
      <c r="AH170" s="170">
        <v>4</v>
      </c>
      <c r="AI170" s="169">
        <v>4</v>
      </c>
      <c r="AJ170" s="169">
        <v>4</v>
      </c>
      <c r="AK170" s="169"/>
      <c r="AL170" s="169"/>
      <c r="AM170" s="169"/>
      <c r="AN170" s="169"/>
      <c r="AO170" s="169"/>
      <c r="AP170" s="170"/>
      <c r="AR170" s="453">
        <f ca="1">IF(AND($D170="Serviço",AR$12&lt;&gt;0,$H170&gt;0,OR(AUTOEVENTO&lt;&gt;"manual",$M170&lt;&gt;$A$15)),
        IF(Import.TipoArredondamento&lt;&gt;"TransfereGOV",
              ROUND(OFFSET($P170,0,AR$13),15-13*ORÇAMENTO!$AF$7)/$H170*OFFSET(ORÇAMENTO!$X$15,ROW(AR170)-ROW(AR$15),0),
              ROUND(ROUND(OFFSET($P170,0,AR$13),15-13*ORÇAMENTO!$AF$7)*OFFSET(ORÇAMENTO!$W$15,ROW(AR170)-ROW(AR$15),0),15-13*ORÇAMENTO!$AF$11)),
         0)</f>
        <v>0</v>
      </c>
      <c r="AS170" s="453">
        <f ca="1">IF(AND($D170="Serviço",AS$12&lt;&gt;0,$H170&gt;0,OR(AUTOEVENTO&lt;&gt;"manual",$M170&lt;&gt;$A$15)),
        IF(Import.TipoArredondamento&lt;&gt;"TransfereGOV",
              ROUND(OFFSET($P170,0,AS$13),15-13*ORÇAMENTO!$AF$7)/$H170*OFFSET(ORÇAMENTO!$X$15,ROW(AS170)-ROW(AS$15),0),
              ROUND(ROUND(OFFSET($P170,0,AS$13),15-13*ORÇAMENTO!$AF$7)*OFFSET(ORÇAMENTO!$W$15,ROW(AS170)-ROW(AS$15),0),15-13*ORÇAMENTO!$AF$11)),
         0)</f>
        <v>0</v>
      </c>
      <c r="AT170" s="453">
        <f ca="1">IF(AND($D170="Serviço",AT$12&lt;&gt;0,$H170&gt;0,OR(AUTOEVENTO&lt;&gt;"manual",$M170&lt;&gt;$A$15)),
        IF(Import.TipoArredondamento&lt;&gt;"TransfereGOV",
              ROUND(OFFSET($P170,0,AT$13),15-13*ORÇAMENTO!$AF$7)/$H170*OFFSET(ORÇAMENTO!$X$15,ROW(AT170)-ROW(AT$15),0),
              ROUND(ROUND(OFFSET($P170,0,AT$13),15-13*ORÇAMENTO!$AF$7)*OFFSET(ORÇAMENTO!$W$15,ROW(AT170)-ROW(AT$15),0),15-13*ORÇAMENTO!$AF$11)),
         0)</f>
        <v>0</v>
      </c>
      <c r="AU170" s="453">
        <f ca="1">IF(AND($D170="Serviço",AU$12&lt;&gt;0,$H170&gt;0,OR(AUTOEVENTO&lt;&gt;"manual",$M170&lt;&gt;$A$15)),
        IF(Import.TipoArredondamento&lt;&gt;"TransfereGOV",
              ROUND(OFFSET($P170,0,AU$13),15-13*ORÇAMENTO!$AF$7)/$H170*OFFSET(ORÇAMENTO!$X$15,ROW(AU170)-ROW(AU$15),0),
              ROUND(ROUND(OFFSET($P170,0,AU$13),15-13*ORÇAMENTO!$AF$7)*OFFSET(ORÇAMENTO!$W$15,ROW(AU170)-ROW(AU$15),0),15-13*ORÇAMENTO!$AF$11)),
         0)</f>
        <v>0</v>
      </c>
      <c r="AV170" s="453">
        <f ca="1">IF(AND($D170="Serviço",AV$12&lt;&gt;0,$H170&gt;0,OR(AUTOEVENTO&lt;&gt;"manual",$M170&lt;&gt;$A$15)),
        IF(Import.TipoArredondamento&lt;&gt;"TransfereGOV",
              ROUND(OFFSET($P170,0,AV$13),15-13*ORÇAMENTO!$AF$7)/$H170*OFFSET(ORÇAMENTO!$X$15,ROW(AV170)-ROW(AV$15),0),
              ROUND(ROUND(OFFSET($P170,0,AV$13),15-13*ORÇAMENTO!$AF$7)*OFFSET(ORÇAMENTO!$W$15,ROW(AV170)-ROW(AV$15),0),15-13*ORÇAMENTO!$AF$11)),
         0)</f>
        <v>0</v>
      </c>
      <c r="AW170" s="453">
        <f ca="1">IF(AND($D170="Serviço",AW$12&lt;&gt;0,$H170&gt;0,OR(AUTOEVENTO&lt;&gt;"manual",$M170&lt;&gt;$A$15)),
        IF(Import.TipoArredondamento&lt;&gt;"TransfereGOV",
              ROUND(OFFSET($P170,0,AW$13),15-13*ORÇAMENTO!$AF$7)/$H170*OFFSET(ORÇAMENTO!$X$15,ROW(AW170)-ROW(AW$15),0),
              ROUND(ROUND(OFFSET($P170,0,AW$13),15-13*ORÇAMENTO!$AF$7)*OFFSET(ORÇAMENTO!$W$15,ROW(AW170)-ROW(AW$15),0),15-13*ORÇAMENTO!$AF$11)),
         0)</f>
        <v>0</v>
      </c>
      <c r="AX170" s="453">
        <f ca="1">IF(AND($D170="Serviço",AX$12&lt;&gt;0,$H170&gt;0,OR(AUTOEVENTO&lt;&gt;"manual",$M170&lt;&gt;$A$15)),
        IF(Import.TipoArredondamento&lt;&gt;"TransfereGOV",
              ROUND(OFFSET($P170,0,AX$13),15-13*ORÇAMENTO!$AF$7)/$H170*OFFSET(ORÇAMENTO!$X$15,ROW(AX170)-ROW(AX$15),0),
              ROUND(ROUND(OFFSET($P170,0,AX$13),15-13*ORÇAMENTO!$AF$7)*OFFSET(ORÇAMENTO!$W$15,ROW(AX170)-ROW(AX$15),0),15-13*ORÇAMENTO!$AF$11)),
         0)</f>
        <v>0</v>
      </c>
      <c r="AY170" s="453">
        <f ca="1">IF(AND($D170="Serviço",AY$12&lt;&gt;0,$H170&gt;0,OR(AUTOEVENTO&lt;&gt;"manual",$M170&lt;&gt;$A$15)),
        IF(Import.TipoArredondamento&lt;&gt;"TransfereGOV",
              ROUND(OFFSET($P170,0,AY$13),15-13*ORÇAMENTO!$AF$7)/$H170*OFFSET(ORÇAMENTO!$X$15,ROW(AY170)-ROW(AY$15),0),
              ROUND(ROUND(OFFSET($P170,0,AY$13),15-13*ORÇAMENTO!$AF$7)*OFFSET(ORÇAMENTO!$W$15,ROW(AY170)-ROW(AY$15),0),15-13*ORÇAMENTO!$AF$11)),
         0)</f>
        <v>0</v>
      </c>
      <c r="AZ170" s="453">
        <f ca="1">IF(AND($D170="Serviço",AZ$12&lt;&gt;0,$H170&gt;0,OR(AUTOEVENTO&lt;&gt;"manual",$M170&lt;&gt;$A$15)),
        IF(Import.TipoArredondamento&lt;&gt;"TransfereGOV",
              ROUND(OFFSET($P170,0,AZ$13),15-13*ORÇAMENTO!$AF$7)/$H170*OFFSET(ORÇAMENTO!$X$15,ROW(AZ170)-ROW(AZ$15),0),
              ROUND(ROUND(OFFSET($P170,0,AZ$13),15-13*ORÇAMENTO!$AF$7)*OFFSET(ORÇAMENTO!$W$15,ROW(AZ170)-ROW(AZ$15),0),15-13*ORÇAMENTO!$AF$11)),
         0)</f>
        <v>0</v>
      </c>
      <c r="BA170" s="453">
        <f ca="1">IF(AND($D170="Serviço",BA$12&lt;&gt;0,$H170&gt;0,OR(AUTOEVENTO&lt;&gt;"manual",$M170&lt;&gt;$A$15)),
        IF(Import.TipoArredondamento&lt;&gt;"TransfereGOV",
              ROUND(OFFSET($P170,0,BA$13),15-13*ORÇAMENTO!$AF$7)/$H170*OFFSET(ORÇAMENTO!$X$15,ROW(BA170)-ROW(BA$15),0),
              ROUND(ROUND(OFFSET($P170,0,BA$13),15-13*ORÇAMENTO!$AF$7)*OFFSET(ORÇAMENTO!$W$15,ROW(BA170)-ROW(BA$15),0),15-13*ORÇAMENTO!$AF$11)),
         0)</f>
        <v>0</v>
      </c>
      <c r="BB170" s="453">
        <f ca="1">IF(AND($D170="Serviço",BB$12&lt;&gt;0,$H170&gt;0,OR(AUTOEVENTO&lt;&gt;"manual",$M170&lt;&gt;$A$15)),
        IF(Import.TipoArredondamento&lt;&gt;"TransfereGOV",
              ROUND(OFFSET($P170,0,BB$13),15-13*ORÇAMENTO!$AF$7)/$H170*OFFSET(ORÇAMENTO!$X$15,ROW(BB170)-ROW(BB$15),0),
              ROUND(ROUND(OFFSET($P170,0,BB$13),15-13*ORÇAMENTO!$AF$7)*OFFSET(ORÇAMENTO!$W$15,ROW(BB170)-ROW(BB$15),0),15-13*ORÇAMENTO!$AF$11)),
         0)</f>
        <v>0</v>
      </c>
      <c r="BC170" s="453">
        <f ca="1">IF(AND($D170="Serviço",BC$12&lt;&gt;0,$H170&gt;0,OR(AUTOEVENTO&lt;&gt;"manual",$M170&lt;&gt;$A$15)),
        IF(Import.TipoArredondamento&lt;&gt;"TransfereGOV",
              ROUND(OFFSET($P170,0,BC$13),15-13*ORÇAMENTO!$AF$7)/$H170*OFFSET(ORÇAMENTO!$X$15,ROW(BC170)-ROW(BC$15),0),
              ROUND(ROUND(OFFSET($P170,0,BC$13),15-13*ORÇAMENTO!$AF$7)*OFFSET(ORÇAMENTO!$W$15,ROW(BC170)-ROW(BC$15),0),15-13*ORÇAMENTO!$AF$11)),
         0)</f>
        <v>0</v>
      </c>
      <c r="BD170" s="453">
        <f ca="1">IF(AND($D170="Serviço",BD$12&lt;&gt;0,$H170&gt;0,OR(AUTOEVENTO&lt;&gt;"manual",$M170&lt;&gt;$A$15)),
        IF(Import.TipoArredondamento&lt;&gt;"TransfereGOV",
              ROUND(OFFSET($P170,0,BD$13),15-13*ORÇAMENTO!$AF$7)/$H170*OFFSET(ORÇAMENTO!$X$15,ROW(BD170)-ROW(BD$15),0),
              ROUND(ROUND(OFFSET($P170,0,BD$13),15-13*ORÇAMENTO!$AF$7)*OFFSET(ORÇAMENTO!$W$15,ROW(BD170)-ROW(BD$15),0),15-13*ORÇAMENTO!$AF$11)),
         0)</f>
        <v>0</v>
      </c>
      <c r="BE170" s="453">
        <f ca="1">IF(AND($D170="Serviço",BE$12&lt;&gt;0,$H170&gt;0,OR(AUTOEVENTO&lt;&gt;"manual",$M170&lt;&gt;$A$15)),
        IF(Import.TipoArredondamento&lt;&gt;"TransfereGOV",
              ROUND(OFFSET($P170,0,BE$13),15-13*ORÇAMENTO!$AF$7)/$H170*OFFSET(ORÇAMENTO!$X$15,ROW(BE170)-ROW(BE$15),0),
              ROUND(ROUND(OFFSET($P170,0,BE$13),15-13*ORÇAMENTO!$AF$7)*OFFSET(ORÇAMENTO!$W$15,ROW(BE170)-ROW(BE$15),0),15-13*ORÇAMENTO!$AF$11)),
         0)</f>
        <v>0</v>
      </c>
      <c r="BF170" s="453">
        <f ca="1">IF(AND($D170="Serviço",BF$12&lt;&gt;0,$H170&gt;0,OR(AUTOEVENTO&lt;&gt;"manual",$M170&lt;&gt;$A$15)),
        IF(Import.TipoArredondamento&lt;&gt;"TransfereGOV",
              ROUND(OFFSET($P170,0,BF$13),15-13*ORÇAMENTO!$AF$7)/$H170*OFFSET(ORÇAMENTO!$X$15,ROW(BF170)-ROW(BF$15),0),
              ROUND(ROUND(OFFSET($P170,0,BF$13),15-13*ORÇAMENTO!$AF$7)*OFFSET(ORÇAMENTO!$W$15,ROW(BF170)-ROW(BF$15),0),15-13*ORÇAMENTO!$AF$11)),
         0)</f>
        <v>0</v>
      </c>
      <c r="BG170" s="453">
        <f ca="1">IF(AND($D170="Serviço",BG$12&lt;&gt;0,$H170&gt;0,OR(AUTOEVENTO&lt;&gt;"manual",$M170&lt;&gt;$A$15)),
        IF(Import.TipoArredondamento&lt;&gt;"TransfereGOV",
              ROUND(OFFSET($P170,0,BG$13),15-13*ORÇAMENTO!$AF$7)/$H170*OFFSET(ORÇAMENTO!$X$15,ROW(BG170)-ROW(BG$15),0),
              ROUND(ROUND(OFFSET($P170,0,BG$13),15-13*ORÇAMENTO!$AF$7)*OFFSET(ORÇAMENTO!$W$15,ROW(BG170)-ROW(BG$15),0),15-13*ORÇAMENTO!$AF$11)),
         0)</f>
        <v>0</v>
      </c>
      <c r="BH170" s="453">
        <f ca="1">IF(AND($D170="Serviço",BH$12&lt;&gt;0,$H170&gt;0,OR(AUTOEVENTO&lt;&gt;"manual",$M170&lt;&gt;$A$15)),
        IF(Import.TipoArredondamento&lt;&gt;"TransfereGOV",
              ROUND(OFFSET($P170,0,BH$13),15-13*ORÇAMENTO!$AF$7)/$H170*OFFSET(ORÇAMENTO!$X$15,ROW(BH170)-ROW(BH$15),0),
              ROUND(ROUND(OFFSET($P170,0,BH$13),15-13*ORÇAMENTO!$AF$7)*OFFSET(ORÇAMENTO!$W$15,ROW(BH170)-ROW(BH$15),0),15-13*ORÇAMENTO!$AF$11)),
         0)</f>
        <v>0</v>
      </c>
      <c r="BI170" s="453">
        <f ca="1">IF(AND($D170="Serviço",BI$12&lt;&gt;0,$H170&gt;0,OR(AUTOEVENTO&lt;&gt;"manual",$M170&lt;&gt;$A$15)),
        IF(Import.TipoArredondamento&lt;&gt;"TransfereGOV",
              ROUND(OFFSET($P170,0,BI$13),15-13*ORÇAMENTO!$AF$7)/$H170*OFFSET(ORÇAMENTO!$X$15,ROW(BI170)-ROW(BI$15),0),
              ROUND(ROUND(OFFSET($P170,0,BI$13),15-13*ORÇAMENTO!$AF$7)*OFFSET(ORÇAMENTO!$W$15,ROW(BI170)-ROW(BI$15),0),15-13*ORÇAMENTO!$AF$11)),
         0)</f>
        <v>0</v>
      </c>
      <c r="BJ170" s="453">
        <f ca="1">IF(AND($D170="Serviço",BJ$12&lt;&gt;0,$H170&gt;0,OR(AUTOEVENTO&lt;&gt;"manual",$M170&lt;&gt;$A$15)),
        IF(Import.TipoArredondamento&lt;&gt;"TransfereGOV",
              ROUND(OFFSET($P170,0,BJ$13),15-13*ORÇAMENTO!$AF$7)/$H170*OFFSET(ORÇAMENTO!$X$15,ROW(BJ170)-ROW(BJ$15),0),
              ROUND(ROUND(OFFSET($P170,0,BJ$13),15-13*ORÇAMENTO!$AF$7)*OFFSET(ORÇAMENTO!$W$15,ROW(BJ170)-ROW(BJ$15),0),15-13*ORÇAMENTO!$AF$11)),
         0)</f>
        <v>0</v>
      </c>
      <c r="BK170" s="453">
        <f ca="1">IF(AND($D170="Serviço",BK$12&lt;&gt;0,$H170&gt;0,OR(AUTOEVENTO&lt;&gt;"manual",$M170&lt;&gt;$A$15)),
        IF(Import.TipoArredondamento&lt;&gt;"TransfereGOV",
              ROUND(OFFSET($P170,0,BK$13),15-13*ORÇAMENTO!$AF$7)/$H170*OFFSET(ORÇAMENTO!$X$15,ROW(BK170)-ROW(BK$15),0),
              ROUND(ROUND(OFFSET($P170,0,BK$13),15-13*ORÇAMENTO!$AF$7)*OFFSET(ORÇAMENTO!$W$15,ROW(BK170)-ROW(BK$15),0),15-13*ORÇAMENTO!$AF$11)),
         0)</f>
        <v>0</v>
      </c>
      <c r="BL170" s="453">
        <f ca="1">IF(AND($D170="Serviço",BL$12&lt;&gt;0,$H170&gt;0,OR(AUTOEVENTO&lt;&gt;"manual",$M170&lt;&gt;$A$15)),
        IF(Import.TipoArredondamento&lt;&gt;"TransfereGOV",
              ROUND(OFFSET($P170,0,BL$13),15-13*ORÇAMENTO!$AF$7)/$H170*OFFSET(ORÇAMENTO!$X$15,ROW(BL170)-ROW(BL$15),0),
              ROUND(ROUND(OFFSET($P170,0,BL$13),15-13*ORÇAMENTO!$AF$7)*OFFSET(ORÇAMENTO!$W$15,ROW(BL170)-ROW(BL$15),0),15-13*ORÇAMENTO!$AF$11)),
         0)</f>
        <v>0</v>
      </c>
      <c r="BM170" s="453">
        <f ca="1">IF(AND($D170="Serviço",BM$12&lt;&gt;0,$H170&gt;0,OR(AUTOEVENTO&lt;&gt;"manual",$M170&lt;&gt;$A$15)),
        IF(Import.TipoArredondamento&lt;&gt;"TransfereGOV",
              ROUND(OFFSET($P170,0,BM$13),15-13*ORÇAMENTO!$AF$7)/$H170*OFFSET(ORÇAMENTO!$X$15,ROW(BM170)-ROW(BM$15),0),
              ROUND(ROUND(OFFSET($P170,0,BM$13),15-13*ORÇAMENTO!$AF$7)*OFFSET(ORÇAMENTO!$W$15,ROW(BM170)-ROW(BM$15),0),15-13*ORÇAMENTO!$AF$11)),
         0)</f>
        <v>0</v>
      </c>
      <c r="BN170" s="453">
        <f ca="1">IF(AND($D170="Serviço",BN$12&lt;&gt;0,$H170&gt;0,OR(AUTOEVENTO&lt;&gt;"manual",$M170&lt;&gt;$A$15)),
        IF(Import.TipoArredondamento&lt;&gt;"TransfereGOV",
              ROUND(OFFSET($P170,0,BN$13),15-13*ORÇAMENTO!$AF$7)/$H170*OFFSET(ORÇAMENTO!$X$15,ROW(BN170)-ROW(BN$15),0),
              ROUND(ROUND(OFFSET($P170,0,BN$13),15-13*ORÇAMENTO!$AF$7)*OFFSET(ORÇAMENTO!$W$15,ROW(BN170)-ROW(BN$15),0),15-13*ORÇAMENTO!$AF$11)),
         0)</f>
        <v>0</v>
      </c>
      <c r="BO170" s="453">
        <f ca="1">IF(AND($D170="Serviço",BO$12&lt;&gt;0,$H170&gt;0,OR(AUTOEVENTO&lt;&gt;"manual",$M170&lt;&gt;$A$15)),
        IF(Import.TipoArredondamento&lt;&gt;"TransfereGOV",
              ROUND(OFFSET($P170,0,BO$13),15-13*ORÇAMENTO!$AF$7)/$H170*OFFSET(ORÇAMENTO!$X$15,ROW(BO170)-ROW(BO$15),0),
              ROUND(ROUND(OFFSET($P170,0,BO$13),15-13*ORÇAMENTO!$AF$7)*OFFSET(ORÇAMENTO!$W$15,ROW(BO170)-ROW(BO$15),0),15-13*ORÇAMENTO!$AF$11)),
         0)</f>
        <v>0</v>
      </c>
      <c r="BP170" s="453">
        <f ca="1">IF(AND($D170="Serviço",BP$12&lt;&gt;0,$H170&gt;0,OR(AUTOEVENTO&lt;&gt;"manual",$M170&lt;&gt;$A$15)),
        IF(Import.TipoArredondamento&lt;&gt;"TransfereGOV",
              ROUND(OFFSET($P170,0,BP$13),15-13*ORÇAMENTO!$AF$7)/$H170*OFFSET(ORÇAMENTO!$X$15,ROW(BP170)-ROW(BP$15),0),
              ROUND(ROUND(OFFSET($P170,0,BP$13),15-13*ORÇAMENTO!$AF$7)*OFFSET(ORÇAMENTO!$W$15,ROW(BP170)-ROW(BP$15),0),15-13*ORÇAMENTO!$AF$11)),
         0)</f>
        <v>0</v>
      </c>
      <c r="BQ170" s="453">
        <f ca="1">IF(AND($D170="Serviço",BQ$12&lt;&gt;0,$H170&gt;0,OR(AUTOEVENTO&lt;&gt;"manual",$M170&lt;&gt;$A$15)),
        IF(Import.TipoArredondamento&lt;&gt;"TransfereGOV",
              ROUND(OFFSET($P170,0,BQ$13),15-13*ORÇAMENTO!$AF$7)/$H170*OFFSET(ORÇAMENTO!$X$15,ROW(BQ170)-ROW(BQ$15),0),
              ROUND(ROUND(OFFSET($P170,0,BQ$13),15-13*ORÇAMENTO!$AF$7)*OFFSET(ORÇAMENTO!$W$15,ROW(BQ170)-ROW(BQ$15),0),15-13*ORÇAMENTO!$AF$11)),
         0)</f>
        <v>0</v>
      </c>
      <c r="BS170" s="171">
        <f ca="1">IF(OR($D170&lt;&gt;"Serviço",AND(AUTOEVENTO="Manual",$M170=$A$15)),0,
         IF(OFFSET(CRONOPLE!$F$15,$M170-$A$15,BS$13)=0,10^12,OFFSET(CRONOPLE!$F$15,$M170-$A$15,BS$13)))</f>
        <v>1</v>
      </c>
      <c r="BT170" s="171">
        <f ca="1">IF(OR($D170&lt;&gt;"Serviço",AND(AUTOEVENTO="Manual",$M170=$A$15)),0,
         IF(OFFSET(CRONOPLE!$F$15,$M170-$A$15,BT$13)=0,10^12,OFFSET(CRONOPLE!$F$15,$M170-$A$15,BT$13)))</f>
        <v>2</v>
      </c>
      <c r="BU170" s="171">
        <f ca="1">IF(OR($D170&lt;&gt;"Serviço",AND(AUTOEVENTO="Manual",$M170=$A$15)),0,
         IF(OFFSET(CRONOPLE!$F$15,$M170-$A$15,BU$13)=0,10^12,OFFSET(CRONOPLE!$F$15,$M170-$A$15,BU$13)))</f>
        <v>3</v>
      </c>
      <c r="BV170" s="171">
        <f ca="1">IF(OR($D170&lt;&gt;"Serviço",AND(AUTOEVENTO="Manual",$M170=$A$15)),0,
         IF(OFFSET(CRONOPLE!$F$15,$M170-$A$15,BV$13)=0,10^12,OFFSET(CRONOPLE!$F$15,$M170-$A$15,BV$13)))</f>
        <v>4</v>
      </c>
      <c r="BW170" s="171">
        <f ca="1">IF(OR($D170&lt;&gt;"Serviço",AND(AUTOEVENTO="Manual",$M170=$A$15)),0,
         IF(OFFSET(CRONOPLE!$F$15,$M170-$A$15,BW$13)=0,10^12,OFFSET(CRONOPLE!$F$15,$M170-$A$15,BW$13)))</f>
        <v>5</v>
      </c>
      <c r="BX170" s="171">
        <f ca="1">IF(OR($D170&lt;&gt;"Serviço",AND(AUTOEVENTO="Manual",$M170=$A$15)),0,
         IF(OFFSET(CRONOPLE!$F$15,$M170-$A$15,BX$13)=0,10^12,OFFSET(CRONOPLE!$F$15,$M170-$A$15,BX$13)))</f>
        <v>6</v>
      </c>
      <c r="BY170" s="171">
        <f ca="1">IF(OR($D170&lt;&gt;"Serviço",AND(AUTOEVENTO="Manual",$M170=$A$15)),0,
         IF(OFFSET(CRONOPLE!$F$15,$M170-$A$15,BY$13)=0,10^12,OFFSET(CRONOPLE!$F$15,$M170-$A$15,BY$13)))</f>
        <v>7</v>
      </c>
      <c r="BZ170" s="171">
        <f ca="1">IF(OR($D170&lt;&gt;"Serviço",AND(AUTOEVENTO="Manual",$M170=$A$15)),0,
         IF(OFFSET(CRONOPLE!$F$15,$M170-$A$15,BZ$13)=0,10^12,OFFSET(CRONOPLE!$F$15,$M170-$A$15,BZ$13)))</f>
        <v>8</v>
      </c>
      <c r="CA170" s="171">
        <f ca="1">IF(OR($D170&lt;&gt;"Serviço",AND(AUTOEVENTO="Manual",$M170=$A$15)),0,
         IF(OFFSET(CRONOPLE!$F$15,$M170-$A$15,CA$13)=0,10^12,OFFSET(CRONOPLE!$F$15,$M170-$A$15,CA$13)))</f>
        <v>9</v>
      </c>
      <c r="CB170" s="171">
        <f ca="1">IF(OR($D170&lt;&gt;"Serviço",AND(AUTOEVENTO="Manual",$M170=$A$15)),0,
         IF(OFFSET(CRONOPLE!$F$15,$M170-$A$15,CB$13)=0,10^12,OFFSET(CRONOPLE!$F$15,$M170-$A$15,CB$13)))</f>
        <v>10</v>
      </c>
      <c r="CC170" s="171">
        <f ca="1">IF(OR($D170&lt;&gt;"Serviço",AND(AUTOEVENTO="Manual",$M170=$A$15)),0,
         IF(OFFSET(CRONOPLE!$F$15,$M170-$A$15,CC$13)=0,10^12,OFFSET(CRONOPLE!$F$15,$M170-$A$15,CC$13)))</f>
        <v>11</v>
      </c>
      <c r="CD170" s="171">
        <f ca="1">IF(OR($D170&lt;&gt;"Serviço",AND(AUTOEVENTO="Manual",$M170=$A$15)),0,
         IF(OFFSET(CRONOPLE!$F$15,$M170-$A$15,CD$13)=0,10^12,OFFSET(CRONOPLE!$F$15,$M170-$A$15,CD$13)))</f>
        <v>12</v>
      </c>
      <c r="CE170" s="171">
        <f ca="1">IF(OR($D170&lt;&gt;"Serviço",AND(AUTOEVENTO="Manual",$M170=$A$15)),0,
         IF(OFFSET(CRONOPLE!$F$15,$M170-$A$15,CE$13)=0,10^12,OFFSET(CRONOPLE!$F$15,$M170-$A$15,CE$13)))</f>
        <v>13</v>
      </c>
      <c r="CF170" s="171">
        <f ca="1">IF(OR($D170&lt;&gt;"Serviço",AND(AUTOEVENTO="Manual",$M170=$A$15)),0,
         IF(OFFSET(CRONOPLE!$F$15,$M170-$A$15,CF$13)=0,10^12,OFFSET(CRONOPLE!$F$15,$M170-$A$15,CF$13)))</f>
        <v>14</v>
      </c>
      <c r="CG170" s="171">
        <f ca="1">IF(OR($D170&lt;&gt;"Serviço",AND(AUTOEVENTO="Manual",$M170=$A$15)),0,
         IF(OFFSET(CRONOPLE!$F$15,$M170-$A$15,CG$13)=0,10^12,OFFSET(CRONOPLE!$F$15,$M170-$A$15,CG$13)))</f>
        <v>15</v>
      </c>
      <c r="CH170" s="171">
        <f ca="1">IF(OR($D170&lt;&gt;"Serviço",AND(AUTOEVENTO="Manual",$M170=$A$15)),0,
         IF(OFFSET(CRONOPLE!$F$15,$M170-$A$15,CH$13)=0,10^12,OFFSET(CRONOPLE!$F$15,$M170-$A$15,CH$13)))</f>
        <v>16</v>
      </c>
      <c r="CI170" s="171">
        <f ca="1">IF(OR($D170&lt;&gt;"Serviço",AND(AUTOEVENTO="Manual",$M170=$A$15)),0,
         IF(OFFSET(CRONOPLE!$F$15,$M170-$A$15,CI$13)=0,10^12,OFFSET(CRONOPLE!$F$15,$M170-$A$15,CI$13)))</f>
        <v>17</v>
      </c>
      <c r="CJ170" s="171">
        <f ca="1">IF(OR($D170&lt;&gt;"Serviço",AND(AUTOEVENTO="Manual",$M170=$A$15)),0,
         IF(OFFSET(CRONOPLE!$F$15,$M170-$A$15,CJ$13)=0,10^12,OFFSET(CRONOPLE!$F$15,$M170-$A$15,CJ$13)))</f>
        <v>18</v>
      </c>
      <c r="CK170" s="171">
        <f ca="1">IF(OR($D170&lt;&gt;"Serviço",AND(AUTOEVENTO="Manual",$M170=$A$15)),0,
         IF(OFFSET(CRONOPLE!$F$15,$M170-$A$15,CK$13)=0,10^12,OFFSET(CRONOPLE!$F$15,$M170-$A$15,CK$13)))</f>
        <v>19</v>
      </c>
      <c r="CL170" s="171">
        <f ca="1">IF(OR($D170&lt;&gt;"Serviço",AND(AUTOEVENTO="Manual",$M170=$A$15)),0,
         IF(OFFSET(CRONOPLE!$F$15,$M170-$A$15,CL$13)=0,10^12,OFFSET(CRONOPLE!$F$15,$M170-$A$15,CL$13)))</f>
        <v>20</v>
      </c>
      <c r="CM170" s="171">
        <f ca="1">IF(OR($D170&lt;&gt;"Serviço",AND(AUTOEVENTO="Manual",$M170=$A$15)),0,
         IF(OFFSET(CRONOPLE!$F$15,$M170-$A$15,CM$13)=0,10^12,OFFSET(CRONOPLE!$F$15,$M170-$A$15,CM$13)))</f>
        <v>1000000000000</v>
      </c>
      <c r="CN170" s="171">
        <f ca="1">IF(OR($D170&lt;&gt;"Serviço",AND(AUTOEVENTO="Manual",$M170=$A$15)),0,
         IF(OFFSET(CRONOPLE!$F$15,$M170-$A$15,CN$13)=0,10^12,OFFSET(CRONOPLE!$F$15,$M170-$A$15,CN$13)))</f>
        <v>1000000000000</v>
      </c>
      <c r="CO170" s="171">
        <f ca="1">IF(OR($D170&lt;&gt;"Serviço",AND(AUTOEVENTO="Manual",$M170=$A$15)),0,
         IF(OFFSET(CRONOPLE!$F$15,$M170-$A$15,CO$13)=0,10^12,OFFSET(CRONOPLE!$F$15,$M170-$A$15,CO$13)))</f>
        <v>1000000000000</v>
      </c>
      <c r="CP170" s="171">
        <f ca="1">IF(OR($D170&lt;&gt;"Serviço",AND(AUTOEVENTO="Manual",$M170=$A$15)),0,
         IF(OFFSET(CRONOPLE!$F$15,$M170-$A$15,CP$13)=0,10^12,OFFSET(CRONOPLE!$F$15,$M170-$A$15,CP$13)))</f>
        <v>1000000000000</v>
      </c>
      <c r="CQ170" s="171">
        <f ca="1">IF(OR($D170&lt;&gt;"Serviço",AND(AUTOEVENTO="Manual",$M170=$A$15)),0,
         IF(OFFSET(CRONOPLE!$F$15,$M170-$A$15,CQ$13)=0,10^12,OFFSET(CRONOPLE!$F$15,$M170-$A$15,CQ$13)))</f>
        <v>1000000000000</v>
      </c>
      <c r="CR170" s="171">
        <f ca="1">IF(OR($D170&lt;&gt;"Serviço",AND(AUTOEVENTO="Manual",$M170=$A$15)),0,
         IF(OFFSET(CRONOPLE!$F$15,$M170-$A$15,CR$13)=0,10^12,OFFSET(CRONOPLE!$F$15,$M170-$A$15,CR$13)))</f>
        <v>1000000000000</v>
      </c>
      <c r="CT170" s="172" cm="1">
        <f t="array" aca="1" ref="CT170" ca="1">IF(OR($D170&lt;&gt;"Serviço",AND(AUTOEVENTO="Manual",$M170=$A$15),$M170&gt;(ROW(PLE.lastrow)-ROW(PLE.firstrow))),0,
           IF(OFFSET(PLE!$G$15,$M170-$A$15,CT$13)="",10^12,OFFSET(PLE!$G$15,$M170-$A$15,CT$13)))</f>
        <v>1000000000000</v>
      </c>
      <c r="CU170" s="172" cm="1">
        <f t="array" aca="1" ref="CU170" ca="1">IF(OR($D170&lt;&gt;"Serviço",AND(AUTOEVENTO="Manual",$M170=$A$15),$M170&gt;(ROW(PLE.lastrow)-ROW(PLE.firstrow))),0,
           IF(OFFSET(PLE!$G$15,$M170-$A$15,CU$13)="",10^12,OFFSET(PLE!$G$15,$M170-$A$15,CU$13)))</f>
        <v>1000000000000</v>
      </c>
      <c r="CV170" s="172" cm="1">
        <f t="array" aca="1" ref="CV170" ca="1">IF(OR($D170&lt;&gt;"Serviço",AND(AUTOEVENTO="Manual",$M170=$A$15),$M170&gt;(ROW(PLE.lastrow)-ROW(PLE.firstrow))),0,
           IF(OFFSET(PLE!$G$15,$M170-$A$15,CV$13)="",10^12,OFFSET(PLE!$G$15,$M170-$A$15,CV$13)))</f>
        <v>1000000000000</v>
      </c>
      <c r="CW170" s="172" cm="1">
        <f t="array" aca="1" ref="CW170" ca="1">IF(OR($D170&lt;&gt;"Serviço",AND(AUTOEVENTO="Manual",$M170=$A$15),$M170&gt;(ROW(PLE.lastrow)-ROW(PLE.firstrow))),0,
           IF(OFFSET(PLE!$G$15,$M170-$A$15,CW$13)="",10^12,OFFSET(PLE!$G$15,$M170-$A$15,CW$13)))</f>
        <v>1000000000000</v>
      </c>
      <c r="CX170" s="172" cm="1">
        <f t="array" aca="1" ref="CX170" ca="1">IF(OR($D170&lt;&gt;"Serviço",AND(AUTOEVENTO="Manual",$M170=$A$15),$M170&gt;(ROW(PLE.lastrow)-ROW(PLE.firstrow))),0,
           IF(OFFSET(PLE!$G$15,$M170-$A$15,CX$13)="",10^12,OFFSET(PLE!$G$15,$M170-$A$15,CX$13)))</f>
        <v>1000000000000</v>
      </c>
      <c r="CY170" s="172" cm="1">
        <f t="array" aca="1" ref="CY170" ca="1">IF(OR($D170&lt;&gt;"Serviço",AND(AUTOEVENTO="Manual",$M170=$A$15),$M170&gt;(ROW(PLE.lastrow)-ROW(PLE.firstrow))),0,
           IF(OFFSET(PLE!$G$15,$M170-$A$15,CY$13)="",10^12,OFFSET(PLE!$G$15,$M170-$A$15,CY$13)))</f>
        <v>1000000000000</v>
      </c>
      <c r="CZ170" s="172" cm="1">
        <f t="array" aca="1" ref="CZ170" ca="1">IF(OR($D170&lt;&gt;"Serviço",AND(AUTOEVENTO="Manual",$M170=$A$15),$M170&gt;(ROW(PLE.lastrow)-ROW(PLE.firstrow))),0,
           IF(OFFSET(PLE!$G$15,$M170-$A$15,CZ$13)="",10^12,OFFSET(PLE!$G$15,$M170-$A$15,CZ$13)))</f>
        <v>1000000000000</v>
      </c>
      <c r="DA170" s="172" cm="1">
        <f t="array" aca="1" ref="DA170" ca="1">IF(OR($D170&lt;&gt;"Serviço",AND(AUTOEVENTO="Manual",$M170=$A$15),$M170&gt;(ROW(PLE.lastrow)-ROW(PLE.firstrow))),0,
           IF(OFFSET(PLE!$G$15,$M170-$A$15,DA$13)="",10^12,OFFSET(PLE!$G$15,$M170-$A$15,DA$13)))</f>
        <v>1000000000000</v>
      </c>
      <c r="DB170" s="172" cm="1">
        <f t="array" aca="1" ref="DB170" ca="1">IF(OR($D170&lt;&gt;"Serviço",AND(AUTOEVENTO="Manual",$M170=$A$15),$M170&gt;(ROW(PLE.lastrow)-ROW(PLE.firstrow))),0,
           IF(OFFSET(PLE!$G$15,$M170-$A$15,DB$13)="",10^12,OFFSET(PLE!$G$15,$M170-$A$15,DB$13)))</f>
        <v>1000000000000</v>
      </c>
      <c r="DC170" s="172" cm="1">
        <f t="array" aca="1" ref="DC170" ca="1">IF(OR($D170&lt;&gt;"Serviço",AND(AUTOEVENTO="Manual",$M170=$A$15),$M170&gt;(ROW(PLE.lastrow)-ROW(PLE.firstrow))),0,
           IF(OFFSET(PLE!$G$15,$M170-$A$15,DC$13)="",10^12,OFFSET(PLE!$G$15,$M170-$A$15,DC$13)))</f>
        <v>1000000000000</v>
      </c>
      <c r="DD170" s="172" cm="1">
        <f t="array" aca="1" ref="DD170" ca="1">IF(OR($D170&lt;&gt;"Serviço",AND(AUTOEVENTO="Manual",$M170=$A$15),$M170&gt;(ROW(PLE.lastrow)-ROW(PLE.firstrow))),0,
           IF(OFFSET(PLE!$G$15,$M170-$A$15,DD$13)="",10^12,OFFSET(PLE!$G$15,$M170-$A$15,DD$13)))</f>
        <v>1000000000000</v>
      </c>
      <c r="DE170" s="172" cm="1">
        <f t="array" aca="1" ref="DE170" ca="1">IF(OR($D170&lt;&gt;"Serviço",AND(AUTOEVENTO="Manual",$M170=$A$15),$M170&gt;(ROW(PLE.lastrow)-ROW(PLE.firstrow))),0,
           IF(OFFSET(PLE!$G$15,$M170-$A$15,DE$13)="",10^12,OFFSET(PLE!$G$15,$M170-$A$15,DE$13)))</f>
        <v>1000000000000</v>
      </c>
      <c r="DF170" s="172" cm="1">
        <f t="array" aca="1" ref="DF170" ca="1">IF(OR($D170&lt;&gt;"Serviço",AND(AUTOEVENTO="Manual",$M170=$A$15),$M170&gt;(ROW(PLE.lastrow)-ROW(PLE.firstrow))),0,
           IF(OFFSET(PLE!$G$15,$M170-$A$15,DF$13)="",10^12,OFFSET(PLE!$G$15,$M170-$A$15,DF$13)))</f>
        <v>1000000000000</v>
      </c>
      <c r="DG170" s="172" cm="1">
        <f t="array" aca="1" ref="DG170" ca="1">IF(OR($D170&lt;&gt;"Serviço",AND(AUTOEVENTO="Manual",$M170=$A$15),$M170&gt;(ROW(PLE.lastrow)-ROW(PLE.firstrow))),0,
           IF(OFFSET(PLE!$G$15,$M170-$A$15,DG$13)="",10^12,OFFSET(PLE!$G$15,$M170-$A$15,DG$13)))</f>
        <v>1000000000000</v>
      </c>
      <c r="DH170" s="172" cm="1">
        <f t="array" aca="1" ref="DH170" ca="1">IF(OR($D170&lt;&gt;"Serviço",AND(AUTOEVENTO="Manual",$M170=$A$15),$M170&gt;(ROW(PLE.lastrow)-ROW(PLE.firstrow))),0,
           IF(OFFSET(PLE!$G$15,$M170-$A$15,DH$13)="",10^12,OFFSET(PLE!$G$15,$M170-$A$15,DH$13)))</f>
        <v>1000000000000</v>
      </c>
      <c r="DI170" s="172" cm="1">
        <f t="array" aca="1" ref="DI170" ca="1">IF(OR($D170&lt;&gt;"Serviço",AND(AUTOEVENTO="Manual",$M170=$A$15),$M170&gt;(ROW(PLE.lastrow)-ROW(PLE.firstrow))),0,
           IF(OFFSET(PLE!$G$15,$M170-$A$15,DI$13)="",10^12,OFFSET(PLE!$G$15,$M170-$A$15,DI$13)))</f>
        <v>1000000000000</v>
      </c>
      <c r="DJ170" s="172" cm="1">
        <f t="array" aca="1" ref="DJ170" ca="1">IF(OR($D170&lt;&gt;"Serviço",AND(AUTOEVENTO="Manual",$M170=$A$15),$M170&gt;(ROW(PLE.lastrow)-ROW(PLE.firstrow))),0,
           IF(OFFSET(PLE!$G$15,$M170-$A$15,DJ$13)="",10^12,OFFSET(PLE!$G$15,$M170-$A$15,DJ$13)))</f>
        <v>1000000000000</v>
      </c>
      <c r="DK170" s="172" cm="1">
        <f t="array" aca="1" ref="DK170" ca="1">IF(OR($D170&lt;&gt;"Serviço",AND(AUTOEVENTO="Manual",$M170=$A$15),$M170&gt;(ROW(PLE.lastrow)-ROW(PLE.firstrow))),0,
           IF(OFFSET(PLE!$G$15,$M170-$A$15,DK$13)="",10^12,OFFSET(PLE!$G$15,$M170-$A$15,DK$13)))</f>
        <v>1000000000000</v>
      </c>
      <c r="DL170" s="172" cm="1">
        <f t="array" aca="1" ref="DL170" ca="1">IF(OR($D170&lt;&gt;"Serviço",AND(AUTOEVENTO="Manual",$M170=$A$15),$M170&gt;(ROW(PLE.lastrow)-ROW(PLE.firstrow))),0,
           IF(OFFSET(PLE!$G$15,$M170-$A$15,DL$13)="",10^12,OFFSET(PLE!$G$15,$M170-$A$15,DL$13)))</f>
        <v>1000000000000</v>
      </c>
      <c r="DM170" s="172" cm="1">
        <f t="array" aca="1" ref="DM170" ca="1">IF(OR($D170&lt;&gt;"Serviço",AND(AUTOEVENTO="Manual",$M170=$A$15),$M170&gt;(ROW(PLE.lastrow)-ROW(PLE.firstrow))),0,
           IF(OFFSET(PLE!$G$15,$M170-$A$15,DM$13)="",10^12,OFFSET(PLE!$G$15,$M170-$A$15,DM$13)))</f>
        <v>1000000000000</v>
      </c>
      <c r="DN170" s="172" cm="1">
        <f t="array" aca="1" ref="DN170" ca="1">IF(OR($D170&lt;&gt;"Serviço",AND(AUTOEVENTO="Manual",$M170=$A$15),$M170&gt;(ROW(PLE.lastrow)-ROW(PLE.firstrow))),0,
           IF(OFFSET(PLE!$G$15,$M170-$A$15,DN$13)="",10^12,OFFSET(PLE!$G$15,$M170-$A$15,DN$13)))</f>
        <v>1000000000000</v>
      </c>
      <c r="DO170" s="172" cm="1">
        <f t="array" aca="1" ref="DO170" ca="1">IF(OR($D170&lt;&gt;"Serviço",AND(AUTOEVENTO="Manual",$M170=$A$15),$M170&gt;(ROW(PLE.lastrow)-ROW(PLE.firstrow))),0,
           IF(OFFSET(PLE!$G$15,$M170-$A$15,DO$13)="",10^12,OFFSET(PLE!$G$15,$M170-$A$15,DO$13)))</f>
        <v>1000000000000</v>
      </c>
      <c r="DP170" s="172" cm="1">
        <f t="array" aca="1" ref="DP170" ca="1">IF(OR($D170&lt;&gt;"Serviço",AND(AUTOEVENTO="Manual",$M170=$A$15),$M170&gt;(ROW(PLE.lastrow)-ROW(PLE.firstrow))),0,
           IF(OFFSET(PLE!$G$15,$M170-$A$15,DP$13)="",10^12,OFFSET(PLE!$G$15,$M170-$A$15,DP$13)))</f>
        <v>1000000000000</v>
      </c>
      <c r="DQ170" s="172" cm="1">
        <f t="array" aca="1" ref="DQ170" ca="1">IF(OR($D170&lt;&gt;"Serviço",AND(AUTOEVENTO="Manual",$M170=$A$15),$M170&gt;(ROW(PLE.lastrow)-ROW(PLE.firstrow))),0,
           IF(OFFSET(PLE!$G$15,$M170-$A$15,DQ$13)="",10^12,OFFSET(PLE!$G$15,$M170-$A$15,DQ$13)))</f>
        <v>1000000000000</v>
      </c>
      <c r="DR170" s="172" cm="1">
        <f t="array" aca="1" ref="DR170" ca="1">IF(OR($D170&lt;&gt;"Serviço",AND(AUTOEVENTO="Manual",$M170=$A$15),$M170&gt;(ROW(PLE.lastrow)-ROW(PLE.firstrow))),0,
           IF(OFFSET(PLE!$G$15,$M170-$A$15,DR$13)="",10^12,OFFSET(PLE!$G$15,$M170-$A$15,DR$13)))</f>
        <v>1000000000000</v>
      </c>
      <c r="DS170" s="172" cm="1">
        <f t="array" aca="1" ref="DS170" ca="1">IF(OR($D170&lt;&gt;"Serviço",AND(AUTOEVENTO="Manual",$M170=$A$15),$M170&gt;(ROW(PLE.lastrow)-ROW(PLE.firstrow))),0,
           IF(OFFSET(PLE!$G$15,$M170-$A$15,DS$13)="",10^12,OFFSET(PLE!$G$15,$M170-$A$15,DS$13)))</f>
        <v>1000000000000</v>
      </c>
    </row>
    <row r="171" spans="1:123" ht="38.25" x14ac:dyDescent="0.2">
      <c r="A171" s="7">
        <f t="shared" ca="1" si="16"/>
        <v>9</v>
      </c>
      <c r="B171" s="7" t="str">
        <f ca="1">OFFSET(ORÇAMENTO!C$15,$L171,0)</f>
        <v>S</v>
      </c>
      <c r="C171" s="7" t="str">
        <f ca="1">OFFSET(ORÇAMENTO!L$15,$L171,0)</f>
        <v/>
      </c>
      <c r="D171" s="116" t="str">
        <f ca="1">OFFSET(ORÇAMENTO!N$15,$L171,0)</f>
        <v>Serviço</v>
      </c>
      <c r="E171" s="117" t="str">
        <f ca="1">OFFSET(ORÇAMENTO!O$15,$L171,0)</f>
        <v>-</v>
      </c>
      <c r="F171" s="163" t="str">
        <f ca="1">OFFSET(ORÇAMENTO!R$15,$L171,0)</f>
        <v>(Código não identificado nas referências)</v>
      </c>
      <c r="G171" s="164" t="str">
        <f ca="1">IF($D171&lt;&gt;"Serviço","",OFFSET(ORÇAMENTO!S$15,$L171,0))</f>
        <v>-</v>
      </c>
      <c r="H171" s="122" cm="1">
        <f t="array" aca="1" ref="H171" ca="1">IF($D171&lt;&gt;"Serviço",0,IF(ACOMPANHAMENTO="BM",ROUND(OFFSET(ORÇAMENTO!AJ$15,$L171,0),15-13*ORÇAMENTO!$AF$7),IF(IFERROR(CÁLCULO.FrentesPreenchidas,0)=0,0,SUM(ROUND(OFFSET($P171,0,1,1,CÁLCULO.FrentesPreenchidas),15-13*ORÇAMENTO!$AF$7)))))</f>
        <v>160</v>
      </c>
      <c r="I171" s="468" t="s">
        <v>1235</v>
      </c>
      <c r="J171" s="651" t="str" cm="1">
        <f t="array" aca="1" ref="J171" ca="1">IF(OR(B171&lt;&gt;"S",CÁLCULO.FrentesPreenchidas=0),"",IF(AND(ACOMPANHAMENTO="PLE",AUTOEVENTO="Manual",OR(H171&gt;0,ORÇAMENTO!AC171="QUANT."),OR(K171="",M171=0,N171="")),"►E",IF(AND(ACOMPANHAMENTO="PLE",ORÇAMENTO!AC171="QUANT."),"►Q",IF(AND(ACOMPANHAMENTO="PLE",H171&lt;&gt;SUMPRODUCT(($Q$1:$AQ$1=1)*ROUND(Q171:AQ171,15))),"►S",IF(AND(COUNTIF($P$11:$AQ$11,"▼")=0,H171&gt;0,I171=""),"◄M","")))))</f>
        <v/>
      </c>
      <c r="K171" s="652" t="s">
        <v>1257</v>
      </c>
      <c r="L171" s="165">
        <f t="shared" ca="1" si="17"/>
        <v>156</v>
      </c>
      <c r="M171" s="166">
        <f ca="1">IF($D171&lt;&gt;"Serviço","",
          IF(AUTOEVENTO="manual",$A171,
                IF(ISERROR(MATCH($A171,$A$15:OFFSET($A171,-1,0),0)),MAX($M$15:OFFSET(M171,-1,0))+1,
                      INDEX($M$15:OFFSET(M171,-1,0),MATCH($A171,$A$15:OFFSET($A171,-1,0),0)))))</f>
        <v>9</v>
      </c>
      <c r="N171" s="167" t="str">
        <f ca="1">IF($D171&lt;&gt;"Serviço","",
         IF(AUTOEVENTO="Manual",
                IF($A171=0,"&lt;-- defina o número do agrupador",
                       OFFSET(EVENTOS!$D$15,$A171-$A$15,0)),
                OFFSET($F$15,$A171,0)))</f>
        <v>INSTALAÇÕES</v>
      </c>
      <c r="O171" s="168"/>
      <c r="Q171" s="168">
        <v>8</v>
      </c>
      <c r="R171" s="169">
        <v>8</v>
      </c>
      <c r="S171" s="169">
        <v>8</v>
      </c>
      <c r="T171" s="169">
        <v>8</v>
      </c>
      <c r="U171" s="169">
        <v>8</v>
      </c>
      <c r="V171" s="169">
        <v>8</v>
      </c>
      <c r="W171" s="169">
        <v>8</v>
      </c>
      <c r="X171" s="169">
        <v>8</v>
      </c>
      <c r="Y171" s="169">
        <v>8</v>
      </c>
      <c r="Z171" s="170">
        <v>8</v>
      </c>
      <c r="AA171" s="169">
        <v>8</v>
      </c>
      <c r="AB171" s="169">
        <v>8</v>
      </c>
      <c r="AC171" s="169">
        <v>8</v>
      </c>
      <c r="AD171" s="169">
        <v>8</v>
      </c>
      <c r="AE171" s="169">
        <v>8</v>
      </c>
      <c r="AF171" s="169">
        <v>8</v>
      </c>
      <c r="AG171" s="169">
        <v>8</v>
      </c>
      <c r="AH171" s="170">
        <v>8</v>
      </c>
      <c r="AI171" s="169">
        <v>8</v>
      </c>
      <c r="AJ171" s="169">
        <v>8</v>
      </c>
      <c r="AK171" s="169"/>
      <c r="AL171" s="169"/>
      <c r="AM171" s="169"/>
      <c r="AN171" s="169"/>
      <c r="AO171" s="169"/>
      <c r="AP171" s="170"/>
      <c r="AR171" s="453">
        <f ca="1">IF(AND($D171="Serviço",AR$12&lt;&gt;0,$H171&gt;0,OR(AUTOEVENTO&lt;&gt;"manual",$M171&lt;&gt;$A$15)),
        IF(Import.TipoArredondamento&lt;&gt;"TransfereGOV",
              ROUND(OFFSET($P171,0,AR$13),15-13*ORÇAMENTO!$AF$7)/$H171*OFFSET(ORÇAMENTO!$X$15,ROW(AR171)-ROW(AR$15),0),
              ROUND(ROUND(OFFSET($P171,0,AR$13),15-13*ORÇAMENTO!$AF$7)*OFFSET(ORÇAMENTO!$W$15,ROW(AR171)-ROW(AR$15),0),15-13*ORÇAMENTO!$AF$11)),
         0)</f>
        <v>0</v>
      </c>
      <c r="AS171" s="453">
        <f ca="1">IF(AND($D171="Serviço",AS$12&lt;&gt;0,$H171&gt;0,OR(AUTOEVENTO&lt;&gt;"manual",$M171&lt;&gt;$A$15)),
        IF(Import.TipoArredondamento&lt;&gt;"TransfereGOV",
              ROUND(OFFSET($P171,0,AS$13),15-13*ORÇAMENTO!$AF$7)/$H171*OFFSET(ORÇAMENTO!$X$15,ROW(AS171)-ROW(AS$15),0),
              ROUND(ROUND(OFFSET($P171,0,AS$13),15-13*ORÇAMENTO!$AF$7)*OFFSET(ORÇAMENTO!$W$15,ROW(AS171)-ROW(AS$15),0),15-13*ORÇAMENTO!$AF$11)),
         0)</f>
        <v>0</v>
      </c>
      <c r="AT171" s="453">
        <f ca="1">IF(AND($D171="Serviço",AT$12&lt;&gt;0,$H171&gt;0,OR(AUTOEVENTO&lt;&gt;"manual",$M171&lt;&gt;$A$15)),
        IF(Import.TipoArredondamento&lt;&gt;"TransfereGOV",
              ROUND(OFFSET($P171,0,AT$13),15-13*ORÇAMENTO!$AF$7)/$H171*OFFSET(ORÇAMENTO!$X$15,ROW(AT171)-ROW(AT$15),0),
              ROUND(ROUND(OFFSET($P171,0,AT$13),15-13*ORÇAMENTO!$AF$7)*OFFSET(ORÇAMENTO!$W$15,ROW(AT171)-ROW(AT$15),0),15-13*ORÇAMENTO!$AF$11)),
         0)</f>
        <v>0</v>
      </c>
      <c r="AU171" s="453">
        <f ca="1">IF(AND($D171="Serviço",AU$12&lt;&gt;0,$H171&gt;0,OR(AUTOEVENTO&lt;&gt;"manual",$M171&lt;&gt;$A$15)),
        IF(Import.TipoArredondamento&lt;&gt;"TransfereGOV",
              ROUND(OFFSET($P171,0,AU$13),15-13*ORÇAMENTO!$AF$7)/$H171*OFFSET(ORÇAMENTO!$X$15,ROW(AU171)-ROW(AU$15),0),
              ROUND(ROUND(OFFSET($P171,0,AU$13),15-13*ORÇAMENTO!$AF$7)*OFFSET(ORÇAMENTO!$W$15,ROW(AU171)-ROW(AU$15),0),15-13*ORÇAMENTO!$AF$11)),
         0)</f>
        <v>0</v>
      </c>
      <c r="AV171" s="453">
        <f ca="1">IF(AND($D171="Serviço",AV$12&lt;&gt;0,$H171&gt;0,OR(AUTOEVENTO&lt;&gt;"manual",$M171&lt;&gt;$A$15)),
        IF(Import.TipoArredondamento&lt;&gt;"TransfereGOV",
              ROUND(OFFSET($P171,0,AV$13),15-13*ORÇAMENTO!$AF$7)/$H171*OFFSET(ORÇAMENTO!$X$15,ROW(AV171)-ROW(AV$15),0),
              ROUND(ROUND(OFFSET($P171,0,AV$13),15-13*ORÇAMENTO!$AF$7)*OFFSET(ORÇAMENTO!$W$15,ROW(AV171)-ROW(AV$15),0),15-13*ORÇAMENTO!$AF$11)),
         0)</f>
        <v>0</v>
      </c>
      <c r="AW171" s="453">
        <f ca="1">IF(AND($D171="Serviço",AW$12&lt;&gt;0,$H171&gt;0,OR(AUTOEVENTO&lt;&gt;"manual",$M171&lt;&gt;$A$15)),
        IF(Import.TipoArredondamento&lt;&gt;"TransfereGOV",
              ROUND(OFFSET($P171,0,AW$13),15-13*ORÇAMENTO!$AF$7)/$H171*OFFSET(ORÇAMENTO!$X$15,ROW(AW171)-ROW(AW$15),0),
              ROUND(ROUND(OFFSET($P171,0,AW$13),15-13*ORÇAMENTO!$AF$7)*OFFSET(ORÇAMENTO!$W$15,ROW(AW171)-ROW(AW$15),0),15-13*ORÇAMENTO!$AF$11)),
         0)</f>
        <v>0</v>
      </c>
      <c r="AX171" s="453">
        <f ca="1">IF(AND($D171="Serviço",AX$12&lt;&gt;0,$H171&gt;0,OR(AUTOEVENTO&lt;&gt;"manual",$M171&lt;&gt;$A$15)),
        IF(Import.TipoArredondamento&lt;&gt;"TransfereGOV",
              ROUND(OFFSET($P171,0,AX$13),15-13*ORÇAMENTO!$AF$7)/$H171*OFFSET(ORÇAMENTO!$X$15,ROW(AX171)-ROW(AX$15),0),
              ROUND(ROUND(OFFSET($P171,0,AX$13),15-13*ORÇAMENTO!$AF$7)*OFFSET(ORÇAMENTO!$W$15,ROW(AX171)-ROW(AX$15),0),15-13*ORÇAMENTO!$AF$11)),
         0)</f>
        <v>0</v>
      </c>
      <c r="AY171" s="453">
        <f ca="1">IF(AND($D171="Serviço",AY$12&lt;&gt;0,$H171&gt;0,OR(AUTOEVENTO&lt;&gt;"manual",$M171&lt;&gt;$A$15)),
        IF(Import.TipoArredondamento&lt;&gt;"TransfereGOV",
              ROUND(OFFSET($P171,0,AY$13),15-13*ORÇAMENTO!$AF$7)/$H171*OFFSET(ORÇAMENTO!$X$15,ROW(AY171)-ROW(AY$15),0),
              ROUND(ROUND(OFFSET($P171,0,AY$13),15-13*ORÇAMENTO!$AF$7)*OFFSET(ORÇAMENTO!$W$15,ROW(AY171)-ROW(AY$15),0),15-13*ORÇAMENTO!$AF$11)),
         0)</f>
        <v>0</v>
      </c>
      <c r="AZ171" s="453">
        <f ca="1">IF(AND($D171="Serviço",AZ$12&lt;&gt;0,$H171&gt;0,OR(AUTOEVENTO&lt;&gt;"manual",$M171&lt;&gt;$A$15)),
        IF(Import.TipoArredondamento&lt;&gt;"TransfereGOV",
              ROUND(OFFSET($P171,0,AZ$13),15-13*ORÇAMENTO!$AF$7)/$H171*OFFSET(ORÇAMENTO!$X$15,ROW(AZ171)-ROW(AZ$15),0),
              ROUND(ROUND(OFFSET($P171,0,AZ$13),15-13*ORÇAMENTO!$AF$7)*OFFSET(ORÇAMENTO!$W$15,ROW(AZ171)-ROW(AZ$15),0),15-13*ORÇAMENTO!$AF$11)),
         0)</f>
        <v>0</v>
      </c>
      <c r="BA171" s="453">
        <f ca="1">IF(AND($D171="Serviço",BA$12&lt;&gt;0,$H171&gt;0,OR(AUTOEVENTO&lt;&gt;"manual",$M171&lt;&gt;$A$15)),
        IF(Import.TipoArredondamento&lt;&gt;"TransfereGOV",
              ROUND(OFFSET($P171,0,BA$13),15-13*ORÇAMENTO!$AF$7)/$H171*OFFSET(ORÇAMENTO!$X$15,ROW(BA171)-ROW(BA$15),0),
              ROUND(ROUND(OFFSET($P171,0,BA$13),15-13*ORÇAMENTO!$AF$7)*OFFSET(ORÇAMENTO!$W$15,ROW(BA171)-ROW(BA$15),0),15-13*ORÇAMENTO!$AF$11)),
         0)</f>
        <v>0</v>
      </c>
      <c r="BB171" s="453">
        <f ca="1">IF(AND($D171="Serviço",BB$12&lt;&gt;0,$H171&gt;0,OR(AUTOEVENTO&lt;&gt;"manual",$M171&lt;&gt;$A$15)),
        IF(Import.TipoArredondamento&lt;&gt;"TransfereGOV",
              ROUND(OFFSET($P171,0,BB$13),15-13*ORÇAMENTO!$AF$7)/$H171*OFFSET(ORÇAMENTO!$X$15,ROW(BB171)-ROW(BB$15),0),
              ROUND(ROUND(OFFSET($P171,0,BB$13),15-13*ORÇAMENTO!$AF$7)*OFFSET(ORÇAMENTO!$W$15,ROW(BB171)-ROW(BB$15),0),15-13*ORÇAMENTO!$AF$11)),
         0)</f>
        <v>0</v>
      </c>
      <c r="BC171" s="453">
        <f ca="1">IF(AND($D171="Serviço",BC$12&lt;&gt;0,$H171&gt;0,OR(AUTOEVENTO&lt;&gt;"manual",$M171&lt;&gt;$A$15)),
        IF(Import.TipoArredondamento&lt;&gt;"TransfereGOV",
              ROUND(OFFSET($P171,0,BC$13),15-13*ORÇAMENTO!$AF$7)/$H171*OFFSET(ORÇAMENTO!$X$15,ROW(BC171)-ROW(BC$15),0),
              ROUND(ROUND(OFFSET($P171,0,BC$13),15-13*ORÇAMENTO!$AF$7)*OFFSET(ORÇAMENTO!$W$15,ROW(BC171)-ROW(BC$15),0),15-13*ORÇAMENTO!$AF$11)),
         0)</f>
        <v>0</v>
      </c>
      <c r="BD171" s="453">
        <f ca="1">IF(AND($D171="Serviço",BD$12&lt;&gt;0,$H171&gt;0,OR(AUTOEVENTO&lt;&gt;"manual",$M171&lt;&gt;$A$15)),
        IF(Import.TipoArredondamento&lt;&gt;"TransfereGOV",
              ROUND(OFFSET($P171,0,BD$13),15-13*ORÇAMENTO!$AF$7)/$H171*OFFSET(ORÇAMENTO!$X$15,ROW(BD171)-ROW(BD$15),0),
              ROUND(ROUND(OFFSET($P171,0,BD$13),15-13*ORÇAMENTO!$AF$7)*OFFSET(ORÇAMENTO!$W$15,ROW(BD171)-ROW(BD$15),0),15-13*ORÇAMENTO!$AF$11)),
         0)</f>
        <v>0</v>
      </c>
      <c r="BE171" s="453">
        <f ca="1">IF(AND($D171="Serviço",BE$12&lt;&gt;0,$H171&gt;0,OR(AUTOEVENTO&lt;&gt;"manual",$M171&lt;&gt;$A$15)),
        IF(Import.TipoArredondamento&lt;&gt;"TransfereGOV",
              ROUND(OFFSET($P171,0,BE$13),15-13*ORÇAMENTO!$AF$7)/$H171*OFFSET(ORÇAMENTO!$X$15,ROW(BE171)-ROW(BE$15),0),
              ROUND(ROUND(OFFSET($P171,0,BE$13),15-13*ORÇAMENTO!$AF$7)*OFFSET(ORÇAMENTO!$W$15,ROW(BE171)-ROW(BE$15),0),15-13*ORÇAMENTO!$AF$11)),
         0)</f>
        <v>0</v>
      </c>
      <c r="BF171" s="453">
        <f ca="1">IF(AND($D171="Serviço",BF$12&lt;&gt;0,$H171&gt;0,OR(AUTOEVENTO&lt;&gt;"manual",$M171&lt;&gt;$A$15)),
        IF(Import.TipoArredondamento&lt;&gt;"TransfereGOV",
              ROUND(OFFSET($P171,0,BF$13),15-13*ORÇAMENTO!$AF$7)/$H171*OFFSET(ORÇAMENTO!$X$15,ROW(BF171)-ROW(BF$15),0),
              ROUND(ROUND(OFFSET($P171,0,BF$13),15-13*ORÇAMENTO!$AF$7)*OFFSET(ORÇAMENTO!$W$15,ROW(BF171)-ROW(BF$15),0),15-13*ORÇAMENTO!$AF$11)),
         0)</f>
        <v>0</v>
      </c>
      <c r="BG171" s="453">
        <f ca="1">IF(AND($D171="Serviço",BG$12&lt;&gt;0,$H171&gt;0,OR(AUTOEVENTO&lt;&gt;"manual",$M171&lt;&gt;$A$15)),
        IF(Import.TipoArredondamento&lt;&gt;"TransfereGOV",
              ROUND(OFFSET($P171,0,BG$13),15-13*ORÇAMENTO!$AF$7)/$H171*OFFSET(ORÇAMENTO!$X$15,ROW(BG171)-ROW(BG$15),0),
              ROUND(ROUND(OFFSET($P171,0,BG$13),15-13*ORÇAMENTO!$AF$7)*OFFSET(ORÇAMENTO!$W$15,ROW(BG171)-ROW(BG$15),0),15-13*ORÇAMENTO!$AF$11)),
         0)</f>
        <v>0</v>
      </c>
      <c r="BH171" s="453">
        <f ca="1">IF(AND($D171="Serviço",BH$12&lt;&gt;0,$H171&gt;0,OR(AUTOEVENTO&lt;&gt;"manual",$M171&lt;&gt;$A$15)),
        IF(Import.TipoArredondamento&lt;&gt;"TransfereGOV",
              ROUND(OFFSET($P171,0,BH$13),15-13*ORÇAMENTO!$AF$7)/$H171*OFFSET(ORÇAMENTO!$X$15,ROW(BH171)-ROW(BH$15),0),
              ROUND(ROUND(OFFSET($P171,0,BH$13),15-13*ORÇAMENTO!$AF$7)*OFFSET(ORÇAMENTO!$W$15,ROW(BH171)-ROW(BH$15),0),15-13*ORÇAMENTO!$AF$11)),
         0)</f>
        <v>0</v>
      </c>
      <c r="BI171" s="453">
        <f ca="1">IF(AND($D171="Serviço",BI$12&lt;&gt;0,$H171&gt;0,OR(AUTOEVENTO&lt;&gt;"manual",$M171&lt;&gt;$A$15)),
        IF(Import.TipoArredondamento&lt;&gt;"TransfereGOV",
              ROUND(OFFSET($P171,0,BI$13),15-13*ORÇAMENTO!$AF$7)/$H171*OFFSET(ORÇAMENTO!$X$15,ROW(BI171)-ROW(BI$15),0),
              ROUND(ROUND(OFFSET($P171,0,BI$13),15-13*ORÇAMENTO!$AF$7)*OFFSET(ORÇAMENTO!$W$15,ROW(BI171)-ROW(BI$15),0),15-13*ORÇAMENTO!$AF$11)),
         0)</f>
        <v>0</v>
      </c>
      <c r="BJ171" s="453">
        <f ca="1">IF(AND($D171="Serviço",BJ$12&lt;&gt;0,$H171&gt;0,OR(AUTOEVENTO&lt;&gt;"manual",$M171&lt;&gt;$A$15)),
        IF(Import.TipoArredondamento&lt;&gt;"TransfereGOV",
              ROUND(OFFSET($P171,0,BJ$13),15-13*ORÇAMENTO!$AF$7)/$H171*OFFSET(ORÇAMENTO!$X$15,ROW(BJ171)-ROW(BJ$15),0),
              ROUND(ROUND(OFFSET($P171,0,BJ$13),15-13*ORÇAMENTO!$AF$7)*OFFSET(ORÇAMENTO!$W$15,ROW(BJ171)-ROW(BJ$15),0),15-13*ORÇAMENTO!$AF$11)),
         0)</f>
        <v>0</v>
      </c>
      <c r="BK171" s="453">
        <f ca="1">IF(AND($D171="Serviço",BK$12&lt;&gt;0,$H171&gt;0,OR(AUTOEVENTO&lt;&gt;"manual",$M171&lt;&gt;$A$15)),
        IF(Import.TipoArredondamento&lt;&gt;"TransfereGOV",
              ROUND(OFFSET($P171,0,BK$13),15-13*ORÇAMENTO!$AF$7)/$H171*OFFSET(ORÇAMENTO!$X$15,ROW(BK171)-ROW(BK$15),0),
              ROUND(ROUND(OFFSET($P171,0,BK$13),15-13*ORÇAMENTO!$AF$7)*OFFSET(ORÇAMENTO!$W$15,ROW(BK171)-ROW(BK$15),0),15-13*ORÇAMENTO!$AF$11)),
         0)</f>
        <v>0</v>
      </c>
      <c r="BL171" s="453">
        <f ca="1">IF(AND($D171="Serviço",BL$12&lt;&gt;0,$H171&gt;0,OR(AUTOEVENTO&lt;&gt;"manual",$M171&lt;&gt;$A$15)),
        IF(Import.TipoArredondamento&lt;&gt;"TransfereGOV",
              ROUND(OFFSET($P171,0,BL$13),15-13*ORÇAMENTO!$AF$7)/$H171*OFFSET(ORÇAMENTO!$X$15,ROW(BL171)-ROW(BL$15),0),
              ROUND(ROUND(OFFSET($P171,0,BL$13),15-13*ORÇAMENTO!$AF$7)*OFFSET(ORÇAMENTO!$W$15,ROW(BL171)-ROW(BL$15),0),15-13*ORÇAMENTO!$AF$11)),
         0)</f>
        <v>0</v>
      </c>
      <c r="BM171" s="453">
        <f ca="1">IF(AND($D171="Serviço",BM$12&lt;&gt;0,$H171&gt;0,OR(AUTOEVENTO&lt;&gt;"manual",$M171&lt;&gt;$A$15)),
        IF(Import.TipoArredondamento&lt;&gt;"TransfereGOV",
              ROUND(OFFSET($P171,0,BM$13),15-13*ORÇAMENTO!$AF$7)/$H171*OFFSET(ORÇAMENTO!$X$15,ROW(BM171)-ROW(BM$15),0),
              ROUND(ROUND(OFFSET($P171,0,BM$13),15-13*ORÇAMENTO!$AF$7)*OFFSET(ORÇAMENTO!$W$15,ROW(BM171)-ROW(BM$15),0),15-13*ORÇAMENTO!$AF$11)),
         0)</f>
        <v>0</v>
      </c>
      <c r="BN171" s="453">
        <f ca="1">IF(AND($D171="Serviço",BN$12&lt;&gt;0,$H171&gt;0,OR(AUTOEVENTO&lt;&gt;"manual",$M171&lt;&gt;$A$15)),
        IF(Import.TipoArredondamento&lt;&gt;"TransfereGOV",
              ROUND(OFFSET($P171,0,BN$13),15-13*ORÇAMENTO!$AF$7)/$H171*OFFSET(ORÇAMENTO!$X$15,ROW(BN171)-ROW(BN$15),0),
              ROUND(ROUND(OFFSET($P171,0,BN$13),15-13*ORÇAMENTO!$AF$7)*OFFSET(ORÇAMENTO!$W$15,ROW(BN171)-ROW(BN$15),0),15-13*ORÇAMENTO!$AF$11)),
         0)</f>
        <v>0</v>
      </c>
      <c r="BO171" s="453">
        <f ca="1">IF(AND($D171="Serviço",BO$12&lt;&gt;0,$H171&gt;0,OR(AUTOEVENTO&lt;&gt;"manual",$M171&lt;&gt;$A$15)),
        IF(Import.TipoArredondamento&lt;&gt;"TransfereGOV",
              ROUND(OFFSET($P171,0,BO$13),15-13*ORÇAMENTO!$AF$7)/$H171*OFFSET(ORÇAMENTO!$X$15,ROW(BO171)-ROW(BO$15),0),
              ROUND(ROUND(OFFSET($P171,0,BO$13),15-13*ORÇAMENTO!$AF$7)*OFFSET(ORÇAMENTO!$W$15,ROW(BO171)-ROW(BO$15),0),15-13*ORÇAMENTO!$AF$11)),
         0)</f>
        <v>0</v>
      </c>
      <c r="BP171" s="453">
        <f ca="1">IF(AND($D171="Serviço",BP$12&lt;&gt;0,$H171&gt;0,OR(AUTOEVENTO&lt;&gt;"manual",$M171&lt;&gt;$A$15)),
        IF(Import.TipoArredondamento&lt;&gt;"TransfereGOV",
              ROUND(OFFSET($P171,0,BP$13),15-13*ORÇAMENTO!$AF$7)/$H171*OFFSET(ORÇAMENTO!$X$15,ROW(BP171)-ROW(BP$15),0),
              ROUND(ROUND(OFFSET($P171,0,BP$13),15-13*ORÇAMENTO!$AF$7)*OFFSET(ORÇAMENTO!$W$15,ROW(BP171)-ROW(BP$15),0),15-13*ORÇAMENTO!$AF$11)),
         0)</f>
        <v>0</v>
      </c>
      <c r="BQ171" s="453">
        <f ca="1">IF(AND($D171="Serviço",BQ$12&lt;&gt;0,$H171&gt;0,OR(AUTOEVENTO&lt;&gt;"manual",$M171&lt;&gt;$A$15)),
        IF(Import.TipoArredondamento&lt;&gt;"TransfereGOV",
              ROUND(OFFSET($P171,0,BQ$13),15-13*ORÇAMENTO!$AF$7)/$H171*OFFSET(ORÇAMENTO!$X$15,ROW(BQ171)-ROW(BQ$15),0),
              ROUND(ROUND(OFFSET($P171,0,BQ$13),15-13*ORÇAMENTO!$AF$7)*OFFSET(ORÇAMENTO!$W$15,ROW(BQ171)-ROW(BQ$15),0),15-13*ORÇAMENTO!$AF$11)),
         0)</f>
        <v>0</v>
      </c>
      <c r="BS171" s="171">
        <f ca="1">IF(OR($D171&lt;&gt;"Serviço",AND(AUTOEVENTO="Manual",$M171=$A$15)),0,
         IF(OFFSET(CRONOPLE!$F$15,$M171-$A$15,BS$13)=0,10^12,OFFSET(CRONOPLE!$F$15,$M171-$A$15,BS$13)))</f>
        <v>1</v>
      </c>
      <c r="BT171" s="171">
        <f ca="1">IF(OR($D171&lt;&gt;"Serviço",AND(AUTOEVENTO="Manual",$M171=$A$15)),0,
         IF(OFFSET(CRONOPLE!$F$15,$M171-$A$15,BT$13)=0,10^12,OFFSET(CRONOPLE!$F$15,$M171-$A$15,BT$13)))</f>
        <v>2</v>
      </c>
      <c r="BU171" s="171">
        <f ca="1">IF(OR($D171&lt;&gt;"Serviço",AND(AUTOEVENTO="Manual",$M171=$A$15)),0,
         IF(OFFSET(CRONOPLE!$F$15,$M171-$A$15,BU$13)=0,10^12,OFFSET(CRONOPLE!$F$15,$M171-$A$15,BU$13)))</f>
        <v>3</v>
      </c>
      <c r="BV171" s="171">
        <f ca="1">IF(OR($D171&lt;&gt;"Serviço",AND(AUTOEVENTO="Manual",$M171=$A$15)),0,
         IF(OFFSET(CRONOPLE!$F$15,$M171-$A$15,BV$13)=0,10^12,OFFSET(CRONOPLE!$F$15,$M171-$A$15,BV$13)))</f>
        <v>4</v>
      </c>
      <c r="BW171" s="171">
        <f ca="1">IF(OR($D171&lt;&gt;"Serviço",AND(AUTOEVENTO="Manual",$M171=$A$15)),0,
         IF(OFFSET(CRONOPLE!$F$15,$M171-$A$15,BW$13)=0,10^12,OFFSET(CRONOPLE!$F$15,$M171-$A$15,BW$13)))</f>
        <v>5</v>
      </c>
      <c r="BX171" s="171">
        <f ca="1">IF(OR($D171&lt;&gt;"Serviço",AND(AUTOEVENTO="Manual",$M171=$A$15)),0,
         IF(OFFSET(CRONOPLE!$F$15,$M171-$A$15,BX$13)=0,10^12,OFFSET(CRONOPLE!$F$15,$M171-$A$15,BX$13)))</f>
        <v>6</v>
      </c>
      <c r="BY171" s="171">
        <f ca="1">IF(OR($D171&lt;&gt;"Serviço",AND(AUTOEVENTO="Manual",$M171=$A$15)),0,
         IF(OFFSET(CRONOPLE!$F$15,$M171-$A$15,BY$13)=0,10^12,OFFSET(CRONOPLE!$F$15,$M171-$A$15,BY$13)))</f>
        <v>7</v>
      </c>
      <c r="BZ171" s="171">
        <f ca="1">IF(OR($D171&lt;&gt;"Serviço",AND(AUTOEVENTO="Manual",$M171=$A$15)),0,
         IF(OFFSET(CRONOPLE!$F$15,$M171-$A$15,BZ$13)=0,10^12,OFFSET(CRONOPLE!$F$15,$M171-$A$15,BZ$13)))</f>
        <v>8</v>
      </c>
      <c r="CA171" s="171">
        <f ca="1">IF(OR($D171&lt;&gt;"Serviço",AND(AUTOEVENTO="Manual",$M171=$A$15)),0,
         IF(OFFSET(CRONOPLE!$F$15,$M171-$A$15,CA$13)=0,10^12,OFFSET(CRONOPLE!$F$15,$M171-$A$15,CA$13)))</f>
        <v>9</v>
      </c>
      <c r="CB171" s="171">
        <f ca="1">IF(OR($D171&lt;&gt;"Serviço",AND(AUTOEVENTO="Manual",$M171=$A$15)),0,
         IF(OFFSET(CRONOPLE!$F$15,$M171-$A$15,CB$13)=0,10^12,OFFSET(CRONOPLE!$F$15,$M171-$A$15,CB$13)))</f>
        <v>10</v>
      </c>
      <c r="CC171" s="171">
        <f ca="1">IF(OR($D171&lt;&gt;"Serviço",AND(AUTOEVENTO="Manual",$M171=$A$15)),0,
         IF(OFFSET(CRONOPLE!$F$15,$M171-$A$15,CC$13)=0,10^12,OFFSET(CRONOPLE!$F$15,$M171-$A$15,CC$13)))</f>
        <v>11</v>
      </c>
      <c r="CD171" s="171">
        <f ca="1">IF(OR($D171&lt;&gt;"Serviço",AND(AUTOEVENTO="Manual",$M171=$A$15)),0,
         IF(OFFSET(CRONOPLE!$F$15,$M171-$A$15,CD$13)=0,10^12,OFFSET(CRONOPLE!$F$15,$M171-$A$15,CD$13)))</f>
        <v>12</v>
      </c>
      <c r="CE171" s="171">
        <f ca="1">IF(OR($D171&lt;&gt;"Serviço",AND(AUTOEVENTO="Manual",$M171=$A$15)),0,
         IF(OFFSET(CRONOPLE!$F$15,$M171-$A$15,CE$13)=0,10^12,OFFSET(CRONOPLE!$F$15,$M171-$A$15,CE$13)))</f>
        <v>13</v>
      </c>
      <c r="CF171" s="171">
        <f ca="1">IF(OR($D171&lt;&gt;"Serviço",AND(AUTOEVENTO="Manual",$M171=$A$15)),0,
         IF(OFFSET(CRONOPLE!$F$15,$M171-$A$15,CF$13)=0,10^12,OFFSET(CRONOPLE!$F$15,$M171-$A$15,CF$13)))</f>
        <v>14</v>
      </c>
      <c r="CG171" s="171">
        <f ca="1">IF(OR($D171&lt;&gt;"Serviço",AND(AUTOEVENTO="Manual",$M171=$A$15)),0,
         IF(OFFSET(CRONOPLE!$F$15,$M171-$A$15,CG$13)=0,10^12,OFFSET(CRONOPLE!$F$15,$M171-$A$15,CG$13)))</f>
        <v>15</v>
      </c>
      <c r="CH171" s="171">
        <f ca="1">IF(OR($D171&lt;&gt;"Serviço",AND(AUTOEVENTO="Manual",$M171=$A$15)),0,
         IF(OFFSET(CRONOPLE!$F$15,$M171-$A$15,CH$13)=0,10^12,OFFSET(CRONOPLE!$F$15,$M171-$A$15,CH$13)))</f>
        <v>16</v>
      </c>
      <c r="CI171" s="171">
        <f ca="1">IF(OR($D171&lt;&gt;"Serviço",AND(AUTOEVENTO="Manual",$M171=$A$15)),0,
         IF(OFFSET(CRONOPLE!$F$15,$M171-$A$15,CI$13)=0,10^12,OFFSET(CRONOPLE!$F$15,$M171-$A$15,CI$13)))</f>
        <v>17</v>
      </c>
      <c r="CJ171" s="171">
        <f ca="1">IF(OR($D171&lt;&gt;"Serviço",AND(AUTOEVENTO="Manual",$M171=$A$15)),0,
         IF(OFFSET(CRONOPLE!$F$15,$M171-$A$15,CJ$13)=0,10^12,OFFSET(CRONOPLE!$F$15,$M171-$A$15,CJ$13)))</f>
        <v>18</v>
      </c>
      <c r="CK171" s="171">
        <f ca="1">IF(OR($D171&lt;&gt;"Serviço",AND(AUTOEVENTO="Manual",$M171=$A$15)),0,
         IF(OFFSET(CRONOPLE!$F$15,$M171-$A$15,CK$13)=0,10^12,OFFSET(CRONOPLE!$F$15,$M171-$A$15,CK$13)))</f>
        <v>19</v>
      </c>
      <c r="CL171" s="171">
        <f ca="1">IF(OR($D171&lt;&gt;"Serviço",AND(AUTOEVENTO="Manual",$M171=$A$15)),0,
         IF(OFFSET(CRONOPLE!$F$15,$M171-$A$15,CL$13)=0,10^12,OFFSET(CRONOPLE!$F$15,$M171-$A$15,CL$13)))</f>
        <v>20</v>
      </c>
      <c r="CM171" s="171">
        <f ca="1">IF(OR($D171&lt;&gt;"Serviço",AND(AUTOEVENTO="Manual",$M171=$A$15)),0,
         IF(OFFSET(CRONOPLE!$F$15,$M171-$A$15,CM$13)=0,10^12,OFFSET(CRONOPLE!$F$15,$M171-$A$15,CM$13)))</f>
        <v>1000000000000</v>
      </c>
      <c r="CN171" s="171">
        <f ca="1">IF(OR($D171&lt;&gt;"Serviço",AND(AUTOEVENTO="Manual",$M171=$A$15)),0,
         IF(OFFSET(CRONOPLE!$F$15,$M171-$A$15,CN$13)=0,10^12,OFFSET(CRONOPLE!$F$15,$M171-$A$15,CN$13)))</f>
        <v>1000000000000</v>
      </c>
      <c r="CO171" s="171">
        <f ca="1">IF(OR($D171&lt;&gt;"Serviço",AND(AUTOEVENTO="Manual",$M171=$A$15)),0,
         IF(OFFSET(CRONOPLE!$F$15,$M171-$A$15,CO$13)=0,10^12,OFFSET(CRONOPLE!$F$15,$M171-$A$15,CO$13)))</f>
        <v>1000000000000</v>
      </c>
      <c r="CP171" s="171">
        <f ca="1">IF(OR($D171&lt;&gt;"Serviço",AND(AUTOEVENTO="Manual",$M171=$A$15)),0,
         IF(OFFSET(CRONOPLE!$F$15,$M171-$A$15,CP$13)=0,10^12,OFFSET(CRONOPLE!$F$15,$M171-$A$15,CP$13)))</f>
        <v>1000000000000</v>
      </c>
      <c r="CQ171" s="171">
        <f ca="1">IF(OR($D171&lt;&gt;"Serviço",AND(AUTOEVENTO="Manual",$M171=$A$15)),0,
         IF(OFFSET(CRONOPLE!$F$15,$M171-$A$15,CQ$13)=0,10^12,OFFSET(CRONOPLE!$F$15,$M171-$A$15,CQ$13)))</f>
        <v>1000000000000</v>
      </c>
      <c r="CR171" s="171">
        <f ca="1">IF(OR($D171&lt;&gt;"Serviço",AND(AUTOEVENTO="Manual",$M171=$A$15)),0,
         IF(OFFSET(CRONOPLE!$F$15,$M171-$A$15,CR$13)=0,10^12,OFFSET(CRONOPLE!$F$15,$M171-$A$15,CR$13)))</f>
        <v>1000000000000</v>
      </c>
      <c r="CT171" s="172" cm="1">
        <f t="array" aca="1" ref="CT171" ca="1">IF(OR($D171&lt;&gt;"Serviço",AND(AUTOEVENTO="Manual",$M171=$A$15),$M171&gt;(ROW(PLE.lastrow)-ROW(PLE.firstrow))),0,
           IF(OFFSET(PLE!$G$15,$M171-$A$15,CT$13)="",10^12,OFFSET(PLE!$G$15,$M171-$A$15,CT$13)))</f>
        <v>1000000000000</v>
      </c>
      <c r="CU171" s="172" cm="1">
        <f t="array" aca="1" ref="CU171" ca="1">IF(OR($D171&lt;&gt;"Serviço",AND(AUTOEVENTO="Manual",$M171=$A$15),$M171&gt;(ROW(PLE.lastrow)-ROW(PLE.firstrow))),0,
           IF(OFFSET(PLE!$G$15,$M171-$A$15,CU$13)="",10^12,OFFSET(PLE!$G$15,$M171-$A$15,CU$13)))</f>
        <v>1000000000000</v>
      </c>
      <c r="CV171" s="172" cm="1">
        <f t="array" aca="1" ref="CV171" ca="1">IF(OR($D171&lt;&gt;"Serviço",AND(AUTOEVENTO="Manual",$M171=$A$15),$M171&gt;(ROW(PLE.lastrow)-ROW(PLE.firstrow))),0,
           IF(OFFSET(PLE!$G$15,$M171-$A$15,CV$13)="",10^12,OFFSET(PLE!$G$15,$M171-$A$15,CV$13)))</f>
        <v>1000000000000</v>
      </c>
      <c r="CW171" s="172" cm="1">
        <f t="array" aca="1" ref="CW171" ca="1">IF(OR($D171&lt;&gt;"Serviço",AND(AUTOEVENTO="Manual",$M171=$A$15),$M171&gt;(ROW(PLE.lastrow)-ROW(PLE.firstrow))),0,
           IF(OFFSET(PLE!$G$15,$M171-$A$15,CW$13)="",10^12,OFFSET(PLE!$G$15,$M171-$A$15,CW$13)))</f>
        <v>1000000000000</v>
      </c>
      <c r="CX171" s="172" cm="1">
        <f t="array" aca="1" ref="CX171" ca="1">IF(OR($D171&lt;&gt;"Serviço",AND(AUTOEVENTO="Manual",$M171=$A$15),$M171&gt;(ROW(PLE.lastrow)-ROW(PLE.firstrow))),0,
           IF(OFFSET(PLE!$G$15,$M171-$A$15,CX$13)="",10^12,OFFSET(PLE!$G$15,$M171-$A$15,CX$13)))</f>
        <v>1000000000000</v>
      </c>
      <c r="CY171" s="172" cm="1">
        <f t="array" aca="1" ref="CY171" ca="1">IF(OR($D171&lt;&gt;"Serviço",AND(AUTOEVENTO="Manual",$M171=$A$15),$M171&gt;(ROW(PLE.lastrow)-ROW(PLE.firstrow))),0,
           IF(OFFSET(PLE!$G$15,$M171-$A$15,CY$13)="",10^12,OFFSET(PLE!$G$15,$M171-$A$15,CY$13)))</f>
        <v>1000000000000</v>
      </c>
      <c r="CZ171" s="172" cm="1">
        <f t="array" aca="1" ref="CZ171" ca="1">IF(OR($D171&lt;&gt;"Serviço",AND(AUTOEVENTO="Manual",$M171=$A$15),$M171&gt;(ROW(PLE.lastrow)-ROW(PLE.firstrow))),0,
           IF(OFFSET(PLE!$G$15,$M171-$A$15,CZ$13)="",10^12,OFFSET(PLE!$G$15,$M171-$A$15,CZ$13)))</f>
        <v>1000000000000</v>
      </c>
      <c r="DA171" s="172" cm="1">
        <f t="array" aca="1" ref="DA171" ca="1">IF(OR($D171&lt;&gt;"Serviço",AND(AUTOEVENTO="Manual",$M171=$A$15),$M171&gt;(ROW(PLE.lastrow)-ROW(PLE.firstrow))),0,
           IF(OFFSET(PLE!$G$15,$M171-$A$15,DA$13)="",10^12,OFFSET(PLE!$G$15,$M171-$A$15,DA$13)))</f>
        <v>1000000000000</v>
      </c>
      <c r="DB171" s="172" cm="1">
        <f t="array" aca="1" ref="DB171" ca="1">IF(OR($D171&lt;&gt;"Serviço",AND(AUTOEVENTO="Manual",$M171=$A$15),$M171&gt;(ROW(PLE.lastrow)-ROW(PLE.firstrow))),0,
           IF(OFFSET(PLE!$G$15,$M171-$A$15,DB$13)="",10^12,OFFSET(PLE!$G$15,$M171-$A$15,DB$13)))</f>
        <v>1000000000000</v>
      </c>
      <c r="DC171" s="172" cm="1">
        <f t="array" aca="1" ref="DC171" ca="1">IF(OR($D171&lt;&gt;"Serviço",AND(AUTOEVENTO="Manual",$M171=$A$15),$M171&gt;(ROW(PLE.lastrow)-ROW(PLE.firstrow))),0,
           IF(OFFSET(PLE!$G$15,$M171-$A$15,DC$13)="",10^12,OFFSET(PLE!$G$15,$M171-$A$15,DC$13)))</f>
        <v>1000000000000</v>
      </c>
      <c r="DD171" s="172" cm="1">
        <f t="array" aca="1" ref="DD171" ca="1">IF(OR($D171&lt;&gt;"Serviço",AND(AUTOEVENTO="Manual",$M171=$A$15),$M171&gt;(ROW(PLE.lastrow)-ROW(PLE.firstrow))),0,
           IF(OFFSET(PLE!$G$15,$M171-$A$15,DD$13)="",10^12,OFFSET(PLE!$G$15,$M171-$A$15,DD$13)))</f>
        <v>1000000000000</v>
      </c>
      <c r="DE171" s="172" cm="1">
        <f t="array" aca="1" ref="DE171" ca="1">IF(OR($D171&lt;&gt;"Serviço",AND(AUTOEVENTO="Manual",$M171=$A$15),$M171&gt;(ROW(PLE.lastrow)-ROW(PLE.firstrow))),0,
           IF(OFFSET(PLE!$G$15,$M171-$A$15,DE$13)="",10^12,OFFSET(PLE!$G$15,$M171-$A$15,DE$13)))</f>
        <v>1000000000000</v>
      </c>
      <c r="DF171" s="172" cm="1">
        <f t="array" aca="1" ref="DF171" ca="1">IF(OR($D171&lt;&gt;"Serviço",AND(AUTOEVENTO="Manual",$M171=$A$15),$M171&gt;(ROW(PLE.lastrow)-ROW(PLE.firstrow))),0,
           IF(OFFSET(PLE!$G$15,$M171-$A$15,DF$13)="",10^12,OFFSET(PLE!$G$15,$M171-$A$15,DF$13)))</f>
        <v>1000000000000</v>
      </c>
      <c r="DG171" s="172" cm="1">
        <f t="array" aca="1" ref="DG171" ca="1">IF(OR($D171&lt;&gt;"Serviço",AND(AUTOEVENTO="Manual",$M171=$A$15),$M171&gt;(ROW(PLE.lastrow)-ROW(PLE.firstrow))),0,
           IF(OFFSET(PLE!$G$15,$M171-$A$15,DG$13)="",10^12,OFFSET(PLE!$G$15,$M171-$A$15,DG$13)))</f>
        <v>1000000000000</v>
      </c>
      <c r="DH171" s="172" cm="1">
        <f t="array" aca="1" ref="DH171" ca="1">IF(OR($D171&lt;&gt;"Serviço",AND(AUTOEVENTO="Manual",$M171=$A$15),$M171&gt;(ROW(PLE.lastrow)-ROW(PLE.firstrow))),0,
           IF(OFFSET(PLE!$G$15,$M171-$A$15,DH$13)="",10^12,OFFSET(PLE!$G$15,$M171-$A$15,DH$13)))</f>
        <v>1000000000000</v>
      </c>
      <c r="DI171" s="172" cm="1">
        <f t="array" aca="1" ref="DI171" ca="1">IF(OR($D171&lt;&gt;"Serviço",AND(AUTOEVENTO="Manual",$M171=$A$15),$M171&gt;(ROW(PLE.lastrow)-ROW(PLE.firstrow))),0,
           IF(OFFSET(PLE!$G$15,$M171-$A$15,DI$13)="",10^12,OFFSET(PLE!$G$15,$M171-$A$15,DI$13)))</f>
        <v>1000000000000</v>
      </c>
      <c r="DJ171" s="172" cm="1">
        <f t="array" aca="1" ref="DJ171" ca="1">IF(OR($D171&lt;&gt;"Serviço",AND(AUTOEVENTO="Manual",$M171=$A$15),$M171&gt;(ROW(PLE.lastrow)-ROW(PLE.firstrow))),0,
           IF(OFFSET(PLE!$G$15,$M171-$A$15,DJ$13)="",10^12,OFFSET(PLE!$G$15,$M171-$A$15,DJ$13)))</f>
        <v>1000000000000</v>
      </c>
      <c r="DK171" s="172" cm="1">
        <f t="array" aca="1" ref="DK171" ca="1">IF(OR($D171&lt;&gt;"Serviço",AND(AUTOEVENTO="Manual",$M171=$A$15),$M171&gt;(ROW(PLE.lastrow)-ROW(PLE.firstrow))),0,
           IF(OFFSET(PLE!$G$15,$M171-$A$15,DK$13)="",10^12,OFFSET(PLE!$G$15,$M171-$A$15,DK$13)))</f>
        <v>1000000000000</v>
      </c>
      <c r="DL171" s="172" cm="1">
        <f t="array" aca="1" ref="DL171" ca="1">IF(OR($D171&lt;&gt;"Serviço",AND(AUTOEVENTO="Manual",$M171=$A$15),$M171&gt;(ROW(PLE.lastrow)-ROW(PLE.firstrow))),0,
           IF(OFFSET(PLE!$G$15,$M171-$A$15,DL$13)="",10^12,OFFSET(PLE!$G$15,$M171-$A$15,DL$13)))</f>
        <v>1000000000000</v>
      </c>
      <c r="DM171" s="172" cm="1">
        <f t="array" aca="1" ref="DM171" ca="1">IF(OR($D171&lt;&gt;"Serviço",AND(AUTOEVENTO="Manual",$M171=$A$15),$M171&gt;(ROW(PLE.lastrow)-ROW(PLE.firstrow))),0,
           IF(OFFSET(PLE!$G$15,$M171-$A$15,DM$13)="",10^12,OFFSET(PLE!$G$15,$M171-$A$15,DM$13)))</f>
        <v>1000000000000</v>
      </c>
      <c r="DN171" s="172" cm="1">
        <f t="array" aca="1" ref="DN171" ca="1">IF(OR($D171&lt;&gt;"Serviço",AND(AUTOEVENTO="Manual",$M171=$A$15),$M171&gt;(ROW(PLE.lastrow)-ROW(PLE.firstrow))),0,
           IF(OFFSET(PLE!$G$15,$M171-$A$15,DN$13)="",10^12,OFFSET(PLE!$G$15,$M171-$A$15,DN$13)))</f>
        <v>1000000000000</v>
      </c>
      <c r="DO171" s="172" cm="1">
        <f t="array" aca="1" ref="DO171" ca="1">IF(OR($D171&lt;&gt;"Serviço",AND(AUTOEVENTO="Manual",$M171=$A$15),$M171&gt;(ROW(PLE.lastrow)-ROW(PLE.firstrow))),0,
           IF(OFFSET(PLE!$G$15,$M171-$A$15,DO$13)="",10^12,OFFSET(PLE!$G$15,$M171-$A$15,DO$13)))</f>
        <v>1000000000000</v>
      </c>
      <c r="DP171" s="172" cm="1">
        <f t="array" aca="1" ref="DP171" ca="1">IF(OR($D171&lt;&gt;"Serviço",AND(AUTOEVENTO="Manual",$M171=$A$15),$M171&gt;(ROW(PLE.lastrow)-ROW(PLE.firstrow))),0,
           IF(OFFSET(PLE!$G$15,$M171-$A$15,DP$13)="",10^12,OFFSET(PLE!$G$15,$M171-$A$15,DP$13)))</f>
        <v>1000000000000</v>
      </c>
      <c r="DQ171" s="172" cm="1">
        <f t="array" aca="1" ref="DQ171" ca="1">IF(OR($D171&lt;&gt;"Serviço",AND(AUTOEVENTO="Manual",$M171=$A$15),$M171&gt;(ROW(PLE.lastrow)-ROW(PLE.firstrow))),0,
           IF(OFFSET(PLE!$G$15,$M171-$A$15,DQ$13)="",10^12,OFFSET(PLE!$G$15,$M171-$A$15,DQ$13)))</f>
        <v>1000000000000</v>
      </c>
      <c r="DR171" s="172" cm="1">
        <f t="array" aca="1" ref="DR171" ca="1">IF(OR($D171&lt;&gt;"Serviço",AND(AUTOEVENTO="Manual",$M171=$A$15),$M171&gt;(ROW(PLE.lastrow)-ROW(PLE.firstrow))),0,
           IF(OFFSET(PLE!$G$15,$M171-$A$15,DR$13)="",10^12,OFFSET(PLE!$G$15,$M171-$A$15,DR$13)))</f>
        <v>1000000000000</v>
      </c>
      <c r="DS171" s="172" cm="1">
        <f t="array" aca="1" ref="DS171" ca="1">IF(OR($D171&lt;&gt;"Serviço",AND(AUTOEVENTO="Manual",$M171=$A$15),$M171&gt;(ROW(PLE.lastrow)-ROW(PLE.firstrow))),0,
           IF(OFFSET(PLE!$G$15,$M171-$A$15,DS$13)="",10^12,OFFSET(PLE!$G$15,$M171-$A$15,DS$13)))</f>
        <v>1000000000000</v>
      </c>
    </row>
    <row r="172" spans="1:123" ht="25.5" x14ac:dyDescent="0.2">
      <c r="A172" s="7">
        <f t="shared" ca="1" si="16"/>
        <v>9</v>
      </c>
      <c r="B172" s="7" t="str">
        <f ca="1">OFFSET(ORÇAMENTO!C$15,$L172,0)</f>
        <v>S</v>
      </c>
      <c r="C172" s="7" t="str">
        <f ca="1">OFFSET(ORÇAMENTO!L$15,$L172,0)</f>
        <v/>
      </c>
      <c r="D172" s="116" t="str">
        <f ca="1">OFFSET(ORÇAMENTO!N$15,$L172,0)</f>
        <v>Serviço</v>
      </c>
      <c r="E172" s="117" t="str">
        <f ca="1">OFFSET(ORÇAMENTO!O$15,$L172,0)</f>
        <v>-</v>
      </c>
      <c r="F172" s="163" t="str">
        <f ca="1">OFFSET(ORÇAMENTO!R$15,$L172,0)</f>
        <v>(Código não identificado nas referências)</v>
      </c>
      <c r="G172" s="164" t="str">
        <f ca="1">IF($D172&lt;&gt;"Serviço","",OFFSET(ORÇAMENTO!S$15,$L172,0))</f>
        <v>-</v>
      </c>
      <c r="H172" s="122" cm="1">
        <f t="array" aca="1" ref="H172" ca="1">IF($D172&lt;&gt;"Serviço",0,IF(ACOMPANHAMENTO="BM",ROUND(OFFSET(ORÇAMENTO!AJ$15,$L172,0),15-13*ORÇAMENTO!$AF$7),IF(IFERROR(CÁLCULO.FrentesPreenchidas,0)=0,0,SUM(ROUND(OFFSET($P172,0,1,1,CÁLCULO.FrentesPreenchidas),15-13*ORÇAMENTO!$AF$7)))))</f>
        <v>101.99999999999997</v>
      </c>
      <c r="I172" s="468" t="s">
        <v>1235</v>
      </c>
      <c r="J172" s="651" t="str" cm="1">
        <f t="array" aca="1" ref="J172" ca="1">IF(OR(B172&lt;&gt;"S",CÁLCULO.FrentesPreenchidas=0),"",IF(AND(ACOMPANHAMENTO="PLE",AUTOEVENTO="Manual",OR(H172&gt;0,ORÇAMENTO!AC172="QUANT."),OR(K172="",M172=0,N172="")),"►E",IF(AND(ACOMPANHAMENTO="PLE",ORÇAMENTO!AC172="QUANT."),"►Q",IF(AND(ACOMPANHAMENTO="PLE",H172&lt;&gt;SUMPRODUCT(($Q$1:$AQ$1=1)*ROUND(Q172:AQ172,15))),"►S",IF(AND(COUNTIF($P$11:$AQ$11,"▼")=0,H172&gt;0,I172=""),"◄M","")))))</f>
        <v/>
      </c>
      <c r="K172" s="652" t="s">
        <v>1257</v>
      </c>
      <c r="L172" s="165">
        <f t="shared" ca="1" si="17"/>
        <v>157</v>
      </c>
      <c r="M172" s="166">
        <f ca="1">IF($D172&lt;&gt;"Serviço","",
          IF(AUTOEVENTO="manual",$A172,
                IF(ISERROR(MATCH($A172,$A$15:OFFSET($A172,-1,0),0)),MAX($M$15:OFFSET(M172,-1,0))+1,
                      INDEX($M$15:OFFSET(M172,-1,0),MATCH($A172,$A$15:OFFSET($A172,-1,0),0)))))</f>
        <v>9</v>
      </c>
      <c r="N172" s="167" t="str">
        <f ca="1">IF($D172&lt;&gt;"Serviço","",
         IF(AUTOEVENTO="Manual",
                IF($A172=0,"&lt;-- defina o número do agrupador",
                       OFFSET(EVENTOS!$D$15,$A172-$A$15,0)),
                OFFSET($F$15,$A172,0)))</f>
        <v>INSTALAÇÕES</v>
      </c>
      <c r="O172" s="168"/>
      <c r="Q172" s="168">
        <v>5.0999999999999996</v>
      </c>
      <c r="R172" s="169">
        <v>5.0999999999999996</v>
      </c>
      <c r="S172" s="169">
        <v>5.0999999999999996</v>
      </c>
      <c r="T172" s="169">
        <v>5.0999999999999996</v>
      </c>
      <c r="U172" s="169">
        <v>5.0999999999999996</v>
      </c>
      <c r="V172" s="169">
        <v>5.0999999999999996</v>
      </c>
      <c r="W172" s="169">
        <v>5.0999999999999996</v>
      </c>
      <c r="X172" s="169">
        <v>5.0999999999999996</v>
      </c>
      <c r="Y172" s="169">
        <v>5.0999999999999996</v>
      </c>
      <c r="Z172" s="170">
        <v>5.0999999999999996</v>
      </c>
      <c r="AA172" s="169">
        <v>5.0999999999999996</v>
      </c>
      <c r="AB172" s="169">
        <v>5.0999999999999996</v>
      </c>
      <c r="AC172" s="169">
        <v>5.0999999999999996</v>
      </c>
      <c r="AD172" s="169">
        <v>5.0999999999999996</v>
      </c>
      <c r="AE172" s="169">
        <v>5.0999999999999996</v>
      </c>
      <c r="AF172" s="169">
        <v>5.0999999999999996</v>
      </c>
      <c r="AG172" s="169">
        <v>5.0999999999999996</v>
      </c>
      <c r="AH172" s="170">
        <v>5.0999999999999996</v>
      </c>
      <c r="AI172" s="169">
        <v>5.0999999999999996</v>
      </c>
      <c r="AJ172" s="169">
        <v>5.0999999999999996</v>
      </c>
      <c r="AK172" s="169"/>
      <c r="AL172" s="169"/>
      <c r="AM172" s="169"/>
      <c r="AN172" s="169"/>
      <c r="AO172" s="169"/>
      <c r="AP172" s="170"/>
      <c r="AR172" s="453">
        <f ca="1">IF(AND($D172="Serviço",AR$12&lt;&gt;0,$H172&gt;0,OR(AUTOEVENTO&lt;&gt;"manual",$M172&lt;&gt;$A$15)),
        IF(Import.TipoArredondamento&lt;&gt;"TransfereGOV",
              ROUND(OFFSET($P172,0,AR$13),15-13*ORÇAMENTO!$AF$7)/$H172*OFFSET(ORÇAMENTO!$X$15,ROW(AR172)-ROW(AR$15),0),
              ROUND(ROUND(OFFSET($P172,0,AR$13),15-13*ORÇAMENTO!$AF$7)*OFFSET(ORÇAMENTO!$W$15,ROW(AR172)-ROW(AR$15),0),15-13*ORÇAMENTO!$AF$11)),
         0)</f>
        <v>0</v>
      </c>
      <c r="AS172" s="453">
        <f ca="1">IF(AND($D172="Serviço",AS$12&lt;&gt;0,$H172&gt;0,OR(AUTOEVENTO&lt;&gt;"manual",$M172&lt;&gt;$A$15)),
        IF(Import.TipoArredondamento&lt;&gt;"TransfereGOV",
              ROUND(OFFSET($P172,0,AS$13),15-13*ORÇAMENTO!$AF$7)/$H172*OFFSET(ORÇAMENTO!$X$15,ROW(AS172)-ROW(AS$15),0),
              ROUND(ROUND(OFFSET($P172,0,AS$13),15-13*ORÇAMENTO!$AF$7)*OFFSET(ORÇAMENTO!$W$15,ROW(AS172)-ROW(AS$15),0),15-13*ORÇAMENTO!$AF$11)),
         0)</f>
        <v>0</v>
      </c>
      <c r="AT172" s="453">
        <f ca="1">IF(AND($D172="Serviço",AT$12&lt;&gt;0,$H172&gt;0,OR(AUTOEVENTO&lt;&gt;"manual",$M172&lt;&gt;$A$15)),
        IF(Import.TipoArredondamento&lt;&gt;"TransfereGOV",
              ROUND(OFFSET($P172,0,AT$13),15-13*ORÇAMENTO!$AF$7)/$H172*OFFSET(ORÇAMENTO!$X$15,ROW(AT172)-ROW(AT$15),0),
              ROUND(ROUND(OFFSET($P172,0,AT$13),15-13*ORÇAMENTO!$AF$7)*OFFSET(ORÇAMENTO!$W$15,ROW(AT172)-ROW(AT$15),0),15-13*ORÇAMENTO!$AF$11)),
         0)</f>
        <v>0</v>
      </c>
      <c r="AU172" s="453">
        <f ca="1">IF(AND($D172="Serviço",AU$12&lt;&gt;0,$H172&gt;0,OR(AUTOEVENTO&lt;&gt;"manual",$M172&lt;&gt;$A$15)),
        IF(Import.TipoArredondamento&lt;&gt;"TransfereGOV",
              ROUND(OFFSET($P172,0,AU$13),15-13*ORÇAMENTO!$AF$7)/$H172*OFFSET(ORÇAMENTO!$X$15,ROW(AU172)-ROW(AU$15),0),
              ROUND(ROUND(OFFSET($P172,0,AU$13),15-13*ORÇAMENTO!$AF$7)*OFFSET(ORÇAMENTO!$W$15,ROW(AU172)-ROW(AU$15),0),15-13*ORÇAMENTO!$AF$11)),
         0)</f>
        <v>0</v>
      </c>
      <c r="AV172" s="453">
        <f ca="1">IF(AND($D172="Serviço",AV$12&lt;&gt;0,$H172&gt;0,OR(AUTOEVENTO&lt;&gt;"manual",$M172&lt;&gt;$A$15)),
        IF(Import.TipoArredondamento&lt;&gt;"TransfereGOV",
              ROUND(OFFSET($P172,0,AV$13),15-13*ORÇAMENTO!$AF$7)/$H172*OFFSET(ORÇAMENTO!$X$15,ROW(AV172)-ROW(AV$15),0),
              ROUND(ROUND(OFFSET($P172,0,AV$13),15-13*ORÇAMENTO!$AF$7)*OFFSET(ORÇAMENTO!$W$15,ROW(AV172)-ROW(AV$15),0),15-13*ORÇAMENTO!$AF$11)),
         0)</f>
        <v>0</v>
      </c>
      <c r="AW172" s="453">
        <f ca="1">IF(AND($D172="Serviço",AW$12&lt;&gt;0,$H172&gt;0,OR(AUTOEVENTO&lt;&gt;"manual",$M172&lt;&gt;$A$15)),
        IF(Import.TipoArredondamento&lt;&gt;"TransfereGOV",
              ROUND(OFFSET($P172,0,AW$13),15-13*ORÇAMENTO!$AF$7)/$H172*OFFSET(ORÇAMENTO!$X$15,ROW(AW172)-ROW(AW$15),0),
              ROUND(ROUND(OFFSET($P172,0,AW$13),15-13*ORÇAMENTO!$AF$7)*OFFSET(ORÇAMENTO!$W$15,ROW(AW172)-ROW(AW$15),0),15-13*ORÇAMENTO!$AF$11)),
         0)</f>
        <v>0</v>
      </c>
      <c r="AX172" s="453">
        <f ca="1">IF(AND($D172="Serviço",AX$12&lt;&gt;0,$H172&gt;0,OR(AUTOEVENTO&lt;&gt;"manual",$M172&lt;&gt;$A$15)),
        IF(Import.TipoArredondamento&lt;&gt;"TransfereGOV",
              ROUND(OFFSET($P172,0,AX$13),15-13*ORÇAMENTO!$AF$7)/$H172*OFFSET(ORÇAMENTO!$X$15,ROW(AX172)-ROW(AX$15),0),
              ROUND(ROUND(OFFSET($P172,0,AX$13),15-13*ORÇAMENTO!$AF$7)*OFFSET(ORÇAMENTO!$W$15,ROW(AX172)-ROW(AX$15),0),15-13*ORÇAMENTO!$AF$11)),
         0)</f>
        <v>0</v>
      </c>
      <c r="AY172" s="453">
        <f ca="1">IF(AND($D172="Serviço",AY$12&lt;&gt;0,$H172&gt;0,OR(AUTOEVENTO&lt;&gt;"manual",$M172&lt;&gt;$A$15)),
        IF(Import.TipoArredondamento&lt;&gt;"TransfereGOV",
              ROUND(OFFSET($P172,0,AY$13),15-13*ORÇAMENTO!$AF$7)/$H172*OFFSET(ORÇAMENTO!$X$15,ROW(AY172)-ROW(AY$15),0),
              ROUND(ROUND(OFFSET($P172,0,AY$13),15-13*ORÇAMENTO!$AF$7)*OFFSET(ORÇAMENTO!$W$15,ROW(AY172)-ROW(AY$15),0),15-13*ORÇAMENTO!$AF$11)),
         0)</f>
        <v>0</v>
      </c>
      <c r="AZ172" s="453">
        <f ca="1">IF(AND($D172="Serviço",AZ$12&lt;&gt;0,$H172&gt;0,OR(AUTOEVENTO&lt;&gt;"manual",$M172&lt;&gt;$A$15)),
        IF(Import.TipoArredondamento&lt;&gt;"TransfereGOV",
              ROUND(OFFSET($P172,0,AZ$13),15-13*ORÇAMENTO!$AF$7)/$H172*OFFSET(ORÇAMENTO!$X$15,ROW(AZ172)-ROW(AZ$15),0),
              ROUND(ROUND(OFFSET($P172,0,AZ$13),15-13*ORÇAMENTO!$AF$7)*OFFSET(ORÇAMENTO!$W$15,ROW(AZ172)-ROW(AZ$15),0),15-13*ORÇAMENTO!$AF$11)),
         0)</f>
        <v>0</v>
      </c>
      <c r="BA172" s="453">
        <f ca="1">IF(AND($D172="Serviço",BA$12&lt;&gt;0,$H172&gt;0,OR(AUTOEVENTO&lt;&gt;"manual",$M172&lt;&gt;$A$15)),
        IF(Import.TipoArredondamento&lt;&gt;"TransfereGOV",
              ROUND(OFFSET($P172,0,BA$13),15-13*ORÇAMENTO!$AF$7)/$H172*OFFSET(ORÇAMENTO!$X$15,ROW(BA172)-ROW(BA$15),0),
              ROUND(ROUND(OFFSET($P172,0,BA$13),15-13*ORÇAMENTO!$AF$7)*OFFSET(ORÇAMENTO!$W$15,ROW(BA172)-ROW(BA$15),0),15-13*ORÇAMENTO!$AF$11)),
         0)</f>
        <v>0</v>
      </c>
      <c r="BB172" s="453">
        <f ca="1">IF(AND($D172="Serviço",BB$12&lt;&gt;0,$H172&gt;0,OR(AUTOEVENTO&lt;&gt;"manual",$M172&lt;&gt;$A$15)),
        IF(Import.TipoArredondamento&lt;&gt;"TransfereGOV",
              ROUND(OFFSET($P172,0,BB$13),15-13*ORÇAMENTO!$AF$7)/$H172*OFFSET(ORÇAMENTO!$X$15,ROW(BB172)-ROW(BB$15),0),
              ROUND(ROUND(OFFSET($P172,0,BB$13),15-13*ORÇAMENTO!$AF$7)*OFFSET(ORÇAMENTO!$W$15,ROW(BB172)-ROW(BB$15),0),15-13*ORÇAMENTO!$AF$11)),
         0)</f>
        <v>0</v>
      </c>
      <c r="BC172" s="453">
        <f ca="1">IF(AND($D172="Serviço",BC$12&lt;&gt;0,$H172&gt;0,OR(AUTOEVENTO&lt;&gt;"manual",$M172&lt;&gt;$A$15)),
        IF(Import.TipoArredondamento&lt;&gt;"TransfereGOV",
              ROUND(OFFSET($P172,0,BC$13),15-13*ORÇAMENTO!$AF$7)/$H172*OFFSET(ORÇAMENTO!$X$15,ROW(BC172)-ROW(BC$15),0),
              ROUND(ROUND(OFFSET($P172,0,BC$13),15-13*ORÇAMENTO!$AF$7)*OFFSET(ORÇAMENTO!$W$15,ROW(BC172)-ROW(BC$15),0),15-13*ORÇAMENTO!$AF$11)),
         0)</f>
        <v>0</v>
      </c>
      <c r="BD172" s="453">
        <f ca="1">IF(AND($D172="Serviço",BD$12&lt;&gt;0,$H172&gt;0,OR(AUTOEVENTO&lt;&gt;"manual",$M172&lt;&gt;$A$15)),
        IF(Import.TipoArredondamento&lt;&gt;"TransfereGOV",
              ROUND(OFFSET($P172,0,BD$13),15-13*ORÇAMENTO!$AF$7)/$H172*OFFSET(ORÇAMENTO!$X$15,ROW(BD172)-ROW(BD$15),0),
              ROUND(ROUND(OFFSET($P172,0,BD$13),15-13*ORÇAMENTO!$AF$7)*OFFSET(ORÇAMENTO!$W$15,ROW(BD172)-ROW(BD$15),0),15-13*ORÇAMENTO!$AF$11)),
         0)</f>
        <v>0</v>
      </c>
      <c r="BE172" s="453">
        <f ca="1">IF(AND($D172="Serviço",BE$12&lt;&gt;0,$H172&gt;0,OR(AUTOEVENTO&lt;&gt;"manual",$M172&lt;&gt;$A$15)),
        IF(Import.TipoArredondamento&lt;&gt;"TransfereGOV",
              ROUND(OFFSET($P172,0,BE$13),15-13*ORÇAMENTO!$AF$7)/$H172*OFFSET(ORÇAMENTO!$X$15,ROW(BE172)-ROW(BE$15),0),
              ROUND(ROUND(OFFSET($P172,0,BE$13),15-13*ORÇAMENTO!$AF$7)*OFFSET(ORÇAMENTO!$W$15,ROW(BE172)-ROW(BE$15),0),15-13*ORÇAMENTO!$AF$11)),
         0)</f>
        <v>0</v>
      </c>
      <c r="BF172" s="453">
        <f ca="1">IF(AND($D172="Serviço",BF$12&lt;&gt;0,$H172&gt;0,OR(AUTOEVENTO&lt;&gt;"manual",$M172&lt;&gt;$A$15)),
        IF(Import.TipoArredondamento&lt;&gt;"TransfereGOV",
              ROUND(OFFSET($P172,0,BF$13),15-13*ORÇAMENTO!$AF$7)/$H172*OFFSET(ORÇAMENTO!$X$15,ROW(BF172)-ROW(BF$15),0),
              ROUND(ROUND(OFFSET($P172,0,BF$13),15-13*ORÇAMENTO!$AF$7)*OFFSET(ORÇAMENTO!$W$15,ROW(BF172)-ROW(BF$15),0),15-13*ORÇAMENTO!$AF$11)),
         0)</f>
        <v>0</v>
      </c>
      <c r="BG172" s="453">
        <f ca="1">IF(AND($D172="Serviço",BG$12&lt;&gt;0,$H172&gt;0,OR(AUTOEVENTO&lt;&gt;"manual",$M172&lt;&gt;$A$15)),
        IF(Import.TipoArredondamento&lt;&gt;"TransfereGOV",
              ROUND(OFFSET($P172,0,BG$13),15-13*ORÇAMENTO!$AF$7)/$H172*OFFSET(ORÇAMENTO!$X$15,ROW(BG172)-ROW(BG$15),0),
              ROUND(ROUND(OFFSET($P172,0,BG$13),15-13*ORÇAMENTO!$AF$7)*OFFSET(ORÇAMENTO!$W$15,ROW(BG172)-ROW(BG$15),0),15-13*ORÇAMENTO!$AF$11)),
         0)</f>
        <v>0</v>
      </c>
      <c r="BH172" s="453">
        <f ca="1">IF(AND($D172="Serviço",BH$12&lt;&gt;0,$H172&gt;0,OR(AUTOEVENTO&lt;&gt;"manual",$M172&lt;&gt;$A$15)),
        IF(Import.TipoArredondamento&lt;&gt;"TransfereGOV",
              ROUND(OFFSET($P172,0,BH$13),15-13*ORÇAMENTO!$AF$7)/$H172*OFFSET(ORÇAMENTO!$X$15,ROW(BH172)-ROW(BH$15),0),
              ROUND(ROUND(OFFSET($P172,0,BH$13),15-13*ORÇAMENTO!$AF$7)*OFFSET(ORÇAMENTO!$W$15,ROW(BH172)-ROW(BH$15),0),15-13*ORÇAMENTO!$AF$11)),
         0)</f>
        <v>0</v>
      </c>
      <c r="BI172" s="453">
        <f ca="1">IF(AND($D172="Serviço",BI$12&lt;&gt;0,$H172&gt;0,OR(AUTOEVENTO&lt;&gt;"manual",$M172&lt;&gt;$A$15)),
        IF(Import.TipoArredondamento&lt;&gt;"TransfereGOV",
              ROUND(OFFSET($P172,0,BI$13),15-13*ORÇAMENTO!$AF$7)/$H172*OFFSET(ORÇAMENTO!$X$15,ROW(BI172)-ROW(BI$15),0),
              ROUND(ROUND(OFFSET($P172,0,BI$13),15-13*ORÇAMENTO!$AF$7)*OFFSET(ORÇAMENTO!$W$15,ROW(BI172)-ROW(BI$15),0),15-13*ORÇAMENTO!$AF$11)),
         0)</f>
        <v>0</v>
      </c>
      <c r="BJ172" s="453">
        <f ca="1">IF(AND($D172="Serviço",BJ$12&lt;&gt;0,$H172&gt;0,OR(AUTOEVENTO&lt;&gt;"manual",$M172&lt;&gt;$A$15)),
        IF(Import.TipoArredondamento&lt;&gt;"TransfereGOV",
              ROUND(OFFSET($P172,0,BJ$13),15-13*ORÇAMENTO!$AF$7)/$H172*OFFSET(ORÇAMENTO!$X$15,ROW(BJ172)-ROW(BJ$15),0),
              ROUND(ROUND(OFFSET($P172,0,BJ$13),15-13*ORÇAMENTO!$AF$7)*OFFSET(ORÇAMENTO!$W$15,ROW(BJ172)-ROW(BJ$15),0),15-13*ORÇAMENTO!$AF$11)),
         0)</f>
        <v>0</v>
      </c>
      <c r="BK172" s="453">
        <f ca="1">IF(AND($D172="Serviço",BK$12&lt;&gt;0,$H172&gt;0,OR(AUTOEVENTO&lt;&gt;"manual",$M172&lt;&gt;$A$15)),
        IF(Import.TipoArredondamento&lt;&gt;"TransfereGOV",
              ROUND(OFFSET($P172,0,BK$13),15-13*ORÇAMENTO!$AF$7)/$H172*OFFSET(ORÇAMENTO!$X$15,ROW(BK172)-ROW(BK$15),0),
              ROUND(ROUND(OFFSET($P172,0,BK$13),15-13*ORÇAMENTO!$AF$7)*OFFSET(ORÇAMENTO!$W$15,ROW(BK172)-ROW(BK$15),0),15-13*ORÇAMENTO!$AF$11)),
         0)</f>
        <v>0</v>
      </c>
      <c r="BL172" s="453">
        <f ca="1">IF(AND($D172="Serviço",BL$12&lt;&gt;0,$H172&gt;0,OR(AUTOEVENTO&lt;&gt;"manual",$M172&lt;&gt;$A$15)),
        IF(Import.TipoArredondamento&lt;&gt;"TransfereGOV",
              ROUND(OFFSET($P172,0,BL$13),15-13*ORÇAMENTO!$AF$7)/$H172*OFFSET(ORÇAMENTO!$X$15,ROW(BL172)-ROW(BL$15),0),
              ROUND(ROUND(OFFSET($P172,0,BL$13),15-13*ORÇAMENTO!$AF$7)*OFFSET(ORÇAMENTO!$W$15,ROW(BL172)-ROW(BL$15),0),15-13*ORÇAMENTO!$AF$11)),
         0)</f>
        <v>0</v>
      </c>
      <c r="BM172" s="453">
        <f ca="1">IF(AND($D172="Serviço",BM$12&lt;&gt;0,$H172&gt;0,OR(AUTOEVENTO&lt;&gt;"manual",$M172&lt;&gt;$A$15)),
        IF(Import.TipoArredondamento&lt;&gt;"TransfereGOV",
              ROUND(OFFSET($P172,0,BM$13),15-13*ORÇAMENTO!$AF$7)/$H172*OFFSET(ORÇAMENTO!$X$15,ROW(BM172)-ROW(BM$15),0),
              ROUND(ROUND(OFFSET($P172,0,BM$13),15-13*ORÇAMENTO!$AF$7)*OFFSET(ORÇAMENTO!$W$15,ROW(BM172)-ROW(BM$15),0),15-13*ORÇAMENTO!$AF$11)),
         0)</f>
        <v>0</v>
      </c>
      <c r="BN172" s="453">
        <f ca="1">IF(AND($D172="Serviço",BN$12&lt;&gt;0,$H172&gt;0,OR(AUTOEVENTO&lt;&gt;"manual",$M172&lt;&gt;$A$15)),
        IF(Import.TipoArredondamento&lt;&gt;"TransfereGOV",
              ROUND(OFFSET($P172,0,BN$13),15-13*ORÇAMENTO!$AF$7)/$H172*OFFSET(ORÇAMENTO!$X$15,ROW(BN172)-ROW(BN$15),0),
              ROUND(ROUND(OFFSET($P172,0,BN$13),15-13*ORÇAMENTO!$AF$7)*OFFSET(ORÇAMENTO!$W$15,ROW(BN172)-ROW(BN$15),0),15-13*ORÇAMENTO!$AF$11)),
         0)</f>
        <v>0</v>
      </c>
      <c r="BO172" s="453">
        <f ca="1">IF(AND($D172="Serviço",BO$12&lt;&gt;0,$H172&gt;0,OR(AUTOEVENTO&lt;&gt;"manual",$M172&lt;&gt;$A$15)),
        IF(Import.TipoArredondamento&lt;&gt;"TransfereGOV",
              ROUND(OFFSET($P172,0,BO$13),15-13*ORÇAMENTO!$AF$7)/$H172*OFFSET(ORÇAMENTO!$X$15,ROW(BO172)-ROW(BO$15),0),
              ROUND(ROUND(OFFSET($P172,0,BO$13),15-13*ORÇAMENTO!$AF$7)*OFFSET(ORÇAMENTO!$W$15,ROW(BO172)-ROW(BO$15),0),15-13*ORÇAMENTO!$AF$11)),
         0)</f>
        <v>0</v>
      </c>
      <c r="BP172" s="453">
        <f ca="1">IF(AND($D172="Serviço",BP$12&lt;&gt;0,$H172&gt;0,OR(AUTOEVENTO&lt;&gt;"manual",$M172&lt;&gt;$A$15)),
        IF(Import.TipoArredondamento&lt;&gt;"TransfereGOV",
              ROUND(OFFSET($P172,0,BP$13),15-13*ORÇAMENTO!$AF$7)/$H172*OFFSET(ORÇAMENTO!$X$15,ROW(BP172)-ROW(BP$15),0),
              ROUND(ROUND(OFFSET($P172,0,BP$13),15-13*ORÇAMENTO!$AF$7)*OFFSET(ORÇAMENTO!$W$15,ROW(BP172)-ROW(BP$15),0),15-13*ORÇAMENTO!$AF$11)),
         0)</f>
        <v>0</v>
      </c>
      <c r="BQ172" s="453">
        <f ca="1">IF(AND($D172="Serviço",BQ$12&lt;&gt;0,$H172&gt;0,OR(AUTOEVENTO&lt;&gt;"manual",$M172&lt;&gt;$A$15)),
        IF(Import.TipoArredondamento&lt;&gt;"TransfereGOV",
              ROUND(OFFSET($P172,0,BQ$13),15-13*ORÇAMENTO!$AF$7)/$H172*OFFSET(ORÇAMENTO!$X$15,ROW(BQ172)-ROW(BQ$15),0),
              ROUND(ROUND(OFFSET($P172,0,BQ$13),15-13*ORÇAMENTO!$AF$7)*OFFSET(ORÇAMENTO!$W$15,ROW(BQ172)-ROW(BQ$15),0),15-13*ORÇAMENTO!$AF$11)),
         0)</f>
        <v>0</v>
      </c>
      <c r="BS172" s="171">
        <f ca="1">IF(OR($D172&lt;&gt;"Serviço",AND(AUTOEVENTO="Manual",$M172=$A$15)),0,
         IF(OFFSET(CRONOPLE!$F$15,$M172-$A$15,BS$13)=0,10^12,OFFSET(CRONOPLE!$F$15,$M172-$A$15,BS$13)))</f>
        <v>1</v>
      </c>
      <c r="BT172" s="171">
        <f ca="1">IF(OR($D172&lt;&gt;"Serviço",AND(AUTOEVENTO="Manual",$M172=$A$15)),0,
         IF(OFFSET(CRONOPLE!$F$15,$M172-$A$15,BT$13)=0,10^12,OFFSET(CRONOPLE!$F$15,$M172-$A$15,BT$13)))</f>
        <v>2</v>
      </c>
      <c r="BU172" s="171">
        <f ca="1">IF(OR($D172&lt;&gt;"Serviço",AND(AUTOEVENTO="Manual",$M172=$A$15)),0,
         IF(OFFSET(CRONOPLE!$F$15,$M172-$A$15,BU$13)=0,10^12,OFFSET(CRONOPLE!$F$15,$M172-$A$15,BU$13)))</f>
        <v>3</v>
      </c>
      <c r="BV172" s="171">
        <f ca="1">IF(OR($D172&lt;&gt;"Serviço",AND(AUTOEVENTO="Manual",$M172=$A$15)),0,
         IF(OFFSET(CRONOPLE!$F$15,$M172-$A$15,BV$13)=0,10^12,OFFSET(CRONOPLE!$F$15,$M172-$A$15,BV$13)))</f>
        <v>4</v>
      </c>
      <c r="BW172" s="171">
        <f ca="1">IF(OR($D172&lt;&gt;"Serviço",AND(AUTOEVENTO="Manual",$M172=$A$15)),0,
         IF(OFFSET(CRONOPLE!$F$15,$M172-$A$15,BW$13)=0,10^12,OFFSET(CRONOPLE!$F$15,$M172-$A$15,BW$13)))</f>
        <v>5</v>
      </c>
      <c r="BX172" s="171">
        <f ca="1">IF(OR($D172&lt;&gt;"Serviço",AND(AUTOEVENTO="Manual",$M172=$A$15)),0,
         IF(OFFSET(CRONOPLE!$F$15,$M172-$A$15,BX$13)=0,10^12,OFFSET(CRONOPLE!$F$15,$M172-$A$15,BX$13)))</f>
        <v>6</v>
      </c>
      <c r="BY172" s="171">
        <f ca="1">IF(OR($D172&lt;&gt;"Serviço",AND(AUTOEVENTO="Manual",$M172=$A$15)),0,
         IF(OFFSET(CRONOPLE!$F$15,$M172-$A$15,BY$13)=0,10^12,OFFSET(CRONOPLE!$F$15,$M172-$A$15,BY$13)))</f>
        <v>7</v>
      </c>
      <c r="BZ172" s="171">
        <f ca="1">IF(OR($D172&lt;&gt;"Serviço",AND(AUTOEVENTO="Manual",$M172=$A$15)),0,
         IF(OFFSET(CRONOPLE!$F$15,$M172-$A$15,BZ$13)=0,10^12,OFFSET(CRONOPLE!$F$15,$M172-$A$15,BZ$13)))</f>
        <v>8</v>
      </c>
      <c r="CA172" s="171">
        <f ca="1">IF(OR($D172&lt;&gt;"Serviço",AND(AUTOEVENTO="Manual",$M172=$A$15)),0,
         IF(OFFSET(CRONOPLE!$F$15,$M172-$A$15,CA$13)=0,10^12,OFFSET(CRONOPLE!$F$15,$M172-$A$15,CA$13)))</f>
        <v>9</v>
      </c>
      <c r="CB172" s="171">
        <f ca="1">IF(OR($D172&lt;&gt;"Serviço",AND(AUTOEVENTO="Manual",$M172=$A$15)),0,
         IF(OFFSET(CRONOPLE!$F$15,$M172-$A$15,CB$13)=0,10^12,OFFSET(CRONOPLE!$F$15,$M172-$A$15,CB$13)))</f>
        <v>10</v>
      </c>
      <c r="CC172" s="171">
        <f ca="1">IF(OR($D172&lt;&gt;"Serviço",AND(AUTOEVENTO="Manual",$M172=$A$15)),0,
         IF(OFFSET(CRONOPLE!$F$15,$M172-$A$15,CC$13)=0,10^12,OFFSET(CRONOPLE!$F$15,$M172-$A$15,CC$13)))</f>
        <v>11</v>
      </c>
      <c r="CD172" s="171">
        <f ca="1">IF(OR($D172&lt;&gt;"Serviço",AND(AUTOEVENTO="Manual",$M172=$A$15)),0,
         IF(OFFSET(CRONOPLE!$F$15,$M172-$A$15,CD$13)=0,10^12,OFFSET(CRONOPLE!$F$15,$M172-$A$15,CD$13)))</f>
        <v>12</v>
      </c>
      <c r="CE172" s="171">
        <f ca="1">IF(OR($D172&lt;&gt;"Serviço",AND(AUTOEVENTO="Manual",$M172=$A$15)),0,
         IF(OFFSET(CRONOPLE!$F$15,$M172-$A$15,CE$13)=0,10^12,OFFSET(CRONOPLE!$F$15,$M172-$A$15,CE$13)))</f>
        <v>13</v>
      </c>
      <c r="CF172" s="171">
        <f ca="1">IF(OR($D172&lt;&gt;"Serviço",AND(AUTOEVENTO="Manual",$M172=$A$15)),0,
         IF(OFFSET(CRONOPLE!$F$15,$M172-$A$15,CF$13)=0,10^12,OFFSET(CRONOPLE!$F$15,$M172-$A$15,CF$13)))</f>
        <v>14</v>
      </c>
      <c r="CG172" s="171">
        <f ca="1">IF(OR($D172&lt;&gt;"Serviço",AND(AUTOEVENTO="Manual",$M172=$A$15)),0,
         IF(OFFSET(CRONOPLE!$F$15,$M172-$A$15,CG$13)=0,10^12,OFFSET(CRONOPLE!$F$15,$M172-$A$15,CG$13)))</f>
        <v>15</v>
      </c>
      <c r="CH172" s="171">
        <f ca="1">IF(OR($D172&lt;&gt;"Serviço",AND(AUTOEVENTO="Manual",$M172=$A$15)),0,
         IF(OFFSET(CRONOPLE!$F$15,$M172-$A$15,CH$13)=0,10^12,OFFSET(CRONOPLE!$F$15,$M172-$A$15,CH$13)))</f>
        <v>16</v>
      </c>
      <c r="CI172" s="171">
        <f ca="1">IF(OR($D172&lt;&gt;"Serviço",AND(AUTOEVENTO="Manual",$M172=$A$15)),0,
         IF(OFFSET(CRONOPLE!$F$15,$M172-$A$15,CI$13)=0,10^12,OFFSET(CRONOPLE!$F$15,$M172-$A$15,CI$13)))</f>
        <v>17</v>
      </c>
      <c r="CJ172" s="171">
        <f ca="1">IF(OR($D172&lt;&gt;"Serviço",AND(AUTOEVENTO="Manual",$M172=$A$15)),0,
         IF(OFFSET(CRONOPLE!$F$15,$M172-$A$15,CJ$13)=0,10^12,OFFSET(CRONOPLE!$F$15,$M172-$A$15,CJ$13)))</f>
        <v>18</v>
      </c>
      <c r="CK172" s="171">
        <f ca="1">IF(OR($D172&lt;&gt;"Serviço",AND(AUTOEVENTO="Manual",$M172=$A$15)),0,
         IF(OFFSET(CRONOPLE!$F$15,$M172-$A$15,CK$13)=0,10^12,OFFSET(CRONOPLE!$F$15,$M172-$A$15,CK$13)))</f>
        <v>19</v>
      </c>
      <c r="CL172" s="171">
        <f ca="1">IF(OR($D172&lt;&gt;"Serviço",AND(AUTOEVENTO="Manual",$M172=$A$15)),0,
         IF(OFFSET(CRONOPLE!$F$15,$M172-$A$15,CL$13)=0,10^12,OFFSET(CRONOPLE!$F$15,$M172-$A$15,CL$13)))</f>
        <v>20</v>
      </c>
      <c r="CM172" s="171">
        <f ca="1">IF(OR($D172&lt;&gt;"Serviço",AND(AUTOEVENTO="Manual",$M172=$A$15)),0,
         IF(OFFSET(CRONOPLE!$F$15,$M172-$A$15,CM$13)=0,10^12,OFFSET(CRONOPLE!$F$15,$M172-$A$15,CM$13)))</f>
        <v>1000000000000</v>
      </c>
      <c r="CN172" s="171">
        <f ca="1">IF(OR($D172&lt;&gt;"Serviço",AND(AUTOEVENTO="Manual",$M172=$A$15)),0,
         IF(OFFSET(CRONOPLE!$F$15,$M172-$A$15,CN$13)=0,10^12,OFFSET(CRONOPLE!$F$15,$M172-$A$15,CN$13)))</f>
        <v>1000000000000</v>
      </c>
      <c r="CO172" s="171">
        <f ca="1">IF(OR($D172&lt;&gt;"Serviço",AND(AUTOEVENTO="Manual",$M172=$A$15)),0,
         IF(OFFSET(CRONOPLE!$F$15,$M172-$A$15,CO$13)=0,10^12,OFFSET(CRONOPLE!$F$15,$M172-$A$15,CO$13)))</f>
        <v>1000000000000</v>
      </c>
      <c r="CP172" s="171">
        <f ca="1">IF(OR($D172&lt;&gt;"Serviço",AND(AUTOEVENTO="Manual",$M172=$A$15)),0,
         IF(OFFSET(CRONOPLE!$F$15,$M172-$A$15,CP$13)=0,10^12,OFFSET(CRONOPLE!$F$15,$M172-$A$15,CP$13)))</f>
        <v>1000000000000</v>
      </c>
      <c r="CQ172" s="171">
        <f ca="1">IF(OR($D172&lt;&gt;"Serviço",AND(AUTOEVENTO="Manual",$M172=$A$15)),0,
         IF(OFFSET(CRONOPLE!$F$15,$M172-$A$15,CQ$13)=0,10^12,OFFSET(CRONOPLE!$F$15,$M172-$A$15,CQ$13)))</f>
        <v>1000000000000</v>
      </c>
      <c r="CR172" s="171">
        <f ca="1">IF(OR($D172&lt;&gt;"Serviço",AND(AUTOEVENTO="Manual",$M172=$A$15)),0,
         IF(OFFSET(CRONOPLE!$F$15,$M172-$A$15,CR$13)=0,10^12,OFFSET(CRONOPLE!$F$15,$M172-$A$15,CR$13)))</f>
        <v>1000000000000</v>
      </c>
      <c r="CT172" s="172" cm="1">
        <f t="array" aca="1" ref="CT172" ca="1">IF(OR($D172&lt;&gt;"Serviço",AND(AUTOEVENTO="Manual",$M172=$A$15),$M172&gt;(ROW(PLE.lastrow)-ROW(PLE.firstrow))),0,
           IF(OFFSET(PLE!$G$15,$M172-$A$15,CT$13)="",10^12,OFFSET(PLE!$G$15,$M172-$A$15,CT$13)))</f>
        <v>1000000000000</v>
      </c>
      <c r="CU172" s="172" cm="1">
        <f t="array" aca="1" ref="CU172" ca="1">IF(OR($D172&lt;&gt;"Serviço",AND(AUTOEVENTO="Manual",$M172=$A$15),$M172&gt;(ROW(PLE.lastrow)-ROW(PLE.firstrow))),0,
           IF(OFFSET(PLE!$G$15,$M172-$A$15,CU$13)="",10^12,OFFSET(PLE!$G$15,$M172-$A$15,CU$13)))</f>
        <v>1000000000000</v>
      </c>
      <c r="CV172" s="172" cm="1">
        <f t="array" aca="1" ref="CV172" ca="1">IF(OR($D172&lt;&gt;"Serviço",AND(AUTOEVENTO="Manual",$M172=$A$15),$M172&gt;(ROW(PLE.lastrow)-ROW(PLE.firstrow))),0,
           IF(OFFSET(PLE!$G$15,$M172-$A$15,CV$13)="",10^12,OFFSET(PLE!$G$15,$M172-$A$15,CV$13)))</f>
        <v>1000000000000</v>
      </c>
      <c r="CW172" s="172" cm="1">
        <f t="array" aca="1" ref="CW172" ca="1">IF(OR($D172&lt;&gt;"Serviço",AND(AUTOEVENTO="Manual",$M172=$A$15),$M172&gt;(ROW(PLE.lastrow)-ROW(PLE.firstrow))),0,
           IF(OFFSET(PLE!$G$15,$M172-$A$15,CW$13)="",10^12,OFFSET(PLE!$G$15,$M172-$A$15,CW$13)))</f>
        <v>1000000000000</v>
      </c>
      <c r="CX172" s="172" cm="1">
        <f t="array" aca="1" ref="CX172" ca="1">IF(OR($D172&lt;&gt;"Serviço",AND(AUTOEVENTO="Manual",$M172=$A$15),$M172&gt;(ROW(PLE.lastrow)-ROW(PLE.firstrow))),0,
           IF(OFFSET(PLE!$G$15,$M172-$A$15,CX$13)="",10^12,OFFSET(PLE!$G$15,$M172-$A$15,CX$13)))</f>
        <v>1000000000000</v>
      </c>
      <c r="CY172" s="172" cm="1">
        <f t="array" aca="1" ref="CY172" ca="1">IF(OR($D172&lt;&gt;"Serviço",AND(AUTOEVENTO="Manual",$M172=$A$15),$M172&gt;(ROW(PLE.lastrow)-ROW(PLE.firstrow))),0,
           IF(OFFSET(PLE!$G$15,$M172-$A$15,CY$13)="",10^12,OFFSET(PLE!$G$15,$M172-$A$15,CY$13)))</f>
        <v>1000000000000</v>
      </c>
      <c r="CZ172" s="172" cm="1">
        <f t="array" aca="1" ref="CZ172" ca="1">IF(OR($D172&lt;&gt;"Serviço",AND(AUTOEVENTO="Manual",$M172=$A$15),$M172&gt;(ROW(PLE.lastrow)-ROW(PLE.firstrow))),0,
           IF(OFFSET(PLE!$G$15,$M172-$A$15,CZ$13)="",10^12,OFFSET(PLE!$G$15,$M172-$A$15,CZ$13)))</f>
        <v>1000000000000</v>
      </c>
      <c r="DA172" s="172" cm="1">
        <f t="array" aca="1" ref="DA172" ca="1">IF(OR($D172&lt;&gt;"Serviço",AND(AUTOEVENTO="Manual",$M172=$A$15),$M172&gt;(ROW(PLE.lastrow)-ROW(PLE.firstrow))),0,
           IF(OFFSET(PLE!$G$15,$M172-$A$15,DA$13)="",10^12,OFFSET(PLE!$G$15,$M172-$A$15,DA$13)))</f>
        <v>1000000000000</v>
      </c>
      <c r="DB172" s="172" cm="1">
        <f t="array" aca="1" ref="DB172" ca="1">IF(OR($D172&lt;&gt;"Serviço",AND(AUTOEVENTO="Manual",$M172=$A$15),$M172&gt;(ROW(PLE.lastrow)-ROW(PLE.firstrow))),0,
           IF(OFFSET(PLE!$G$15,$M172-$A$15,DB$13)="",10^12,OFFSET(PLE!$G$15,$M172-$A$15,DB$13)))</f>
        <v>1000000000000</v>
      </c>
      <c r="DC172" s="172" cm="1">
        <f t="array" aca="1" ref="DC172" ca="1">IF(OR($D172&lt;&gt;"Serviço",AND(AUTOEVENTO="Manual",$M172=$A$15),$M172&gt;(ROW(PLE.lastrow)-ROW(PLE.firstrow))),0,
           IF(OFFSET(PLE!$G$15,$M172-$A$15,DC$13)="",10^12,OFFSET(PLE!$G$15,$M172-$A$15,DC$13)))</f>
        <v>1000000000000</v>
      </c>
      <c r="DD172" s="172" cm="1">
        <f t="array" aca="1" ref="DD172" ca="1">IF(OR($D172&lt;&gt;"Serviço",AND(AUTOEVENTO="Manual",$M172=$A$15),$M172&gt;(ROW(PLE.lastrow)-ROW(PLE.firstrow))),0,
           IF(OFFSET(PLE!$G$15,$M172-$A$15,DD$13)="",10^12,OFFSET(PLE!$G$15,$M172-$A$15,DD$13)))</f>
        <v>1000000000000</v>
      </c>
      <c r="DE172" s="172" cm="1">
        <f t="array" aca="1" ref="DE172" ca="1">IF(OR($D172&lt;&gt;"Serviço",AND(AUTOEVENTO="Manual",$M172=$A$15),$M172&gt;(ROW(PLE.lastrow)-ROW(PLE.firstrow))),0,
           IF(OFFSET(PLE!$G$15,$M172-$A$15,DE$13)="",10^12,OFFSET(PLE!$G$15,$M172-$A$15,DE$13)))</f>
        <v>1000000000000</v>
      </c>
      <c r="DF172" s="172" cm="1">
        <f t="array" aca="1" ref="DF172" ca="1">IF(OR($D172&lt;&gt;"Serviço",AND(AUTOEVENTO="Manual",$M172=$A$15),$M172&gt;(ROW(PLE.lastrow)-ROW(PLE.firstrow))),0,
           IF(OFFSET(PLE!$G$15,$M172-$A$15,DF$13)="",10^12,OFFSET(PLE!$G$15,$M172-$A$15,DF$13)))</f>
        <v>1000000000000</v>
      </c>
      <c r="DG172" s="172" cm="1">
        <f t="array" aca="1" ref="DG172" ca="1">IF(OR($D172&lt;&gt;"Serviço",AND(AUTOEVENTO="Manual",$M172=$A$15),$M172&gt;(ROW(PLE.lastrow)-ROW(PLE.firstrow))),0,
           IF(OFFSET(PLE!$G$15,$M172-$A$15,DG$13)="",10^12,OFFSET(PLE!$G$15,$M172-$A$15,DG$13)))</f>
        <v>1000000000000</v>
      </c>
      <c r="DH172" s="172" cm="1">
        <f t="array" aca="1" ref="DH172" ca="1">IF(OR($D172&lt;&gt;"Serviço",AND(AUTOEVENTO="Manual",$M172=$A$15),$M172&gt;(ROW(PLE.lastrow)-ROW(PLE.firstrow))),0,
           IF(OFFSET(PLE!$G$15,$M172-$A$15,DH$13)="",10^12,OFFSET(PLE!$G$15,$M172-$A$15,DH$13)))</f>
        <v>1000000000000</v>
      </c>
      <c r="DI172" s="172" cm="1">
        <f t="array" aca="1" ref="DI172" ca="1">IF(OR($D172&lt;&gt;"Serviço",AND(AUTOEVENTO="Manual",$M172=$A$15),$M172&gt;(ROW(PLE.lastrow)-ROW(PLE.firstrow))),0,
           IF(OFFSET(PLE!$G$15,$M172-$A$15,DI$13)="",10^12,OFFSET(PLE!$G$15,$M172-$A$15,DI$13)))</f>
        <v>1000000000000</v>
      </c>
      <c r="DJ172" s="172" cm="1">
        <f t="array" aca="1" ref="DJ172" ca="1">IF(OR($D172&lt;&gt;"Serviço",AND(AUTOEVENTO="Manual",$M172=$A$15),$M172&gt;(ROW(PLE.lastrow)-ROW(PLE.firstrow))),0,
           IF(OFFSET(PLE!$G$15,$M172-$A$15,DJ$13)="",10^12,OFFSET(PLE!$G$15,$M172-$A$15,DJ$13)))</f>
        <v>1000000000000</v>
      </c>
      <c r="DK172" s="172" cm="1">
        <f t="array" aca="1" ref="DK172" ca="1">IF(OR($D172&lt;&gt;"Serviço",AND(AUTOEVENTO="Manual",$M172=$A$15),$M172&gt;(ROW(PLE.lastrow)-ROW(PLE.firstrow))),0,
           IF(OFFSET(PLE!$G$15,$M172-$A$15,DK$13)="",10^12,OFFSET(PLE!$G$15,$M172-$A$15,DK$13)))</f>
        <v>1000000000000</v>
      </c>
      <c r="DL172" s="172" cm="1">
        <f t="array" aca="1" ref="DL172" ca="1">IF(OR($D172&lt;&gt;"Serviço",AND(AUTOEVENTO="Manual",$M172=$A$15),$M172&gt;(ROW(PLE.lastrow)-ROW(PLE.firstrow))),0,
           IF(OFFSET(PLE!$G$15,$M172-$A$15,DL$13)="",10^12,OFFSET(PLE!$G$15,$M172-$A$15,DL$13)))</f>
        <v>1000000000000</v>
      </c>
      <c r="DM172" s="172" cm="1">
        <f t="array" aca="1" ref="DM172" ca="1">IF(OR($D172&lt;&gt;"Serviço",AND(AUTOEVENTO="Manual",$M172=$A$15),$M172&gt;(ROW(PLE.lastrow)-ROW(PLE.firstrow))),0,
           IF(OFFSET(PLE!$G$15,$M172-$A$15,DM$13)="",10^12,OFFSET(PLE!$G$15,$M172-$A$15,DM$13)))</f>
        <v>1000000000000</v>
      </c>
      <c r="DN172" s="172" cm="1">
        <f t="array" aca="1" ref="DN172" ca="1">IF(OR($D172&lt;&gt;"Serviço",AND(AUTOEVENTO="Manual",$M172=$A$15),$M172&gt;(ROW(PLE.lastrow)-ROW(PLE.firstrow))),0,
           IF(OFFSET(PLE!$G$15,$M172-$A$15,DN$13)="",10^12,OFFSET(PLE!$G$15,$M172-$A$15,DN$13)))</f>
        <v>1000000000000</v>
      </c>
      <c r="DO172" s="172" cm="1">
        <f t="array" aca="1" ref="DO172" ca="1">IF(OR($D172&lt;&gt;"Serviço",AND(AUTOEVENTO="Manual",$M172=$A$15),$M172&gt;(ROW(PLE.lastrow)-ROW(PLE.firstrow))),0,
           IF(OFFSET(PLE!$G$15,$M172-$A$15,DO$13)="",10^12,OFFSET(PLE!$G$15,$M172-$A$15,DO$13)))</f>
        <v>1000000000000</v>
      </c>
      <c r="DP172" s="172" cm="1">
        <f t="array" aca="1" ref="DP172" ca="1">IF(OR($D172&lt;&gt;"Serviço",AND(AUTOEVENTO="Manual",$M172=$A$15),$M172&gt;(ROW(PLE.lastrow)-ROW(PLE.firstrow))),0,
           IF(OFFSET(PLE!$G$15,$M172-$A$15,DP$13)="",10^12,OFFSET(PLE!$G$15,$M172-$A$15,DP$13)))</f>
        <v>1000000000000</v>
      </c>
      <c r="DQ172" s="172" cm="1">
        <f t="array" aca="1" ref="DQ172" ca="1">IF(OR($D172&lt;&gt;"Serviço",AND(AUTOEVENTO="Manual",$M172=$A$15),$M172&gt;(ROW(PLE.lastrow)-ROW(PLE.firstrow))),0,
           IF(OFFSET(PLE!$G$15,$M172-$A$15,DQ$13)="",10^12,OFFSET(PLE!$G$15,$M172-$A$15,DQ$13)))</f>
        <v>1000000000000</v>
      </c>
      <c r="DR172" s="172" cm="1">
        <f t="array" aca="1" ref="DR172" ca="1">IF(OR($D172&lt;&gt;"Serviço",AND(AUTOEVENTO="Manual",$M172=$A$15),$M172&gt;(ROW(PLE.lastrow)-ROW(PLE.firstrow))),0,
           IF(OFFSET(PLE!$G$15,$M172-$A$15,DR$13)="",10^12,OFFSET(PLE!$G$15,$M172-$A$15,DR$13)))</f>
        <v>1000000000000</v>
      </c>
      <c r="DS172" s="172" cm="1">
        <f t="array" aca="1" ref="DS172" ca="1">IF(OR($D172&lt;&gt;"Serviço",AND(AUTOEVENTO="Manual",$M172=$A$15),$M172&gt;(ROW(PLE.lastrow)-ROW(PLE.firstrow))),0,
           IF(OFFSET(PLE!$G$15,$M172-$A$15,DS$13)="",10^12,OFFSET(PLE!$G$15,$M172-$A$15,DS$13)))</f>
        <v>1000000000000</v>
      </c>
    </row>
    <row r="173" spans="1:123" ht="25.5" x14ac:dyDescent="0.2">
      <c r="A173" s="7">
        <f t="shared" ca="1" si="16"/>
        <v>9</v>
      </c>
      <c r="B173" s="7" t="str">
        <f ca="1">OFFSET(ORÇAMENTO!C$15,$L173,0)</f>
        <v>S</v>
      </c>
      <c r="C173" s="7" t="str">
        <f ca="1">OFFSET(ORÇAMENTO!L$15,$L173,0)</f>
        <v/>
      </c>
      <c r="D173" s="116" t="str">
        <f ca="1">OFFSET(ORÇAMENTO!N$15,$L173,0)</f>
        <v>Serviço</v>
      </c>
      <c r="E173" s="117" t="str">
        <f ca="1">OFFSET(ORÇAMENTO!O$15,$L173,0)</f>
        <v>-</v>
      </c>
      <c r="F173" s="163" t="str">
        <f ca="1">OFFSET(ORÇAMENTO!R$15,$L173,0)</f>
        <v>(Código não identificado nas referências)</v>
      </c>
      <c r="G173" s="164" t="str">
        <f ca="1">IF($D173&lt;&gt;"Serviço","",OFFSET(ORÇAMENTO!S$15,$L173,0))</f>
        <v>-</v>
      </c>
      <c r="H173" s="122" cm="1">
        <f t="array" aca="1" ref="H173" ca="1">IF($D173&lt;&gt;"Serviço",0,IF(ACOMPANHAMENTO="BM",ROUND(OFFSET(ORÇAMENTO!AJ$15,$L173,0),15-13*ORÇAMENTO!$AF$7),IF(IFERROR(CÁLCULO.FrentesPreenchidas,0)=0,0,SUM(ROUND(OFFSET($P173,0,1,1,CÁLCULO.FrentesPreenchidas),15-13*ORÇAMENTO!$AF$7)))))</f>
        <v>173.99999999999997</v>
      </c>
      <c r="I173" s="468" t="s">
        <v>1235</v>
      </c>
      <c r="J173" s="651" t="str" cm="1">
        <f t="array" aca="1" ref="J173" ca="1">IF(OR(B173&lt;&gt;"S",CÁLCULO.FrentesPreenchidas=0),"",IF(AND(ACOMPANHAMENTO="PLE",AUTOEVENTO="Manual",OR(H173&gt;0,ORÇAMENTO!AC173="QUANT."),OR(K173="",M173=0,N173="")),"►E",IF(AND(ACOMPANHAMENTO="PLE",ORÇAMENTO!AC173="QUANT."),"►Q",IF(AND(ACOMPANHAMENTO="PLE",H173&lt;&gt;SUMPRODUCT(($Q$1:$AQ$1=1)*ROUND(Q173:AQ173,15))),"►S",IF(AND(COUNTIF($P$11:$AQ$11,"▼")=0,H173&gt;0,I173=""),"◄M","")))))</f>
        <v/>
      </c>
      <c r="K173" s="652" t="s">
        <v>1257</v>
      </c>
      <c r="L173" s="165">
        <f t="shared" ca="1" si="17"/>
        <v>158</v>
      </c>
      <c r="M173" s="166">
        <f ca="1">IF($D173&lt;&gt;"Serviço","",
          IF(AUTOEVENTO="manual",$A173,
                IF(ISERROR(MATCH($A173,$A$15:OFFSET($A173,-1,0),0)),MAX($M$15:OFFSET(M173,-1,0))+1,
                      INDEX($M$15:OFFSET(M173,-1,0),MATCH($A173,$A$15:OFFSET($A173,-1,0),0)))))</f>
        <v>9</v>
      </c>
      <c r="N173" s="167" t="str">
        <f ca="1">IF($D173&lt;&gt;"Serviço","",
         IF(AUTOEVENTO="Manual",
                IF($A173=0,"&lt;-- defina o número do agrupador",
                       OFFSET(EVENTOS!$D$15,$A173-$A$15,0)),
                OFFSET($F$15,$A173,0)))</f>
        <v>INSTALAÇÕES</v>
      </c>
      <c r="O173" s="168"/>
      <c r="Q173" s="168">
        <v>8.6999999999999993</v>
      </c>
      <c r="R173" s="169">
        <v>8.6999999999999993</v>
      </c>
      <c r="S173" s="169">
        <v>8.6999999999999993</v>
      </c>
      <c r="T173" s="169">
        <v>8.6999999999999993</v>
      </c>
      <c r="U173" s="169">
        <v>8.6999999999999993</v>
      </c>
      <c r="V173" s="169">
        <v>8.6999999999999993</v>
      </c>
      <c r="W173" s="169">
        <v>8.6999999999999993</v>
      </c>
      <c r="X173" s="169">
        <v>8.6999999999999993</v>
      </c>
      <c r="Y173" s="169">
        <v>8.6999999999999993</v>
      </c>
      <c r="Z173" s="170">
        <v>8.6999999999999993</v>
      </c>
      <c r="AA173" s="169">
        <v>8.6999999999999993</v>
      </c>
      <c r="AB173" s="169">
        <v>8.6999999999999993</v>
      </c>
      <c r="AC173" s="169">
        <v>8.6999999999999993</v>
      </c>
      <c r="AD173" s="169">
        <v>8.6999999999999993</v>
      </c>
      <c r="AE173" s="169">
        <v>8.6999999999999993</v>
      </c>
      <c r="AF173" s="169">
        <v>8.6999999999999993</v>
      </c>
      <c r="AG173" s="169">
        <v>8.6999999999999993</v>
      </c>
      <c r="AH173" s="170">
        <v>8.6999999999999993</v>
      </c>
      <c r="AI173" s="169">
        <v>8.6999999999999993</v>
      </c>
      <c r="AJ173" s="169">
        <v>8.6999999999999993</v>
      </c>
      <c r="AK173" s="169"/>
      <c r="AL173" s="169"/>
      <c r="AM173" s="169"/>
      <c r="AN173" s="169"/>
      <c r="AO173" s="169"/>
      <c r="AP173" s="170"/>
      <c r="AR173" s="453">
        <f ca="1">IF(AND($D173="Serviço",AR$12&lt;&gt;0,$H173&gt;0,OR(AUTOEVENTO&lt;&gt;"manual",$M173&lt;&gt;$A$15)),
        IF(Import.TipoArredondamento&lt;&gt;"TransfereGOV",
              ROUND(OFFSET($P173,0,AR$13),15-13*ORÇAMENTO!$AF$7)/$H173*OFFSET(ORÇAMENTO!$X$15,ROW(AR173)-ROW(AR$15),0),
              ROUND(ROUND(OFFSET($P173,0,AR$13),15-13*ORÇAMENTO!$AF$7)*OFFSET(ORÇAMENTO!$W$15,ROW(AR173)-ROW(AR$15),0),15-13*ORÇAMENTO!$AF$11)),
         0)</f>
        <v>0</v>
      </c>
      <c r="AS173" s="453">
        <f ca="1">IF(AND($D173="Serviço",AS$12&lt;&gt;0,$H173&gt;0,OR(AUTOEVENTO&lt;&gt;"manual",$M173&lt;&gt;$A$15)),
        IF(Import.TipoArredondamento&lt;&gt;"TransfereGOV",
              ROUND(OFFSET($P173,0,AS$13),15-13*ORÇAMENTO!$AF$7)/$H173*OFFSET(ORÇAMENTO!$X$15,ROW(AS173)-ROW(AS$15),0),
              ROUND(ROUND(OFFSET($P173,0,AS$13),15-13*ORÇAMENTO!$AF$7)*OFFSET(ORÇAMENTO!$W$15,ROW(AS173)-ROW(AS$15),0),15-13*ORÇAMENTO!$AF$11)),
         0)</f>
        <v>0</v>
      </c>
      <c r="AT173" s="453">
        <f ca="1">IF(AND($D173="Serviço",AT$12&lt;&gt;0,$H173&gt;0,OR(AUTOEVENTO&lt;&gt;"manual",$M173&lt;&gt;$A$15)),
        IF(Import.TipoArredondamento&lt;&gt;"TransfereGOV",
              ROUND(OFFSET($P173,0,AT$13),15-13*ORÇAMENTO!$AF$7)/$H173*OFFSET(ORÇAMENTO!$X$15,ROW(AT173)-ROW(AT$15),0),
              ROUND(ROUND(OFFSET($P173,0,AT$13),15-13*ORÇAMENTO!$AF$7)*OFFSET(ORÇAMENTO!$W$15,ROW(AT173)-ROW(AT$15),0),15-13*ORÇAMENTO!$AF$11)),
         0)</f>
        <v>0</v>
      </c>
      <c r="AU173" s="453">
        <f ca="1">IF(AND($D173="Serviço",AU$12&lt;&gt;0,$H173&gt;0,OR(AUTOEVENTO&lt;&gt;"manual",$M173&lt;&gt;$A$15)),
        IF(Import.TipoArredondamento&lt;&gt;"TransfereGOV",
              ROUND(OFFSET($P173,0,AU$13),15-13*ORÇAMENTO!$AF$7)/$H173*OFFSET(ORÇAMENTO!$X$15,ROW(AU173)-ROW(AU$15),0),
              ROUND(ROUND(OFFSET($P173,0,AU$13),15-13*ORÇAMENTO!$AF$7)*OFFSET(ORÇAMENTO!$W$15,ROW(AU173)-ROW(AU$15),0),15-13*ORÇAMENTO!$AF$11)),
         0)</f>
        <v>0</v>
      </c>
      <c r="AV173" s="453">
        <f ca="1">IF(AND($D173="Serviço",AV$12&lt;&gt;0,$H173&gt;0,OR(AUTOEVENTO&lt;&gt;"manual",$M173&lt;&gt;$A$15)),
        IF(Import.TipoArredondamento&lt;&gt;"TransfereGOV",
              ROUND(OFFSET($P173,0,AV$13),15-13*ORÇAMENTO!$AF$7)/$H173*OFFSET(ORÇAMENTO!$X$15,ROW(AV173)-ROW(AV$15),0),
              ROUND(ROUND(OFFSET($P173,0,AV$13),15-13*ORÇAMENTO!$AF$7)*OFFSET(ORÇAMENTO!$W$15,ROW(AV173)-ROW(AV$15),0),15-13*ORÇAMENTO!$AF$11)),
         0)</f>
        <v>0</v>
      </c>
      <c r="AW173" s="453">
        <f ca="1">IF(AND($D173="Serviço",AW$12&lt;&gt;0,$H173&gt;0,OR(AUTOEVENTO&lt;&gt;"manual",$M173&lt;&gt;$A$15)),
        IF(Import.TipoArredondamento&lt;&gt;"TransfereGOV",
              ROUND(OFFSET($P173,0,AW$13),15-13*ORÇAMENTO!$AF$7)/$H173*OFFSET(ORÇAMENTO!$X$15,ROW(AW173)-ROW(AW$15),0),
              ROUND(ROUND(OFFSET($P173,0,AW$13),15-13*ORÇAMENTO!$AF$7)*OFFSET(ORÇAMENTO!$W$15,ROW(AW173)-ROW(AW$15),0),15-13*ORÇAMENTO!$AF$11)),
         0)</f>
        <v>0</v>
      </c>
      <c r="AX173" s="453">
        <f ca="1">IF(AND($D173="Serviço",AX$12&lt;&gt;0,$H173&gt;0,OR(AUTOEVENTO&lt;&gt;"manual",$M173&lt;&gt;$A$15)),
        IF(Import.TipoArredondamento&lt;&gt;"TransfereGOV",
              ROUND(OFFSET($P173,0,AX$13),15-13*ORÇAMENTO!$AF$7)/$H173*OFFSET(ORÇAMENTO!$X$15,ROW(AX173)-ROW(AX$15),0),
              ROUND(ROUND(OFFSET($P173,0,AX$13),15-13*ORÇAMENTO!$AF$7)*OFFSET(ORÇAMENTO!$W$15,ROW(AX173)-ROW(AX$15),0),15-13*ORÇAMENTO!$AF$11)),
         0)</f>
        <v>0</v>
      </c>
      <c r="AY173" s="453">
        <f ca="1">IF(AND($D173="Serviço",AY$12&lt;&gt;0,$H173&gt;0,OR(AUTOEVENTO&lt;&gt;"manual",$M173&lt;&gt;$A$15)),
        IF(Import.TipoArredondamento&lt;&gt;"TransfereGOV",
              ROUND(OFFSET($P173,0,AY$13),15-13*ORÇAMENTO!$AF$7)/$H173*OFFSET(ORÇAMENTO!$X$15,ROW(AY173)-ROW(AY$15),0),
              ROUND(ROUND(OFFSET($P173,0,AY$13),15-13*ORÇAMENTO!$AF$7)*OFFSET(ORÇAMENTO!$W$15,ROW(AY173)-ROW(AY$15),0),15-13*ORÇAMENTO!$AF$11)),
         0)</f>
        <v>0</v>
      </c>
      <c r="AZ173" s="453">
        <f ca="1">IF(AND($D173="Serviço",AZ$12&lt;&gt;0,$H173&gt;0,OR(AUTOEVENTO&lt;&gt;"manual",$M173&lt;&gt;$A$15)),
        IF(Import.TipoArredondamento&lt;&gt;"TransfereGOV",
              ROUND(OFFSET($P173,0,AZ$13),15-13*ORÇAMENTO!$AF$7)/$H173*OFFSET(ORÇAMENTO!$X$15,ROW(AZ173)-ROW(AZ$15),0),
              ROUND(ROUND(OFFSET($P173,0,AZ$13),15-13*ORÇAMENTO!$AF$7)*OFFSET(ORÇAMENTO!$W$15,ROW(AZ173)-ROW(AZ$15),0),15-13*ORÇAMENTO!$AF$11)),
         0)</f>
        <v>0</v>
      </c>
      <c r="BA173" s="453">
        <f ca="1">IF(AND($D173="Serviço",BA$12&lt;&gt;0,$H173&gt;0,OR(AUTOEVENTO&lt;&gt;"manual",$M173&lt;&gt;$A$15)),
        IF(Import.TipoArredondamento&lt;&gt;"TransfereGOV",
              ROUND(OFFSET($P173,0,BA$13),15-13*ORÇAMENTO!$AF$7)/$H173*OFFSET(ORÇAMENTO!$X$15,ROW(BA173)-ROW(BA$15),0),
              ROUND(ROUND(OFFSET($P173,0,BA$13),15-13*ORÇAMENTO!$AF$7)*OFFSET(ORÇAMENTO!$W$15,ROW(BA173)-ROW(BA$15),0),15-13*ORÇAMENTO!$AF$11)),
         0)</f>
        <v>0</v>
      </c>
      <c r="BB173" s="453">
        <f ca="1">IF(AND($D173="Serviço",BB$12&lt;&gt;0,$H173&gt;0,OR(AUTOEVENTO&lt;&gt;"manual",$M173&lt;&gt;$A$15)),
        IF(Import.TipoArredondamento&lt;&gt;"TransfereGOV",
              ROUND(OFFSET($P173,0,BB$13),15-13*ORÇAMENTO!$AF$7)/$H173*OFFSET(ORÇAMENTO!$X$15,ROW(BB173)-ROW(BB$15),0),
              ROUND(ROUND(OFFSET($P173,0,BB$13),15-13*ORÇAMENTO!$AF$7)*OFFSET(ORÇAMENTO!$W$15,ROW(BB173)-ROW(BB$15),0),15-13*ORÇAMENTO!$AF$11)),
         0)</f>
        <v>0</v>
      </c>
      <c r="BC173" s="453">
        <f ca="1">IF(AND($D173="Serviço",BC$12&lt;&gt;0,$H173&gt;0,OR(AUTOEVENTO&lt;&gt;"manual",$M173&lt;&gt;$A$15)),
        IF(Import.TipoArredondamento&lt;&gt;"TransfereGOV",
              ROUND(OFFSET($P173,0,BC$13),15-13*ORÇAMENTO!$AF$7)/$H173*OFFSET(ORÇAMENTO!$X$15,ROW(BC173)-ROW(BC$15),0),
              ROUND(ROUND(OFFSET($P173,0,BC$13),15-13*ORÇAMENTO!$AF$7)*OFFSET(ORÇAMENTO!$W$15,ROW(BC173)-ROW(BC$15),0),15-13*ORÇAMENTO!$AF$11)),
         0)</f>
        <v>0</v>
      </c>
      <c r="BD173" s="453">
        <f ca="1">IF(AND($D173="Serviço",BD$12&lt;&gt;0,$H173&gt;0,OR(AUTOEVENTO&lt;&gt;"manual",$M173&lt;&gt;$A$15)),
        IF(Import.TipoArredondamento&lt;&gt;"TransfereGOV",
              ROUND(OFFSET($P173,0,BD$13),15-13*ORÇAMENTO!$AF$7)/$H173*OFFSET(ORÇAMENTO!$X$15,ROW(BD173)-ROW(BD$15),0),
              ROUND(ROUND(OFFSET($P173,0,BD$13),15-13*ORÇAMENTO!$AF$7)*OFFSET(ORÇAMENTO!$W$15,ROW(BD173)-ROW(BD$15),0),15-13*ORÇAMENTO!$AF$11)),
         0)</f>
        <v>0</v>
      </c>
      <c r="BE173" s="453">
        <f ca="1">IF(AND($D173="Serviço",BE$12&lt;&gt;0,$H173&gt;0,OR(AUTOEVENTO&lt;&gt;"manual",$M173&lt;&gt;$A$15)),
        IF(Import.TipoArredondamento&lt;&gt;"TransfereGOV",
              ROUND(OFFSET($P173,0,BE$13),15-13*ORÇAMENTO!$AF$7)/$H173*OFFSET(ORÇAMENTO!$X$15,ROW(BE173)-ROW(BE$15),0),
              ROUND(ROUND(OFFSET($P173,0,BE$13),15-13*ORÇAMENTO!$AF$7)*OFFSET(ORÇAMENTO!$W$15,ROW(BE173)-ROW(BE$15),0),15-13*ORÇAMENTO!$AF$11)),
         0)</f>
        <v>0</v>
      </c>
      <c r="BF173" s="453">
        <f ca="1">IF(AND($D173="Serviço",BF$12&lt;&gt;0,$H173&gt;0,OR(AUTOEVENTO&lt;&gt;"manual",$M173&lt;&gt;$A$15)),
        IF(Import.TipoArredondamento&lt;&gt;"TransfereGOV",
              ROUND(OFFSET($P173,0,BF$13),15-13*ORÇAMENTO!$AF$7)/$H173*OFFSET(ORÇAMENTO!$X$15,ROW(BF173)-ROW(BF$15),0),
              ROUND(ROUND(OFFSET($P173,0,BF$13),15-13*ORÇAMENTO!$AF$7)*OFFSET(ORÇAMENTO!$W$15,ROW(BF173)-ROW(BF$15),0),15-13*ORÇAMENTO!$AF$11)),
         0)</f>
        <v>0</v>
      </c>
      <c r="BG173" s="453">
        <f ca="1">IF(AND($D173="Serviço",BG$12&lt;&gt;0,$H173&gt;0,OR(AUTOEVENTO&lt;&gt;"manual",$M173&lt;&gt;$A$15)),
        IF(Import.TipoArredondamento&lt;&gt;"TransfereGOV",
              ROUND(OFFSET($P173,0,BG$13),15-13*ORÇAMENTO!$AF$7)/$H173*OFFSET(ORÇAMENTO!$X$15,ROW(BG173)-ROW(BG$15),0),
              ROUND(ROUND(OFFSET($P173,0,BG$13),15-13*ORÇAMENTO!$AF$7)*OFFSET(ORÇAMENTO!$W$15,ROW(BG173)-ROW(BG$15),0),15-13*ORÇAMENTO!$AF$11)),
         0)</f>
        <v>0</v>
      </c>
      <c r="BH173" s="453">
        <f ca="1">IF(AND($D173="Serviço",BH$12&lt;&gt;0,$H173&gt;0,OR(AUTOEVENTO&lt;&gt;"manual",$M173&lt;&gt;$A$15)),
        IF(Import.TipoArredondamento&lt;&gt;"TransfereGOV",
              ROUND(OFFSET($P173,0,BH$13),15-13*ORÇAMENTO!$AF$7)/$H173*OFFSET(ORÇAMENTO!$X$15,ROW(BH173)-ROW(BH$15),0),
              ROUND(ROUND(OFFSET($P173,0,BH$13),15-13*ORÇAMENTO!$AF$7)*OFFSET(ORÇAMENTO!$W$15,ROW(BH173)-ROW(BH$15),0),15-13*ORÇAMENTO!$AF$11)),
         0)</f>
        <v>0</v>
      </c>
      <c r="BI173" s="453">
        <f ca="1">IF(AND($D173="Serviço",BI$12&lt;&gt;0,$H173&gt;0,OR(AUTOEVENTO&lt;&gt;"manual",$M173&lt;&gt;$A$15)),
        IF(Import.TipoArredondamento&lt;&gt;"TransfereGOV",
              ROUND(OFFSET($P173,0,BI$13),15-13*ORÇAMENTO!$AF$7)/$H173*OFFSET(ORÇAMENTO!$X$15,ROW(BI173)-ROW(BI$15),0),
              ROUND(ROUND(OFFSET($P173,0,BI$13),15-13*ORÇAMENTO!$AF$7)*OFFSET(ORÇAMENTO!$W$15,ROW(BI173)-ROW(BI$15),0),15-13*ORÇAMENTO!$AF$11)),
         0)</f>
        <v>0</v>
      </c>
      <c r="BJ173" s="453">
        <f ca="1">IF(AND($D173="Serviço",BJ$12&lt;&gt;0,$H173&gt;0,OR(AUTOEVENTO&lt;&gt;"manual",$M173&lt;&gt;$A$15)),
        IF(Import.TipoArredondamento&lt;&gt;"TransfereGOV",
              ROUND(OFFSET($P173,0,BJ$13),15-13*ORÇAMENTO!$AF$7)/$H173*OFFSET(ORÇAMENTO!$X$15,ROW(BJ173)-ROW(BJ$15),0),
              ROUND(ROUND(OFFSET($P173,0,BJ$13),15-13*ORÇAMENTO!$AF$7)*OFFSET(ORÇAMENTO!$W$15,ROW(BJ173)-ROW(BJ$15),0),15-13*ORÇAMENTO!$AF$11)),
         0)</f>
        <v>0</v>
      </c>
      <c r="BK173" s="453">
        <f ca="1">IF(AND($D173="Serviço",BK$12&lt;&gt;0,$H173&gt;0,OR(AUTOEVENTO&lt;&gt;"manual",$M173&lt;&gt;$A$15)),
        IF(Import.TipoArredondamento&lt;&gt;"TransfereGOV",
              ROUND(OFFSET($P173,0,BK$13),15-13*ORÇAMENTO!$AF$7)/$H173*OFFSET(ORÇAMENTO!$X$15,ROW(BK173)-ROW(BK$15),0),
              ROUND(ROUND(OFFSET($P173,0,BK$13),15-13*ORÇAMENTO!$AF$7)*OFFSET(ORÇAMENTO!$W$15,ROW(BK173)-ROW(BK$15),0),15-13*ORÇAMENTO!$AF$11)),
         0)</f>
        <v>0</v>
      </c>
      <c r="BL173" s="453">
        <f ca="1">IF(AND($D173="Serviço",BL$12&lt;&gt;0,$H173&gt;0,OR(AUTOEVENTO&lt;&gt;"manual",$M173&lt;&gt;$A$15)),
        IF(Import.TipoArredondamento&lt;&gt;"TransfereGOV",
              ROUND(OFFSET($P173,0,BL$13),15-13*ORÇAMENTO!$AF$7)/$H173*OFFSET(ORÇAMENTO!$X$15,ROW(BL173)-ROW(BL$15),0),
              ROUND(ROUND(OFFSET($P173,0,BL$13),15-13*ORÇAMENTO!$AF$7)*OFFSET(ORÇAMENTO!$W$15,ROW(BL173)-ROW(BL$15),0),15-13*ORÇAMENTO!$AF$11)),
         0)</f>
        <v>0</v>
      </c>
      <c r="BM173" s="453">
        <f ca="1">IF(AND($D173="Serviço",BM$12&lt;&gt;0,$H173&gt;0,OR(AUTOEVENTO&lt;&gt;"manual",$M173&lt;&gt;$A$15)),
        IF(Import.TipoArredondamento&lt;&gt;"TransfereGOV",
              ROUND(OFFSET($P173,0,BM$13),15-13*ORÇAMENTO!$AF$7)/$H173*OFFSET(ORÇAMENTO!$X$15,ROW(BM173)-ROW(BM$15),0),
              ROUND(ROUND(OFFSET($P173,0,BM$13),15-13*ORÇAMENTO!$AF$7)*OFFSET(ORÇAMENTO!$W$15,ROW(BM173)-ROW(BM$15),0),15-13*ORÇAMENTO!$AF$11)),
         0)</f>
        <v>0</v>
      </c>
      <c r="BN173" s="453">
        <f ca="1">IF(AND($D173="Serviço",BN$12&lt;&gt;0,$H173&gt;0,OR(AUTOEVENTO&lt;&gt;"manual",$M173&lt;&gt;$A$15)),
        IF(Import.TipoArredondamento&lt;&gt;"TransfereGOV",
              ROUND(OFFSET($P173,0,BN$13),15-13*ORÇAMENTO!$AF$7)/$H173*OFFSET(ORÇAMENTO!$X$15,ROW(BN173)-ROW(BN$15),0),
              ROUND(ROUND(OFFSET($P173,0,BN$13),15-13*ORÇAMENTO!$AF$7)*OFFSET(ORÇAMENTO!$W$15,ROW(BN173)-ROW(BN$15),0),15-13*ORÇAMENTO!$AF$11)),
         0)</f>
        <v>0</v>
      </c>
      <c r="BO173" s="453">
        <f ca="1">IF(AND($D173="Serviço",BO$12&lt;&gt;0,$H173&gt;0,OR(AUTOEVENTO&lt;&gt;"manual",$M173&lt;&gt;$A$15)),
        IF(Import.TipoArredondamento&lt;&gt;"TransfereGOV",
              ROUND(OFFSET($P173,0,BO$13),15-13*ORÇAMENTO!$AF$7)/$H173*OFFSET(ORÇAMENTO!$X$15,ROW(BO173)-ROW(BO$15),0),
              ROUND(ROUND(OFFSET($P173,0,BO$13),15-13*ORÇAMENTO!$AF$7)*OFFSET(ORÇAMENTO!$W$15,ROW(BO173)-ROW(BO$15),0),15-13*ORÇAMENTO!$AF$11)),
         0)</f>
        <v>0</v>
      </c>
      <c r="BP173" s="453">
        <f ca="1">IF(AND($D173="Serviço",BP$12&lt;&gt;0,$H173&gt;0,OR(AUTOEVENTO&lt;&gt;"manual",$M173&lt;&gt;$A$15)),
        IF(Import.TipoArredondamento&lt;&gt;"TransfereGOV",
              ROUND(OFFSET($P173,0,BP$13),15-13*ORÇAMENTO!$AF$7)/$H173*OFFSET(ORÇAMENTO!$X$15,ROW(BP173)-ROW(BP$15),0),
              ROUND(ROUND(OFFSET($P173,0,BP$13),15-13*ORÇAMENTO!$AF$7)*OFFSET(ORÇAMENTO!$W$15,ROW(BP173)-ROW(BP$15),0),15-13*ORÇAMENTO!$AF$11)),
         0)</f>
        <v>0</v>
      </c>
      <c r="BQ173" s="453">
        <f ca="1">IF(AND($D173="Serviço",BQ$12&lt;&gt;0,$H173&gt;0,OR(AUTOEVENTO&lt;&gt;"manual",$M173&lt;&gt;$A$15)),
        IF(Import.TipoArredondamento&lt;&gt;"TransfereGOV",
              ROUND(OFFSET($P173,0,BQ$13),15-13*ORÇAMENTO!$AF$7)/$H173*OFFSET(ORÇAMENTO!$X$15,ROW(BQ173)-ROW(BQ$15),0),
              ROUND(ROUND(OFFSET($P173,0,BQ$13),15-13*ORÇAMENTO!$AF$7)*OFFSET(ORÇAMENTO!$W$15,ROW(BQ173)-ROW(BQ$15),0),15-13*ORÇAMENTO!$AF$11)),
         0)</f>
        <v>0</v>
      </c>
      <c r="BS173" s="171">
        <f ca="1">IF(OR($D173&lt;&gt;"Serviço",AND(AUTOEVENTO="Manual",$M173=$A$15)),0,
         IF(OFFSET(CRONOPLE!$F$15,$M173-$A$15,BS$13)=0,10^12,OFFSET(CRONOPLE!$F$15,$M173-$A$15,BS$13)))</f>
        <v>1</v>
      </c>
      <c r="BT173" s="171">
        <f ca="1">IF(OR($D173&lt;&gt;"Serviço",AND(AUTOEVENTO="Manual",$M173=$A$15)),0,
         IF(OFFSET(CRONOPLE!$F$15,$M173-$A$15,BT$13)=0,10^12,OFFSET(CRONOPLE!$F$15,$M173-$A$15,BT$13)))</f>
        <v>2</v>
      </c>
      <c r="BU173" s="171">
        <f ca="1">IF(OR($D173&lt;&gt;"Serviço",AND(AUTOEVENTO="Manual",$M173=$A$15)),0,
         IF(OFFSET(CRONOPLE!$F$15,$M173-$A$15,BU$13)=0,10^12,OFFSET(CRONOPLE!$F$15,$M173-$A$15,BU$13)))</f>
        <v>3</v>
      </c>
      <c r="BV173" s="171">
        <f ca="1">IF(OR($D173&lt;&gt;"Serviço",AND(AUTOEVENTO="Manual",$M173=$A$15)),0,
         IF(OFFSET(CRONOPLE!$F$15,$M173-$A$15,BV$13)=0,10^12,OFFSET(CRONOPLE!$F$15,$M173-$A$15,BV$13)))</f>
        <v>4</v>
      </c>
      <c r="BW173" s="171">
        <f ca="1">IF(OR($D173&lt;&gt;"Serviço",AND(AUTOEVENTO="Manual",$M173=$A$15)),0,
         IF(OFFSET(CRONOPLE!$F$15,$M173-$A$15,BW$13)=0,10^12,OFFSET(CRONOPLE!$F$15,$M173-$A$15,BW$13)))</f>
        <v>5</v>
      </c>
      <c r="BX173" s="171">
        <f ca="1">IF(OR($D173&lt;&gt;"Serviço",AND(AUTOEVENTO="Manual",$M173=$A$15)),0,
         IF(OFFSET(CRONOPLE!$F$15,$M173-$A$15,BX$13)=0,10^12,OFFSET(CRONOPLE!$F$15,$M173-$A$15,BX$13)))</f>
        <v>6</v>
      </c>
      <c r="BY173" s="171">
        <f ca="1">IF(OR($D173&lt;&gt;"Serviço",AND(AUTOEVENTO="Manual",$M173=$A$15)),0,
         IF(OFFSET(CRONOPLE!$F$15,$M173-$A$15,BY$13)=0,10^12,OFFSET(CRONOPLE!$F$15,$M173-$A$15,BY$13)))</f>
        <v>7</v>
      </c>
      <c r="BZ173" s="171">
        <f ca="1">IF(OR($D173&lt;&gt;"Serviço",AND(AUTOEVENTO="Manual",$M173=$A$15)),0,
         IF(OFFSET(CRONOPLE!$F$15,$M173-$A$15,BZ$13)=0,10^12,OFFSET(CRONOPLE!$F$15,$M173-$A$15,BZ$13)))</f>
        <v>8</v>
      </c>
      <c r="CA173" s="171">
        <f ca="1">IF(OR($D173&lt;&gt;"Serviço",AND(AUTOEVENTO="Manual",$M173=$A$15)),0,
         IF(OFFSET(CRONOPLE!$F$15,$M173-$A$15,CA$13)=0,10^12,OFFSET(CRONOPLE!$F$15,$M173-$A$15,CA$13)))</f>
        <v>9</v>
      </c>
      <c r="CB173" s="171">
        <f ca="1">IF(OR($D173&lt;&gt;"Serviço",AND(AUTOEVENTO="Manual",$M173=$A$15)),0,
         IF(OFFSET(CRONOPLE!$F$15,$M173-$A$15,CB$13)=0,10^12,OFFSET(CRONOPLE!$F$15,$M173-$A$15,CB$13)))</f>
        <v>10</v>
      </c>
      <c r="CC173" s="171">
        <f ca="1">IF(OR($D173&lt;&gt;"Serviço",AND(AUTOEVENTO="Manual",$M173=$A$15)),0,
         IF(OFFSET(CRONOPLE!$F$15,$M173-$A$15,CC$13)=0,10^12,OFFSET(CRONOPLE!$F$15,$M173-$A$15,CC$13)))</f>
        <v>11</v>
      </c>
      <c r="CD173" s="171">
        <f ca="1">IF(OR($D173&lt;&gt;"Serviço",AND(AUTOEVENTO="Manual",$M173=$A$15)),0,
         IF(OFFSET(CRONOPLE!$F$15,$M173-$A$15,CD$13)=0,10^12,OFFSET(CRONOPLE!$F$15,$M173-$A$15,CD$13)))</f>
        <v>12</v>
      </c>
      <c r="CE173" s="171">
        <f ca="1">IF(OR($D173&lt;&gt;"Serviço",AND(AUTOEVENTO="Manual",$M173=$A$15)),0,
         IF(OFFSET(CRONOPLE!$F$15,$M173-$A$15,CE$13)=0,10^12,OFFSET(CRONOPLE!$F$15,$M173-$A$15,CE$13)))</f>
        <v>13</v>
      </c>
      <c r="CF173" s="171">
        <f ca="1">IF(OR($D173&lt;&gt;"Serviço",AND(AUTOEVENTO="Manual",$M173=$A$15)),0,
         IF(OFFSET(CRONOPLE!$F$15,$M173-$A$15,CF$13)=0,10^12,OFFSET(CRONOPLE!$F$15,$M173-$A$15,CF$13)))</f>
        <v>14</v>
      </c>
      <c r="CG173" s="171">
        <f ca="1">IF(OR($D173&lt;&gt;"Serviço",AND(AUTOEVENTO="Manual",$M173=$A$15)),0,
         IF(OFFSET(CRONOPLE!$F$15,$M173-$A$15,CG$13)=0,10^12,OFFSET(CRONOPLE!$F$15,$M173-$A$15,CG$13)))</f>
        <v>15</v>
      </c>
      <c r="CH173" s="171">
        <f ca="1">IF(OR($D173&lt;&gt;"Serviço",AND(AUTOEVENTO="Manual",$M173=$A$15)),0,
         IF(OFFSET(CRONOPLE!$F$15,$M173-$A$15,CH$13)=0,10^12,OFFSET(CRONOPLE!$F$15,$M173-$A$15,CH$13)))</f>
        <v>16</v>
      </c>
      <c r="CI173" s="171">
        <f ca="1">IF(OR($D173&lt;&gt;"Serviço",AND(AUTOEVENTO="Manual",$M173=$A$15)),0,
         IF(OFFSET(CRONOPLE!$F$15,$M173-$A$15,CI$13)=0,10^12,OFFSET(CRONOPLE!$F$15,$M173-$A$15,CI$13)))</f>
        <v>17</v>
      </c>
      <c r="CJ173" s="171">
        <f ca="1">IF(OR($D173&lt;&gt;"Serviço",AND(AUTOEVENTO="Manual",$M173=$A$15)),0,
         IF(OFFSET(CRONOPLE!$F$15,$M173-$A$15,CJ$13)=0,10^12,OFFSET(CRONOPLE!$F$15,$M173-$A$15,CJ$13)))</f>
        <v>18</v>
      </c>
      <c r="CK173" s="171">
        <f ca="1">IF(OR($D173&lt;&gt;"Serviço",AND(AUTOEVENTO="Manual",$M173=$A$15)),0,
         IF(OFFSET(CRONOPLE!$F$15,$M173-$A$15,CK$13)=0,10^12,OFFSET(CRONOPLE!$F$15,$M173-$A$15,CK$13)))</f>
        <v>19</v>
      </c>
      <c r="CL173" s="171">
        <f ca="1">IF(OR($D173&lt;&gt;"Serviço",AND(AUTOEVENTO="Manual",$M173=$A$15)),0,
         IF(OFFSET(CRONOPLE!$F$15,$M173-$A$15,CL$13)=0,10^12,OFFSET(CRONOPLE!$F$15,$M173-$A$15,CL$13)))</f>
        <v>20</v>
      </c>
      <c r="CM173" s="171">
        <f ca="1">IF(OR($D173&lt;&gt;"Serviço",AND(AUTOEVENTO="Manual",$M173=$A$15)),0,
         IF(OFFSET(CRONOPLE!$F$15,$M173-$A$15,CM$13)=0,10^12,OFFSET(CRONOPLE!$F$15,$M173-$A$15,CM$13)))</f>
        <v>1000000000000</v>
      </c>
      <c r="CN173" s="171">
        <f ca="1">IF(OR($D173&lt;&gt;"Serviço",AND(AUTOEVENTO="Manual",$M173=$A$15)),0,
         IF(OFFSET(CRONOPLE!$F$15,$M173-$A$15,CN$13)=0,10^12,OFFSET(CRONOPLE!$F$15,$M173-$A$15,CN$13)))</f>
        <v>1000000000000</v>
      </c>
      <c r="CO173" s="171">
        <f ca="1">IF(OR($D173&lt;&gt;"Serviço",AND(AUTOEVENTO="Manual",$M173=$A$15)),0,
         IF(OFFSET(CRONOPLE!$F$15,$M173-$A$15,CO$13)=0,10^12,OFFSET(CRONOPLE!$F$15,$M173-$A$15,CO$13)))</f>
        <v>1000000000000</v>
      </c>
      <c r="CP173" s="171">
        <f ca="1">IF(OR($D173&lt;&gt;"Serviço",AND(AUTOEVENTO="Manual",$M173=$A$15)),0,
         IF(OFFSET(CRONOPLE!$F$15,$M173-$A$15,CP$13)=0,10^12,OFFSET(CRONOPLE!$F$15,$M173-$A$15,CP$13)))</f>
        <v>1000000000000</v>
      </c>
      <c r="CQ173" s="171">
        <f ca="1">IF(OR($D173&lt;&gt;"Serviço",AND(AUTOEVENTO="Manual",$M173=$A$15)),0,
         IF(OFFSET(CRONOPLE!$F$15,$M173-$A$15,CQ$13)=0,10^12,OFFSET(CRONOPLE!$F$15,$M173-$A$15,CQ$13)))</f>
        <v>1000000000000</v>
      </c>
      <c r="CR173" s="171">
        <f ca="1">IF(OR($D173&lt;&gt;"Serviço",AND(AUTOEVENTO="Manual",$M173=$A$15)),0,
         IF(OFFSET(CRONOPLE!$F$15,$M173-$A$15,CR$13)=0,10^12,OFFSET(CRONOPLE!$F$15,$M173-$A$15,CR$13)))</f>
        <v>1000000000000</v>
      </c>
      <c r="CT173" s="172" cm="1">
        <f t="array" aca="1" ref="CT173" ca="1">IF(OR($D173&lt;&gt;"Serviço",AND(AUTOEVENTO="Manual",$M173=$A$15),$M173&gt;(ROW(PLE.lastrow)-ROW(PLE.firstrow))),0,
           IF(OFFSET(PLE!$G$15,$M173-$A$15,CT$13)="",10^12,OFFSET(PLE!$G$15,$M173-$A$15,CT$13)))</f>
        <v>1000000000000</v>
      </c>
      <c r="CU173" s="172" cm="1">
        <f t="array" aca="1" ref="CU173" ca="1">IF(OR($D173&lt;&gt;"Serviço",AND(AUTOEVENTO="Manual",$M173=$A$15),$M173&gt;(ROW(PLE.lastrow)-ROW(PLE.firstrow))),0,
           IF(OFFSET(PLE!$G$15,$M173-$A$15,CU$13)="",10^12,OFFSET(PLE!$G$15,$M173-$A$15,CU$13)))</f>
        <v>1000000000000</v>
      </c>
      <c r="CV173" s="172" cm="1">
        <f t="array" aca="1" ref="CV173" ca="1">IF(OR($D173&lt;&gt;"Serviço",AND(AUTOEVENTO="Manual",$M173=$A$15),$M173&gt;(ROW(PLE.lastrow)-ROW(PLE.firstrow))),0,
           IF(OFFSET(PLE!$G$15,$M173-$A$15,CV$13)="",10^12,OFFSET(PLE!$G$15,$M173-$A$15,CV$13)))</f>
        <v>1000000000000</v>
      </c>
      <c r="CW173" s="172" cm="1">
        <f t="array" aca="1" ref="CW173" ca="1">IF(OR($D173&lt;&gt;"Serviço",AND(AUTOEVENTO="Manual",$M173=$A$15),$M173&gt;(ROW(PLE.lastrow)-ROW(PLE.firstrow))),0,
           IF(OFFSET(PLE!$G$15,$M173-$A$15,CW$13)="",10^12,OFFSET(PLE!$G$15,$M173-$A$15,CW$13)))</f>
        <v>1000000000000</v>
      </c>
      <c r="CX173" s="172" cm="1">
        <f t="array" aca="1" ref="CX173" ca="1">IF(OR($D173&lt;&gt;"Serviço",AND(AUTOEVENTO="Manual",$M173=$A$15),$M173&gt;(ROW(PLE.lastrow)-ROW(PLE.firstrow))),0,
           IF(OFFSET(PLE!$G$15,$M173-$A$15,CX$13)="",10^12,OFFSET(PLE!$G$15,$M173-$A$15,CX$13)))</f>
        <v>1000000000000</v>
      </c>
      <c r="CY173" s="172" cm="1">
        <f t="array" aca="1" ref="CY173" ca="1">IF(OR($D173&lt;&gt;"Serviço",AND(AUTOEVENTO="Manual",$M173=$A$15),$M173&gt;(ROW(PLE.lastrow)-ROW(PLE.firstrow))),0,
           IF(OFFSET(PLE!$G$15,$M173-$A$15,CY$13)="",10^12,OFFSET(PLE!$G$15,$M173-$A$15,CY$13)))</f>
        <v>1000000000000</v>
      </c>
      <c r="CZ173" s="172" cm="1">
        <f t="array" aca="1" ref="CZ173" ca="1">IF(OR($D173&lt;&gt;"Serviço",AND(AUTOEVENTO="Manual",$M173=$A$15),$M173&gt;(ROW(PLE.lastrow)-ROW(PLE.firstrow))),0,
           IF(OFFSET(PLE!$G$15,$M173-$A$15,CZ$13)="",10^12,OFFSET(PLE!$G$15,$M173-$A$15,CZ$13)))</f>
        <v>1000000000000</v>
      </c>
      <c r="DA173" s="172" cm="1">
        <f t="array" aca="1" ref="DA173" ca="1">IF(OR($D173&lt;&gt;"Serviço",AND(AUTOEVENTO="Manual",$M173=$A$15),$M173&gt;(ROW(PLE.lastrow)-ROW(PLE.firstrow))),0,
           IF(OFFSET(PLE!$G$15,$M173-$A$15,DA$13)="",10^12,OFFSET(PLE!$G$15,$M173-$A$15,DA$13)))</f>
        <v>1000000000000</v>
      </c>
      <c r="DB173" s="172" cm="1">
        <f t="array" aca="1" ref="DB173" ca="1">IF(OR($D173&lt;&gt;"Serviço",AND(AUTOEVENTO="Manual",$M173=$A$15),$M173&gt;(ROW(PLE.lastrow)-ROW(PLE.firstrow))),0,
           IF(OFFSET(PLE!$G$15,$M173-$A$15,DB$13)="",10^12,OFFSET(PLE!$G$15,$M173-$A$15,DB$13)))</f>
        <v>1000000000000</v>
      </c>
      <c r="DC173" s="172" cm="1">
        <f t="array" aca="1" ref="DC173" ca="1">IF(OR($D173&lt;&gt;"Serviço",AND(AUTOEVENTO="Manual",$M173=$A$15),$M173&gt;(ROW(PLE.lastrow)-ROW(PLE.firstrow))),0,
           IF(OFFSET(PLE!$G$15,$M173-$A$15,DC$13)="",10^12,OFFSET(PLE!$G$15,$M173-$A$15,DC$13)))</f>
        <v>1000000000000</v>
      </c>
      <c r="DD173" s="172" cm="1">
        <f t="array" aca="1" ref="DD173" ca="1">IF(OR($D173&lt;&gt;"Serviço",AND(AUTOEVENTO="Manual",$M173=$A$15),$M173&gt;(ROW(PLE.lastrow)-ROW(PLE.firstrow))),0,
           IF(OFFSET(PLE!$G$15,$M173-$A$15,DD$13)="",10^12,OFFSET(PLE!$G$15,$M173-$A$15,DD$13)))</f>
        <v>1000000000000</v>
      </c>
      <c r="DE173" s="172" cm="1">
        <f t="array" aca="1" ref="DE173" ca="1">IF(OR($D173&lt;&gt;"Serviço",AND(AUTOEVENTO="Manual",$M173=$A$15),$M173&gt;(ROW(PLE.lastrow)-ROW(PLE.firstrow))),0,
           IF(OFFSET(PLE!$G$15,$M173-$A$15,DE$13)="",10^12,OFFSET(PLE!$G$15,$M173-$A$15,DE$13)))</f>
        <v>1000000000000</v>
      </c>
      <c r="DF173" s="172" cm="1">
        <f t="array" aca="1" ref="DF173" ca="1">IF(OR($D173&lt;&gt;"Serviço",AND(AUTOEVENTO="Manual",$M173=$A$15),$M173&gt;(ROW(PLE.lastrow)-ROW(PLE.firstrow))),0,
           IF(OFFSET(PLE!$G$15,$M173-$A$15,DF$13)="",10^12,OFFSET(PLE!$G$15,$M173-$A$15,DF$13)))</f>
        <v>1000000000000</v>
      </c>
      <c r="DG173" s="172" cm="1">
        <f t="array" aca="1" ref="DG173" ca="1">IF(OR($D173&lt;&gt;"Serviço",AND(AUTOEVENTO="Manual",$M173=$A$15),$M173&gt;(ROW(PLE.lastrow)-ROW(PLE.firstrow))),0,
           IF(OFFSET(PLE!$G$15,$M173-$A$15,DG$13)="",10^12,OFFSET(PLE!$G$15,$M173-$A$15,DG$13)))</f>
        <v>1000000000000</v>
      </c>
      <c r="DH173" s="172" cm="1">
        <f t="array" aca="1" ref="DH173" ca="1">IF(OR($D173&lt;&gt;"Serviço",AND(AUTOEVENTO="Manual",$M173=$A$15),$M173&gt;(ROW(PLE.lastrow)-ROW(PLE.firstrow))),0,
           IF(OFFSET(PLE!$G$15,$M173-$A$15,DH$13)="",10^12,OFFSET(PLE!$G$15,$M173-$A$15,DH$13)))</f>
        <v>1000000000000</v>
      </c>
      <c r="DI173" s="172" cm="1">
        <f t="array" aca="1" ref="DI173" ca="1">IF(OR($D173&lt;&gt;"Serviço",AND(AUTOEVENTO="Manual",$M173=$A$15),$M173&gt;(ROW(PLE.lastrow)-ROW(PLE.firstrow))),0,
           IF(OFFSET(PLE!$G$15,$M173-$A$15,DI$13)="",10^12,OFFSET(PLE!$G$15,$M173-$A$15,DI$13)))</f>
        <v>1000000000000</v>
      </c>
      <c r="DJ173" s="172" cm="1">
        <f t="array" aca="1" ref="DJ173" ca="1">IF(OR($D173&lt;&gt;"Serviço",AND(AUTOEVENTO="Manual",$M173=$A$15),$M173&gt;(ROW(PLE.lastrow)-ROW(PLE.firstrow))),0,
           IF(OFFSET(PLE!$G$15,$M173-$A$15,DJ$13)="",10^12,OFFSET(PLE!$G$15,$M173-$A$15,DJ$13)))</f>
        <v>1000000000000</v>
      </c>
      <c r="DK173" s="172" cm="1">
        <f t="array" aca="1" ref="DK173" ca="1">IF(OR($D173&lt;&gt;"Serviço",AND(AUTOEVENTO="Manual",$M173=$A$15),$M173&gt;(ROW(PLE.lastrow)-ROW(PLE.firstrow))),0,
           IF(OFFSET(PLE!$G$15,$M173-$A$15,DK$13)="",10^12,OFFSET(PLE!$G$15,$M173-$A$15,DK$13)))</f>
        <v>1000000000000</v>
      </c>
      <c r="DL173" s="172" cm="1">
        <f t="array" aca="1" ref="DL173" ca="1">IF(OR($D173&lt;&gt;"Serviço",AND(AUTOEVENTO="Manual",$M173=$A$15),$M173&gt;(ROW(PLE.lastrow)-ROW(PLE.firstrow))),0,
           IF(OFFSET(PLE!$G$15,$M173-$A$15,DL$13)="",10^12,OFFSET(PLE!$G$15,$M173-$A$15,DL$13)))</f>
        <v>1000000000000</v>
      </c>
      <c r="DM173" s="172" cm="1">
        <f t="array" aca="1" ref="DM173" ca="1">IF(OR($D173&lt;&gt;"Serviço",AND(AUTOEVENTO="Manual",$M173=$A$15),$M173&gt;(ROW(PLE.lastrow)-ROW(PLE.firstrow))),0,
           IF(OFFSET(PLE!$G$15,$M173-$A$15,DM$13)="",10^12,OFFSET(PLE!$G$15,$M173-$A$15,DM$13)))</f>
        <v>1000000000000</v>
      </c>
      <c r="DN173" s="172" cm="1">
        <f t="array" aca="1" ref="DN173" ca="1">IF(OR($D173&lt;&gt;"Serviço",AND(AUTOEVENTO="Manual",$M173=$A$15),$M173&gt;(ROW(PLE.lastrow)-ROW(PLE.firstrow))),0,
           IF(OFFSET(PLE!$G$15,$M173-$A$15,DN$13)="",10^12,OFFSET(PLE!$G$15,$M173-$A$15,DN$13)))</f>
        <v>1000000000000</v>
      </c>
      <c r="DO173" s="172" cm="1">
        <f t="array" aca="1" ref="DO173" ca="1">IF(OR($D173&lt;&gt;"Serviço",AND(AUTOEVENTO="Manual",$M173=$A$15),$M173&gt;(ROW(PLE.lastrow)-ROW(PLE.firstrow))),0,
           IF(OFFSET(PLE!$G$15,$M173-$A$15,DO$13)="",10^12,OFFSET(PLE!$G$15,$M173-$A$15,DO$13)))</f>
        <v>1000000000000</v>
      </c>
      <c r="DP173" s="172" cm="1">
        <f t="array" aca="1" ref="DP173" ca="1">IF(OR($D173&lt;&gt;"Serviço",AND(AUTOEVENTO="Manual",$M173=$A$15),$M173&gt;(ROW(PLE.lastrow)-ROW(PLE.firstrow))),0,
           IF(OFFSET(PLE!$G$15,$M173-$A$15,DP$13)="",10^12,OFFSET(PLE!$G$15,$M173-$A$15,DP$13)))</f>
        <v>1000000000000</v>
      </c>
      <c r="DQ173" s="172" cm="1">
        <f t="array" aca="1" ref="DQ173" ca="1">IF(OR($D173&lt;&gt;"Serviço",AND(AUTOEVENTO="Manual",$M173=$A$15),$M173&gt;(ROW(PLE.lastrow)-ROW(PLE.firstrow))),0,
           IF(OFFSET(PLE!$G$15,$M173-$A$15,DQ$13)="",10^12,OFFSET(PLE!$G$15,$M173-$A$15,DQ$13)))</f>
        <v>1000000000000</v>
      </c>
      <c r="DR173" s="172" cm="1">
        <f t="array" aca="1" ref="DR173" ca="1">IF(OR($D173&lt;&gt;"Serviço",AND(AUTOEVENTO="Manual",$M173=$A$15),$M173&gt;(ROW(PLE.lastrow)-ROW(PLE.firstrow))),0,
           IF(OFFSET(PLE!$G$15,$M173-$A$15,DR$13)="",10^12,OFFSET(PLE!$G$15,$M173-$A$15,DR$13)))</f>
        <v>1000000000000</v>
      </c>
      <c r="DS173" s="172" cm="1">
        <f t="array" aca="1" ref="DS173" ca="1">IF(OR($D173&lt;&gt;"Serviço",AND(AUTOEVENTO="Manual",$M173=$A$15),$M173&gt;(ROW(PLE.lastrow)-ROW(PLE.firstrow))),0,
           IF(OFFSET(PLE!$G$15,$M173-$A$15,DS$13)="",10^12,OFFSET(PLE!$G$15,$M173-$A$15,DS$13)))</f>
        <v>1000000000000</v>
      </c>
    </row>
    <row r="174" spans="1:123" ht="38.25" x14ac:dyDescent="0.2">
      <c r="A174" s="7">
        <f t="shared" ca="1" si="16"/>
        <v>9</v>
      </c>
      <c r="B174" s="7" t="str">
        <f ca="1">OFFSET(ORÇAMENTO!C$15,$L174,0)</f>
        <v>S</v>
      </c>
      <c r="C174" s="7" t="str">
        <f ca="1">OFFSET(ORÇAMENTO!L$15,$L174,0)</f>
        <v/>
      </c>
      <c r="D174" s="116" t="str">
        <f ca="1">OFFSET(ORÇAMENTO!N$15,$L174,0)</f>
        <v>Serviço</v>
      </c>
      <c r="E174" s="117" t="str">
        <f ca="1">OFFSET(ORÇAMENTO!O$15,$L174,0)</f>
        <v>-</v>
      </c>
      <c r="F174" s="163" t="str">
        <f ca="1">OFFSET(ORÇAMENTO!R$15,$L174,0)</f>
        <v>(Código não identificado nas referências)</v>
      </c>
      <c r="G174" s="164" t="str">
        <f ca="1">IF($D174&lt;&gt;"Serviço","",OFFSET(ORÇAMENTO!S$15,$L174,0))</f>
        <v>-</v>
      </c>
      <c r="H174" s="122" cm="1">
        <f t="array" aca="1" ref="H174" ca="1">IF($D174&lt;&gt;"Serviço",0,IF(ACOMPANHAMENTO="BM",ROUND(OFFSET(ORÇAMENTO!AJ$15,$L174,0),15-13*ORÇAMENTO!$AF$7),IF(IFERROR(CÁLCULO.FrentesPreenchidas,0)=0,0,SUM(ROUND(OFFSET($P174,0,1,1,CÁLCULO.FrentesPreenchidas),15-13*ORÇAMENTO!$AF$7)))))</f>
        <v>20</v>
      </c>
      <c r="I174" s="468" t="s">
        <v>1235</v>
      </c>
      <c r="J174" s="651" t="str" cm="1">
        <f t="array" aca="1" ref="J174" ca="1">IF(OR(B174&lt;&gt;"S",CÁLCULO.FrentesPreenchidas=0),"",IF(AND(ACOMPANHAMENTO="PLE",AUTOEVENTO="Manual",OR(H174&gt;0,ORÇAMENTO!AC174="QUANT."),OR(K174="",M174=0,N174="")),"►E",IF(AND(ACOMPANHAMENTO="PLE",ORÇAMENTO!AC174="QUANT."),"►Q",IF(AND(ACOMPANHAMENTO="PLE",H174&lt;&gt;SUMPRODUCT(($Q$1:$AQ$1=1)*ROUND(Q174:AQ174,15))),"►S",IF(AND(COUNTIF($P$11:$AQ$11,"▼")=0,H174&gt;0,I174=""),"◄M","")))))</f>
        <v/>
      </c>
      <c r="K174" s="652" t="s">
        <v>1257</v>
      </c>
      <c r="L174" s="165">
        <f t="shared" ca="1" si="17"/>
        <v>159</v>
      </c>
      <c r="M174" s="166">
        <f ca="1">IF($D174&lt;&gt;"Serviço","",
          IF(AUTOEVENTO="manual",$A174,
                IF(ISERROR(MATCH($A174,$A$15:OFFSET($A174,-1,0),0)),MAX($M$15:OFFSET(M174,-1,0))+1,
                      INDEX($M$15:OFFSET(M174,-1,0),MATCH($A174,$A$15:OFFSET($A174,-1,0),0)))))</f>
        <v>9</v>
      </c>
      <c r="N174" s="167" t="str">
        <f ca="1">IF($D174&lt;&gt;"Serviço","",
         IF(AUTOEVENTO="Manual",
                IF($A174=0,"&lt;-- defina o número do agrupador",
                       OFFSET(EVENTOS!$D$15,$A174-$A$15,0)),
                OFFSET($F$15,$A174,0)))</f>
        <v>INSTALAÇÕES</v>
      </c>
      <c r="O174" s="168"/>
      <c r="Q174" s="168">
        <v>1</v>
      </c>
      <c r="R174" s="169">
        <v>1</v>
      </c>
      <c r="S174" s="169">
        <v>1</v>
      </c>
      <c r="T174" s="169">
        <v>1</v>
      </c>
      <c r="U174" s="169">
        <v>1</v>
      </c>
      <c r="V174" s="169">
        <v>1</v>
      </c>
      <c r="W174" s="169">
        <v>1</v>
      </c>
      <c r="X174" s="169">
        <v>1</v>
      </c>
      <c r="Y174" s="169">
        <v>1</v>
      </c>
      <c r="Z174" s="170">
        <v>1</v>
      </c>
      <c r="AA174" s="169">
        <v>1</v>
      </c>
      <c r="AB174" s="169">
        <v>1</v>
      </c>
      <c r="AC174" s="169">
        <v>1</v>
      </c>
      <c r="AD174" s="169">
        <v>1</v>
      </c>
      <c r="AE174" s="169">
        <v>1</v>
      </c>
      <c r="AF174" s="169">
        <v>1</v>
      </c>
      <c r="AG174" s="169">
        <v>1</v>
      </c>
      <c r="AH174" s="170">
        <v>1</v>
      </c>
      <c r="AI174" s="169">
        <v>1</v>
      </c>
      <c r="AJ174" s="169">
        <v>1</v>
      </c>
      <c r="AK174" s="169"/>
      <c r="AL174" s="169"/>
      <c r="AM174" s="169"/>
      <c r="AN174" s="169"/>
      <c r="AO174" s="169"/>
      <c r="AP174" s="170"/>
      <c r="AR174" s="453">
        <f ca="1">IF(AND($D174="Serviço",AR$12&lt;&gt;0,$H174&gt;0,OR(AUTOEVENTO&lt;&gt;"manual",$M174&lt;&gt;$A$15)),
        IF(Import.TipoArredondamento&lt;&gt;"TransfereGOV",
              ROUND(OFFSET($P174,0,AR$13),15-13*ORÇAMENTO!$AF$7)/$H174*OFFSET(ORÇAMENTO!$X$15,ROW(AR174)-ROW(AR$15),0),
              ROUND(ROUND(OFFSET($P174,0,AR$13),15-13*ORÇAMENTO!$AF$7)*OFFSET(ORÇAMENTO!$W$15,ROW(AR174)-ROW(AR$15),0),15-13*ORÇAMENTO!$AF$11)),
         0)</f>
        <v>0</v>
      </c>
      <c r="AS174" s="453">
        <f ca="1">IF(AND($D174="Serviço",AS$12&lt;&gt;0,$H174&gt;0,OR(AUTOEVENTO&lt;&gt;"manual",$M174&lt;&gt;$A$15)),
        IF(Import.TipoArredondamento&lt;&gt;"TransfereGOV",
              ROUND(OFFSET($P174,0,AS$13),15-13*ORÇAMENTO!$AF$7)/$H174*OFFSET(ORÇAMENTO!$X$15,ROW(AS174)-ROW(AS$15),0),
              ROUND(ROUND(OFFSET($P174,0,AS$13),15-13*ORÇAMENTO!$AF$7)*OFFSET(ORÇAMENTO!$W$15,ROW(AS174)-ROW(AS$15),0),15-13*ORÇAMENTO!$AF$11)),
         0)</f>
        <v>0</v>
      </c>
      <c r="AT174" s="453">
        <f ca="1">IF(AND($D174="Serviço",AT$12&lt;&gt;0,$H174&gt;0,OR(AUTOEVENTO&lt;&gt;"manual",$M174&lt;&gt;$A$15)),
        IF(Import.TipoArredondamento&lt;&gt;"TransfereGOV",
              ROUND(OFFSET($P174,0,AT$13),15-13*ORÇAMENTO!$AF$7)/$H174*OFFSET(ORÇAMENTO!$X$15,ROW(AT174)-ROW(AT$15),0),
              ROUND(ROUND(OFFSET($P174,0,AT$13),15-13*ORÇAMENTO!$AF$7)*OFFSET(ORÇAMENTO!$W$15,ROW(AT174)-ROW(AT$15),0),15-13*ORÇAMENTO!$AF$11)),
         0)</f>
        <v>0</v>
      </c>
      <c r="AU174" s="453">
        <f ca="1">IF(AND($D174="Serviço",AU$12&lt;&gt;0,$H174&gt;0,OR(AUTOEVENTO&lt;&gt;"manual",$M174&lt;&gt;$A$15)),
        IF(Import.TipoArredondamento&lt;&gt;"TransfereGOV",
              ROUND(OFFSET($P174,0,AU$13),15-13*ORÇAMENTO!$AF$7)/$H174*OFFSET(ORÇAMENTO!$X$15,ROW(AU174)-ROW(AU$15),0),
              ROUND(ROUND(OFFSET($P174,0,AU$13),15-13*ORÇAMENTO!$AF$7)*OFFSET(ORÇAMENTO!$W$15,ROW(AU174)-ROW(AU$15),0),15-13*ORÇAMENTO!$AF$11)),
         0)</f>
        <v>0</v>
      </c>
      <c r="AV174" s="453">
        <f ca="1">IF(AND($D174="Serviço",AV$12&lt;&gt;0,$H174&gt;0,OR(AUTOEVENTO&lt;&gt;"manual",$M174&lt;&gt;$A$15)),
        IF(Import.TipoArredondamento&lt;&gt;"TransfereGOV",
              ROUND(OFFSET($P174,0,AV$13),15-13*ORÇAMENTO!$AF$7)/$H174*OFFSET(ORÇAMENTO!$X$15,ROW(AV174)-ROW(AV$15),0),
              ROUND(ROUND(OFFSET($P174,0,AV$13),15-13*ORÇAMENTO!$AF$7)*OFFSET(ORÇAMENTO!$W$15,ROW(AV174)-ROW(AV$15),0),15-13*ORÇAMENTO!$AF$11)),
         0)</f>
        <v>0</v>
      </c>
      <c r="AW174" s="453">
        <f ca="1">IF(AND($D174="Serviço",AW$12&lt;&gt;0,$H174&gt;0,OR(AUTOEVENTO&lt;&gt;"manual",$M174&lt;&gt;$A$15)),
        IF(Import.TipoArredondamento&lt;&gt;"TransfereGOV",
              ROUND(OFFSET($P174,0,AW$13),15-13*ORÇAMENTO!$AF$7)/$H174*OFFSET(ORÇAMENTO!$X$15,ROW(AW174)-ROW(AW$15),0),
              ROUND(ROUND(OFFSET($P174,0,AW$13),15-13*ORÇAMENTO!$AF$7)*OFFSET(ORÇAMENTO!$W$15,ROW(AW174)-ROW(AW$15),0),15-13*ORÇAMENTO!$AF$11)),
         0)</f>
        <v>0</v>
      </c>
      <c r="AX174" s="453">
        <f ca="1">IF(AND($D174="Serviço",AX$12&lt;&gt;0,$H174&gt;0,OR(AUTOEVENTO&lt;&gt;"manual",$M174&lt;&gt;$A$15)),
        IF(Import.TipoArredondamento&lt;&gt;"TransfereGOV",
              ROUND(OFFSET($P174,0,AX$13),15-13*ORÇAMENTO!$AF$7)/$H174*OFFSET(ORÇAMENTO!$X$15,ROW(AX174)-ROW(AX$15),0),
              ROUND(ROUND(OFFSET($P174,0,AX$13),15-13*ORÇAMENTO!$AF$7)*OFFSET(ORÇAMENTO!$W$15,ROW(AX174)-ROW(AX$15),0),15-13*ORÇAMENTO!$AF$11)),
         0)</f>
        <v>0</v>
      </c>
      <c r="AY174" s="453">
        <f ca="1">IF(AND($D174="Serviço",AY$12&lt;&gt;0,$H174&gt;0,OR(AUTOEVENTO&lt;&gt;"manual",$M174&lt;&gt;$A$15)),
        IF(Import.TipoArredondamento&lt;&gt;"TransfereGOV",
              ROUND(OFFSET($P174,0,AY$13),15-13*ORÇAMENTO!$AF$7)/$H174*OFFSET(ORÇAMENTO!$X$15,ROW(AY174)-ROW(AY$15),0),
              ROUND(ROUND(OFFSET($P174,0,AY$13),15-13*ORÇAMENTO!$AF$7)*OFFSET(ORÇAMENTO!$W$15,ROW(AY174)-ROW(AY$15),0),15-13*ORÇAMENTO!$AF$11)),
         0)</f>
        <v>0</v>
      </c>
      <c r="AZ174" s="453">
        <f ca="1">IF(AND($D174="Serviço",AZ$12&lt;&gt;0,$H174&gt;0,OR(AUTOEVENTO&lt;&gt;"manual",$M174&lt;&gt;$A$15)),
        IF(Import.TipoArredondamento&lt;&gt;"TransfereGOV",
              ROUND(OFFSET($P174,0,AZ$13),15-13*ORÇAMENTO!$AF$7)/$H174*OFFSET(ORÇAMENTO!$X$15,ROW(AZ174)-ROW(AZ$15),0),
              ROUND(ROUND(OFFSET($P174,0,AZ$13),15-13*ORÇAMENTO!$AF$7)*OFFSET(ORÇAMENTO!$W$15,ROW(AZ174)-ROW(AZ$15),0),15-13*ORÇAMENTO!$AF$11)),
         0)</f>
        <v>0</v>
      </c>
      <c r="BA174" s="453">
        <f ca="1">IF(AND($D174="Serviço",BA$12&lt;&gt;0,$H174&gt;0,OR(AUTOEVENTO&lt;&gt;"manual",$M174&lt;&gt;$A$15)),
        IF(Import.TipoArredondamento&lt;&gt;"TransfereGOV",
              ROUND(OFFSET($P174,0,BA$13),15-13*ORÇAMENTO!$AF$7)/$H174*OFFSET(ORÇAMENTO!$X$15,ROW(BA174)-ROW(BA$15),0),
              ROUND(ROUND(OFFSET($P174,0,BA$13),15-13*ORÇAMENTO!$AF$7)*OFFSET(ORÇAMENTO!$W$15,ROW(BA174)-ROW(BA$15),0),15-13*ORÇAMENTO!$AF$11)),
         0)</f>
        <v>0</v>
      </c>
      <c r="BB174" s="453">
        <f ca="1">IF(AND($D174="Serviço",BB$12&lt;&gt;0,$H174&gt;0,OR(AUTOEVENTO&lt;&gt;"manual",$M174&lt;&gt;$A$15)),
        IF(Import.TipoArredondamento&lt;&gt;"TransfereGOV",
              ROUND(OFFSET($P174,0,BB$13),15-13*ORÇAMENTO!$AF$7)/$H174*OFFSET(ORÇAMENTO!$X$15,ROW(BB174)-ROW(BB$15),0),
              ROUND(ROUND(OFFSET($P174,0,BB$13),15-13*ORÇAMENTO!$AF$7)*OFFSET(ORÇAMENTO!$W$15,ROW(BB174)-ROW(BB$15),0),15-13*ORÇAMENTO!$AF$11)),
         0)</f>
        <v>0</v>
      </c>
      <c r="BC174" s="453">
        <f ca="1">IF(AND($D174="Serviço",BC$12&lt;&gt;0,$H174&gt;0,OR(AUTOEVENTO&lt;&gt;"manual",$M174&lt;&gt;$A$15)),
        IF(Import.TipoArredondamento&lt;&gt;"TransfereGOV",
              ROUND(OFFSET($P174,0,BC$13),15-13*ORÇAMENTO!$AF$7)/$H174*OFFSET(ORÇAMENTO!$X$15,ROW(BC174)-ROW(BC$15),0),
              ROUND(ROUND(OFFSET($P174,0,BC$13),15-13*ORÇAMENTO!$AF$7)*OFFSET(ORÇAMENTO!$W$15,ROW(BC174)-ROW(BC$15),0),15-13*ORÇAMENTO!$AF$11)),
         0)</f>
        <v>0</v>
      </c>
      <c r="BD174" s="453">
        <f ca="1">IF(AND($D174="Serviço",BD$12&lt;&gt;0,$H174&gt;0,OR(AUTOEVENTO&lt;&gt;"manual",$M174&lt;&gt;$A$15)),
        IF(Import.TipoArredondamento&lt;&gt;"TransfereGOV",
              ROUND(OFFSET($P174,0,BD$13),15-13*ORÇAMENTO!$AF$7)/$H174*OFFSET(ORÇAMENTO!$X$15,ROW(BD174)-ROW(BD$15),0),
              ROUND(ROUND(OFFSET($P174,0,BD$13),15-13*ORÇAMENTO!$AF$7)*OFFSET(ORÇAMENTO!$W$15,ROW(BD174)-ROW(BD$15),0),15-13*ORÇAMENTO!$AF$11)),
         0)</f>
        <v>0</v>
      </c>
      <c r="BE174" s="453">
        <f ca="1">IF(AND($D174="Serviço",BE$12&lt;&gt;0,$H174&gt;0,OR(AUTOEVENTO&lt;&gt;"manual",$M174&lt;&gt;$A$15)),
        IF(Import.TipoArredondamento&lt;&gt;"TransfereGOV",
              ROUND(OFFSET($P174,0,BE$13),15-13*ORÇAMENTO!$AF$7)/$H174*OFFSET(ORÇAMENTO!$X$15,ROW(BE174)-ROW(BE$15),0),
              ROUND(ROUND(OFFSET($P174,0,BE$13),15-13*ORÇAMENTO!$AF$7)*OFFSET(ORÇAMENTO!$W$15,ROW(BE174)-ROW(BE$15),0),15-13*ORÇAMENTO!$AF$11)),
         0)</f>
        <v>0</v>
      </c>
      <c r="BF174" s="453">
        <f ca="1">IF(AND($D174="Serviço",BF$12&lt;&gt;0,$H174&gt;0,OR(AUTOEVENTO&lt;&gt;"manual",$M174&lt;&gt;$A$15)),
        IF(Import.TipoArredondamento&lt;&gt;"TransfereGOV",
              ROUND(OFFSET($P174,0,BF$13),15-13*ORÇAMENTO!$AF$7)/$H174*OFFSET(ORÇAMENTO!$X$15,ROW(BF174)-ROW(BF$15),0),
              ROUND(ROUND(OFFSET($P174,0,BF$13),15-13*ORÇAMENTO!$AF$7)*OFFSET(ORÇAMENTO!$W$15,ROW(BF174)-ROW(BF$15),0),15-13*ORÇAMENTO!$AF$11)),
         0)</f>
        <v>0</v>
      </c>
      <c r="BG174" s="453">
        <f ca="1">IF(AND($D174="Serviço",BG$12&lt;&gt;0,$H174&gt;0,OR(AUTOEVENTO&lt;&gt;"manual",$M174&lt;&gt;$A$15)),
        IF(Import.TipoArredondamento&lt;&gt;"TransfereGOV",
              ROUND(OFFSET($P174,0,BG$13),15-13*ORÇAMENTO!$AF$7)/$H174*OFFSET(ORÇAMENTO!$X$15,ROW(BG174)-ROW(BG$15),0),
              ROUND(ROUND(OFFSET($P174,0,BG$13),15-13*ORÇAMENTO!$AF$7)*OFFSET(ORÇAMENTO!$W$15,ROW(BG174)-ROW(BG$15),0),15-13*ORÇAMENTO!$AF$11)),
         0)</f>
        <v>0</v>
      </c>
      <c r="BH174" s="453">
        <f ca="1">IF(AND($D174="Serviço",BH$12&lt;&gt;0,$H174&gt;0,OR(AUTOEVENTO&lt;&gt;"manual",$M174&lt;&gt;$A$15)),
        IF(Import.TipoArredondamento&lt;&gt;"TransfereGOV",
              ROUND(OFFSET($P174,0,BH$13),15-13*ORÇAMENTO!$AF$7)/$H174*OFFSET(ORÇAMENTO!$X$15,ROW(BH174)-ROW(BH$15),0),
              ROUND(ROUND(OFFSET($P174,0,BH$13),15-13*ORÇAMENTO!$AF$7)*OFFSET(ORÇAMENTO!$W$15,ROW(BH174)-ROW(BH$15),0),15-13*ORÇAMENTO!$AF$11)),
         0)</f>
        <v>0</v>
      </c>
      <c r="BI174" s="453">
        <f ca="1">IF(AND($D174="Serviço",BI$12&lt;&gt;0,$H174&gt;0,OR(AUTOEVENTO&lt;&gt;"manual",$M174&lt;&gt;$A$15)),
        IF(Import.TipoArredondamento&lt;&gt;"TransfereGOV",
              ROUND(OFFSET($P174,0,BI$13),15-13*ORÇAMENTO!$AF$7)/$H174*OFFSET(ORÇAMENTO!$X$15,ROW(BI174)-ROW(BI$15),0),
              ROUND(ROUND(OFFSET($P174,0,BI$13),15-13*ORÇAMENTO!$AF$7)*OFFSET(ORÇAMENTO!$W$15,ROW(BI174)-ROW(BI$15),0),15-13*ORÇAMENTO!$AF$11)),
         0)</f>
        <v>0</v>
      </c>
      <c r="BJ174" s="453">
        <f ca="1">IF(AND($D174="Serviço",BJ$12&lt;&gt;0,$H174&gt;0,OR(AUTOEVENTO&lt;&gt;"manual",$M174&lt;&gt;$A$15)),
        IF(Import.TipoArredondamento&lt;&gt;"TransfereGOV",
              ROUND(OFFSET($P174,0,BJ$13),15-13*ORÇAMENTO!$AF$7)/$H174*OFFSET(ORÇAMENTO!$X$15,ROW(BJ174)-ROW(BJ$15),0),
              ROUND(ROUND(OFFSET($P174,0,BJ$13),15-13*ORÇAMENTO!$AF$7)*OFFSET(ORÇAMENTO!$W$15,ROW(BJ174)-ROW(BJ$15),0),15-13*ORÇAMENTO!$AF$11)),
         0)</f>
        <v>0</v>
      </c>
      <c r="BK174" s="453">
        <f ca="1">IF(AND($D174="Serviço",BK$12&lt;&gt;0,$H174&gt;0,OR(AUTOEVENTO&lt;&gt;"manual",$M174&lt;&gt;$A$15)),
        IF(Import.TipoArredondamento&lt;&gt;"TransfereGOV",
              ROUND(OFFSET($P174,0,BK$13),15-13*ORÇAMENTO!$AF$7)/$H174*OFFSET(ORÇAMENTO!$X$15,ROW(BK174)-ROW(BK$15),0),
              ROUND(ROUND(OFFSET($P174,0,BK$13),15-13*ORÇAMENTO!$AF$7)*OFFSET(ORÇAMENTO!$W$15,ROW(BK174)-ROW(BK$15),0),15-13*ORÇAMENTO!$AF$11)),
         0)</f>
        <v>0</v>
      </c>
      <c r="BL174" s="453">
        <f ca="1">IF(AND($D174="Serviço",BL$12&lt;&gt;0,$H174&gt;0,OR(AUTOEVENTO&lt;&gt;"manual",$M174&lt;&gt;$A$15)),
        IF(Import.TipoArredondamento&lt;&gt;"TransfereGOV",
              ROUND(OFFSET($P174,0,BL$13),15-13*ORÇAMENTO!$AF$7)/$H174*OFFSET(ORÇAMENTO!$X$15,ROW(BL174)-ROW(BL$15),0),
              ROUND(ROUND(OFFSET($P174,0,BL$13),15-13*ORÇAMENTO!$AF$7)*OFFSET(ORÇAMENTO!$W$15,ROW(BL174)-ROW(BL$15),0),15-13*ORÇAMENTO!$AF$11)),
         0)</f>
        <v>0</v>
      </c>
      <c r="BM174" s="453">
        <f ca="1">IF(AND($D174="Serviço",BM$12&lt;&gt;0,$H174&gt;0,OR(AUTOEVENTO&lt;&gt;"manual",$M174&lt;&gt;$A$15)),
        IF(Import.TipoArredondamento&lt;&gt;"TransfereGOV",
              ROUND(OFFSET($P174,0,BM$13),15-13*ORÇAMENTO!$AF$7)/$H174*OFFSET(ORÇAMENTO!$X$15,ROW(BM174)-ROW(BM$15),0),
              ROUND(ROUND(OFFSET($P174,0,BM$13),15-13*ORÇAMENTO!$AF$7)*OFFSET(ORÇAMENTO!$W$15,ROW(BM174)-ROW(BM$15),0),15-13*ORÇAMENTO!$AF$11)),
         0)</f>
        <v>0</v>
      </c>
      <c r="BN174" s="453">
        <f ca="1">IF(AND($D174="Serviço",BN$12&lt;&gt;0,$H174&gt;0,OR(AUTOEVENTO&lt;&gt;"manual",$M174&lt;&gt;$A$15)),
        IF(Import.TipoArredondamento&lt;&gt;"TransfereGOV",
              ROUND(OFFSET($P174,0,BN$13),15-13*ORÇAMENTO!$AF$7)/$H174*OFFSET(ORÇAMENTO!$X$15,ROW(BN174)-ROW(BN$15),0),
              ROUND(ROUND(OFFSET($P174,0,BN$13),15-13*ORÇAMENTO!$AF$7)*OFFSET(ORÇAMENTO!$W$15,ROW(BN174)-ROW(BN$15),0),15-13*ORÇAMENTO!$AF$11)),
         0)</f>
        <v>0</v>
      </c>
      <c r="BO174" s="453">
        <f ca="1">IF(AND($D174="Serviço",BO$12&lt;&gt;0,$H174&gt;0,OR(AUTOEVENTO&lt;&gt;"manual",$M174&lt;&gt;$A$15)),
        IF(Import.TipoArredondamento&lt;&gt;"TransfereGOV",
              ROUND(OFFSET($P174,0,BO$13),15-13*ORÇAMENTO!$AF$7)/$H174*OFFSET(ORÇAMENTO!$X$15,ROW(BO174)-ROW(BO$15),0),
              ROUND(ROUND(OFFSET($P174,0,BO$13),15-13*ORÇAMENTO!$AF$7)*OFFSET(ORÇAMENTO!$W$15,ROW(BO174)-ROW(BO$15),0),15-13*ORÇAMENTO!$AF$11)),
         0)</f>
        <v>0</v>
      </c>
      <c r="BP174" s="453">
        <f ca="1">IF(AND($D174="Serviço",BP$12&lt;&gt;0,$H174&gt;0,OR(AUTOEVENTO&lt;&gt;"manual",$M174&lt;&gt;$A$15)),
        IF(Import.TipoArredondamento&lt;&gt;"TransfereGOV",
              ROUND(OFFSET($P174,0,BP$13),15-13*ORÇAMENTO!$AF$7)/$H174*OFFSET(ORÇAMENTO!$X$15,ROW(BP174)-ROW(BP$15),0),
              ROUND(ROUND(OFFSET($P174,0,BP$13),15-13*ORÇAMENTO!$AF$7)*OFFSET(ORÇAMENTO!$W$15,ROW(BP174)-ROW(BP$15),0),15-13*ORÇAMENTO!$AF$11)),
         0)</f>
        <v>0</v>
      </c>
      <c r="BQ174" s="453">
        <f ca="1">IF(AND($D174="Serviço",BQ$12&lt;&gt;0,$H174&gt;0,OR(AUTOEVENTO&lt;&gt;"manual",$M174&lt;&gt;$A$15)),
        IF(Import.TipoArredondamento&lt;&gt;"TransfereGOV",
              ROUND(OFFSET($P174,0,BQ$13),15-13*ORÇAMENTO!$AF$7)/$H174*OFFSET(ORÇAMENTO!$X$15,ROW(BQ174)-ROW(BQ$15),0),
              ROUND(ROUND(OFFSET($P174,0,BQ$13),15-13*ORÇAMENTO!$AF$7)*OFFSET(ORÇAMENTO!$W$15,ROW(BQ174)-ROW(BQ$15),0),15-13*ORÇAMENTO!$AF$11)),
         0)</f>
        <v>0</v>
      </c>
      <c r="BS174" s="171">
        <f ca="1">IF(OR($D174&lt;&gt;"Serviço",AND(AUTOEVENTO="Manual",$M174=$A$15)),0,
         IF(OFFSET(CRONOPLE!$F$15,$M174-$A$15,BS$13)=0,10^12,OFFSET(CRONOPLE!$F$15,$M174-$A$15,BS$13)))</f>
        <v>1</v>
      </c>
      <c r="BT174" s="171">
        <f ca="1">IF(OR($D174&lt;&gt;"Serviço",AND(AUTOEVENTO="Manual",$M174=$A$15)),0,
         IF(OFFSET(CRONOPLE!$F$15,$M174-$A$15,BT$13)=0,10^12,OFFSET(CRONOPLE!$F$15,$M174-$A$15,BT$13)))</f>
        <v>2</v>
      </c>
      <c r="BU174" s="171">
        <f ca="1">IF(OR($D174&lt;&gt;"Serviço",AND(AUTOEVENTO="Manual",$M174=$A$15)),0,
         IF(OFFSET(CRONOPLE!$F$15,$M174-$A$15,BU$13)=0,10^12,OFFSET(CRONOPLE!$F$15,$M174-$A$15,BU$13)))</f>
        <v>3</v>
      </c>
      <c r="BV174" s="171">
        <f ca="1">IF(OR($D174&lt;&gt;"Serviço",AND(AUTOEVENTO="Manual",$M174=$A$15)),0,
         IF(OFFSET(CRONOPLE!$F$15,$M174-$A$15,BV$13)=0,10^12,OFFSET(CRONOPLE!$F$15,$M174-$A$15,BV$13)))</f>
        <v>4</v>
      </c>
      <c r="BW174" s="171">
        <f ca="1">IF(OR($D174&lt;&gt;"Serviço",AND(AUTOEVENTO="Manual",$M174=$A$15)),0,
         IF(OFFSET(CRONOPLE!$F$15,$M174-$A$15,BW$13)=0,10^12,OFFSET(CRONOPLE!$F$15,$M174-$A$15,BW$13)))</f>
        <v>5</v>
      </c>
      <c r="BX174" s="171">
        <f ca="1">IF(OR($D174&lt;&gt;"Serviço",AND(AUTOEVENTO="Manual",$M174=$A$15)),0,
         IF(OFFSET(CRONOPLE!$F$15,$M174-$A$15,BX$13)=0,10^12,OFFSET(CRONOPLE!$F$15,$M174-$A$15,BX$13)))</f>
        <v>6</v>
      </c>
      <c r="BY174" s="171">
        <f ca="1">IF(OR($D174&lt;&gt;"Serviço",AND(AUTOEVENTO="Manual",$M174=$A$15)),0,
         IF(OFFSET(CRONOPLE!$F$15,$M174-$A$15,BY$13)=0,10^12,OFFSET(CRONOPLE!$F$15,$M174-$A$15,BY$13)))</f>
        <v>7</v>
      </c>
      <c r="BZ174" s="171">
        <f ca="1">IF(OR($D174&lt;&gt;"Serviço",AND(AUTOEVENTO="Manual",$M174=$A$15)),0,
         IF(OFFSET(CRONOPLE!$F$15,$M174-$A$15,BZ$13)=0,10^12,OFFSET(CRONOPLE!$F$15,$M174-$A$15,BZ$13)))</f>
        <v>8</v>
      </c>
      <c r="CA174" s="171">
        <f ca="1">IF(OR($D174&lt;&gt;"Serviço",AND(AUTOEVENTO="Manual",$M174=$A$15)),0,
         IF(OFFSET(CRONOPLE!$F$15,$M174-$A$15,CA$13)=0,10^12,OFFSET(CRONOPLE!$F$15,$M174-$A$15,CA$13)))</f>
        <v>9</v>
      </c>
      <c r="CB174" s="171">
        <f ca="1">IF(OR($D174&lt;&gt;"Serviço",AND(AUTOEVENTO="Manual",$M174=$A$15)),0,
         IF(OFFSET(CRONOPLE!$F$15,$M174-$A$15,CB$13)=0,10^12,OFFSET(CRONOPLE!$F$15,$M174-$A$15,CB$13)))</f>
        <v>10</v>
      </c>
      <c r="CC174" s="171">
        <f ca="1">IF(OR($D174&lt;&gt;"Serviço",AND(AUTOEVENTO="Manual",$M174=$A$15)),0,
         IF(OFFSET(CRONOPLE!$F$15,$M174-$A$15,CC$13)=0,10^12,OFFSET(CRONOPLE!$F$15,$M174-$A$15,CC$13)))</f>
        <v>11</v>
      </c>
      <c r="CD174" s="171">
        <f ca="1">IF(OR($D174&lt;&gt;"Serviço",AND(AUTOEVENTO="Manual",$M174=$A$15)),0,
         IF(OFFSET(CRONOPLE!$F$15,$M174-$A$15,CD$13)=0,10^12,OFFSET(CRONOPLE!$F$15,$M174-$A$15,CD$13)))</f>
        <v>12</v>
      </c>
      <c r="CE174" s="171">
        <f ca="1">IF(OR($D174&lt;&gt;"Serviço",AND(AUTOEVENTO="Manual",$M174=$A$15)),0,
         IF(OFFSET(CRONOPLE!$F$15,$M174-$A$15,CE$13)=0,10^12,OFFSET(CRONOPLE!$F$15,$M174-$A$15,CE$13)))</f>
        <v>13</v>
      </c>
      <c r="CF174" s="171">
        <f ca="1">IF(OR($D174&lt;&gt;"Serviço",AND(AUTOEVENTO="Manual",$M174=$A$15)),0,
         IF(OFFSET(CRONOPLE!$F$15,$M174-$A$15,CF$13)=0,10^12,OFFSET(CRONOPLE!$F$15,$M174-$A$15,CF$13)))</f>
        <v>14</v>
      </c>
      <c r="CG174" s="171">
        <f ca="1">IF(OR($D174&lt;&gt;"Serviço",AND(AUTOEVENTO="Manual",$M174=$A$15)),0,
         IF(OFFSET(CRONOPLE!$F$15,$M174-$A$15,CG$13)=0,10^12,OFFSET(CRONOPLE!$F$15,$M174-$A$15,CG$13)))</f>
        <v>15</v>
      </c>
      <c r="CH174" s="171">
        <f ca="1">IF(OR($D174&lt;&gt;"Serviço",AND(AUTOEVENTO="Manual",$M174=$A$15)),0,
         IF(OFFSET(CRONOPLE!$F$15,$M174-$A$15,CH$13)=0,10^12,OFFSET(CRONOPLE!$F$15,$M174-$A$15,CH$13)))</f>
        <v>16</v>
      </c>
      <c r="CI174" s="171">
        <f ca="1">IF(OR($D174&lt;&gt;"Serviço",AND(AUTOEVENTO="Manual",$M174=$A$15)),0,
         IF(OFFSET(CRONOPLE!$F$15,$M174-$A$15,CI$13)=0,10^12,OFFSET(CRONOPLE!$F$15,$M174-$A$15,CI$13)))</f>
        <v>17</v>
      </c>
      <c r="CJ174" s="171">
        <f ca="1">IF(OR($D174&lt;&gt;"Serviço",AND(AUTOEVENTO="Manual",$M174=$A$15)),0,
         IF(OFFSET(CRONOPLE!$F$15,$M174-$A$15,CJ$13)=0,10^12,OFFSET(CRONOPLE!$F$15,$M174-$A$15,CJ$13)))</f>
        <v>18</v>
      </c>
      <c r="CK174" s="171">
        <f ca="1">IF(OR($D174&lt;&gt;"Serviço",AND(AUTOEVENTO="Manual",$M174=$A$15)),0,
         IF(OFFSET(CRONOPLE!$F$15,$M174-$A$15,CK$13)=0,10^12,OFFSET(CRONOPLE!$F$15,$M174-$A$15,CK$13)))</f>
        <v>19</v>
      </c>
      <c r="CL174" s="171">
        <f ca="1">IF(OR($D174&lt;&gt;"Serviço",AND(AUTOEVENTO="Manual",$M174=$A$15)),0,
         IF(OFFSET(CRONOPLE!$F$15,$M174-$A$15,CL$13)=0,10^12,OFFSET(CRONOPLE!$F$15,$M174-$A$15,CL$13)))</f>
        <v>20</v>
      </c>
      <c r="CM174" s="171">
        <f ca="1">IF(OR($D174&lt;&gt;"Serviço",AND(AUTOEVENTO="Manual",$M174=$A$15)),0,
         IF(OFFSET(CRONOPLE!$F$15,$M174-$A$15,CM$13)=0,10^12,OFFSET(CRONOPLE!$F$15,$M174-$A$15,CM$13)))</f>
        <v>1000000000000</v>
      </c>
      <c r="CN174" s="171">
        <f ca="1">IF(OR($D174&lt;&gt;"Serviço",AND(AUTOEVENTO="Manual",$M174=$A$15)),0,
         IF(OFFSET(CRONOPLE!$F$15,$M174-$A$15,CN$13)=0,10^12,OFFSET(CRONOPLE!$F$15,$M174-$A$15,CN$13)))</f>
        <v>1000000000000</v>
      </c>
      <c r="CO174" s="171">
        <f ca="1">IF(OR($D174&lt;&gt;"Serviço",AND(AUTOEVENTO="Manual",$M174=$A$15)),0,
         IF(OFFSET(CRONOPLE!$F$15,$M174-$A$15,CO$13)=0,10^12,OFFSET(CRONOPLE!$F$15,$M174-$A$15,CO$13)))</f>
        <v>1000000000000</v>
      </c>
      <c r="CP174" s="171">
        <f ca="1">IF(OR($D174&lt;&gt;"Serviço",AND(AUTOEVENTO="Manual",$M174=$A$15)),0,
         IF(OFFSET(CRONOPLE!$F$15,$M174-$A$15,CP$13)=0,10^12,OFFSET(CRONOPLE!$F$15,$M174-$A$15,CP$13)))</f>
        <v>1000000000000</v>
      </c>
      <c r="CQ174" s="171">
        <f ca="1">IF(OR($D174&lt;&gt;"Serviço",AND(AUTOEVENTO="Manual",$M174=$A$15)),0,
         IF(OFFSET(CRONOPLE!$F$15,$M174-$A$15,CQ$13)=0,10^12,OFFSET(CRONOPLE!$F$15,$M174-$A$15,CQ$13)))</f>
        <v>1000000000000</v>
      </c>
      <c r="CR174" s="171">
        <f ca="1">IF(OR($D174&lt;&gt;"Serviço",AND(AUTOEVENTO="Manual",$M174=$A$15)),0,
         IF(OFFSET(CRONOPLE!$F$15,$M174-$A$15,CR$13)=0,10^12,OFFSET(CRONOPLE!$F$15,$M174-$A$15,CR$13)))</f>
        <v>1000000000000</v>
      </c>
      <c r="CT174" s="172" cm="1">
        <f t="array" aca="1" ref="CT174" ca="1">IF(OR($D174&lt;&gt;"Serviço",AND(AUTOEVENTO="Manual",$M174=$A$15),$M174&gt;(ROW(PLE.lastrow)-ROW(PLE.firstrow))),0,
           IF(OFFSET(PLE!$G$15,$M174-$A$15,CT$13)="",10^12,OFFSET(PLE!$G$15,$M174-$A$15,CT$13)))</f>
        <v>1000000000000</v>
      </c>
      <c r="CU174" s="172" cm="1">
        <f t="array" aca="1" ref="CU174" ca="1">IF(OR($D174&lt;&gt;"Serviço",AND(AUTOEVENTO="Manual",$M174=$A$15),$M174&gt;(ROW(PLE.lastrow)-ROW(PLE.firstrow))),0,
           IF(OFFSET(PLE!$G$15,$M174-$A$15,CU$13)="",10^12,OFFSET(PLE!$G$15,$M174-$A$15,CU$13)))</f>
        <v>1000000000000</v>
      </c>
      <c r="CV174" s="172" cm="1">
        <f t="array" aca="1" ref="CV174" ca="1">IF(OR($D174&lt;&gt;"Serviço",AND(AUTOEVENTO="Manual",$M174=$A$15),$M174&gt;(ROW(PLE.lastrow)-ROW(PLE.firstrow))),0,
           IF(OFFSET(PLE!$G$15,$M174-$A$15,CV$13)="",10^12,OFFSET(PLE!$G$15,$M174-$A$15,CV$13)))</f>
        <v>1000000000000</v>
      </c>
      <c r="CW174" s="172" cm="1">
        <f t="array" aca="1" ref="CW174" ca="1">IF(OR($D174&lt;&gt;"Serviço",AND(AUTOEVENTO="Manual",$M174=$A$15),$M174&gt;(ROW(PLE.lastrow)-ROW(PLE.firstrow))),0,
           IF(OFFSET(PLE!$G$15,$M174-$A$15,CW$13)="",10^12,OFFSET(PLE!$G$15,$M174-$A$15,CW$13)))</f>
        <v>1000000000000</v>
      </c>
      <c r="CX174" s="172" cm="1">
        <f t="array" aca="1" ref="CX174" ca="1">IF(OR($D174&lt;&gt;"Serviço",AND(AUTOEVENTO="Manual",$M174=$A$15),$M174&gt;(ROW(PLE.lastrow)-ROW(PLE.firstrow))),0,
           IF(OFFSET(PLE!$G$15,$M174-$A$15,CX$13)="",10^12,OFFSET(PLE!$G$15,$M174-$A$15,CX$13)))</f>
        <v>1000000000000</v>
      </c>
      <c r="CY174" s="172" cm="1">
        <f t="array" aca="1" ref="CY174" ca="1">IF(OR($D174&lt;&gt;"Serviço",AND(AUTOEVENTO="Manual",$M174=$A$15),$M174&gt;(ROW(PLE.lastrow)-ROW(PLE.firstrow))),0,
           IF(OFFSET(PLE!$G$15,$M174-$A$15,CY$13)="",10^12,OFFSET(PLE!$G$15,$M174-$A$15,CY$13)))</f>
        <v>1000000000000</v>
      </c>
      <c r="CZ174" s="172" cm="1">
        <f t="array" aca="1" ref="CZ174" ca="1">IF(OR($D174&lt;&gt;"Serviço",AND(AUTOEVENTO="Manual",$M174=$A$15),$M174&gt;(ROW(PLE.lastrow)-ROW(PLE.firstrow))),0,
           IF(OFFSET(PLE!$G$15,$M174-$A$15,CZ$13)="",10^12,OFFSET(PLE!$G$15,$M174-$A$15,CZ$13)))</f>
        <v>1000000000000</v>
      </c>
      <c r="DA174" s="172" cm="1">
        <f t="array" aca="1" ref="DA174" ca="1">IF(OR($D174&lt;&gt;"Serviço",AND(AUTOEVENTO="Manual",$M174=$A$15),$M174&gt;(ROW(PLE.lastrow)-ROW(PLE.firstrow))),0,
           IF(OFFSET(PLE!$G$15,$M174-$A$15,DA$13)="",10^12,OFFSET(PLE!$G$15,$M174-$A$15,DA$13)))</f>
        <v>1000000000000</v>
      </c>
      <c r="DB174" s="172" cm="1">
        <f t="array" aca="1" ref="DB174" ca="1">IF(OR($D174&lt;&gt;"Serviço",AND(AUTOEVENTO="Manual",$M174=$A$15),$M174&gt;(ROW(PLE.lastrow)-ROW(PLE.firstrow))),0,
           IF(OFFSET(PLE!$G$15,$M174-$A$15,DB$13)="",10^12,OFFSET(PLE!$G$15,$M174-$A$15,DB$13)))</f>
        <v>1000000000000</v>
      </c>
      <c r="DC174" s="172" cm="1">
        <f t="array" aca="1" ref="DC174" ca="1">IF(OR($D174&lt;&gt;"Serviço",AND(AUTOEVENTO="Manual",$M174=$A$15),$M174&gt;(ROW(PLE.lastrow)-ROW(PLE.firstrow))),0,
           IF(OFFSET(PLE!$G$15,$M174-$A$15,DC$13)="",10^12,OFFSET(PLE!$G$15,$M174-$A$15,DC$13)))</f>
        <v>1000000000000</v>
      </c>
      <c r="DD174" s="172" cm="1">
        <f t="array" aca="1" ref="DD174" ca="1">IF(OR($D174&lt;&gt;"Serviço",AND(AUTOEVENTO="Manual",$M174=$A$15),$M174&gt;(ROW(PLE.lastrow)-ROW(PLE.firstrow))),0,
           IF(OFFSET(PLE!$G$15,$M174-$A$15,DD$13)="",10^12,OFFSET(PLE!$G$15,$M174-$A$15,DD$13)))</f>
        <v>1000000000000</v>
      </c>
      <c r="DE174" s="172" cm="1">
        <f t="array" aca="1" ref="DE174" ca="1">IF(OR($D174&lt;&gt;"Serviço",AND(AUTOEVENTO="Manual",$M174=$A$15),$M174&gt;(ROW(PLE.lastrow)-ROW(PLE.firstrow))),0,
           IF(OFFSET(PLE!$G$15,$M174-$A$15,DE$13)="",10^12,OFFSET(PLE!$G$15,$M174-$A$15,DE$13)))</f>
        <v>1000000000000</v>
      </c>
      <c r="DF174" s="172" cm="1">
        <f t="array" aca="1" ref="DF174" ca="1">IF(OR($D174&lt;&gt;"Serviço",AND(AUTOEVENTO="Manual",$M174=$A$15),$M174&gt;(ROW(PLE.lastrow)-ROW(PLE.firstrow))),0,
           IF(OFFSET(PLE!$G$15,$M174-$A$15,DF$13)="",10^12,OFFSET(PLE!$G$15,$M174-$A$15,DF$13)))</f>
        <v>1000000000000</v>
      </c>
      <c r="DG174" s="172" cm="1">
        <f t="array" aca="1" ref="DG174" ca="1">IF(OR($D174&lt;&gt;"Serviço",AND(AUTOEVENTO="Manual",$M174=$A$15),$M174&gt;(ROW(PLE.lastrow)-ROW(PLE.firstrow))),0,
           IF(OFFSET(PLE!$G$15,$M174-$A$15,DG$13)="",10^12,OFFSET(PLE!$G$15,$M174-$A$15,DG$13)))</f>
        <v>1000000000000</v>
      </c>
      <c r="DH174" s="172" cm="1">
        <f t="array" aca="1" ref="DH174" ca="1">IF(OR($D174&lt;&gt;"Serviço",AND(AUTOEVENTO="Manual",$M174=$A$15),$M174&gt;(ROW(PLE.lastrow)-ROW(PLE.firstrow))),0,
           IF(OFFSET(PLE!$G$15,$M174-$A$15,DH$13)="",10^12,OFFSET(PLE!$G$15,$M174-$A$15,DH$13)))</f>
        <v>1000000000000</v>
      </c>
      <c r="DI174" s="172" cm="1">
        <f t="array" aca="1" ref="DI174" ca="1">IF(OR($D174&lt;&gt;"Serviço",AND(AUTOEVENTO="Manual",$M174=$A$15),$M174&gt;(ROW(PLE.lastrow)-ROW(PLE.firstrow))),0,
           IF(OFFSET(PLE!$G$15,$M174-$A$15,DI$13)="",10^12,OFFSET(PLE!$G$15,$M174-$A$15,DI$13)))</f>
        <v>1000000000000</v>
      </c>
      <c r="DJ174" s="172" cm="1">
        <f t="array" aca="1" ref="DJ174" ca="1">IF(OR($D174&lt;&gt;"Serviço",AND(AUTOEVENTO="Manual",$M174=$A$15),$M174&gt;(ROW(PLE.lastrow)-ROW(PLE.firstrow))),0,
           IF(OFFSET(PLE!$G$15,$M174-$A$15,DJ$13)="",10^12,OFFSET(PLE!$G$15,$M174-$A$15,DJ$13)))</f>
        <v>1000000000000</v>
      </c>
      <c r="DK174" s="172" cm="1">
        <f t="array" aca="1" ref="DK174" ca="1">IF(OR($D174&lt;&gt;"Serviço",AND(AUTOEVENTO="Manual",$M174=$A$15),$M174&gt;(ROW(PLE.lastrow)-ROW(PLE.firstrow))),0,
           IF(OFFSET(PLE!$G$15,$M174-$A$15,DK$13)="",10^12,OFFSET(PLE!$G$15,$M174-$A$15,DK$13)))</f>
        <v>1000000000000</v>
      </c>
      <c r="DL174" s="172" cm="1">
        <f t="array" aca="1" ref="DL174" ca="1">IF(OR($D174&lt;&gt;"Serviço",AND(AUTOEVENTO="Manual",$M174=$A$15),$M174&gt;(ROW(PLE.lastrow)-ROW(PLE.firstrow))),0,
           IF(OFFSET(PLE!$G$15,$M174-$A$15,DL$13)="",10^12,OFFSET(PLE!$G$15,$M174-$A$15,DL$13)))</f>
        <v>1000000000000</v>
      </c>
      <c r="DM174" s="172" cm="1">
        <f t="array" aca="1" ref="DM174" ca="1">IF(OR($D174&lt;&gt;"Serviço",AND(AUTOEVENTO="Manual",$M174=$A$15),$M174&gt;(ROW(PLE.lastrow)-ROW(PLE.firstrow))),0,
           IF(OFFSET(PLE!$G$15,$M174-$A$15,DM$13)="",10^12,OFFSET(PLE!$G$15,$M174-$A$15,DM$13)))</f>
        <v>1000000000000</v>
      </c>
      <c r="DN174" s="172" cm="1">
        <f t="array" aca="1" ref="DN174" ca="1">IF(OR($D174&lt;&gt;"Serviço",AND(AUTOEVENTO="Manual",$M174=$A$15),$M174&gt;(ROW(PLE.lastrow)-ROW(PLE.firstrow))),0,
           IF(OFFSET(PLE!$G$15,$M174-$A$15,DN$13)="",10^12,OFFSET(PLE!$G$15,$M174-$A$15,DN$13)))</f>
        <v>1000000000000</v>
      </c>
      <c r="DO174" s="172" cm="1">
        <f t="array" aca="1" ref="DO174" ca="1">IF(OR($D174&lt;&gt;"Serviço",AND(AUTOEVENTO="Manual",$M174=$A$15),$M174&gt;(ROW(PLE.lastrow)-ROW(PLE.firstrow))),0,
           IF(OFFSET(PLE!$G$15,$M174-$A$15,DO$13)="",10^12,OFFSET(PLE!$G$15,$M174-$A$15,DO$13)))</f>
        <v>1000000000000</v>
      </c>
      <c r="DP174" s="172" cm="1">
        <f t="array" aca="1" ref="DP174" ca="1">IF(OR($D174&lt;&gt;"Serviço",AND(AUTOEVENTO="Manual",$M174=$A$15),$M174&gt;(ROW(PLE.lastrow)-ROW(PLE.firstrow))),0,
           IF(OFFSET(PLE!$G$15,$M174-$A$15,DP$13)="",10^12,OFFSET(PLE!$G$15,$M174-$A$15,DP$13)))</f>
        <v>1000000000000</v>
      </c>
      <c r="DQ174" s="172" cm="1">
        <f t="array" aca="1" ref="DQ174" ca="1">IF(OR($D174&lt;&gt;"Serviço",AND(AUTOEVENTO="Manual",$M174=$A$15),$M174&gt;(ROW(PLE.lastrow)-ROW(PLE.firstrow))),0,
           IF(OFFSET(PLE!$G$15,$M174-$A$15,DQ$13)="",10^12,OFFSET(PLE!$G$15,$M174-$A$15,DQ$13)))</f>
        <v>1000000000000</v>
      </c>
      <c r="DR174" s="172" cm="1">
        <f t="array" aca="1" ref="DR174" ca="1">IF(OR($D174&lt;&gt;"Serviço",AND(AUTOEVENTO="Manual",$M174=$A$15),$M174&gt;(ROW(PLE.lastrow)-ROW(PLE.firstrow))),0,
           IF(OFFSET(PLE!$G$15,$M174-$A$15,DR$13)="",10^12,OFFSET(PLE!$G$15,$M174-$A$15,DR$13)))</f>
        <v>1000000000000</v>
      </c>
      <c r="DS174" s="172" cm="1">
        <f t="array" aca="1" ref="DS174" ca="1">IF(OR($D174&lt;&gt;"Serviço",AND(AUTOEVENTO="Manual",$M174=$A$15),$M174&gt;(ROW(PLE.lastrow)-ROW(PLE.firstrow))),0,
           IF(OFFSET(PLE!$G$15,$M174-$A$15,DS$13)="",10^12,OFFSET(PLE!$G$15,$M174-$A$15,DS$13)))</f>
        <v>1000000000000</v>
      </c>
    </row>
    <row r="175" spans="1:123" ht="12.75" x14ac:dyDescent="0.2">
      <c r="A175" s="7">
        <f t="shared" ca="1" si="16"/>
        <v>0</v>
      </c>
      <c r="B175" s="7">
        <f ca="1">OFFSET(ORÇAMENTO!C$15,$L175,0)</f>
        <v>3</v>
      </c>
      <c r="C175" s="7" t="str">
        <f ca="1">OFFSET(ORÇAMENTO!L$15,$L175,0)</f>
        <v>F</v>
      </c>
      <c r="D175" s="116" t="str">
        <f ca="1">OFFSET(ORÇAMENTO!N$15,$L175,0)</f>
        <v>Nível 3</v>
      </c>
      <c r="E175" s="117" t="str">
        <f ca="1">OFFSET(ORÇAMENTO!O$15,$L175,0)</f>
        <v>9.2.2.</v>
      </c>
      <c r="F175" s="163" t="str">
        <f ca="1">OFFSET(ORÇAMENTO!R$15,$L175,0)</f>
        <v xml:space="preserve">REGISTROS </v>
      </c>
      <c r="G175" s="164" t="str">
        <f ca="1">IF($D175&lt;&gt;"Serviço","",OFFSET(ORÇAMENTO!S$15,$L175,0))</f>
        <v/>
      </c>
      <c r="H175" s="122" cm="1">
        <f t="array" aca="1" ref="H175" ca="1">IF($D175&lt;&gt;"Serviço",0,IF(ACOMPANHAMENTO="BM",ROUND(OFFSET(ORÇAMENTO!AJ$15,$L175,0),15-13*ORÇAMENTO!$AF$7),IF(IFERROR(CÁLCULO.FrentesPreenchidas,0)=0,0,SUM(ROUND(OFFSET($P175,0,1,1,CÁLCULO.FrentesPreenchidas),15-13*ORÇAMENTO!$AF$7)))))</f>
        <v>0</v>
      </c>
      <c r="I175" s="468"/>
      <c r="J175" s="651" t="str" cm="1">
        <f t="array" aca="1" ref="J175" ca="1">IF(OR(B175&lt;&gt;"S",CÁLCULO.FrentesPreenchidas=0),"",IF(AND(ACOMPANHAMENTO="PLE",AUTOEVENTO="Manual",OR(H175&gt;0,ORÇAMENTO!AC175="QUANT."),OR(K175="",M175=0,N175="")),"►E",IF(AND(ACOMPANHAMENTO="PLE",ORÇAMENTO!AC175="QUANT."),"►Q",IF(AND(ACOMPANHAMENTO="PLE",H175&lt;&gt;SUMPRODUCT(($Q$1:$AQ$1=1)*ROUND(Q175:AQ175,15))),"►S",IF(AND(COUNTIF($P$11:$AQ$11,"▼")=0,H175&gt;0,I175=""),"◄M","")))))</f>
        <v/>
      </c>
      <c r="K175" s="652"/>
      <c r="L175" s="165">
        <f t="shared" ca="1" si="17"/>
        <v>160</v>
      </c>
      <c r="M175" s="166" t="str">
        <f ca="1">IF($D175&lt;&gt;"Serviço","",
          IF(AUTOEVENTO="manual",$A175,
                IF(ISERROR(MATCH($A175,$A$15:OFFSET($A175,-1,0),0)),MAX($M$15:OFFSET(M175,-1,0))+1,
                      INDEX($M$15:OFFSET(M175,-1,0),MATCH($A175,$A$15:OFFSET($A175,-1,0),0)))))</f>
        <v/>
      </c>
      <c r="N175" s="167" t="str">
        <f ca="1">IF($D175&lt;&gt;"Serviço","",
         IF(AUTOEVENTO="Manual",
                IF($A175=0,"&lt;-- defina o número do agrupador",
                       OFFSET(EVENTOS!$D$15,$A175-$A$15,0)),
                OFFSET($F$15,$A175,0)))</f>
        <v/>
      </c>
      <c r="O175" s="168"/>
      <c r="Q175" s="168"/>
      <c r="R175" s="169"/>
      <c r="S175" s="169"/>
      <c r="T175" s="169"/>
      <c r="U175" s="169"/>
      <c r="V175" s="169"/>
      <c r="W175" s="169"/>
      <c r="X175" s="169"/>
      <c r="Y175" s="169"/>
      <c r="Z175" s="170"/>
      <c r="AA175" s="169"/>
      <c r="AB175" s="169"/>
      <c r="AC175" s="169"/>
      <c r="AD175" s="169"/>
      <c r="AE175" s="169"/>
      <c r="AF175" s="169"/>
      <c r="AG175" s="169"/>
      <c r="AH175" s="170"/>
      <c r="AI175" s="169"/>
      <c r="AJ175" s="169"/>
      <c r="AK175" s="169"/>
      <c r="AL175" s="169"/>
      <c r="AM175" s="169"/>
      <c r="AN175" s="169"/>
      <c r="AO175" s="169"/>
      <c r="AP175" s="170"/>
      <c r="AR175" s="453">
        <f ca="1">IF(AND($D175="Serviço",AR$12&lt;&gt;0,$H175&gt;0,OR(AUTOEVENTO&lt;&gt;"manual",$M175&lt;&gt;$A$15)),
        IF(Import.TipoArredondamento&lt;&gt;"TransfereGOV",
              ROUND(OFFSET($P175,0,AR$13),15-13*ORÇAMENTO!$AF$7)/$H175*OFFSET(ORÇAMENTO!$X$15,ROW(AR175)-ROW(AR$15),0),
              ROUND(ROUND(OFFSET($P175,0,AR$13),15-13*ORÇAMENTO!$AF$7)*OFFSET(ORÇAMENTO!$W$15,ROW(AR175)-ROW(AR$15),0),15-13*ORÇAMENTO!$AF$11)),
         0)</f>
        <v>0</v>
      </c>
      <c r="AS175" s="453">
        <f ca="1">IF(AND($D175="Serviço",AS$12&lt;&gt;0,$H175&gt;0,OR(AUTOEVENTO&lt;&gt;"manual",$M175&lt;&gt;$A$15)),
        IF(Import.TipoArredondamento&lt;&gt;"TransfereGOV",
              ROUND(OFFSET($P175,0,AS$13),15-13*ORÇAMENTO!$AF$7)/$H175*OFFSET(ORÇAMENTO!$X$15,ROW(AS175)-ROW(AS$15),0),
              ROUND(ROUND(OFFSET($P175,0,AS$13),15-13*ORÇAMENTO!$AF$7)*OFFSET(ORÇAMENTO!$W$15,ROW(AS175)-ROW(AS$15),0),15-13*ORÇAMENTO!$AF$11)),
         0)</f>
        <v>0</v>
      </c>
      <c r="AT175" s="453">
        <f ca="1">IF(AND($D175="Serviço",AT$12&lt;&gt;0,$H175&gt;0,OR(AUTOEVENTO&lt;&gt;"manual",$M175&lt;&gt;$A$15)),
        IF(Import.TipoArredondamento&lt;&gt;"TransfereGOV",
              ROUND(OFFSET($P175,0,AT$13),15-13*ORÇAMENTO!$AF$7)/$H175*OFFSET(ORÇAMENTO!$X$15,ROW(AT175)-ROW(AT$15),0),
              ROUND(ROUND(OFFSET($P175,0,AT$13),15-13*ORÇAMENTO!$AF$7)*OFFSET(ORÇAMENTO!$W$15,ROW(AT175)-ROW(AT$15),0),15-13*ORÇAMENTO!$AF$11)),
         0)</f>
        <v>0</v>
      </c>
      <c r="AU175" s="453">
        <f ca="1">IF(AND($D175="Serviço",AU$12&lt;&gt;0,$H175&gt;0,OR(AUTOEVENTO&lt;&gt;"manual",$M175&lt;&gt;$A$15)),
        IF(Import.TipoArredondamento&lt;&gt;"TransfereGOV",
              ROUND(OFFSET($P175,0,AU$13),15-13*ORÇAMENTO!$AF$7)/$H175*OFFSET(ORÇAMENTO!$X$15,ROW(AU175)-ROW(AU$15),0),
              ROUND(ROUND(OFFSET($P175,0,AU$13),15-13*ORÇAMENTO!$AF$7)*OFFSET(ORÇAMENTO!$W$15,ROW(AU175)-ROW(AU$15),0),15-13*ORÇAMENTO!$AF$11)),
         0)</f>
        <v>0</v>
      </c>
      <c r="AV175" s="453">
        <f ca="1">IF(AND($D175="Serviço",AV$12&lt;&gt;0,$H175&gt;0,OR(AUTOEVENTO&lt;&gt;"manual",$M175&lt;&gt;$A$15)),
        IF(Import.TipoArredondamento&lt;&gt;"TransfereGOV",
              ROUND(OFFSET($P175,0,AV$13),15-13*ORÇAMENTO!$AF$7)/$H175*OFFSET(ORÇAMENTO!$X$15,ROW(AV175)-ROW(AV$15),0),
              ROUND(ROUND(OFFSET($P175,0,AV$13),15-13*ORÇAMENTO!$AF$7)*OFFSET(ORÇAMENTO!$W$15,ROW(AV175)-ROW(AV$15),0),15-13*ORÇAMENTO!$AF$11)),
         0)</f>
        <v>0</v>
      </c>
      <c r="AW175" s="453">
        <f ca="1">IF(AND($D175="Serviço",AW$12&lt;&gt;0,$H175&gt;0,OR(AUTOEVENTO&lt;&gt;"manual",$M175&lt;&gt;$A$15)),
        IF(Import.TipoArredondamento&lt;&gt;"TransfereGOV",
              ROUND(OFFSET($P175,0,AW$13),15-13*ORÇAMENTO!$AF$7)/$H175*OFFSET(ORÇAMENTO!$X$15,ROW(AW175)-ROW(AW$15),0),
              ROUND(ROUND(OFFSET($P175,0,AW$13),15-13*ORÇAMENTO!$AF$7)*OFFSET(ORÇAMENTO!$W$15,ROW(AW175)-ROW(AW$15),0),15-13*ORÇAMENTO!$AF$11)),
         0)</f>
        <v>0</v>
      </c>
      <c r="AX175" s="453">
        <f ca="1">IF(AND($D175="Serviço",AX$12&lt;&gt;0,$H175&gt;0,OR(AUTOEVENTO&lt;&gt;"manual",$M175&lt;&gt;$A$15)),
        IF(Import.TipoArredondamento&lt;&gt;"TransfereGOV",
              ROUND(OFFSET($P175,0,AX$13),15-13*ORÇAMENTO!$AF$7)/$H175*OFFSET(ORÇAMENTO!$X$15,ROW(AX175)-ROW(AX$15),0),
              ROUND(ROUND(OFFSET($P175,0,AX$13),15-13*ORÇAMENTO!$AF$7)*OFFSET(ORÇAMENTO!$W$15,ROW(AX175)-ROW(AX$15),0),15-13*ORÇAMENTO!$AF$11)),
         0)</f>
        <v>0</v>
      </c>
      <c r="AY175" s="453">
        <f ca="1">IF(AND($D175="Serviço",AY$12&lt;&gt;0,$H175&gt;0,OR(AUTOEVENTO&lt;&gt;"manual",$M175&lt;&gt;$A$15)),
        IF(Import.TipoArredondamento&lt;&gt;"TransfereGOV",
              ROUND(OFFSET($P175,0,AY$13),15-13*ORÇAMENTO!$AF$7)/$H175*OFFSET(ORÇAMENTO!$X$15,ROW(AY175)-ROW(AY$15),0),
              ROUND(ROUND(OFFSET($P175,0,AY$13),15-13*ORÇAMENTO!$AF$7)*OFFSET(ORÇAMENTO!$W$15,ROW(AY175)-ROW(AY$15),0),15-13*ORÇAMENTO!$AF$11)),
         0)</f>
        <v>0</v>
      </c>
      <c r="AZ175" s="453">
        <f ca="1">IF(AND($D175="Serviço",AZ$12&lt;&gt;0,$H175&gt;0,OR(AUTOEVENTO&lt;&gt;"manual",$M175&lt;&gt;$A$15)),
        IF(Import.TipoArredondamento&lt;&gt;"TransfereGOV",
              ROUND(OFFSET($P175,0,AZ$13),15-13*ORÇAMENTO!$AF$7)/$H175*OFFSET(ORÇAMENTO!$X$15,ROW(AZ175)-ROW(AZ$15),0),
              ROUND(ROUND(OFFSET($P175,0,AZ$13),15-13*ORÇAMENTO!$AF$7)*OFFSET(ORÇAMENTO!$W$15,ROW(AZ175)-ROW(AZ$15),0),15-13*ORÇAMENTO!$AF$11)),
         0)</f>
        <v>0</v>
      </c>
      <c r="BA175" s="453">
        <f ca="1">IF(AND($D175="Serviço",BA$12&lt;&gt;0,$H175&gt;0,OR(AUTOEVENTO&lt;&gt;"manual",$M175&lt;&gt;$A$15)),
        IF(Import.TipoArredondamento&lt;&gt;"TransfereGOV",
              ROUND(OFFSET($P175,0,BA$13),15-13*ORÇAMENTO!$AF$7)/$H175*OFFSET(ORÇAMENTO!$X$15,ROW(BA175)-ROW(BA$15),0),
              ROUND(ROUND(OFFSET($P175,0,BA$13),15-13*ORÇAMENTO!$AF$7)*OFFSET(ORÇAMENTO!$W$15,ROW(BA175)-ROW(BA$15),0),15-13*ORÇAMENTO!$AF$11)),
         0)</f>
        <v>0</v>
      </c>
      <c r="BB175" s="453">
        <f ca="1">IF(AND($D175="Serviço",BB$12&lt;&gt;0,$H175&gt;0,OR(AUTOEVENTO&lt;&gt;"manual",$M175&lt;&gt;$A$15)),
        IF(Import.TipoArredondamento&lt;&gt;"TransfereGOV",
              ROUND(OFFSET($P175,0,BB$13),15-13*ORÇAMENTO!$AF$7)/$H175*OFFSET(ORÇAMENTO!$X$15,ROW(BB175)-ROW(BB$15),0),
              ROUND(ROUND(OFFSET($P175,0,BB$13),15-13*ORÇAMENTO!$AF$7)*OFFSET(ORÇAMENTO!$W$15,ROW(BB175)-ROW(BB$15),0),15-13*ORÇAMENTO!$AF$11)),
         0)</f>
        <v>0</v>
      </c>
      <c r="BC175" s="453">
        <f ca="1">IF(AND($D175="Serviço",BC$12&lt;&gt;0,$H175&gt;0,OR(AUTOEVENTO&lt;&gt;"manual",$M175&lt;&gt;$A$15)),
        IF(Import.TipoArredondamento&lt;&gt;"TransfereGOV",
              ROUND(OFFSET($P175,0,BC$13),15-13*ORÇAMENTO!$AF$7)/$H175*OFFSET(ORÇAMENTO!$X$15,ROW(BC175)-ROW(BC$15),0),
              ROUND(ROUND(OFFSET($P175,0,BC$13),15-13*ORÇAMENTO!$AF$7)*OFFSET(ORÇAMENTO!$W$15,ROW(BC175)-ROW(BC$15),0),15-13*ORÇAMENTO!$AF$11)),
         0)</f>
        <v>0</v>
      </c>
      <c r="BD175" s="453">
        <f ca="1">IF(AND($D175="Serviço",BD$12&lt;&gt;0,$H175&gt;0,OR(AUTOEVENTO&lt;&gt;"manual",$M175&lt;&gt;$A$15)),
        IF(Import.TipoArredondamento&lt;&gt;"TransfereGOV",
              ROUND(OFFSET($P175,0,BD$13),15-13*ORÇAMENTO!$AF$7)/$H175*OFFSET(ORÇAMENTO!$X$15,ROW(BD175)-ROW(BD$15),0),
              ROUND(ROUND(OFFSET($P175,0,BD$13),15-13*ORÇAMENTO!$AF$7)*OFFSET(ORÇAMENTO!$W$15,ROW(BD175)-ROW(BD$15),0),15-13*ORÇAMENTO!$AF$11)),
         0)</f>
        <v>0</v>
      </c>
      <c r="BE175" s="453">
        <f ca="1">IF(AND($D175="Serviço",BE$12&lt;&gt;0,$H175&gt;0,OR(AUTOEVENTO&lt;&gt;"manual",$M175&lt;&gt;$A$15)),
        IF(Import.TipoArredondamento&lt;&gt;"TransfereGOV",
              ROUND(OFFSET($P175,0,BE$13),15-13*ORÇAMENTO!$AF$7)/$H175*OFFSET(ORÇAMENTO!$X$15,ROW(BE175)-ROW(BE$15),0),
              ROUND(ROUND(OFFSET($P175,0,BE$13),15-13*ORÇAMENTO!$AF$7)*OFFSET(ORÇAMENTO!$W$15,ROW(BE175)-ROW(BE$15),0),15-13*ORÇAMENTO!$AF$11)),
         0)</f>
        <v>0</v>
      </c>
      <c r="BF175" s="453">
        <f ca="1">IF(AND($D175="Serviço",BF$12&lt;&gt;0,$H175&gt;0,OR(AUTOEVENTO&lt;&gt;"manual",$M175&lt;&gt;$A$15)),
        IF(Import.TipoArredondamento&lt;&gt;"TransfereGOV",
              ROUND(OFFSET($P175,0,BF$13),15-13*ORÇAMENTO!$AF$7)/$H175*OFFSET(ORÇAMENTO!$X$15,ROW(BF175)-ROW(BF$15),0),
              ROUND(ROUND(OFFSET($P175,0,BF$13),15-13*ORÇAMENTO!$AF$7)*OFFSET(ORÇAMENTO!$W$15,ROW(BF175)-ROW(BF$15),0),15-13*ORÇAMENTO!$AF$11)),
         0)</f>
        <v>0</v>
      </c>
      <c r="BG175" s="453">
        <f ca="1">IF(AND($D175="Serviço",BG$12&lt;&gt;0,$H175&gt;0,OR(AUTOEVENTO&lt;&gt;"manual",$M175&lt;&gt;$A$15)),
        IF(Import.TipoArredondamento&lt;&gt;"TransfereGOV",
              ROUND(OFFSET($P175,0,BG$13),15-13*ORÇAMENTO!$AF$7)/$H175*OFFSET(ORÇAMENTO!$X$15,ROW(BG175)-ROW(BG$15),0),
              ROUND(ROUND(OFFSET($P175,0,BG$13),15-13*ORÇAMENTO!$AF$7)*OFFSET(ORÇAMENTO!$W$15,ROW(BG175)-ROW(BG$15),0),15-13*ORÇAMENTO!$AF$11)),
         0)</f>
        <v>0</v>
      </c>
      <c r="BH175" s="453">
        <f ca="1">IF(AND($D175="Serviço",BH$12&lt;&gt;0,$H175&gt;0,OR(AUTOEVENTO&lt;&gt;"manual",$M175&lt;&gt;$A$15)),
        IF(Import.TipoArredondamento&lt;&gt;"TransfereGOV",
              ROUND(OFFSET($P175,0,BH$13),15-13*ORÇAMENTO!$AF$7)/$H175*OFFSET(ORÇAMENTO!$X$15,ROW(BH175)-ROW(BH$15),0),
              ROUND(ROUND(OFFSET($P175,0,BH$13),15-13*ORÇAMENTO!$AF$7)*OFFSET(ORÇAMENTO!$W$15,ROW(BH175)-ROW(BH$15),0),15-13*ORÇAMENTO!$AF$11)),
         0)</f>
        <v>0</v>
      </c>
      <c r="BI175" s="453">
        <f ca="1">IF(AND($D175="Serviço",BI$12&lt;&gt;0,$H175&gt;0,OR(AUTOEVENTO&lt;&gt;"manual",$M175&lt;&gt;$A$15)),
        IF(Import.TipoArredondamento&lt;&gt;"TransfereGOV",
              ROUND(OFFSET($P175,0,BI$13),15-13*ORÇAMENTO!$AF$7)/$H175*OFFSET(ORÇAMENTO!$X$15,ROW(BI175)-ROW(BI$15),0),
              ROUND(ROUND(OFFSET($P175,0,BI$13),15-13*ORÇAMENTO!$AF$7)*OFFSET(ORÇAMENTO!$W$15,ROW(BI175)-ROW(BI$15),0),15-13*ORÇAMENTO!$AF$11)),
         0)</f>
        <v>0</v>
      </c>
      <c r="BJ175" s="453">
        <f ca="1">IF(AND($D175="Serviço",BJ$12&lt;&gt;0,$H175&gt;0,OR(AUTOEVENTO&lt;&gt;"manual",$M175&lt;&gt;$A$15)),
        IF(Import.TipoArredondamento&lt;&gt;"TransfereGOV",
              ROUND(OFFSET($P175,0,BJ$13),15-13*ORÇAMENTO!$AF$7)/$H175*OFFSET(ORÇAMENTO!$X$15,ROW(BJ175)-ROW(BJ$15),0),
              ROUND(ROUND(OFFSET($P175,0,BJ$13),15-13*ORÇAMENTO!$AF$7)*OFFSET(ORÇAMENTO!$W$15,ROW(BJ175)-ROW(BJ$15),0),15-13*ORÇAMENTO!$AF$11)),
         0)</f>
        <v>0</v>
      </c>
      <c r="BK175" s="453">
        <f ca="1">IF(AND($D175="Serviço",BK$12&lt;&gt;0,$H175&gt;0,OR(AUTOEVENTO&lt;&gt;"manual",$M175&lt;&gt;$A$15)),
        IF(Import.TipoArredondamento&lt;&gt;"TransfereGOV",
              ROUND(OFFSET($P175,0,BK$13),15-13*ORÇAMENTO!$AF$7)/$H175*OFFSET(ORÇAMENTO!$X$15,ROW(BK175)-ROW(BK$15),0),
              ROUND(ROUND(OFFSET($P175,0,BK$13),15-13*ORÇAMENTO!$AF$7)*OFFSET(ORÇAMENTO!$W$15,ROW(BK175)-ROW(BK$15),0),15-13*ORÇAMENTO!$AF$11)),
         0)</f>
        <v>0</v>
      </c>
      <c r="BL175" s="453">
        <f ca="1">IF(AND($D175="Serviço",BL$12&lt;&gt;0,$H175&gt;0,OR(AUTOEVENTO&lt;&gt;"manual",$M175&lt;&gt;$A$15)),
        IF(Import.TipoArredondamento&lt;&gt;"TransfereGOV",
              ROUND(OFFSET($P175,0,BL$13),15-13*ORÇAMENTO!$AF$7)/$H175*OFFSET(ORÇAMENTO!$X$15,ROW(BL175)-ROW(BL$15),0),
              ROUND(ROUND(OFFSET($P175,0,BL$13),15-13*ORÇAMENTO!$AF$7)*OFFSET(ORÇAMENTO!$W$15,ROW(BL175)-ROW(BL$15),0),15-13*ORÇAMENTO!$AF$11)),
         0)</f>
        <v>0</v>
      </c>
      <c r="BM175" s="453">
        <f ca="1">IF(AND($D175="Serviço",BM$12&lt;&gt;0,$H175&gt;0,OR(AUTOEVENTO&lt;&gt;"manual",$M175&lt;&gt;$A$15)),
        IF(Import.TipoArredondamento&lt;&gt;"TransfereGOV",
              ROUND(OFFSET($P175,0,BM$13),15-13*ORÇAMENTO!$AF$7)/$H175*OFFSET(ORÇAMENTO!$X$15,ROW(BM175)-ROW(BM$15),0),
              ROUND(ROUND(OFFSET($P175,0,BM$13),15-13*ORÇAMENTO!$AF$7)*OFFSET(ORÇAMENTO!$W$15,ROW(BM175)-ROW(BM$15),0),15-13*ORÇAMENTO!$AF$11)),
         0)</f>
        <v>0</v>
      </c>
      <c r="BN175" s="453">
        <f ca="1">IF(AND($D175="Serviço",BN$12&lt;&gt;0,$H175&gt;0,OR(AUTOEVENTO&lt;&gt;"manual",$M175&lt;&gt;$A$15)),
        IF(Import.TipoArredondamento&lt;&gt;"TransfereGOV",
              ROUND(OFFSET($P175,0,BN$13),15-13*ORÇAMENTO!$AF$7)/$H175*OFFSET(ORÇAMENTO!$X$15,ROW(BN175)-ROW(BN$15),0),
              ROUND(ROUND(OFFSET($P175,0,BN$13),15-13*ORÇAMENTO!$AF$7)*OFFSET(ORÇAMENTO!$W$15,ROW(BN175)-ROW(BN$15),0),15-13*ORÇAMENTO!$AF$11)),
         0)</f>
        <v>0</v>
      </c>
      <c r="BO175" s="453">
        <f ca="1">IF(AND($D175="Serviço",BO$12&lt;&gt;0,$H175&gt;0,OR(AUTOEVENTO&lt;&gt;"manual",$M175&lt;&gt;$A$15)),
        IF(Import.TipoArredondamento&lt;&gt;"TransfereGOV",
              ROUND(OFFSET($P175,0,BO$13),15-13*ORÇAMENTO!$AF$7)/$H175*OFFSET(ORÇAMENTO!$X$15,ROW(BO175)-ROW(BO$15),0),
              ROUND(ROUND(OFFSET($P175,0,BO$13),15-13*ORÇAMENTO!$AF$7)*OFFSET(ORÇAMENTO!$W$15,ROW(BO175)-ROW(BO$15),0),15-13*ORÇAMENTO!$AF$11)),
         0)</f>
        <v>0</v>
      </c>
      <c r="BP175" s="453">
        <f ca="1">IF(AND($D175="Serviço",BP$12&lt;&gt;0,$H175&gt;0,OR(AUTOEVENTO&lt;&gt;"manual",$M175&lt;&gt;$A$15)),
        IF(Import.TipoArredondamento&lt;&gt;"TransfereGOV",
              ROUND(OFFSET($P175,0,BP$13),15-13*ORÇAMENTO!$AF$7)/$H175*OFFSET(ORÇAMENTO!$X$15,ROW(BP175)-ROW(BP$15),0),
              ROUND(ROUND(OFFSET($P175,0,BP$13),15-13*ORÇAMENTO!$AF$7)*OFFSET(ORÇAMENTO!$W$15,ROW(BP175)-ROW(BP$15),0),15-13*ORÇAMENTO!$AF$11)),
         0)</f>
        <v>0</v>
      </c>
      <c r="BQ175" s="453">
        <f ca="1">IF(AND($D175="Serviço",BQ$12&lt;&gt;0,$H175&gt;0,OR(AUTOEVENTO&lt;&gt;"manual",$M175&lt;&gt;$A$15)),
        IF(Import.TipoArredondamento&lt;&gt;"TransfereGOV",
              ROUND(OFFSET($P175,0,BQ$13),15-13*ORÇAMENTO!$AF$7)/$H175*OFFSET(ORÇAMENTO!$X$15,ROW(BQ175)-ROW(BQ$15),0),
              ROUND(ROUND(OFFSET($P175,0,BQ$13),15-13*ORÇAMENTO!$AF$7)*OFFSET(ORÇAMENTO!$W$15,ROW(BQ175)-ROW(BQ$15),0),15-13*ORÇAMENTO!$AF$11)),
         0)</f>
        <v>0</v>
      </c>
      <c r="BS175" s="171">
        <f ca="1">IF(OR($D175&lt;&gt;"Serviço",AND(AUTOEVENTO="Manual",$M175=$A$15)),0,
         IF(OFFSET(CRONOPLE!$F$15,$M175-$A$15,BS$13)=0,10^12,OFFSET(CRONOPLE!$F$15,$M175-$A$15,BS$13)))</f>
        <v>0</v>
      </c>
      <c r="BT175" s="171">
        <f ca="1">IF(OR($D175&lt;&gt;"Serviço",AND(AUTOEVENTO="Manual",$M175=$A$15)),0,
         IF(OFFSET(CRONOPLE!$F$15,$M175-$A$15,BT$13)=0,10^12,OFFSET(CRONOPLE!$F$15,$M175-$A$15,BT$13)))</f>
        <v>0</v>
      </c>
      <c r="BU175" s="171">
        <f ca="1">IF(OR($D175&lt;&gt;"Serviço",AND(AUTOEVENTO="Manual",$M175=$A$15)),0,
         IF(OFFSET(CRONOPLE!$F$15,$M175-$A$15,BU$13)=0,10^12,OFFSET(CRONOPLE!$F$15,$M175-$A$15,BU$13)))</f>
        <v>0</v>
      </c>
      <c r="BV175" s="171">
        <f ca="1">IF(OR($D175&lt;&gt;"Serviço",AND(AUTOEVENTO="Manual",$M175=$A$15)),0,
         IF(OFFSET(CRONOPLE!$F$15,$M175-$A$15,BV$13)=0,10^12,OFFSET(CRONOPLE!$F$15,$M175-$A$15,BV$13)))</f>
        <v>0</v>
      </c>
      <c r="BW175" s="171">
        <f ca="1">IF(OR($D175&lt;&gt;"Serviço",AND(AUTOEVENTO="Manual",$M175=$A$15)),0,
         IF(OFFSET(CRONOPLE!$F$15,$M175-$A$15,BW$13)=0,10^12,OFFSET(CRONOPLE!$F$15,$M175-$A$15,BW$13)))</f>
        <v>0</v>
      </c>
      <c r="BX175" s="171">
        <f ca="1">IF(OR($D175&lt;&gt;"Serviço",AND(AUTOEVENTO="Manual",$M175=$A$15)),0,
         IF(OFFSET(CRONOPLE!$F$15,$M175-$A$15,BX$13)=0,10^12,OFFSET(CRONOPLE!$F$15,$M175-$A$15,BX$13)))</f>
        <v>0</v>
      </c>
      <c r="BY175" s="171">
        <f ca="1">IF(OR($D175&lt;&gt;"Serviço",AND(AUTOEVENTO="Manual",$M175=$A$15)),0,
         IF(OFFSET(CRONOPLE!$F$15,$M175-$A$15,BY$13)=0,10^12,OFFSET(CRONOPLE!$F$15,$M175-$A$15,BY$13)))</f>
        <v>0</v>
      </c>
      <c r="BZ175" s="171">
        <f ca="1">IF(OR($D175&lt;&gt;"Serviço",AND(AUTOEVENTO="Manual",$M175=$A$15)),0,
         IF(OFFSET(CRONOPLE!$F$15,$M175-$A$15,BZ$13)=0,10^12,OFFSET(CRONOPLE!$F$15,$M175-$A$15,BZ$13)))</f>
        <v>0</v>
      </c>
      <c r="CA175" s="171">
        <f ca="1">IF(OR($D175&lt;&gt;"Serviço",AND(AUTOEVENTO="Manual",$M175=$A$15)),0,
         IF(OFFSET(CRONOPLE!$F$15,$M175-$A$15,CA$13)=0,10^12,OFFSET(CRONOPLE!$F$15,$M175-$A$15,CA$13)))</f>
        <v>0</v>
      </c>
      <c r="CB175" s="171">
        <f ca="1">IF(OR($D175&lt;&gt;"Serviço",AND(AUTOEVENTO="Manual",$M175=$A$15)),0,
         IF(OFFSET(CRONOPLE!$F$15,$M175-$A$15,CB$13)=0,10^12,OFFSET(CRONOPLE!$F$15,$M175-$A$15,CB$13)))</f>
        <v>0</v>
      </c>
      <c r="CC175" s="171">
        <f ca="1">IF(OR($D175&lt;&gt;"Serviço",AND(AUTOEVENTO="Manual",$M175=$A$15)),0,
         IF(OFFSET(CRONOPLE!$F$15,$M175-$A$15,CC$13)=0,10^12,OFFSET(CRONOPLE!$F$15,$M175-$A$15,CC$13)))</f>
        <v>0</v>
      </c>
      <c r="CD175" s="171">
        <f ca="1">IF(OR($D175&lt;&gt;"Serviço",AND(AUTOEVENTO="Manual",$M175=$A$15)),0,
         IF(OFFSET(CRONOPLE!$F$15,$M175-$A$15,CD$13)=0,10^12,OFFSET(CRONOPLE!$F$15,$M175-$A$15,CD$13)))</f>
        <v>0</v>
      </c>
      <c r="CE175" s="171">
        <f ca="1">IF(OR($D175&lt;&gt;"Serviço",AND(AUTOEVENTO="Manual",$M175=$A$15)),0,
         IF(OFFSET(CRONOPLE!$F$15,$M175-$A$15,CE$13)=0,10^12,OFFSET(CRONOPLE!$F$15,$M175-$A$15,CE$13)))</f>
        <v>0</v>
      </c>
      <c r="CF175" s="171">
        <f ca="1">IF(OR($D175&lt;&gt;"Serviço",AND(AUTOEVENTO="Manual",$M175=$A$15)),0,
         IF(OFFSET(CRONOPLE!$F$15,$M175-$A$15,CF$13)=0,10^12,OFFSET(CRONOPLE!$F$15,$M175-$A$15,CF$13)))</f>
        <v>0</v>
      </c>
      <c r="CG175" s="171">
        <f ca="1">IF(OR($D175&lt;&gt;"Serviço",AND(AUTOEVENTO="Manual",$M175=$A$15)),0,
         IF(OFFSET(CRONOPLE!$F$15,$M175-$A$15,CG$13)=0,10^12,OFFSET(CRONOPLE!$F$15,$M175-$A$15,CG$13)))</f>
        <v>0</v>
      </c>
      <c r="CH175" s="171">
        <f ca="1">IF(OR($D175&lt;&gt;"Serviço",AND(AUTOEVENTO="Manual",$M175=$A$15)),0,
         IF(OFFSET(CRONOPLE!$F$15,$M175-$A$15,CH$13)=0,10^12,OFFSET(CRONOPLE!$F$15,$M175-$A$15,CH$13)))</f>
        <v>0</v>
      </c>
      <c r="CI175" s="171">
        <f ca="1">IF(OR($D175&lt;&gt;"Serviço",AND(AUTOEVENTO="Manual",$M175=$A$15)),0,
         IF(OFFSET(CRONOPLE!$F$15,$M175-$A$15,CI$13)=0,10^12,OFFSET(CRONOPLE!$F$15,$M175-$A$15,CI$13)))</f>
        <v>0</v>
      </c>
      <c r="CJ175" s="171">
        <f ca="1">IF(OR($D175&lt;&gt;"Serviço",AND(AUTOEVENTO="Manual",$M175=$A$15)),0,
         IF(OFFSET(CRONOPLE!$F$15,$M175-$A$15,CJ$13)=0,10^12,OFFSET(CRONOPLE!$F$15,$M175-$A$15,CJ$13)))</f>
        <v>0</v>
      </c>
      <c r="CK175" s="171">
        <f ca="1">IF(OR($D175&lt;&gt;"Serviço",AND(AUTOEVENTO="Manual",$M175=$A$15)),0,
         IF(OFFSET(CRONOPLE!$F$15,$M175-$A$15,CK$13)=0,10^12,OFFSET(CRONOPLE!$F$15,$M175-$A$15,CK$13)))</f>
        <v>0</v>
      </c>
      <c r="CL175" s="171">
        <f ca="1">IF(OR($D175&lt;&gt;"Serviço",AND(AUTOEVENTO="Manual",$M175=$A$15)),0,
         IF(OFFSET(CRONOPLE!$F$15,$M175-$A$15,CL$13)=0,10^12,OFFSET(CRONOPLE!$F$15,$M175-$A$15,CL$13)))</f>
        <v>0</v>
      </c>
      <c r="CM175" s="171">
        <f ca="1">IF(OR($D175&lt;&gt;"Serviço",AND(AUTOEVENTO="Manual",$M175=$A$15)),0,
         IF(OFFSET(CRONOPLE!$F$15,$M175-$A$15,CM$13)=0,10^12,OFFSET(CRONOPLE!$F$15,$M175-$A$15,CM$13)))</f>
        <v>0</v>
      </c>
      <c r="CN175" s="171">
        <f ca="1">IF(OR($D175&lt;&gt;"Serviço",AND(AUTOEVENTO="Manual",$M175=$A$15)),0,
         IF(OFFSET(CRONOPLE!$F$15,$M175-$A$15,CN$13)=0,10^12,OFFSET(CRONOPLE!$F$15,$M175-$A$15,CN$13)))</f>
        <v>0</v>
      </c>
      <c r="CO175" s="171">
        <f ca="1">IF(OR($D175&lt;&gt;"Serviço",AND(AUTOEVENTO="Manual",$M175=$A$15)),0,
         IF(OFFSET(CRONOPLE!$F$15,$M175-$A$15,CO$13)=0,10^12,OFFSET(CRONOPLE!$F$15,$M175-$A$15,CO$13)))</f>
        <v>0</v>
      </c>
      <c r="CP175" s="171">
        <f ca="1">IF(OR($D175&lt;&gt;"Serviço",AND(AUTOEVENTO="Manual",$M175=$A$15)),0,
         IF(OFFSET(CRONOPLE!$F$15,$M175-$A$15,CP$13)=0,10^12,OFFSET(CRONOPLE!$F$15,$M175-$A$15,CP$13)))</f>
        <v>0</v>
      </c>
      <c r="CQ175" s="171">
        <f ca="1">IF(OR($D175&lt;&gt;"Serviço",AND(AUTOEVENTO="Manual",$M175=$A$15)),0,
         IF(OFFSET(CRONOPLE!$F$15,$M175-$A$15,CQ$13)=0,10^12,OFFSET(CRONOPLE!$F$15,$M175-$A$15,CQ$13)))</f>
        <v>0</v>
      </c>
      <c r="CR175" s="171">
        <f ca="1">IF(OR($D175&lt;&gt;"Serviço",AND(AUTOEVENTO="Manual",$M175=$A$15)),0,
         IF(OFFSET(CRONOPLE!$F$15,$M175-$A$15,CR$13)=0,10^12,OFFSET(CRONOPLE!$F$15,$M175-$A$15,CR$13)))</f>
        <v>0</v>
      </c>
      <c r="CT175" s="172" cm="1">
        <f t="array" aca="1" ref="CT175" ca="1">IF(OR($D175&lt;&gt;"Serviço",AND(AUTOEVENTO="Manual",$M175=$A$15),$M175&gt;(ROW(PLE.lastrow)-ROW(PLE.firstrow))),0,
           IF(OFFSET(PLE!$G$15,$M175-$A$15,CT$13)="",10^12,OFFSET(PLE!$G$15,$M175-$A$15,CT$13)))</f>
        <v>0</v>
      </c>
      <c r="CU175" s="172" cm="1">
        <f t="array" aca="1" ref="CU175" ca="1">IF(OR($D175&lt;&gt;"Serviço",AND(AUTOEVENTO="Manual",$M175=$A$15),$M175&gt;(ROW(PLE.lastrow)-ROW(PLE.firstrow))),0,
           IF(OFFSET(PLE!$G$15,$M175-$A$15,CU$13)="",10^12,OFFSET(PLE!$G$15,$M175-$A$15,CU$13)))</f>
        <v>0</v>
      </c>
      <c r="CV175" s="172" cm="1">
        <f t="array" aca="1" ref="CV175" ca="1">IF(OR($D175&lt;&gt;"Serviço",AND(AUTOEVENTO="Manual",$M175=$A$15),$M175&gt;(ROW(PLE.lastrow)-ROW(PLE.firstrow))),0,
           IF(OFFSET(PLE!$G$15,$M175-$A$15,CV$13)="",10^12,OFFSET(PLE!$G$15,$M175-$A$15,CV$13)))</f>
        <v>0</v>
      </c>
      <c r="CW175" s="172" cm="1">
        <f t="array" aca="1" ref="CW175" ca="1">IF(OR($D175&lt;&gt;"Serviço",AND(AUTOEVENTO="Manual",$M175=$A$15),$M175&gt;(ROW(PLE.lastrow)-ROW(PLE.firstrow))),0,
           IF(OFFSET(PLE!$G$15,$M175-$A$15,CW$13)="",10^12,OFFSET(PLE!$G$15,$M175-$A$15,CW$13)))</f>
        <v>0</v>
      </c>
      <c r="CX175" s="172" cm="1">
        <f t="array" aca="1" ref="CX175" ca="1">IF(OR($D175&lt;&gt;"Serviço",AND(AUTOEVENTO="Manual",$M175=$A$15),$M175&gt;(ROW(PLE.lastrow)-ROW(PLE.firstrow))),0,
           IF(OFFSET(PLE!$G$15,$M175-$A$15,CX$13)="",10^12,OFFSET(PLE!$G$15,$M175-$A$15,CX$13)))</f>
        <v>0</v>
      </c>
      <c r="CY175" s="172" cm="1">
        <f t="array" aca="1" ref="CY175" ca="1">IF(OR($D175&lt;&gt;"Serviço",AND(AUTOEVENTO="Manual",$M175=$A$15),$M175&gt;(ROW(PLE.lastrow)-ROW(PLE.firstrow))),0,
           IF(OFFSET(PLE!$G$15,$M175-$A$15,CY$13)="",10^12,OFFSET(PLE!$G$15,$M175-$A$15,CY$13)))</f>
        <v>0</v>
      </c>
      <c r="CZ175" s="172" cm="1">
        <f t="array" aca="1" ref="CZ175" ca="1">IF(OR($D175&lt;&gt;"Serviço",AND(AUTOEVENTO="Manual",$M175=$A$15),$M175&gt;(ROW(PLE.lastrow)-ROW(PLE.firstrow))),0,
           IF(OFFSET(PLE!$G$15,$M175-$A$15,CZ$13)="",10^12,OFFSET(PLE!$G$15,$M175-$A$15,CZ$13)))</f>
        <v>0</v>
      </c>
      <c r="DA175" s="172" cm="1">
        <f t="array" aca="1" ref="DA175" ca="1">IF(OR($D175&lt;&gt;"Serviço",AND(AUTOEVENTO="Manual",$M175=$A$15),$M175&gt;(ROW(PLE.lastrow)-ROW(PLE.firstrow))),0,
           IF(OFFSET(PLE!$G$15,$M175-$A$15,DA$13)="",10^12,OFFSET(PLE!$G$15,$M175-$A$15,DA$13)))</f>
        <v>0</v>
      </c>
      <c r="DB175" s="172" cm="1">
        <f t="array" aca="1" ref="DB175" ca="1">IF(OR($D175&lt;&gt;"Serviço",AND(AUTOEVENTO="Manual",$M175=$A$15),$M175&gt;(ROW(PLE.lastrow)-ROW(PLE.firstrow))),0,
           IF(OFFSET(PLE!$G$15,$M175-$A$15,DB$13)="",10^12,OFFSET(PLE!$G$15,$M175-$A$15,DB$13)))</f>
        <v>0</v>
      </c>
      <c r="DC175" s="172" cm="1">
        <f t="array" aca="1" ref="DC175" ca="1">IF(OR($D175&lt;&gt;"Serviço",AND(AUTOEVENTO="Manual",$M175=$A$15),$M175&gt;(ROW(PLE.lastrow)-ROW(PLE.firstrow))),0,
           IF(OFFSET(PLE!$G$15,$M175-$A$15,DC$13)="",10^12,OFFSET(PLE!$G$15,$M175-$A$15,DC$13)))</f>
        <v>0</v>
      </c>
      <c r="DD175" s="172" cm="1">
        <f t="array" aca="1" ref="DD175" ca="1">IF(OR($D175&lt;&gt;"Serviço",AND(AUTOEVENTO="Manual",$M175=$A$15),$M175&gt;(ROW(PLE.lastrow)-ROW(PLE.firstrow))),0,
           IF(OFFSET(PLE!$G$15,$M175-$A$15,DD$13)="",10^12,OFFSET(PLE!$G$15,$M175-$A$15,DD$13)))</f>
        <v>0</v>
      </c>
      <c r="DE175" s="172" cm="1">
        <f t="array" aca="1" ref="DE175" ca="1">IF(OR($D175&lt;&gt;"Serviço",AND(AUTOEVENTO="Manual",$M175=$A$15),$M175&gt;(ROW(PLE.lastrow)-ROW(PLE.firstrow))),0,
           IF(OFFSET(PLE!$G$15,$M175-$A$15,DE$13)="",10^12,OFFSET(PLE!$G$15,$M175-$A$15,DE$13)))</f>
        <v>0</v>
      </c>
      <c r="DF175" s="172" cm="1">
        <f t="array" aca="1" ref="DF175" ca="1">IF(OR($D175&lt;&gt;"Serviço",AND(AUTOEVENTO="Manual",$M175=$A$15),$M175&gt;(ROW(PLE.lastrow)-ROW(PLE.firstrow))),0,
           IF(OFFSET(PLE!$G$15,$M175-$A$15,DF$13)="",10^12,OFFSET(PLE!$G$15,$M175-$A$15,DF$13)))</f>
        <v>0</v>
      </c>
      <c r="DG175" s="172" cm="1">
        <f t="array" aca="1" ref="DG175" ca="1">IF(OR($D175&lt;&gt;"Serviço",AND(AUTOEVENTO="Manual",$M175=$A$15),$M175&gt;(ROW(PLE.lastrow)-ROW(PLE.firstrow))),0,
           IF(OFFSET(PLE!$G$15,$M175-$A$15,DG$13)="",10^12,OFFSET(PLE!$G$15,$M175-$A$15,DG$13)))</f>
        <v>0</v>
      </c>
      <c r="DH175" s="172" cm="1">
        <f t="array" aca="1" ref="DH175" ca="1">IF(OR($D175&lt;&gt;"Serviço",AND(AUTOEVENTO="Manual",$M175=$A$15),$M175&gt;(ROW(PLE.lastrow)-ROW(PLE.firstrow))),0,
           IF(OFFSET(PLE!$G$15,$M175-$A$15,DH$13)="",10^12,OFFSET(PLE!$G$15,$M175-$A$15,DH$13)))</f>
        <v>0</v>
      </c>
      <c r="DI175" s="172" cm="1">
        <f t="array" aca="1" ref="DI175" ca="1">IF(OR($D175&lt;&gt;"Serviço",AND(AUTOEVENTO="Manual",$M175=$A$15),$M175&gt;(ROW(PLE.lastrow)-ROW(PLE.firstrow))),0,
           IF(OFFSET(PLE!$G$15,$M175-$A$15,DI$13)="",10^12,OFFSET(PLE!$G$15,$M175-$A$15,DI$13)))</f>
        <v>0</v>
      </c>
      <c r="DJ175" s="172" cm="1">
        <f t="array" aca="1" ref="DJ175" ca="1">IF(OR($D175&lt;&gt;"Serviço",AND(AUTOEVENTO="Manual",$M175=$A$15),$M175&gt;(ROW(PLE.lastrow)-ROW(PLE.firstrow))),0,
           IF(OFFSET(PLE!$G$15,$M175-$A$15,DJ$13)="",10^12,OFFSET(PLE!$G$15,$M175-$A$15,DJ$13)))</f>
        <v>0</v>
      </c>
      <c r="DK175" s="172" cm="1">
        <f t="array" aca="1" ref="DK175" ca="1">IF(OR($D175&lt;&gt;"Serviço",AND(AUTOEVENTO="Manual",$M175=$A$15),$M175&gt;(ROW(PLE.lastrow)-ROW(PLE.firstrow))),0,
           IF(OFFSET(PLE!$G$15,$M175-$A$15,DK$13)="",10^12,OFFSET(PLE!$G$15,$M175-$A$15,DK$13)))</f>
        <v>0</v>
      </c>
      <c r="DL175" s="172" cm="1">
        <f t="array" aca="1" ref="DL175" ca="1">IF(OR($D175&lt;&gt;"Serviço",AND(AUTOEVENTO="Manual",$M175=$A$15),$M175&gt;(ROW(PLE.lastrow)-ROW(PLE.firstrow))),0,
           IF(OFFSET(PLE!$G$15,$M175-$A$15,DL$13)="",10^12,OFFSET(PLE!$G$15,$M175-$A$15,DL$13)))</f>
        <v>0</v>
      </c>
      <c r="DM175" s="172" cm="1">
        <f t="array" aca="1" ref="DM175" ca="1">IF(OR($D175&lt;&gt;"Serviço",AND(AUTOEVENTO="Manual",$M175=$A$15),$M175&gt;(ROW(PLE.lastrow)-ROW(PLE.firstrow))),0,
           IF(OFFSET(PLE!$G$15,$M175-$A$15,DM$13)="",10^12,OFFSET(PLE!$G$15,$M175-$A$15,DM$13)))</f>
        <v>0</v>
      </c>
      <c r="DN175" s="172" cm="1">
        <f t="array" aca="1" ref="DN175" ca="1">IF(OR($D175&lt;&gt;"Serviço",AND(AUTOEVENTO="Manual",$M175=$A$15),$M175&gt;(ROW(PLE.lastrow)-ROW(PLE.firstrow))),0,
           IF(OFFSET(PLE!$G$15,$M175-$A$15,DN$13)="",10^12,OFFSET(PLE!$G$15,$M175-$A$15,DN$13)))</f>
        <v>0</v>
      </c>
      <c r="DO175" s="172" cm="1">
        <f t="array" aca="1" ref="DO175" ca="1">IF(OR($D175&lt;&gt;"Serviço",AND(AUTOEVENTO="Manual",$M175=$A$15),$M175&gt;(ROW(PLE.lastrow)-ROW(PLE.firstrow))),0,
           IF(OFFSET(PLE!$G$15,$M175-$A$15,DO$13)="",10^12,OFFSET(PLE!$G$15,$M175-$A$15,DO$13)))</f>
        <v>0</v>
      </c>
      <c r="DP175" s="172" cm="1">
        <f t="array" aca="1" ref="DP175" ca="1">IF(OR($D175&lt;&gt;"Serviço",AND(AUTOEVENTO="Manual",$M175=$A$15),$M175&gt;(ROW(PLE.lastrow)-ROW(PLE.firstrow))),0,
           IF(OFFSET(PLE!$G$15,$M175-$A$15,DP$13)="",10^12,OFFSET(PLE!$G$15,$M175-$A$15,DP$13)))</f>
        <v>0</v>
      </c>
      <c r="DQ175" s="172" cm="1">
        <f t="array" aca="1" ref="DQ175" ca="1">IF(OR($D175&lt;&gt;"Serviço",AND(AUTOEVENTO="Manual",$M175=$A$15),$M175&gt;(ROW(PLE.lastrow)-ROW(PLE.firstrow))),0,
           IF(OFFSET(PLE!$G$15,$M175-$A$15,DQ$13)="",10^12,OFFSET(PLE!$G$15,$M175-$A$15,DQ$13)))</f>
        <v>0</v>
      </c>
      <c r="DR175" s="172" cm="1">
        <f t="array" aca="1" ref="DR175" ca="1">IF(OR($D175&lt;&gt;"Serviço",AND(AUTOEVENTO="Manual",$M175=$A$15),$M175&gt;(ROW(PLE.lastrow)-ROW(PLE.firstrow))),0,
           IF(OFFSET(PLE!$G$15,$M175-$A$15,DR$13)="",10^12,OFFSET(PLE!$G$15,$M175-$A$15,DR$13)))</f>
        <v>0</v>
      </c>
      <c r="DS175" s="172" cm="1">
        <f t="array" aca="1" ref="DS175" ca="1">IF(OR($D175&lt;&gt;"Serviço",AND(AUTOEVENTO="Manual",$M175=$A$15),$M175&gt;(ROW(PLE.lastrow)-ROW(PLE.firstrow))),0,
           IF(OFFSET(PLE!$G$15,$M175-$A$15,DS$13)="",10^12,OFFSET(PLE!$G$15,$M175-$A$15,DS$13)))</f>
        <v>0</v>
      </c>
    </row>
    <row r="176" spans="1:123" ht="38.25" x14ac:dyDescent="0.2">
      <c r="A176" s="7">
        <f t="shared" ca="1" si="16"/>
        <v>9</v>
      </c>
      <c r="B176" s="7" t="str">
        <f ca="1">OFFSET(ORÇAMENTO!C$15,$L176,0)</f>
        <v>S</v>
      </c>
      <c r="C176" s="7" t="str">
        <f ca="1">OFFSET(ORÇAMENTO!L$15,$L176,0)</f>
        <v/>
      </c>
      <c r="D176" s="116" t="str">
        <f ca="1">OFFSET(ORÇAMENTO!N$15,$L176,0)</f>
        <v>Serviço</v>
      </c>
      <c r="E176" s="117" t="str">
        <f ca="1">OFFSET(ORÇAMENTO!O$15,$L176,0)</f>
        <v>-</v>
      </c>
      <c r="F176" s="163" t="str">
        <f ca="1">OFFSET(ORÇAMENTO!R$15,$L176,0)</f>
        <v>(Código não identificado nas referências)</v>
      </c>
      <c r="G176" s="164" t="str">
        <f ca="1">IF($D176&lt;&gt;"Serviço","",OFFSET(ORÇAMENTO!S$15,$L176,0))</f>
        <v>-</v>
      </c>
      <c r="H176" s="122" cm="1">
        <f t="array" aca="1" ref="H176" ca="1">IF($D176&lt;&gt;"Serviço",0,IF(ACOMPANHAMENTO="BM",ROUND(OFFSET(ORÇAMENTO!AJ$15,$L176,0),15-13*ORÇAMENTO!$AF$7),IF(IFERROR(CÁLCULO.FrentesPreenchidas,0)=0,0,SUM(ROUND(OFFSET($P176,0,1,1,CÁLCULO.FrentesPreenchidas),15-13*ORÇAMENTO!$AF$7)))))</f>
        <v>20</v>
      </c>
      <c r="I176" s="468" t="s">
        <v>1235</v>
      </c>
      <c r="J176" s="651" t="str" cm="1">
        <f t="array" aca="1" ref="J176" ca="1">IF(OR(B176&lt;&gt;"S",CÁLCULO.FrentesPreenchidas=0),"",IF(AND(ACOMPANHAMENTO="PLE",AUTOEVENTO="Manual",OR(H176&gt;0,ORÇAMENTO!AC176="QUANT."),OR(K176="",M176=0,N176="")),"►E",IF(AND(ACOMPANHAMENTO="PLE",ORÇAMENTO!AC176="QUANT."),"►Q",IF(AND(ACOMPANHAMENTO="PLE",H176&lt;&gt;SUMPRODUCT(($Q$1:$AQ$1=1)*ROUND(Q176:AQ176,15))),"►S",IF(AND(COUNTIF($P$11:$AQ$11,"▼")=0,H176&gt;0,I176=""),"◄M","")))))</f>
        <v/>
      </c>
      <c r="K176" s="652" t="s">
        <v>1257</v>
      </c>
      <c r="L176" s="165">
        <f t="shared" ca="1" si="17"/>
        <v>161</v>
      </c>
      <c r="M176" s="166">
        <f ca="1">IF($D176&lt;&gt;"Serviço","",
          IF(AUTOEVENTO="manual",$A176,
                IF(ISERROR(MATCH($A176,$A$15:OFFSET($A176,-1,0),0)),MAX($M$15:OFFSET(M176,-1,0))+1,
                      INDEX($M$15:OFFSET(M176,-1,0),MATCH($A176,$A$15:OFFSET($A176,-1,0),0)))))</f>
        <v>9</v>
      </c>
      <c r="N176" s="167" t="str">
        <f ca="1">IF($D176&lt;&gt;"Serviço","",
         IF(AUTOEVENTO="Manual",
                IF($A176=0,"&lt;-- defina o número do agrupador",
                       OFFSET(EVENTOS!$D$15,$A176-$A$15,0)),
                OFFSET($F$15,$A176,0)))</f>
        <v>INSTALAÇÕES</v>
      </c>
      <c r="O176" s="168"/>
      <c r="Q176" s="168">
        <v>1</v>
      </c>
      <c r="R176" s="169">
        <v>1</v>
      </c>
      <c r="S176" s="169">
        <v>1</v>
      </c>
      <c r="T176" s="169">
        <v>1</v>
      </c>
      <c r="U176" s="169">
        <v>1</v>
      </c>
      <c r="V176" s="169">
        <v>1</v>
      </c>
      <c r="W176" s="169">
        <v>1</v>
      </c>
      <c r="X176" s="169">
        <v>1</v>
      </c>
      <c r="Y176" s="169">
        <v>1</v>
      </c>
      <c r="Z176" s="170">
        <v>1</v>
      </c>
      <c r="AA176" s="169">
        <v>1</v>
      </c>
      <c r="AB176" s="169">
        <v>1</v>
      </c>
      <c r="AC176" s="169">
        <v>1</v>
      </c>
      <c r="AD176" s="169">
        <v>1</v>
      </c>
      <c r="AE176" s="169">
        <v>1</v>
      </c>
      <c r="AF176" s="169">
        <v>1</v>
      </c>
      <c r="AG176" s="169">
        <v>1</v>
      </c>
      <c r="AH176" s="170">
        <v>1</v>
      </c>
      <c r="AI176" s="169">
        <v>1</v>
      </c>
      <c r="AJ176" s="169">
        <v>1</v>
      </c>
      <c r="AK176" s="169"/>
      <c r="AL176" s="169"/>
      <c r="AM176" s="169"/>
      <c r="AN176" s="169"/>
      <c r="AO176" s="169"/>
      <c r="AP176" s="170"/>
      <c r="AR176" s="453">
        <f ca="1">IF(AND($D176="Serviço",AR$12&lt;&gt;0,$H176&gt;0,OR(AUTOEVENTO&lt;&gt;"manual",$M176&lt;&gt;$A$15)),
        IF(Import.TipoArredondamento&lt;&gt;"TransfereGOV",
              ROUND(OFFSET($P176,0,AR$13),15-13*ORÇAMENTO!$AF$7)/$H176*OFFSET(ORÇAMENTO!$X$15,ROW(AR176)-ROW(AR$15),0),
              ROUND(ROUND(OFFSET($P176,0,AR$13),15-13*ORÇAMENTO!$AF$7)*OFFSET(ORÇAMENTO!$W$15,ROW(AR176)-ROW(AR$15),0),15-13*ORÇAMENTO!$AF$11)),
         0)</f>
        <v>0</v>
      </c>
      <c r="AS176" s="453">
        <f ca="1">IF(AND($D176="Serviço",AS$12&lt;&gt;0,$H176&gt;0,OR(AUTOEVENTO&lt;&gt;"manual",$M176&lt;&gt;$A$15)),
        IF(Import.TipoArredondamento&lt;&gt;"TransfereGOV",
              ROUND(OFFSET($P176,0,AS$13),15-13*ORÇAMENTO!$AF$7)/$H176*OFFSET(ORÇAMENTO!$X$15,ROW(AS176)-ROW(AS$15),0),
              ROUND(ROUND(OFFSET($P176,0,AS$13),15-13*ORÇAMENTO!$AF$7)*OFFSET(ORÇAMENTO!$W$15,ROW(AS176)-ROW(AS$15),0),15-13*ORÇAMENTO!$AF$11)),
         0)</f>
        <v>0</v>
      </c>
      <c r="AT176" s="453">
        <f ca="1">IF(AND($D176="Serviço",AT$12&lt;&gt;0,$H176&gt;0,OR(AUTOEVENTO&lt;&gt;"manual",$M176&lt;&gt;$A$15)),
        IF(Import.TipoArredondamento&lt;&gt;"TransfereGOV",
              ROUND(OFFSET($P176,0,AT$13),15-13*ORÇAMENTO!$AF$7)/$H176*OFFSET(ORÇAMENTO!$X$15,ROW(AT176)-ROW(AT$15),0),
              ROUND(ROUND(OFFSET($P176,0,AT$13),15-13*ORÇAMENTO!$AF$7)*OFFSET(ORÇAMENTO!$W$15,ROW(AT176)-ROW(AT$15),0),15-13*ORÇAMENTO!$AF$11)),
         0)</f>
        <v>0</v>
      </c>
      <c r="AU176" s="453">
        <f ca="1">IF(AND($D176="Serviço",AU$12&lt;&gt;0,$H176&gt;0,OR(AUTOEVENTO&lt;&gt;"manual",$M176&lt;&gt;$A$15)),
        IF(Import.TipoArredondamento&lt;&gt;"TransfereGOV",
              ROUND(OFFSET($P176,0,AU$13),15-13*ORÇAMENTO!$AF$7)/$H176*OFFSET(ORÇAMENTO!$X$15,ROW(AU176)-ROW(AU$15),0),
              ROUND(ROUND(OFFSET($P176,0,AU$13),15-13*ORÇAMENTO!$AF$7)*OFFSET(ORÇAMENTO!$W$15,ROW(AU176)-ROW(AU$15),0),15-13*ORÇAMENTO!$AF$11)),
         0)</f>
        <v>0</v>
      </c>
      <c r="AV176" s="453">
        <f ca="1">IF(AND($D176="Serviço",AV$12&lt;&gt;0,$H176&gt;0,OR(AUTOEVENTO&lt;&gt;"manual",$M176&lt;&gt;$A$15)),
        IF(Import.TipoArredondamento&lt;&gt;"TransfereGOV",
              ROUND(OFFSET($P176,0,AV$13),15-13*ORÇAMENTO!$AF$7)/$H176*OFFSET(ORÇAMENTO!$X$15,ROW(AV176)-ROW(AV$15),0),
              ROUND(ROUND(OFFSET($P176,0,AV$13),15-13*ORÇAMENTO!$AF$7)*OFFSET(ORÇAMENTO!$W$15,ROW(AV176)-ROW(AV$15),0),15-13*ORÇAMENTO!$AF$11)),
         0)</f>
        <v>0</v>
      </c>
      <c r="AW176" s="453">
        <f ca="1">IF(AND($D176="Serviço",AW$12&lt;&gt;0,$H176&gt;0,OR(AUTOEVENTO&lt;&gt;"manual",$M176&lt;&gt;$A$15)),
        IF(Import.TipoArredondamento&lt;&gt;"TransfereGOV",
              ROUND(OFFSET($P176,0,AW$13),15-13*ORÇAMENTO!$AF$7)/$H176*OFFSET(ORÇAMENTO!$X$15,ROW(AW176)-ROW(AW$15),0),
              ROUND(ROUND(OFFSET($P176,0,AW$13),15-13*ORÇAMENTO!$AF$7)*OFFSET(ORÇAMENTO!$W$15,ROW(AW176)-ROW(AW$15),0),15-13*ORÇAMENTO!$AF$11)),
         0)</f>
        <v>0</v>
      </c>
      <c r="AX176" s="453">
        <f ca="1">IF(AND($D176="Serviço",AX$12&lt;&gt;0,$H176&gt;0,OR(AUTOEVENTO&lt;&gt;"manual",$M176&lt;&gt;$A$15)),
        IF(Import.TipoArredondamento&lt;&gt;"TransfereGOV",
              ROUND(OFFSET($P176,0,AX$13),15-13*ORÇAMENTO!$AF$7)/$H176*OFFSET(ORÇAMENTO!$X$15,ROW(AX176)-ROW(AX$15),0),
              ROUND(ROUND(OFFSET($P176,0,AX$13),15-13*ORÇAMENTO!$AF$7)*OFFSET(ORÇAMENTO!$W$15,ROW(AX176)-ROW(AX$15),0),15-13*ORÇAMENTO!$AF$11)),
         0)</f>
        <v>0</v>
      </c>
      <c r="AY176" s="453">
        <f ca="1">IF(AND($D176="Serviço",AY$12&lt;&gt;0,$H176&gt;0,OR(AUTOEVENTO&lt;&gt;"manual",$M176&lt;&gt;$A$15)),
        IF(Import.TipoArredondamento&lt;&gt;"TransfereGOV",
              ROUND(OFFSET($P176,0,AY$13),15-13*ORÇAMENTO!$AF$7)/$H176*OFFSET(ORÇAMENTO!$X$15,ROW(AY176)-ROW(AY$15),0),
              ROUND(ROUND(OFFSET($P176,0,AY$13),15-13*ORÇAMENTO!$AF$7)*OFFSET(ORÇAMENTO!$W$15,ROW(AY176)-ROW(AY$15),0),15-13*ORÇAMENTO!$AF$11)),
         0)</f>
        <v>0</v>
      </c>
      <c r="AZ176" s="453">
        <f ca="1">IF(AND($D176="Serviço",AZ$12&lt;&gt;0,$H176&gt;0,OR(AUTOEVENTO&lt;&gt;"manual",$M176&lt;&gt;$A$15)),
        IF(Import.TipoArredondamento&lt;&gt;"TransfereGOV",
              ROUND(OFFSET($P176,0,AZ$13),15-13*ORÇAMENTO!$AF$7)/$H176*OFFSET(ORÇAMENTO!$X$15,ROW(AZ176)-ROW(AZ$15),0),
              ROUND(ROUND(OFFSET($P176,0,AZ$13),15-13*ORÇAMENTO!$AF$7)*OFFSET(ORÇAMENTO!$W$15,ROW(AZ176)-ROW(AZ$15),0),15-13*ORÇAMENTO!$AF$11)),
         0)</f>
        <v>0</v>
      </c>
      <c r="BA176" s="453">
        <f ca="1">IF(AND($D176="Serviço",BA$12&lt;&gt;0,$H176&gt;0,OR(AUTOEVENTO&lt;&gt;"manual",$M176&lt;&gt;$A$15)),
        IF(Import.TipoArredondamento&lt;&gt;"TransfereGOV",
              ROUND(OFFSET($P176,0,BA$13),15-13*ORÇAMENTO!$AF$7)/$H176*OFFSET(ORÇAMENTO!$X$15,ROW(BA176)-ROW(BA$15),0),
              ROUND(ROUND(OFFSET($P176,0,BA$13),15-13*ORÇAMENTO!$AF$7)*OFFSET(ORÇAMENTO!$W$15,ROW(BA176)-ROW(BA$15),0),15-13*ORÇAMENTO!$AF$11)),
         0)</f>
        <v>0</v>
      </c>
      <c r="BB176" s="453">
        <f ca="1">IF(AND($D176="Serviço",BB$12&lt;&gt;0,$H176&gt;0,OR(AUTOEVENTO&lt;&gt;"manual",$M176&lt;&gt;$A$15)),
        IF(Import.TipoArredondamento&lt;&gt;"TransfereGOV",
              ROUND(OFFSET($P176,0,BB$13),15-13*ORÇAMENTO!$AF$7)/$H176*OFFSET(ORÇAMENTO!$X$15,ROW(BB176)-ROW(BB$15),0),
              ROUND(ROUND(OFFSET($P176,0,BB$13),15-13*ORÇAMENTO!$AF$7)*OFFSET(ORÇAMENTO!$W$15,ROW(BB176)-ROW(BB$15),0),15-13*ORÇAMENTO!$AF$11)),
         0)</f>
        <v>0</v>
      </c>
      <c r="BC176" s="453">
        <f ca="1">IF(AND($D176="Serviço",BC$12&lt;&gt;0,$H176&gt;0,OR(AUTOEVENTO&lt;&gt;"manual",$M176&lt;&gt;$A$15)),
        IF(Import.TipoArredondamento&lt;&gt;"TransfereGOV",
              ROUND(OFFSET($P176,0,BC$13),15-13*ORÇAMENTO!$AF$7)/$H176*OFFSET(ORÇAMENTO!$X$15,ROW(BC176)-ROW(BC$15),0),
              ROUND(ROUND(OFFSET($P176,0,BC$13),15-13*ORÇAMENTO!$AF$7)*OFFSET(ORÇAMENTO!$W$15,ROW(BC176)-ROW(BC$15),0),15-13*ORÇAMENTO!$AF$11)),
         0)</f>
        <v>0</v>
      </c>
      <c r="BD176" s="453">
        <f ca="1">IF(AND($D176="Serviço",BD$12&lt;&gt;0,$H176&gt;0,OR(AUTOEVENTO&lt;&gt;"manual",$M176&lt;&gt;$A$15)),
        IF(Import.TipoArredondamento&lt;&gt;"TransfereGOV",
              ROUND(OFFSET($P176,0,BD$13),15-13*ORÇAMENTO!$AF$7)/$H176*OFFSET(ORÇAMENTO!$X$15,ROW(BD176)-ROW(BD$15),0),
              ROUND(ROUND(OFFSET($P176,0,BD$13),15-13*ORÇAMENTO!$AF$7)*OFFSET(ORÇAMENTO!$W$15,ROW(BD176)-ROW(BD$15),0),15-13*ORÇAMENTO!$AF$11)),
         0)</f>
        <v>0</v>
      </c>
      <c r="BE176" s="453">
        <f ca="1">IF(AND($D176="Serviço",BE$12&lt;&gt;0,$H176&gt;0,OR(AUTOEVENTO&lt;&gt;"manual",$M176&lt;&gt;$A$15)),
        IF(Import.TipoArredondamento&lt;&gt;"TransfereGOV",
              ROUND(OFFSET($P176,0,BE$13),15-13*ORÇAMENTO!$AF$7)/$H176*OFFSET(ORÇAMENTO!$X$15,ROW(BE176)-ROW(BE$15),0),
              ROUND(ROUND(OFFSET($P176,0,BE$13),15-13*ORÇAMENTO!$AF$7)*OFFSET(ORÇAMENTO!$W$15,ROW(BE176)-ROW(BE$15),0),15-13*ORÇAMENTO!$AF$11)),
         0)</f>
        <v>0</v>
      </c>
      <c r="BF176" s="453">
        <f ca="1">IF(AND($D176="Serviço",BF$12&lt;&gt;0,$H176&gt;0,OR(AUTOEVENTO&lt;&gt;"manual",$M176&lt;&gt;$A$15)),
        IF(Import.TipoArredondamento&lt;&gt;"TransfereGOV",
              ROUND(OFFSET($P176,0,BF$13),15-13*ORÇAMENTO!$AF$7)/$H176*OFFSET(ORÇAMENTO!$X$15,ROW(BF176)-ROW(BF$15),0),
              ROUND(ROUND(OFFSET($P176,0,BF$13),15-13*ORÇAMENTO!$AF$7)*OFFSET(ORÇAMENTO!$W$15,ROW(BF176)-ROW(BF$15),0),15-13*ORÇAMENTO!$AF$11)),
         0)</f>
        <v>0</v>
      </c>
      <c r="BG176" s="453">
        <f ca="1">IF(AND($D176="Serviço",BG$12&lt;&gt;0,$H176&gt;0,OR(AUTOEVENTO&lt;&gt;"manual",$M176&lt;&gt;$A$15)),
        IF(Import.TipoArredondamento&lt;&gt;"TransfereGOV",
              ROUND(OFFSET($P176,0,BG$13),15-13*ORÇAMENTO!$AF$7)/$H176*OFFSET(ORÇAMENTO!$X$15,ROW(BG176)-ROW(BG$15),0),
              ROUND(ROUND(OFFSET($P176,0,BG$13),15-13*ORÇAMENTO!$AF$7)*OFFSET(ORÇAMENTO!$W$15,ROW(BG176)-ROW(BG$15),0),15-13*ORÇAMENTO!$AF$11)),
         0)</f>
        <v>0</v>
      </c>
      <c r="BH176" s="453">
        <f ca="1">IF(AND($D176="Serviço",BH$12&lt;&gt;0,$H176&gt;0,OR(AUTOEVENTO&lt;&gt;"manual",$M176&lt;&gt;$A$15)),
        IF(Import.TipoArredondamento&lt;&gt;"TransfereGOV",
              ROUND(OFFSET($P176,0,BH$13),15-13*ORÇAMENTO!$AF$7)/$H176*OFFSET(ORÇAMENTO!$X$15,ROW(BH176)-ROW(BH$15),0),
              ROUND(ROUND(OFFSET($P176,0,BH$13),15-13*ORÇAMENTO!$AF$7)*OFFSET(ORÇAMENTO!$W$15,ROW(BH176)-ROW(BH$15),0),15-13*ORÇAMENTO!$AF$11)),
         0)</f>
        <v>0</v>
      </c>
      <c r="BI176" s="453">
        <f ca="1">IF(AND($D176="Serviço",BI$12&lt;&gt;0,$H176&gt;0,OR(AUTOEVENTO&lt;&gt;"manual",$M176&lt;&gt;$A$15)),
        IF(Import.TipoArredondamento&lt;&gt;"TransfereGOV",
              ROUND(OFFSET($P176,0,BI$13),15-13*ORÇAMENTO!$AF$7)/$H176*OFFSET(ORÇAMENTO!$X$15,ROW(BI176)-ROW(BI$15),0),
              ROUND(ROUND(OFFSET($P176,0,BI$13),15-13*ORÇAMENTO!$AF$7)*OFFSET(ORÇAMENTO!$W$15,ROW(BI176)-ROW(BI$15),0),15-13*ORÇAMENTO!$AF$11)),
         0)</f>
        <v>0</v>
      </c>
      <c r="BJ176" s="453">
        <f ca="1">IF(AND($D176="Serviço",BJ$12&lt;&gt;0,$H176&gt;0,OR(AUTOEVENTO&lt;&gt;"manual",$M176&lt;&gt;$A$15)),
        IF(Import.TipoArredondamento&lt;&gt;"TransfereGOV",
              ROUND(OFFSET($P176,0,BJ$13),15-13*ORÇAMENTO!$AF$7)/$H176*OFFSET(ORÇAMENTO!$X$15,ROW(BJ176)-ROW(BJ$15),0),
              ROUND(ROUND(OFFSET($P176,0,BJ$13),15-13*ORÇAMENTO!$AF$7)*OFFSET(ORÇAMENTO!$W$15,ROW(BJ176)-ROW(BJ$15),0),15-13*ORÇAMENTO!$AF$11)),
         0)</f>
        <v>0</v>
      </c>
      <c r="BK176" s="453">
        <f ca="1">IF(AND($D176="Serviço",BK$12&lt;&gt;0,$H176&gt;0,OR(AUTOEVENTO&lt;&gt;"manual",$M176&lt;&gt;$A$15)),
        IF(Import.TipoArredondamento&lt;&gt;"TransfereGOV",
              ROUND(OFFSET($P176,0,BK$13),15-13*ORÇAMENTO!$AF$7)/$H176*OFFSET(ORÇAMENTO!$X$15,ROW(BK176)-ROW(BK$15),0),
              ROUND(ROUND(OFFSET($P176,0,BK$13),15-13*ORÇAMENTO!$AF$7)*OFFSET(ORÇAMENTO!$W$15,ROW(BK176)-ROW(BK$15),0),15-13*ORÇAMENTO!$AF$11)),
         0)</f>
        <v>0</v>
      </c>
      <c r="BL176" s="453">
        <f ca="1">IF(AND($D176="Serviço",BL$12&lt;&gt;0,$H176&gt;0,OR(AUTOEVENTO&lt;&gt;"manual",$M176&lt;&gt;$A$15)),
        IF(Import.TipoArredondamento&lt;&gt;"TransfereGOV",
              ROUND(OFFSET($P176,0,BL$13),15-13*ORÇAMENTO!$AF$7)/$H176*OFFSET(ORÇAMENTO!$X$15,ROW(BL176)-ROW(BL$15),0),
              ROUND(ROUND(OFFSET($P176,0,BL$13),15-13*ORÇAMENTO!$AF$7)*OFFSET(ORÇAMENTO!$W$15,ROW(BL176)-ROW(BL$15),0),15-13*ORÇAMENTO!$AF$11)),
         0)</f>
        <v>0</v>
      </c>
      <c r="BM176" s="453">
        <f ca="1">IF(AND($D176="Serviço",BM$12&lt;&gt;0,$H176&gt;0,OR(AUTOEVENTO&lt;&gt;"manual",$M176&lt;&gt;$A$15)),
        IF(Import.TipoArredondamento&lt;&gt;"TransfereGOV",
              ROUND(OFFSET($P176,0,BM$13),15-13*ORÇAMENTO!$AF$7)/$H176*OFFSET(ORÇAMENTO!$X$15,ROW(BM176)-ROW(BM$15),0),
              ROUND(ROUND(OFFSET($P176,0,BM$13),15-13*ORÇAMENTO!$AF$7)*OFFSET(ORÇAMENTO!$W$15,ROW(BM176)-ROW(BM$15),0),15-13*ORÇAMENTO!$AF$11)),
         0)</f>
        <v>0</v>
      </c>
      <c r="BN176" s="453">
        <f ca="1">IF(AND($D176="Serviço",BN$12&lt;&gt;0,$H176&gt;0,OR(AUTOEVENTO&lt;&gt;"manual",$M176&lt;&gt;$A$15)),
        IF(Import.TipoArredondamento&lt;&gt;"TransfereGOV",
              ROUND(OFFSET($P176,0,BN$13),15-13*ORÇAMENTO!$AF$7)/$H176*OFFSET(ORÇAMENTO!$X$15,ROW(BN176)-ROW(BN$15),0),
              ROUND(ROUND(OFFSET($P176,0,BN$13),15-13*ORÇAMENTO!$AF$7)*OFFSET(ORÇAMENTO!$W$15,ROW(BN176)-ROW(BN$15),0),15-13*ORÇAMENTO!$AF$11)),
         0)</f>
        <v>0</v>
      </c>
      <c r="BO176" s="453">
        <f ca="1">IF(AND($D176="Serviço",BO$12&lt;&gt;0,$H176&gt;0,OR(AUTOEVENTO&lt;&gt;"manual",$M176&lt;&gt;$A$15)),
        IF(Import.TipoArredondamento&lt;&gt;"TransfereGOV",
              ROUND(OFFSET($P176,0,BO$13),15-13*ORÇAMENTO!$AF$7)/$H176*OFFSET(ORÇAMENTO!$X$15,ROW(BO176)-ROW(BO$15),0),
              ROUND(ROUND(OFFSET($P176,0,BO$13),15-13*ORÇAMENTO!$AF$7)*OFFSET(ORÇAMENTO!$W$15,ROW(BO176)-ROW(BO$15),0),15-13*ORÇAMENTO!$AF$11)),
         0)</f>
        <v>0</v>
      </c>
      <c r="BP176" s="453">
        <f ca="1">IF(AND($D176="Serviço",BP$12&lt;&gt;0,$H176&gt;0,OR(AUTOEVENTO&lt;&gt;"manual",$M176&lt;&gt;$A$15)),
        IF(Import.TipoArredondamento&lt;&gt;"TransfereGOV",
              ROUND(OFFSET($P176,0,BP$13),15-13*ORÇAMENTO!$AF$7)/$H176*OFFSET(ORÇAMENTO!$X$15,ROW(BP176)-ROW(BP$15),0),
              ROUND(ROUND(OFFSET($P176,0,BP$13),15-13*ORÇAMENTO!$AF$7)*OFFSET(ORÇAMENTO!$W$15,ROW(BP176)-ROW(BP$15),0),15-13*ORÇAMENTO!$AF$11)),
         0)</f>
        <v>0</v>
      </c>
      <c r="BQ176" s="453">
        <f ca="1">IF(AND($D176="Serviço",BQ$12&lt;&gt;0,$H176&gt;0,OR(AUTOEVENTO&lt;&gt;"manual",$M176&lt;&gt;$A$15)),
        IF(Import.TipoArredondamento&lt;&gt;"TransfereGOV",
              ROUND(OFFSET($P176,0,BQ$13),15-13*ORÇAMENTO!$AF$7)/$H176*OFFSET(ORÇAMENTO!$X$15,ROW(BQ176)-ROW(BQ$15),0),
              ROUND(ROUND(OFFSET($P176,0,BQ$13),15-13*ORÇAMENTO!$AF$7)*OFFSET(ORÇAMENTO!$W$15,ROW(BQ176)-ROW(BQ$15),0),15-13*ORÇAMENTO!$AF$11)),
         0)</f>
        <v>0</v>
      </c>
      <c r="BS176" s="171">
        <f ca="1">IF(OR($D176&lt;&gt;"Serviço",AND(AUTOEVENTO="Manual",$M176=$A$15)),0,
         IF(OFFSET(CRONOPLE!$F$15,$M176-$A$15,BS$13)=0,10^12,OFFSET(CRONOPLE!$F$15,$M176-$A$15,BS$13)))</f>
        <v>1</v>
      </c>
      <c r="BT176" s="171">
        <f ca="1">IF(OR($D176&lt;&gt;"Serviço",AND(AUTOEVENTO="Manual",$M176=$A$15)),0,
         IF(OFFSET(CRONOPLE!$F$15,$M176-$A$15,BT$13)=0,10^12,OFFSET(CRONOPLE!$F$15,$M176-$A$15,BT$13)))</f>
        <v>2</v>
      </c>
      <c r="BU176" s="171">
        <f ca="1">IF(OR($D176&lt;&gt;"Serviço",AND(AUTOEVENTO="Manual",$M176=$A$15)),0,
         IF(OFFSET(CRONOPLE!$F$15,$M176-$A$15,BU$13)=0,10^12,OFFSET(CRONOPLE!$F$15,$M176-$A$15,BU$13)))</f>
        <v>3</v>
      </c>
      <c r="BV176" s="171">
        <f ca="1">IF(OR($D176&lt;&gt;"Serviço",AND(AUTOEVENTO="Manual",$M176=$A$15)),0,
         IF(OFFSET(CRONOPLE!$F$15,$M176-$A$15,BV$13)=0,10^12,OFFSET(CRONOPLE!$F$15,$M176-$A$15,BV$13)))</f>
        <v>4</v>
      </c>
      <c r="BW176" s="171">
        <f ca="1">IF(OR($D176&lt;&gt;"Serviço",AND(AUTOEVENTO="Manual",$M176=$A$15)),0,
         IF(OFFSET(CRONOPLE!$F$15,$M176-$A$15,BW$13)=0,10^12,OFFSET(CRONOPLE!$F$15,$M176-$A$15,BW$13)))</f>
        <v>5</v>
      </c>
      <c r="BX176" s="171">
        <f ca="1">IF(OR($D176&lt;&gt;"Serviço",AND(AUTOEVENTO="Manual",$M176=$A$15)),0,
         IF(OFFSET(CRONOPLE!$F$15,$M176-$A$15,BX$13)=0,10^12,OFFSET(CRONOPLE!$F$15,$M176-$A$15,BX$13)))</f>
        <v>6</v>
      </c>
      <c r="BY176" s="171">
        <f ca="1">IF(OR($D176&lt;&gt;"Serviço",AND(AUTOEVENTO="Manual",$M176=$A$15)),0,
         IF(OFFSET(CRONOPLE!$F$15,$M176-$A$15,BY$13)=0,10^12,OFFSET(CRONOPLE!$F$15,$M176-$A$15,BY$13)))</f>
        <v>7</v>
      </c>
      <c r="BZ176" s="171">
        <f ca="1">IF(OR($D176&lt;&gt;"Serviço",AND(AUTOEVENTO="Manual",$M176=$A$15)),0,
         IF(OFFSET(CRONOPLE!$F$15,$M176-$A$15,BZ$13)=0,10^12,OFFSET(CRONOPLE!$F$15,$M176-$A$15,BZ$13)))</f>
        <v>8</v>
      </c>
      <c r="CA176" s="171">
        <f ca="1">IF(OR($D176&lt;&gt;"Serviço",AND(AUTOEVENTO="Manual",$M176=$A$15)),0,
         IF(OFFSET(CRONOPLE!$F$15,$M176-$A$15,CA$13)=0,10^12,OFFSET(CRONOPLE!$F$15,$M176-$A$15,CA$13)))</f>
        <v>9</v>
      </c>
      <c r="CB176" s="171">
        <f ca="1">IF(OR($D176&lt;&gt;"Serviço",AND(AUTOEVENTO="Manual",$M176=$A$15)),0,
         IF(OFFSET(CRONOPLE!$F$15,$M176-$A$15,CB$13)=0,10^12,OFFSET(CRONOPLE!$F$15,$M176-$A$15,CB$13)))</f>
        <v>10</v>
      </c>
      <c r="CC176" s="171">
        <f ca="1">IF(OR($D176&lt;&gt;"Serviço",AND(AUTOEVENTO="Manual",$M176=$A$15)),0,
         IF(OFFSET(CRONOPLE!$F$15,$M176-$A$15,CC$13)=0,10^12,OFFSET(CRONOPLE!$F$15,$M176-$A$15,CC$13)))</f>
        <v>11</v>
      </c>
      <c r="CD176" s="171">
        <f ca="1">IF(OR($D176&lt;&gt;"Serviço",AND(AUTOEVENTO="Manual",$M176=$A$15)),0,
         IF(OFFSET(CRONOPLE!$F$15,$M176-$A$15,CD$13)=0,10^12,OFFSET(CRONOPLE!$F$15,$M176-$A$15,CD$13)))</f>
        <v>12</v>
      </c>
      <c r="CE176" s="171">
        <f ca="1">IF(OR($D176&lt;&gt;"Serviço",AND(AUTOEVENTO="Manual",$M176=$A$15)),0,
         IF(OFFSET(CRONOPLE!$F$15,$M176-$A$15,CE$13)=0,10^12,OFFSET(CRONOPLE!$F$15,$M176-$A$15,CE$13)))</f>
        <v>13</v>
      </c>
      <c r="CF176" s="171">
        <f ca="1">IF(OR($D176&lt;&gt;"Serviço",AND(AUTOEVENTO="Manual",$M176=$A$15)),0,
         IF(OFFSET(CRONOPLE!$F$15,$M176-$A$15,CF$13)=0,10^12,OFFSET(CRONOPLE!$F$15,$M176-$A$15,CF$13)))</f>
        <v>14</v>
      </c>
      <c r="CG176" s="171">
        <f ca="1">IF(OR($D176&lt;&gt;"Serviço",AND(AUTOEVENTO="Manual",$M176=$A$15)),0,
         IF(OFFSET(CRONOPLE!$F$15,$M176-$A$15,CG$13)=0,10^12,OFFSET(CRONOPLE!$F$15,$M176-$A$15,CG$13)))</f>
        <v>15</v>
      </c>
      <c r="CH176" s="171">
        <f ca="1">IF(OR($D176&lt;&gt;"Serviço",AND(AUTOEVENTO="Manual",$M176=$A$15)),0,
         IF(OFFSET(CRONOPLE!$F$15,$M176-$A$15,CH$13)=0,10^12,OFFSET(CRONOPLE!$F$15,$M176-$A$15,CH$13)))</f>
        <v>16</v>
      </c>
      <c r="CI176" s="171">
        <f ca="1">IF(OR($D176&lt;&gt;"Serviço",AND(AUTOEVENTO="Manual",$M176=$A$15)),0,
         IF(OFFSET(CRONOPLE!$F$15,$M176-$A$15,CI$13)=0,10^12,OFFSET(CRONOPLE!$F$15,$M176-$A$15,CI$13)))</f>
        <v>17</v>
      </c>
      <c r="CJ176" s="171">
        <f ca="1">IF(OR($D176&lt;&gt;"Serviço",AND(AUTOEVENTO="Manual",$M176=$A$15)),0,
         IF(OFFSET(CRONOPLE!$F$15,$M176-$A$15,CJ$13)=0,10^12,OFFSET(CRONOPLE!$F$15,$M176-$A$15,CJ$13)))</f>
        <v>18</v>
      </c>
      <c r="CK176" s="171">
        <f ca="1">IF(OR($D176&lt;&gt;"Serviço",AND(AUTOEVENTO="Manual",$M176=$A$15)),0,
         IF(OFFSET(CRONOPLE!$F$15,$M176-$A$15,CK$13)=0,10^12,OFFSET(CRONOPLE!$F$15,$M176-$A$15,CK$13)))</f>
        <v>19</v>
      </c>
      <c r="CL176" s="171">
        <f ca="1">IF(OR($D176&lt;&gt;"Serviço",AND(AUTOEVENTO="Manual",$M176=$A$15)),0,
         IF(OFFSET(CRONOPLE!$F$15,$M176-$A$15,CL$13)=0,10^12,OFFSET(CRONOPLE!$F$15,$M176-$A$15,CL$13)))</f>
        <v>20</v>
      </c>
      <c r="CM176" s="171">
        <f ca="1">IF(OR($D176&lt;&gt;"Serviço",AND(AUTOEVENTO="Manual",$M176=$A$15)),0,
         IF(OFFSET(CRONOPLE!$F$15,$M176-$A$15,CM$13)=0,10^12,OFFSET(CRONOPLE!$F$15,$M176-$A$15,CM$13)))</f>
        <v>1000000000000</v>
      </c>
      <c r="CN176" s="171">
        <f ca="1">IF(OR($D176&lt;&gt;"Serviço",AND(AUTOEVENTO="Manual",$M176=$A$15)),0,
         IF(OFFSET(CRONOPLE!$F$15,$M176-$A$15,CN$13)=0,10^12,OFFSET(CRONOPLE!$F$15,$M176-$A$15,CN$13)))</f>
        <v>1000000000000</v>
      </c>
      <c r="CO176" s="171">
        <f ca="1">IF(OR($D176&lt;&gt;"Serviço",AND(AUTOEVENTO="Manual",$M176=$A$15)),0,
         IF(OFFSET(CRONOPLE!$F$15,$M176-$A$15,CO$13)=0,10^12,OFFSET(CRONOPLE!$F$15,$M176-$A$15,CO$13)))</f>
        <v>1000000000000</v>
      </c>
      <c r="CP176" s="171">
        <f ca="1">IF(OR($D176&lt;&gt;"Serviço",AND(AUTOEVENTO="Manual",$M176=$A$15)),0,
         IF(OFFSET(CRONOPLE!$F$15,$M176-$A$15,CP$13)=0,10^12,OFFSET(CRONOPLE!$F$15,$M176-$A$15,CP$13)))</f>
        <v>1000000000000</v>
      </c>
      <c r="CQ176" s="171">
        <f ca="1">IF(OR($D176&lt;&gt;"Serviço",AND(AUTOEVENTO="Manual",$M176=$A$15)),0,
         IF(OFFSET(CRONOPLE!$F$15,$M176-$A$15,CQ$13)=0,10^12,OFFSET(CRONOPLE!$F$15,$M176-$A$15,CQ$13)))</f>
        <v>1000000000000</v>
      </c>
      <c r="CR176" s="171">
        <f ca="1">IF(OR($D176&lt;&gt;"Serviço",AND(AUTOEVENTO="Manual",$M176=$A$15)),0,
         IF(OFFSET(CRONOPLE!$F$15,$M176-$A$15,CR$13)=0,10^12,OFFSET(CRONOPLE!$F$15,$M176-$A$15,CR$13)))</f>
        <v>1000000000000</v>
      </c>
      <c r="CT176" s="172" cm="1">
        <f t="array" aca="1" ref="CT176" ca="1">IF(OR($D176&lt;&gt;"Serviço",AND(AUTOEVENTO="Manual",$M176=$A$15),$M176&gt;(ROW(PLE.lastrow)-ROW(PLE.firstrow))),0,
           IF(OFFSET(PLE!$G$15,$M176-$A$15,CT$13)="",10^12,OFFSET(PLE!$G$15,$M176-$A$15,CT$13)))</f>
        <v>1000000000000</v>
      </c>
      <c r="CU176" s="172" cm="1">
        <f t="array" aca="1" ref="CU176" ca="1">IF(OR($D176&lt;&gt;"Serviço",AND(AUTOEVENTO="Manual",$M176=$A$15),$M176&gt;(ROW(PLE.lastrow)-ROW(PLE.firstrow))),0,
           IF(OFFSET(PLE!$G$15,$M176-$A$15,CU$13)="",10^12,OFFSET(PLE!$G$15,$M176-$A$15,CU$13)))</f>
        <v>1000000000000</v>
      </c>
      <c r="CV176" s="172" cm="1">
        <f t="array" aca="1" ref="CV176" ca="1">IF(OR($D176&lt;&gt;"Serviço",AND(AUTOEVENTO="Manual",$M176=$A$15),$M176&gt;(ROW(PLE.lastrow)-ROW(PLE.firstrow))),0,
           IF(OFFSET(PLE!$G$15,$M176-$A$15,CV$13)="",10^12,OFFSET(PLE!$G$15,$M176-$A$15,CV$13)))</f>
        <v>1000000000000</v>
      </c>
      <c r="CW176" s="172" cm="1">
        <f t="array" aca="1" ref="CW176" ca="1">IF(OR($D176&lt;&gt;"Serviço",AND(AUTOEVENTO="Manual",$M176=$A$15),$M176&gt;(ROW(PLE.lastrow)-ROW(PLE.firstrow))),0,
           IF(OFFSET(PLE!$G$15,$M176-$A$15,CW$13)="",10^12,OFFSET(PLE!$G$15,$M176-$A$15,CW$13)))</f>
        <v>1000000000000</v>
      </c>
      <c r="CX176" s="172" cm="1">
        <f t="array" aca="1" ref="CX176" ca="1">IF(OR($D176&lt;&gt;"Serviço",AND(AUTOEVENTO="Manual",$M176=$A$15),$M176&gt;(ROW(PLE.lastrow)-ROW(PLE.firstrow))),0,
           IF(OFFSET(PLE!$G$15,$M176-$A$15,CX$13)="",10^12,OFFSET(PLE!$G$15,$M176-$A$15,CX$13)))</f>
        <v>1000000000000</v>
      </c>
      <c r="CY176" s="172" cm="1">
        <f t="array" aca="1" ref="CY176" ca="1">IF(OR($D176&lt;&gt;"Serviço",AND(AUTOEVENTO="Manual",$M176=$A$15),$M176&gt;(ROW(PLE.lastrow)-ROW(PLE.firstrow))),0,
           IF(OFFSET(PLE!$G$15,$M176-$A$15,CY$13)="",10^12,OFFSET(PLE!$G$15,$M176-$A$15,CY$13)))</f>
        <v>1000000000000</v>
      </c>
      <c r="CZ176" s="172" cm="1">
        <f t="array" aca="1" ref="CZ176" ca="1">IF(OR($D176&lt;&gt;"Serviço",AND(AUTOEVENTO="Manual",$M176=$A$15),$M176&gt;(ROW(PLE.lastrow)-ROW(PLE.firstrow))),0,
           IF(OFFSET(PLE!$G$15,$M176-$A$15,CZ$13)="",10^12,OFFSET(PLE!$G$15,$M176-$A$15,CZ$13)))</f>
        <v>1000000000000</v>
      </c>
      <c r="DA176" s="172" cm="1">
        <f t="array" aca="1" ref="DA176" ca="1">IF(OR($D176&lt;&gt;"Serviço",AND(AUTOEVENTO="Manual",$M176=$A$15),$M176&gt;(ROW(PLE.lastrow)-ROW(PLE.firstrow))),0,
           IF(OFFSET(PLE!$G$15,$M176-$A$15,DA$13)="",10^12,OFFSET(PLE!$G$15,$M176-$A$15,DA$13)))</f>
        <v>1000000000000</v>
      </c>
      <c r="DB176" s="172" cm="1">
        <f t="array" aca="1" ref="DB176" ca="1">IF(OR($D176&lt;&gt;"Serviço",AND(AUTOEVENTO="Manual",$M176=$A$15),$M176&gt;(ROW(PLE.lastrow)-ROW(PLE.firstrow))),0,
           IF(OFFSET(PLE!$G$15,$M176-$A$15,DB$13)="",10^12,OFFSET(PLE!$G$15,$M176-$A$15,DB$13)))</f>
        <v>1000000000000</v>
      </c>
      <c r="DC176" s="172" cm="1">
        <f t="array" aca="1" ref="DC176" ca="1">IF(OR($D176&lt;&gt;"Serviço",AND(AUTOEVENTO="Manual",$M176=$A$15),$M176&gt;(ROW(PLE.lastrow)-ROW(PLE.firstrow))),0,
           IF(OFFSET(PLE!$G$15,$M176-$A$15,DC$13)="",10^12,OFFSET(PLE!$G$15,$M176-$A$15,DC$13)))</f>
        <v>1000000000000</v>
      </c>
      <c r="DD176" s="172" cm="1">
        <f t="array" aca="1" ref="DD176" ca="1">IF(OR($D176&lt;&gt;"Serviço",AND(AUTOEVENTO="Manual",$M176=$A$15),$M176&gt;(ROW(PLE.lastrow)-ROW(PLE.firstrow))),0,
           IF(OFFSET(PLE!$G$15,$M176-$A$15,DD$13)="",10^12,OFFSET(PLE!$G$15,$M176-$A$15,DD$13)))</f>
        <v>1000000000000</v>
      </c>
      <c r="DE176" s="172" cm="1">
        <f t="array" aca="1" ref="DE176" ca="1">IF(OR($D176&lt;&gt;"Serviço",AND(AUTOEVENTO="Manual",$M176=$A$15),$M176&gt;(ROW(PLE.lastrow)-ROW(PLE.firstrow))),0,
           IF(OFFSET(PLE!$G$15,$M176-$A$15,DE$13)="",10^12,OFFSET(PLE!$G$15,$M176-$A$15,DE$13)))</f>
        <v>1000000000000</v>
      </c>
      <c r="DF176" s="172" cm="1">
        <f t="array" aca="1" ref="DF176" ca="1">IF(OR($D176&lt;&gt;"Serviço",AND(AUTOEVENTO="Manual",$M176=$A$15),$M176&gt;(ROW(PLE.lastrow)-ROW(PLE.firstrow))),0,
           IF(OFFSET(PLE!$G$15,$M176-$A$15,DF$13)="",10^12,OFFSET(PLE!$G$15,$M176-$A$15,DF$13)))</f>
        <v>1000000000000</v>
      </c>
      <c r="DG176" s="172" cm="1">
        <f t="array" aca="1" ref="DG176" ca="1">IF(OR($D176&lt;&gt;"Serviço",AND(AUTOEVENTO="Manual",$M176=$A$15),$M176&gt;(ROW(PLE.lastrow)-ROW(PLE.firstrow))),0,
           IF(OFFSET(PLE!$G$15,$M176-$A$15,DG$13)="",10^12,OFFSET(PLE!$G$15,$M176-$A$15,DG$13)))</f>
        <v>1000000000000</v>
      </c>
      <c r="DH176" s="172" cm="1">
        <f t="array" aca="1" ref="DH176" ca="1">IF(OR($D176&lt;&gt;"Serviço",AND(AUTOEVENTO="Manual",$M176=$A$15),$M176&gt;(ROW(PLE.lastrow)-ROW(PLE.firstrow))),0,
           IF(OFFSET(PLE!$G$15,$M176-$A$15,DH$13)="",10^12,OFFSET(PLE!$G$15,$M176-$A$15,DH$13)))</f>
        <v>1000000000000</v>
      </c>
      <c r="DI176" s="172" cm="1">
        <f t="array" aca="1" ref="DI176" ca="1">IF(OR($D176&lt;&gt;"Serviço",AND(AUTOEVENTO="Manual",$M176=$A$15),$M176&gt;(ROW(PLE.lastrow)-ROW(PLE.firstrow))),0,
           IF(OFFSET(PLE!$G$15,$M176-$A$15,DI$13)="",10^12,OFFSET(PLE!$G$15,$M176-$A$15,DI$13)))</f>
        <v>1000000000000</v>
      </c>
      <c r="DJ176" s="172" cm="1">
        <f t="array" aca="1" ref="DJ176" ca="1">IF(OR($D176&lt;&gt;"Serviço",AND(AUTOEVENTO="Manual",$M176=$A$15),$M176&gt;(ROW(PLE.lastrow)-ROW(PLE.firstrow))),0,
           IF(OFFSET(PLE!$G$15,$M176-$A$15,DJ$13)="",10^12,OFFSET(PLE!$G$15,$M176-$A$15,DJ$13)))</f>
        <v>1000000000000</v>
      </c>
      <c r="DK176" s="172" cm="1">
        <f t="array" aca="1" ref="DK176" ca="1">IF(OR($D176&lt;&gt;"Serviço",AND(AUTOEVENTO="Manual",$M176=$A$15),$M176&gt;(ROW(PLE.lastrow)-ROW(PLE.firstrow))),0,
           IF(OFFSET(PLE!$G$15,$M176-$A$15,DK$13)="",10^12,OFFSET(PLE!$G$15,$M176-$A$15,DK$13)))</f>
        <v>1000000000000</v>
      </c>
      <c r="DL176" s="172" cm="1">
        <f t="array" aca="1" ref="DL176" ca="1">IF(OR($D176&lt;&gt;"Serviço",AND(AUTOEVENTO="Manual",$M176=$A$15),$M176&gt;(ROW(PLE.lastrow)-ROW(PLE.firstrow))),0,
           IF(OFFSET(PLE!$G$15,$M176-$A$15,DL$13)="",10^12,OFFSET(PLE!$G$15,$M176-$A$15,DL$13)))</f>
        <v>1000000000000</v>
      </c>
      <c r="DM176" s="172" cm="1">
        <f t="array" aca="1" ref="DM176" ca="1">IF(OR($D176&lt;&gt;"Serviço",AND(AUTOEVENTO="Manual",$M176=$A$15),$M176&gt;(ROW(PLE.lastrow)-ROW(PLE.firstrow))),0,
           IF(OFFSET(PLE!$G$15,$M176-$A$15,DM$13)="",10^12,OFFSET(PLE!$G$15,$M176-$A$15,DM$13)))</f>
        <v>1000000000000</v>
      </c>
      <c r="DN176" s="172" cm="1">
        <f t="array" aca="1" ref="DN176" ca="1">IF(OR($D176&lt;&gt;"Serviço",AND(AUTOEVENTO="Manual",$M176=$A$15),$M176&gt;(ROW(PLE.lastrow)-ROW(PLE.firstrow))),0,
           IF(OFFSET(PLE!$G$15,$M176-$A$15,DN$13)="",10^12,OFFSET(PLE!$G$15,$M176-$A$15,DN$13)))</f>
        <v>1000000000000</v>
      </c>
      <c r="DO176" s="172" cm="1">
        <f t="array" aca="1" ref="DO176" ca="1">IF(OR($D176&lt;&gt;"Serviço",AND(AUTOEVENTO="Manual",$M176=$A$15),$M176&gt;(ROW(PLE.lastrow)-ROW(PLE.firstrow))),0,
           IF(OFFSET(PLE!$G$15,$M176-$A$15,DO$13)="",10^12,OFFSET(PLE!$G$15,$M176-$A$15,DO$13)))</f>
        <v>1000000000000</v>
      </c>
      <c r="DP176" s="172" cm="1">
        <f t="array" aca="1" ref="DP176" ca="1">IF(OR($D176&lt;&gt;"Serviço",AND(AUTOEVENTO="Manual",$M176=$A$15),$M176&gt;(ROW(PLE.lastrow)-ROW(PLE.firstrow))),0,
           IF(OFFSET(PLE!$G$15,$M176-$A$15,DP$13)="",10^12,OFFSET(PLE!$G$15,$M176-$A$15,DP$13)))</f>
        <v>1000000000000</v>
      </c>
      <c r="DQ176" s="172" cm="1">
        <f t="array" aca="1" ref="DQ176" ca="1">IF(OR($D176&lt;&gt;"Serviço",AND(AUTOEVENTO="Manual",$M176=$A$15),$M176&gt;(ROW(PLE.lastrow)-ROW(PLE.firstrow))),0,
           IF(OFFSET(PLE!$G$15,$M176-$A$15,DQ$13)="",10^12,OFFSET(PLE!$G$15,$M176-$A$15,DQ$13)))</f>
        <v>1000000000000</v>
      </c>
      <c r="DR176" s="172" cm="1">
        <f t="array" aca="1" ref="DR176" ca="1">IF(OR($D176&lt;&gt;"Serviço",AND(AUTOEVENTO="Manual",$M176=$A$15),$M176&gt;(ROW(PLE.lastrow)-ROW(PLE.firstrow))),0,
           IF(OFFSET(PLE!$G$15,$M176-$A$15,DR$13)="",10^12,OFFSET(PLE!$G$15,$M176-$A$15,DR$13)))</f>
        <v>1000000000000</v>
      </c>
      <c r="DS176" s="172" cm="1">
        <f t="array" aca="1" ref="DS176" ca="1">IF(OR($D176&lt;&gt;"Serviço",AND(AUTOEVENTO="Manual",$M176=$A$15),$M176&gt;(ROW(PLE.lastrow)-ROW(PLE.firstrow))),0,
           IF(OFFSET(PLE!$G$15,$M176-$A$15,DS$13)="",10^12,OFFSET(PLE!$G$15,$M176-$A$15,DS$13)))</f>
        <v>1000000000000</v>
      </c>
    </row>
    <row r="177" spans="1:123" ht="38.25" x14ac:dyDescent="0.2">
      <c r="A177" s="7">
        <f t="shared" ca="1" si="16"/>
        <v>9</v>
      </c>
      <c r="B177" s="7" t="str">
        <f ca="1">OFFSET(ORÇAMENTO!C$15,$L177,0)</f>
        <v>S</v>
      </c>
      <c r="C177" s="7" t="str">
        <f ca="1">OFFSET(ORÇAMENTO!L$15,$L177,0)</f>
        <v/>
      </c>
      <c r="D177" s="116" t="str">
        <f ca="1">OFFSET(ORÇAMENTO!N$15,$L177,0)</f>
        <v>Serviço</v>
      </c>
      <c r="E177" s="117" t="str">
        <f ca="1">OFFSET(ORÇAMENTO!O$15,$L177,0)</f>
        <v>-</v>
      </c>
      <c r="F177" s="163" t="str">
        <f ca="1">OFFSET(ORÇAMENTO!R$15,$L177,0)</f>
        <v>(Código não identificado nas referências)</v>
      </c>
      <c r="G177" s="164" t="str">
        <f ca="1">IF($D177&lt;&gt;"Serviço","",OFFSET(ORÇAMENTO!S$15,$L177,0))</f>
        <v>-</v>
      </c>
      <c r="H177" s="122" cm="1">
        <f t="array" aca="1" ref="H177" ca="1">IF($D177&lt;&gt;"Serviço",0,IF(ACOMPANHAMENTO="BM",ROUND(OFFSET(ORÇAMENTO!AJ$15,$L177,0),15-13*ORÇAMENTO!$AF$7),IF(IFERROR(CÁLCULO.FrentesPreenchidas,0)=0,0,SUM(ROUND(OFFSET($P177,0,1,1,CÁLCULO.FrentesPreenchidas),15-13*ORÇAMENTO!$AF$7)))))</f>
        <v>60</v>
      </c>
      <c r="I177" s="468" t="s">
        <v>1235</v>
      </c>
      <c r="J177" s="651" t="str" cm="1">
        <f t="array" aca="1" ref="J177" ca="1">IF(OR(B177&lt;&gt;"S",CÁLCULO.FrentesPreenchidas=0),"",IF(AND(ACOMPANHAMENTO="PLE",AUTOEVENTO="Manual",OR(H177&gt;0,ORÇAMENTO!AC177="QUANT."),OR(K177="",M177=0,N177="")),"►E",IF(AND(ACOMPANHAMENTO="PLE",ORÇAMENTO!AC177="QUANT."),"►Q",IF(AND(ACOMPANHAMENTO="PLE",H177&lt;&gt;SUMPRODUCT(($Q$1:$AQ$1=1)*ROUND(Q177:AQ177,15))),"►S",IF(AND(COUNTIF($P$11:$AQ$11,"▼")=0,H177&gt;0,I177=""),"◄M","")))))</f>
        <v/>
      </c>
      <c r="K177" s="652" t="s">
        <v>1257</v>
      </c>
      <c r="L177" s="165">
        <f t="shared" ca="1" si="17"/>
        <v>162</v>
      </c>
      <c r="M177" s="166">
        <f ca="1">IF($D177&lt;&gt;"Serviço","",
          IF(AUTOEVENTO="manual",$A177,
                IF(ISERROR(MATCH($A177,$A$15:OFFSET($A177,-1,0),0)),MAX($M$15:OFFSET(M177,-1,0))+1,
                      INDEX($M$15:OFFSET(M177,-1,0),MATCH($A177,$A$15:OFFSET($A177,-1,0),0)))))</f>
        <v>9</v>
      </c>
      <c r="N177" s="167" t="str">
        <f ca="1">IF($D177&lt;&gt;"Serviço","",
         IF(AUTOEVENTO="Manual",
                IF($A177=0,"&lt;-- defina o número do agrupador",
                       OFFSET(EVENTOS!$D$15,$A177-$A$15,0)),
                OFFSET($F$15,$A177,0)))</f>
        <v>INSTALAÇÕES</v>
      </c>
      <c r="O177" s="168"/>
      <c r="Q177" s="168">
        <v>3</v>
      </c>
      <c r="R177" s="169">
        <v>3</v>
      </c>
      <c r="S177" s="169">
        <v>3</v>
      </c>
      <c r="T177" s="169">
        <v>3</v>
      </c>
      <c r="U177" s="169">
        <v>3</v>
      </c>
      <c r="V177" s="169">
        <v>3</v>
      </c>
      <c r="W177" s="169">
        <v>3</v>
      </c>
      <c r="X177" s="169">
        <v>3</v>
      </c>
      <c r="Y177" s="169">
        <v>3</v>
      </c>
      <c r="Z177" s="170">
        <v>3</v>
      </c>
      <c r="AA177" s="169">
        <v>3</v>
      </c>
      <c r="AB177" s="169">
        <v>3</v>
      </c>
      <c r="AC177" s="169">
        <v>3</v>
      </c>
      <c r="AD177" s="169">
        <v>3</v>
      </c>
      <c r="AE177" s="169">
        <v>3</v>
      </c>
      <c r="AF177" s="169">
        <v>3</v>
      </c>
      <c r="AG177" s="169">
        <v>3</v>
      </c>
      <c r="AH177" s="170">
        <v>3</v>
      </c>
      <c r="AI177" s="169">
        <v>3</v>
      </c>
      <c r="AJ177" s="169">
        <v>3</v>
      </c>
      <c r="AK177" s="169"/>
      <c r="AL177" s="169"/>
      <c r="AM177" s="169"/>
      <c r="AN177" s="169"/>
      <c r="AO177" s="169"/>
      <c r="AP177" s="170"/>
      <c r="AR177" s="453">
        <f ca="1">IF(AND($D177="Serviço",AR$12&lt;&gt;0,$H177&gt;0,OR(AUTOEVENTO&lt;&gt;"manual",$M177&lt;&gt;$A$15)),
        IF(Import.TipoArredondamento&lt;&gt;"TransfereGOV",
              ROUND(OFFSET($P177,0,AR$13),15-13*ORÇAMENTO!$AF$7)/$H177*OFFSET(ORÇAMENTO!$X$15,ROW(AR177)-ROW(AR$15),0),
              ROUND(ROUND(OFFSET($P177,0,AR$13),15-13*ORÇAMENTO!$AF$7)*OFFSET(ORÇAMENTO!$W$15,ROW(AR177)-ROW(AR$15),0),15-13*ORÇAMENTO!$AF$11)),
         0)</f>
        <v>0</v>
      </c>
      <c r="AS177" s="453">
        <f ca="1">IF(AND($D177="Serviço",AS$12&lt;&gt;0,$H177&gt;0,OR(AUTOEVENTO&lt;&gt;"manual",$M177&lt;&gt;$A$15)),
        IF(Import.TipoArredondamento&lt;&gt;"TransfereGOV",
              ROUND(OFFSET($P177,0,AS$13),15-13*ORÇAMENTO!$AF$7)/$H177*OFFSET(ORÇAMENTO!$X$15,ROW(AS177)-ROW(AS$15),0),
              ROUND(ROUND(OFFSET($P177,0,AS$13),15-13*ORÇAMENTO!$AF$7)*OFFSET(ORÇAMENTO!$W$15,ROW(AS177)-ROW(AS$15),0),15-13*ORÇAMENTO!$AF$11)),
         0)</f>
        <v>0</v>
      </c>
      <c r="AT177" s="453">
        <f ca="1">IF(AND($D177="Serviço",AT$12&lt;&gt;0,$H177&gt;0,OR(AUTOEVENTO&lt;&gt;"manual",$M177&lt;&gt;$A$15)),
        IF(Import.TipoArredondamento&lt;&gt;"TransfereGOV",
              ROUND(OFFSET($P177,0,AT$13),15-13*ORÇAMENTO!$AF$7)/$H177*OFFSET(ORÇAMENTO!$X$15,ROW(AT177)-ROW(AT$15),0),
              ROUND(ROUND(OFFSET($P177,0,AT$13),15-13*ORÇAMENTO!$AF$7)*OFFSET(ORÇAMENTO!$W$15,ROW(AT177)-ROW(AT$15),0),15-13*ORÇAMENTO!$AF$11)),
         0)</f>
        <v>0</v>
      </c>
      <c r="AU177" s="453">
        <f ca="1">IF(AND($D177="Serviço",AU$12&lt;&gt;0,$H177&gt;0,OR(AUTOEVENTO&lt;&gt;"manual",$M177&lt;&gt;$A$15)),
        IF(Import.TipoArredondamento&lt;&gt;"TransfereGOV",
              ROUND(OFFSET($P177,0,AU$13),15-13*ORÇAMENTO!$AF$7)/$H177*OFFSET(ORÇAMENTO!$X$15,ROW(AU177)-ROW(AU$15),0),
              ROUND(ROUND(OFFSET($P177,0,AU$13),15-13*ORÇAMENTO!$AF$7)*OFFSET(ORÇAMENTO!$W$15,ROW(AU177)-ROW(AU$15),0),15-13*ORÇAMENTO!$AF$11)),
         0)</f>
        <v>0</v>
      </c>
      <c r="AV177" s="453">
        <f ca="1">IF(AND($D177="Serviço",AV$12&lt;&gt;0,$H177&gt;0,OR(AUTOEVENTO&lt;&gt;"manual",$M177&lt;&gt;$A$15)),
        IF(Import.TipoArredondamento&lt;&gt;"TransfereGOV",
              ROUND(OFFSET($P177,0,AV$13),15-13*ORÇAMENTO!$AF$7)/$H177*OFFSET(ORÇAMENTO!$X$15,ROW(AV177)-ROW(AV$15),0),
              ROUND(ROUND(OFFSET($P177,0,AV$13),15-13*ORÇAMENTO!$AF$7)*OFFSET(ORÇAMENTO!$W$15,ROW(AV177)-ROW(AV$15),0),15-13*ORÇAMENTO!$AF$11)),
         0)</f>
        <v>0</v>
      </c>
      <c r="AW177" s="453">
        <f ca="1">IF(AND($D177="Serviço",AW$12&lt;&gt;0,$H177&gt;0,OR(AUTOEVENTO&lt;&gt;"manual",$M177&lt;&gt;$A$15)),
        IF(Import.TipoArredondamento&lt;&gt;"TransfereGOV",
              ROUND(OFFSET($P177,0,AW$13),15-13*ORÇAMENTO!$AF$7)/$H177*OFFSET(ORÇAMENTO!$X$15,ROW(AW177)-ROW(AW$15),0),
              ROUND(ROUND(OFFSET($P177,0,AW$13),15-13*ORÇAMENTO!$AF$7)*OFFSET(ORÇAMENTO!$W$15,ROW(AW177)-ROW(AW$15),0),15-13*ORÇAMENTO!$AF$11)),
         0)</f>
        <v>0</v>
      </c>
      <c r="AX177" s="453">
        <f ca="1">IF(AND($D177="Serviço",AX$12&lt;&gt;0,$H177&gt;0,OR(AUTOEVENTO&lt;&gt;"manual",$M177&lt;&gt;$A$15)),
        IF(Import.TipoArredondamento&lt;&gt;"TransfereGOV",
              ROUND(OFFSET($P177,0,AX$13),15-13*ORÇAMENTO!$AF$7)/$H177*OFFSET(ORÇAMENTO!$X$15,ROW(AX177)-ROW(AX$15),0),
              ROUND(ROUND(OFFSET($P177,0,AX$13),15-13*ORÇAMENTO!$AF$7)*OFFSET(ORÇAMENTO!$W$15,ROW(AX177)-ROW(AX$15),0),15-13*ORÇAMENTO!$AF$11)),
         0)</f>
        <v>0</v>
      </c>
      <c r="AY177" s="453">
        <f ca="1">IF(AND($D177="Serviço",AY$12&lt;&gt;0,$H177&gt;0,OR(AUTOEVENTO&lt;&gt;"manual",$M177&lt;&gt;$A$15)),
        IF(Import.TipoArredondamento&lt;&gt;"TransfereGOV",
              ROUND(OFFSET($P177,0,AY$13),15-13*ORÇAMENTO!$AF$7)/$H177*OFFSET(ORÇAMENTO!$X$15,ROW(AY177)-ROW(AY$15),0),
              ROUND(ROUND(OFFSET($P177,0,AY$13),15-13*ORÇAMENTO!$AF$7)*OFFSET(ORÇAMENTO!$W$15,ROW(AY177)-ROW(AY$15),0),15-13*ORÇAMENTO!$AF$11)),
         0)</f>
        <v>0</v>
      </c>
      <c r="AZ177" s="453">
        <f ca="1">IF(AND($D177="Serviço",AZ$12&lt;&gt;0,$H177&gt;0,OR(AUTOEVENTO&lt;&gt;"manual",$M177&lt;&gt;$A$15)),
        IF(Import.TipoArredondamento&lt;&gt;"TransfereGOV",
              ROUND(OFFSET($P177,0,AZ$13),15-13*ORÇAMENTO!$AF$7)/$H177*OFFSET(ORÇAMENTO!$X$15,ROW(AZ177)-ROW(AZ$15),0),
              ROUND(ROUND(OFFSET($P177,0,AZ$13),15-13*ORÇAMENTO!$AF$7)*OFFSET(ORÇAMENTO!$W$15,ROW(AZ177)-ROW(AZ$15),0),15-13*ORÇAMENTO!$AF$11)),
         0)</f>
        <v>0</v>
      </c>
      <c r="BA177" s="453">
        <f ca="1">IF(AND($D177="Serviço",BA$12&lt;&gt;0,$H177&gt;0,OR(AUTOEVENTO&lt;&gt;"manual",$M177&lt;&gt;$A$15)),
        IF(Import.TipoArredondamento&lt;&gt;"TransfereGOV",
              ROUND(OFFSET($P177,0,BA$13),15-13*ORÇAMENTO!$AF$7)/$H177*OFFSET(ORÇAMENTO!$X$15,ROW(BA177)-ROW(BA$15),0),
              ROUND(ROUND(OFFSET($P177,0,BA$13),15-13*ORÇAMENTO!$AF$7)*OFFSET(ORÇAMENTO!$W$15,ROW(BA177)-ROW(BA$15),0),15-13*ORÇAMENTO!$AF$11)),
         0)</f>
        <v>0</v>
      </c>
      <c r="BB177" s="453">
        <f ca="1">IF(AND($D177="Serviço",BB$12&lt;&gt;0,$H177&gt;0,OR(AUTOEVENTO&lt;&gt;"manual",$M177&lt;&gt;$A$15)),
        IF(Import.TipoArredondamento&lt;&gt;"TransfereGOV",
              ROUND(OFFSET($P177,0,BB$13),15-13*ORÇAMENTO!$AF$7)/$H177*OFFSET(ORÇAMENTO!$X$15,ROW(BB177)-ROW(BB$15),0),
              ROUND(ROUND(OFFSET($P177,0,BB$13),15-13*ORÇAMENTO!$AF$7)*OFFSET(ORÇAMENTO!$W$15,ROW(BB177)-ROW(BB$15),0),15-13*ORÇAMENTO!$AF$11)),
         0)</f>
        <v>0</v>
      </c>
      <c r="BC177" s="453">
        <f ca="1">IF(AND($D177="Serviço",BC$12&lt;&gt;0,$H177&gt;0,OR(AUTOEVENTO&lt;&gt;"manual",$M177&lt;&gt;$A$15)),
        IF(Import.TipoArredondamento&lt;&gt;"TransfereGOV",
              ROUND(OFFSET($P177,0,BC$13),15-13*ORÇAMENTO!$AF$7)/$H177*OFFSET(ORÇAMENTO!$X$15,ROW(BC177)-ROW(BC$15),0),
              ROUND(ROUND(OFFSET($P177,0,BC$13),15-13*ORÇAMENTO!$AF$7)*OFFSET(ORÇAMENTO!$W$15,ROW(BC177)-ROW(BC$15),0),15-13*ORÇAMENTO!$AF$11)),
         0)</f>
        <v>0</v>
      </c>
      <c r="BD177" s="453">
        <f ca="1">IF(AND($D177="Serviço",BD$12&lt;&gt;0,$H177&gt;0,OR(AUTOEVENTO&lt;&gt;"manual",$M177&lt;&gt;$A$15)),
        IF(Import.TipoArredondamento&lt;&gt;"TransfereGOV",
              ROUND(OFFSET($P177,0,BD$13),15-13*ORÇAMENTO!$AF$7)/$H177*OFFSET(ORÇAMENTO!$X$15,ROW(BD177)-ROW(BD$15),0),
              ROUND(ROUND(OFFSET($P177,0,BD$13),15-13*ORÇAMENTO!$AF$7)*OFFSET(ORÇAMENTO!$W$15,ROW(BD177)-ROW(BD$15),0),15-13*ORÇAMENTO!$AF$11)),
         0)</f>
        <v>0</v>
      </c>
      <c r="BE177" s="453">
        <f ca="1">IF(AND($D177="Serviço",BE$12&lt;&gt;0,$H177&gt;0,OR(AUTOEVENTO&lt;&gt;"manual",$M177&lt;&gt;$A$15)),
        IF(Import.TipoArredondamento&lt;&gt;"TransfereGOV",
              ROUND(OFFSET($P177,0,BE$13),15-13*ORÇAMENTO!$AF$7)/$H177*OFFSET(ORÇAMENTO!$X$15,ROW(BE177)-ROW(BE$15),0),
              ROUND(ROUND(OFFSET($P177,0,BE$13),15-13*ORÇAMENTO!$AF$7)*OFFSET(ORÇAMENTO!$W$15,ROW(BE177)-ROW(BE$15),0),15-13*ORÇAMENTO!$AF$11)),
         0)</f>
        <v>0</v>
      </c>
      <c r="BF177" s="453">
        <f ca="1">IF(AND($D177="Serviço",BF$12&lt;&gt;0,$H177&gt;0,OR(AUTOEVENTO&lt;&gt;"manual",$M177&lt;&gt;$A$15)),
        IF(Import.TipoArredondamento&lt;&gt;"TransfereGOV",
              ROUND(OFFSET($P177,0,BF$13),15-13*ORÇAMENTO!$AF$7)/$H177*OFFSET(ORÇAMENTO!$X$15,ROW(BF177)-ROW(BF$15),0),
              ROUND(ROUND(OFFSET($P177,0,BF$13),15-13*ORÇAMENTO!$AF$7)*OFFSET(ORÇAMENTO!$W$15,ROW(BF177)-ROW(BF$15),0),15-13*ORÇAMENTO!$AF$11)),
         0)</f>
        <v>0</v>
      </c>
      <c r="BG177" s="453">
        <f ca="1">IF(AND($D177="Serviço",BG$12&lt;&gt;0,$H177&gt;0,OR(AUTOEVENTO&lt;&gt;"manual",$M177&lt;&gt;$A$15)),
        IF(Import.TipoArredondamento&lt;&gt;"TransfereGOV",
              ROUND(OFFSET($P177,0,BG$13),15-13*ORÇAMENTO!$AF$7)/$H177*OFFSET(ORÇAMENTO!$X$15,ROW(BG177)-ROW(BG$15),0),
              ROUND(ROUND(OFFSET($P177,0,BG$13),15-13*ORÇAMENTO!$AF$7)*OFFSET(ORÇAMENTO!$W$15,ROW(BG177)-ROW(BG$15),0),15-13*ORÇAMENTO!$AF$11)),
         0)</f>
        <v>0</v>
      </c>
      <c r="BH177" s="453">
        <f ca="1">IF(AND($D177="Serviço",BH$12&lt;&gt;0,$H177&gt;0,OR(AUTOEVENTO&lt;&gt;"manual",$M177&lt;&gt;$A$15)),
        IF(Import.TipoArredondamento&lt;&gt;"TransfereGOV",
              ROUND(OFFSET($P177,0,BH$13),15-13*ORÇAMENTO!$AF$7)/$H177*OFFSET(ORÇAMENTO!$X$15,ROW(BH177)-ROW(BH$15),0),
              ROUND(ROUND(OFFSET($P177,0,BH$13),15-13*ORÇAMENTO!$AF$7)*OFFSET(ORÇAMENTO!$W$15,ROW(BH177)-ROW(BH$15),0),15-13*ORÇAMENTO!$AF$11)),
         0)</f>
        <v>0</v>
      </c>
      <c r="BI177" s="453">
        <f ca="1">IF(AND($D177="Serviço",BI$12&lt;&gt;0,$H177&gt;0,OR(AUTOEVENTO&lt;&gt;"manual",$M177&lt;&gt;$A$15)),
        IF(Import.TipoArredondamento&lt;&gt;"TransfereGOV",
              ROUND(OFFSET($P177,0,BI$13),15-13*ORÇAMENTO!$AF$7)/$H177*OFFSET(ORÇAMENTO!$X$15,ROW(BI177)-ROW(BI$15),0),
              ROUND(ROUND(OFFSET($P177,0,BI$13),15-13*ORÇAMENTO!$AF$7)*OFFSET(ORÇAMENTO!$W$15,ROW(BI177)-ROW(BI$15),0),15-13*ORÇAMENTO!$AF$11)),
         0)</f>
        <v>0</v>
      </c>
      <c r="BJ177" s="453">
        <f ca="1">IF(AND($D177="Serviço",BJ$12&lt;&gt;0,$H177&gt;0,OR(AUTOEVENTO&lt;&gt;"manual",$M177&lt;&gt;$A$15)),
        IF(Import.TipoArredondamento&lt;&gt;"TransfereGOV",
              ROUND(OFFSET($P177,0,BJ$13),15-13*ORÇAMENTO!$AF$7)/$H177*OFFSET(ORÇAMENTO!$X$15,ROW(BJ177)-ROW(BJ$15),0),
              ROUND(ROUND(OFFSET($P177,0,BJ$13),15-13*ORÇAMENTO!$AF$7)*OFFSET(ORÇAMENTO!$W$15,ROW(BJ177)-ROW(BJ$15),0),15-13*ORÇAMENTO!$AF$11)),
         0)</f>
        <v>0</v>
      </c>
      <c r="BK177" s="453">
        <f ca="1">IF(AND($D177="Serviço",BK$12&lt;&gt;0,$H177&gt;0,OR(AUTOEVENTO&lt;&gt;"manual",$M177&lt;&gt;$A$15)),
        IF(Import.TipoArredondamento&lt;&gt;"TransfereGOV",
              ROUND(OFFSET($P177,0,BK$13),15-13*ORÇAMENTO!$AF$7)/$H177*OFFSET(ORÇAMENTO!$X$15,ROW(BK177)-ROW(BK$15),0),
              ROUND(ROUND(OFFSET($P177,0,BK$13),15-13*ORÇAMENTO!$AF$7)*OFFSET(ORÇAMENTO!$W$15,ROW(BK177)-ROW(BK$15),0),15-13*ORÇAMENTO!$AF$11)),
         0)</f>
        <v>0</v>
      </c>
      <c r="BL177" s="453">
        <f ca="1">IF(AND($D177="Serviço",BL$12&lt;&gt;0,$H177&gt;0,OR(AUTOEVENTO&lt;&gt;"manual",$M177&lt;&gt;$A$15)),
        IF(Import.TipoArredondamento&lt;&gt;"TransfereGOV",
              ROUND(OFFSET($P177,0,BL$13),15-13*ORÇAMENTO!$AF$7)/$H177*OFFSET(ORÇAMENTO!$X$15,ROW(BL177)-ROW(BL$15),0),
              ROUND(ROUND(OFFSET($P177,0,BL$13),15-13*ORÇAMENTO!$AF$7)*OFFSET(ORÇAMENTO!$W$15,ROW(BL177)-ROW(BL$15),0),15-13*ORÇAMENTO!$AF$11)),
         0)</f>
        <v>0</v>
      </c>
      <c r="BM177" s="453">
        <f ca="1">IF(AND($D177="Serviço",BM$12&lt;&gt;0,$H177&gt;0,OR(AUTOEVENTO&lt;&gt;"manual",$M177&lt;&gt;$A$15)),
        IF(Import.TipoArredondamento&lt;&gt;"TransfereGOV",
              ROUND(OFFSET($P177,0,BM$13),15-13*ORÇAMENTO!$AF$7)/$H177*OFFSET(ORÇAMENTO!$X$15,ROW(BM177)-ROW(BM$15),0),
              ROUND(ROUND(OFFSET($P177,0,BM$13),15-13*ORÇAMENTO!$AF$7)*OFFSET(ORÇAMENTO!$W$15,ROW(BM177)-ROW(BM$15),0),15-13*ORÇAMENTO!$AF$11)),
         0)</f>
        <v>0</v>
      </c>
      <c r="BN177" s="453">
        <f ca="1">IF(AND($D177="Serviço",BN$12&lt;&gt;0,$H177&gt;0,OR(AUTOEVENTO&lt;&gt;"manual",$M177&lt;&gt;$A$15)),
        IF(Import.TipoArredondamento&lt;&gt;"TransfereGOV",
              ROUND(OFFSET($P177,0,BN$13),15-13*ORÇAMENTO!$AF$7)/$H177*OFFSET(ORÇAMENTO!$X$15,ROW(BN177)-ROW(BN$15),0),
              ROUND(ROUND(OFFSET($P177,0,BN$13),15-13*ORÇAMENTO!$AF$7)*OFFSET(ORÇAMENTO!$W$15,ROW(BN177)-ROW(BN$15),0),15-13*ORÇAMENTO!$AF$11)),
         0)</f>
        <v>0</v>
      </c>
      <c r="BO177" s="453">
        <f ca="1">IF(AND($D177="Serviço",BO$12&lt;&gt;0,$H177&gt;0,OR(AUTOEVENTO&lt;&gt;"manual",$M177&lt;&gt;$A$15)),
        IF(Import.TipoArredondamento&lt;&gt;"TransfereGOV",
              ROUND(OFFSET($P177,0,BO$13),15-13*ORÇAMENTO!$AF$7)/$H177*OFFSET(ORÇAMENTO!$X$15,ROW(BO177)-ROW(BO$15),0),
              ROUND(ROUND(OFFSET($P177,0,BO$13),15-13*ORÇAMENTO!$AF$7)*OFFSET(ORÇAMENTO!$W$15,ROW(BO177)-ROW(BO$15),0),15-13*ORÇAMENTO!$AF$11)),
         0)</f>
        <v>0</v>
      </c>
      <c r="BP177" s="453">
        <f ca="1">IF(AND($D177="Serviço",BP$12&lt;&gt;0,$H177&gt;0,OR(AUTOEVENTO&lt;&gt;"manual",$M177&lt;&gt;$A$15)),
        IF(Import.TipoArredondamento&lt;&gt;"TransfereGOV",
              ROUND(OFFSET($P177,0,BP$13),15-13*ORÇAMENTO!$AF$7)/$H177*OFFSET(ORÇAMENTO!$X$15,ROW(BP177)-ROW(BP$15),0),
              ROUND(ROUND(OFFSET($P177,0,BP$13),15-13*ORÇAMENTO!$AF$7)*OFFSET(ORÇAMENTO!$W$15,ROW(BP177)-ROW(BP$15),0),15-13*ORÇAMENTO!$AF$11)),
         0)</f>
        <v>0</v>
      </c>
      <c r="BQ177" s="453">
        <f ca="1">IF(AND($D177="Serviço",BQ$12&lt;&gt;0,$H177&gt;0,OR(AUTOEVENTO&lt;&gt;"manual",$M177&lt;&gt;$A$15)),
        IF(Import.TipoArredondamento&lt;&gt;"TransfereGOV",
              ROUND(OFFSET($P177,0,BQ$13),15-13*ORÇAMENTO!$AF$7)/$H177*OFFSET(ORÇAMENTO!$X$15,ROW(BQ177)-ROW(BQ$15),0),
              ROUND(ROUND(OFFSET($P177,0,BQ$13),15-13*ORÇAMENTO!$AF$7)*OFFSET(ORÇAMENTO!$W$15,ROW(BQ177)-ROW(BQ$15),0),15-13*ORÇAMENTO!$AF$11)),
         0)</f>
        <v>0</v>
      </c>
      <c r="BS177" s="171">
        <f ca="1">IF(OR($D177&lt;&gt;"Serviço",AND(AUTOEVENTO="Manual",$M177=$A$15)),0,
         IF(OFFSET(CRONOPLE!$F$15,$M177-$A$15,BS$13)=0,10^12,OFFSET(CRONOPLE!$F$15,$M177-$A$15,BS$13)))</f>
        <v>1</v>
      </c>
      <c r="BT177" s="171">
        <f ca="1">IF(OR($D177&lt;&gt;"Serviço",AND(AUTOEVENTO="Manual",$M177=$A$15)),0,
         IF(OFFSET(CRONOPLE!$F$15,$M177-$A$15,BT$13)=0,10^12,OFFSET(CRONOPLE!$F$15,$M177-$A$15,BT$13)))</f>
        <v>2</v>
      </c>
      <c r="BU177" s="171">
        <f ca="1">IF(OR($D177&lt;&gt;"Serviço",AND(AUTOEVENTO="Manual",$M177=$A$15)),0,
         IF(OFFSET(CRONOPLE!$F$15,$M177-$A$15,BU$13)=0,10^12,OFFSET(CRONOPLE!$F$15,$M177-$A$15,BU$13)))</f>
        <v>3</v>
      </c>
      <c r="BV177" s="171">
        <f ca="1">IF(OR($D177&lt;&gt;"Serviço",AND(AUTOEVENTO="Manual",$M177=$A$15)),0,
         IF(OFFSET(CRONOPLE!$F$15,$M177-$A$15,BV$13)=0,10^12,OFFSET(CRONOPLE!$F$15,$M177-$A$15,BV$13)))</f>
        <v>4</v>
      </c>
      <c r="BW177" s="171">
        <f ca="1">IF(OR($D177&lt;&gt;"Serviço",AND(AUTOEVENTO="Manual",$M177=$A$15)),0,
         IF(OFFSET(CRONOPLE!$F$15,$M177-$A$15,BW$13)=0,10^12,OFFSET(CRONOPLE!$F$15,$M177-$A$15,BW$13)))</f>
        <v>5</v>
      </c>
      <c r="BX177" s="171">
        <f ca="1">IF(OR($D177&lt;&gt;"Serviço",AND(AUTOEVENTO="Manual",$M177=$A$15)),0,
         IF(OFFSET(CRONOPLE!$F$15,$M177-$A$15,BX$13)=0,10^12,OFFSET(CRONOPLE!$F$15,$M177-$A$15,BX$13)))</f>
        <v>6</v>
      </c>
      <c r="BY177" s="171">
        <f ca="1">IF(OR($D177&lt;&gt;"Serviço",AND(AUTOEVENTO="Manual",$M177=$A$15)),0,
         IF(OFFSET(CRONOPLE!$F$15,$M177-$A$15,BY$13)=0,10^12,OFFSET(CRONOPLE!$F$15,$M177-$A$15,BY$13)))</f>
        <v>7</v>
      </c>
      <c r="BZ177" s="171">
        <f ca="1">IF(OR($D177&lt;&gt;"Serviço",AND(AUTOEVENTO="Manual",$M177=$A$15)),0,
         IF(OFFSET(CRONOPLE!$F$15,$M177-$A$15,BZ$13)=0,10^12,OFFSET(CRONOPLE!$F$15,$M177-$A$15,BZ$13)))</f>
        <v>8</v>
      </c>
      <c r="CA177" s="171">
        <f ca="1">IF(OR($D177&lt;&gt;"Serviço",AND(AUTOEVENTO="Manual",$M177=$A$15)),0,
         IF(OFFSET(CRONOPLE!$F$15,$M177-$A$15,CA$13)=0,10^12,OFFSET(CRONOPLE!$F$15,$M177-$A$15,CA$13)))</f>
        <v>9</v>
      </c>
      <c r="CB177" s="171">
        <f ca="1">IF(OR($D177&lt;&gt;"Serviço",AND(AUTOEVENTO="Manual",$M177=$A$15)),0,
         IF(OFFSET(CRONOPLE!$F$15,$M177-$A$15,CB$13)=0,10^12,OFFSET(CRONOPLE!$F$15,$M177-$A$15,CB$13)))</f>
        <v>10</v>
      </c>
      <c r="CC177" s="171">
        <f ca="1">IF(OR($D177&lt;&gt;"Serviço",AND(AUTOEVENTO="Manual",$M177=$A$15)),0,
         IF(OFFSET(CRONOPLE!$F$15,$M177-$A$15,CC$13)=0,10^12,OFFSET(CRONOPLE!$F$15,$M177-$A$15,CC$13)))</f>
        <v>11</v>
      </c>
      <c r="CD177" s="171">
        <f ca="1">IF(OR($D177&lt;&gt;"Serviço",AND(AUTOEVENTO="Manual",$M177=$A$15)),0,
         IF(OFFSET(CRONOPLE!$F$15,$M177-$A$15,CD$13)=0,10^12,OFFSET(CRONOPLE!$F$15,$M177-$A$15,CD$13)))</f>
        <v>12</v>
      </c>
      <c r="CE177" s="171">
        <f ca="1">IF(OR($D177&lt;&gt;"Serviço",AND(AUTOEVENTO="Manual",$M177=$A$15)),0,
         IF(OFFSET(CRONOPLE!$F$15,$M177-$A$15,CE$13)=0,10^12,OFFSET(CRONOPLE!$F$15,$M177-$A$15,CE$13)))</f>
        <v>13</v>
      </c>
      <c r="CF177" s="171">
        <f ca="1">IF(OR($D177&lt;&gt;"Serviço",AND(AUTOEVENTO="Manual",$M177=$A$15)),0,
         IF(OFFSET(CRONOPLE!$F$15,$M177-$A$15,CF$13)=0,10^12,OFFSET(CRONOPLE!$F$15,$M177-$A$15,CF$13)))</f>
        <v>14</v>
      </c>
      <c r="CG177" s="171">
        <f ca="1">IF(OR($D177&lt;&gt;"Serviço",AND(AUTOEVENTO="Manual",$M177=$A$15)),0,
         IF(OFFSET(CRONOPLE!$F$15,$M177-$A$15,CG$13)=0,10^12,OFFSET(CRONOPLE!$F$15,$M177-$A$15,CG$13)))</f>
        <v>15</v>
      </c>
      <c r="CH177" s="171">
        <f ca="1">IF(OR($D177&lt;&gt;"Serviço",AND(AUTOEVENTO="Manual",$M177=$A$15)),0,
         IF(OFFSET(CRONOPLE!$F$15,$M177-$A$15,CH$13)=0,10^12,OFFSET(CRONOPLE!$F$15,$M177-$A$15,CH$13)))</f>
        <v>16</v>
      </c>
      <c r="CI177" s="171">
        <f ca="1">IF(OR($D177&lt;&gt;"Serviço",AND(AUTOEVENTO="Manual",$M177=$A$15)),0,
         IF(OFFSET(CRONOPLE!$F$15,$M177-$A$15,CI$13)=0,10^12,OFFSET(CRONOPLE!$F$15,$M177-$A$15,CI$13)))</f>
        <v>17</v>
      </c>
      <c r="CJ177" s="171">
        <f ca="1">IF(OR($D177&lt;&gt;"Serviço",AND(AUTOEVENTO="Manual",$M177=$A$15)),0,
         IF(OFFSET(CRONOPLE!$F$15,$M177-$A$15,CJ$13)=0,10^12,OFFSET(CRONOPLE!$F$15,$M177-$A$15,CJ$13)))</f>
        <v>18</v>
      </c>
      <c r="CK177" s="171">
        <f ca="1">IF(OR($D177&lt;&gt;"Serviço",AND(AUTOEVENTO="Manual",$M177=$A$15)),0,
         IF(OFFSET(CRONOPLE!$F$15,$M177-$A$15,CK$13)=0,10^12,OFFSET(CRONOPLE!$F$15,$M177-$A$15,CK$13)))</f>
        <v>19</v>
      </c>
      <c r="CL177" s="171">
        <f ca="1">IF(OR($D177&lt;&gt;"Serviço",AND(AUTOEVENTO="Manual",$M177=$A$15)),0,
         IF(OFFSET(CRONOPLE!$F$15,$M177-$A$15,CL$13)=0,10^12,OFFSET(CRONOPLE!$F$15,$M177-$A$15,CL$13)))</f>
        <v>20</v>
      </c>
      <c r="CM177" s="171">
        <f ca="1">IF(OR($D177&lt;&gt;"Serviço",AND(AUTOEVENTO="Manual",$M177=$A$15)),0,
         IF(OFFSET(CRONOPLE!$F$15,$M177-$A$15,CM$13)=0,10^12,OFFSET(CRONOPLE!$F$15,$M177-$A$15,CM$13)))</f>
        <v>1000000000000</v>
      </c>
      <c r="CN177" s="171">
        <f ca="1">IF(OR($D177&lt;&gt;"Serviço",AND(AUTOEVENTO="Manual",$M177=$A$15)),0,
         IF(OFFSET(CRONOPLE!$F$15,$M177-$A$15,CN$13)=0,10^12,OFFSET(CRONOPLE!$F$15,$M177-$A$15,CN$13)))</f>
        <v>1000000000000</v>
      </c>
      <c r="CO177" s="171">
        <f ca="1">IF(OR($D177&lt;&gt;"Serviço",AND(AUTOEVENTO="Manual",$M177=$A$15)),0,
         IF(OFFSET(CRONOPLE!$F$15,$M177-$A$15,CO$13)=0,10^12,OFFSET(CRONOPLE!$F$15,$M177-$A$15,CO$13)))</f>
        <v>1000000000000</v>
      </c>
      <c r="CP177" s="171">
        <f ca="1">IF(OR($D177&lt;&gt;"Serviço",AND(AUTOEVENTO="Manual",$M177=$A$15)),0,
         IF(OFFSET(CRONOPLE!$F$15,$M177-$A$15,CP$13)=0,10^12,OFFSET(CRONOPLE!$F$15,$M177-$A$15,CP$13)))</f>
        <v>1000000000000</v>
      </c>
      <c r="CQ177" s="171">
        <f ca="1">IF(OR($D177&lt;&gt;"Serviço",AND(AUTOEVENTO="Manual",$M177=$A$15)),0,
         IF(OFFSET(CRONOPLE!$F$15,$M177-$A$15,CQ$13)=0,10^12,OFFSET(CRONOPLE!$F$15,$M177-$A$15,CQ$13)))</f>
        <v>1000000000000</v>
      </c>
      <c r="CR177" s="171">
        <f ca="1">IF(OR($D177&lt;&gt;"Serviço",AND(AUTOEVENTO="Manual",$M177=$A$15)),0,
         IF(OFFSET(CRONOPLE!$F$15,$M177-$A$15,CR$13)=0,10^12,OFFSET(CRONOPLE!$F$15,$M177-$A$15,CR$13)))</f>
        <v>1000000000000</v>
      </c>
      <c r="CT177" s="172" cm="1">
        <f t="array" aca="1" ref="CT177" ca="1">IF(OR($D177&lt;&gt;"Serviço",AND(AUTOEVENTO="Manual",$M177=$A$15),$M177&gt;(ROW(PLE.lastrow)-ROW(PLE.firstrow))),0,
           IF(OFFSET(PLE!$G$15,$M177-$A$15,CT$13)="",10^12,OFFSET(PLE!$G$15,$M177-$A$15,CT$13)))</f>
        <v>1000000000000</v>
      </c>
      <c r="CU177" s="172" cm="1">
        <f t="array" aca="1" ref="CU177" ca="1">IF(OR($D177&lt;&gt;"Serviço",AND(AUTOEVENTO="Manual",$M177=$A$15),$M177&gt;(ROW(PLE.lastrow)-ROW(PLE.firstrow))),0,
           IF(OFFSET(PLE!$G$15,$M177-$A$15,CU$13)="",10^12,OFFSET(PLE!$G$15,$M177-$A$15,CU$13)))</f>
        <v>1000000000000</v>
      </c>
      <c r="CV177" s="172" cm="1">
        <f t="array" aca="1" ref="CV177" ca="1">IF(OR($D177&lt;&gt;"Serviço",AND(AUTOEVENTO="Manual",$M177=$A$15),$M177&gt;(ROW(PLE.lastrow)-ROW(PLE.firstrow))),0,
           IF(OFFSET(PLE!$G$15,$M177-$A$15,CV$13)="",10^12,OFFSET(PLE!$G$15,$M177-$A$15,CV$13)))</f>
        <v>1000000000000</v>
      </c>
      <c r="CW177" s="172" cm="1">
        <f t="array" aca="1" ref="CW177" ca="1">IF(OR($D177&lt;&gt;"Serviço",AND(AUTOEVENTO="Manual",$M177=$A$15),$M177&gt;(ROW(PLE.lastrow)-ROW(PLE.firstrow))),0,
           IF(OFFSET(PLE!$G$15,$M177-$A$15,CW$13)="",10^12,OFFSET(PLE!$G$15,$M177-$A$15,CW$13)))</f>
        <v>1000000000000</v>
      </c>
      <c r="CX177" s="172" cm="1">
        <f t="array" aca="1" ref="CX177" ca="1">IF(OR($D177&lt;&gt;"Serviço",AND(AUTOEVENTO="Manual",$M177=$A$15),$M177&gt;(ROW(PLE.lastrow)-ROW(PLE.firstrow))),0,
           IF(OFFSET(PLE!$G$15,$M177-$A$15,CX$13)="",10^12,OFFSET(PLE!$G$15,$M177-$A$15,CX$13)))</f>
        <v>1000000000000</v>
      </c>
      <c r="CY177" s="172" cm="1">
        <f t="array" aca="1" ref="CY177" ca="1">IF(OR($D177&lt;&gt;"Serviço",AND(AUTOEVENTO="Manual",$M177=$A$15),$M177&gt;(ROW(PLE.lastrow)-ROW(PLE.firstrow))),0,
           IF(OFFSET(PLE!$G$15,$M177-$A$15,CY$13)="",10^12,OFFSET(PLE!$G$15,$M177-$A$15,CY$13)))</f>
        <v>1000000000000</v>
      </c>
      <c r="CZ177" s="172" cm="1">
        <f t="array" aca="1" ref="CZ177" ca="1">IF(OR($D177&lt;&gt;"Serviço",AND(AUTOEVENTO="Manual",$M177=$A$15),$M177&gt;(ROW(PLE.lastrow)-ROW(PLE.firstrow))),0,
           IF(OFFSET(PLE!$G$15,$M177-$A$15,CZ$13)="",10^12,OFFSET(PLE!$G$15,$M177-$A$15,CZ$13)))</f>
        <v>1000000000000</v>
      </c>
      <c r="DA177" s="172" cm="1">
        <f t="array" aca="1" ref="DA177" ca="1">IF(OR($D177&lt;&gt;"Serviço",AND(AUTOEVENTO="Manual",$M177=$A$15),$M177&gt;(ROW(PLE.lastrow)-ROW(PLE.firstrow))),0,
           IF(OFFSET(PLE!$G$15,$M177-$A$15,DA$13)="",10^12,OFFSET(PLE!$G$15,$M177-$A$15,DA$13)))</f>
        <v>1000000000000</v>
      </c>
      <c r="DB177" s="172" cm="1">
        <f t="array" aca="1" ref="DB177" ca="1">IF(OR($D177&lt;&gt;"Serviço",AND(AUTOEVENTO="Manual",$M177=$A$15),$M177&gt;(ROW(PLE.lastrow)-ROW(PLE.firstrow))),0,
           IF(OFFSET(PLE!$G$15,$M177-$A$15,DB$13)="",10^12,OFFSET(PLE!$G$15,$M177-$A$15,DB$13)))</f>
        <v>1000000000000</v>
      </c>
      <c r="DC177" s="172" cm="1">
        <f t="array" aca="1" ref="DC177" ca="1">IF(OR($D177&lt;&gt;"Serviço",AND(AUTOEVENTO="Manual",$M177=$A$15),$M177&gt;(ROW(PLE.lastrow)-ROW(PLE.firstrow))),0,
           IF(OFFSET(PLE!$G$15,$M177-$A$15,DC$13)="",10^12,OFFSET(PLE!$G$15,$M177-$A$15,DC$13)))</f>
        <v>1000000000000</v>
      </c>
      <c r="DD177" s="172" cm="1">
        <f t="array" aca="1" ref="DD177" ca="1">IF(OR($D177&lt;&gt;"Serviço",AND(AUTOEVENTO="Manual",$M177=$A$15),$M177&gt;(ROW(PLE.lastrow)-ROW(PLE.firstrow))),0,
           IF(OFFSET(PLE!$G$15,$M177-$A$15,DD$13)="",10^12,OFFSET(PLE!$G$15,$M177-$A$15,DD$13)))</f>
        <v>1000000000000</v>
      </c>
      <c r="DE177" s="172" cm="1">
        <f t="array" aca="1" ref="DE177" ca="1">IF(OR($D177&lt;&gt;"Serviço",AND(AUTOEVENTO="Manual",$M177=$A$15),$M177&gt;(ROW(PLE.lastrow)-ROW(PLE.firstrow))),0,
           IF(OFFSET(PLE!$G$15,$M177-$A$15,DE$13)="",10^12,OFFSET(PLE!$G$15,$M177-$A$15,DE$13)))</f>
        <v>1000000000000</v>
      </c>
      <c r="DF177" s="172" cm="1">
        <f t="array" aca="1" ref="DF177" ca="1">IF(OR($D177&lt;&gt;"Serviço",AND(AUTOEVENTO="Manual",$M177=$A$15),$M177&gt;(ROW(PLE.lastrow)-ROW(PLE.firstrow))),0,
           IF(OFFSET(PLE!$G$15,$M177-$A$15,DF$13)="",10^12,OFFSET(PLE!$G$15,$M177-$A$15,DF$13)))</f>
        <v>1000000000000</v>
      </c>
      <c r="DG177" s="172" cm="1">
        <f t="array" aca="1" ref="DG177" ca="1">IF(OR($D177&lt;&gt;"Serviço",AND(AUTOEVENTO="Manual",$M177=$A$15),$M177&gt;(ROW(PLE.lastrow)-ROW(PLE.firstrow))),0,
           IF(OFFSET(PLE!$G$15,$M177-$A$15,DG$13)="",10^12,OFFSET(PLE!$G$15,$M177-$A$15,DG$13)))</f>
        <v>1000000000000</v>
      </c>
      <c r="DH177" s="172" cm="1">
        <f t="array" aca="1" ref="DH177" ca="1">IF(OR($D177&lt;&gt;"Serviço",AND(AUTOEVENTO="Manual",$M177=$A$15),$M177&gt;(ROW(PLE.lastrow)-ROW(PLE.firstrow))),0,
           IF(OFFSET(PLE!$G$15,$M177-$A$15,DH$13)="",10^12,OFFSET(PLE!$G$15,$M177-$A$15,DH$13)))</f>
        <v>1000000000000</v>
      </c>
      <c r="DI177" s="172" cm="1">
        <f t="array" aca="1" ref="DI177" ca="1">IF(OR($D177&lt;&gt;"Serviço",AND(AUTOEVENTO="Manual",$M177=$A$15),$M177&gt;(ROW(PLE.lastrow)-ROW(PLE.firstrow))),0,
           IF(OFFSET(PLE!$G$15,$M177-$A$15,DI$13)="",10^12,OFFSET(PLE!$G$15,$M177-$A$15,DI$13)))</f>
        <v>1000000000000</v>
      </c>
      <c r="DJ177" s="172" cm="1">
        <f t="array" aca="1" ref="DJ177" ca="1">IF(OR($D177&lt;&gt;"Serviço",AND(AUTOEVENTO="Manual",$M177=$A$15),$M177&gt;(ROW(PLE.lastrow)-ROW(PLE.firstrow))),0,
           IF(OFFSET(PLE!$G$15,$M177-$A$15,DJ$13)="",10^12,OFFSET(PLE!$G$15,$M177-$A$15,DJ$13)))</f>
        <v>1000000000000</v>
      </c>
      <c r="DK177" s="172" cm="1">
        <f t="array" aca="1" ref="DK177" ca="1">IF(OR($D177&lt;&gt;"Serviço",AND(AUTOEVENTO="Manual",$M177=$A$15),$M177&gt;(ROW(PLE.lastrow)-ROW(PLE.firstrow))),0,
           IF(OFFSET(PLE!$G$15,$M177-$A$15,DK$13)="",10^12,OFFSET(PLE!$G$15,$M177-$A$15,DK$13)))</f>
        <v>1000000000000</v>
      </c>
      <c r="DL177" s="172" cm="1">
        <f t="array" aca="1" ref="DL177" ca="1">IF(OR($D177&lt;&gt;"Serviço",AND(AUTOEVENTO="Manual",$M177=$A$15),$M177&gt;(ROW(PLE.lastrow)-ROW(PLE.firstrow))),0,
           IF(OFFSET(PLE!$G$15,$M177-$A$15,DL$13)="",10^12,OFFSET(PLE!$G$15,$M177-$A$15,DL$13)))</f>
        <v>1000000000000</v>
      </c>
      <c r="DM177" s="172" cm="1">
        <f t="array" aca="1" ref="DM177" ca="1">IF(OR($D177&lt;&gt;"Serviço",AND(AUTOEVENTO="Manual",$M177=$A$15),$M177&gt;(ROW(PLE.lastrow)-ROW(PLE.firstrow))),0,
           IF(OFFSET(PLE!$G$15,$M177-$A$15,DM$13)="",10^12,OFFSET(PLE!$G$15,$M177-$A$15,DM$13)))</f>
        <v>1000000000000</v>
      </c>
      <c r="DN177" s="172" cm="1">
        <f t="array" aca="1" ref="DN177" ca="1">IF(OR($D177&lt;&gt;"Serviço",AND(AUTOEVENTO="Manual",$M177=$A$15),$M177&gt;(ROW(PLE.lastrow)-ROW(PLE.firstrow))),0,
           IF(OFFSET(PLE!$G$15,$M177-$A$15,DN$13)="",10^12,OFFSET(PLE!$G$15,$M177-$A$15,DN$13)))</f>
        <v>1000000000000</v>
      </c>
      <c r="DO177" s="172" cm="1">
        <f t="array" aca="1" ref="DO177" ca="1">IF(OR($D177&lt;&gt;"Serviço",AND(AUTOEVENTO="Manual",$M177=$A$15),$M177&gt;(ROW(PLE.lastrow)-ROW(PLE.firstrow))),0,
           IF(OFFSET(PLE!$G$15,$M177-$A$15,DO$13)="",10^12,OFFSET(PLE!$G$15,$M177-$A$15,DO$13)))</f>
        <v>1000000000000</v>
      </c>
      <c r="DP177" s="172" cm="1">
        <f t="array" aca="1" ref="DP177" ca="1">IF(OR($D177&lt;&gt;"Serviço",AND(AUTOEVENTO="Manual",$M177=$A$15),$M177&gt;(ROW(PLE.lastrow)-ROW(PLE.firstrow))),0,
           IF(OFFSET(PLE!$G$15,$M177-$A$15,DP$13)="",10^12,OFFSET(PLE!$G$15,$M177-$A$15,DP$13)))</f>
        <v>1000000000000</v>
      </c>
      <c r="DQ177" s="172" cm="1">
        <f t="array" aca="1" ref="DQ177" ca="1">IF(OR($D177&lt;&gt;"Serviço",AND(AUTOEVENTO="Manual",$M177=$A$15),$M177&gt;(ROW(PLE.lastrow)-ROW(PLE.firstrow))),0,
           IF(OFFSET(PLE!$G$15,$M177-$A$15,DQ$13)="",10^12,OFFSET(PLE!$G$15,$M177-$A$15,DQ$13)))</f>
        <v>1000000000000</v>
      </c>
      <c r="DR177" s="172" cm="1">
        <f t="array" aca="1" ref="DR177" ca="1">IF(OR($D177&lt;&gt;"Serviço",AND(AUTOEVENTO="Manual",$M177=$A$15),$M177&gt;(ROW(PLE.lastrow)-ROW(PLE.firstrow))),0,
           IF(OFFSET(PLE!$G$15,$M177-$A$15,DR$13)="",10^12,OFFSET(PLE!$G$15,$M177-$A$15,DR$13)))</f>
        <v>1000000000000</v>
      </c>
      <c r="DS177" s="172" cm="1">
        <f t="array" aca="1" ref="DS177" ca="1">IF(OR($D177&lt;&gt;"Serviço",AND(AUTOEVENTO="Manual",$M177=$A$15),$M177&gt;(ROW(PLE.lastrow)-ROW(PLE.firstrow))),0,
           IF(OFFSET(PLE!$G$15,$M177-$A$15,DS$13)="",10^12,OFFSET(PLE!$G$15,$M177-$A$15,DS$13)))</f>
        <v>1000000000000</v>
      </c>
    </row>
    <row r="178" spans="1:123" ht="25.5" x14ac:dyDescent="0.2">
      <c r="A178" s="7">
        <f t="shared" ca="1" si="16"/>
        <v>9</v>
      </c>
      <c r="B178" s="7" t="str">
        <f ca="1">OFFSET(ORÇAMENTO!C$15,$L178,0)</f>
        <v>S</v>
      </c>
      <c r="C178" s="7" t="str">
        <f ca="1">OFFSET(ORÇAMENTO!L$15,$L178,0)</f>
        <v/>
      </c>
      <c r="D178" s="116" t="str">
        <f ca="1">OFFSET(ORÇAMENTO!N$15,$L178,0)</f>
        <v>Serviço</v>
      </c>
      <c r="E178" s="117" t="str">
        <f ca="1">OFFSET(ORÇAMENTO!O$15,$L178,0)</f>
        <v>-</v>
      </c>
      <c r="F178" s="163" t="str">
        <f ca="1">OFFSET(ORÇAMENTO!R$15,$L178,0)</f>
        <v>(Código não identificado nas referências)</v>
      </c>
      <c r="G178" s="164" t="str">
        <f ca="1">IF($D178&lt;&gt;"Serviço","",OFFSET(ORÇAMENTO!S$15,$L178,0))</f>
        <v>-</v>
      </c>
      <c r="H178" s="122" cm="1">
        <f t="array" aca="1" ref="H178" ca="1">IF($D178&lt;&gt;"Serviço",0,IF(ACOMPANHAMENTO="BM",ROUND(OFFSET(ORÇAMENTO!AJ$15,$L178,0),15-13*ORÇAMENTO!$AF$7),IF(IFERROR(CÁLCULO.FrentesPreenchidas,0)=0,0,SUM(ROUND(OFFSET($P178,0,1,1,CÁLCULO.FrentesPreenchidas),15-13*ORÇAMENTO!$AF$7)))))</f>
        <v>40</v>
      </c>
      <c r="I178" s="468" t="s">
        <v>1235</v>
      </c>
      <c r="J178" s="651" t="str" cm="1">
        <f t="array" aca="1" ref="J178" ca="1">IF(OR(B178&lt;&gt;"S",CÁLCULO.FrentesPreenchidas=0),"",IF(AND(ACOMPANHAMENTO="PLE",AUTOEVENTO="Manual",OR(H178&gt;0,ORÇAMENTO!AC178="QUANT."),OR(K178="",M178=0,N178="")),"►E",IF(AND(ACOMPANHAMENTO="PLE",ORÇAMENTO!AC178="QUANT."),"►Q",IF(AND(ACOMPANHAMENTO="PLE",H178&lt;&gt;SUMPRODUCT(($Q$1:$AQ$1=1)*ROUND(Q178:AQ178,15))),"►S",IF(AND(COUNTIF($P$11:$AQ$11,"▼")=0,H178&gt;0,I178=""),"◄M","")))))</f>
        <v/>
      </c>
      <c r="K178" s="652" t="s">
        <v>1257</v>
      </c>
      <c r="L178" s="165">
        <f t="shared" ca="1" si="17"/>
        <v>163</v>
      </c>
      <c r="M178" s="166">
        <f ca="1">IF($D178&lt;&gt;"Serviço","",
          IF(AUTOEVENTO="manual",$A178,
                IF(ISERROR(MATCH($A178,$A$15:OFFSET($A178,-1,0),0)),MAX($M$15:OFFSET(M178,-1,0))+1,
                      INDEX($M$15:OFFSET(M178,-1,0),MATCH($A178,$A$15:OFFSET($A178,-1,0),0)))))</f>
        <v>9</v>
      </c>
      <c r="N178" s="167" t="str">
        <f ca="1">IF($D178&lt;&gt;"Serviço","",
         IF(AUTOEVENTO="Manual",
                IF($A178=0,"&lt;-- defina o número do agrupador",
                       OFFSET(EVENTOS!$D$15,$A178-$A$15,0)),
                OFFSET($F$15,$A178,0)))</f>
        <v>INSTALAÇÕES</v>
      </c>
      <c r="O178" s="168"/>
      <c r="Q178" s="168">
        <v>2</v>
      </c>
      <c r="R178" s="169">
        <v>2</v>
      </c>
      <c r="S178" s="169">
        <v>2</v>
      </c>
      <c r="T178" s="169">
        <v>2</v>
      </c>
      <c r="U178" s="169">
        <v>2</v>
      </c>
      <c r="V178" s="169">
        <v>2</v>
      </c>
      <c r="W178" s="169">
        <v>2</v>
      </c>
      <c r="X178" s="169">
        <v>2</v>
      </c>
      <c r="Y178" s="169">
        <v>2</v>
      </c>
      <c r="Z178" s="170">
        <v>2</v>
      </c>
      <c r="AA178" s="169">
        <v>2</v>
      </c>
      <c r="AB178" s="169">
        <v>2</v>
      </c>
      <c r="AC178" s="169">
        <v>2</v>
      </c>
      <c r="AD178" s="169">
        <v>2</v>
      </c>
      <c r="AE178" s="169">
        <v>2</v>
      </c>
      <c r="AF178" s="169">
        <v>2</v>
      </c>
      <c r="AG178" s="169">
        <v>2</v>
      </c>
      <c r="AH178" s="170">
        <v>2</v>
      </c>
      <c r="AI178" s="169">
        <v>2</v>
      </c>
      <c r="AJ178" s="169">
        <v>2</v>
      </c>
      <c r="AK178" s="169"/>
      <c r="AL178" s="169"/>
      <c r="AM178" s="169"/>
      <c r="AN178" s="169"/>
      <c r="AO178" s="169"/>
      <c r="AP178" s="170"/>
      <c r="AR178" s="453">
        <f ca="1">IF(AND($D178="Serviço",AR$12&lt;&gt;0,$H178&gt;0,OR(AUTOEVENTO&lt;&gt;"manual",$M178&lt;&gt;$A$15)),
        IF(Import.TipoArredondamento&lt;&gt;"TransfereGOV",
              ROUND(OFFSET($P178,0,AR$13),15-13*ORÇAMENTO!$AF$7)/$H178*OFFSET(ORÇAMENTO!$X$15,ROW(AR178)-ROW(AR$15),0),
              ROUND(ROUND(OFFSET($P178,0,AR$13),15-13*ORÇAMENTO!$AF$7)*OFFSET(ORÇAMENTO!$W$15,ROW(AR178)-ROW(AR$15),0),15-13*ORÇAMENTO!$AF$11)),
         0)</f>
        <v>0</v>
      </c>
      <c r="AS178" s="453">
        <f ca="1">IF(AND($D178="Serviço",AS$12&lt;&gt;0,$H178&gt;0,OR(AUTOEVENTO&lt;&gt;"manual",$M178&lt;&gt;$A$15)),
        IF(Import.TipoArredondamento&lt;&gt;"TransfereGOV",
              ROUND(OFFSET($P178,0,AS$13),15-13*ORÇAMENTO!$AF$7)/$H178*OFFSET(ORÇAMENTO!$X$15,ROW(AS178)-ROW(AS$15),0),
              ROUND(ROUND(OFFSET($P178,0,AS$13),15-13*ORÇAMENTO!$AF$7)*OFFSET(ORÇAMENTO!$W$15,ROW(AS178)-ROW(AS$15),0),15-13*ORÇAMENTO!$AF$11)),
         0)</f>
        <v>0</v>
      </c>
      <c r="AT178" s="453">
        <f ca="1">IF(AND($D178="Serviço",AT$12&lt;&gt;0,$H178&gt;0,OR(AUTOEVENTO&lt;&gt;"manual",$M178&lt;&gt;$A$15)),
        IF(Import.TipoArredondamento&lt;&gt;"TransfereGOV",
              ROUND(OFFSET($P178,0,AT$13),15-13*ORÇAMENTO!$AF$7)/$H178*OFFSET(ORÇAMENTO!$X$15,ROW(AT178)-ROW(AT$15),0),
              ROUND(ROUND(OFFSET($P178,0,AT$13),15-13*ORÇAMENTO!$AF$7)*OFFSET(ORÇAMENTO!$W$15,ROW(AT178)-ROW(AT$15),0),15-13*ORÇAMENTO!$AF$11)),
         0)</f>
        <v>0</v>
      </c>
      <c r="AU178" s="453">
        <f ca="1">IF(AND($D178="Serviço",AU$12&lt;&gt;0,$H178&gt;0,OR(AUTOEVENTO&lt;&gt;"manual",$M178&lt;&gt;$A$15)),
        IF(Import.TipoArredondamento&lt;&gt;"TransfereGOV",
              ROUND(OFFSET($P178,0,AU$13),15-13*ORÇAMENTO!$AF$7)/$H178*OFFSET(ORÇAMENTO!$X$15,ROW(AU178)-ROW(AU$15),0),
              ROUND(ROUND(OFFSET($P178,0,AU$13),15-13*ORÇAMENTO!$AF$7)*OFFSET(ORÇAMENTO!$W$15,ROW(AU178)-ROW(AU$15),0),15-13*ORÇAMENTO!$AF$11)),
         0)</f>
        <v>0</v>
      </c>
      <c r="AV178" s="453">
        <f ca="1">IF(AND($D178="Serviço",AV$12&lt;&gt;0,$H178&gt;0,OR(AUTOEVENTO&lt;&gt;"manual",$M178&lt;&gt;$A$15)),
        IF(Import.TipoArredondamento&lt;&gt;"TransfereGOV",
              ROUND(OFFSET($P178,0,AV$13),15-13*ORÇAMENTO!$AF$7)/$H178*OFFSET(ORÇAMENTO!$X$15,ROW(AV178)-ROW(AV$15),0),
              ROUND(ROUND(OFFSET($P178,0,AV$13),15-13*ORÇAMENTO!$AF$7)*OFFSET(ORÇAMENTO!$W$15,ROW(AV178)-ROW(AV$15),0),15-13*ORÇAMENTO!$AF$11)),
         0)</f>
        <v>0</v>
      </c>
      <c r="AW178" s="453">
        <f ca="1">IF(AND($D178="Serviço",AW$12&lt;&gt;0,$H178&gt;0,OR(AUTOEVENTO&lt;&gt;"manual",$M178&lt;&gt;$A$15)),
        IF(Import.TipoArredondamento&lt;&gt;"TransfereGOV",
              ROUND(OFFSET($P178,0,AW$13),15-13*ORÇAMENTO!$AF$7)/$H178*OFFSET(ORÇAMENTO!$X$15,ROW(AW178)-ROW(AW$15),0),
              ROUND(ROUND(OFFSET($P178,0,AW$13),15-13*ORÇAMENTO!$AF$7)*OFFSET(ORÇAMENTO!$W$15,ROW(AW178)-ROW(AW$15),0),15-13*ORÇAMENTO!$AF$11)),
         0)</f>
        <v>0</v>
      </c>
      <c r="AX178" s="453">
        <f ca="1">IF(AND($D178="Serviço",AX$12&lt;&gt;0,$H178&gt;0,OR(AUTOEVENTO&lt;&gt;"manual",$M178&lt;&gt;$A$15)),
        IF(Import.TipoArredondamento&lt;&gt;"TransfereGOV",
              ROUND(OFFSET($P178,0,AX$13),15-13*ORÇAMENTO!$AF$7)/$H178*OFFSET(ORÇAMENTO!$X$15,ROW(AX178)-ROW(AX$15),0),
              ROUND(ROUND(OFFSET($P178,0,AX$13),15-13*ORÇAMENTO!$AF$7)*OFFSET(ORÇAMENTO!$W$15,ROW(AX178)-ROW(AX$15),0),15-13*ORÇAMENTO!$AF$11)),
         0)</f>
        <v>0</v>
      </c>
      <c r="AY178" s="453">
        <f ca="1">IF(AND($D178="Serviço",AY$12&lt;&gt;0,$H178&gt;0,OR(AUTOEVENTO&lt;&gt;"manual",$M178&lt;&gt;$A$15)),
        IF(Import.TipoArredondamento&lt;&gt;"TransfereGOV",
              ROUND(OFFSET($P178,0,AY$13),15-13*ORÇAMENTO!$AF$7)/$H178*OFFSET(ORÇAMENTO!$X$15,ROW(AY178)-ROW(AY$15),0),
              ROUND(ROUND(OFFSET($P178,0,AY$13),15-13*ORÇAMENTO!$AF$7)*OFFSET(ORÇAMENTO!$W$15,ROW(AY178)-ROW(AY$15),0),15-13*ORÇAMENTO!$AF$11)),
         0)</f>
        <v>0</v>
      </c>
      <c r="AZ178" s="453">
        <f ca="1">IF(AND($D178="Serviço",AZ$12&lt;&gt;0,$H178&gt;0,OR(AUTOEVENTO&lt;&gt;"manual",$M178&lt;&gt;$A$15)),
        IF(Import.TipoArredondamento&lt;&gt;"TransfereGOV",
              ROUND(OFFSET($P178,0,AZ$13),15-13*ORÇAMENTO!$AF$7)/$H178*OFFSET(ORÇAMENTO!$X$15,ROW(AZ178)-ROW(AZ$15),0),
              ROUND(ROUND(OFFSET($P178,0,AZ$13),15-13*ORÇAMENTO!$AF$7)*OFFSET(ORÇAMENTO!$W$15,ROW(AZ178)-ROW(AZ$15),0),15-13*ORÇAMENTO!$AF$11)),
         0)</f>
        <v>0</v>
      </c>
      <c r="BA178" s="453">
        <f ca="1">IF(AND($D178="Serviço",BA$12&lt;&gt;0,$H178&gt;0,OR(AUTOEVENTO&lt;&gt;"manual",$M178&lt;&gt;$A$15)),
        IF(Import.TipoArredondamento&lt;&gt;"TransfereGOV",
              ROUND(OFFSET($P178,0,BA$13),15-13*ORÇAMENTO!$AF$7)/$H178*OFFSET(ORÇAMENTO!$X$15,ROW(BA178)-ROW(BA$15),0),
              ROUND(ROUND(OFFSET($P178,0,BA$13),15-13*ORÇAMENTO!$AF$7)*OFFSET(ORÇAMENTO!$W$15,ROW(BA178)-ROW(BA$15),0),15-13*ORÇAMENTO!$AF$11)),
         0)</f>
        <v>0</v>
      </c>
      <c r="BB178" s="453">
        <f ca="1">IF(AND($D178="Serviço",BB$12&lt;&gt;0,$H178&gt;0,OR(AUTOEVENTO&lt;&gt;"manual",$M178&lt;&gt;$A$15)),
        IF(Import.TipoArredondamento&lt;&gt;"TransfereGOV",
              ROUND(OFFSET($P178,0,BB$13),15-13*ORÇAMENTO!$AF$7)/$H178*OFFSET(ORÇAMENTO!$X$15,ROW(BB178)-ROW(BB$15),0),
              ROUND(ROUND(OFFSET($P178,0,BB$13),15-13*ORÇAMENTO!$AF$7)*OFFSET(ORÇAMENTO!$W$15,ROW(BB178)-ROW(BB$15),0),15-13*ORÇAMENTO!$AF$11)),
         0)</f>
        <v>0</v>
      </c>
      <c r="BC178" s="453">
        <f ca="1">IF(AND($D178="Serviço",BC$12&lt;&gt;0,$H178&gt;0,OR(AUTOEVENTO&lt;&gt;"manual",$M178&lt;&gt;$A$15)),
        IF(Import.TipoArredondamento&lt;&gt;"TransfereGOV",
              ROUND(OFFSET($P178,0,BC$13),15-13*ORÇAMENTO!$AF$7)/$H178*OFFSET(ORÇAMENTO!$X$15,ROW(BC178)-ROW(BC$15),0),
              ROUND(ROUND(OFFSET($P178,0,BC$13),15-13*ORÇAMENTO!$AF$7)*OFFSET(ORÇAMENTO!$W$15,ROW(BC178)-ROW(BC$15),0),15-13*ORÇAMENTO!$AF$11)),
         0)</f>
        <v>0</v>
      </c>
      <c r="BD178" s="453">
        <f ca="1">IF(AND($D178="Serviço",BD$12&lt;&gt;0,$H178&gt;0,OR(AUTOEVENTO&lt;&gt;"manual",$M178&lt;&gt;$A$15)),
        IF(Import.TipoArredondamento&lt;&gt;"TransfereGOV",
              ROUND(OFFSET($P178,0,BD$13),15-13*ORÇAMENTO!$AF$7)/$H178*OFFSET(ORÇAMENTO!$X$15,ROW(BD178)-ROW(BD$15),0),
              ROUND(ROUND(OFFSET($P178,0,BD$13),15-13*ORÇAMENTO!$AF$7)*OFFSET(ORÇAMENTO!$W$15,ROW(BD178)-ROW(BD$15),0),15-13*ORÇAMENTO!$AF$11)),
         0)</f>
        <v>0</v>
      </c>
      <c r="BE178" s="453">
        <f ca="1">IF(AND($D178="Serviço",BE$12&lt;&gt;0,$H178&gt;0,OR(AUTOEVENTO&lt;&gt;"manual",$M178&lt;&gt;$A$15)),
        IF(Import.TipoArredondamento&lt;&gt;"TransfereGOV",
              ROUND(OFFSET($P178,0,BE$13),15-13*ORÇAMENTO!$AF$7)/$H178*OFFSET(ORÇAMENTO!$X$15,ROW(BE178)-ROW(BE$15),0),
              ROUND(ROUND(OFFSET($P178,0,BE$13),15-13*ORÇAMENTO!$AF$7)*OFFSET(ORÇAMENTO!$W$15,ROW(BE178)-ROW(BE$15),0),15-13*ORÇAMENTO!$AF$11)),
         0)</f>
        <v>0</v>
      </c>
      <c r="BF178" s="453">
        <f ca="1">IF(AND($D178="Serviço",BF$12&lt;&gt;0,$H178&gt;0,OR(AUTOEVENTO&lt;&gt;"manual",$M178&lt;&gt;$A$15)),
        IF(Import.TipoArredondamento&lt;&gt;"TransfereGOV",
              ROUND(OFFSET($P178,0,BF$13),15-13*ORÇAMENTO!$AF$7)/$H178*OFFSET(ORÇAMENTO!$X$15,ROW(BF178)-ROW(BF$15),0),
              ROUND(ROUND(OFFSET($P178,0,BF$13),15-13*ORÇAMENTO!$AF$7)*OFFSET(ORÇAMENTO!$W$15,ROW(BF178)-ROW(BF$15),0),15-13*ORÇAMENTO!$AF$11)),
         0)</f>
        <v>0</v>
      </c>
      <c r="BG178" s="453">
        <f ca="1">IF(AND($D178="Serviço",BG$12&lt;&gt;0,$H178&gt;0,OR(AUTOEVENTO&lt;&gt;"manual",$M178&lt;&gt;$A$15)),
        IF(Import.TipoArredondamento&lt;&gt;"TransfereGOV",
              ROUND(OFFSET($P178,0,BG$13),15-13*ORÇAMENTO!$AF$7)/$H178*OFFSET(ORÇAMENTO!$X$15,ROW(BG178)-ROW(BG$15),0),
              ROUND(ROUND(OFFSET($P178,0,BG$13),15-13*ORÇAMENTO!$AF$7)*OFFSET(ORÇAMENTO!$W$15,ROW(BG178)-ROW(BG$15),0),15-13*ORÇAMENTO!$AF$11)),
         0)</f>
        <v>0</v>
      </c>
      <c r="BH178" s="453">
        <f ca="1">IF(AND($D178="Serviço",BH$12&lt;&gt;0,$H178&gt;0,OR(AUTOEVENTO&lt;&gt;"manual",$M178&lt;&gt;$A$15)),
        IF(Import.TipoArredondamento&lt;&gt;"TransfereGOV",
              ROUND(OFFSET($P178,0,BH$13),15-13*ORÇAMENTO!$AF$7)/$H178*OFFSET(ORÇAMENTO!$X$15,ROW(BH178)-ROW(BH$15),0),
              ROUND(ROUND(OFFSET($P178,0,BH$13),15-13*ORÇAMENTO!$AF$7)*OFFSET(ORÇAMENTO!$W$15,ROW(BH178)-ROW(BH$15),0),15-13*ORÇAMENTO!$AF$11)),
         0)</f>
        <v>0</v>
      </c>
      <c r="BI178" s="453">
        <f ca="1">IF(AND($D178="Serviço",BI$12&lt;&gt;0,$H178&gt;0,OR(AUTOEVENTO&lt;&gt;"manual",$M178&lt;&gt;$A$15)),
        IF(Import.TipoArredondamento&lt;&gt;"TransfereGOV",
              ROUND(OFFSET($P178,0,BI$13),15-13*ORÇAMENTO!$AF$7)/$H178*OFFSET(ORÇAMENTO!$X$15,ROW(BI178)-ROW(BI$15),0),
              ROUND(ROUND(OFFSET($P178,0,BI$13),15-13*ORÇAMENTO!$AF$7)*OFFSET(ORÇAMENTO!$W$15,ROW(BI178)-ROW(BI$15),0),15-13*ORÇAMENTO!$AF$11)),
         0)</f>
        <v>0</v>
      </c>
      <c r="BJ178" s="453">
        <f ca="1">IF(AND($D178="Serviço",BJ$12&lt;&gt;0,$H178&gt;0,OR(AUTOEVENTO&lt;&gt;"manual",$M178&lt;&gt;$A$15)),
        IF(Import.TipoArredondamento&lt;&gt;"TransfereGOV",
              ROUND(OFFSET($P178,0,BJ$13),15-13*ORÇAMENTO!$AF$7)/$H178*OFFSET(ORÇAMENTO!$X$15,ROW(BJ178)-ROW(BJ$15),0),
              ROUND(ROUND(OFFSET($P178,0,BJ$13),15-13*ORÇAMENTO!$AF$7)*OFFSET(ORÇAMENTO!$W$15,ROW(BJ178)-ROW(BJ$15),0),15-13*ORÇAMENTO!$AF$11)),
         0)</f>
        <v>0</v>
      </c>
      <c r="BK178" s="453">
        <f ca="1">IF(AND($D178="Serviço",BK$12&lt;&gt;0,$H178&gt;0,OR(AUTOEVENTO&lt;&gt;"manual",$M178&lt;&gt;$A$15)),
        IF(Import.TipoArredondamento&lt;&gt;"TransfereGOV",
              ROUND(OFFSET($P178,0,BK$13),15-13*ORÇAMENTO!$AF$7)/$H178*OFFSET(ORÇAMENTO!$X$15,ROW(BK178)-ROW(BK$15),0),
              ROUND(ROUND(OFFSET($P178,0,BK$13),15-13*ORÇAMENTO!$AF$7)*OFFSET(ORÇAMENTO!$W$15,ROW(BK178)-ROW(BK$15),0),15-13*ORÇAMENTO!$AF$11)),
         0)</f>
        <v>0</v>
      </c>
      <c r="BL178" s="453">
        <f ca="1">IF(AND($D178="Serviço",BL$12&lt;&gt;0,$H178&gt;0,OR(AUTOEVENTO&lt;&gt;"manual",$M178&lt;&gt;$A$15)),
        IF(Import.TipoArredondamento&lt;&gt;"TransfereGOV",
              ROUND(OFFSET($P178,0,BL$13),15-13*ORÇAMENTO!$AF$7)/$H178*OFFSET(ORÇAMENTO!$X$15,ROW(BL178)-ROW(BL$15),0),
              ROUND(ROUND(OFFSET($P178,0,BL$13),15-13*ORÇAMENTO!$AF$7)*OFFSET(ORÇAMENTO!$W$15,ROW(BL178)-ROW(BL$15),0),15-13*ORÇAMENTO!$AF$11)),
         0)</f>
        <v>0</v>
      </c>
      <c r="BM178" s="453">
        <f ca="1">IF(AND($D178="Serviço",BM$12&lt;&gt;0,$H178&gt;0,OR(AUTOEVENTO&lt;&gt;"manual",$M178&lt;&gt;$A$15)),
        IF(Import.TipoArredondamento&lt;&gt;"TransfereGOV",
              ROUND(OFFSET($P178,0,BM$13),15-13*ORÇAMENTO!$AF$7)/$H178*OFFSET(ORÇAMENTO!$X$15,ROW(BM178)-ROW(BM$15),0),
              ROUND(ROUND(OFFSET($P178,0,BM$13),15-13*ORÇAMENTO!$AF$7)*OFFSET(ORÇAMENTO!$W$15,ROW(BM178)-ROW(BM$15),0),15-13*ORÇAMENTO!$AF$11)),
         0)</f>
        <v>0</v>
      </c>
      <c r="BN178" s="453">
        <f ca="1">IF(AND($D178="Serviço",BN$12&lt;&gt;0,$H178&gt;0,OR(AUTOEVENTO&lt;&gt;"manual",$M178&lt;&gt;$A$15)),
        IF(Import.TipoArredondamento&lt;&gt;"TransfereGOV",
              ROUND(OFFSET($P178,0,BN$13),15-13*ORÇAMENTO!$AF$7)/$H178*OFFSET(ORÇAMENTO!$X$15,ROW(BN178)-ROW(BN$15),0),
              ROUND(ROUND(OFFSET($P178,0,BN$13),15-13*ORÇAMENTO!$AF$7)*OFFSET(ORÇAMENTO!$W$15,ROW(BN178)-ROW(BN$15),0),15-13*ORÇAMENTO!$AF$11)),
         0)</f>
        <v>0</v>
      </c>
      <c r="BO178" s="453">
        <f ca="1">IF(AND($D178="Serviço",BO$12&lt;&gt;0,$H178&gt;0,OR(AUTOEVENTO&lt;&gt;"manual",$M178&lt;&gt;$A$15)),
        IF(Import.TipoArredondamento&lt;&gt;"TransfereGOV",
              ROUND(OFFSET($P178,0,BO$13),15-13*ORÇAMENTO!$AF$7)/$H178*OFFSET(ORÇAMENTO!$X$15,ROW(BO178)-ROW(BO$15),0),
              ROUND(ROUND(OFFSET($P178,0,BO$13),15-13*ORÇAMENTO!$AF$7)*OFFSET(ORÇAMENTO!$W$15,ROW(BO178)-ROW(BO$15),0),15-13*ORÇAMENTO!$AF$11)),
         0)</f>
        <v>0</v>
      </c>
      <c r="BP178" s="453">
        <f ca="1">IF(AND($D178="Serviço",BP$12&lt;&gt;0,$H178&gt;0,OR(AUTOEVENTO&lt;&gt;"manual",$M178&lt;&gt;$A$15)),
        IF(Import.TipoArredondamento&lt;&gt;"TransfereGOV",
              ROUND(OFFSET($P178,0,BP$13),15-13*ORÇAMENTO!$AF$7)/$H178*OFFSET(ORÇAMENTO!$X$15,ROW(BP178)-ROW(BP$15),0),
              ROUND(ROUND(OFFSET($P178,0,BP$13),15-13*ORÇAMENTO!$AF$7)*OFFSET(ORÇAMENTO!$W$15,ROW(BP178)-ROW(BP$15),0),15-13*ORÇAMENTO!$AF$11)),
         0)</f>
        <v>0</v>
      </c>
      <c r="BQ178" s="453">
        <f ca="1">IF(AND($D178="Serviço",BQ$12&lt;&gt;0,$H178&gt;0,OR(AUTOEVENTO&lt;&gt;"manual",$M178&lt;&gt;$A$15)),
        IF(Import.TipoArredondamento&lt;&gt;"TransfereGOV",
              ROUND(OFFSET($P178,0,BQ$13),15-13*ORÇAMENTO!$AF$7)/$H178*OFFSET(ORÇAMENTO!$X$15,ROW(BQ178)-ROW(BQ$15),0),
              ROUND(ROUND(OFFSET($P178,0,BQ$13),15-13*ORÇAMENTO!$AF$7)*OFFSET(ORÇAMENTO!$W$15,ROW(BQ178)-ROW(BQ$15),0),15-13*ORÇAMENTO!$AF$11)),
         0)</f>
        <v>0</v>
      </c>
      <c r="BS178" s="171">
        <f ca="1">IF(OR($D178&lt;&gt;"Serviço",AND(AUTOEVENTO="Manual",$M178=$A$15)),0,
         IF(OFFSET(CRONOPLE!$F$15,$M178-$A$15,BS$13)=0,10^12,OFFSET(CRONOPLE!$F$15,$M178-$A$15,BS$13)))</f>
        <v>1</v>
      </c>
      <c r="BT178" s="171">
        <f ca="1">IF(OR($D178&lt;&gt;"Serviço",AND(AUTOEVENTO="Manual",$M178=$A$15)),0,
         IF(OFFSET(CRONOPLE!$F$15,$M178-$A$15,BT$13)=0,10^12,OFFSET(CRONOPLE!$F$15,$M178-$A$15,BT$13)))</f>
        <v>2</v>
      </c>
      <c r="BU178" s="171">
        <f ca="1">IF(OR($D178&lt;&gt;"Serviço",AND(AUTOEVENTO="Manual",$M178=$A$15)),0,
         IF(OFFSET(CRONOPLE!$F$15,$M178-$A$15,BU$13)=0,10^12,OFFSET(CRONOPLE!$F$15,$M178-$A$15,BU$13)))</f>
        <v>3</v>
      </c>
      <c r="BV178" s="171">
        <f ca="1">IF(OR($D178&lt;&gt;"Serviço",AND(AUTOEVENTO="Manual",$M178=$A$15)),0,
         IF(OFFSET(CRONOPLE!$F$15,$M178-$A$15,BV$13)=0,10^12,OFFSET(CRONOPLE!$F$15,$M178-$A$15,BV$13)))</f>
        <v>4</v>
      </c>
      <c r="BW178" s="171">
        <f ca="1">IF(OR($D178&lt;&gt;"Serviço",AND(AUTOEVENTO="Manual",$M178=$A$15)),0,
         IF(OFFSET(CRONOPLE!$F$15,$M178-$A$15,BW$13)=0,10^12,OFFSET(CRONOPLE!$F$15,$M178-$A$15,BW$13)))</f>
        <v>5</v>
      </c>
      <c r="BX178" s="171">
        <f ca="1">IF(OR($D178&lt;&gt;"Serviço",AND(AUTOEVENTO="Manual",$M178=$A$15)),0,
         IF(OFFSET(CRONOPLE!$F$15,$M178-$A$15,BX$13)=0,10^12,OFFSET(CRONOPLE!$F$15,$M178-$A$15,BX$13)))</f>
        <v>6</v>
      </c>
      <c r="BY178" s="171">
        <f ca="1">IF(OR($D178&lt;&gt;"Serviço",AND(AUTOEVENTO="Manual",$M178=$A$15)),0,
         IF(OFFSET(CRONOPLE!$F$15,$M178-$A$15,BY$13)=0,10^12,OFFSET(CRONOPLE!$F$15,$M178-$A$15,BY$13)))</f>
        <v>7</v>
      </c>
      <c r="BZ178" s="171">
        <f ca="1">IF(OR($D178&lt;&gt;"Serviço",AND(AUTOEVENTO="Manual",$M178=$A$15)),0,
         IF(OFFSET(CRONOPLE!$F$15,$M178-$A$15,BZ$13)=0,10^12,OFFSET(CRONOPLE!$F$15,$M178-$A$15,BZ$13)))</f>
        <v>8</v>
      </c>
      <c r="CA178" s="171">
        <f ca="1">IF(OR($D178&lt;&gt;"Serviço",AND(AUTOEVENTO="Manual",$M178=$A$15)),0,
         IF(OFFSET(CRONOPLE!$F$15,$M178-$A$15,CA$13)=0,10^12,OFFSET(CRONOPLE!$F$15,$M178-$A$15,CA$13)))</f>
        <v>9</v>
      </c>
      <c r="CB178" s="171">
        <f ca="1">IF(OR($D178&lt;&gt;"Serviço",AND(AUTOEVENTO="Manual",$M178=$A$15)),0,
         IF(OFFSET(CRONOPLE!$F$15,$M178-$A$15,CB$13)=0,10^12,OFFSET(CRONOPLE!$F$15,$M178-$A$15,CB$13)))</f>
        <v>10</v>
      </c>
      <c r="CC178" s="171">
        <f ca="1">IF(OR($D178&lt;&gt;"Serviço",AND(AUTOEVENTO="Manual",$M178=$A$15)),0,
         IF(OFFSET(CRONOPLE!$F$15,$M178-$A$15,CC$13)=0,10^12,OFFSET(CRONOPLE!$F$15,$M178-$A$15,CC$13)))</f>
        <v>11</v>
      </c>
      <c r="CD178" s="171">
        <f ca="1">IF(OR($D178&lt;&gt;"Serviço",AND(AUTOEVENTO="Manual",$M178=$A$15)),0,
         IF(OFFSET(CRONOPLE!$F$15,$M178-$A$15,CD$13)=0,10^12,OFFSET(CRONOPLE!$F$15,$M178-$A$15,CD$13)))</f>
        <v>12</v>
      </c>
      <c r="CE178" s="171">
        <f ca="1">IF(OR($D178&lt;&gt;"Serviço",AND(AUTOEVENTO="Manual",$M178=$A$15)),0,
         IF(OFFSET(CRONOPLE!$F$15,$M178-$A$15,CE$13)=0,10^12,OFFSET(CRONOPLE!$F$15,$M178-$A$15,CE$13)))</f>
        <v>13</v>
      </c>
      <c r="CF178" s="171">
        <f ca="1">IF(OR($D178&lt;&gt;"Serviço",AND(AUTOEVENTO="Manual",$M178=$A$15)),0,
         IF(OFFSET(CRONOPLE!$F$15,$M178-$A$15,CF$13)=0,10^12,OFFSET(CRONOPLE!$F$15,$M178-$A$15,CF$13)))</f>
        <v>14</v>
      </c>
      <c r="CG178" s="171">
        <f ca="1">IF(OR($D178&lt;&gt;"Serviço",AND(AUTOEVENTO="Manual",$M178=$A$15)),0,
         IF(OFFSET(CRONOPLE!$F$15,$M178-$A$15,CG$13)=0,10^12,OFFSET(CRONOPLE!$F$15,$M178-$A$15,CG$13)))</f>
        <v>15</v>
      </c>
      <c r="CH178" s="171">
        <f ca="1">IF(OR($D178&lt;&gt;"Serviço",AND(AUTOEVENTO="Manual",$M178=$A$15)),0,
         IF(OFFSET(CRONOPLE!$F$15,$M178-$A$15,CH$13)=0,10^12,OFFSET(CRONOPLE!$F$15,$M178-$A$15,CH$13)))</f>
        <v>16</v>
      </c>
      <c r="CI178" s="171">
        <f ca="1">IF(OR($D178&lt;&gt;"Serviço",AND(AUTOEVENTO="Manual",$M178=$A$15)),0,
         IF(OFFSET(CRONOPLE!$F$15,$M178-$A$15,CI$13)=0,10^12,OFFSET(CRONOPLE!$F$15,$M178-$A$15,CI$13)))</f>
        <v>17</v>
      </c>
      <c r="CJ178" s="171">
        <f ca="1">IF(OR($D178&lt;&gt;"Serviço",AND(AUTOEVENTO="Manual",$M178=$A$15)),0,
         IF(OFFSET(CRONOPLE!$F$15,$M178-$A$15,CJ$13)=0,10^12,OFFSET(CRONOPLE!$F$15,$M178-$A$15,CJ$13)))</f>
        <v>18</v>
      </c>
      <c r="CK178" s="171">
        <f ca="1">IF(OR($D178&lt;&gt;"Serviço",AND(AUTOEVENTO="Manual",$M178=$A$15)),0,
         IF(OFFSET(CRONOPLE!$F$15,$M178-$A$15,CK$13)=0,10^12,OFFSET(CRONOPLE!$F$15,$M178-$A$15,CK$13)))</f>
        <v>19</v>
      </c>
      <c r="CL178" s="171">
        <f ca="1">IF(OR($D178&lt;&gt;"Serviço",AND(AUTOEVENTO="Manual",$M178=$A$15)),0,
         IF(OFFSET(CRONOPLE!$F$15,$M178-$A$15,CL$13)=0,10^12,OFFSET(CRONOPLE!$F$15,$M178-$A$15,CL$13)))</f>
        <v>20</v>
      </c>
      <c r="CM178" s="171">
        <f ca="1">IF(OR($D178&lt;&gt;"Serviço",AND(AUTOEVENTO="Manual",$M178=$A$15)),0,
         IF(OFFSET(CRONOPLE!$F$15,$M178-$A$15,CM$13)=0,10^12,OFFSET(CRONOPLE!$F$15,$M178-$A$15,CM$13)))</f>
        <v>1000000000000</v>
      </c>
      <c r="CN178" s="171">
        <f ca="1">IF(OR($D178&lt;&gt;"Serviço",AND(AUTOEVENTO="Manual",$M178=$A$15)),0,
         IF(OFFSET(CRONOPLE!$F$15,$M178-$A$15,CN$13)=0,10^12,OFFSET(CRONOPLE!$F$15,$M178-$A$15,CN$13)))</f>
        <v>1000000000000</v>
      </c>
      <c r="CO178" s="171">
        <f ca="1">IF(OR($D178&lt;&gt;"Serviço",AND(AUTOEVENTO="Manual",$M178=$A$15)),0,
         IF(OFFSET(CRONOPLE!$F$15,$M178-$A$15,CO$13)=0,10^12,OFFSET(CRONOPLE!$F$15,$M178-$A$15,CO$13)))</f>
        <v>1000000000000</v>
      </c>
      <c r="CP178" s="171">
        <f ca="1">IF(OR($D178&lt;&gt;"Serviço",AND(AUTOEVENTO="Manual",$M178=$A$15)),0,
         IF(OFFSET(CRONOPLE!$F$15,$M178-$A$15,CP$13)=0,10^12,OFFSET(CRONOPLE!$F$15,$M178-$A$15,CP$13)))</f>
        <v>1000000000000</v>
      </c>
      <c r="CQ178" s="171">
        <f ca="1">IF(OR($D178&lt;&gt;"Serviço",AND(AUTOEVENTO="Manual",$M178=$A$15)),0,
         IF(OFFSET(CRONOPLE!$F$15,$M178-$A$15,CQ$13)=0,10^12,OFFSET(CRONOPLE!$F$15,$M178-$A$15,CQ$13)))</f>
        <v>1000000000000</v>
      </c>
      <c r="CR178" s="171">
        <f ca="1">IF(OR($D178&lt;&gt;"Serviço",AND(AUTOEVENTO="Manual",$M178=$A$15)),0,
         IF(OFFSET(CRONOPLE!$F$15,$M178-$A$15,CR$13)=0,10^12,OFFSET(CRONOPLE!$F$15,$M178-$A$15,CR$13)))</f>
        <v>1000000000000</v>
      </c>
      <c r="CT178" s="172" cm="1">
        <f t="array" aca="1" ref="CT178" ca="1">IF(OR($D178&lt;&gt;"Serviço",AND(AUTOEVENTO="Manual",$M178=$A$15),$M178&gt;(ROW(PLE.lastrow)-ROW(PLE.firstrow))),0,
           IF(OFFSET(PLE!$G$15,$M178-$A$15,CT$13)="",10^12,OFFSET(PLE!$G$15,$M178-$A$15,CT$13)))</f>
        <v>1000000000000</v>
      </c>
      <c r="CU178" s="172" cm="1">
        <f t="array" aca="1" ref="CU178" ca="1">IF(OR($D178&lt;&gt;"Serviço",AND(AUTOEVENTO="Manual",$M178=$A$15),$M178&gt;(ROW(PLE.lastrow)-ROW(PLE.firstrow))),0,
           IF(OFFSET(PLE!$G$15,$M178-$A$15,CU$13)="",10^12,OFFSET(PLE!$G$15,$M178-$A$15,CU$13)))</f>
        <v>1000000000000</v>
      </c>
      <c r="CV178" s="172" cm="1">
        <f t="array" aca="1" ref="CV178" ca="1">IF(OR($D178&lt;&gt;"Serviço",AND(AUTOEVENTO="Manual",$M178=$A$15),$M178&gt;(ROW(PLE.lastrow)-ROW(PLE.firstrow))),0,
           IF(OFFSET(PLE!$G$15,$M178-$A$15,CV$13)="",10^12,OFFSET(PLE!$G$15,$M178-$A$15,CV$13)))</f>
        <v>1000000000000</v>
      </c>
      <c r="CW178" s="172" cm="1">
        <f t="array" aca="1" ref="CW178" ca="1">IF(OR($D178&lt;&gt;"Serviço",AND(AUTOEVENTO="Manual",$M178=$A$15),$M178&gt;(ROW(PLE.lastrow)-ROW(PLE.firstrow))),0,
           IF(OFFSET(PLE!$G$15,$M178-$A$15,CW$13)="",10^12,OFFSET(PLE!$G$15,$M178-$A$15,CW$13)))</f>
        <v>1000000000000</v>
      </c>
      <c r="CX178" s="172" cm="1">
        <f t="array" aca="1" ref="CX178" ca="1">IF(OR($D178&lt;&gt;"Serviço",AND(AUTOEVENTO="Manual",$M178=$A$15),$M178&gt;(ROW(PLE.lastrow)-ROW(PLE.firstrow))),0,
           IF(OFFSET(PLE!$G$15,$M178-$A$15,CX$13)="",10^12,OFFSET(PLE!$G$15,$M178-$A$15,CX$13)))</f>
        <v>1000000000000</v>
      </c>
      <c r="CY178" s="172" cm="1">
        <f t="array" aca="1" ref="CY178" ca="1">IF(OR($D178&lt;&gt;"Serviço",AND(AUTOEVENTO="Manual",$M178=$A$15),$M178&gt;(ROW(PLE.lastrow)-ROW(PLE.firstrow))),0,
           IF(OFFSET(PLE!$G$15,$M178-$A$15,CY$13)="",10^12,OFFSET(PLE!$G$15,$M178-$A$15,CY$13)))</f>
        <v>1000000000000</v>
      </c>
      <c r="CZ178" s="172" cm="1">
        <f t="array" aca="1" ref="CZ178" ca="1">IF(OR($D178&lt;&gt;"Serviço",AND(AUTOEVENTO="Manual",$M178=$A$15),$M178&gt;(ROW(PLE.lastrow)-ROW(PLE.firstrow))),0,
           IF(OFFSET(PLE!$G$15,$M178-$A$15,CZ$13)="",10^12,OFFSET(PLE!$G$15,$M178-$A$15,CZ$13)))</f>
        <v>1000000000000</v>
      </c>
      <c r="DA178" s="172" cm="1">
        <f t="array" aca="1" ref="DA178" ca="1">IF(OR($D178&lt;&gt;"Serviço",AND(AUTOEVENTO="Manual",$M178=$A$15),$M178&gt;(ROW(PLE.lastrow)-ROW(PLE.firstrow))),0,
           IF(OFFSET(PLE!$G$15,$M178-$A$15,DA$13)="",10^12,OFFSET(PLE!$G$15,$M178-$A$15,DA$13)))</f>
        <v>1000000000000</v>
      </c>
      <c r="DB178" s="172" cm="1">
        <f t="array" aca="1" ref="DB178" ca="1">IF(OR($D178&lt;&gt;"Serviço",AND(AUTOEVENTO="Manual",$M178=$A$15),$M178&gt;(ROW(PLE.lastrow)-ROW(PLE.firstrow))),0,
           IF(OFFSET(PLE!$G$15,$M178-$A$15,DB$13)="",10^12,OFFSET(PLE!$G$15,$M178-$A$15,DB$13)))</f>
        <v>1000000000000</v>
      </c>
      <c r="DC178" s="172" cm="1">
        <f t="array" aca="1" ref="DC178" ca="1">IF(OR($D178&lt;&gt;"Serviço",AND(AUTOEVENTO="Manual",$M178=$A$15),$M178&gt;(ROW(PLE.lastrow)-ROW(PLE.firstrow))),0,
           IF(OFFSET(PLE!$G$15,$M178-$A$15,DC$13)="",10^12,OFFSET(PLE!$G$15,$M178-$A$15,DC$13)))</f>
        <v>1000000000000</v>
      </c>
      <c r="DD178" s="172" cm="1">
        <f t="array" aca="1" ref="DD178" ca="1">IF(OR($D178&lt;&gt;"Serviço",AND(AUTOEVENTO="Manual",$M178=$A$15),$M178&gt;(ROW(PLE.lastrow)-ROW(PLE.firstrow))),0,
           IF(OFFSET(PLE!$G$15,$M178-$A$15,DD$13)="",10^12,OFFSET(PLE!$G$15,$M178-$A$15,DD$13)))</f>
        <v>1000000000000</v>
      </c>
      <c r="DE178" s="172" cm="1">
        <f t="array" aca="1" ref="DE178" ca="1">IF(OR($D178&lt;&gt;"Serviço",AND(AUTOEVENTO="Manual",$M178=$A$15),$M178&gt;(ROW(PLE.lastrow)-ROW(PLE.firstrow))),0,
           IF(OFFSET(PLE!$G$15,$M178-$A$15,DE$13)="",10^12,OFFSET(PLE!$G$15,$M178-$A$15,DE$13)))</f>
        <v>1000000000000</v>
      </c>
      <c r="DF178" s="172" cm="1">
        <f t="array" aca="1" ref="DF178" ca="1">IF(OR($D178&lt;&gt;"Serviço",AND(AUTOEVENTO="Manual",$M178=$A$15),$M178&gt;(ROW(PLE.lastrow)-ROW(PLE.firstrow))),0,
           IF(OFFSET(PLE!$G$15,$M178-$A$15,DF$13)="",10^12,OFFSET(PLE!$G$15,$M178-$A$15,DF$13)))</f>
        <v>1000000000000</v>
      </c>
      <c r="DG178" s="172" cm="1">
        <f t="array" aca="1" ref="DG178" ca="1">IF(OR($D178&lt;&gt;"Serviço",AND(AUTOEVENTO="Manual",$M178=$A$15),$M178&gt;(ROW(PLE.lastrow)-ROW(PLE.firstrow))),0,
           IF(OFFSET(PLE!$G$15,$M178-$A$15,DG$13)="",10^12,OFFSET(PLE!$G$15,$M178-$A$15,DG$13)))</f>
        <v>1000000000000</v>
      </c>
      <c r="DH178" s="172" cm="1">
        <f t="array" aca="1" ref="DH178" ca="1">IF(OR($D178&lt;&gt;"Serviço",AND(AUTOEVENTO="Manual",$M178=$A$15),$M178&gt;(ROW(PLE.lastrow)-ROW(PLE.firstrow))),0,
           IF(OFFSET(PLE!$G$15,$M178-$A$15,DH$13)="",10^12,OFFSET(PLE!$G$15,$M178-$A$15,DH$13)))</f>
        <v>1000000000000</v>
      </c>
      <c r="DI178" s="172" cm="1">
        <f t="array" aca="1" ref="DI178" ca="1">IF(OR($D178&lt;&gt;"Serviço",AND(AUTOEVENTO="Manual",$M178=$A$15),$M178&gt;(ROW(PLE.lastrow)-ROW(PLE.firstrow))),0,
           IF(OFFSET(PLE!$G$15,$M178-$A$15,DI$13)="",10^12,OFFSET(PLE!$G$15,$M178-$A$15,DI$13)))</f>
        <v>1000000000000</v>
      </c>
      <c r="DJ178" s="172" cm="1">
        <f t="array" aca="1" ref="DJ178" ca="1">IF(OR($D178&lt;&gt;"Serviço",AND(AUTOEVENTO="Manual",$M178=$A$15),$M178&gt;(ROW(PLE.lastrow)-ROW(PLE.firstrow))),0,
           IF(OFFSET(PLE!$G$15,$M178-$A$15,DJ$13)="",10^12,OFFSET(PLE!$G$15,$M178-$A$15,DJ$13)))</f>
        <v>1000000000000</v>
      </c>
      <c r="DK178" s="172" cm="1">
        <f t="array" aca="1" ref="DK178" ca="1">IF(OR($D178&lt;&gt;"Serviço",AND(AUTOEVENTO="Manual",$M178=$A$15),$M178&gt;(ROW(PLE.lastrow)-ROW(PLE.firstrow))),0,
           IF(OFFSET(PLE!$G$15,$M178-$A$15,DK$13)="",10^12,OFFSET(PLE!$G$15,$M178-$A$15,DK$13)))</f>
        <v>1000000000000</v>
      </c>
      <c r="DL178" s="172" cm="1">
        <f t="array" aca="1" ref="DL178" ca="1">IF(OR($D178&lt;&gt;"Serviço",AND(AUTOEVENTO="Manual",$M178=$A$15),$M178&gt;(ROW(PLE.lastrow)-ROW(PLE.firstrow))),0,
           IF(OFFSET(PLE!$G$15,$M178-$A$15,DL$13)="",10^12,OFFSET(PLE!$G$15,$M178-$A$15,DL$13)))</f>
        <v>1000000000000</v>
      </c>
      <c r="DM178" s="172" cm="1">
        <f t="array" aca="1" ref="DM178" ca="1">IF(OR($D178&lt;&gt;"Serviço",AND(AUTOEVENTO="Manual",$M178=$A$15),$M178&gt;(ROW(PLE.lastrow)-ROW(PLE.firstrow))),0,
           IF(OFFSET(PLE!$G$15,$M178-$A$15,DM$13)="",10^12,OFFSET(PLE!$G$15,$M178-$A$15,DM$13)))</f>
        <v>1000000000000</v>
      </c>
      <c r="DN178" s="172" cm="1">
        <f t="array" aca="1" ref="DN178" ca="1">IF(OR($D178&lt;&gt;"Serviço",AND(AUTOEVENTO="Manual",$M178=$A$15),$M178&gt;(ROW(PLE.lastrow)-ROW(PLE.firstrow))),0,
           IF(OFFSET(PLE!$G$15,$M178-$A$15,DN$13)="",10^12,OFFSET(PLE!$G$15,$M178-$A$15,DN$13)))</f>
        <v>1000000000000</v>
      </c>
      <c r="DO178" s="172" cm="1">
        <f t="array" aca="1" ref="DO178" ca="1">IF(OR($D178&lt;&gt;"Serviço",AND(AUTOEVENTO="Manual",$M178=$A$15),$M178&gt;(ROW(PLE.lastrow)-ROW(PLE.firstrow))),0,
           IF(OFFSET(PLE!$G$15,$M178-$A$15,DO$13)="",10^12,OFFSET(PLE!$G$15,$M178-$A$15,DO$13)))</f>
        <v>1000000000000</v>
      </c>
      <c r="DP178" s="172" cm="1">
        <f t="array" aca="1" ref="DP178" ca="1">IF(OR($D178&lt;&gt;"Serviço",AND(AUTOEVENTO="Manual",$M178=$A$15),$M178&gt;(ROW(PLE.lastrow)-ROW(PLE.firstrow))),0,
           IF(OFFSET(PLE!$G$15,$M178-$A$15,DP$13)="",10^12,OFFSET(PLE!$G$15,$M178-$A$15,DP$13)))</f>
        <v>1000000000000</v>
      </c>
      <c r="DQ178" s="172" cm="1">
        <f t="array" aca="1" ref="DQ178" ca="1">IF(OR($D178&lt;&gt;"Serviço",AND(AUTOEVENTO="Manual",$M178=$A$15),$M178&gt;(ROW(PLE.lastrow)-ROW(PLE.firstrow))),0,
           IF(OFFSET(PLE!$G$15,$M178-$A$15,DQ$13)="",10^12,OFFSET(PLE!$G$15,$M178-$A$15,DQ$13)))</f>
        <v>1000000000000</v>
      </c>
      <c r="DR178" s="172" cm="1">
        <f t="array" aca="1" ref="DR178" ca="1">IF(OR($D178&lt;&gt;"Serviço",AND(AUTOEVENTO="Manual",$M178=$A$15),$M178&gt;(ROW(PLE.lastrow)-ROW(PLE.firstrow))),0,
           IF(OFFSET(PLE!$G$15,$M178-$A$15,DR$13)="",10^12,OFFSET(PLE!$G$15,$M178-$A$15,DR$13)))</f>
        <v>1000000000000</v>
      </c>
      <c r="DS178" s="172" cm="1">
        <f t="array" aca="1" ref="DS178" ca="1">IF(OR($D178&lt;&gt;"Serviço",AND(AUTOEVENTO="Manual",$M178=$A$15),$M178&gt;(ROW(PLE.lastrow)-ROW(PLE.firstrow))),0,
           IF(OFFSET(PLE!$G$15,$M178-$A$15,DS$13)="",10^12,OFFSET(PLE!$G$15,$M178-$A$15,DS$13)))</f>
        <v>1000000000000</v>
      </c>
    </row>
    <row r="179" spans="1:123" ht="25.5" x14ac:dyDescent="0.2">
      <c r="A179" s="7">
        <f t="shared" ca="1" si="16"/>
        <v>9</v>
      </c>
      <c r="B179" s="7" t="str">
        <f ca="1">OFFSET(ORÇAMENTO!C$15,$L179,0)</f>
        <v>S</v>
      </c>
      <c r="C179" s="7" t="str">
        <f ca="1">OFFSET(ORÇAMENTO!L$15,$L179,0)</f>
        <v/>
      </c>
      <c r="D179" s="116" t="str">
        <f ca="1">OFFSET(ORÇAMENTO!N$15,$L179,0)</f>
        <v>Serviço</v>
      </c>
      <c r="E179" s="117" t="str">
        <f ca="1">OFFSET(ORÇAMENTO!O$15,$L179,0)</f>
        <v>-</v>
      </c>
      <c r="F179" s="163" t="str">
        <f ca="1">OFFSET(ORÇAMENTO!R$15,$L179,0)</f>
        <v>(Código não identificado nas referências)</v>
      </c>
      <c r="G179" s="164" t="str">
        <f ca="1">IF($D179&lt;&gt;"Serviço","",OFFSET(ORÇAMENTO!S$15,$L179,0))</f>
        <v>-</v>
      </c>
      <c r="H179" s="122" cm="1">
        <f t="array" aca="1" ref="H179" ca="1">IF($D179&lt;&gt;"Serviço",0,IF(ACOMPANHAMENTO="BM",ROUND(OFFSET(ORÇAMENTO!AJ$15,$L179,0),15-13*ORÇAMENTO!$AF$7),IF(IFERROR(CÁLCULO.FrentesPreenchidas,0)=0,0,SUM(ROUND(OFFSET($P179,0,1,1,CÁLCULO.FrentesPreenchidas),15-13*ORÇAMENTO!$AF$7)))))</f>
        <v>80</v>
      </c>
      <c r="I179" s="468" t="s">
        <v>1235</v>
      </c>
      <c r="J179" s="651" t="str" cm="1">
        <f t="array" aca="1" ref="J179" ca="1">IF(OR(B179&lt;&gt;"S",CÁLCULO.FrentesPreenchidas=0),"",IF(AND(ACOMPANHAMENTO="PLE",AUTOEVENTO="Manual",OR(H179&gt;0,ORÇAMENTO!AC179="QUANT."),OR(K179="",M179=0,N179="")),"►E",IF(AND(ACOMPANHAMENTO="PLE",ORÇAMENTO!AC179="QUANT."),"►Q",IF(AND(ACOMPANHAMENTO="PLE",H179&lt;&gt;SUMPRODUCT(($Q$1:$AQ$1=1)*ROUND(Q179:AQ179,15))),"►S",IF(AND(COUNTIF($P$11:$AQ$11,"▼")=0,H179&gt;0,I179=""),"◄M","")))))</f>
        <v/>
      </c>
      <c r="K179" s="652" t="s">
        <v>1257</v>
      </c>
      <c r="L179" s="165">
        <f t="shared" ca="1" si="17"/>
        <v>164</v>
      </c>
      <c r="M179" s="166">
        <f ca="1">IF($D179&lt;&gt;"Serviço","",
          IF(AUTOEVENTO="manual",$A179,
                IF(ISERROR(MATCH($A179,$A$15:OFFSET($A179,-1,0),0)),MAX($M$15:OFFSET(M179,-1,0))+1,
                      INDEX($M$15:OFFSET(M179,-1,0),MATCH($A179,$A$15:OFFSET($A179,-1,0),0)))))</f>
        <v>9</v>
      </c>
      <c r="N179" s="167" t="str">
        <f ca="1">IF($D179&lt;&gt;"Serviço","",
         IF(AUTOEVENTO="Manual",
                IF($A179=0,"&lt;-- defina o número do agrupador",
                       OFFSET(EVENTOS!$D$15,$A179-$A$15,0)),
                OFFSET($F$15,$A179,0)))</f>
        <v>INSTALAÇÕES</v>
      </c>
      <c r="O179" s="168"/>
      <c r="Q179" s="168">
        <v>4</v>
      </c>
      <c r="R179" s="169">
        <v>4</v>
      </c>
      <c r="S179" s="169">
        <v>4</v>
      </c>
      <c r="T179" s="169">
        <v>4</v>
      </c>
      <c r="U179" s="169">
        <v>4</v>
      </c>
      <c r="V179" s="169">
        <v>4</v>
      </c>
      <c r="W179" s="169">
        <v>4</v>
      </c>
      <c r="X179" s="169">
        <v>4</v>
      </c>
      <c r="Y179" s="169">
        <v>4</v>
      </c>
      <c r="Z179" s="170">
        <v>4</v>
      </c>
      <c r="AA179" s="169">
        <v>4</v>
      </c>
      <c r="AB179" s="169">
        <v>4</v>
      </c>
      <c r="AC179" s="169">
        <v>4</v>
      </c>
      <c r="AD179" s="169">
        <v>4</v>
      </c>
      <c r="AE179" s="169">
        <v>4</v>
      </c>
      <c r="AF179" s="169">
        <v>4</v>
      </c>
      <c r="AG179" s="169">
        <v>4</v>
      </c>
      <c r="AH179" s="170">
        <v>4</v>
      </c>
      <c r="AI179" s="169">
        <v>4</v>
      </c>
      <c r="AJ179" s="169">
        <v>4</v>
      </c>
      <c r="AK179" s="169"/>
      <c r="AL179" s="169"/>
      <c r="AM179" s="169"/>
      <c r="AN179" s="169"/>
      <c r="AO179" s="169"/>
      <c r="AP179" s="170"/>
      <c r="AR179" s="453">
        <f ca="1">IF(AND($D179="Serviço",AR$12&lt;&gt;0,$H179&gt;0,OR(AUTOEVENTO&lt;&gt;"manual",$M179&lt;&gt;$A$15)),
        IF(Import.TipoArredondamento&lt;&gt;"TransfereGOV",
              ROUND(OFFSET($P179,0,AR$13),15-13*ORÇAMENTO!$AF$7)/$H179*OFFSET(ORÇAMENTO!$X$15,ROW(AR179)-ROW(AR$15),0),
              ROUND(ROUND(OFFSET($P179,0,AR$13),15-13*ORÇAMENTO!$AF$7)*OFFSET(ORÇAMENTO!$W$15,ROW(AR179)-ROW(AR$15),0),15-13*ORÇAMENTO!$AF$11)),
         0)</f>
        <v>0</v>
      </c>
      <c r="AS179" s="453">
        <f ca="1">IF(AND($D179="Serviço",AS$12&lt;&gt;0,$H179&gt;0,OR(AUTOEVENTO&lt;&gt;"manual",$M179&lt;&gt;$A$15)),
        IF(Import.TipoArredondamento&lt;&gt;"TransfereGOV",
              ROUND(OFFSET($P179,0,AS$13),15-13*ORÇAMENTO!$AF$7)/$H179*OFFSET(ORÇAMENTO!$X$15,ROW(AS179)-ROW(AS$15),0),
              ROUND(ROUND(OFFSET($P179,0,AS$13),15-13*ORÇAMENTO!$AF$7)*OFFSET(ORÇAMENTO!$W$15,ROW(AS179)-ROW(AS$15),0),15-13*ORÇAMENTO!$AF$11)),
         0)</f>
        <v>0</v>
      </c>
      <c r="AT179" s="453">
        <f ca="1">IF(AND($D179="Serviço",AT$12&lt;&gt;0,$H179&gt;0,OR(AUTOEVENTO&lt;&gt;"manual",$M179&lt;&gt;$A$15)),
        IF(Import.TipoArredondamento&lt;&gt;"TransfereGOV",
              ROUND(OFFSET($P179,0,AT$13),15-13*ORÇAMENTO!$AF$7)/$H179*OFFSET(ORÇAMENTO!$X$15,ROW(AT179)-ROW(AT$15),0),
              ROUND(ROUND(OFFSET($P179,0,AT$13),15-13*ORÇAMENTO!$AF$7)*OFFSET(ORÇAMENTO!$W$15,ROW(AT179)-ROW(AT$15),0),15-13*ORÇAMENTO!$AF$11)),
         0)</f>
        <v>0</v>
      </c>
      <c r="AU179" s="453">
        <f ca="1">IF(AND($D179="Serviço",AU$12&lt;&gt;0,$H179&gt;0,OR(AUTOEVENTO&lt;&gt;"manual",$M179&lt;&gt;$A$15)),
        IF(Import.TipoArredondamento&lt;&gt;"TransfereGOV",
              ROUND(OFFSET($P179,0,AU$13),15-13*ORÇAMENTO!$AF$7)/$H179*OFFSET(ORÇAMENTO!$X$15,ROW(AU179)-ROW(AU$15),0),
              ROUND(ROUND(OFFSET($P179,0,AU$13),15-13*ORÇAMENTO!$AF$7)*OFFSET(ORÇAMENTO!$W$15,ROW(AU179)-ROW(AU$15),0),15-13*ORÇAMENTO!$AF$11)),
         0)</f>
        <v>0</v>
      </c>
      <c r="AV179" s="453">
        <f ca="1">IF(AND($D179="Serviço",AV$12&lt;&gt;0,$H179&gt;0,OR(AUTOEVENTO&lt;&gt;"manual",$M179&lt;&gt;$A$15)),
        IF(Import.TipoArredondamento&lt;&gt;"TransfereGOV",
              ROUND(OFFSET($P179,0,AV$13),15-13*ORÇAMENTO!$AF$7)/$H179*OFFSET(ORÇAMENTO!$X$15,ROW(AV179)-ROW(AV$15),0),
              ROUND(ROUND(OFFSET($P179,0,AV$13),15-13*ORÇAMENTO!$AF$7)*OFFSET(ORÇAMENTO!$W$15,ROW(AV179)-ROW(AV$15),0),15-13*ORÇAMENTO!$AF$11)),
         0)</f>
        <v>0</v>
      </c>
      <c r="AW179" s="453">
        <f ca="1">IF(AND($D179="Serviço",AW$12&lt;&gt;0,$H179&gt;0,OR(AUTOEVENTO&lt;&gt;"manual",$M179&lt;&gt;$A$15)),
        IF(Import.TipoArredondamento&lt;&gt;"TransfereGOV",
              ROUND(OFFSET($P179,0,AW$13),15-13*ORÇAMENTO!$AF$7)/$H179*OFFSET(ORÇAMENTO!$X$15,ROW(AW179)-ROW(AW$15),0),
              ROUND(ROUND(OFFSET($P179,0,AW$13),15-13*ORÇAMENTO!$AF$7)*OFFSET(ORÇAMENTO!$W$15,ROW(AW179)-ROW(AW$15),0),15-13*ORÇAMENTO!$AF$11)),
         0)</f>
        <v>0</v>
      </c>
      <c r="AX179" s="453">
        <f ca="1">IF(AND($D179="Serviço",AX$12&lt;&gt;0,$H179&gt;0,OR(AUTOEVENTO&lt;&gt;"manual",$M179&lt;&gt;$A$15)),
        IF(Import.TipoArredondamento&lt;&gt;"TransfereGOV",
              ROUND(OFFSET($P179,0,AX$13),15-13*ORÇAMENTO!$AF$7)/$H179*OFFSET(ORÇAMENTO!$X$15,ROW(AX179)-ROW(AX$15),0),
              ROUND(ROUND(OFFSET($P179,0,AX$13),15-13*ORÇAMENTO!$AF$7)*OFFSET(ORÇAMENTO!$W$15,ROW(AX179)-ROW(AX$15),0),15-13*ORÇAMENTO!$AF$11)),
         0)</f>
        <v>0</v>
      </c>
      <c r="AY179" s="453">
        <f ca="1">IF(AND($D179="Serviço",AY$12&lt;&gt;0,$H179&gt;0,OR(AUTOEVENTO&lt;&gt;"manual",$M179&lt;&gt;$A$15)),
        IF(Import.TipoArredondamento&lt;&gt;"TransfereGOV",
              ROUND(OFFSET($P179,0,AY$13),15-13*ORÇAMENTO!$AF$7)/$H179*OFFSET(ORÇAMENTO!$X$15,ROW(AY179)-ROW(AY$15),0),
              ROUND(ROUND(OFFSET($P179,0,AY$13),15-13*ORÇAMENTO!$AF$7)*OFFSET(ORÇAMENTO!$W$15,ROW(AY179)-ROW(AY$15),0),15-13*ORÇAMENTO!$AF$11)),
         0)</f>
        <v>0</v>
      </c>
      <c r="AZ179" s="453">
        <f ca="1">IF(AND($D179="Serviço",AZ$12&lt;&gt;0,$H179&gt;0,OR(AUTOEVENTO&lt;&gt;"manual",$M179&lt;&gt;$A$15)),
        IF(Import.TipoArredondamento&lt;&gt;"TransfereGOV",
              ROUND(OFFSET($P179,0,AZ$13),15-13*ORÇAMENTO!$AF$7)/$H179*OFFSET(ORÇAMENTO!$X$15,ROW(AZ179)-ROW(AZ$15),0),
              ROUND(ROUND(OFFSET($P179,0,AZ$13),15-13*ORÇAMENTO!$AF$7)*OFFSET(ORÇAMENTO!$W$15,ROW(AZ179)-ROW(AZ$15),0),15-13*ORÇAMENTO!$AF$11)),
         0)</f>
        <v>0</v>
      </c>
      <c r="BA179" s="453">
        <f ca="1">IF(AND($D179="Serviço",BA$12&lt;&gt;0,$H179&gt;0,OR(AUTOEVENTO&lt;&gt;"manual",$M179&lt;&gt;$A$15)),
        IF(Import.TipoArredondamento&lt;&gt;"TransfereGOV",
              ROUND(OFFSET($P179,0,BA$13),15-13*ORÇAMENTO!$AF$7)/$H179*OFFSET(ORÇAMENTO!$X$15,ROW(BA179)-ROW(BA$15),0),
              ROUND(ROUND(OFFSET($P179,0,BA$13),15-13*ORÇAMENTO!$AF$7)*OFFSET(ORÇAMENTO!$W$15,ROW(BA179)-ROW(BA$15),0),15-13*ORÇAMENTO!$AF$11)),
         0)</f>
        <v>0</v>
      </c>
      <c r="BB179" s="453">
        <f ca="1">IF(AND($D179="Serviço",BB$12&lt;&gt;0,$H179&gt;0,OR(AUTOEVENTO&lt;&gt;"manual",$M179&lt;&gt;$A$15)),
        IF(Import.TipoArredondamento&lt;&gt;"TransfereGOV",
              ROUND(OFFSET($P179,0,BB$13),15-13*ORÇAMENTO!$AF$7)/$H179*OFFSET(ORÇAMENTO!$X$15,ROW(BB179)-ROW(BB$15),0),
              ROUND(ROUND(OFFSET($P179,0,BB$13),15-13*ORÇAMENTO!$AF$7)*OFFSET(ORÇAMENTO!$W$15,ROW(BB179)-ROW(BB$15),0),15-13*ORÇAMENTO!$AF$11)),
         0)</f>
        <v>0</v>
      </c>
      <c r="BC179" s="453">
        <f ca="1">IF(AND($D179="Serviço",BC$12&lt;&gt;0,$H179&gt;0,OR(AUTOEVENTO&lt;&gt;"manual",$M179&lt;&gt;$A$15)),
        IF(Import.TipoArredondamento&lt;&gt;"TransfereGOV",
              ROUND(OFFSET($P179,0,BC$13),15-13*ORÇAMENTO!$AF$7)/$H179*OFFSET(ORÇAMENTO!$X$15,ROW(BC179)-ROW(BC$15),0),
              ROUND(ROUND(OFFSET($P179,0,BC$13),15-13*ORÇAMENTO!$AF$7)*OFFSET(ORÇAMENTO!$W$15,ROW(BC179)-ROW(BC$15),0),15-13*ORÇAMENTO!$AF$11)),
         0)</f>
        <v>0</v>
      </c>
      <c r="BD179" s="453">
        <f ca="1">IF(AND($D179="Serviço",BD$12&lt;&gt;0,$H179&gt;0,OR(AUTOEVENTO&lt;&gt;"manual",$M179&lt;&gt;$A$15)),
        IF(Import.TipoArredondamento&lt;&gt;"TransfereGOV",
              ROUND(OFFSET($P179,0,BD$13),15-13*ORÇAMENTO!$AF$7)/$H179*OFFSET(ORÇAMENTO!$X$15,ROW(BD179)-ROW(BD$15),0),
              ROUND(ROUND(OFFSET($P179,0,BD$13),15-13*ORÇAMENTO!$AF$7)*OFFSET(ORÇAMENTO!$W$15,ROW(BD179)-ROW(BD$15),0),15-13*ORÇAMENTO!$AF$11)),
         0)</f>
        <v>0</v>
      </c>
      <c r="BE179" s="453">
        <f ca="1">IF(AND($D179="Serviço",BE$12&lt;&gt;0,$H179&gt;0,OR(AUTOEVENTO&lt;&gt;"manual",$M179&lt;&gt;$A$15)),
        IF(Import.TipoArredondamento&lt;&gt;"TransfereGOV",
              ROUND(OFFSET($P179,0,BE$13),15-13*ORÇAMENTO!$AF$7)/$H179*OFFSET(ORÇAMENTO!$X$15,ROW(BE179)-ROW(BE$15),0),
              ROUND(ROUND(OFFSET($P179,0,BE$13),15-13*ORÇAMENTO!$AF$7)*OFFSET(ORÇAMENTO!$W$15,ROW(BE179)-ROW(BE$15),0),15-13*ORÇAMENTO!$AF$11)),
         0)</f>
        <v>0</v>
      </c>
      <c r="BF179" s="453">
        <f ca="1">IF(AND($D179="Serviço",BF$12&lt;&gt;0,$H179&gt;0,OR(AUTOEVENTO&lt;&gt;"manual",$M179&lt;&gt;$A$15)),
        IF(Import.TipoArredondamento&lt;&gt;"TransfereGOV",
              ROUND(OFFSET($P179,0,BF$13),15-13*ORÇAMENTO!$AF$7)/$H179*OFFSET(ORÇAMENTO!$X$15,ROW(BF179)-ROW(BF$15),0),
              ROUND(ROUND(OFFSET($P179,0,BF$13),15-13*ORÇAMENTO!$AF$7)*OFFSET(ORÇAMENTO!$W$15,ROW(BF179)-ROW(BF$15),0),15-13*ORÇAMENTO!$AF$11)),
         0)</f>
        <v>0</v>
      </c>
      <c r="BG179" s="453">
        <f ca="1">IF(AND($D179="Serviço",BG$12&lt;&gt;0,$H179&gt;0,OR(AUTOEVENTO&lt;&gt;"manual",$M179&lt;&gt;$A$15)),
        IF(Import.TipoArredondamento&lt;&gt;"TransfereGOV",
              ROUND(OFFSET($P179,0,BG$13),15-13*ORÇAMENTO!$AF$7)/$H179*OFFSET(ORÇAMENTO!$X$15,ROW(BG179)-ROW(BG$15),0),
              ROUND(ROUND(OFFSET($P179,0,BG$13),15-13*ORÇAMENTO!$AF$7)*OFFSET(ORÇAMENTO!$W$15,ROW(BG179)-ROW(BG$15),0),15-13*ORÇAMENTO!$AF$11)),
         0)</f>
        <v>0</v>
      </c>
      <c r="BH179" s="453">
        <f ca="1">IF(AND($D179="Serviço",BH$12&lt;&gt;0,$H179&gt;0,OR(AUTOEVENTO&lt;&gt;"manual",$M179&lt;&gt;$A$15)),
        IF(Import.TipoArredondamento&lt;&gt;"TransfereGOV",
              ROUND(OFFSET($P179,0,BH$13),15-13*ORÇAMENTO!$AF$7)/$H179*OFFSET(ORÇAMENTO!$X$15,ROW(BH179)-ROW(BH$15),0),
              ROUND(ROUND(OFFSET($P179,0,BH$13),15-13*ORÇAMENTO!$AF$7)*OFFSET(ORÇAMENTO!$W$15,ROW(BH179)-ROW(BH$15),0),15-13*ORÇAMENTO!$AF$11)),
         0)</f>
        <v>0</v>
      </c>
      <c r="BI179" s="453">
        <f ca="1">IF(AND($D179="Serviço",BI$12&lt;&gt;0,$H179&gt;0,OR(AUTOEVENTO&lt;&gt;"manual",$M179&lt;&gt;$A$15)),
        IF(Import.TipoArredondamento&lt;&gt;"TransfereGOV",
              ROUND(OFFSET($P179,0,BI$13),15-13*ORÇAMENTO!$AF$7)/$H179*OFFSET(ORÇAMENTO!$X$15,ROW(BI179)-ROW(BI$15),0),
              ROUND(ROUND(OFFSET($P179,0,BI$13),15-13*ORÇAMENTO!$AF$7)*OFFSET(ORÇAMENTO!$W$15,ROW(BI179)-ROW(BI$15),0),15-13*ORÇAMENTO!$AF$11)),
         0)</f>
        <v>0</v>
      </c>
      <c r="BJ179" s="453">
        <f ca="1">IF(AND($D179="Serviço",BJ$12&lt;&gt;0,$H179&gt;0,OR(AUTOEVENTO&lt;&gt;"manual",$M179&lt;&gt;$A$15)),
        IF(Import.TipoArredondamento&lt;&gt;"TransfereGOV",
              ROUND(OFFSET($P179,0,BJ$13),15-13*ORÇAMENTO!$AF$7)/$H179*OFFSET(ORÇAMENTO!$X$15,ROW(BJ179)-ROW(BJ$15),0),
              ROUND(ROUND(OFFSET($P179,0,BJ$13),15-13*ORÇAMENTO!$AF$7)*OFFSET(ORÇAMENTO!$W$15,ROW(BJ179)-ROW(BJ$15),0),15-13*ORÇAMENTO!$AF$11)),
         0)</f>
        <v>0</v>
      </c>
      <c r="BK179" s="453">
        <f ca="1">IF(AND($D179="Serviço",BK$12&lt;&gt;0,$H179&gt;0,OR(AUTOEVENTO&lt;&gt;"manual",$M179&lt;&gt;$A$15)),
        IF(Import.TipoArredondamento&lt;&gt;"TransfereGOV",
              ROUND(OFFSET($P179,0,BK$13),15-13*ORÇAMENTO!$AF$7)/$H179*OFFSET(ORÇAMENTO!$X$15,ROW(BK179)-ROW(BK$15),0),
              ROUND(ROUND(OFFSET($P179,0,BK$13),15-13*ORÇAMENTO!$AF$7)*OFFSET(ORÇAMENTO!$W$15,ROW(BK179)-ROW(BK$15),0),15-13*ORÇAMENTO!$AF$11)),
         0)</f>
        <v>0</v>
      </c>
      <c r="BL179" s="453">
        <f ca="1">IF(AND($D179="Serviço",BL$12&lt;&gt;0,$H179&gt;0,OR(AUTOEVENTO&lt;&gt;"manual",$M179&lt;&gt;$A$15)),
        IF(Import.TipoArredondamento&lt;&gt;"TransfereGOV",
              ROUND(OFFSET($P179,0,BL$13),15-13*ORÇAMENTO!$AF$7)/$H179*OFFSET(ORÇAMENTO!$X$15,ROW(BL179)-ROW(BL$15),0),
              ROUND(ROUND(OFFSET($P179,0,BL$13),15-13*ORÇAMENTO!$AF$7)*OFFSET(ORÇAMENTO!$W$15,ROW(BL179)-ROW(BL$15),0),15-13*ORÇAMENTO!$AF$11)),
         0)</f>
        <v>0</v>
      </c>
      <c r="BM179" s="453">
        <f ca="1">IF(AND($D179="Serviço",BM$12&lt;&gt;0,$H179&gt;0,OR(AUTOEVENTO&lt;&gt;"manual",$M179&lt;&gt;$A$15)),
        IF(Import.TipoArredondamento&lt;&gt;"TransfereGOV",
              ROUND(OFFSET($P179,0,BM$13),15-13*ORÇAMENTO!$AF$7)/$H179*OFFSET(ORÇAMENTO!$X$15,ROW(BM179)-ROW(BM$15),0),
              ROUND(ROUND(OFFSET($P179,0,BM$13),15-13*ORÇAMENTO!$AF$7)*OFFSET(ORÇAMENTO!$W$15,ROW(BM179)-ROW(BM$15),0),15-13*ORÇAMENTO!$AF$11)),
         0)</f>
        <v>0</v>
      </c>
      <c r="BN179" s="453">
        <f ca="1">IF(AND($D179="Serviço",BN$12&lt;&gt;0,$H179&gt;0,OR(AUTOEVENTO&lt;&gt;"manual",$M179&lt;&gt;$A$15)),
        IF(Import.TipoArredondamento&lt;&gt;"TransfereGOV",
              ROUND(OFFSET($P179,0,BN$13),15-13*ORÇAMENTO!$AF$7)/$H179*OFFSET(ORÇAMENTO!$X$15,ROW(BN179)-ROW(BN$15),0),
              ROUND(ROUND(OFFSET($P179,0,BN$13),15-13*ORÇAMENTO!$AF$7)*OFFSET(ORÇAMENTO!$W$15,ROW(BN179)-ROW(BN$15),0),15-13*ORÇAMENTO!$AF$11)),
         0)</f>
        <v>0</v>
      </c>
      <c r="BO179" s="453">
        <f ca="1">IF(AND($D179="Serviço",BO$12&lt;&gt;0,$H179&gt;0,OR(AUTOEVENTO&lt;&gt;"manual",$M179&lt;&gt;$A$15)),
        IF(Import.TipoArredondamento&lt;&gt;"TransfereGOV",
              ROUND(OFFSET($P179,0,BO$13),15-13*ORÇAMENTO!$AF$7)/$H179*OFFSET(ORÇAMENTO!$X$15,ROW(BO179)-ROW(BO$15),0),
              ROUND(ROUND(OFFSET($P179,0,BO$13),15-13*ORÇAMENTO!$AF$7)*OFFSET(ORÇAMENTO!$W$15,ROW(BO179)-ROW(BO$15),0),15-13*ORÇAMENTO!$AF$11)),
         0)</f>
        <v>0</v>
      </c>
      <c r="BP179" s="453">
        <f ca="1">IF(AND($D179="Serviço",BP$12&lt;&gt;0,$H179&gt;0,OR(AUTOEVENTO&lt;&gt;"manual",$M179&lt;&gt;$A$15)),
        IF(Import.TipoArredondamento&lt;&gt;"TransfereGOV",
              ROUND(OFFSET($P179,0,BP$13),15-13*ORÇAMENTO!$AF$7)/$H179*OFFSET(ORÇAMENTO!$X$15,ROW(BP179)-ROW(BP$15),0),
              ROUND(ROUND(OFFSET($P179,0,BP$13),15-13*ORÇAMENTO!$AF$7)*OFFSET(ORÇAMENTO!$W$15,ROW(BP179)-ROW(BP$15),0),15-13*ORÇAMENTO!$AF$11)),
         0)</f>
        <v>0</v>
      </c>
      <c r="BQ179" s="453">
        <f ca="1">IF(AND($D179="Serviço",BQ$12&lt;&gt;0,$H179&gt;0,OR(AUTOEVENTO&lt;&gt;"manual",$M179&lt;&gt;$A$15)),
        IF(Import.TipoArredondamento&lt;&gt;"TransfereGOV",
              ROUND(OFFSET($P179,0,BQ$13),15-13*ORÇAMENTO!$AF$7)/$H179*OFFSET(ORÇAMENTO!$X$15,ROW(BQ179)-ROW(BQ$15),0),
              ROUND(ROUND(OFFSET($P179,0,BQ$13),15-13*ORÇAMENTO!$AF$7)*OFFSET(ORÇAMENTO!$W$15,ROW(BQ179)-ROW(BQ$15),0),15-13*ORÇAMENTO!$AF$11)),
         0)</f>
        <v>0</v>
      </c>
      <c r="BS179" s="171">
        <f ca="1">IF(OR($D179&lt;&gt;"Serviço",AND(AUTOEVENTO="Manual",$M179=$A$15)),0,
         IF(OFFSET(CRONOPLE!$F$15,$M179-$A$15,BS$13)=0,10^12,OFFSET(CRONOPLE!$F$15,$M179-$A$15,BS$13)))</f>
        <v>1</v>
      </c>
      <c r="BT179" s="171">
        <f ca="1">IF(OR($D179&lt;&gt;"Serviço",AND(AUTOEVENTO="Manual",$M179=$A$15)),0,
         IF(OFFSET(CRONOPLE!$F$15,$M179-$A$15,BT$13)=0,10^12,OFFSET(CRONOPLE!$F$15,$M179-$A$15,BT$13)))</f>
        <v>2</v>
      </c>
      <c r="BU179" s="171">
        <f ca="1">IF(OR($D179&lt;&gt;"Serviço",AND(AUTOEVENTO="Manual",$M179=$A$15)),0,
         IF(OFFSET(CRONOPLE!$F$15,$M179-$A$15,BU$13)=0,10^12,OFFSET(CRONOPLE!$F$15,$M179-$A$15,BU$13)))</f>
        <v>3</v>
      </c>
      <c r="BV179" s="171">
        <f ca="1">IF(OR($D179&lt;&gt;"Serviço",AND(AUTOEVENTO="Manual",$M179=$A$15)),0,
         IF(OFFSET(CRONOPLE!$F$15,$M179-$A$15,BV$13)=0,10^12,OFFSET(CRONOPLE!$F$15,$M179-$A$15,BV$13)))</f>
        <v>4</v>
      </c>
      <c r="BW179" s="171">
        <f ca="1">IF(OR($D179&lt;&gt;"Serviço",AND(AUTOEVENTO="Manual",$M179=$A$15)),0,
         IF(OFFSET(CRONOPLE!$F$15,$M179-$A$15,BW$13)=0,10^12,OFFSET(CRONOPLE!$F$15,$M179-$A$15,BW$13)))</f>
        <v>5</v>
      </c>
      <c r="BX179" s="171">
        <f ca="1">IF(OR($D179&lt;&gt;"Serviço",AND(AUTOEVENTO="Manual",$M179=$A$15)),0,
         IF(OFFSET(CRONOPLE!$F$15,$M179-$A$15,BX$13)=0,10^12,OFFSET(CRONOPLE!$F$15,$M179-$A$15,BX$13)))</f>
        <v>6</v>
      </c>
      <c r="BY179" s="171">
        <f ca="1">IF(OR($D179&lt;&gt;"Serviço",AND(AUTOEVENTO="Manual",$M179=$A$15)),0,
         IF(OFFSET(CRONOPLE!$F$15,$M179-$A$15,BY$13)=0,10^12,OFFSET(CRONOPLE!$F$15,$M179-$A$15,BY$13)))</f>
        <v>7</v>
      </c>
      <c r="BZ179" s="171">
        <f ca="1">IF(OR($D179&lt;&gt;"Serviço",AND(AUTOEVENTO="Manual",$M179=$A$15)),0,
         IF(OFFSET(CRONOPLE!$F$15,$M179-$A$15,BZ$13)=0,10^12,OFFSET(CRONOPLE!$F$15,$M179-$A$15,BZ$13)))</f>
        <v>8</v>
      </c>
      <c r="CA179" s="171">
        <f ca="1">IF(OR($D179&lt;&gt;"Serviço",AND(AUTOEVENTO="Manual",$M179=$A$15)),0,
         IF(OFFSET(CRONOPLE!$F$15,$M179-$A$15,CA$13)=0,10^12,OFFSET(CRONOPLE!$F$15,$M179-$A$15,CA$13)))</f>
        <v>9</v>
      </c>
      <c r="CB179" s="171">
        <f ca="1">IF(OR($D179&lt;&gt;"Serviço",AND(AUTOEVENTO="Manual",$M179=$A$15)),0,
         IF(OFFSET(CRONOPLE!$F$15,$M179-$A$15,CB$13)=0,10^12,OFFSET(CRONOPLE!$F$15,$M179-$A$15,CB$13)))</f>
        <v>10</v>
      </c>
      <c r="CC179" s="171">
        <f ca="1">IF(OR($D179&lt;&gt;"Serviço",AND(AUTOEVENTO="Manual",$M179=$A$15)),0,
         IF(OFFSET(CRONOPLE!$F$15,$M179-$A$15,CC$13)=0,10^12,OFFSET(CRONOPLE!$F$15,$M179-$A$15,CC$13)))</f>
        <v>11</v>
      </c>
      <c r="CD179" s="171">
        <f ca="1">IF(OR($D179&lt;&gt;"Serviço",AND(AUTOEVENTO="Manual",$M179=$A$15)),0,
         IF(OFFSET(CRONOPLE!$F$15,$M179-$A$15,CD$13)=0,10^12,OFFSET(CRONOPLE!$F$15,$M179-$A$15,CD$13)))</f>
        <v>12</v>
      </c>
      <c r="CE179" s="171">
        <f ca="1">IF(OR($D179&lt;&gt;"Serviço",AND(AUTOEVENTO="Manual",$M179=$A$15)),0,
         IF(OFFSET(CRONOPLE!$F$15,$M179-$A$15,CE$13)=0,10^12,OFFSET(CRONOPLE!$F$15,$M179-$A$15,CE$13)))</f>
        <v>13</v>
      </c>
      <c r="CF179" s="171">
        <f ca="1">IF(OR($D179&lt;&gt;"Serviço",AND(AUTOEVENTO="Manual",$M179=$A$15)),0,
         IF(OFFSET(CRONOPLE!$F$15,$M179-$A$15,CF$13)=0,10^12,OFFSET(CRONOPLE!$F$15,$M179-$A$15,CF$13)))</f>
        <v>14</v>
      </c>
      <c r="CG179" s="171">
        <f ca="1">IF(OR($D179&lt;&gt;"Serviço",AND(AUTOEVENTO="Manual",$M179=$A$15)),0,
         IF(OFFSET(CRONOPLE!$F$15,$M179-$A$15,CG$13)=0,10^12,OFFSET(CRONOPLE!$F$15,$M179-$A$15,CG$13)))</f>
        <v>15</v>
      </c>
      <c r="CH179" s="171">
        <f ca="1">IF(OR($D179&lt;&gt;"Serviço",AND(AUTOEVENTO="Manual",$M179=$A$15)),0,
         IF(OFFSET(CRONOPLE!$F$15,$M179-$A$15,CH$13)=0,10^12,OFFSET(CRONOPLE!$F$15,$M179-$A$15,CH$13)))</f>
        <v>16</v>
      </c>
      <c r="CI179" s="171">
        <f ca="1">IF(OR($D179&lt;&gt;"Serviço",AND(AUTOEVENTO="Manual",$M179=$A$15)),0,
         IF(OFFSET(CRONOPLE!$F$15,$M179-$A$15,CI$13)=0,10^12,OFFSET(CRONOPLE!$F$15,$M179-$A$15,CI$13)))</f>
        <v>17</v>
      </c>
      <c r="CJ179" s="171">
        <f ca="1">IF(OR($D179&lt;&gt;"Serviço",AND(AUTOEVENTO="Manual",$M179=$A$15)),0,
         IF(OFFSET(CRONOPLE!$F$15,$M179-$A$15,CJ$13)=0,10^12,OFFSET(CRONOPLE!$F$15,$M179-$A$15,CJ$13)))</f>
        <v>18</v>
      </c>
      <c r="CK179" s="171">
        <f ca="1">IF(OR($D179&lt;&gt;"Serviço",AND(AUTOEVENTO="Manual",$M179=$A$15)),0,
         IF(OFFSET(CRONOPLE!$F$15,$M179-$A$15,CK$13)=0,10^12,OFFSET(CRONOPLE!$F$15,$M179-$A$15,CK$13)))</f>
        <v>19</v>
      </c>
      <c r="CL179" s="171">
        <f ca="1">IF(OR($D179&lt;&gt;"Serviço",AND(AUTOEVENTO="Manual",$M179=$A$15)),0,
         IF(OFFSET(CRONOPLE!$F$15,$M179-$A$15,CL$13)=0,10^12,OFFSET(CRONOPLE!$F$15,$M179-$A$15,CL$13)))</f>
        <v>20</v>
      </c>
      <c r="CM179" s="171">
        <f ca="1">IF(OR($D179&lt;&gt;"Serviço",AND(AUTOEVENTO="Manual",$M179=$A$15)),0,
         IF(OFFSET(CRONOPLE!$F$15,$M179-$A$15,CM$13)=0,10^12,OFFSET(CRONOPLE!$F$15,$M179-$A$15,CM$13)))</f>
        <v>1000000000000</v>
      </c>
      <c r="CN179" s="171">
        <f ca="1">IF(OR($D179&lt;&gt;"Serviço",AND(AUTOEVENTO="Manual",$M179=$A$15)),0,
         IF(OFFSET(CRONOPLE!$F$15,$M179-$A$15,CN$13)=0,10^12,OFFSET(CRONOPLE!$F$15,$M179-$A$15,CN$13)))</f>
        <v>1000000000000</v>
      </c>
      <c r="CO179" s="171">
        <f ca="1">IF(OR($D179&lt;&gt;"Serviço",AND(AUTOEVENTO="Manual",$M179=$A$15)),0,
         IF(OFFSET(CRONOPLE!$F$15,$M179-$A$15,CO$13)=0,10^12,OFFSET(CRONOPLE!$F$15,$M179-$A$15,CO$13)))</f>
        <v>1000000000000</v>
      </c>
      <c r="CP179" s="171">
        <f ca="1">IF(OR($D179&lt;&gt;"Serviço",AND(AUTOEVENTO="Manual",$M179=$A$15)),0,
         IF(OFFSET(CRONOPLE!$F$15,$M179-$A$15,CP$13)=0,10^12,OFFSET(CRONOPLE!$F$15,$M179-$A$15,CP$13)))</f>
        <v>1000000000000</v>
      </c>
      <c r="CQ179" s="171">
        <f ca="1">IF(OR($D179&lt;&gt;"Serviço",AND(AUTOEVENTO="Manual",$M179=$A$15)),0,
         IF(OFFSET(CRONOPLE!$F$15,$M179-$A$15,CQ$13)=0,10^12,OFFSET(CRONOPLE!$F$15,$M179-$A$15,CQ$13)))</f>
        <v>1000000000000</v>
      </c>
      <c r="CR179" s="171">
        <f ca="1">IF(OR($D179&lt;&gt;"Serviço",AND(AUTOEVENTO="Manual",$M179=$A$15)),0,
         IF(OFFSET(CRONOPLE!$F$15,$M179-$A$15,CR$13)=0,10^12,OFFSET(CRONOPLE!$F$15,$M179-$A$15,CR$13)))</f>
        <v>1000000000000</v>
      </c>
      <c r="CT179" s="172" cm="1">
        <f t="array" aca="1" ref="CT179" ca="1">IF(OR($D179&lt;&gt;"Serviço",AND(AUTOEVENTO="Manual",$M179=$A$15),$M179&gt;(ROW(PLE.lastrow)-ROW(PLE.firstrow))),0,
           IF(OFFSET(PLE!$G$15,$M179-$A$15,CT$13)="",10^12,OFFSET(PLE!$G$15,$M179-$A$15,CT$13)))</f>
        <v>1000000000000</v>
      </c>
      <c r="CU179" s="172" cm="1">
        <f t="array" aca="1" ref="CU179" ca="1">IF(OR($D179&lt;&gt;"Serviço",AND(AUTOEVENTO="Manual",$M179=$A$15),$M179&gt;(ROW(PLE.lastrow)-ROW(PLE.firstrow))),0,
           IF(OFFSET(PLE!$G$15,$M179-$A$15,CU$13)="",10^12,OFFSET(PLE!$G$15,$M179-$A$15,CU$13)))</f>
        <v>1000000000000</v>
      </c>
      <c r="CV179" s="172" cm="1">
        <f t="array" aca="1" ref="CV179" ca="1">IF(OR($D179&lt;&gt;"Serviço",AND(AUTOEVENTO="Manual",$M179=$A$15),$M179&gt;(ROW(PLE.lastrow)-ROW(PLE.firstrow))),0,
           IF(OFFSET(PLE!$G$15,$M179-$A$15,CV$13)="",10^12,OFFSET(PLE!$G$15,$M179-$A$15,CV$13)))</f>
        <v>1000000000000</v>
      </c>
      <c r="CW179" s="172" cm="1">
        <f t="array" aca="1" ref="CW179" ca="1">IF(OR($D179&lt;&gt;"Serviço",AND(AUTOEVENTO="Manual",$M179=$A$15),$M179&gt;(ROW(PLE.lastrow)-ROW(PLE.firstrow))),0,
           IF(OFFSET(PLE!$G$15,$M179-$A$15,CW$13)="",10^12,OFFSET(PLE!$G$15,$M179-$A$15,CW$13)))</f>
        <v>1000000000000</v>
      </c>
      <c r="CX179" s="172" cm="1">
        <f t="array" aca="1" ref="CX179" ca="1">IF(OR($D179&lt;&gt;"Serviço",AND(AUTOEVENTO="Manual",$M179=$A$15),$M179&gt;(ROW(PLE.lastrow)-ROW(PLE.firstrow))),0,
           IF(OFFSET(PLE!$G$15,$M179-$A$15,CX$13)="",10^12,OFFSET(PLE!$G$15,$M179-$A$15,CX$13)))</f>
        <v>1000000000000</v>
      </c>
      <c r="CY179" s="172" cm="1">
        <f t="array" aca="1" ref="CY179" ca="1">IF(OR($D179&lt;&gt;"Serviço",AND(AUTOEVENTO="Manual",$M179=$A$15),$M179&gt;(ROW(PLE.lastrow)-ROW(PLE.firstrow))),0,
           IF(OFFSET(PLE!$G$15,$M179-$A$15,CY$13)="",10^12,OFFSET(PLE!$G$15,$M179-$A$15,CY$13)))</f>
        <v>1000000000000</v>
      </c>
      <c r="CZ179" s="172" cm="1">
        <f t="array" aca="1" ref="CZ179" ca="1">IF(OR($D179&lt;&gt;"Serviço",AND(AUTOEVENTO="Manual",$M179=$A$15),$M179&gt;(ROW(PLE.lastrow)-ROW(PLE.firstrow))),0,
           IF(OFFSET(PLE!$G$15,$M179-$A$15,CZ$13)="",10^12,OFFSET(PLE!$G$15,$M179-$A$15,CZ$13)))</f>
        <v>1000000000000</v>
      </c>
      <c r="DA179" s="172" cm="1">
        <f t="array" aca="1" ref="DA179" ca="1">IF(OR($D179&lt;&gt;"Serviço",AND(AUTOEVENTO="Manual",$M179=$A$15),$M179&gt;(ROW(PLE.lastrow)-ROW(PLE.firstrow))),0,
           IF(OFFSET(PLE!$G$15,$M179-$A$15,DA$13)="",10^12,OFFSET(PLE!$G$15,$M179-$A$15,DA$13)))</f>
        <v>1000000000000</v>
      </c>
      <c r="DB179" s="172" cm="1">
        <f t="array" aca="1" ref="DB179" ca="1">IF(OR($D179&lt;&gt;"Serviço",AND(AUTOEVENTO="Manual",$M179=$A$15),$M179&gt;(ROW(PLE.lastrow)-ROW(PLE.firstrow))),0,
           IF(OFFSET(PLE!$G$15,$M179-$A$15,DB$13)="",10^12,OFFSET(PLE!$G$15,$M179-$A$15,DB$13)))</f>
        <v>1000000000000</v>
      </c>
      <c r="DC179" s="172" cm="1">
        <f t="array" aca="1" ref="DC179" ca="1">IF(OR($D179&lt;&gt;"Serviço",AND(AUTOEVENTO="Manual",$M179=$A$15),$M179&gt;(ROW(PLE.lastrow)-ROW(PLE.firstrow))),0,
           IF(OFFSET(PLE!$G$15,$M179-$A$15,DC$13)="",10^12,OFFSET(PLE!$G$15,$M179-$A$15,DC$13)))</f>
        <v>1000000000000</v>
      </c>
      <c r="DD179" s="172" cm="1">
        <f t="array" aca="1" ref="DD179" ca="1">IF(OR($D179&lt;&gt;"Serviço",AND(AUTOEVENTO="Manual",$M179=$A$15),$M179&gt;(ROW(PLE.lastrow)-ROW(PLE.firstrow))),0,
           IF(OFFSET(PLE!$G$15,$M179-$A$15,DD$13)="",10^12,OFFSET(PLE!$G$15,$M179-$A$15,DD$13)))</f>
        <v>1000000000000</v>
      </c>
      <c r="DE179" s="172" cm="1">
        <f t="array" aca="1" ref="DE179" ca="1">IF(OR($D179&lt;&gt;"Serviço",AND(AUTOEVENTO="Manual",$M179=$A$15),$M179&gt;(ROW(PLE.lastrow)-ROW(PLE.firstrow))),0,
           IF(OFFSET(PLE!$G$15,$M179-$A$15,DE$13)="",10^12,OFFSET(PLE!$G$15,$M179-$A$15,DE$13)))</f>
        <v>1000000000000</v>
      </c>
      <c r="DF179" s="172" cm="1">
        <f t="array" aca="1" ref="DF179" ca="1">IF(OR($D179&lt;&gt;"Serviço",AND(AUTOEVENTO="Manual",$M179=$A$15),$M179&gt;(ROW(PLE.lastrow)-ROW(PLE.firstrow))),0,
           IF(OFFSET(PLE!$G$15,$M179-$A$15,DF$13)="",10^12,OFFSET(PLE!$G$15,$M179-$A$15,DF$13)))</f>
        <v>1000000000000</v>
      </c>
      <c r="DG179" s="172" cm="1">
        <f t="array" aca="1" ref="DG179" ca="1">IF(OR($D179&lt;&gt;"Serviço",AND(AUTOEVENTO="Manual",$M179=$A$15),$M179&gt;(ROW(PLE.lastrow)-ROW(PLE.firstrow))),0,
           IF(OFFSET(PLE!$G$15,$M179-$A$15,DG$13)="",10^12,OFFSET(PLE!$G$15,$M179-$A$15,DG$13)))</f>
        <v>1000000000000</v>
      </c>
      <c r="DH179" s="172" cm="1">
        <f t="array" aca="1" ref="DH179" ca="1">IF(OR($D179&lt;&gt;"Serviço",AND(AUTOEVENTO="Manual",$M179=$A$15),$M179&gt;(ROW(PLE.lastrow)-ROW(PLE.firstrow))),0,
           IF(OFFSET(PLE!$G$15,$M179-$A$15,DH$13)="",10^12,OFFSET(PLE!$G$15,$M179-$A$15,DH$13)))</f>
        <v>1000000000000</v>
      </c>
      <c r="DI179" s="172" cm="1">
        <f t="array" aca="1" ref="DI179" ca="1">IF(OR($D179&lt;&gt;"Serviço",AND(AUTOEVENTO="Manual",$M179=$A$15),$M179&gt;(ROW(PLE.lastrow)-ROW(PLE.firstrow))),0,
           IF(OFFSET(PLE!$G$15,$M179-$A$15,DI$13)="",10^12,OFFSET(PLE!$G$15,$M179-$A$15,DI$13)))</f>
        <v>1000000000000</v>
      </c>
      <c r="DJ179" s="172" cm="1">
        <f t="array" aca="1" ref="DJ179" ca="1">IF(OR($D179&lt;&gt;"Serviço",AND(AUTOEVENTO="Manual",$M179=$A$15),$M179&gt;(ROW(PLE.lastrow)-ROW(PLE.firstrow))),0,
           IF(OFFSET(PLE!$G$15,$M179-$A$15,DJ$13)="",10^12,OFFSET(PLE!$G$15,$M179-$A$15,DJ$13)))</f>
        <v>1000000000000</v>
      </c>
      <c r="DK179" s="172" cm="1">
        <f t="array" aca="1" ref="DK179" ca="1">IF(OR($D179&lt;&gt;"Serviço",AND(AUTOEVENTO="Manual",$M179=$A$15),$M179&gt;(ROW(PLE.lastrow)-ROW(PLE.firstrow))),0,
           IF(OFFSET(PLE!$G$15,$M179-$A$15,DK$13)="",10^12,OFFSET(PLE!$G$15,$M179-$A$15,DK$13)))</f>
        <v>1000000000000</v>
      </c>
      <c r="DL179" s="172" cm="1">
        <f t="array" aca="1" ref="DL179" ca="1">IF(OR($D179&lt;&gt;"Serviço",AND(AUTOEVENTO="Manual",$M179=$A$15),$M179&gt;(ROW(PLE.lastrow)-ROW(PLE.firstrow))),0,
           IF(OFFSET(PLE!$G$15,$M179-$A$15,DL$13)="",10^12,OFFSET(PLE!$G$15,$M179-$A$15,DL$13)))</f>
        <v>1000000000000</v>
      </c>
      <c r="DM179" s="172" cm="1">
        <f t="array" aca="1" ref="DM179" ca="1">IF(OR($D179&lt;&gt;"Serviço",AND(AUTOEVENTO="Manual",$M179=$A$15),$M179&gt;(ROW(PLE.lastrow)-ROW(PLE.firstrow))),0,
           IF(OFFSET(PLE!$G$15,$M179-$A$15,DM$13)="",10^12,OFFSET(PLE!$G$15,$M179-$A$15,DM$13)))</f>
        <v>1000000000000</v>
      </c>
      <c r="DN179" s="172" cm="1">
        <f t="array" aca="1" ref="DN179" ca="1">IF(OR($D179&lt;&gt;"Serviço",AND(AUTOEVENTO="Manual",$M179=$A$15),$M179&gt;(ROW(PLE.lastrow)-ROW(PLE.firstrow))),0,
           IF(OFFSET(PLE!$G$15,$M179-$A$15,DN$13)="",10^12,OFFSET(PLE!$G$15,$M179-$A$15,DN$13)))</f>
        <v>1000000000000</v>
      </c>
      <c r="DO179" s="172" cm="1">
        <f t="array" aca="1" ref="DO179" ca="1">IF(OR($D179&lt;&gt;"Serviço",AND(AUTOEVENTO="Manual",$M179=$A$15),$M179&gt;(ROW(PLE.lastrow)-ROW(PLE.firstrow))),0,
           IF(OFFSET(PLE!$G$15,$M179-$A$15,DO$13)="",10^12,OFFSET(PLE!$G$15,$M179-$A$15,DO$13)))</f>
        <v>1000000000000</v>
      </c>
      <c r="DP179" s="172" cm="1">
        <f t="array" aca="1" ref="DP179" ca="1">IF(OR($D179&lt;&gt;"Serviço",AND(AUTOEVENTO="Manual",$M179=$A$15),$M179&gt;(ROW(PLE.lastrow)-ROW(PLE.firstrow))),0,
           IF(OFFSET(PLE!$G$15,$M179-$A$15,DP$13)="",10^12,OFFSET(PLE!$G$15,$M179-$A$15,DP$13)))</f>
        <v>1000000000000</v>
      </c>
      <c r="DQ179" s="172" cm="1">
        <f t="array" aca="1" ref="DQ179" ca="1">IF(OR($D179&lt;&gt;"Serviço",AND(AUTOEVENTO="Manual",$M179=$A$15),$M179&gt;(ROW(PLE.lastrow)-ROW(PLE.firstrow))),0,
           IF(OFFSET(PLE!$G$15,$M179-$A$15,DQ$13)="",10^12,OFFSET(PLE!$G$15,$M179-$A$15,DQ$13)))</f>
        <v>1000000000000</v>
      </c>
      <c r="DR179" s="172" cm="1">
        <f t="array" aca="1" ref="DR179" ca="1">IF(OR($D179&lt;&gt;"Serviço",AND(AUTOEVENTO="Manual",$M179=$A$15),$M179&gt;(ROW(PLE.lastrow)-ROW(PLE.firstrow))),0,
           IF(OFFSET(PLE!$G$15,$M179-$A$15,DR$13)="",10^12,OFFSET(PLE!$G$15,$M179-$A$15,DR$13)))</f>
        <v>1000000000000</v>
      </c>
      <c r="DS179" s="172" cm="1">
        <f t="array" aca="1" ref="DS179" ca="1">IF(OR($D179&lt;&gt;"Serviço",AND(AUTOEVENTO="Manual",$M179=$A$15),$M179&gt;(ROW(PLE.lastrow)-ROW(PLE.firstrow))),0,
           IF(OFFSET(PLE!$G$15,$M179-$A$15,DS$13)="",10^12,OFFSET(PLE!$G$15,$M179-$A$15,DS$13)))</f>
        <v>1000000000000</v>
      </c>
    </row>
    <row r="180" spans="1:123" ht="12.75" x14ac:dyDescent="0.2">
      <c r="A180" s="7">
        <f t="shared" ca="1" si="16"/>
        <v>0</v>
      </c>
      <c r="B180" s="7">
        <f ca="1">OFFSET(ORÇAMENTO!C$15,$L180,0)</f>
        <v>3</v>
      </c>
      <c r="C180" s="7" t="str">
        <f ca="1">OFFSET(ORÇAMENTO!L$15,$L180,0)</f>
        <v>F</v>
      </c>
      <c r="D180" s="116" t="str">
        <f ca="1">OFFSET(ORÇAMENTO!N$15,$L180,0)</f>
        <v>Nível 3</v>
      </c>
      <c r="E180" s="117" t="str">
        <f ca="1">OFFSET(ORÇAMENTO!O$15,$L180,0)</f>
        <v>9.2.3.</v>
      </c>
      <c r="F180" s="163" t="str">
        <f ca="1">OFFSET(ORÇAMENTO!R$15,$L180,0)</f>
        <v>ENTRADA / ALIMENTAÇÃO HIDRÁULICA</v>
      </c>
      <c r="G180" s="164" t="str">
        <f ca="1">IF($D180&lt;&gt;"Serviço","",OFFSET(ORÇAMENTO!S$15,$L180,0))</f>
        <v/>
      </c>
      <c r="H180" s="122" cm="1">
        <f t="array" aca="1" ref="H180" ca="1">IF($D180&lt;&gt;"Serviço",0,IF(ACOMPANHAMENTO="BM",ROUND(OFFSET(ORÇAMENTO!AJ$15,$L180,0),15-13*ORÇAMENTO!$AF$7),IF(IFERROR(CÁLCULO.FrentesPreenchidas,0)=0,0,SUM(ROUND(OFFSET($P180,0,1,1,CÁLCULO.FrentesPreenchidas),15-13*ORÇAMENTO!$AF$7)))))</f>
        <v>0</v>
      </c>
      <c r="I180" s="468"/>
      <c r="J180" s="651" t="str" cm="1">
        <f t="array" aca="1" ref="J180" ca="1">IF(OR(B180&lt;&gt;"S",CÁLCULO.FrentesPreenchidas=0),"",IF(AND(ACOMPANHAMENTO="PLE",AUTOEVENTO="Manual",OR(H180&gt;0,ORÇAMENTO!AC180="QUANT."),OR(K180="",M180=0,N180="")),"►E",IF(AND(ACOMPANHAMENTO="PLE",ORÇAMENTO!AC180="QUANT."),"►Q",IF(AND(ACOMPANHAMENTO="PLE",H180&lt;&gt;SUMPRODUCT(($Q$1:$AQ$1=1)*ROUND(Q180:AQ180,15))),"►S",IF(AND(COUNTIF($P$11:$AQ$11,"▼")=0,H180&gt;0,I180=""),"◄M","")))))</f>
        <v/>
      </c>
      <c r="K180" s="652"/>
      <c r="L180" s="165">
        <f t="shared" ca="1" si="17"/>
        <v>165</v>
      </c>
      <c r="M180" s="166" t="str">
        <f ca="1">IF($D180&lt;&gt;"Serviço","",
          IF(AUTOEVENTO="manual",$A180,
                IF(ISERROR(MATCH($A180,$A$15:OFFSET($A180,-1,0),0)),MAX($M$15:OFFSET(M180,-1,0))+1,
                      INDEX($M$15:OFFSET(M180,-1,0),MATCH($A180,$A$15:OFFSET($A180,-1,0),0)))))</f>
        <v/>
      </c>
      <c r="N180" s="167" t="str">
        <f ca="1">IF($D180&lt;&gt;"Serviço","",
         IF(AUTOEVENTO="Manual",
                IF($A180=0,"&lt;-- defina o número do agrupador",
                       OFFSET(EVENTOS!$D$15,$A180-$A$15,0)),
                OFFSET($F$15,$A180,0)))</f>
        <v/>
      </c>
      <c r="O180" s="168"/>
      <c r="Q180" s="168"/>
      <c r="R180" s="169"/>
      <c r="S180" s="169"/>
      <c r="T180" s="169"/>
      <c r="U180" s="169"/>
      <c r="V180" s="169"/>
      <c r="W180" s="169"/>
      <c r="X180" s="169"/>
      <c r="Y180" s="169"/>
      <c r="Z180" s="170"/>
      <c r="AA180" s="169"/>
      <c r="AB180" s="169"/>
      <c r="AC180" s="169"/>
      <c r="AD180" s="169"/>
      <c r="AE180" s="169"/>
      <c r="AF180" s="169"/>
      <c r="AG180" s="169"/>
      <c r="AH180" s="170"/>
      <c r="AI180" s="169"/>
      <c r="AJ180" s="169"/>
      <c r="AK180" s="169"/>
      <c r="AL180" s="169"/>
      <c r="AM180" s="169"/>
      <c r="AN180" s="169"/>
      <c r="AO180" s="169"/>
      <c r="AP180" s="170"/>
      <c r="AR180" s="453">
        <f ca="1">IF(AND($D180="Serviço",AR$12&lt;&gt;0,$H180&gt;0,OR(AUTOEVENTO&lt;&gt;"manual",$M180&lt;&gt;$A$15)),
        IF(Import.TipoArredondamento&lt;&gt;"TransfereGOV",
              ROUND(OFFSET($P180,0,AR$13),15-13*ORÇAMENTO!$AF$7)/$H180*OFFSET(ORÇAMENTO!$X$15,ROW(AR180)-ROW(AR$15),0),
              ROUND(ROUND(OFFSET($P180,0,AR$13),15-13*ORÇAMENTO!$AF$7)*OFFSET(ORÇAMENTO!$W$15,ROW(AR180)-ROW(AR$15),0),15-13*ORÇAMENTO!$AF$11)),
         0)</f>
        <v>0</v>
      </c>
      <c r="AS180" s="453">
        <f ca="1">IF(AND($D180="Serviço",AS$12&lt;&gt;0,$H180&gt;0,OR(AUTOEVENTO&lt;&gt;"manual",$M180&lt;&gt;$A$15)),
        IF(Import.TipoArredondamento&lt;&gt;"TransfereGOV",
              ROUND(OFFSET($P180,0,AS$13),15-13*ORÇAMENTO!$AF$7)/$H180*OFFSET(ORÇAMENTO!$X$15,ROW(AS180)-ROW(AS$15),0),
              ROUND(ROUND(OFFSET($P180,0,AS$13),15-13*ORÇAMENTO!$AF$7)*OFFSET(ORÇAMENTO!$W$15,ROW(AS180)-ROW(AS$15),0),15-13*ORÇAMENTO!$AF$11)),
         0)</f>
        <v>0</v>
      </c>
      <c r="AT180" s="453">
        <f ca="1">IF(AND($D180="Serviço",AT$12&lt;&gt;0,$H180&gt;0,OR(AUTOEVENTO&lt;&gt;"manual",$M180&lt;&gt;$A$15)),
        IF(Import.TipoArredondamento&lt;&gt;"TransfereGOV",
              ROUND(OFFSET($P180,0,AT$13),15-13*ORÇAMENTO!$AF$7)/$H180*OFFSET(ORÇAMENTO!$X$15,ROW(AT180)-ROW(AT$15),0),
              ROUND(ROUND(OFFSET($P180,0,AT$13),15-13*ORÇAMENTO!$AF$7)*OFFSET(ORÇAMENTO!$W$15,ROW(AT180)-ROW(AT$15),0),15-13*ORÇAMENTO!$AF$11)),
         0)</f>
        <v>0</v>
      </c>
      <c r="AU180" s="453">
        <f ca="1">IF(AND($D180="Serviço",AU$12&lt;&gt;0,$H180&gt;0,OR(AUTOEVENTO&lt;&gt;"manual",$M180&lt;&gt;$A$15)),
        IF(Import.TipoArredondamento&lt;&gt;"TransfereGOV",
              ROUND(OFFSET($P180,0,AU$13),15-13*ORÇAMENTO!$AF$7)/$H180*OFFSET(ORÇAMENTO!$X$15,ROW(AU180)-ROW(AU$15),0),
              ROUND(ROUND(OFFSET($P180,0,AU$13),15-13*ORÇAMENTO!$AF$7)*OFFSET(ORÇAMENTO!$W$15,ROW(AU180)-ROW(AU$15),0),15-13*ORÇAMENTO!$AF$11)),
         0)</f>
        <v>0</v>
      </c>
      <c r="AV180" s="453">
        <f ca="1">IF(AND($D180="Serviço",AV$12&lt;&gt;0,$H180&gt;0,OR(AUTOEVENTO&lt;&gt;"manual",$M180&lt;&gt;$A$15)),
        IF(Import.TipoArredondamento&lt;&gt;"TransfereGOV",
              ROUND(OFFSET($P180,0,AV$13),15-13*ORÇAMENTO!$AF$7)/$H180*OFFSET(ORÇAMENTO!$X$15,ROW(AV180)-ROW(AV$15),0),
              ROUND(ROUND(OFFSET($P180,0,AV$13),15-13*ORÇAMENTO!$AF$7)*OFFSET(ORÇAMENTO!$W$15,ROW(AV180)-ROW(AV$15),0),15-13*ORÇAMENTO!$AF$11)),
         0)</f>
        <v>0</v>
      </c>
      <c r="AW180" s="453">
        <f ca="1">IF(AND($D180="Serviço",AW$12&lt;&gt;0,$H180&gt;0,OR(AUTOEVENTO&lt;&gt;"manual",$M180&lt;&gt;$A$15)),
        IF(Import.TipoArredondamento&lt;&gt;"TransfereGOV",
              ROUND(OFFSET($P180,0,AW$13),15-13*ORÇAMENTO!$AF$7)/$H180*OFFSET(ORÇAMENTO!$X$15,ROW(AW180)-ROW(AW$15),0),
              ROUND(ROUND(OFFSET($P180,0,AW$13),15-13*ORÇAMENTO!$AF$7)*OFFSET(ORÇAMENTO!$W$15,ROW(AW180)-ROW(AW$15),0),15-13*ORÇAMENTO!$AF$11)),
         0)</f>
        <v>0</v>
      </c>
      <c r="AX180" s="453">
        <f ca="1">IF(AND($D180="Serviço",AX$12&lt;&gt;0,$H180&gt;0,OR(AUTOEVENTO&lt;&gt;"manual",$M180&lt;&gt;$A$15)),
        IF(Import.TipoArredondamento&lt;&gt;"TransfereGOV",
              ROUND(OFFSET($P180,0,AX$13),15-13*ORÇAMENTO!$AF$7)/$H180*OFFSET(ORÇAMENTO!$X$15,ROW(AX180)-ROW(AX$15),0),
              ROUND(ROUND(OFFSET($P180,0,AX$13),15-13*ORÇAMENTO!$AF$7)*OFFSET(ORÇAMENTO!$W$15,ROW(AX180)-ROW(AX$15),0),15-13*ORÇAMENTO!$AF$11)),
         0)</f>
        <v>0</v>
      </c>
      <c r="AY180" s="453">
        <f ca="1">IF(AND($D180="Serviço",AY$12&lt;&gt;0,$H180&gt;0,OR(AUTOEVENTO&lt;&gt;"manual",$M180&lt;&gt;$A$15)),
        IF(Import.TipoArredondamento&lt;&gt;"TransfereGOV",
              ROUND(OFFSET($P180,0,AY$13),15-13*ORÇAMENTO!$AF$7)/$H180*OFFSET(ORÇAMENTO!$X$15,ROW(AY180)-ROW(AY$15),0),
              ROUND(ROUND(OFFSET($P180,0,AY$13),15-13*ORÇAMENTO!$AF$7)*OFFSET(ORÇAMENTO!$W$15,ROW(AY180)-ROW(AY$15),0),15-13*ORÇAMENTO!$AF$11)),
         0)</f>
        <v>0</v>
      </c>
      <c r="AZ180" s="453">
        <f ca="1">IF(AND($D180="Serviço",AZ$12&lt;&gt;0,$H180&gt;0,OR(AUTOEVENTO&lt;&gt;"manual",$M180&lt;&gt;$A$15)),
        IF(Import.TipoArredondamento&lt;&gt;"TransfereGOV",
              ROUND(OFFSET($P180,0,AZ$13),15-13*ORÇAMENTO!$AF$7)/$H180*OFFSET(ORÇAMENTO!$X$15,ROW(AZ180)-ROW(AZ$15),0),
              ROUND(ROUND(OFFSET($P180,0,AZ$13),15-13*ORÇAMENTO!$AF$7)*OFFSET(ORÇAMENTO!$W$15,ROW(AZ180)-ROW(AZ$15),0),15-13*ORÇAMENTO!$AF$11)),
         0)</f>
        <v>0</v>
      </c>
      <c r="BA180" s="453">
        <f ca="1">IF(AND($D180="Serviço",BA$12&lt;&gt;0,$H180&gt;0,OR(AUTOEVENTO&lt;&gt;"manual",$M180&lt;&gt;$A$15)),
        IF(Import.TipoArredondamento&lt;&gt;"TransfereGOV",
              ROUND(OFFSET($P180,0,BA$13),15-13*ORÇAMENTO!$AF$7)/$H180*OFFSET(ORÇAMENTO!$X$15,ROW(BA180)-ROW(BA$15),0),
              ROUND(ROUND(OFFSET($P180,0,BA$13),15-13*ORÇAMENTO!$AF$7)*OFFSET(ORÇAMENTO!$W$15,ROW(BA180)-ROW(BA$15),0),15-13*ORÇAMENTO!$AF$11)),
         0)</f>
        <v>0</v>
      </c>
      <c r="BB180" s="453">
        <f ca="1">IF(AND($D180="Serviço",BB$12&lt;&gt;0,$H180&gt;0,OR(AUTOEVENTO&lt;&gt;"manual",$M180&lt;&gt;$A$15)),
        IF(Import.TipoArredondamento&lt;&gt;"TransfereGOV",
              ROUND(OFFSET($P180,0,BB$13),15-13*ORÇAMENTO!$AF$7)/$H180*OFFSET(ORÇAMENTO!$X$15,ROW(BB180)-ROW(BB$15),0),
              ROUND(ROUND(OFFSET($P180,0,BB$13),15-13*ORÇAMENTO!$AF$7)*OFFSET(ORÇAMENTO!$W$15,ROW(BB180)-ROW(BB$15),0),15-13*ORÇAMENTO!$AF$11)),
         0)</f>
        <v>0</v>
      </c>
      <c r="BC180" s="453">
        <f ca="1">IF(AND($D180="Serviço",BC$12&lt;&gt;0,$H180&gt;0,OR(AUTOEVENTO&lt;&gt;"manual",$M180&lt;&gt;$A$15)),
        IF(Import.TipoArredondamento&lt;&gt;"TransfereGOV",
              ROUND(OFFSET($P180,0,BC$13),15-13*ORÇAMENTO!$AF$7)/$H180*OFFSET(ORÇAMENTO!$X$15,ROW(BC180)-ROW(BC$15),0),
              ROUND(ROUND(OFFSET($P180,0,BC$13),15-13*ORÇAMENTO!$AF$7)*OFFSET(ORÇAMENTO!$W$15,ROW(BC180)-ROW(BC$15),0),15-13*ORÇAMENTO!$AF$11)),
         0)</f>
        <v>0</v>
      </c>
      <c r="BD180" s="453">
        <f ca="1">IF(AND($D180="Serviço",BD$12&lt;&gt;0,$H180&gt;0,OR(AUTOEVENTO&lt;&gt;"manual",$M180&lt;&gt;$A$15)),
        IF(Import.TipoArredondamento&lt;&gt;"TransfereGOV",
              ROUND(OFFSET($P180,0,BD$13),15-13*ORÇAMENTO!$AF$7)/$H180*OFFSET(ORÇAMENTO!$X$15,ROW(BD180)-ROW(BD$15),0),
              ROUND(ROUND(OFFSET($P180,0,BD$13),15-13*ORÇAMENTO!$AF$7)*OFFSET(ORÇAMENTO!$W$15,ROW(BD180)-ROW(BD$15),0),15-13*ORÇAMENTO!$AF$11)),
         0)</f>
        <v>0</v>
      </c>
      <c r="BE180" s="453">
        <f ca="1">IF(AND($D180="Serviço",BE$12&lt;&gt;0,$H180&gt;0,OR(AUTOEVENTO&lt;&gt;"manual",$M180&lt;&gt;$A$15)),
        IF(Import.TipoArredondamento&lt;&gt;"TransfereGOV",
              ROUND(OFFSET($P180,0,BE$13),15-13*ORÇAMENTO!$AF$7)/$H180*OFFSET(ORÇAMENTO!$X$15,ROW(BE180)-ROW(BE$15),0),
              ROUND(ROUND(OFFSET($P180,0,BE$13),15-13*ORÇAMENTO!$AF$7)*OFFSET(ORÇAMENTO!$W$15,ROW(BE180)-ROW(BE$15),0),15-13*ORÇAMENTO!$AF$11)),
         0)</f>
        <v>0</v>
      </c>
      <c r="BF180" s="453">
        <f ca="1">IF(AND($D180="Serviço",BF$12&lt;&gt;0,$H180&gt;0,OR(AUTOEVENTO&lt;&gt;"manual",$M180&lt;&gt;$A$15)),
        IF(Import.TipoArredondamento&lt;&gt;"TransfereGOV",
              ROUND(OFFSET($P180,0,BF$13),15-13*ORÇAMENTO!$AF$7)/$H180*OFFSET(ORÇAMENTO!$X$15,ROW(BF180)-ROW(BF$15),0),
              ROUND(ROUND(OFFSET($P180,0,BF$13),15-13*ORÇAMENTO!$AF$7)*OFFSET(ORÇAMENTO!$W$15,ROW(BF180)-ROW(BF$15),0),15-13*ORÇAMENTO!$AF$11)),
         0)</f>
        <v>0</v>
      </c>
      <c r="BG180" s="453">
        <f ca="1">IF(AND($D180="Serviço",BG$12&lt;&gt;0,$H180&gt;0,OR(AUTOEVENTO&lt;&gt;"manual",$M180&lt;&gt;$A$15)),
        IF(Import.TipoArredondamento&lt;&gt;"TransfereGOV",
              ROUND(OFFSET($P180,0,BG$13),15-13*ORÇAMENTO!$AF$7)/$H180*OFFSET(ORÇAMENTO!$X$15,ROW(BG180)-ROW(BG$15),0),
              ROUND(ROUND(OFFSET($P180,0,BG$13),15-13*ORÇAMENTO!$AF$7)*OFFSET(ORÇAMENTO!$W$15,ROW(BG180)-ROW(BG$15),0),15-13*ORÇAMENTO!$AF$11)),
         0)</f>
        <v>0</v>
      </c>
      <c r="BH180" s="453">
        <f ca="1">IF(AND($D180="Serviço",BH$12&lt;&gt;0,$H180&gt;0,OR(AUTOEVENTO&lt;&gt;"manual",$M180&lt;&gt;$A$15)),
        IF(Import.TipoArredondamento&lt;&gt;"TransfereGOV",
              ROUND(OFFSET($P180,0,BH$13),15-13*ORÇAMENTO!$AF$7)/$H180*OFFSET(ORÇAMENTO!$X$15,ROW(BH180)-ROW(BH$15),0),
              ROUND(ROUND(OFFSET($P180,0,BH$13),15-13*ORÇAMENTO!$AF$7)*OFFSET(ORÇAMENTO!$W$15,ROW(BH180)-ROW(BH$15),0),15-13*ORÇAMENTO!$AF$11)),
         0)</f>
        <v>0</v>
      </c>
      <c r="BI180" s="453">
        <f ca="1">IF(AND($D180="Serviço",BI$12&lt;&gt;0,$H180&gt;0,OR(AUTOEVENTO&lt;&gt;"manual",$M180&lt;&gt;$A$15)),
        IF(Import.TipoArredondamento&lt;&gt;"TransfereGOV",
              ROUND(OFFSET($P180,0,BI$13),15-13*ORÇAMENTO!$AF$7)/$H180*OFFSET(ORÇAMENTO!$X$15,ROW(BI180)-ROW(BI$15),0),
              ROUND(ROUND(OFFSET($P180,0,BI$13),15-13*ORÇAMENTO!$AF$7)*OFFSET(ORÇAMENTO!$W$15,ROW(BI180)-ROW(BI$15),0),15-13*ORÇAMENTO!$AF$11)),
         0)</f>
        <v>0</v>
      </c>
      <c r="BJ180" s="453">
        <f ca="1">IF(AND($D180="Serviço",BJ$12&lt;&gt;0,$H180&gt;0,OR(AUTOEVENTO&lt;&gt;"manual",$M180&lt;&gt;$A$15)),
        IF(Import.TipoArredondamento&lt;&gt;"TransfereGOV",
              ROUND(OFFSET($P180,0,BJ$13),15-13*ORÇAMENTO!$AF$7)/$H180*OFFSET(ORÇAMENTO!$X$15,ROW(BJ180)-ROW(BJ$15),0),
              ROUND(ROUND(OFFSET($P180,0,BJ$13),15-13*ORÇAMENTO!$AF$7)*OFFSET(ORÇAMENTO!$W$15,ROW(BJ180)-ROW(BJ$15),0),15-13*ORÇAMENTO!$AF$11)),
         0)</f>
        <v>0</v>
      </c>
      <c r="BK180" s="453">
        <f ca="1">IF(AND($D180="Serviço",BK$12&lt;&gt;0,$H180&gt;0,OR(AUTOEVENTO&lt;&gt;"manual",$M180&lt;&gt;$A$15)),
        IF(Import.TipoArredondamento&lt;&gt;"TransfereGOV",
              ROUND(OFFSET($P180,0,BK$13),15-13*ORÇAMENTO!$AF$7)/$H180*OFFSET(ORÇAMENTO!$X$15,ROW(BK180)-ROW(BK$15),0),
              ROUND(ROUND(OFFSET($P180,0,BK$13),15-13*ORÇAMENTO!$AF$7)*OFFSET(ORÇAMENTO!$W$15,ROW(BK180)-ROW(BK$15),0),15-13*ORÇAMENTO!$AF$11)),
         0)</f>
        <v>0</v>
      </c>
      <c r="BL180" s="453">
        <f ca="1">IF(AND($D180="Serviço",BL$12&lt;&gt;0,$H180&gt;0,OR(AUTOEVENTO&lt;&gt;"manual",$M180&lt;&gt;$A$15)),
        IF(Import.TipoArredondamento&lt;&gt;"TransfereGOV",
              ROUND(OFFSET($P180,0,BL$13),15-13*ORÇAMENTO!$AF$7)/$H180*OFFSET(ORÇAMENTO!$X$15,ROW(BL180)-ROW(BL$15),0),
              ROUND(ROUND(OFFSET($P180,0,BL$13),15-13*ORÇAMENTO!$AF$7)*OFFSET(ORÇAMENTO!$W$15,ROW(BL180)-ROW(BL$15),0),15-13*ORÇAMENTO!$AF$11)),
         0)</f>
        <v>0</v>
      </c>
      <c r="BM180" s="453">
        <f ca="1">IF(AND($D180="Serviço",BM$12&lt;&gt;0,$H180&gt;0,OR(AUTOEVENTO&lt;&gt;"manual",$M180&lt;&gt;$A$15)),
        IF(Import.TipoArredondamento&lt;&gt;"TransfereGOV",
              ROUND(OFFSET($P180,0,BM$13),15-13*ORÇAMENTO!$AF$7)/$H180*OFFSET(ORÇAMENTO!$X$15,ROW(BM180)-ROW(BM$15),0),
              ROUND(ROUND(OFFSET($P180,0,BM$13),15-13*ORÇAMENTO!$AF$7)*OFFSET(ORÇAMENTO!$W$15,ROW(BM180)-ROW(BM$15),0),15-13*ORÇAMENTO!$AF$11)),
         0)</f>
        <v>0</v>
      </c>
      <c r="BN180" s="453">
        <f ca="1">IF(AND($D180="Serviço",BN$12&lt;&gt;0,$H180&gt;0,OR(AUTOEVENTO&lt;&gt;"manual",$M180&lt;&gt;$A$15)),
        IF(Import.TipoArredondamento&lt;&gt;"TransfereGOV",
              ROUND(OFFSET($P180,0,BN$13),15-13*ORÇAMENTO!$AF$7)/$H180*OFFSET(ORÇAMENTO!$X$15,ROW(BN180)-ROW(BN$15),0),
              ROUND(ROUND(OFFSET($P180,0,BN$13),15-13*ORÇAMENTO!$AF$7)*OFFSET(ORÇAMENTO!$W$15,ROW(BN180)-ROW(BN$15),0),15-13*ORÇAMENTO!$AF$11)),
         0)</f>
        <v>0</v>
      </c>
      <c r="BO180" s="453">
        <f ca="1">IF(AND($D180="Serviço",BO$12&lt;&gt;0,$H180&gt;0,OR(AUTOEVENTO&lt;&gt;"manual",$M180&lt;&gt;$A$15)),
        IF(Import.TipoArredondamento&lt;&gt;"TransfereGOV",
              ROUND(OFFSET($P180,0,BO$13),15-13*ORÇAMENTO!$AF$7)/$H180*OFFSET(ORÇAMENTO!$X$15,ROW(BO180)-ROW(BO$15),0),
              ROUND(ROUND(OFFSET($P180,0,BO$13),15-13*ORÇAMENTO!$AF$7)*OFFSET(ORÇAMENTO!$W$15,ROW(BO180)-ROW(BO$15),0),15-13*ORÇAMENTO!$AF$11)),
         0)</f>
        <v>0</v>
      </c>
      <c r="BP180" s="453">
        <f ca="1">IF(AND($D180="Serviço",BP$12&lt;&gt;0,$H180&gt;0,OR(AUTOEVENTO&lt;&gt;"manual",$M180&lt;&gt;$A$15)),
        IF(Import.TipoArredondamento&lt;&gt;"TransfereGOV",
              ROUND(OFFSET($P180,0,BP$13),15-13*ORÇAMENTO!$AF$7)/$H180*OFFSET(ORÇAMENTO!$X$15,ROW(BP180)-ROW(BP$15),0),
              ROUND(ROUND(OFFSET($P180,0,BP$13),15-13*ORÇAMENTO!$AF$7)*OFFSET(ORÇAMENTO!$W$15,ROW(BP180)-ROW(BP$15),0),15-13*ORÇAMENTO!$AF$11)),
         0)</f>
        <v>0</v>
      </c>
      <c r="BQ180" s="453">
        <f ca="1">IF(AND($D180="Serviço",BQ$12&lt;&gt;0,$H180&gt;0,OR(AUTOEVENTO&lt;&gt;"manual",$M180&lt;&gt;$A$15)),
        IF(Import.TipoArredondamento&lt;&gt;"TransfereGOV",
              ROUND(OFFSET($P180,0,BQ$13),15-13*ORÇAMENTO!$AF$7)/$H180*OFFSET(ORÇAMENTO!$X$15,ROW(BQ180)-ROW(BQ$15),0),
              ROUND(ROUND(OFFSET($P180,0,BQ$13),15-13*ORÇAMENTO!$AF$7)*OFFSET(ORÇAMENTO!$W$15,ROW(BQ180)-ROW(BQ$15),0),15-13*ORÇAMENTO!$AF$11)),
         0)</f>
        <v>0</v>
      </c>
      <c r="BS180" s="171">
        <f ca="1">IF(OR($D180&lt;&gt;"Serviço",AND(AUTOEVENTO="Manual",$M180=$A$15)),0,
         IF(OFFSET(CRONOPLE!$F$15,$M180-$A$15,BS$13)=0,10^12,OFFSET(CRONOPLE!$F$15,$M180-$A$15,BS$13)))</f>
        <v>0</v>
      </c>
      <c r="BT180" s="171">
        <f ca="1">IF(OR($D180&lt;&gt;"Serviço",AND(AUTOEVENTO="Manual",$M180=$A$15)),0,
         IF(OFFSET(CRONOPLE!$F$15,$M180-$A$15,BT$13)=0,10^12,OFFSET(CRONOPLE!$F$15,$M180-$A$15,BT$13)))</f>
        <v>0</v>
      </c>
      <c r="BU180" s="171">
        <f ca="1">IF(OR($D180&lt;&gt;"Serviço",AND(AUTOEVENTO="Manual",$M180=$A$15)),0,
         IF(OFFSET(CRONOPLE!$F$15,$M180-$A$15,BU$13)=0,10^12,OFFSET(CRONOPLE!$F$15,$M180-$A$15,BU$13)))</f>
        <v>0</v>
      </c>
      <c r="BV180" s="171">
        <f ca="1">IF(OR($D180&lt;&gt;"Serviço",AND(AUTOEVENTO="Manual",$M180=$A$15)),0,
         IF(OFFSET(CRONOPLE!$F$15,$M180-$A$15,BV$13)=0,10^12,OFFSET(CRONOPLE!$F$15,$M180-$A$15,BV$13)))</f>
        <v>0</v>
      </c>
      <c r="BW180" s="171">
        <f ca="1">IF(OR($D180&lt;&gt;"Serviço",AND(AUTOEVENTO="Manual",$M180=$A$15)),0,
         IF(OFFSET(CRONOPLE!$F$15,$M180-$A$15,BW$13)=0,10^12,OFFSET(CRONOPLE!$F$15,$M180-$A$15,BW$13)))</f>
        <v>0</v>
      </c>
      <c r="BX180" s="171">
        <f ca="1">IF(OR($D180&lt;&gt;"Serviço",AND(AUTOEVENTO="Manual",$M180=$A$15)),0,
         IF(OFFSET(CRONOPLE!$F$15,$M180-$A$15,BX$13)=0,10^12,OFFSET(CRONOPLE!$F$15,$M180-$A$15,BX$13)))</f>
        <v>0</v>
      </c>
      <c r="BY180" s="171">
        <f ca="1">IF(OR($D180&lt;&gt;"Serviço",AND(AUTOEVENTO="Manual",$M180=$A$15)),0,
         IF(OFFSET(CRONOPLE!$F$15,$M180-$A$15,BY$13)=0,10^12,OFFSET(CRONOPLE!$F$15,$M180-$A$15,BY$13)))</f>
        <v>0</v>
      </c>
      <c r="BZ180" s="171">
        <f ca="1">IF(OR($D180&lt;&gt;"Serviço",AND(AUTOEVENTO="Manual",$M180=$A$15)),0,
         IF(OFFSET(CRONOPLE!$F$15,$M180-$A$15,BZ$13)=0,10^12,OFFSET(CRONOPLE!$F$15,$M180-$A$15,BZ$13)))</f>
        <v>0</v>
      </c>
      <c r="CA180" s="171">
        <f ca="1">IF(OR($D180&lt;&gt;"Serviço",AND(AUTOEVENTO="Manual",$M180=$A$15)),0,
         IF(OFFSET(CRONOPLE!$F$15,$M180-$A$15,CA$13)=0,10^12,OFFSET(CRONOPLE!$F$15,$M180-$A$15,CA$13)))</f>
        <v>0</v>
      </c>
      <c r="CB180" s="171">
        <f ca="1">IF(OR($D180&lt;&gt;"Serviço",AND(AUTOEVENTO="Manual",$M180=$A$15)),0,
         IF(OFFSET(CRONOPLE!$F$15,$M180-$A$15,CB$13)=0,10^12,OFFSET(CRONOPLE!$F$15,$M180-$A$15,CB$13)))</f>
        <v>0</v>
      </c>
      <c r="CC180" s="171">
        <f ca="1">IF(OR($D180&lt;&gt;"Serviço",AND(AUTOEVENTO="Manual",$M180=$A$15)),0,
         IF(OFFSET(CRONOPLE!$F$15,$M180-$A$15,CC$13)=0,10^12,OFFSET(CRONOPLE!$F$15,$M180-$A$15,CC$13)))</f>
        <v>0</v>
      </c>
      <c r="CD180" s="171">
        <f ca="1">IF(OR($D180&lt;&gt;"Serviço",AND(AUTOEVENTO="Manual",$M180=$A$15)),0,
         IF(OFFSET(CRONOPLE!$F$15,$M180-$A$15,CD$13)=0,10^12,OFFSET(CRONOPLE!$F$15,$M180-$A$15,CD$13)))</f>
        <v>0</v>
      </c>
      <c r="CE180" s="171">
        <f ca="1">IF(OR($D180&lt;&gt;"Serviço",AND(AUTOEVENTO="Manual",$M180=$A$15)),0,
         IF(OFFSET(CRONOPLE!$F$15,$M180-$A$15,CE$13)=0,10^12,OFFSET(CRONOPLE!$F$15,$M180-$A$15,CE$13)))</f>
        <v>0</v>
      </c>
      <c r="CF180" s="171">
        <f ca="1">IF(OR($D180&lt;&gt;"Serviço",AND(AUTOEVENTO="Manual",$M180=$A$15)),0,
         IF(OFFSET(CRONOPLE!$F$15,$M180-$A$15,CF$13)=0,10^12,OFFSET(CRONOPLE!$F$15,$M180-$A$15,CF$13)))</f>
        <v>0</v>
      </c>
      <c r="CG180" s="171">
        <f ca="1">IF(OR($D180&lt;&gt;"Serviço",AND(AUTOEVENTO="Manual",$M180=$A$15)),0,
         IF(OFFSET(CRONOPLE!$F$15,$M180-$A$15,CG$13)=0,10^12,OFFSET(CRONOPLE!$F$15,$M180-$A$15,CG$13)))</f>
        <v>0</v>
      </c>
      <c r="CH180" s="171">
        <f ca="1">IF(OR($D180&lt;&gt;"Serviço",AND(AUTOEVENTO="Manual",$M180=$A$15)),0,
         IF(OFFSET(CRONOPLE!$F$15,$M180-$A$15,CH$13)=0,10^12,OFFSET(CRONOPLE!$F$15,$M180-$A$15,CH$13)))</f>
        <v>0</v>
      </c>
      <c r="CI180" s="171">
        <f ca="1">IF(OR($D180&lt;&gt;"Serviço",AND(AUTOEVENTO="Manual",$M180=$A$15)),0,
         IF(OFFSET(CRONOPLE!$F$15,$M180-$A$15,CI$13)=0,10^12,OFFSET(CRONOPLE!$F$15,$M180-$A$15,CI$13)))</f>
        <v>0</v>
      </c>
      <c r="CJ180" s="171">
        <f ca="1">IF(OR($D180&lt;&gt;"Serviço",AND(AUTOEVENTO="Manual",$M180=$A$15)),0,
         IF(OFFSET(CRONOPLE!$F$15,$M180-$A$15,CJ$13)=0,10^12,OFFSET(CRONOPLE!$F$15,$M180-$A$15,CJ$13)))</f>
        <v>0</v>
      </c>
      <c r="CK180" s="171">
        <f ca="1">IF(OR($D180&lt;&gt;"Serviço",AND(AUTOEVENTO="Manual",$M180=$A$15)),0,
         IF(OFFSET(CRONOPLE!$F$15,$M180-$A$15,CK$13)=0,10^12,OFFSET(CRONOPLE!$F$15,$M180-$A$15,CK$13)))</f>
        <v>0</v>
      </c>
      <c r="CL180" s="171">
        <f ca="1">IF(OR($D180&lt;&gt;"Serviço",AND(AUTOEVENTO="Manual",$M180=$A$15)),0,
         IF(OFFSET(CRONOPLE!$F$15,$M180-$A$15,CL$13)=0,10^12,OFFSET(CRONOPLE!$F$15,$M180-$A$15,CL$13)))</f>
        <v>0</v>
      </c>
      <c r="CM180" s="171">
        <f ca="1">IF(OR($D180&lt;&gt;"Serviço",AND(AUTOEVENTO="Manual",$M180=$A$15)),0,
         IF(OFFSET(CRONOPLE!$F$15,$M180-$A$15,CM$13)=0,10^12,OFFSET(CRONOPLE!$F$15,$M180-$A$15,CM$13)))</f>
        <v>0</v>
      </c>
      <c r="CN180" s="171">
        <f ca="1">IF(OR($D180&lt;&gt;"Serviço",AND(AUTOEVENTO="Manual",$M180=$A$15)),0,
         IF(OFFSET(CRONOPLE!$F$15,$M180-$A$15,CN$13)=0,10^12,OFFSET(CRONOPLE!$F$15,$M180-$A$15,CN$13)))</f>
        <v>0</v>
      </c>
      <c r="CO180" s="171">
        <f ca="1">IF(OR($D180&lt;&gt;"Serviço",AND(AUTOEVENTO="Manual",$M180=$A$15)),0,
         IF(OFFSET(CRONOPLE!$F$15,$M180-$A$15,CO$13)=0,10^12,OFFSET(CRONOPLE!$F$15,$M180-$A$15,CO$13)))</f>
        <v>0</v>
      </c>
      <c r="CP180" s="171">
        <f ca="1">IF(OR($D180&lt;&gt;"Serviço",AND(AUTOEVENTO="Manual",$M180=$A$15)),0,
         IF(OFFSET(CRONOPLE!$F$15,$M180-$A$15,CP$13)=0,10^12,OFFSET(CRONOPLE!$F$15,$M180-$A$15,CP$13)))</f>
        <v>0</v>
      </c>
      <c r="CQ180" s="171">
        <f ca="1">IF(OR($D180&lt;&gt;"Serviço",AND(AUTOEVENTO="Manual",$M180=$A$15)),0,
         IF(OFFSET(CRONOPLE!$F$15,$M180-$A$15,CQ$13)=0,10^12,OFFSET(CRONOPLE!$F$15,$M180-$A$15,CQ$13)))</f>
        <v>0</v>
      </c>
      <c r="CR180" s="171">
        <f ca="1">IF(OR($D180&lt;&gt;"Serviço",AND(AUTOEVENTO="Manual",$M180=$A$15)),0,
         IF(OFFSET(CRONOPLE!$F$15,$M180-$A$15,CR$13)=0,10^12,OFFSET(CRONOPLE!$F$15,$M180-$A$15,CR$13)))</f>
        <v>0</v>
      </c>
      <c r="CT180" s="172" cm="1">
        <f t="array" aca="1" ref="CT180" ca="1">IF(OR($D180&lt;&gt;"Serviço",AND(AUTOEVENTO="Manual",$M180=$A$15),$M180&gt;(ROW(PLE.lastrow)-ROW(PLE.firstrow))),0,
           IF(OFFSET(PLE!$G$15,$M180-$A$15,CT$13)="",10^12,OFFSET(PLE!$G$15,$M180-$A$15,CT$13)))</f>
        <v>0</v>
      </c>
      <c r="CU180" s="172" cm="1">
        <f t="array" aca="1" ref="CU180" ca="1">IF(OR($D180&lt;&gt;"Serviço",AND(AUTOEVENTO="Manual",$M180=$A$15),$M180&gt;(ROW(PLE.lastrow)-ROW(PLE.firstrow))),0,
           IF(OFFSET(PLE!$G$15,$M180-$A$15,CU$13)="",10^12,OFFSET(PLE!$G$15,$M180-$A$15,CU$13)))</f>
        <v>0</v>
      </c>
      <c r="CV180" s="172" cm="1">
        <f t="array" aca="1" ref="CV180" ca="1">IF(OR($D180&lt;&gt;"Serviço",AND(AUTOEVENTO="Manual",$M180=$A$15),$M180&gt;(ROW(PLE.lastrow)-ROW(PLE.firstrow))),0,
           IF(OFFSET(PLE!$G$15,$M180-$A$15,CV$13)="",10^12,OFFSET(PLE!$G$15,$M180-$A$15,CV$13)))</f>
        <v>0</v>
      </c>
      <c r="CW180" s="172" cm="1">
        <f t="array" aca="1" ref="CW180" ca="1">IF(OR($D180&lt;&gt;"Serviço",AND(AUTOEVENTO="Manual",$M180=$A$15),$M180&gt;(ROW(PLE.lastrow)-ROW(PLE.firstrow))),0,
           IF(OFFSET(PLE!$G$15,$M180-$A$15,CW$13)="",10^12,OFFSET(PLE!$G$15,$M180-$A$15,CW$13)))</f>
        <v>0</v>
      </c>
      <c r="CX180" s="172" cm="1">
        <f t="array" aca="1" ref="CX180" ca="1">IF(OR($D180&lt;&gt;"Serviço",AND(AUTOEVENTO="Manual",$M180=$A$15),$M180&gt;(ROW(PLE.lastrow)-ROW(PLE.firstrow))),0,
           IF(OFFSET(PLE!$G$15,$M180-$A$15,CX$13)="",10^12,OFFSET(PLE!$G$15,$M180-$A$15,CX$13)))</f>
        <v>0</v>
      </c>
      <c r="CY180" s="172" cm="1">
        <f t="array" aca="1" ref="CY180" ca="1">IF(OR($D180&lt;&gt;"Serviço",AND(AUTOEVENTO="Manual",$M180=$A$15),$M180&gt;(ROW(PLE.lastrow)-ROW(PLE.firstrow))),0,
           IF(OFFSET(PLE!$G$15,$M180-$A$15,CY$13)="",10^12,OFFSET(PLE!$G$15,$M180-$A$15,CY$13)))</f>
        <v>0</v>
      </c>
      <c r="CZ180" s="172" cm="1">
        <f t="array" aca="1" ref="CZ180" ca="1">IF(OR($D180&lt;&gt;"Serviço",AND(AUTOEVENTO="Manual",$M180=$A$15),$M180&gt;(ROW(PLE.lastrow)-ROW(PLE.firstrow))),0,
           IF(OFFSET(PLE!$G$15,$M180-$A$15,CZ$13)="",10^12,OFFSET(PLE!$G$15,$M180-$A$15,CZ$13)))</f>
        <v>0</v>
      </c>
      <c r="DA180" s="172" cm="1">
        <f t="array" aca="1" ref="DA180" ca="1">IF(OR($D180&lt;&gt;"Serviço",AND(AUTOEVENTO="Manual",$M180=$A$15),$M180&gt;(ROW(PLE.lastrow)-ROW(PLE.firstrow))),0,
           IF(OFFSET(PLE!$G$15,$M180-$A$15,DA$13)="",10^12,OFFSET(PLE!$G$15,$M180-$A$15,DA$13)))</f>
        <v>0</v>
      </c>
      <c r="DB180" s="172" cm="1">
        <f t="array" aca="1" ref="DB180" ca="1">IF(OR($D180&lt;&gt;"Serviço",AND(AUTOEVENTO="Manual",$M180=$A$15),$M180&gt;(ROW(PLE.lastrow)-ROW(PLE.firstrow))),0,
           IF(OFFSET(PLE!$G$15,$M180-$A$15,DB$13)="",10^12,OFFSET(PLE!$G$15,$M180-$A$15,DB$13)))</f>
        <v>0</v>
      </c>
      <c r="DC180" s="172" cm="1">
        <f t="array" aca="1" ref="DC180" ca="1">IF(OR($D180&lt;&gt;"Serviço",AND(AUTOEVENTO="Manual",$M180=$A$15),$M180&gt;(ROW(PLE.lastrow)-ROW(PLE.firstrow))),0,
           IF(OFFSET(PLE!$G$15,$M180-$A$15,DC$13)="",10^12,OFFSET(PLE!$G$15,$M180-$A$15,DC$13)))</f>
        <v>0</v>
      </c>
      <c r="DD180" s="172" cm="1">
        <f t="array" aca="1" ref="DD180" ca="1">IF(OR($D180&lt;&gt;"Serviço",AND(AUTOEVENTO="Manual",$M180=$A$15),$M180&gt;(ROW(PLE.lastrow)-ROW(PLE.firstrow))),0,
           IF(OFFSET(PLE!$G$15,$M180-$A$15,DD$13)="",10^12,OFFSET(PLE!$G$15,$M180-$A$15,DD$13)))</f>
        <v>0</v>
      </c>
      <c r="DE180" s="172" cm="1">
        <f t="array" aca="1" ref="DE180" ca="1">IF(OR($D180&lt;&gt;"Serviço",AND(AUTOEVENTO="Manual",$M180=$A$15),$M180&gt;(ROW(PLE.lastrow)-ROW(PLE.firstrow))),0,
           IF(OFFSET(PLE!$G$15,$M180-$A$15,DE$13)="",10^12,OFFSET(PLE!$G$15,$M180-$A$15,DE$13)))</f>
        <v>0</v>
      </c>
      <c r="DF180" s="172" cm="1">
        <f t="array" aca="1" ref="DF180" ca="1">IF(OR($D180&lt;&gt;"Serviço",AND(AUTOEVENTO="Manual",$M180=$A$15),$M180&gt;(ROW(PLE.lastrow)-ROW(PLE.firstrow))),0,
           IF(OFFSET(PLE!$G$15,$M180-$A$15,DF$13)="",10^12,OFFSET(PLE!$G$15,$M180-$A$15,DF$13)))</f>
        <v>0</v>
      </c>
      <c r="DG180" s="172" cm="1">
        <f t="array" aca="1" ref="DG180" ca="1">IF(OR($D180&lt;&gt;"Serviço",AND(AUTOEVENTO="Manual",$M180=$A$15),$M180&gt;(ROW(PLE.lastrow)-ROW(PLE.firstrow))),0,
           IF(OFFSET(PLE!$G$15,$M180-$A$15,DG$13)="",10^12,OFFSET(PLE!$G$15,$M180-$A$15,DG$13)))</f>
        <v>0</v>
      </c>
      <c r="DH180" s="172" cm="1">
        <f t="array" aca="1" ref="DH180" ca="1">IF(OR($D180&lt;&gt;"Serviço",AND(AUTOEVENTO="Manual",$M180=$A$15),$M180&gt;(ROW(PLE.lastrow)-ROW(PLE.firstrow))),0,
           IF(OFFSET(PLE!$G$15,$M180-$A$15,DH$13)="",10^12,OFFSET(PLE!$G$15,$M180-$A$15,DH$13)))</f>
        <v>0</v>
      </c>
      <c r="DI180" s="172" cm="1">
        <f t="array" aca="1" ref="DI180" ca="1">IF(OR($D180&lt;&gt;"Serviço",AND(AUTOEVENTO="Manual",$M180=$A$15),$M180&gt;(ROW(PLE.lastrow)-ROW(PLE.firstrow))),0,
           IF(OFFSET(PLE!$G$15,$M180-$A$15,DI$13)="",10^12,OFFSET(PLE!$G$15,$M180-$A$15,DI$13)))</f>
        <v>0</v>
      </c>
      <c r="DJ180" s="172" cm="1">
        <f t="array" aca="1" ref="DJ180" ca="1">IF(OR($D180&lt;&gt;"Serviço",AND(AUTOEVENTO="Manual",$M180=$A$15),$M180&gt;(ROW(PLE.lastrow)-ROW(PLE.firstrow))),0,
           IF(OFFSET(PLE!$G$15,$M180-$A$15,DJ$13)="",10^12,OFFSET(PLE!$G$15,$M180-$A$15,DJ$13)))</f>
        <v>0</v>
      </c>
      <c r="DK180" s="172" cm="1">
        <f t="array" aca="1" ref="DK180" ca="1">IF(OR($D180&lt;&gt;"Serviço",AND(AUTOEVENTO="Manual",$M180=$A$15),$M180&gt;(ROW(PLE.lastrow)-ROW(PLE.firstrow))),0,
           IF(OFFSET(PLE!$G$15,$M180-$A$15,DK$13)="",10^12,OFFSET(PLE!$G$15,$M180-$A$15,DK$13)))</f>
        <v>0</v>
      </c>
      <c r="DL180" s="172" cm="1">
        <f t="array" aca="1" ref="DL180" ca="1">IF(OR($D180&lt;&gt;"Serviço",AND(AUTOEVENTO="Manual",$M180=$A$15),$M180&gt;(ROW(PLE.lastrow)-ROW(PLE.firstrow))),0,
           IF(OFFSET(PLE!$G$15,$M180-$A$15,DL$13)="",10^12,OFFSET(PLE!$G$15,$M180-$A$15,DL$13)))</f>
        <v>0</v>
      </c>
      <c r="DM180" s="172" cm="1">
        <f t="array" aca="1" ref="DM180" ca="1">IF(OR($D180&lt;&gt;"Serviço",AND(AUTOEVENTO="Manual",$M180=$A$15),$M180&gt;(ROW(PLE.lastrow)-ROW(PLE.firstrow))),0,
           IF(OFFSET(PLE!$G$15,$M180-$A$15,DM$13)="",10^12,OFFSET(PLE!$G$15,$M180-$A$15,DM$13)))</f>
        <v>0</v>
      </c>
      <c r="DN180" s="172" cm="1">
        <f t="array" aca="1" ref="DN180" ca="1">IF(OR($D180&lt;&gt;"Serviço",AND(AUTOEVENTO="Manual",$M180=$A$15),$M180&gt;(ROW(PLE.lastrow)-ROW(PLE.firstrow))),0,
           IF(OFFSET(PLE!$G$15,$M180-$A$15,DN$13)="",10^12,OFFSET(PLE!$G$15,$M180-$A$15,DN$13)))</f>
        <v>0</v>
      </c>
      <c r="DO180" s="172" cm="1">
        <f t="array" aca="1" ref="DO180" ca="1">IF(OR($D180&lt;&gt;"Serviço",AND(AUTOEVENTO="Manual",$M180=$A$15),$M180&gt;(ROW(PLE.lastrow)-ROW(PLE.firstrow))),0,
           IF(OFFSET(PLE!$G$15,$M180-$A$15,DO$13)="",10^12,OFFSET(PLE!$G$15,$M180-$A$15,DO$13)))</f>
        <v>0</v>
      </c>
      <c r="DP180" s="172" cm="1">
        <f t="array" aca="1" ref="DP180" ca="1">IF(OR($D180&lt;&gt;"Serviço",AND(AUTOEVENTO="Manual",$M180=$A$15),$M180&gt;(ROW(PLE.lastrow)-ROW(PLE.firstrow))),0,
           IF(OFFSET(PLE!$G$15,$M180-$A$15,DP$13)="",10^12,OFFSET(PLE!$G$15,$M180-$A$15,DP$13)))</f>
        <v>0</v>
      </c>
      <c r="DQ180" s="172" cm="1">
        <f t="array" aca="1" ref="DQ180" ca="1">IF(OR($D180&lt;&gt;"Serviço",AND(AUTOEVENTO="Manual",$M180=$A$15),$M180&gt;(ROW(PLE.lastrow)-ROW(PLE.firstrow))),0,
           IF(OFFSET(PLE!$G$15,$M180-$A$15,DQ$13)="",10^12,OFFSET(PLE!$G$15,$M180-$A$15,DQ$13)))</f>
        <v>0</v>
      </c>
      <c r="DR180" s="172" cm="1">
        <f t="array" aca="1" ref="DR180" ca="1">IF(OR($D180&lt;&gt;"Serviço",AND(AUTOEVENTO="Manual",$M180=$A$15),$M180&gt;(ROW(PLE.lastrow)-ROW(PLE.firstrow))),0,
           IF(OFFSET(PLE!$G$15,$M180-$A$15,DR$13)="",10^12,OFFSET(PLE!$G$15,$M180-$A$15,DR$13)))</f>
        <v>0</v>
      </c>
      <c r="DS180" s="172" cm="1">
        <f t="array" aca="1" ref="DS180" ca="1">IF(OR($D180&lt;&gt;"Serviço",AND(AUTOEVENTO="Manual",$M180=$A$15),$M180&gt;(ROW(PLE.lastrow)-ROW(PLE.firstrow))),0,
           IF(OFFSET(PLE!$G$15,$M180-$A$15,DS$13)="",10^12,OFFSET(PLE!$G$15,$M180-$A$15,DS$13)))</f>
        <v>0</v>
      </c>
    </row>
    <row r="181" spans="1:123" ht="51" x14ac:dyDescent="0.2">
      <c r="A181" s="7">
        <f t="shared" ref="A181:A212" ca="1" si="18">IFERROR(IF(AUTOEVENTO="Manual",IF(K181&lt;&gt;"",MIN(VALUE(LEFT(K181,FIND(".",K181)-1)),COUNTA(EVENTOS.Lista)),0),IF(OR($B181&gt;AUTOEVENTO,$B181="S",$B181=0),SUBSTITUTE(OFFSET($A181,-1,0),IF($D181="Serviço",".",""),""),$L181&amp;".")),0)</f>
        <v>9</v>
      </c>
      <c r="B181" s="7" t="str">
        <f ca="1">OFFSET(ORÇAMENTO!C$15,$L181,0)</f>
        <v>S</v>
      </c>
      <c r="C181" s="7" t="str">
        <f ca="1">OFFSET(ORÇAMENTO!L$15,$L181,0)</f>
        <v/>
      </c>
      <c r="D181" s="116" t="str">
        <f ca="1">OFFSET(ORÇAMENTO!N$15,$L181,0)</f>
        <v>Serviço</v>
      </c>
      <c r="E181" s="117" t="str">
        <f ca="1">OFFSET(ORÇAMENTO!O$15,$L181,0)</f>
        <v>-</v>
      </c>
      <c r="F181" s="163" t="str">
        <f ca="1">OFFSET(ORÇAMENTO!R$15,$L181,0)</f>
        <v>(Código não identificado nas referências)</v>
      </c>
      <c r="G181" s="164" t="str">
        <f ca="1">IF($D181&lt;&gt;"Serviço","",OFFSET(ORÇAMENTO!S$15,$L181,0))</f>
        <v>-</v>
      </c>
      <c r="H181" s="122" cm="1">
        <f t="array" aca="1" ref="H181" ca="1">IF($D181&lt;&gt;"Serviço",0,IF(ACOMPANHAMENTO="BM",ROUND(OFFSET(ORÇAMENTO!AJ$15,$L181,0),15-13*ORÇAMENTO!$AF$7),IF(IFERROR(CÁLCULO.FrentesPreenchidas,0)=0,0,SUM(ROUND(OFFSET($P181,0,1,1,CÁLCULO.FrentesPreenchidas),15-13*ORÇAMENTO!$AF$7)))))</f>
        <v>20</v>
      </c>
      <c r="I181" s="468" t="s">
        <v>1235</v>
      </c>
      <c r="J181" s="651" t="str" cm="1">
        <f t="array" aca="1" ref="J181" ca="1">IF(OR(B181&lt;&gt;"S",CÁLCULO.FrentesPreenchidas=0),"",IF(AND(ACOMPANHAMENTO="PLE",AUTOEVENTO="Manual",OR(H181&gt;0,ORÇAMENTO!AC181="QUANT."),OR(K181="",M181=0,N181="")),"►E",IF(AND(ACOMPANHAMENTO="PLE",ORÇAMENTO!AC181="QUANT."),"►Q",IF(AND(ACOMPANHAMENTO="PLE",H181&lt;&gt;SUMPRODUCT(($Q$1:$AQ$1=1)*ROUND(Q181:AQ181,15))),"►S",IF(AND(COUNTIF($P$11:$AQ$11,"▼")=0,H181&gt;0,I181=""),"◄M","")))))</f>
        <v/>
      </c>
      <c r="K181" s="652" t="s">
        <v>1257</v>
      </c>
      <c r="L181" s="165">
        <f t="shared" ca="1" si="17"/>
        <v>166</v>
      </c>
      <c r="M181" s="166">
        <f ca="1">IF($D181&lt;&gt;"Serviço","",
          IF(AUTOEVENTO="manual",$A181,
                IF(ISERROR(MATCH($A181,$A$15:OFFSET($A181,-1,0),0)),MAX($M$15:OFFSET(M181,-1,0))+1,
                      INDEX($M$15:OFFSET(M181,-1,0),MATCH($A181,$A$15:OFFSET($A181,-1,0),0)))))</f>
        <v>9</v>
      </c>
      <c r="N181" s="167" t="str">
        <f ca="1">IF($D181&lt;&gt;"Serviço","",
         IF(AUTOEVENTO="Manual",
                IF($A181=0,"&lt;-- defina o número do agrupador",
                       OFFSET(EVENTOS!$D$15,$A181-$A$15,0)),
                OFFSET($F$15,$A181,0)))</f>
        <v>INSTALAÇÕES</v>
      </c>
      <c r="O181" s="168"/>
      <c r="Q181" s="168">
        <v>1</v>
      </c>
      <c r="R181" s="169">
        <v>1</v>
      </c>
      <c r="S181" s="169">
        <v>1</v>
      </c>
      <c r="T181" s="169">
        <v>1</v>
      </c>
      <c r="U181" s="169">
        <v>1</v>
      </c>
      <c r="V181" s="169">
        <v>1</v>
      </c>
      <c r="W181" s="169">
        <v>1</v>
      </c>
      <c r="X181" s="169">
        <v>1</v>
      </c>
      <c r="Y181" s="169">
        <v>1</v>
      </c>
      <c r="Z181" s="170">
        <v>1</v>
      </c>
      <c r="AA181" s="169">
        <v>1</v>
      </c>
      <c r="AB181" s="169">
        <v>1</v>
      </c>
      <c r="AC181" s="169">
        <v>1</v>
      </c>
      <c r="AD181" s="169">
        <v>1</v>
      </c>
      <c r="AE181" s="169">
        <v>1</v>
      </c>
      <c r="AF181" s="169">
        <v>1</v>
      </c>
      <c r="AG181" s="169">
        <v>1</v>
      </c>
      <c r="AH181" s="170">
        <v>1</v>
      </c>
      <c r="AI181" s="169">
        <v>1</v>
      </c>
      <c r="AJ181" s="169">
        <v>1</v>
      </c>
      <c r="AK181" s="169"/>
      <c r="AL181" s="169"/>
      <c r="AM181" s="169"/>
      <c r="AN181" s="169"/>
      <c r="AO181" s="169"/>
      <c r="AP181" s="170"/>
      <c r="AR181" s="453">
        <f ca="1">IF(AND($D181="Serviço",AR$12&lt;&gt;0,$H181&gt;0,OR(AUTOEVENTO&lt;&gt;"manual",$M181&lt;&gt;$A$15)),
        IF(Import.TipoArredondamento&lt;&gt;"TransfereGOV",
              ROUND(OFFSET($P181,0,AR$13),15-13*ORÇAMENTO!$AF$7)/$H181*OFFSET(ORÇAMENTO!$X$15,ROW(AR181)-ROW(AR$15),0),
              ROUND(ROUND(OFFSET($P181,0,AR$13),15-13*ORÇAMENTO!$AF$7)*OFFSET(ORÇAMENTO!$W$15,ROW(AR181)-ROW(AR$15),0),15-13*ORÇAMENTO!$AF$11)),
         0)</f>
        <v>0</v>
      </c>
      <c r="AS181" s="453">
        <f ca="1">IF(AND($D181="Serviço",AS$12&lt;&gt;0,$H181&gt;0,OR(AUTOEVENTO&lt;&gt;"manual",$M181&lt;&gt;$A$15)),
        IF(Import.TipoArredondamento&lt;&gt;"TransfereGOV",
              ROUND(OFFSET($P181,0,AS$13),15-13*ORÇAMENTO!$AF$7)/$H181*OFFSET(ORÇAMENTO!$X$15,ROW(AS181)-ROW(AS$15),0),
              ROUND(ROUND(OFFSET($P181,0,AS$13),15-13*ORÇAMENTO!$AF$7)*OFFSET(ORÇAMENTO!$W$15,ROW(AS181)-ROW(AS$15),0),15-13*ORÇAMENTO!$AF$11)),
         0)</f>
        <v>0</v>
      </c>
      <c r="AT181" s="453">
        <f ca="1">IF(AND($D181="Serviço",AT$12&lt;&gt;0,$H181&gt;0,OR(AUTOEVENTO&lt;&gt;"manual",$M181&lt;&gt;$A$15)),
        IF(Import.TipoArredondamento&lt;&gt;"TransfereGOV",
              ROUND(OFFSET($P181,0,AT$13),15-13*ORÇAMENTO!$AF$7)/$H181*OFFSET(ORÇAMENTO!$X$15,ROW(AT181)-ROW(AT$15),0),
              ROUND(ROUND(OFFSET($P181,0,AT$13),15-13*ORÇAMENTO!$AF$7)*OFFSET(ORÇAMENTO!$W$15,ROW(AT181)-ROW(AT$15),0),15-13*ORÇAMENTO!$AF$11)),
         0)</f>
        <v>0</v>
      </c>
      <c r="AU181" s="453">
        <f ca="1">IF(AND($D181="Serviço",AU$12&lt;&gt;0,$H181&gt;0,OR(AUTOEVENTO&lt;&gt;"manual",$M181&lt;&gt;$A$15)),
        IF(Import.TipoArredondamento&lt;&gt;"TransfereGOV",
              ROUND(OFFSET($P181,0,AU$13),15-13*ORÇAMENTO!$AF$7)/$H181*OFFSET(ORÇAMENTO!$X$15,ROW(AU181)-ROW(AU$15),0),
              ROUND(ROUND(OFFSET($P181,0,AU$13),15-13*ORÇAMENTO!$AF$7)*OFFSET(ORÇAMENTO!$W$15,ROW(AU181)-ROW(AU$15),0),15-13*ORÇAMENTO!$AF$11)),
         0)</f>
        <v>0</v>
      </c>
      <c r="AV181" s="453">
        <f ca="1">IF(AND($D181="Serviço",AV$12&lt;&gt;0,$H181&gt;0,OR(AUTOEVENTO&lt;&gt;"manual",$M181&lt;&gt;$A$15)),
        IF(Import.TipoArredondamento&lt;&gt;"TransfereGOV",
              ROUND(OFFSET($P181,0,AV$13),15-13*ORÇAMENTO!$AF$7)/$H181*OFFSET(ORÇAMENTO!$X$15,ROW(AV181)-ROW(AV$15),0),
              ROUND(ROUND(OFFSET($P181,0,AV$13),15-13*ORÇAMENTO!$AF$7)*OFFSET(ORÇAMENTO!$W$15,ROW(AV181)-ROW(AV$15),0),15-13*ORÇAMENTO!$AF$11)),
         0)</f>
        <v>0</v>
      </c>
      <c r="AW181" s="453">
        <f ca="1">IF(AND($D181="Serviço",AW$12&lt;&gt;0,$H181&gt;0,OR(AUTOEVENTO&lt;&gt;"manual",$M181&lt;&gt;$A$15)),
        IF(Import.TipoArredondamento&lt;&gt;"TransfereGOV",
              ROUND(OFFSET($P181,0,AW$13),15-13*ORÇAMENTO!$AF$7)/$H181*OFFSET(ORÇAMENTO!$X$15,ROW(AW181)-ROW(AW$15),0),
              ROUND(ROUND(OFFSET($P181,0,AW$13),15-13*ORÇAMENTO!$AF$7)*OFFSET(ORÇAMENTO!$W$15,ROW(AW181)-ROW(AW$15),0),15-13*ORÇAMENTO!$AF$11)),
         0)</f>
        <v>0</v>
      </c>
      <c r="AX181" s="453">
        <f ca="1">IF(AND($D181="Serviço",AX$12&lt;&gt;0,$H181&gt;0,OR(AUTOEVENTO&lt;&gt;"manual",$M181&lt;&gt;$A$15)),
        IF(Import.TipoArredondamento&lt;&gt;"TransfereGOV",
              ROUND(OFFSET($P181,0,AX$13),15-13*ORÇAMENTO!$AF$7)/$H181*OFFSET(ORÇAMENTO!$X$15,ROW(AX181)-ROW(AX$15),0),
              ROUND(ROUND(OFFSET($P181,0,AX$13),15-13*ORÇAMENTO!$AF$7)*OFFSET(ORÇAMENTO!$W$15,ROW(AX181)-ROW(AX$15),0),15-13*ORÇAMENTO!$AF$11)),
         0)</f>
        <v>0</v>
      </c>
      <c r="AY181" s="453">
        <f ca="1">IF(AND($D181="Serviço",AY$12&lt;&gt;0,$H181&gt;0,OR(AUTOEVENTO&lt;&gt;"manual",$M181&lt;&gt;$A$15)),
        IF(Import.TipoArredondamento&lt;&gt;"TransfereGOV",
              ROUND(OFFSET($P181,0,AY$13),15-13*ORÇAMENTO!$AF$7)/$H181*OFFSET(ORÇAMENTO!$X$15,ROW(AY181)-ROW(AY$15),0),
              ROUND(ROUND(OFFSET($P181,0,AY$13),15-13*ORÇAMENTO!$AF$7)*OFFSET(ORÇAMENTO!$W$15,ROW(AY181)-ROW(AY$15),0),15-13*ORÇAMENTO!$AF$11)),
         0)</f>
        <v>0</v>
      </c>
      <c r="AZ181" s="453">
        <f ca="1">IF(AND($D181="Serviço",AZ$12&lt;&gt;0,$H181&gt;0,OR(AUTOEVENTO&lt;&gt;"manual",$M181&lt;&gt;$A$15)),
        IF(Import.TipoArredondamento&lt;&gt;"TransfereGOV",
              ROUND(OFFSET($P181,0,AZ$13),15-13*ORÇAMENTO!$AF$7)/$H181*OFFSET(ORÇAMENTO!$X$15,ROW(AZ181)-ROW(AZ$15),0),
              ROUND(ROUND(OFFSET($P181,0,AZ$13),15-13*ORÇAMENTO!$AF$7)*OFFSET(ORÇAMENTO!$W$15,ROW(AZ181)-ROW(AZ$15),0),15-13*ORÇAMENTO!$AF$11)),
         0)</f>
        <v>0</v>
      </c>
      <c r="BA181" s="453">
        <f ca="1">IF(AND($D181="Serviço",BA$12&lt;&gt;0,$H181&gt;0,OR(AUTOEVENTO&lt;&gt;"manual",$M181&lt;&gt;$A$15)),
        IF(Import.TipoArredondamento&lt;&gt;"TransfereGOV",
              ROUND(OFFSET($P181,0,BA$13),15-13*ORÇAMENTO!$AF$7)/$H181*OFFSET(ORÇAMENTO!$X$15,ROW(BA181)-ROW(BA$15),0),
              ROUND(ROUND(OFFSET($P181,0,BA$13),15-13*ORÇAMENTO!$AF$7)*OFFSET(ORÇAMENTO!$W$15,ROW(BA181)-ROW(BA$15),0),15-13*ORÇAMENTO!$AF$11)),
         0)</f>
        <v>0</v>
      </c>
      <c r="BB181" s="453">
        <f ca="1">IF(AND($D181="Serviço",BB$12&lt;&gt;0,$H181&gt;0,OR(AUTOEVENTO&lt;&gt;"manual",$M181&lt;&gt;$A$15)),
        IF(Import.TipoArredondamento&lt;&gt;"TransfereGOV",
              ROUND(OFFSET($P181,0,BB$13),15-13*ORÇAMENTO!$AF$7)/$H181*OFFSET(ORÇAMENTO!$X$15,ROW(BB181)-ROW(BB$15),0),
              ROUND(ROUND(OFFSET($P181,0,BB$13),15-13*ORÇAMENTO!$AF$7)*OFFSET(ORÇAMENTO!$W$15,ROW(BB181)-ROW(BB$15),0),15-13*ORÇAMENTO!$AF$11)),
         0)</f>
        <v>0</v>
      </c>
      <c r="BC181" s="453">
        <f ca="1">IF(AND($D181="Serviço",BC$12&lt;&gt;0,$H181&gt;0,OR(AUTOEVENTO&lt;&gt;"manual",$M181&lt;&gt;$A$15)),
        IF(Import.TipoArredondamento&lt;&gt;"TransfereGOV",
              ROUND(OFFSET($P181,0,BC$13),15-13*ORÇAMENTO!$AF$7)/$H181*OFFSET(ORÇAMENTO!$X$15,ROW(BC181)-ROW(BC$15),0),
              ROUND(ROUND(OFFSET($P181,0,BC$13),15-13*ORÇAMENTO!$AF$7)*OFFSET(ORÇAMENTO!$W$15,ROW(BC181)-ROW(BC$15),0),15-13*ORÇAMENTO!$AF$11)),
         0)</f>
        <v>0</v>
      </c>
      <c r="BD181" s="453">
        <f ca="1">IF(AND($D181="Serviço",BD$12&lt;&gt;0,$H181&gt;0,OR(AUTOEVENTO&lt;&gt;"manual",$M181&lt;&gt;$A$15)),
        IF(Import.TipoArredondamento&lt;&gt;"TransfereGOV",
              ROUND(OFFSET($P181,0,BD$13),15-13*ORÇAMENTO!$AF$7)/$H181*OFFSET(ORÇAMENTO!$X$15,ROW(BD181)-ROW(BD$15),0),
              ROUND(ROUND(OFFSET($P181,0,BD$13),15-13*ORÇAMENTO!$AF$7)*OFFSET(ORÇAMENTO!$W$15,ROW(BD181)-ROW(BD$15),0),15-13*ORÇAMENTO!$AF$11)),
         0)</f>
        <v>0</v>
      </c>
      <c r="BE181" s="453">
        <f ca="1">IF(AND($D181="Serviço",BE$12&lt;&gt;0,$H181&gt;0,OR(AUTOEVENTO&lt;&gt;"manual",$M181&lt;&gt;$A$15)),
        IF(Import.TipoArredondamento&lt;&gt;"TransfereGOV",
              ROUND(OFFSET($P181,0,BE$13),15-13*ORÇAMENTO!$AF$7)/$H181*OFFSET(ORÇAMENTO!$X$15,ROW(BE181)-ROW(BE$15),0),
              ROUND(ROUND(OFFSET($P181,0,BE$13),15-13*ORÇAMENTO!$AF$7)*OFFSET(ORÇAMENTO!$W$15,ROW(BE181)-ROW(BE$15),0),15-13*ORÇAMENTO!$AF$11)),
         0)</f>
        <v>0</v>
      </c>
      <c r="BF181" s="453">
        <f ca="1">IF(AND($D181="Serviço",BF$12&lt;&gt;0,$H181&gt;0,OR(AUTOEVENTO&lt;&gt;"manual",$M181&lt;&gt;$A$15)),
        IF(Import.TipoArredondamento&lt;&gt;"TransfereGOV",
              ROUND(OFFSET($P181,0,BF$13),15-13*ORÇAMENTO!$AF$7)/$H181*OFFSET(ORÇAMENTO!$X$15,ROW(BF181)-ROW(BF$15),0),
              ROUND(ROUND(OFFSET($P181,0,BF$13),15-13*ORÇAMENTO!$AF$7)*OFFSET(ORÇAMENTO!$W$15,ROW(BF181)-ROW(BF$15),0),15-13*ORÇAMENTO!$AF$11)),
         0)</f>
        <v>0</v>
      </c>
      <c r="BG181" s="453">
        <f ca="1">IF(AND($D181="Serviço",BG$12&lt;&gt;0,$H181&gt;0,OR(AUTOEVENTO&lt;&gt;"manual",$M181&lt;&gt;$A$15)),
        IF(Import.TipoArredondamento&lt;&gt;"TransfereGOV",
              ROUND(OFFSET($P181,0,BG$13),15-13*ORÇAMENTO!$AF$7)/$H181*OFFSET(ORÇAMENTO!$X$15,ROW(BG181)-ROW(BG$15),0),
              ROUND(ROUND(OFFSET($P181,0,BG$13),15-13*ORÇAMENTO!$AF$7)*OFFSET(ORÇAMENTO!$W$15,ROW(BG181)-ROW(BG$15),0),15-13*ORÇAMENTO!$AF$11)),
         0)</f>
        <v>0</v>
      </c>
      <c r="BH181" s="453">
        <f ca="1">IF(AND($D181="Serviço",BH$12&lt;&gt;0,$H181&gt;0,OR(AUTOEVENTO&lt;&gt;"manual",$M181&lt;&gt;$A$15)),
        IF(Import.TipoArredondamento&lt;&gt;"TransfereGOV",
              ROUND(OFFSET($P181,0,BH$13),15-13*ORÇAMENTO!$AF$7)/$H181*OFFSET(ORÇAMENTO!$X$15,ROW(BH181)-ROW(BH$15),0),
              ROUND(ROUND(OFFSET($P181,0,BH$13),15-13*ORÇAMENTO!$AF$7)*OFFSET(ORÇAMENTO!$W$15,ROW(BH181)-ROW(BH$15),0),15-13*ORÇAMENTO!$AF$11)),
         0)</f>
        <v>0</v>
      </c>
      <c r="BI181" s="453">
        <f ca="1">IF(AND($D181="Serviço",BI$12&lt;&gt;0,$H181&gt;0,OR(AUTOEVENTO&lt;&gt;"manual",$M181&lt;&gt;$A$15)),
        IF(Import.TipoArredondamento&lt;&gt;"TransfereGOV",
              ROUND(OFFSET($P181,0,BI$13),15-13*ORÇAMENTO!$AF$7)/$H181*OFFSET(ORÇAMENTO!$X$15,ROW(BI181)-ROW(BI$15),0),
              ROUND(ROUND(OFFSET($P181,0,BI$13),15-13*ORÇAMENTO!$AF$7)*OFFSET(ORÇAMENTO!$W$15,ROW(BI181)-ROW(BI$15),0),15-13*ORÇAMENTO!$AF$11)),
         0)</f>
        <v>0</v>
      </c>
      <c r="BJ181" s="453">
        <f ca="1">IF(AND($D181="Serviço",BJ$12&lt;&gt;0,$H181&gt;0,OR(AUTOEVENTO&lt;&gt;"manual",$M181&lt;&gt;$A$15)),
        IF(Import.TipoArredondamento&lt;&gt;"TransfereGOV",
              ROUND(OFFSET($P181,0,BJ$13),15-13*ORÇAMENTO!$AF$7)/$H181*OFFSET(ORÇAMENTO!$X$15,ROW(BJ181)-ROW(BJ$15),0),
              ROUND(ROUND(OFFSET($P181,0,BJ$13),15-13*ORÇAMENTO!$AF$7)*OFFSET(ORÇAMENTO!$W$15,ROW(BJ181)-ROW(BJ$15),0),15-13*ORÇAMENTO!$AF$11)),
         0)</f>
        <v>0</v>
      </c>
      <c r="BK181" s="453">
        <f ca="1">IF(AND($D181="Serviço",BK$12&lt;&gt;0,$H181&gt;0,OR(AUTOEVENTO&lt;&gt;"manual",$M181&lt;&gt;$A$15)),
        IF(Import.TipoArredondamento&lt;&gt;"TransfereGOV",
              ROUND(OFFSET($P181,0,BK$13),15-13*ORÇAMENTO!$AF$7)/$H181*OFFSET(ORÇAMENTO!$X$15,ROW(BK181)-ROW(BK$15),0),
              ROUND(ROUND(OFFSET($P181,0,BK$13),15-13*ORÇAMENTO!$AF$7)*OFFSET(ORÇAMENTO!$W$15,ROW(BK181)-ROW(BK$15),0),15-13*ORÇAMENTO!$AF$11)),
         0)</f>
        <v>0</v>
      </c>
      <c r="BL181" s="453">
        <f ca="1">IF(AND($D181="Serviço",BL$12&lt;&gt;0,$H181&gt;0,OR(AUTOEVENTO&lt;&gt;"manual",$M181&lt;&gt;$A$15)),
        IF(Import.TipoArredondamento&lt;&gt;"TransfereGOV",
              ROUND(OFFSET($P181,0,BL$13),15-13*ORÇAMENTO!$AF$7)/$H181*OFFSET(ORÇAMENTO!$X$15,ROW(BL181)-ROW(BL$15),0),
              ROUND(ROUND(OFFSET($P181,0,BL$13),15-13*ORÇAMENTO!$AF$7)*OFFSET(ORÇAMENTO!$W$15,ROW(BL181)-ROW(BL$15),0),15-13*ORÇAMENTO!$AF$11)),
         0)</f>
        <v>0</v>
      </c>
      <c r="BM181" s="453">
        <f ca="1">IF(AND($D181="Serviço",BM$12&lt;&gt;0,$H181&gt;0,OR(AUTOEVENTO&lt;&gt;"manual",$M181&lt;&gt;$A$15)),
        IF(Import.TipoArredondamento&lt;&gt;"TransfereGOV",
              ROUND(OFFSET($P181,0,BM$13),15-13*ORÇAMENTO!$AF$7)/$H181*OFFSET(ORÇAMENTO!$X$15,ROW(BM181)-ROW(BM$15),0),
              ROUND(ROUND(OFFSET($P181,0,BM$13),15-13*ORÇAMENTO!$AF$7)*OFFSET(ORÇAMENTO!$W$15,ROW(BM181)-ROW(BM$15),0),15-13*ORÇAMENTO!$AF$11)),
         0)</f>
        <v>0</v>
      </c>
      <c r="BN181" s="453">
        <f ca="1">IF(AND($D181="Serviço",BN$12&lt;&gt;0,$H181&gt;0,OR(AUTOEVENTO&lt;&gt;"manual",$M181&lt;&gt;$A$15)),
        IF(Import.TipoArredondamento&lt;&gt;"TransfereGOV",
              ROUND(OFFSET($P181,0,BN$13),15-13*ORÇAMENTO!$AF$7)/$H181*OFFSET(ORÇAMENTO!$X$15,ROW(BN181)-ROW(BN$15),0),
              ROUND(ROUND(OFFSET($P181,0,BN$13),15-13*ORÇAMENTO!$AF$7)*OFFSET(ORÇAMENTO!$W$15,ROW(BN181)-ROW(BN$15),0),15-13*ORÇAMENTO!$AF$11)),
         0)</f>
        <v>0</v>
      </c>
      <c r="BO181" s="453">
        <f ca="1">IF(AND($D181="Serviço",BO$12&lt;&gt;0,$H181&gt;0,OR(AUTOEVENTO&lt;&gt;"manual",$M181&lt;&gt;$A$15)),
        IF(Import.TipoArredondamento&lt;&gt;"TransfereGOV",
              ROUND(OFFSET($P181,0,BO$13),15-13*ORÇAMENTO!$AF$7)/$H181*OFFSET(ORÇAMENTO!$X$15,ROW(BO181)-ROW(BO$15),0),
              ROUND(ROUND(OFFSET($P181,0,BO$13),15-13*ORÇAMENTO!$AF$7)*OFFSET(ORÇAMENTO!$W$15,ROW(BO181)-ROW(BO$15),0),15-13*ORÇAMENTO!$AF$11)),
         0)</f>
        <v>0</v>
      </c>
      <c r="BP181" s="453">
        <f ca="1">IF(AND($D181="Serviço",BP$12&lt;&gt;0,$H181&gt;0,OR(AUTOEVENTO&lt;&gt;"manual",$M181&lt;&gt;$A$15)),
        IF(Import.TipoArredondamento&lt;&gt;"TransfereGOV",
              ROUND(OFFSET($P181,0,BP$13),15-13*ORÇAMENTO!$AF$7)/$H181*OFFSET(ORÇAMENTO!$X$15,ROW(BP181)-ROW(BP$15),0),
              ROUND(ROUND(OFFSET($P181,0,BP$13),15-13*ORÇAMENTO!$AF$7)*OFFSET(ORÇAMENTO!$W$15,ROW(BP181)-ROW(BP$15),0),15-13*ORÇAMENTO!$AF$11)),
         0)</f>
        <v>0</v>
      </c>
      <c r="BQ181" s="453">
        <f ca="1">IF(AND($D181="Serviço",BQ$12&lt;&gt;0,$H181&gt;0,OR(AUTOEVENTO&lt;&gt;"manual",$M181&lt;&gt;$A$15)),
        IF(Import.TipoArredondamento&lt;&gt;"TransfereGOV",
              ROUND(OFFSET($P181,0,BQ$13),15-13*ORÇAMENTO!$AF$7)/$H181*OFFSET(ORÇAMENTO!$X$15,ROW(BQ181)-ROW(BQ$15),0),
              ROUND(ROUND(OFFSET($P181,0,BQ$13),15-13*ORÇAMENTO!$AF$7)*OFFSET(ORÇAMENTO!$W$15,ROW(BQ181)-ROW(BQ$15),0),15-13*ORÇAMENTO!$AF$11)),
         0)</f>
        <v>0</v>
      </c>
      <c r="BS181" s="171">
        <f ca="1">IF(OR($D181&lt;&gt;"Serviço",AND(AUTOEVENTO="Manual",$M181=$A$15)),0,
         IF(OFFSET(CRONOPLE!$F$15,$M181-$A$15,BS$13)=0,10^12,OFFSET(CRONOPLE!$F$15,$M181-$A$15,BS$13)))</f>
        <v>1</v>
      </c>
      <c r="BT181" s="171">
        <f ca="1">IF(OR($D181&lt;&gt;"Serviço",AND(AUTOEVENTO="Manual",$M181=$A$15)),0,
         IF(OFFSET(CRONOPLE!$F$15,$M181-$A$15,BT$13)=0,10^12,OFFSET(CRONOPLE!$F$15,$M181-$A$15,BT$13)))</f>
        <v>2</v>
      </c>
      <c r="BU181" s="171">
        <f ca="1">IF(OR($D181&lt;&gt;"Serviço",AND(AUTOEVENTO="Manual",$M181=$A$15)),0,
         IF(OFFSET(CRONOPLE!$F$15,$M181-$A$15,BU$13)=0,10^12,OFFSET(CRONOPLE!$F$15,$M181-$A$15,BU$13)))</f>
        <v>3</v>
      </c>
      <c r="BV181" s="171">
        <f ca="1">IF(OR($D181&lt;&gt;"Serviço",AND(AUTOEVENTO="Manual",$M181=$A$15)),0,
         IF(OFFSET(CRONOPLE!$F$15,$M181-$A$15,BV$13)=0,10^12,OFFSET(CRONOPLE!$F$15,$M181-$A$15,BV$13)))</f>
        <v>4</v>
      </c>
      <c r="BW181" s="171">
        <f ca="1">IF(OR($D181&lt;&gt;"Serviço",AND(AUTOEVENTO="Manual",$M181=$A$15)),0,
         IF(OFFSET(CRONOPLE!$F$15,$M181-$A$15,BW$13)=0,10^12,OFFSET(CRONOPLE!$F$15,$M181-$A$15,BW$13)))</f>
        <v>5</v>
      </c>
      <c r="BX181" s="171">
        <f ca="1">IF(OR($D181&lt;&gt;"Serviço",AND(AUTOEVENTO="Manual",$M181=$A$15)),0,
         IF(OFFSET(CRONOPLE!$F$15,$M181-$A$15,BX$13)=0,10^12,OFFSET(CRONOPLE!$F$15,$M181-$A$15,BX$13)))</f>
        <v>6</v>
      </c>
      <c r="BY181" s="171">
        <f ca="1">IF(OR($D181&lt;&gt;"Serviço",AND(AUTOEVENTO="Manual",$M181=$A$15)),0,
         IF(OFFSET(CRONOPLE!$F$15,$M181-$A$15,BY$13)=0,10^12,OFFSET(CRONOPLE!$F$15,$M181-$A$15,BY$13)))</f>
        <v>7</v>
      </c>
      <c r="BZ181" s="171">
        <f ca="1">IF(OR($D181&lt;&gt;"Serviço",AND(AUTOEVENTO="Manual",$M181=$A$15)),0,
         IF(OFFSET(CRONOPLE!$F$15,$M181-$A$15,BZ$13)=0,10^12,OFFSET(CRONOPLE!$F$15,$M181-$A$15,BZ$13)))</f>
        <v>8</v>
      </c>
      <c r="CA181" s="171">
        <f ca="1">IF(OR($D181&lt;&gt;"Serviço",AND(AUTOEVENTO="Manual",$M181=$A$15)),0,
         IF(OFFSET(CRONOPLE!$F$15,$M181-$A$15,CA$13)=0,10^12,OFFSET(CRONOPLE!$F$15,$M181-$A$15,CA$13)))</f>
        <v>9</v>
      </c>
      <c r="CB181" s="171">
        <f ca="1">IF(OR($D181&lt;&gt;"Serviço",AND(AUTOEVENTO="Manual",$M181=$A$15)),0,
         IF(OFFSET(CRONOPLE!$F$15,$M181-$A$15,CB$13)=0,10^12,OFFSET(CRONOPLE!$F$15,$M181-$A$15,CB$13)))</f>
        <v>10</v>
      </c>
      <c r="CC181" s="171">
        <f ca="1">IF(OR($D181&lt;&gt;"Serviço",AND(AUTOEVENTO="Manual",$M181=$A$15)),0,
         IF(OFFSET(CRONOPLE!$F$15,$M181-$A$15,CC$13)=0,10^12,OFFSET(CRONOPLE!$F$15,$M181-$A$15,CC$13)))</f>
        <v>11</v>
      </c>
      <c r="CD181" s="171">
        <f ca="1">IF(OR($D181&lt;&gt;"Serviço",AND(AUTOEVENTO="Manual",$M181=$A$15)),0,
         IF(OFFSET(CRONOPLE!$F$15,$M181-$A$15,CD$13)=0,10^12,OFFSET(CRONOPLE!$F$15,$M181-$A$15,CD$13)))</f>
        <v>12</v>
      </c>
      <c r="CE181" s="171">
        <f ca="1">IF(OR($D181&lt;&gt;"Serviço",AND(AUTOEVENTO="Manual",$M181=$A$15)),0,
         IF(OFFSET(CRONOPLE!$F$15,$M181-$A$15,CE$13)=0,10^12,OFFSET(CRONOPLE!$F$15,$M181-$A$15,CE$13)))</f>
        <v>13</v>
      </c>
      <c r="CF181" s="171">
        <f ca="1">IF(OR($D181&lt;&gt;"Serviço",AND(AUTOEVENTO="Manual",$M181=$A$15)),0,
         IF(OFFSET(CRONOPLE!$F$15,$M181-$A$15,CF$13)=0,10^12,OFFSET(CRONOPLE!$F$15,$M181-$A$15,CF$13)))</f>
        <v>14</v>
      </c>
      <c r="CG181" s="171">
        <f ca="1">IF(OR($D181&lt;&gt;"Serviço",AND(AUTOEVENTO="Manual",$M181=$A$15)),0,
         IF(OFFSET(CRONOPLE!$F$15,$M181-$A$15,CG$13)=0,10^12,OFFSET(CRONOPLE!$F$15,$M181-$A$15,CG$13)))</f>
        <v>15</v>
      </c>
      <c r="CH181" s="171">
        <f ca="1">IF(OR($D181&lt;&gt;"Serviço",AND(AUTOEVENTO="Manual",$M181=$A$15)),0,
         IF(OFFSET(CRONOPLE!$F$15,$M181-$A$15,CH$13)=0,10^12,OFFSET(CRONOPLE!$F$15,$M181-$A$15,CH$13)))</f>
        <v>16</v>
      </c>
      <c r="CI181" s="171">
        <f ca="1">IF(OR($D181&lt;&gt;"Serviço",AND(AUTOEVENTO="Manual",$M181=$A$15)),0,
         IF(OFFSET(CRONOPLE!$F$15,$M181-$A$15,CI$13)=0,10^12,OFFSET(CRONOPLE!$F$15,$M181-$A$15,CI$13)))</f>
        <v>17</v>
      </c>
      <c r="CJ181" s="171">
        <f ca="1">IF(OR($D181&lt;&gt;"Serviço",AND(AUTOEVENTO="Manual",$M181=$A$15)),0,
         IF(OFFSET(CRONOPLE!$F$15,$M181-$A$15,CJ$13)=0,10^12,OFFSET(CRONOPLE!$F$15,$M181-$A$15,CJ$13)))</f>
        <v>18</v>
      </c>
      <c r="CK181" s="171">
        <f ca="1">IF(OR($D181&lt;&gt;"Serviço",AND(AUTOEVENTO="Manual",$M181=$A$15)),0,
         IF(OFFSET(CRONOPLE!$F$15,$M181-$A$15,CK$13)=0,10^12,OFFSET(CRONOPLE!$F$15,$M181-$A$15,CK$13)))</f>
        <v>19</v>
      </c>
      <c r="CL181" s="171">
        <f ca="1">IF(OR($D181&lt;&gt;"Serviço",AND(AUTOEVENTO="Manual",$M181=$A$15)),0,
         IF(OFFSET(CRONOPLE!$F$15,$M181-$A$15,CL$13)=0,10^12,OFFSET(CRONOPLE!$F$15,$M181-$A$15,CL$13)))</f>
        <v>20</v>
      </c>
      <c r="CM181" s="171">
        <f ca="1">IF(OR($D181&lt;&gt;"Serviço",AND(AUTOEVENTO="Manual",$M181=$A$15)),0,
         IF(OFFSET(CRONOPLE!$F$15,$M181-$A$15,CM$13)=0,10^12,OFFSET(CRONOPLE!$F$15,$M181-$A$15,CM$13)))</f>
        <v>1000000000000</v>
      </c>
      <c r="CN181" s="171">
        <f ca="1">IF(OR($D181&lt;&gt;"Serviço",AND(AUTOEVENTO="Manual",$M181=$A$15)),0,
         IF(OFFSET(CRONOPLE!$F$15,$M181-$A$15,CN$13)=0,10^12,OFFSET(CRONOPLE!$F$15,$M181-$A$15,CN$13)))</f>
        <v>1000000000000</v>
      </c>
      <c r="CO181" s="171">
        <f ca="1">IF(OR($D181&lt;&gt;"Serviço",AND(AUTOEVENTO="Manual",$M181=$A$15)),0,
         IF(OFFSET(CRONOPLE!$F$15,$M181-$A$15,CO$13)=0,10^12,OFFSET(CRONOPLE!$F$15,$M181-$A$15,CO$13)))</f>
        <v>1000000000000</v>
      </c>
      <c r="CP181" s="171">
        <f ca="1">IF(OR($D181&lt;&gt;"Serviço",AND(AUTOEVENTO="Manual",$M181=$A$15)),0,
         IF(OFFSET(CRONOPLE!$F$15,$M181-$A$15,CP$13)=0,10^12,OFFSET(CRONOPLE!$F$15,$M181-$A$15,CP$13)))</f>
        <v>1000000000000</v>
      </c>
      <c r="CQ181" s="171">
        <f ca="1">IF(OR($D181&lt;&gt;"Serviço",AND(AUTOEVENTO="Manual",$M181=$A$15)),0,
         IF(OFFSET(CRONOPLE!$F$15,$M181-$A$15,CQ$13)=0,10^12,OFFSET(CRONOPLE!$F$15,$M181-$A$15,CQ$13)))</f>
        <v>1000000000000</v>
      </c>
      <c r="CR181" s="171">
        <f ca="1">IF(OR($D181&lt;&gt;"Serviço",AND(AUTOEVENTO="Manual",$M181=$A$15)),0,
         IF(OFFSET(CRONOPLE!$F$15,$M181-$A$15,CR$13)=0,10^12,OFFSET(CRONOPLE!$F$15,$M181-$A$15,CR$13)))</f>
        <v>1000000000000</v>
      </c>
      <c r="CT181" s="172" cm="1">
        <f t="array" aca="1" ref="CT181" ca="1">IF(OR($D181&lt;&gt;"Serviço",AND(AUTOEVENTO="Manual",$M181=$A$15),$M181&gt;(ROW(PLE.lastrow)-ROW(PLE.firstrow))),0,
           IF(OFFSET(PLE!$G$15,$M181-$A$15,CT$13)="",10^12,OFFSET(PLE!$G$15,$M181-$A$15,CT$13)))</f>
        <v>1000000000000</v>
      </c>
      <c r="CU181" s="172" cm="1">
        <f t="array" aca="1" ref="CU181" ca="1">IF(OR($D181&lt;&gt;"Serviço",AND(AUTOEVENTO="Manual",$M181=$A$15),$M181&gt;(ROW(PLE.lastrow)-ROW(PLE.firstrow))),0,
           IF(OFFSET(PLE!$G$15,$M181-$A$15,CU$13)="",10^12,OFFSET(PLE!$G$15,$M181-$A$15,CU$13)))</f>
        <v>1000000000000</v>
      </c>
      <c r="CV181" s="172" cm="1">
        <f t="array" aca="1" ref="CV181" ca="1">IF(OR($D181&lt;&gt;"Serviço",AND(AUTOEVENTO="Manual",$M181=$A$15),$M181&gt;(ROW(PLE.lastrow)-ROW(PLE.firstrow))),0,
           IF(OFFSET(PLE!$G$15,$M181-$A$15,CV$13)="",10^12,OFFSET(PLE!$G$15,$M181-$A$15,CV$13)))</f>
        <v>1000000000000</v>
      </c>
      <c r="CW181" s="172" cm="1">
        <f t="array" aca="1" ref="CW181" ca="1">IF(OR($D181&lt;&gt;"Serviço",AND(AUTOEVENTO="Manual",$M181=$A$15),$M181&gt;(ROW(PLE.lastrow)-ROW(PLE.firstrow))),0,
           IF(OFFSET(PLE!$G$15,$M181-$A$15,CW$13)="",10^12,OFFSET(PLE!$G$15,$M181-$A$15,CW$13)))</f>
        <v>1000000000000</v>
      </c>
      <c r="CX181" s="172" cm="1">
        <f t="array" aca="1" ref="CX181" ca="1">IF(OR($D181&lt;&gt;"Serviço",AND(AUTOEVENTO="Manual",$M181=$A$15),$M181&gt;(ROW(PLE.lastrow)-ROW(PLE.firstrow))),0,
           IF(OFFSET(PLE!$G$15,$M181-$A$15,CX$13)="",10^12,OFFSET(PLE!$G$15,$M181-$A$15,CX$13)))</f>
        <v>1000000000000</v>
      </c>
      <c r="CY181" s="172" cm="1">
        <f t="array" aca="1" ref="CY181" ca="1">IF(OR($D181&lt;&gt;"Serviço",AND(AUTOEVENTO="Manual",$M181=$A$15),$M181&gt;(ROW(PLE.lastrow)-ROW(PLE.firstrow))),0,
           IF(OFFSET(PLE!$G$15,$M181-$A$15,CY$13)="",10^12,OFFSET(PLE!$G$15,$M181-$A$15,CY$13)))</f>
        <v>1000000000000</v>
      </c>
      <c r="CZ181" s="172" cm="1">
        <f t="array" aca="1" ref="CZ181" ca="1">IF(OR($D181&lt;&gt;"Serviço",AND(AUTOEVENTO="Manual",$M181=$A$15),$M181&gt;(ROW(PLE.lastrow)-ROW(PLE.firstrow))),0,
           IF(OFFSET(PLE!$G$15,$M181-$A$15,CZ$13)="",10^12,OFFSET(PLE!$G$15,$M181-$A$15,CZ$13)))</f>
        <v>1000000000000</v>
      </c>
      <c r="DA181" s="172" cm="1">
        <f t="array" aca="1" ref="DA181" ca="1">IF(OR($D181&lt;&gt;"Serviço",AND(AUTOEVENTO="Manual",$M181=$A$15),$M181&gt;(ROW(PLE.lastrow)-ROW(PLE.firstrow))),0,
           IF(OFFSET(PLE!$G$15,$M181-$A$15,DA$13)="",10^12,OFFSET(PLE!$G$15,$M181-$A$15,DA$13)))</f>
        <v>1000000000000</v>
      </c>
      <c r="DB181" s="172" cm="1">
        <f t="array" aca="1" ref="DB181" ca="1">IF(OR($D181&lt;&gt;"Serviço",AND(AUTOEVENTO="Manual",$M181=$A$15),$M181&gt;(ROW(PLE.lastrow)-ROW(PLE.firstrow))),0,
           IF(OFFSET(PLE!$G$15,$M181-$A$15,DB$13)="",10^12,OFFSET(PLE!$G$15,$M181-$A$15,DB$13)))</f>
        <v>1000000000000</v>
      </c>
      <c r="DC181" s="172" cm="1">
        <f t="array" aca="1" ref="DC181" ca="1">IF(OR($D181&lt;&gt;"Serviço",AND(AUTOEVENTO="Manual",$M181=$A$15),$M181&gt;(ROW(PLE.lastrow)-ROW(PLE.firstrow))),0,
           IF(OFFSET(PLE!$G$15,$M181-$A$15,DC$13)="",10^12,OFFSET(PLE!$G$15,$M181-$A$15,DC$13)))</f>
        <v>1000000000000</v>
      </c>
      <c r="DD181" s="172" cm="1">
        <f t="array" aca="1" ref="DD181" ca="1">IF(OR($D181&lt;&gt;"Serviço",AND(AUTOEVENTO="Manual",$M181=$A$15),$M181&gt;(ROW(PLE.lastrow)-ROW(PLE.firstrow))),0,
           IF(OFFSET(PLE!$G$15,$M181-$A$15,DD$13)="",10^12,OFFSET(PLE!$G$15,$M181-$A$15,DD$13)))</f>
        <v>1000000000000</v>
      </c>
      <c r="DE181" s="172" cm="1">
        <f t="array" aca="1" ref="DE181" ca="1">IF(OR($D181&lt;&gt;"Serviço",AND(AUTOEVENTO="Manual",$M181=$A$15),$M181&gt;(ROW(PLE.lastrow)-ROW(PLE.firstrow))),0,
           IF(OFFSET(PLE!$G$15,$M181-$A$15,DE$13)="",10^12,OFFSET(PLE!$G$15,$M181-$A$15,DE$13)))</f>
        <v>1000000000000</v>
      </c>
      <c r="DF181" s="172" cm="1">
        <f t="array" aca="1" ref="DF181" ca="1">IF(OR($D181&lt;&gt;"Serviço",AND(AUTOEVENTO="Manual",$M181=$A$15),$M181&gt;(ROW(PLE.lastrow)-ROW(PLE.firstrow))),0,
           IF(OFFSET(PLE!$G$15,$M181-$A$15,DF$13)="",10^12,OFFSET(PLE!$G$15,$M181-$A$15,DF$13)))</f>
        <v>1000000000000</v>
      </c>
      <c r="DG181" s="172" cm="1">
        <f t="array" aca="1" ref="DG181" ca="1">IF(OR($D181&lt;&gt;"Serviço",AND(AUTOEVENTO="Manual",$M181=$A$15),$M181&gt;(ROW(PLE.lastrow)-ROW(PLE.firstrow))),0,
           IF(OFFSET(PLE!$G$15,$M181-$A$15,DG$13)="",10^12,OFFSET(PLE!$G$15,$M181-$A$15,DG$13)))</f>
        <v>1000000000000</v>
      </c>
      <c r="DH181" s="172" cm="1">
        <f t="array" aca="1" ref="DH181" ca="1">IF(OR($D181&lt;&gt;"Serviço",AND(AUTOEVENTO="Manual",$M181=$A$15),$M181&gt;(ROW(PLE.lastrow)-ROW(PLE.firstrow))),0,
           IF(OFFSET(PLE!$G$15,$M181-$A$15,DH$13)="",10^12,OFFSET(PLE!$G$15,$M181-$A$15,DH$13)))</f>
        <v>1000000000000</v>
      </c>
      <c r="DI181" s="172" cm="1">
        <f t="array" aca="1" ref="DI181" ca="1">IF(OR($D181&lt;&gt;"Serviço",AND(AUTOEVENTO="Manual",$M181=$A$15),$M181&gt;(ROW(PLE.lastrow)-ROW(PLE.firstrow))),0,
           IF(OFFSET(PLE!$G$15,$M181-$A$15,DI$13)="",10^12,OFFSET(PLE!$G$15,$M181-$A$15,DI$13)))</f>
        <v>1000000000000</v>
      </c>
      <c r="DJ181" s="172" cm="1">
        <f t="array" aca="1" ref="DJ181" ca="1">IF(OR($D181&lt;&gt;"Serviço",AND(AUTOEVENTO="Manual",$M181=$A$15),$M181&gt;(ROW(PLE.lastrow)-ROW(PLE.firstrow))),0,
           IF(OFFSET(PLE!$G$15,$M181-$A$15,DJ$13)="",10^12,OFFSET(PLE!$G$15,$M181-$A$15,DJ$13)))</f>
        <v>1000000000000</v>
      </c>
      <c r="DK181" s="172" cm="1">
        <f t="array" aca="1" ref="DK181" ca="1">IF(OR($D181&lt;&gt;"Serviço",AND(AUTOEVENTO="Manual",$M181=$A$15),$M181&gt;(ROW(PLE.lastrow)-ROW(PLE.firstrow))),0,
           IF(OFFSET(PLE!$G$15,$M181-$A$15,DK$13)="",10^12,OFFSET(PLE!$G$15,$M181-$A$15,DK$13)))</f>
        <v>1000000000000</v>
      </c>
      <c r="DL181" s="172" cm="1">
        <f t="array" aca="1" ref="DL181" ca="1">IF(OR($D181&lt;&gt;"Serviço",AND(AUTOEVENTO="Manual",$M181=$A$15),$M181&gt;(ROW(PLE.lastrow)-ROW(PLE.firstrow))),0,
           IF(OFFSET(PLE!$G$15,$M181-$A$15,DL$13)="",10^12,OFFSET(PLE!$G$15,$M181-$A$15,DL$13)))</f>
        <v>1000000000000</v>
      </c>
      <c r="DM181" s="172" cm="1">
        <f t="array" aca="1" ref="DM181" ca="1">IF(OR($D181&lt;&gt;"Serviço",AND(AUTOEVENTO="Manual",$M181=$A$15),$M181&gt;(ROW(PLE.lastrow)-ROW(PLE.firstrow))),0,
           IF(OFFSET(PLE!$G$15,$M181-$A$15,DM$13)="",10^12,OFFSET(PLE!$G$15,$M181-$A$15,DM$13)))</f>
        <v>1000000000000</v>
      </c>
      <c r="DN181" s="172" cm="1">
        <f t="array" aca="1" ref="DN181" ca="1">IF(OR($D181&lt;&gt;"Serviço",AND(AUTOEVENTO="Manual",$M181=$A$15),$M181&gt;(ROW(PLE.lastrow)-ROW(PLE.firstrow))),0,
           IF(OFFSET(PLE!$G$15,$M181-$A$15,DN$13)="",10^12,OFFSET(PLE!$G$15,$M181-$A$15,DN$13)))</f>
        <v>1000000000000</v>
      </c>
      <c r="DO181" s="172" cm="1">
        <f t="array" aca="1" ref="DO181" ca="1">IF(OR($D181&lt;&gt;"Serviço",AND(AUTOEVENTO="Manual",$M181=$A$15),$M181&gt;(ROW(PLE.lastrow)-ROW(PLE.firstrow))),0,
           IF(OFFSET(PLE!$G$15,$M181-$A$15,DO$13)="",10^12,OFFSET(PLE!$G$15,$M181-$A$15,DO$13)))</f>
        <v>1000000000000</v>
      </c>
      <c r="DP181" s="172" cm="1">
        <f t="array" aca="1" ref="DP181" ca="1">IF(OR($D181&lt;&gt;"Serviço",AND(AUTOEVENTO="Manual",$M181=$A$15),$M181&gt;(ROW(PLE.lastrow)-ROW(PLE.firstrow))),0,
           IF(OFFSET(PLE!$G$15,$M181-$A$15,DP$13)="",10^12,OFFSET(PLE!$G$15,$M181-$A$15,DP$13)))</f>
        <v>1000000000000</v>
      </c>
      <c r="DQ181" s="172" cm="1">
        <f t="array" aca="1" ref="DQ181" ca="1">IF(OR($D181&lt;&gt;"Serviço",AND(AUTOEVENTO="Manual",$M181=$A$15),$M181&gt;(ROW(PLE.lastrow)-ROW(PLE.firstrow))),0,
           IF(OFFSET(PLE!$G$15,$M181-$A$15,DQ$13)="",10^12,OFFSET(PLE!$G$15,$M181-$A$15,DQ$13)))</f>
        <v>1000000000000</v>
      </c>
      <c r="DR181" s="172" cm="1">
        <f t="array" aca="1" ref="DR181" ca="1">IF(OR($D181&lt;&gt;"Serviço",AND(AUTOEVENTO="Manual",$M181=$A$15),$M181&gt;(ROW(PLE.lastrow)-ROW(PLE.firstrow))),0,
           IF(OFFSET(PLE!$G$15,$M181-$A$15,DR$13)="",10^12,OFFSET(PLE!$G$15,$M181-$A$15,DR$13)))</f>
        <v>1000000000000</v>
      </c>
      <c r="DS181" s="172" cm="1">
        <f t="array" aca="1" ref="DS181" ca="1">IF(OR($D181&lt;&gt;"Serviço",AND(AUTOEVENTO="Manual",$M181=$A$15),$M181&gt;(ROW(PLE.lastrow)-ROW(PLE.firstrow))),0,
           IF(OFFSET(PLE!$G$15,$M181-$A$15,DS$13)="",10^12,OFFSET(PLE!$G$15,$M181-$A$15,DS$13)))</f>
        <v>1000000000000</v>
      </c>
    </row>
    <row r="182" spans="1:123" ht="38.25" x14ac:dyDescent="0.2">
      <c r="A182" s="7">
        <f t="shared" ca="1" si="18"/>
        <v>9</v>
      </c>
      <c r="B182" s="7" t="str">
        <f ca="1">OFFSET(ORÇAMENTO!C$15,$L182,0)</f>
        <v>S</v>
      </c>
      <c r="C182" s="7" t="str">
        <f ca="1">OFFSET(ORÇAMENTO!L$15,$L182,0)</f>
        <v/>
      </c>
      <c r="D182" s="116" t="str">
        <f ca="1">OFFSET(ORÇAMENTO!N$15,$L182,0)</f>
        <v>Serviço</v>
      </c>
      <c r="E182" s="117" t="str">
        <f ca="1">OFFSET(ORÇAMENTO!O$15,$L182,0)</f>
        <v>-</v>
      </c>
      <c r="F182" s="163" t="str">
        <f ca="1">OFFSET(ORÇAMENTO!R$15,$L182,0)</f>
        <v>(Código não identificado nas referências)</v>
      </c>
      <c r="G182" s="164" t="str">
        <f ca="1">IF($D182&lt;&gt;"Serviço","",OFFSET(ORÇAMENTO!S$15,$L182,0))</f>
        <v>-</v>
      </c>
      <c r="H182" s="122" cm="1">
        <f t="array" aca="1" ref="H182" ca="1">IF($D182&lt;&gt;"Serviço",0,IF(ACOMPANHAMENTO="BM",ROUND(OFFSET(ORÇAMENTO!AJ$15,$L182,0),15-13*ORÇAMENTO!$AF$7),IF(IFERROR(CÁLCULO.FrentesPreenchidas,0)=0,0,SUM(ROUND(OFFSET($P182,0,1,1,CÁLCULO.FrentesPreenchidas),15-13*ORÇAMENTO!$AF$7)))))</f>
        <v>20</v>
      </c>
      <c r="I182" s="468" t="s">
        <v>1235</v>
      </c>
      <c r="J182" s="651" t="str" cm="1">
        <f t="array" aca="1" ref="J182" ca="1">IF(OR(B182&lt;&gt;"S",CÁLCULO.FrentesPreenchidas=0),"",IF(AND(ACOMPANHAMENTO="PLE",AUTOEVENTO="Manual",OR(H182&gt;0,ORÇAMENTO!AC182="QUANT."),OR(K182="",M182=0,N182="")),"►E",IF(AND(ACOMPANHAMENTO="PLE",ORÇAMENTO!AC182="QUANT."),"►Q",IF(AND(ACOMPANHAMENTO="PLE",H182&lt;&gt;SUMPRODUCT(($Q$1:$AQ$1=1)*ROUND(Q182:AQ182,15))),"►S",IF(AND(COUNTIF($P$11:$AQ$11,"▼")=0,H182&gt;0,I182=""),"◄M","")))))</f>
        <v/>
      </c>
      <c r="K182" s="652" t="s">
        <v>1257</v>
      </c>
      <c r="L182" s="165">
        <f t="shared" ca="1" si="17"/>
        <v>167</v>
      </c>
      <c r="M182" s="166">
        <f ca="1">IF($D182&lt;&gt;"Serviço","",
          IF(AUTOEVENTO="manual",$A182,
                IF(ISERROR(MATCH($A182,$A$15:OFFSET($A182,-1,0),0)),MAX($M$15:OFFSET(M182,-1,0))+1,
                      INDEX($M$15:OFFSET(M182,-1,0),MATCH($A182,$A$15:OFFSET($A182,-1,0),0)))))</f>
        <v>9</v>
      </c>
      <c r="N182" s="167" t="str">
        <f ca="1">IF($D182&lt;&gt;"Serviço","",
         IF(AUTOEVENTO="Manual",
                IF($A182=0,"&lt;-- defina o número do agrupador",
                       OFFSET(EVENTOS!$D$15,$A182-$A$15,0)),
                OFFSET($F$15,$A182,0)))</f>
        <v>INSTALAÇÕES</v>
      </c>
      <c r="O182" s="168"/>
      <c r="Q182" s="168">
        <v>1</v>
      </c>
      <c r="R182" s="169">
        <v>1</v>
      </c>
      <c r="S182" s="169">
        <v>1</v>
      </c>
      <c r="T182" s="169">
        <v>1</v>
      </c>
      <c r="U182" s="169">
        <v>1</v>
      </c>
      <c r="V182" s="169">
        <v>1</v>
      </c>
      <c r="W182" s="169">
        <v>1</v>
      </c>
      <c r="X182" s="169">
        <v>1</v>
      </c>
      <c r="Y182" s="169">
        <v>1</v>
      </c>
      <c r="Z182" s="170">
        <v>1</v>
      </c>
      <c r="AA182" s="169">
        <v>1</v>
      </c>
      <c r="AB182" s="169">
        <v>1</v>
      </c>
      <c r="AC182" s="169">
        <v>1</v>
      </c>
      <c r="AD182" s="169">
        <v>1</v>
      </c>
      <c r="AE182" s="169">
        <v>1</v>
      </c>
      <c r="AF182" s="169">
        <v>1</v>
      </c>
      <c r="AG182" s="169">
        <v>1</v>
      </c>
      <c r="AH182" s="170">
        <v>1</v>
      </c>
      <c r="AI182" s="169">
        <v>1</v>
      </c>
      <c r="AJ182" s="169">
        <v>1</v>
      </c>
      <c r="AK182" s="169"/>
      <c r="AL182" s="169"/>
      <c r="AM182" s="169"/>
      <c r="AN182" s="169"/>
      <c r="AO182" s="169"/>
      <c r="AP182" s="170"/>
      <c r="AR182" s="453">
        <f ca="1">IF(AND($D182="Serviço",AR$12&lt;&gt;0,$H182&gt;0,OR(AUTOEVENTO&lt;&gt;"manual",$M182&lt;&gt;$A$15)),
        IF(Import.TipoArredondamento&lt;&gt;"TransfereGOV",
              ROUND(OFFSET($P182,0,AR$13),15-13*ORÇAMENTO!$AF$7)/$H182*OFFSET(ORÇAMENTO!$X$15,ROW(AR182)-ROW(AR$15),0),
              ROUND(ROUND(OFFSET($P182,0,AR$13),15-13*ORÇAMENTO!$AF$7)*OFFSET(ORÇAMENTO!$W$15,ROW(AR182)-ROW(AR$15),0),15-13*ORÇAMENTO!$AF$11)),
         0)</f>
        <v>0</v>
      </c>
      <c r="AS182" s="453">
        <f ca="1">IF(AND($D182="Serviço",AS$12&lt;&gt;0,$H182&gt;0,OR(AUTOEVENTO&lt;&gt;"manual",$M182&lt;&gt;$A$15)),
        IF(Import.TipoArredondamento&lt;&gt;"TransfereGOV",
              ROUND(OFFSET($P182,0,AS$13),15-13*ORÇAMENTO!$AF$7)/$H182*OFFSET(ORÇAMENTO!$X$15,ROW(AS182)-ROW(AS$15),0),
              ROUND(ROUND(OFFSET($P182,0,AS$13),15-13*ORÇAMENTO!$AF$7)*OFFSET(ORÇAMENTO!$W$15,ROW(AS182)-ROW(AS$15),0),15-13*ORÇAMENTO!$AF$11)),
         0)</f>
        <v>0</v>
      </c>
      <c r="AT182" s="453">
        <f ca="1">IF(AND($D182="Serviço",AT$12&lt;&gt;0,$H182&gt;0,OR(AUTOEVENTO&lt;&gt;"manual",$M182&lt;&gt;$A$15)),
        IF(Import.TipoArredondamento&lt;&gt;"TransfereGOV",
              ROUND(OFFSET($P182,0,AT$13),15-13*ORÇAMENTO!$AF$7)/$H182*OFFSET(ORÇAMENTO!$X$15,ROW(AT182)-ROW(AT$15),0),
              ROUND(ROUND(OFFSET($P182,0,AT$13),15-13*ORÇAMENTO!$AF$7)*OFFSET(ORÇAMENTO!$W$15,ROW(AT182)-ROW(AT$15),0),15-13*ORÇAMENTO!$AF$11)),
         0)</f>
        <v>0</v>
      </c>
      <c r="AU182" s="453">
        <f ca="1">IF(AND($D182="Serviço",AU$12&lt;&gt;0,$H182&gt;0,OR(AUTOEVENTO&lt;&gt;"manual",$M182&lt;&gt;$A$15)),
        IF(Import.TipoArredondamento&lt;&gt;"TransfereGOV",
              ROUND(OFFSET($P182,0,AU$13),15-13*ORÇAMENTO!$AF$7)/$H182*OFFSET(ORÇAMENTO!$X$15,ROW(AU182)-ROW(AU$15),0),
              ROUND(ROUND(OFFSET($P182,0,AU$13),15-13*ORÇAMENTO!$AF$7)*OFFSET(ORÇAMENTO!$W$15,ROW(AU182)-ROW(AU$15),0),15-13*ORÇAMENTO!$AF$11)),
         0)</f>
        <v>0</v>
      </c>
      <c r="AV182" s="453">
        <f ca="1">IF(AND($D182="Serviço",AV$12&lt;&gt;0,$H182&gt;0,OR(AUTOEVENTO&lt;&gt;"manual",$M182&lt;&gt;$A$15)),
        IF(Import.TipoArredondamento&lt;&gt;"TransfereGOV",
              ROUND(OFFSET($P182,0,AV$13),15-13*ORÇAMENTO!$AF$7)/$H182*OFFSET(ORÇAMENTO!$X$15,ROW(AV182)-ROW(AV$15),0),
              ROUND(ROUND(OFFSET($P182,0,AV$13),15-13*ORÇAMENTO!$AF$7)*OFFSET(ORÇAMENTO!$W$15,ROW(AV182)-ROW(AV$15),0),15-13*ORÇAMENTO!$AF$11)),
         0)</f>
        <v>0</v>
      </c>
      <c r="AW182" s="453">
        <f ca="1">IF(AND($D182="Serviço",AW$12&lt;&gt;0,$H182&gt;0,OR(AUTOEVENTO&lt;&gt;"manual",$M182&lt;&gt;$A$15)),
        IF(Import.TipoArredondamento&lt;&gt;"TransfereGOV",
              ROUND(OFFSET($P182,0,AW$13),15-13*ORÇAMENTO!$AF$7)/$H182*OFFSET(ORÇAMENTO!$X$15,ROW(AW182)-ROW(AW$15),0),
              ROUND(ROUND(OFFSET($P182,0,AW$13),15-13*ORÇAMENTO!$AF$7)*OFFSET(ORÇAMENTO!$W$15,ROW(AW182)-ROW(AW$15),0),15-13*ORÇAMENTO!$AF$11)),
         0)</f>
        <v>0</v>
      </c>
      <c r="AX182" s="453">
        <f ca="1">IF(AND($D182="Serviço",AX$12&lt;&gt;0,$H182&gt;0,OR(AUTOEVENTO&lt;&gt;"manual",$M182&lt;&gt;$A$15)),
        IF(Import.TipoArredondamento&lt;&gt;"TransfereGOV",
              ROUND(OFFSET($P182,0,AX$13),15-13*ORÇAMENTO!$AF$7)/$H182*OFFSET(ORÇAMENTO!$X$15,ROW(AX182)-ROW(AX$15),0),
              ROUND(ROUND(OFFSET($P182,0,AX$13),15-13*ORÇAMENTO!$AF$7)*OFFSET(ORÇAMENTO!$W$15,ROW(AX182)-ROW(AX$15),0),15-13*ORÇAMENTO!$AF$11)),
         0)</f>
        <v>0</v>
      </c>
      <c r="AY182" s="453">
        <f ca="1">IF(AND($D182="Serviço",AY$12&lt;&gt;0,$H182&gt;0,OR(AUTOEVENTO&lt;&gt;"manual",$M182&lt;&gt;$A$15)),
        IF(Import.TipoArredondamento&lt;&gt;"TransfereGOV",
              ROUND(OFFSET($P182,0,AY$13),15-13*ORÇAMENTO!$AF$7)/$H182*OFFSET(ORÇAMENTO!$X$15,ROW(AY182)-ROW(AY$15),0),
              ROUND(ROUND(OFFSET($P182,0,AY$13),15-13*ORÇAMENTO!$AF$7)*OFFSET(ORÇAMENTO!$W$15,ROW(AY182)-ROW(AY$15),0),15-13*ORÇAMENTO!$AF$11)),
         0)</f>
        <v>0</v>
      </c>
      <c r="AZ182" s="453">
        <f ca="1">IF(AND($D182="Serviço",AZ$12&lt;&gt;0,$H182&gt;0,OR(AUTOEVENTO&lt;&gt;"manual",$M182&lt;&gt;$A$15)),
        IF(Import.TipoArredondamento&lt;&gt;"TransfereGOV",
              ROUND(OFFSET($P182,0,AZ$13),15-13*ORÇAMENTO!$AF$7)/$H182*OFFSET(ORÇAMENTO!$X$15,ROW(AZ182)-ROW(AZ$15),0),
              ROUND(ROUND(OFFSET($P182,0,AZ$13),15-13*ORÇAMENTO!$AF$7)*OFFSET(ORÇAMENTO!$W$15,ROW(AZ182)-ROW(AZ$15),0),15-13*ORÇAMENTO!$AF$11)),
         0)</f>
        <v>0</v>
      </c>
      <c r="BA182" s="453">
        <f ca="1">IF(AND($D182="Serviço",BA$12&lt;&gt;0,$H182&gt;0,OR(AUTOEVENTO&lt;&gt;"manual",$M182&lt;&gt;$A$15)),
        IF(Import.TipoArredondamento&lt;&gt;"TransfereGOV",
              ROUND(OFFSET($P182,0,BA$13),15-13*ORÇAMENTO!$AF$7)/$H182*OFFSET(ORÇAMENTO!$X$15,ROW(BA182)-ROW(BA$15),0),
              ROUND(ROUND(OFFSET($P182,0,BA$13),15-13*ORÇAMENTO!$AF$7)*OFFSET(ORÇAMENTO!$W$15,ROW(BA182)-ROW(BA$15),0),15-13*ORÇAMENTO!$AF$11)),
         0)</f>
        <v>0</v>
      </c>
      <c r="BB182" s="453">
        <f ca="1">IF(AND($D182="Serviço",BB$12&lt;&gt;0,$H182&gt;0,OR(AUTOEVENTO&lt;&gt;"manual",$M182&lt;&gt;$A$15)),
        IF(Import.TipoArredondamento&lt;&gt;"TransfereGOV",
              ROUND(OFFSET($P182,0,BB$13),15-13*ORÇAMENTO!$AF$7)/$H182*OFFSET(ORÇAMENTO!$X$15,ROW(BB182)-ROW(BB$15),0),
              ROUND(ROUND(OFFSET($P182,0,BB$13),15-13*ORÇAMENTO!$AF$7)*OFFSET(ORÇAMENTO!$W$15,ROW(BB182)-ROW(BB$15),0),15-13*ORÇAMENTO!$AF$11)),
         0)</f>
        <v>0</v>
      </c>
      <c r="BC182" s="453">
        <f ca="1">IF(AND($D182="Serviço",BC$12&lt;&gt;0,$H182&gt;0,OR(AUTOEVENTO&lt;&gt;"manual",$M182&lt;&gt;$A$15)),
        IF(Import.TipoArredondamento&lt;&gt;"TransfereGOV",
              ROUND(OFFSET($P182,0,BC$13),15-13*ORÇAMENTO!$AF$7)/$H182*OFFSET(ORÇAMENTO!$X$15,ROW(BC182)-ROW(BC$15),0),
              ROUND(ROUND(OFFSET($P182,0,BC$13),15-13*ORÇAMENTO!$AF$7)*OFFSET(ORÇAMENTO!$W$15,ROW(BC182)-ROW(BC$15),0),15-13*ORÇAMENTO!$AF$11)),
         0)</f>
        <v>0</v>
      </c>
      <c r="BD182" s="453">
        <f ca="1">IF(AND($D182="Serviço",BD$12&lt;&gt;0,$H182&gt;0,OR(AUTOEVENTO&lt;&gt;"manual",$M182&lt;&gt;$A$15)),
        IF(Import.TipoArredondamento&lt;&gt;"TransfereGOV",
              ROUND(OFFSET($P182,0,BD$13),15-13*ORÇAMENTO!$AF$7)/$H182*OFFSET(ORÇAMENTO!$X$15,ROW(BD182)-ROW(BD$15),0),
              ROUND(ROUND(OFFSET($P182,0,BD$13),15-13*ORÇAMENTO!$AF$7)*OFFSET(ORÇAMENTO!$W$15,ROW(BD182)-ROW(BD$15),0),15-13*ORÇAMENTO!$AF$11)),
         0)</f>
        <v>0</v>
      </c>
      <c r="BE182" s="453">
        <f ca="1">IF(AND($D182="Serviço",BE$12&lt;&gt;0,$H182&gt;0,OR(AUTOEVENTO&lt;&gt;"manual",$M182&lt;&gt;$A$15)),
        IF(Import.TipoArredondamento&lt;&gt;"TransfereGOV",
              ROUND(OFFSET($P182,0,BE$13),15-13*ORÇAMENTO!$AF$7)/$H182*OFFSET(ORÇAMENTO!$X$15,ROW(BE182)-ROW(BE$15),0),
              ROUND(ROUND(OFFSET($P182,0,BE$13),15-13*ORÇAMENTO!$AF$7)*OFFSET(ORÇAMENTO!$W$15,ROW(BE182)-ROW(BE$15),0),15-13*ORÇAMENTO!$AF$11)),
         0)</f>
        <v>0</v>
      </c>
      <c r="BF182" s="453">
        <f ca="1">IF(AND($D182="Serviço",BF$12&lt;&gt;0,$H182&gt;0,OR(AUTOEVENTO&lt;&gt;"manual",$M182&lt;&gt;$A$15)),
        IF(Import.TipoArredondamento&lt;&gt;"TransfereGOV",
              ROUND(OFFSET($P182,0,BF$13),15-13*ORÇAMENTO!$AF$7)/$H182*OFFSET(ORÇAMENTO!$X$15,ROW(BF182)-ROW(BF$15),0),
              ROUND(ROUND(OFFSET($P182,0,BF$13),15-13*ORÇAMENTO!$AF$7)*OFFSET(ORÇAMENTO!$W$15,ROW(BF182)-ROW(BF$15),0),15-13*ORÇAMENTO!$AF$11)),
         0)</f>
        <v>0</v>
      </c>
      <c r="BG182" s="453">
        <f ca="1">IF(AND($D182="Serviço",BG$12&lt;&gt;0,$H182&gt;0,OR(AUTOEVENTO&lt;&gt;"manual",$M182&lt;&gt;$A$15)),
        IF(Import.TipoArredondamento&lt;&gt;"TransfereGOV",
              ROUND(OFFSET($P182,0,BG$13),15-13*ORÇAMENTO!$AF$7)/$H182*OFFSET(ORÇAMENTO!$X$15,ROW(BG182)-ROW(BG$15),0),
              ROUND(ROUND(OFFSET($P182,0,BG$13),15-13*ORÇAMENTO!$AF$7)*OFFSET(ORÇAMENTO!$W$15,ROW(BG182)-ROW(BG$15),0),15-13*ORÇAMENTO!$AF$11)),
         0)</f>
        <v>0</v>
      </c>
      <c r="BH182" s="453">
        <f ca="1">IF(AND($D182="Serviço",BH$12&lt;&gt;0,$H182&gt;0,OR(AUTOEVENTO&lt;&gt;"manual",$M182&lt;&gt;$A$15)),
        IF(Import.TipoArredondamento&lt;&gt;"TransfereGOV",
              ROUND(OFFSET($P182,0,BH$13),15-13*ORÇAMENTO!$AF$7)/$H182*OFFSET(ORÇAMENTO!$X$15,ROW(BH182)-ROW(BH$15),0),
              ROUND(ROUND(OFFSET($P182,0,BH$13),15-13*ORÇAMENTO!$AF$7)*OFFSET(ORÇAMENTO!$W$15,ROW(BH182)-ROW(BH$15),0),15-13*ORÇAMENTO!$AF$11)),
         0)</f>
        <v>0</v>
      </c>
      <c r="BI182" s="453">
        <f ca="1">IF(AND($D182="Serviço",BI$12&lt;&gt;0,$H182&gt;0,OR(AUTOEVENTO&lt;&gt;"manual",$M182&lt;&gt;$A$15)),
        IF(Import.TipoArredondamento&lt;&gt;"TransfereGOV",
              ROUND(OFFSET($P182,0,BI$13),15-13*ORÇAMENTO!$AF$7)/$H182*OFFSET(ORÇAMENTO!$X$15,ROW(BI182)-ROW(BI$15),0),
              ROUND(ROUND(OFFSET($P182,0,BI$13),15-13*ORÇAMENTO!$AF$7)*OFFSET(ORÇAMENTO!$W$15,ROW(BI182)-ROW(BI$15),0),15-13*ORÇAMENTO!$AF$11)),
         0)</f>
        <v>0</v>
      </c>
      <c r="BJ182" s="453">
        <f ca="1">IF(AND($D182="Serviço",BJ$12&lt;&gt;0,$H182&gt;0,OR(AUTOEVENTO&lt;&gt;"manual",$M182&lt;&gt;$A$15)),
        IF(Import.TipoArredondamento&lt;&gt;"TransfereGOV",
              ROUND(OFFSET($P182,0,BJ$13),15-13*ORÇAMENTO!$AF$7)/$H182*OFFSET(ORÇAMENTO!$X$15,ROW(BJ182)-ROW(BJ$15),0),
              ROUND(ROUND(OFFSET($P182,0,BJ$13),15-13*ORÇAMENTO!$AF$7)*OFFSET(ORÇAMENTO!$W$15,ROW(BJ182)-ROW(BJ$15),0),15-13*ORÇAMENTO!$AF$11)),
         0)</f>
        <v>0</v>
      </c>
      <c r="BK182" s="453">
        <f ca="1">IF(AND($D182="Serviço",BK$12&lt;&gt;0,$H182&gt;0,OR(AUTOEVENTO&lt;&gt;"manual",$M182&lt;&gt;$A$15)),
        IF(Import.TipoArredondamento&lt;&gt;"TransfereGOV",
              ROUND(OFFSET($P182,0,BK$13),15-13*ORÇAMENTO!$AF$7)/$H182*OFFSET(ORÇAMENTO!$X$15,ROW(BK182)-ROW(BK$15),0),
              ROUND(ROUND(OFFSET($P182,0,BK$13),15-13*ORÇAMENTO!$AF$7)*OFFSET(ORÇAMENTO!$W$15,ROW(BK182)-ROW(BK$15),0),15-13*ORÇAMENTO!$AF$11)),
         0)</f>
        <v>0</v>
      </c>
      <c r="BL182" s="453">
        <f ca="1">IF(AND($D182="Serviço",BL$12&lt;&gt;0,$H182&gt;0,OR(AUTOEVENTO&lt;&gt;"manual",$M182&lt;&gt;$A$15)),
        IF(Import.TipoArredondamento&lt;&gt;"TransfereGOV",
              ROUND(OFFSET($P182,0,BL$13),15-13*ORÇAMENTO!$AF$7)/$H182*OFFSET(ORÇAMENTO!$X$15,ROW(BL182)-ROW(BL$15),0),
              ROUND(ROUND(OFFSET($P182,0,BL$13),15-13*ORÇAMENTO!$AF$7)*OFFSET(ORÇAMENTO!$W$15,ROW(BL182)-ROW(BL$15),0),15-13*ORÇAMENTO!$AF$11)),
         0)</f>
        <v>0</v>
      </c>
      <c r="BM182" s="453">
        <f ca="1">IF(AND($D182="Serviço",BM$12&lt;&gt;0,$H182&gt;0,OR(AUTOEVENTO&lt;&gt;"manual",$M182&lt;&gt;$A$15)),
        IF(Import.TipoArredondamento&lt;&gt;"TransfereGOV",
              ROUND(OFFSET($P182,0,BM$13),15-13*ORÇAMENTO!$AF$7)/$H182*OFFSET(ORÇAMENTO!$X$15,ROW(BM182)-ROW(BM$15),0),
              ROUND(ROUND(OFFSET($P182,0,BM$13),15-13*ORÇAMENTO!$AF$7)*OFFSET(ORÇAMENTO!$W$15,ROW(BM182)-ROW(BM$15),0),15-13*ORÇAMENTO!$AF$11)),
         0)</f>
        <v>0</v>
      </c>
      <c r="BN182" s="453">
        <f ca="1">IF(AND($D182="Serviço",BN$12&lt;&gt;0,$H182&gt;0,OR(AUTOEVENTO&lt;&gt;"manual",$M182&lt;&gt;$A$15)),
        IF(Import.TipoArredondamento&lt;&gt;"TransfereGOV",
              ROUND(OFFSET($P182,0,BN$13),15-13*ORÇAMENTO!$AF$7)/$H182*OFFSET(ORÇAMENTO!$X$15,ROW(BN182)-ROW(BN$15),0),
              ROUND(ROUND(OFFSET($P182,0,BN$13),15-13*ORÇAMENTO!$AF$7)*OFFSET(ORÇAMENTO!$W$15,ROW(BN182)-ROW(BN$15),0),15-13*ORÇAMENTO!$AF$11)),
         0)</f>
        <v>0</v>
      </c>
      <c r="BO182" s="453">
        <f ca="1">IF(AND($D182="Serviço",BO$12&lt;&gt;0,$H182&gt;0,OR(AUTOEVENTO&lt;&gt;"manual",$M182&lt;&gt;$A$15)),
        IF(Import.TipoArredondamento&lt;&gt;"TransfereGOV",
              ROUND(OFFSET($P182,0,BO$13),15-13*ORÇAMENTO!$AF$7)/$H182*OFFSET(ORÇAMENTO!$X$15,ROW(BO182)-ROW(BO$15),0),
              ROUND(ROUND(OFFSET($P182,0,BO$13),15-13*ORÇAMENTO!$AF$7)*OFFSET(ORÇAMENTO!$W$15,ROW(BO182)-ROW(BO$15),0),15-13*ORÇAMENTO!$AF$11)),
         0)</f>
        <v>0</v>
      </c>
      <c r="BP182" s="453">
        <f ca="1">IF(AND($D182="Serviço",BP$12&lt;&gt;0,$H182&gt;0,OR(AUTOEVENTO&lt;&gt;"manual",$M182&lt;&gt;$A$15)),
        IF(Import.TipoArredondamento&lt;&gt;"TransfereGOV",
              ROUND(OFFSET($P182,0,BP$13),15-13*ORÇAMENTO!$AF$7)/$H182*OFFSET(ORÇAMENTO!$X$15,ROW(BP182)-ROW(BP$15),0),
              ROUND(ROUND(OFFSET($P182,0,BP$13),15-13*ORÇAMENTO!$AF$7)*OFFSET(ORÇAMENTO!$W$15,ROW(BP182)-ROW(BP$15),0),15-13*ORÇAMENTO!$AF$11)),
         0)</f>
        <v>0</v>
      </c>
      <c r="BQ182" s="453">
        <f ca="1">IF(AND($D182="Serviço",BQ$12&lt;&gt;0,$H182&gt;0,OR(AUTOEVENTO&lt;&gt;"manual",$M182&lt;&gt;$A$15)),
        IF(Import.TipoArredondamento&lt;&gt;"TransfereGOV",
              ROUND(OFFSET($P182,0,BQ$13),15-13*ORÇAMENTO!$AF$7)/$H182*OFFSET(ORÇAMENTO!$X$15,ROW(BQ182)-ROW(BQ$15),0),
              ROUND(ROUND(OFFSET($P182,0,BQ$13),15-13*ORÇAMENTO!$AF$7)*OFFSET(ORÇAMENTO!$W$15,ROW(BQ182)-ROW(BQ$15),0),15-13*ORÇAMENTO!$AF$11)),
         0)</f>
        <v>0</v>
      </c>
      <c r="BS182" s="171">
        <f ca="1">IF(OR($D182&lt;&gt;"Serviço",AND(AUTOEVENTO="Manual",$M182=$A$15)),0,
         IF(OFFSET(CRONOPLE!$F$15,$M182-$A$15,BS$13)=0,10^12,OFFSET(CRONOPLE!$F$15,$M182-$A$15,BS$13)))</f>
        <v>1</v>
      </c>
      <c r="BT182" s="171">
        <f ca="1">IF(OR($D182&lt;&gt;"Serviço",AND(AUTOEVENTO="Manual",$M182=$A$15)),0,
         IF(OFFSET(CRONOPLE!$F$15,$M182-$A$15,BT$13)=0,10^12,OFFSET(CRONOPLE!$F$15,$M182-$A$15,BT$13)))</f>
        <v>2</v>
      </c>
      <c r="BU182" s="171">
        <f ca="1">IF(OR($D182&lt;&gt;"Serviço",AND(AUTOEVENTO="Manual",$M182=$A$15)),0,
         IF(OFFSET(CRONOPLE!$F$15,$M182-$A$15,BU$13)=0,10^12,OFFSET(CRONOPLE!$F$15,$M182-$A$15,BU$13)))</f>
        <v>3</v>
      </c>
      <c r="BV182" s="171">
        <f ca="1">IF(OR($D182&lt;&gt;"Serviço",AND(AUTOEVENTO="Manual",$M182=$A$15)),0,
         IF(OFFSET(CRONOPLE!$F$15,$M182-$A$15,BV$13)=0,10^12,OFFSET(CRONOPLE!$F$15,$M182-$A$15,BV$13)))</f>
        <v>4</v>
      </c>
      <c r="BW182" s="171">
        <f ca="1">IF(OR($D182&lt;&gt;"Serviço",AND(AUTOEVENTO="Manual",$M182=$A$15)),0,
         IF(OFFSET(CRONOPLE!$F$15,$M182-$A$15,BW$13)=0,10^12,OFFSET(CRONOPLE!$F$15,$M182-$A$15,BW$13)))</f>
        <v>5</v>
      </c>
      <c r="BX182" s="171">
        <f ca="1">IF(OR($D182&lt;&gt;"Serviço",AND(AUTOEVENTO="Manual",$M182=$A$15)),0,
         IF(OFFSET(CRONOPLE!$F$15,$M182-$A$15,BX$13)=0,10^12,OFFSET(CRONOPLE!$F$15,$M182-$A$15,BX$13)))</f>
        <v>6</v>
      </c>
      <c r="BY182" s="171">
        <f ca="1">IF(OR($D182&lt;&gt;"Serviço",AND(AUTOEVENTO="Manual",$M182=$A$15)),0,
         IF(OFFSET(CRONOPLE!$F$15,$M182-$A$15,BY$13)=0,10^12,OFFSET(CRONOPLE!$F$15,$M182-$A$15,BY$13)))</f>
        <v>7</v>
      </c>
      <c r="BZ182" s="171">
        <f ca="1">IF(OR($D182&lt;&gt;"Serviço",AND(AUTOEVENTO="Manual",$M182=$A$15)),0,
         IF(OFFSET(CRONOPLE!$F$15,$M182-$A$15,BZ$13)=0,10^12,OFFSET(CRONOPLE!$F$15,$M182-$A$15,BZ$13)))</f>
        <v>8</v>
      </c>
      <c r="CA182" s="171">
        <f ca="1">IF(OR($D182&lt;&gt;"Serviço",AND(AUTOEVENTO="Manual",$M182=$A$15)),0,
         IF(OFFSET(CRONOPLE!$F$15,$M182-$A$15,CA$13)=0,10^12,OFFSET(CRONOPLE!$F$15,$M182-$A$15,CA$13)))</f>
        <v>9</v>
      </c>
      <c r="CB182" s="171">
        <f ca="1">IF(OR($D182&lt;&gt;"Serviço",AND(AUTOEVENTO="Manual",$M182=$A$15)),0,
         IF(OFFSET(CRONOPLE!$F$15,$M182-$A$15,CB$13)=0,10^12,OFFSET(CRONOPLE!$F$15,$M182-$A$15,CB$13)))</f>
        <v>10</v>
      </c>
      <c r="CC182" s="171">
        <f ca="1">IF(OR($D182&lt;&gt;"Serviço",AND(AUTOEVENTO="Manual",$M182=$A$15)),0,
         IF(OFFSET(CRONOPLE!$F$15,$M182-$A$15,CC$13)=0,10^12,OFFSET(CRONOPLE!$F$15,$M182-$A$15,CC$13)))</f>
        <v>11</v>
      </c>
      <c r="CD182" s="171">
        <f ca="1">IF(OR($D182&lt;&gt;"Serviço",AND(AUTOEVENTO="Manual",$M182=$A$15)),0,
         IF(OFFSET(CRONOPLE!$F$15,$M182-$A$15,CD$13)=0,10^12,OFFSET(CRONOPLE!$F$15,$M182-$A$15,CD$13)))</f>
        <v>12</v>
      </c>
      <c r="CE182" s="171">
        <f ca="1">IF(OR($D182&lt;&gt;"Serviço",AND(AUTOEVENTO="Manual",$M182=$A$15)),0,
         IF(OFFSET(CRONOPLE!$F$15,$M182-$A$15,CE$13)=0,10^12,OFFSET(CRONOPLE!$F$15,$M182-$A$15,CE$13)))</f>
        <v>13</v>
      </c>
      <c r="CF182" s="171">
        <f ca="1">IF(OR($D182&lt;&gt;"Serviço",AND(AUTOEVENTO="Manual",$M182=$A$15)),0,
         IF(OFFSET(CRONOPLE!$F$15,$M182-$A$15,CF$13)=0,10^12,OFFSET(CRONOPLE!$F$15,$M182-$A$15,CF$13)))</f>
        <v>14</v>
      </c>
      <c r="CG182" s="171">
        <f ca="1">IF(OR($D182&lt;&gt;"Serviço",AND(AUTOEVENTO="Manual",$M182=$A$15)),0,
         IF(OFFSET(CRONOPLE!$F$15,$M182-$A$15,CG$13)=0,10^12,OFFSET(CRONOPLE!$F$15,$M182-$A$15,CG$13)))</f>
        <v>15</v>
      </c>
      <c r="CH182" s="171">
        <f ca="1">IF(OR($D182&lt;&gt;"Serviço",AND(AUTOEVENTO="Manual",$M182=$A$15)),0,
         IF(OFFSET(CRONOPLE!$F$15,$M182-$A$15,CH$13)=0,10^12,OFFSET(CRONOPLE!$F$15,$M182-$A$15,CH$13)))</f>
        <v>16</v>
      </c>
      <c r="CI182" s="171">
        <f ca="1">IF(OR($D182&lt;&gt;"Serviço",AND(AUTOEVENTO="Manual",$M182=$A$15)),0,
         IF(OFFSET(CRONOPLE!$F$15,$M182-$A$15,CI$13)=0,10^12,OFFSET(CRONOPLE!$F$15,$M182-$A$15,CI$13)))</f>
        <v>17</v>
      </c>
      <c r="CJ182" s="171">
        <f ca="1">IF(OR($D182&lt;&gt;"Serviço",AND(AUTOEVENTO="Manual",$M182=$A$15)),0,
         IF(OFFSET(CRONOPLE!$F$15,$M182-$A$15,CJ$13)=0,10^12,OFFSET(CRONOPLE!$F$15,$M182-$A$15,CJ$13)))</f>
        <v>18</v>
      </c>
      <c r="CK182" s="171">
        <f ca="1">IF(OR($D182&lt;&gt;"Serviço",AND(AUTOEVENTO="Manual",$M182=$A$15)),0,
         IF(OFFSET(CRONOPLE!$F$15,$M182-$A$15,CK$13)=0,10^12,OFFSET(CRONOPLE!$F$15,$M182-$A$15,CK$13)))</f>
        <v>19</v>
      </c>
      <c r="CL182" s="171">
        <f ca="1">IF(OR($D182&lt;&gt;"Serviço",AND(AUTOEVENTO="Manual",$M182=$A$15)),0,
         IF(OFFSET(CRONOPLE!$F$15,$M182-$A$15,CL$13)=0,10^12,OFFSET(CRONOPLE!$F$15,$M182-$A$15,CL$13)))</f>
        <v>20</v>
      </c>
      <c r="CM182" s="171">
        <f ca="1">IF(OR($D182&lt;&gt;"Serviço",AND(AUTOEVENTO="Manual",$M182=$A$15)),0,
         IF(OFFSET(CRONOPLE!$F$15,$M182-$A$15,CM$13)=0,10^12,OFFSET(CRONOPLE!$F$15,$M182-$A$15,CM$13)))</f>
        <v>1000000000000</v>
      </c>
      <c r="CN182" s="171">
        <f ca="1">IF(OR($D182&lt;&gt;"Serviço",AND(AUTOEVENTO="Manual",$M182=$A$15)),0,
         IF(OFFSET(CRONOPLE!$F$15,$M182-$A$15,CN$13)=0,10^12,OFFSET(CRONOPLE!$F$15,$M182-$A$15,CN$13)))</f>
        <v>1000000000000</v>
      </c>
      <c r="CO182" s="171">
        <f ca="1">IF(OR($D182&lt;&gt;"Serviço",AND(AUTOEVENTO="Manual",$M182=$A$15)),0,
         IF(OFFSET(CRONOPLE!$F$15,$M182-$A$15,CO$13)=0,10^12,OFFSET(CRONOPLE!$F$15,$M182-$A$15,CO$13)))</f>
        <v>1000000000000</v>
      </c>
      <c r="CP182" s="171">
        <f ca="1">IF(OR($D182&lt;&gt;"Serviço",AND(AUTOEVENTO="Manual",$M182=$A$15)),0,
         IF(OFFSET(CRONOPLE!$F$15,$M182-$A$15,CP$13)=0,10^12,OFFSET(CRONOPLE!$F$15,$M182-$A$15,CP$13)))</f>
        <v>1000000000000</v>
      </c>
      <c r="CQ182" s="171">
        <f ca="1">IF(OR($D182&lt;&gt;"Serviço",AND(AUTOEVENTO="Manual",$M182=$A$15)),0,
         IF(OFFSET(CRONOPLE!$F$15,$M182-$A$15,CQ$13)=0,10^12,OFFSET(CRONOPLE!$F$15,$M182-$A$15,CQ$13)))</f>
        <v>1000000000000</v>
      </c>
      <c r="CR182" s="171">
        <f ca="1">IF(OR($D182&lt;&gt;"Serviço",AND(AUTOEVENTO="Manual",$M182=$A$15)),0,
         IF(OFFSET(CRONOPLE!$F$15,$M182-$A$15,CR$13)=0,10^12,OFFSET(CRONOPLE!$F$15,$M182-$A$15,CR$13)))</f>
        <v>1000000000000</v>
      </c>
      <c r="CT182" s="172" cm="1">
        <f t="array" aca="1" ref="CT182" ca="1">IF(OR($D182&lt;&gt;"Serviço",AND(AUTOEVENTO="Manual",$M182=$A$15),$M182&gt;(ROW(PLE.lastrow)-ROW(PLE.firstrow))),0,
           IF(OFFSET(PLE!$G$15,$M182-$A$15,CT$13)="",10^12,OFFSET(PLE!$G$15,$M182-$A$15,CT$13)))</f>
        <v>1000000000000</v>
      </c>
      <c r="CU182" s="172" cm="1">
        <f t="array" aca="1" ref="CU182" ca="1">IF(OR($D182&lt;&gt;"Serviço",AND(AUTOEVENTO="Manual",$M182=$A$15),$M182&gt;(ROW(PLE.lastrow)-ROW(PLE.firstrow))),0,
           IF(OFFSET(PLE!$G$15,$M182-$A$15,CU$13)="",10^12,OFFSET(PLE!$G$15,$M182-$A$15,CU$13)))</f>
        <v>1000000000000</v>
      </c>
      <c r="CV182" s="172" cm="1">
        <f t="array" aca="1" ref="CV182" ca="1">IF(OR($D182&lt;&gt;"Serviço",AND(AUTOEVENTO="Manual",$M182=$A$15),$M182&gt;(ROW(PLE.lastrow)-ROW(PLE.firstrow))),0,
           IF(OFFSET(PLE!$G$15,$M182-$A$15,CV$13)="",10^12,OFFSET(PLE!$G$15,$M182-$A$15,CV$13)))</f>
        <v>1000000000000</v>
      </c>
      <c r="CW182" s="172" cm="1">
        <f t="array" aca="1" ref="CW182" ca="1">IF(OR($D182&lt;&gt;"Serviço",AND(AUTOEVENTO="Manual",$M182=$A$15),$M182&gt;(ROW(PLE.lastrow)-ROW(PLE.firstrow))),0,
           IF(OFFSET(PLE!$G$15,$M182-$A$15,CW$13)="",10^12,OFFSET(PLE!$G$15,$M182-$A$15,CW$13)))</f>
        <v>1000000000000</v>
      </c>
      <c r="CX182" s="172" cm="1">
        <f t="array" aca="1" ref="CX182" ca="1">IF(OR($D182&lt;&gt;"Serviço",AND(AUTOEVENTO="Manual",$M182=$A$15),$M182&gt;(ROW(PLE.lastrow)-ROW(PLE.firstrow))),0,
           IF(OFFSET(PLE!$G$15,$M182-$A$15,CX$13)="",10^12,OFFSET(PLE!$G$15,$M182-$A$15,CX$13)))</f>
        <v>1000000000000</v>
      </c>
      <c r="CY182" s="172" cm="1">
        <f t="array" aca="1" ref="CY182" ca="1">IF(OR($D182&lt;&gt;"Serviço",AND(AUTOEVENTO="Manual",$M182=$A$15),$M182&gt;(ROW(PLE.lastrow)-ROW(PLE.firstrow))),0,
           IF(OFFSET(PLE!$G$15,$M182-$A$15,CY$13)="",10^12,OFFSET(PLE!$G$15,$M182-$A$15,CY$13)))</f>
        <v>1000000000000</v>
      </c>
      <c r="CZ182" s="172" cm="1">
        <f t="array" aca="1" ref="CZ182" ca="1">IF(OR($D182&lt;&gt;"Serviço",AND(AUTOEVENTO="Manual",$M182=$A$15),$M182&gt;(ROW(PLE.lastrow)-ROW(PLE.firstrow))),0,
           IF(OFFSET(PLE!$G$15,$M182-$A$15,CZ$13)="",10^12,OFFSET(PLE!$G$15,$M182-$A$15,CZ$13)))</f>
        <v>1000000000000</v>
      </c>
      <c r="DA182" s="172" cm="1">
        <f t="array" aca="1" ref="DA182" ca="1">IF(OR($D182&lt;&gt;"Serviço",AND(AUTOEVENTO="Manual",$M182=$A$15),$M182&gt;(ROW(PLE.lastrow)-ROW(PLE.firstrow))),0,
           IF(OFFSET(PLE!$G$15,$M182-$A$15,DA$13)="",10^12,OFFSET(PLE!$G$15,$M182-$A$15,DA$13)))</f>
        <v>1000000000000</v>
      </c>
      <c r="DB182" s="172" cm="1">
        <f t="array" aca="1" ref="DB182" ca="1">IF(OR($D182&lt;&gt;"Serviço",AND(AUTOEVENTO="Manual",$M182=$A$15),$M182&gt;(ROW(PLE.lastrow)-ROW(PLE.firstrow))),0,
           IF(OFFSET(PLE!$G$15,$M182-$A$15,DB$13)="",10^12,OFFSET(PLE!$G$15,$M182-$A$15,DB$13)))</f>
        <v>1000000000000</v>
      </c>
      <c r="DC182" s="172" cm="1">
        <f t="array" aca="1" ref="DC182" ca="1">IF(OR($D182&lt;&gt;"Serviço",AND(AUTOEVENTO="Manual",$M182=$A$15),$M182&gt;(ROW(PLE.lastrow)-ROW(PLE.firstrow))),0,
           IF(OFFSET(PLE!$G$15,$M182-$A$15,DC$13)="",10^12,OFFSET(PLE!$G$15,$M182-$A$15,DC$13)))</f>
        <v>1000000000000</v>
      </c>
      <c r="DD182" s="172" cm="1">
        <f t="array" aca="1" ref="DD182" ca="1">IF(OR($D182&lt;&gt;"Serviço",AND(AUTOEVENTO="Manual",$M182=$A$15),$M182&gt;(ROW(PLE.lastrow)-ROW(PLE.firstrow))),0,
           IF(OFFSET(PLE!$G$15,$M182-$A$15,DD$13)="",10^12,OFFSET(PLE!$G$15,$M182-$A$15,DD$13)))</f>
        <v>1000000000000</v>
      </c>
      <c r="DE182" s="172" cm="1">
        <f t="array" aca="1" ref="DE182" ca="1">IF(OR($D182&lt;&gt;"Serviço",AND(AUTOEVENTO="Manual",$M182=$A$15),$M182&gt;(ROW(PLE.lastrow)-ROW(PLE.firstrow))),0,
           IF(OFFSET(PLE!$G$15,$M182-$A$15,DE$13)="",10^12,OFFSET(PLE!$G$15,$M182-$A$15,DE$13)))</f>
        <v>1000000000000</v>
      </c>
      <c r="DF182" s="172" cm="1">
        <f t="array" aca="1" ref="DF182" ca="1">IF(OR($D182&lt;&gt;"Serviço",AND(AUTOEVENTO="Manual",$M182=$A$15),$M182&gt;(ROW(PLE.lastrow)-ROW(PLE.firstrow))),0,
           IF(OFFSET(PLE!$G$15,$M182-$A$15,DF$13)="",10^12,OFFSET(PLE!$G$15,$M182-$A$15,DF$13)))</f>
        <v>1000000000000</v>
      </c>
      <c r="DG182" s="172" cm="1">
        <f t="array" aca="1" ref="DG182" ca="1">IF(OR($D182&lt;&gt;"Serviço",AND(AUTOEVENTO="Manual",$M182=$A$15),$M182&gt;(ROW(PLE.lastrow)-ROW(PLE.firstrow))),0,
           IF(OFFSET(PLE!$G$15,$M182-$A$15,DG$13)="",10^12,OFFSET(PLE!$G$15,$M182-$A$15,DG$13)))</f>
        <v>1000000000000</v>
      </c>
      <c r="DH182" s="172" cm="1">
        <f t="array" aca="1" ref="DH182" ca="1">IF(OR($D182&lt;&gt;"Serviço",AND(AUTOEVENTO="Manual",$M182=$A$15),$M182&gt;(ROW(PLE.lastrow)-ROW(PLE.firstrow))),0,
           IF(OFFSET(PLE!$G$15,$M182-$A$15,DH$13)="",10^12,OFFSET(PLE!$G$15,$M182-$A$15,DH$13)))</f>
        <v>1000000000000</v>
      </c>
      <c r="DI182" s="172" cm="1">
        <f t="array" aca="1" ref="DI182" ca="1">IF(OR($D182&lt;&gt;"Serviço",AND(AUTOEVENTO="Manual",$M182=$A$15),$M182&gt;(ROW(PLE.lastrow)-ROW(PLE.firstrow))),0,
           IF(OFFSET(PLE!$G$15,$M182-$A$15,DI$13)="",10^12,OFFSET(PLE!$G$15,$M182-$A$15,DI$13)))</f>
        <v>1000000000000</v>
      </c>
      <c r="DJ182" s="172" cm="1">
        <f t="array" aca="1" ref="DJ182" ca="1">IF(OR($D182&lt;&gt;"Serviço",AND(AUTOEVENTO="Manual",$M182=$A$15),$M182&gt;(ROW(PLE.lastrow)-ROW(PLE.firstrow))),0,
           IF(OFFSET(PLE!$G$15,$M182-$A$15,DJ$13)="",10^12,OFFSET(PLE!$G$15,$M182-$A$15,DJ$13)))</f>
        <v>1000000000000</v>
      </c>
      <c r="DK182" s="172" cm="1">
        <f t="array" aca="1" ref="DK182" ca="1">IF(OR($D182&lt;&gt;"Serviço",AND(AUTOEVENTO="Manual",$M182=$A$15),$M182&gt;(ROW(PLE.lastrow)-ROW(PLE.firstrow))),0,
           IF(OFFSET(PLE!$G$15,$M182-$A$15,DK$13)="",10^12,OFFSET(PLE!$G$15,$M182-$A$15,DK$13)))</f>
        <v>1000000000000</v>
      </c>
      <c r="DL182" s="172" cm="1">
        <f t="array" aca="1" ref="DL182" ca="1">IF(OR($D182&lt;&gt;"Serviço",AND(AUTOEVENTO="Manual",$M182=$A$15),$M182&gt;(ROW(PLE.lastrow)-ROW(PLE.firstrow))),0,
           IF(OFFSET(PLE!$G$15,$M182-$A$15,DL$13)="",10^12,OFFSET(PLE!$G$15,$M182-$A$15,DL$13)))</f>
        <v>1000000000000</v>
      </c>
      <c r="DM182" s="172" cm="1">
        <f t="array" aca="1" ref="DM182" ca="1">IF(OR($D182&lt;&gt;"Serviço",AND(AUTOEVENTO="Manual",$M182=$A$15),$M182&gt;(ROW(PLE.lastrow)-ROW(PLE.firstrow))),0,
           IF(OFFSET(PLE!$G$15,$M182-$A$15,DM$13)="",10^12,OFFSET(PLE!$G$15,$M182-$A$15,DM$13)))</f>
        <v>1000000000000</v>
      </c>
      <c r="DN182" s="172" cm="1">
        <f t="array" aca="1" ref="DN182" ca="1">IF(OR($D182&lt;&gt;"Serviço",AND(AUTOEVENTO="Manual",$M182=$A$15),$M182&gt;(ROW(PLE.lastrow)-ROW(PLE.firstrow))),0,
           IF(OFFSET(PLE!$G$15,$M182-$A$15,DN$13)="",10^12,OFFSET(PLE!$G$15,$M182-$A$15,DN$13)))</f>
        <v>1000000000000</v>
      </c>
      <c r="DO182" s="172" cm="1">
        <f t="array" aca="1" ref="DO182" ca="1">IF(OR($D182&lt;&gt;"Serviço",AND(AUTOEVENTO="Manual",$M182=$A$15),$M182&gt;(ROW(PLE.lastrow)-ROW(PLE.firstrow))),0,
           IF(OFFSET(PLE!$G$15,$M182-$A$15,DO$13)="",10^12,OFFSET(PLE!$G$15,$M182-$A$15,DO$13)))</f>
        <v>1000000000000</v>
      </c>
      <c r="DP182" s="172" cm="1">
        <f t="array" aca="1" ref="DP182" ca="1">IF(OR($D182&lt;&gt;"Serviço",AND(AUTOEVENTO="Manual",$M182=$A$15),$M182&gt;(ROW(PLE.lastrow)-ROW(PLE.firstrow))),0,
           IF(OFFSET(PLE!$G$15,$M182-$A$15,DP$13)="",10^12,OFFSET(PLE!$G$15,$M182-$A$15,DP$13)))</f>
        <v>1000000000000</v>
      </c>
      <c r="DQ182" s="172" cm="1">
        <f t="array" aca="1" ref="DQ182" ca="1">IF(OR($D182&lt;&gt;"Serviço",AND(AUTOEVENTO="Manual",$M182=$A$15),$M182&gt;(ROW(PLE.lastrow)-ROW(PLE.firstrow))),0,
           IF(OFFSET(PLE!$G$15,$M182-$A$15,DQ$13)="",10^12,OFFSET(PLE!$G$15,$M182-$A$15,DQ$13)))</f>
        <v>1000000000000</v>
      </c>
      <c r="DR182" s="172" cm="1">
        <f t="array" aca="1" ref="DR182" ca="1">IF(OR($D182&lt;&gt;"Serviço",AND(AUTOEVENTO="Manual",$M182=$A$15),$M182&gt;(ROW(PLE.lastrow)-ROW(PLE.firstrow))),0,
           IF(OFFSET(PLE!$G$15,$M182-$A$15,DR$13)="",10^12,OFFSET(PLE!$G$15,$M182-$A$15,DR$13)))</f>
        <v>1000000000000</v>
      </c>
      <c r="DS182" s="172" cm="1">
        <f t="array" aca="1" ref="DS182" ca="1">IF(OR($D182&lt;&gt;"Serviço",AND(AUTOEVENTO="Manual",$M182=$A$15),$M182&gt;(ROW(PLE.lastrow)-ROW(PLE.firstrow))),0,
           IF(OFFSET(PLE!$G$15,$M182-$A$15,DS$13)="",10^12,OFFSET(PLE!$G$15,$M182-$A$15,DS$13)))</f>
        <v>1000000000000</v>
      </c>
    </row>
    <row r="183" spans="1:123" ht="25.5" x14ac:dyDescent="0.2">
      <c r="A183" s="7">
        <f t="shared" ca="1" si="18"/>
        <v>9</v>
      </c>
      <c r="B183" s="7" t="str">
        <f ca="1">OFFSET(ORÇAMENTO!C$15,$L183,0)</f>
        <v>S</v>
      </c>
      <c r="C183" s="7" t="str">
        <f ca="1">OFFSET(ORÇAMENTO!L$15,$L183,0)</f>
        <v/>
      </c>
      <c r="D183" s="116" t="str">
        <f ca="1">OFFSET(ORÇAMENTO!N$15,$L183,0)</f>
        <v>Serviço</v>
      </c>
      <c r="E183" s="117" t="str">
        <f ca="1">OFFSET(ORÇAMENTO!O$15,$L183,0)</f>
        <v>-</v>
      </c>
      <c r="F183" s="163" t="str">
        <f ca="1">OFFSET(ORÇAMENTO!R$15,$L183,0)</f>
        <v>(Código não identificado nas referências)</v>
      </c>
      <c r="G183" s="164" t="str">
        <f ca="1">IF($D183&lt;&gt;"Serviço","",OFFSET(ORÇAMENTO!S$15,$L183,0))</f>
        <v>-</v>
      </c>
      <c r="H183" s="122" cm="1">
        <f t="array" aca="1" ref="H183" ca="1">IF($D183&lt;&gt;"Serviço",0,IF(ACOMPANHAMENTO="BM",ROUND(OFFSET(ORÇAMENTO!AJ$15,$L183,0),15-13*ORÇAMENTO!$AF$7),IF(IFERROR(CÁLCULO.FrentesPreenchidas,0)=0,0,SUM(ROUND(OFFSET($P183,0,1,1,CÁLCULO.FrentesPreenchidas),15-13*ORÇAMENTO!$AF$7)))))</f>
        <v>20</v>
      </c>
      <c r="I183" s="468" t="s">
        <v>1235</v>
      </c>
      <c r="J183" s="651" t="str" cm="1">
        <f t="array" aca="1" ref="J183" ca="1">IF(OR(B183&lt;&gt;"S",CÁLCULO.FrentesPreenchidas=0),"",IF(AND(ACOMPANHAMENTO="PLE",AUTOEVENTO="Manual",OR(H183&gt;0,ORÇAMENTO!AC183="QUANT."),OR(K183="",M183=0,N183="")),"►E",IF(AND(ACOMPANHAMENTO="PLE",ORÇAMENTO!AC183="QUANT."),"►Q",IF(AND(ACOMPANHAMENTO="PLE",H183&lt;&gt;SUMPRODUCT(($Q$1:$AQ$1=1)*ROUND(Q183:AQ183,15))),"►S",IF(AND(COUNTIF($P$11:$AQ$11,"▼")=0,H183&gt;0,I183=""),"◄M","")))))</f>
        <v/>
      </c>
      <c r="K183" s="652" t="s">
        <v>1257</v>
      </c>
      <c r="L183" s="165">
        <f t="shared" ca="1" si="17"/>
        <v>168</v>
      </c>
      <c r="M183" s="166">
        <f ca="1">IF($D183&lt;&gt;"Serviço","",
          IF(AUTOEVENTO="manual",$A183,
                IF(ISERROR(MATCH($A183,$A$15:OFFSET($A183,-1,0),0)),MAX($M$15:OFFSET(M183,-1,0))+1,
                      INDEX($M$15:OFFSET(M183,-1,0),MATCH($A183,$A$15:OFFSET($A183,-1,0),0)))))</f>
        <v>9</v>
      </c>
      <c r="N183" s="167" t="str">
        <f ca="1">IF($D183&lt;&gt;"Serviço","",
         IF(AUTOEVENTO="Manual",
                IF($A183=0,"&lt;-- defina o número do agrupador",
                       OFFSET(EVENTOS!$D$15,$A183-$A$15,0)),
                OFFSET($F$15,$A183,0)))</f>
        <v>INSTALAÇÕES</v>
      </c>
      <c r="O183" s="168"/>
      <c r="Q183" s="168">
        <v>1</v>
      </c>
      <c r="R183" s="169">
        <v>1</v>
      </c>
      <c r="S183" s="169">
        <v>1</v>
      </c>
      <c r="T183" s="169">
        <v>1</v>
      </c>
      <c r="U183" s="169">
        <v>1</v>
      </c>
      <c r="V183" s="169">
        <v>1</v>
      </c>
      <c r="W183" s="169">
        <v>1</v>
      </c>
      <c r="X183" s="169">
        <v>1</v>
      </c>
      <c r="Y183" s="169">
        <v>1</v>
      </c>
      <c r="Z183" s="170">
        <v>1</v>
      </c>
      <c r="AA183" s="169">
        <v>1</v>
      </c>
      <c r="AB183" s="169">
        <v>1</v>
      </c>
      <c r="AC183" s="169">
        <v>1</v>
      </c>
      <c r="AD183" s="169">
        <v>1</v>
      </c>
      <c r="AE183" s="169">
        <v>1</v>
      </c>
      <c r="AF183" s="169">
        <v>1</v>
      </c>
      <c r="AG183" s="169">
        <v>1</v>
      </c>
      <c r="AH183" s="170">
        <v>1</v>
      </c>
      <c r="AI183" s="169">
        <v>1</v>
      </c>
      <c r="AJ183" s="169">
        <v>1</v>
      </c>
      <c r="AK183" s="169"/>
      <c r="AL183" s="169"/>
      <c r="AM183" s="169"/>
      <c r="AN183" s="169"/>
      <c r="AO183" s="169"/>
      <c r="AP183" s="170"/>
      <c r="AR183" s="453">
        <f ca="1">IF(AND($D183="Serviço",AR$12&lt;&gt;0,$H183&gt;0,OR(AUTOEVENTO&lt;&gt;"manual",$M183&lt;&gt;$A$15)),
        IF(Import.TipoArredondamento&lt;&gt;"TransfereGOV",
              ROUND(OFFSET($P183,0,AR$13),15-13*ORÇAMENTO!$AF$7)/$H183*OFFSET(ORÇAMENTO!$X$15,ROW(AR183)-ROW(AR$15),0),
              ROUND(ROUND(OFFSET($P183,0,AR$13),15-13*ORÇAMENTO!$AF$7)*OFFSET(ORÇAMENTO!$W$15,ROW(AR183)-ROW(AR$15),0),15-13*ORÇAMENTO!$AF$11)),
         0)</f>
        <v>0</v>
      </c>
      <c r="AS183" s="453">
        <f ca="1">IF(AND($D183="Serviço",AS$12&lt;&gt;0,$H183&gt;0,OR(AUTOEVENTO&lt;&gt;"manual",$M183&lt;&gt;$A$15)),
        IF(Import.TipoArredondamento&lt;&gt;"TransfereGOV",
              ROUND(OFFSET($P183,0,AS$13),15-13*ORÇAMENTO!$AF$7)/$H183*OFFSET(ORÇAMENTO!$X$15,ROW(AS183)-ROW(AS$15),0),
              ROUND(ROUND(OFFSET($P183,0,AS$13),15-13*ORÇAMENTO!$AF$7)*OFFSET(ORÇAMENTO!$W$15,ROW(AS183)-ROW(AS$15),0),15-13*ORÇAMENTO!$AF$11)),
         0)</f>
        <v>0</v>
      </c>
      <c r="AT183" s="453">
        <f ca="1">IF(AND($D183="Serviço",AT$12&lt;&gt;0,$H183&gt;0,OR(AUTOEVENTO&lt;&gt;"manual",$M183&lt;&gt;$A$15)),
        IF(Import.TipoArredondamento&lt;&gt;"TransfereGOV",
              ROUND(OFFSET($P183,0,AT$13),15-13*ORÇAMENTO!$AF$7)/$H183*OFFSET(ORÇAMENTO!$X$15,ROW(AT183)-ROW(AT$15),0),
              ROUND(ROUND(OFFSET($P183,0,AT$13),15-13*ORÇAMENTO!$AF$7)*OFFSET(ORÇAMENTO!$W$15,ROW(AT183)-ROW(AT$15),0),15-13*ORÇAMENTO!$AF$11)),
         0)</f>
        <v>0</v>
      </c>
      <c r="AU183" s="453">
        <f ca="1">IF(AND($D183="Serviço",AU$12&lt;&gt;0,$H183&gt;0,OR(AUTOEVENTO&lt;&gt;"manual",$M183&lt;&gt;$A$15)),
        IF(Import.TipoArredondamento&lt;&gt;"TransfereGOV",
              ROUND(OFFSET($P183,0,AU$13),15-13*ORÇAMENTO!$AF$7)/$H183*OFFSET(ORÇAMENTO!$X$15,ROW(AU183)-ROW(AU$15),0),
              ROUND(ROUND(OFFSET($P183,0,AU$13),15-13*ORÇAMENTO!$AF$7)*OFFSET(ORÇAMENTO!$W$15,ROW(AU183)-ROW(AU$15),0),15-13*ORÇAMENTO!$AF$11)),
         0)</f>
        <v>0</v>
      </c>
      <c r="AV183" s="453">
        <f ca="1">IF(AND($D183="Serviço",AV$12&lt;&gt;0,$H183&gt;0,OR(AUTOEVENTO&lt;&gt;"manual",$M183&lt;&gt;$A$15)),
        IF(Import.TipoArredondamento&lt;&gt;"TransfereGOV",
              ROUND(OFFSET($P183,0,AV$13),15-13*ORÇAMENTO!$AF$7)/$H183*OFFSET(ORÇAMENTO!$X$15,ROW(AV183)-ROW(AV$15),0),
              ROUND(ROUND(OFFSET($P183,0,AV$13),15-13*ORÇAMENTO!$AF$7)*OFFSET(ORÇAMENTO!$W$15,ROW(AV183)-ROW(AV$15),0),15-13*ORÇAMENTO!$AF$11)),
         0)</f>
        <v>0</v>
      </c>
      <c r="AW183" s="453">
        <f ca="1">IF(AND($D183="Serviço",AW$12&lt;&gt;0,$H183&gt;0,OR(AUTOEVENTO&lt;&gt;"manual",$M183&lt;&gt;$A$15)),
        IF(Import.TipoArredondamento&lt;&gt;"TransfereGOV",
              ROUND(OFFSET($P183,0,AW$13),15-13*ORÇAMENTO!$AF$7)/$H183*OFFSET(ORÇAMENTO!$X$15,ROW(AW183)-ROW(AW$15),0),
              ROUND(ROUND(OFFSET($P183,0,AW$13),15-13*ORÇAMENTO!$AF$7)*OFFSET(ORÇAMENTO!$W$15,ROW(AW183)-ROW(AW$15),0),15-13*ORÇAMENTO!$AF$11)),
         0)</f>
        <v>0</v>
      </c>
      <c r="AX183" s="453">
        <f ca="1">IF(AND($D183="Serviço",AX$12&lt;&gt;0,$H183&gt;0,OR(AUTOEVENTO&lt;&gt;"manual",$M183&lt;&gt;$A$15)),
        IF(Import.TipoArredondamento&lt;&gt;"TransfereGOV",
              ROUND(OFFSET($P183,0,AX$13),15-13*ORÇAMENTO!$AF$7)/$H183*OFFSET(ORÇAMENTO!$X$15,ROW(AX183)-ROW(AX$15),0),
              ROUND(ROUND(OFFSET($P183,0,AX$13),15-13*ORÇAMENTO!$AF$7)*OFFSET(ORÇAMENTO!$W$15,ROW(AX183)-ROW(AX$15),0),15-13*ORÇAMENTO!$AF$11)),
         0)</f>
        <v>0</v>
      </c>
      <c r="AY183" s="453">
        <f ca="1">IF(AND($D183="Serviço",AY$12&lt;&gt;0,$H183&gt;0,OR(AUTOEVENTO&lt;&gt;"manual",$M183&lt;&gt;$A$15)),
        IF(Import.TipoArredondamento&lt;&gt;"TransfereGOV",
              ROUND(OFFSET($P183,0,AY$13),15-13*ORÇAMENTO!$AF$7)/$H183*OFFSET(ORÇAMENTO!$X$15,ROW(AY183)-ROW(AY$15),0),
              ROUND(ROUND(OFFSET($P183,0,AY$13),15-13*ORÇAMENTO!$AF$7)*OFFSET(ORÇAMENTO!$W$15,ROW(AY183)-ROW(AY$15),0),15-13*ORÇAMENTO!$AF$11)),
         0)</f>
        <v>0</v>
      </c>
      <c r="AZ183" s="453">
        <f ca="1">IF(AND($D183="Serviço",AZ$12&lt;&gt;0,$H183&gt;0,OR(AUTOEVENTO&lt;&gt;"manual",$M183&lt;&gt;$A$15)),
        IF(Import.TipoArredondamento&lt;&gt;"TransfereGOV",
              ROUND(OFFSET($P183,0,AZ$13),15-13*ORÇAMENTO!$AF$7)/$H183*OFFSET(ORÇAMENTO!$X$15,ROW(AZ183)-ROW(AZ$15),0),
              ROUND(ROUND(OFFSET($P183,0,AZ$13),15-13*ORÇAMENTO!$AF$7)*OFFSET(ORÇAMENTO!$W$15,ROW(AZ183)-ROW(AZ$15),0),15-13*ORÇAMENTO!$AF$11)),
         0)</f>
        <v>0</v>
      </c>
      <c r="BA183" s="453">
        <f ca="1">IF(AND($D183="Serviço",BA$12&lt;&gt;0,$H183&gt;0,OR(AUTOEVENTO&lt;&gt;"manual",$M183&lt;&gt;$A$15)),
        IF(Import.TipoArredondamento&lt;&gt;"TransfereGOV",
              ROUND(OFFSET($P183,0,BA$13),15-13*ORÇAMENTO!$AF$7)/$H183*OFFSET(ORÇAMENTO!$X$15,ROW(BA183)-ROW(BA$15),0),
              ROUND(ROUND(OFFSET($P183,0,BA$13),15-13*ORÇAMENTO!$AF$7)*OFFSET(ORÇAMENTO!$W$15,ROW(BA183)-ROW(BA$15),0),15-13*ORÇAMENTO!$AF$11)),
         0)</f>
        <v>0</v>
      </c>
      <c r="BB183" s="453">
        <f ca="1">IF(AND($D183="Serviço",BB$12&lt;&gt;0,$H183&gt;0,OR(AUTOEVENTO&lt;&gt;"manual",$M183&lt;&gt;$A$15)),
        IF(Import.TipoArredondamento&lt;&gt;"TransfereGOV",
              ROUND(OFFSET($P183,0,BB$13),15-13*ORÇAMENTO!$AF$7)/$H183*OFFSET(ORÇAMENTO!$X$15,ROW(BB183)-ROW(BB$15),0),
              ROUND(ROUND(OFFSET($P183,0,BB$13),15-13*ORÇAMENTO!$AF$7)*OFFSET(ORÇAMENTO!$W$15,ROW(BB183)-ROW(BB$15),0),15-13*ORÇAMENTO!$AF$11)),
         0)</f>
        <v>0</v>
      </c>
      <c r="BC183" s="453">
        <f ca="1">IF(AND($D183="Serviço",BC$12&lt;&gt;0,$H183&gt;0,OR(AUTOEVENTO&lt;&gt;"manual",$M183&lt;&gt;$A$15)),
        IF(Import.TipoArredondamento&lt;&gt;"TransfereGOV",
              ROUND(OFFSET($P183,0,BC$13),15-13*ORÇAMENTO!$AF$7)/$H183*OFFSET(ORÇAMENTO!$X$15,ROW(BC183)-ROW(BC$15),0),
              ROUND(ROUND(OFFSET($P183,0,BC$13),15-13*ORÇAMENTO!$AF$7)*OFFSET(ORÇAMENTO!$W$15,ROW(BC183)-ROW(BC$15),0),15-13*ORÇAMENTO!$AF$11)),
         0)</f>
        <v>0</v>
      </c>
      <c r="BD183" s="453">
        <f ca="1">IF(AND($D183="Serviço",BD$12&lt;&gt;0,$H183&gt;0,OR(AUTOEVENTO&lt;&gt;"manual",$M183&lt;&gt;$A$15)),
        IF(Import.TipoArredondamento&lt;&gt;"TransfereGOV",
              ROUND(OFFSET($P183,0,BD$13),15-13*ORÇAMENTO!$AF$7)/$H183*OFFSET(ORÇAMENTO!$X$15,ROW(BD183)-ROW(BD$15),0),
              ROUND(ROUND(OFFSET($P183,0,BD$13),15-13*ORÇAMENTO!$AF$7)*OFFSET(ORÇAMENTO!$W$15,ROW(BD183)-ROW(BD$15),0),15-13*ORÇAMENTO!$AF$11)),
         0)</f>
        <v>0</v>
      </c>
      <c r="BE183" s="453">
        <f ca="1">IF(AND($D183="Serviço",BE$12&lt;&gt;0,$H183&gt;0,OR(AUTOEVENTO&lt;&gt;"manual",$M183&lt;&gt;$A$15)),
        IF(Import.TipoArredondamento&lt;&gt;"TransfereGOV",
              ROUND(OFFSET($P183,0,BE$13),15-13*ORÇAMENTO!$AF$7)/$H183*OFFSET(ORÇAMENTO!$X$15,ROW(BE183)-ROW(BE$15),0),
              ROUND(ROUND(OFFSET($P183,0,BE$13),15-13*ORÇAMENTO!$AF$7)*OFFSET(ORÇAMENTO!$W$15,ROW(BE183)-ROW(BE$15),0),15-13*ORÇAMENTO!$AF$11)),
         0)</f>
        <v>0</v>
      </c>
      <c r="BF183" s="453">
        <f ca="1">IF(AND($D183="Serviço",BF$12&lt;&gt;0,$H183&gt;0,OR(AUTOEVENTO&lt;&gt;"manual",$M183&lt;&gt;$A$15)),
        IF(Import.TipoArredondamento&lt;&gt;"TransfereGOV",
              ROUND(OFFSET($P183,0,BF$13),15-13*ORÇAMENTO!$AF$7)/$H183*OFFSET(ORÇAMENTO!$X$15,ROW(BF183)-ROW(BF$15),0),
              ROUND(ROUND(OFFSET($P183,0,BF$13),15-13*ORÇAMENTO!$AF$7)*OFFSET(ORÇAMENTO!$W$15,ROW(BF183)-ROW(BF$15),0),15-13*ORÇAMENTO!$AF$11)),
         0)</f>
        <v>0</v>
      </c>
      <c r="BG183" s="453">
        <f ca="1">IF(AND($D183="Serviço",BG$12&lt;&gt;0,$H183&gt;0,OR(AUTOEVENTO&lt;&gt;"manual",$M183&lt;&gt;$A$15)),
        IF(Import.TipoArredondamento&lt;&gt;"TransfereGOV",
              ROUND(OFFSET($P183,0,BG$13),15-13*ORÇAMENTO!$AF$7)/$H183*OFFSET(ORÇAMENTO!$X$15,ROW(BG183)-ROW(BG$15),0),
              ROUND(ROUND(OFFSET($P183,0,BG$13),15-13*ORÇAMENTO!$AF$7)*OFFSET(ORÇAMENTO!$W$15,ROW(BG183)-ROW(BG$15),0),15-13*ORÇAMENTO!$AF$11)),
         0)</f>
        <v>0</v>
      </c>
      <c r="BH183" s="453">
        <f ca="1">IF(AND($D183="Serviço",BH$12&lt;&gt;0,$H183&gt;0,OR(AUTOEVENTO&lt;&gt;"manual",$M183&lt;&gt;$A$15)),
        IF(Import.TipoArredondamento&lt;&gt;"TransfereGOV",
              ROUND(OFFSET($P183,0,BH$13),15-13*ORÇAMENTO!$AF$7)/$H183*OFFSET(ORÇAMENTO!$X$15,ROW(BH183)-ROW(BH$15),0),
              ROUND(ROUND(OFFSET($P183,0,BH$13),15-13*ORÇAMENTO!$AF$7)*OFFSET(ORÇAMENTO!$W$15,ROW(BH183)-ROW(BH$15),0),15-13*ORÇAMENTO!$AF$11)),
         0)</f>
        <v>0</v>
      </c>
      <c r="BI183" s="453">
        <f ca="1">IF(AND($D183="Serviço",BI$12&lt;&gt;0,$H183&gt;0,OR(AUTOEVENTO&lt;&gt;"manual",$M183&lt;&gt;$A$15)),
        IF(Import.TipoArredondamento&lt;&gt;"TransfereGOV",
              ROUND(OFFSET($P183,0,BI$13),15-13*ORÇAMENTO!$AF$7)/$H183*OFFSET(ORÇAMENTO!$X$15,ROW(BI183)-ROW(BI$15),0),
              ROUND(ROUND(OFFSET($P183,0,BI$13),15-13*ORÇAMENTO!$AF$7)*OFFSET(ORÇAMENTO!$W$15,ROW(BI183)-ROW(BI$15),0),15-13*ORÇAMENTO!$AF$11)),
         0)</f>
        <v>0</v>
      </c>
      <c r="BJ183" s="453">
        <f ca="1">IF(AND($D183="Serviço",BJ$12&lt;&gt;0,$H183&gt;0,OR(AUTOEVENTO&lt;&gt;"manual",$M183&lt;&gt;$A$15)),
        IF(Import.TipoArredondamento&lt;&gt;"TransfereGOV",
              ROUND(OFFSET($P183,0,BJ$13),15-13*ORÇAMENTO!$AF$7)/$H183*OFFSET(ORÇAMENTO!$X$15,ROW(BJ183)-ROW(BJ$15),0),
              ROUND(ROUND(OFFSET($P183,0,BJ$13),15-13*ORÇAMENTO!$AF$7)*OFFSET(ORÇAMENTO!$W$15,ROW(BJ183)-ROW(BJ$15),0),15-13*ORÇAMENTO!$AF$11)),
         0)</f>
        <v>0</v>
      </c>
      <c r="BK183" s="453">
        <f ca="1">IF(AND($D183="Serviço",BK$12&lt;&gt;0,$H183&gt;0,OR(AUTOEVENTO&lt;&gt;"manual",$M183&lt;&gt;$A$15)),
        IF(Import.TipoArredondamento&lt;&gt;"TransfereGOV",
              ROUND(OFFSET($P183,0,BK$13),15-13*ORÇAMENTO!$AF$7)/$H183*OFFSET(ORÇAMENTO!$X$15,ROW(BK183)-ROW(BK$15),0),
              ROUND(ROUND(OFFSET($P183,0,BK$13),15-13*ORÇAMENTO!$AF$7)*OFFSET(ORÇAMENTO!$W$15,ROW(BK183)-ROW(BK$15),0),15-13*ORÇAMENTO!$AF$11)),
         0)</f>
        <v>0</v>
      </c>
      <c r="BL183" s="453">
        <f ca="1">IF(AND($D183="Serviço",BL$12&lt;&gt;0,$H183&gt;0,OR(AUTOEVENTO&lt;&gt;"manual",$M183&lt;&gt;$A$15)),
        IF(Import.TipoArredondamento&lt;&gt;"TransfereGOV",
              ROUND(OFFSET($P183,0,BL$13),15-13*ORÇAMENTO!$AF$7)/$H183*OFFSET(ORÇAMENTO!$X$15,ROW(BL183)-ROW(BL$15),0),
              ROUND(ROUND(OFFSET($P183,0,BL$13),15-13*ORÇAMENTO!$AF$7)*OFFSET(ORÇAMENTO!$W$15,ROW(BL183)-ROW(BL$15),0),15-13*ORÇAMENTO!$AF$11)),
         0)</f>
        <v>0</v>
      </c>
      <c r="BM183" s="453">
        <f ca="1">IF(AND($D183="Serviço",BM$12&lt;&gt;0,$H183&gt;0,OR(AUTOEVENTO&lt;&gt;"manual",$M183&lt;&gt;$A$15)),
        IF(Import.TipoArredondamento&lt;&gt;"TransfereGOV",
              ROUND(OFFSET($P183,0,BM$13),15-13*ORÇAMENTO!$AF$7)/$H183*OFFSET(ORÇAMENTO!$X$15,ROW(BM183)-ROW(BM$15),0),
              ROUND(ROUND(OFFSET($P183,0,BM$13),15-13*ORÇAMENTO!$AF$7)*OFFSET(ORÇAMENTO!$W$15,ROW(BM183)-ROW(BM$15),0),15-13*ORÇAMENTO!$AF$11)),
         0)</f>
        <v>0</v>
      </c>
      <c r="BN183" s="453">
        <f ca="1">IF(AND($D183="Serviço",BN$12&lt;&gt;0,$H183&gt;0,OR(AUTOEVENTO&lt;&gt;"manual",$M183&lt;&gt;$A$15)),
        IF(Import.TipoArredondamento&lt;&gt;"TransfereGOV",
              ROUND(OFFSET($P183,0,BN$13),15-13*ORÇAMENTO!$AF$7)/$H183*OFFSET(ORÇAMENTO!$X$15,ROW(BN183)-ROW(BN$15),0),
              ROUND(ROUND(OFFSET($P183,0,BN$13),15-13*ORÇAMENTO!$AF$7)*OFFSET(ORÇAMENTO!$W$15,ROW(BN183)-ROW(BN$15),0),15-13*ORÇAMENTO!$AF$11)),
         0)</f>
        <v>0</v>
      </c>
      <c r="BO183" s="453">
        <f ca="1">IF(AND($D183="Serviço",BO$12&lt;&gt;0,$H183&gt;0,OR(AUTOEVENTO&lt;&gt;"manual",$M183&lt;&gt;$A$15)),
        IF(Import.TipoArredondamento&lt;&gt;"TransfereGOV",
              ROUND(OFFSET($P183,0,BO$13),15-13*ORÇAMENTO!$AF$7)/$H183*OFFSET(ORÇAMENTO!$X$15,ROW(BO183)-ROW(BO$15),0),
              ROUND(ROUND(OFFSET($P183,0,BO$13),15-13*ORÇAMENTO!$AF$7)*OFFSET(ORÇAMENTO!$W$15,ROW(BO183)-ROW(BO$15),0),15-13*ORÇAMENTO!$AF$11)),
         0)</f>
        <v>0</v>
      </c>
      <c r="BP183" s="453">
        <f ca="1">IF(AND($D183="Serviço",BP$12&lt;&gt;0,$H183&gt;0,OR(AUTOEVENTO&lt;&gt;"manual",$M183&lt;&gt;$A$15)),
        IF(Import.TipoArredondamento&lt;&gt;"TransfereGOV",
              ROUND(OFFSET($P183,0,BP$13),15-13*ORÇAMENTO!$AF$7)/$H183*OFFSET(ORÇAMENTO!$X$15,ROW(BP183)-ROW(BP$15),0),
              ROUND(ROUND(OFFSET($P183,0,BP$13),15-13*ORÇAMENTO!$AF$7)*OFFSET(ORÇAMENTO!$W$15,ROW(BP183)-ROW(BP$15),0),15-13*ORÇAMENTO!$AF$11)),
         0)</f>
        <v>0</v>
      </c>
      <c r="BQ183" s="453">
        <f ca="1">IF(AND($D183="Serviço",BQ$12&lt;&gt;0,$H183&gt;0,OR(AUTOEVENTO&lt;&gt;"manual",$M183&lt;&gt;$A$15)),
        IF(Import.TipoArredondamento&lt;&gt;"TransfereGOV",
              ROUND(OFFSET($P183,0,BQ$13),15-13*ORÇAMENTO!$AF$7)/$H183*OFFSET(ORÇAMENTO!$X$15,ROW(BQ183)-ROW(BQ$15),0),
              ROUND(ROUND(OFFSET($P183,0,BQ$13),15-13*ORÇAMENTO!$AF$7)*OFFSET(ORÇAMENTO!$W$15,ROW(BQ183)-ROW(BQ$15),0),15-13*ORÇAMENTO!$AF$11)),
         0)</f>
        <v>0</v>
      </c>
      <c r="BS183" s="171">
        <f ca="1">IF(OR($D183&lt;&gt;"Serviço",AND(AUTOEVENTO="Manual",$M183=$A$15)),0,
         IF(OFFSET(CRONOPLE!$F$15,$M183-$A$15,BS$13)=0,10^12,OFFSET(CRONOPLE!$F$15,$M183-$A$15,BS$13)))</f>
        <v>1</v>
      </c>
      <c r="BT183" s="171">
        <f ca="1">IF(OR($D183&lt;&gt;"Serviço",AND(AUTOEVENTO="Manual",$M183=$A$15)),0,
         IF(OFFSET(CRONOPLE!$F$15,$M183-$A$15,BT$13)=0,10^12,OFFSET(CRONOPLE!$F$15,$M183-$A$15,BT$13)))</f>
        <v>2</v>
      </c>
      <c r="BU183" s="171">
        <f ca="1">IF(OR($D183&lt;&gt;"Serviço",AND(AUTOEVENTO="Manual",$M183=$A$15)),0,
         IF(OFFSET(CRONOPLE!$F$15,$M183-$A$15,BU$13)=0,10^12,OFFSET(CRONOPLE!$F$15,$M183-$A$15,BU$13)))</f>
        <v>3</v>
      </c>
      <c r="BV183" s="171">
        <f ca="1">IF(OR($D183&lt;&gt;"Serviço",AND(AUTOEVENTO="Manual",$M183=$A$15)),0,
         IF(OFFSET(CRONOPLE!$F$15,$M183-$A$15,BV$13)=0,10^12,OFFSET(CRONOPLE!$F$15,$M183-$A$15,BV$13)))</f>
        <v>4</v>
      </c>
      <c r="BW183" s="171">
        <f ca="1">IF(OR($D183&lt;&gt;"Serviço",AND(AUTOEVENTO="Manual",$M183=$A$15)),0,
         IF(OFFSET(CRONOPLE!$F$15,$M183-$A$15,BW$13)=0,10^12,OFFSET(CRONOPLE!$F$15,$M183-$A$15,BW$13)))</f>
        <v>5</v>
      </c>
      <c r="BX183" s="171">
        <f ca="1">IF(OR($D183&lt;&gt;"Serviço",AND(AUTOEVENTO="Manual",$M183=$A$15)),0,
         IF(OFFSET(CRONOPLE!$F$15,$M183-$A$15,BX$13)=0,10^12,OFFSET(CRONOPLE!$F$15,$M183-$A$15,BX$13)))</f>
        <v>6</v>
      </c>
      <c r="BY183" s="171">
        <f ca="1">IF(OR($D183&lt;&gt;"Serviço",AND(AUTOEVENTO="Manual",$M183=$A$15)),0,
         IF(OFFSET(CRONOPLE!$F$15,$M183-$A$15,BY$13)=0,10^12,OFFSET(CRONOPLE!$F$15,$M183-$A$15,BY$13)))</f>
        <v>7</v>
      </c>
      <c r="BZ183" s="171">
        <f ca="1">IF(OR($D183&lt;&gt;"Serviço",AND(AUTOEVENTO="Manual",$M183=$A$15)),0,
         IF(OFFSET(CRONOPLE!$F$15,$M183-$A$15,BZ$13)=0,10^12,OFFSET(CRONOPLE!$F$15,$M183-$A$15,BZ$13)))</f>
        <v>8</v>
      </c>
      <c r="CA183" s="171">
        <f ca="1">IF(OR($D183&lt;&gt;"Serviço",AND(AUTOEVENTO="Manual",$M183=$A$15)),0,
         IF(OFFSET(CRONOPLE!$F$15,$M183-$A$15,CA$13)=0,10^12,OFFSET(CRONOPLE!$F$15,$M183-$A$15,CA$13)))</f>
        <v>9</v>
      </c>
      <c r="CB183" s="171">
        <f ca="1">IF(OR($D183&lt;&gt;"Serviço",AND(AUTOEVENTO="Manual",$M183=$A$15)),0,
         IF(OFFSET(CRONOPLE!$F$15,$M183-$A$15,CB$13)=0,10^12,OFFSET(CRONOPLE!$F$15,$M183-$A$15,CB$13)))</f>
        <v>10</v>
      </c>
      <c r="CC183" s="171">
        <f ca="1">IF(OR($D183&lt;&gt;"Serviço",AND(AUTOEVENTO="Manual",$M183=$A$15)),0,
         IF(OFFSET(CRONOPLE!$F$15,$M183-$A$15,CC$13)=0,10^12,OFFSET(CRONOPLE!$F$15,$M183-$A$15,CC$13)))</f>
        <v>11</v>
      </c>
      <c r="CD183" s="171">
        <f ca="1">IF(OR($D183&lt;&gt;"Serviço",AND(AUTOEVENTO="Manual",$M183=$A$15)),0,
         IF(OFFSET(CRONOPLE!$F$15,$M183-$A$15,CD$13)=0,10^12,OFFSET(CRONOPLE!$F$15,$M183-$A$15,CD$13)))</f>
        <v>12</v>
      </c>
      <c r="CE183" s="171">
        <f ca="1">IF(OR($D183&lt;&gt;"Serviço",AND(AUTOEVENTO="Manual",$M183=$A$15)),0,
         IF(OFFSET(CRONOPLE!$F$15,$M183-$A$15,CE$13)=0,10^12,OFFSET(CRONOPLE!$F$15,$M183-$A$15,CE$13)))</f>
        <v>13</v>
      </c>
      <c r="CF183" s="171">
        <f ca="1">IF(OR($D183&lt;&gt;"Serviço",AND(AUTOEVENTO="Manual",$M183=$A$15)),0,
         IF(OFFSET(CRONOPLE!$F$15,$M183-$A$15,CF$13)=0,10^12,OFFSET(CRONOPLE!$F$15,$M183-$A$15,CF$13)))</f>
        <v>14</v>
      </c>
      <c r="CG183" s="171">
        <f ca="1">IF(OR($D183&lt;&gt;"Serviço",AND(AUTOEVENTO="Manual",$M183=$A$15)),0,
         IF(OFFSET(CRONOPLE!$F$15,$M183-$A$15,CG$13)=0,10^12,OFFSET(CRONOPLE!$F$15,$M183-$A$15,CG$13)))</f>
        <v>15</v>
      </c>
      <c r="CH183" s="171">
        <f ca="1">IF(OR($D183&lt;&gt;"Serviço",AND(AUTOEVENTO="Manual",$M183=$A$15)),0,
         IF(OFFSET(CRONOPLE!$F$15,$M183-$A$15,CH$13)=0,10^12,OFFSET(CRONOPLE!$F$15,$M183-$A$15,CH$13)))</f>
        <v>16</v>
      </c>
      <c r="CI183" s="171">
        <f ca="1">IF(OR($D183&lt;&gt;"Serviço",AND(AUTOEVENTO="Manual",$M183=$A$15)),0,
         IF(OFFSET(CRONOPLE!$F$15,$M183-$A$15,CI$13)=0,10^12,OFFSET(CRONOPLE!$F$15,$M183-$A$15,CI$13)))</f>
        <v>17</v>
      </c>
      <c r="CJ183" s="171">
        <f ca="1">IF(OR($D183&lt;&gt;"Serviço",AND(AUTOEVENTO="Manual",$M183=$A$15)),0,
         IF(OFFSET(CRONOPLE!$F$15,$M183-$A$15,CJ$13)=0,10^12,OFFSET(CRONOPLE!$F$15,$M183-$A$15,CJ$13)))</f>
        <v>18</v>
      </c>
      <c r="CK183" s="171">
        <f ca="1">IF(OR($D183&lt;&gt;"Serviço",AND(AUTOEVENTO="Manual",$M183=$A$15)),0,
         IF(OFFSET(CRONOPLE!$F$15,$M183-$A$15,CK$13)=0,10^12,OFFSET(CRONOPLE!$F$15,$M183-$A$15,CK$13)))</f>
        <v>19</v>
      </c>
      <c r="CL183" s="171">
        <f ca="1">IF(OR($D183&lt;&gt;"Serviço",AND(AUTOEVENTO="Manual",$M183=$A$15)),0,
         IF(OFFSET(CRONOPLE!$F$15,$M183-$A$15,CL$13)=0,10^12,OFFSET(CRONOPLE!$F$15,$M183-$A$15,CL$13)))</f>
        <v>20</v>
      </c>
      <c r="CM183" s="171">
        <f ca="1">IF(OR($D183&lt;&gt;"Serviço",AND(AUTOEVENTO="Manual",$M183=$A$15)),0,
         IF(OFFSET(CRONOPLE!$F$15,$M183-$A$15,CM$13)=0,10^12,OFFSET(CRONOPLE!$F$15,$M183-$A$15,CM$13)))</f>
        <v>1000000000000</v>
      </c>
      <c r="CN183" s="171">
        <f ca="1">IF(OR($D183&lt;&gt;"Serviço",AND(AUTOEVENTO="Manual",$M183=$A$15)),0,
         IF(OFFSET(CRONOPLE!$F$15,$M183-$A$15,CN$13)=0,10^12,OFFSET(CRONOPLE!$F$15,$M183-$A$15,CN$13)))</f>
        <v>1000000000000</v>
      </c>
      <c r="CO183" s="171">
        <f ca="1">IF(OR($D183&lt;&gt;"Serviço",AND(AUTOEVENTO="Manual",$M183=$A$15)),0,
         IF(OFFSET(CRONOPLE!$F$15,$M183-$A$15,CO$13)=0,10^12,OFFSET(CRONOPLE!$F$15,$M183-$A$15,CO$13)))</f>
        <v>1000000000000</v>
      </c>
      <c r="CP183" s="171">
        <f ca="1">IF(OR($D183&lt;&gt;"Serviço",AND(AUTOEVENTO="Manual",$M183=$A$15)),0,
         IF(OFFSET(CRONOPLE!$F$15,$M183-$A$15,CP$13)=0,10^12,OFFSET(CRONOPLE!$F$15,$M183-$A$15,CP$13)))</f>
        <v>1000000000000</v>
      </c>
      <c r="CQ183" s="171">
        <f ca="1">IF(OR($D183&lt;&gt;"Serviço",AND(AUTOEVENTO="Manual",$M183=$A$15)),0,
         IF(OFFSET(CRONOPLE!$F$15,$M183-$A$15,CQ$13)=0,10^12,OFFSET(CRONOPLE!$F$15,$M183-$A$15,CQ$13)))</f>
        <v>1000000000000</v>
      </c>
      <c r="CR183" s="171">
        <f ca="1">IF(OR($D183&lt;&gt;"Serviço",AND(AUTOEVENTO="Manual",$M183=$A$15)),0,
         IF(OFFSET(CRONOPLE!$F$15,$M183-$A$15,CR$13)=0,10^12,OFFSET(CRONOPLE!$F$15,$M183-$A$15,CR$13)))</f>
        <v>1000000000000</v>
      </c>
      <c r="CT183" s="172" cm="1">
        <f t="array" aca="1" ref="CT183" ca="1">IF(OR($D183&lt;&gt;"Serviço",AND(AUTOEVENTO="Manual",$M183=$A$15),$M183&gt;(ROW(PLE.lastrow)-ROW(PLE.firstrow))),0,
           IF(OFFSET(PLE!$G$15,$M183-$A$15,CT$13)="",10^12,OFFSET(PLE!$G$15,$M183-$A$15,CT$13)))</f>
        <v>1000000000000</v>
      </c>
      <c r="CU183" s="172" cm="1">
        <f t="array" aca="1" ref="CU183" ca="1">IF(OR($D183&lt;&gt;"Serviço",AND(AUTOEVENTO="Manual",$M183=$A$15),$M183&gt;(ROW(PLE.lastrow)-ROW(PLE.firstrow))),0,
           IF(OFFSET(PLE!$G$15,$M183-$A$15,CU$13)="",10^12,OFFSET(PLE!$G$15,$M183-$A$15,CU$13)))</f>
        <v>1000000000000</v>
      </c>
      <c r="CV183" s="172" cm="1">
        <f t="array" aca="1" ref="CV183" ca="1">IF(OR($D183&lt;&gt;"Serviço",AND(AUTOEVENTO="Manual",$M183=$A$15),$M183&gt;(ROW(PLE.lastrow)-ROW(PLE.firstrow))),0,
           IF(OFFSET(PLE!$G$15,$M183-$A$15,CV$13)="",10^12,OFFSET(PLE!$G$15,$M183-$A$15,CV$13)))</f>
        <v>1000000000000</v>
      </c>
      <c r="CW183" s="172" cm="1">
        <f t="array" aca="1" ref="CW183" ca="1">IF(OR($D183&lt;&gt;"Serviço",AND(AUTOEVENTO="Manual",$M183=$A$15),$M183&gt;(ROW(PLE.lastrow)-ROW(PLE.firstrow))),0,
           IF(OFFSET(PLE!$G$15,$M183-$A$15,CW$13)="",10^12,OFFSET(PLE!$G$15,$M183-$A$15,CW$13)))</f>
        <v>1000000000000</v>
      </c>
      <c r="CX183" s="172" cm="1">
        <f t="array" aca="1" ref="CX183" ca="1">IF(OR($D183&lt;&gt;"Serviço",AND(AUTOEVENTO="Manual",$M183=$A$15),$M183&gt;(ROW(PLE.lastrow)-ROW(PLE.firstrow))),0,
           IF(OFFSET(PLE!$G$15,$M183-$A$15,CX$13)="",10^12,OFFSET(PLE!$G$15,$M183-$A$15,CX$13)))</f>
        <v>1000000000000</v>
      </c>
      <c r="CY183" s="172" cm="1">
        <f t="array" aca="1" ref="CY183" ca="1">IF(OR($D183&lt;&gt;"Serviço",AND(AUTOEVENTO="Manual",$M183=$A$15),$M183&gt;(ROW(PLE.lastrow)-ROW(PLE.firstrow))),0,
           IF(OFFSET(PLE!$G$15,$M183-$A$15,CY$13)="",10^12,OFFSET(PLE!$G$15,$M183-$A$15,CY$13)))</f>
        <v>1000000000000</v>
      </c>
      <c r="CZ183" s="172" cm="1">
        <f t="array" aca="1" ref="CZ183" ca="1">IF(OR($D183&lt;&gt;"Serviço",AND(AUTOEVENTO="Manual",$M183=$A$15),$M183&gt;(ROW(PLE.lastrow)-ROW(PLE.firstrow))),0,
           IF(OFFSET(PLE!$G$15,$M183-$A$15,CZ$13)="",10^12,OFFSET(PLE!$G$15,$M183-$A$15,CZ$13)))</f>
        <v>1000000000000</v>
      </c>
      <c r="DA183" s="172" cm="1">
        <f t="array" aca="1" ref="DA183" ca="1">IF(OR($D183&lt;&gt;"Serviço",AND(AUTOEVENTO="Manual",$M183=$A$15),$M183&gt;(ROW(PLE.lastrow)-ROW(PLE.firstrow))),0,
           IF(OFFSET(PLE!$G$15,$M183-$A$15,DA$13)="",10^12,OFFSET(PLE!$G$15,$M183-$A$15,DA$13)))</f>
        <v>1000000000000</v>
      </c>
      <c r="DB183" s="172" cm="1">
        <f t="array" aca="1" ref="DB183" ca="1">IF(OR($D183&lt;&gt;"Serviço",AND(AUTOEVENTO="Manual",$M183=$A$15),$M183&gt;(ROW(PLE.lastrow)-ROW(PLE.firstrow))),0,
           IF(OFFSET(PLE!$G$15,$M183-$A$15,DB$13)="",10^12,OFFSET(PLE!$G$15,$M183-$A$15,DB$13)))</f>
        <v>1000000000000</v>
      </c>
      <c r="DC183" s="172" cm="1">
        <f t="array" aca="1" ref="DC183" ca="1">IF(OR($D183&lt;&gt;"Serviço",AND(AUTOEVENTO="Manual",$M183=$A$15),$M183&gt;(ROW(PLE.lastrow)-ROW(PLE.firstrow))),0,
           IF(OFFSET(PLE!$G$15,$M183-$A$15,DC$13)="",10^12,OFFSET(PLE!$G$15,$M183-$A$15,DC$13)))</f>
        <v>1000000000000</v>
      </c>
      <c r="DD183" s="172" cm="1">
        <f t="array" aca="1" ref="DD183" ca="1">IF(OR($D183&lt;&gt;"Serviço",AND(AUTOEVENTO="Manual",$M183=$A$15),$M183&gt;(ROW(PLE.lastrow)-ROW(PLE.firstrow))),0,
           IF(OFFSET(PLE!$G$15,$M183-$A$15,DD$13)="",10^12,OFFSET(PLE!$G$15,$M183-$A$15,DD$13)))</f>
        <v>1000000000000</v>
      </c>
      <c r="DE183" s="172" cm="1">
        <f t="array" aca="1" ref="DE183" ca="1">IF(OR($D183&lt;&gt;"Serviço",AND(AUTOEVENTO="Manual",$M183=$A$15),$M183&gt;(ROW(PLE.lastrow)-ROW(PLE.firstrow))),0,
           IF(OFFSET(PLE!$G$15,$M183-$A$15,DE$13)="",10^12,OFFSET(PLE!$G$15,$M183-$A$15,DE$13)))</f>
        <v>1000000000000</v>
      </c>
      <c r="DF183" s="172" cm="1">
        <f t="array" aca="1" ref="DF183" ca="1">IF(OR($D183&lt;&gt;"Serviço",AND(AUTOEVENTO="Manual",$M183=$A$15),$M183&gt;(ROW(PLE.lastrow)-ROW(PLE.firstrow))),0,
           IF(OFFSET(PLE!$G$15,$M183-$A$15,DF$13)="",10^12,OFFSET(PLE!$G$15,$M183-$A$15,DF$13)))</f>
        <v>1000000000000</v>
      </c>
      <c r="DG183" s="172" cm="1">
        <f t="array" aca="1" ref="DG183" ca="1">IF(OR($D183&lt;&gt;"Serviço",AND(AUTOEVENTO="Manual",$M183=$A$15),$M183&gt;(ROW(PLE.lastrow)-ROW(PLE.firstrow))),0,
           IF(OFFSET(PLE!$G$15,$M183-$A$15,DG$13)="",10^12,OFFSET(PLE!$G$15,$M183-$A$15,DG$13)))</f>
        <v>1000000000000</v>
      </c>
      <c r="DH183" s="172" cm="1">
        <f t="array" aca="1" ref="DH183" ca="1">IF(OR($D183&lt;&gt;"Serviço",AND(AUTOEVENTO="Manual",$M183=$A$15),$M183&gt;(ROW(PLE.lastrow)-ROW(PLE.firstrow))),0,
           IF(OFFSET(PLE!$G$15,$M183-$A$15,DH$13)="",10^12,OFFSET(PLE!$G$15,$M183-$A$15,DH$13)))</f>
        <v>1000000000000</v>
      </c>
      <c r="DI183" s="172" cm="1">
        <f t="array" aca="1" ref="DI183" ca="1">IF(OR($D183&lt;&gt;"Serviço",AND(AUTOEVENTO="Manual",$M183=$A$15),$M183&gt;(ROW(PLE.lastrow)-ROW(PLE.firstrow))),0,
           IF(OFFSET(PLE!$G$15,$M183-$A$15,DI$13)="",10^12,OFFSET(PLE!$G$15,$M183-$A$15,DI$13)))</f>
        <v>1000000000000</v>
      </c>
      <c r="DJ183" s="172" cm="1">
        <f t="array" aca="1" ref="DJ183" ca="1">IF(OR($D183&lt;&gt;"Serviço",AND(AUTOEVENTO="Manual",$M183=$A$15),$M183&gt;(ROW(PLE.lastrow)-ROW(PLE.firstrow))),0,
           IF(OFFSET(PLE!$G$15,$M183-$A$15,DJ$13)="",10^12,OFFSET(PLE!$G$15,$M183-$A$15,DJ$13)))</f>
        <v>1000000000000</v>
      </c>
      <c r="DK183" s="172" cm="1">
        <f t="array" aca="1" ref="DK183" ca="1">IF(OR($D183&lt;&gt;"Serviço",AND(AUTOEVENTO="Manual",$M183=$A$15),$M183&gt;(ROW(PLE.lastrow)-ROW(PLE.firstrow))),0,
           IF(OFFSET(PLE!$G$15,$M183-$A$15,DK$13)="",10^12,OFFSET(PLE!$G$15,$M183-$A$15,DK$13)))</f>
        <v>1000000000000</v>
      </c>
      <c r="DL183" s="172" cm="1">
        <f t="array" aca="1" ref="DL183" ca="1">IF(OR($D183&lt;&gt;"Serviço",AND(AUTOEVENTO="Manual",$M183=$A$15),$M183&gt;(ROW(PLE.lastrow)-ROW(PLE.firstrow))),0,
           IF(OFFSET(PLE!$G$15,$M183-$A$15,DL$13)="",10^12,OFFSET(PLE!$G$15,$M183-$A$15,DL$13)))</f>
        <v>1000000000000</v>
      </c>
      <c r="DM183" s="172" cm="1">
        <f t="array" aca="1" ref="DM183" ca="1">IF(OR($D183&lt;&gt;"Serviço",AND(AUTOEVENTO="Manual",$M183=$A$15),$M183&gt;(ROW(PLE.lastrow)-ROW(PLE.firstrow))),0,
           IF(OFFSET(PLE!$G$15,$M183-$A$15,DM$13)="",10^12,OFFSET(PLE!$G$15,$M183-$A$15,DM$13)))</f>
        <v>1000000000000</v>
      </c>
      <c r="DN183" s="172" cm="1">
        <f t="array" aca="1" ref="DN183" ca="1">IF(OR($D183&lt;&gt;"Serviço",AND(AUTOEVENTO="Manual",$M183=$A$15),$M183&gt;(ROW(PLE.lastrow)-ROW(PLE.firstrow))),0,
           IF(OFFSET(PLE!$G$15,$M183-$A$15,DN$13)="",10^12,OFFSET(PLE!$G$15,$M183-$A$15,DN$13)))</f>
        <v>1000000000000</v>
      </c>
      <c r="DO183" s="172" cm="1">
        <f t="array" aca="1" ref="DO183" ca="1">IF(OR($D183&lt;&gt;"Serviço",AND(AUTOEVENTO="Manual",$M183=$A$15),$M183&gt;(ROW(PLE.lastrow)-ROW(PLE.firstrow))),0,
           IF(OFFSET(PLE!$G$15,$M183-$A$15,DO$13)="",10^12,OFFSET(PLE!$G$15,$M183-$A$15,DO$13)))</f>
        <v>1000000000000</v>
      </c>
      <c r="DP183" s="172" cm="1">
        <f t="array" aca="1" ref="DP183" ca="1">IF(OR($D183&lt;&gt;"Serviço",AND(AUTOEVENTO="Manual",$M183=$A$15),$M183&gt;(ROW(PLE.lastrow)-ROW(PLE.firstrow))),0,
           IF(OFFSET(PLE!$G$15,$M183-$A$15,DP$13)="",10^12,OFFSET(PLE!$G$15,$M183-$A$15,DP$13)))</f>
        <v>1000000000000</v>
      </c>
      <c r="DQ183" s="172" cm="1">
        <f t="array" aca="1" ref="DQ183" ca="1">IF(OR($D183&lt;&gt;"Serviço",AND(AUTOEVENTO="Manual",$M183=$A$15),$M183&gt;(ROW(PLE.lastrow)-ROW(PLE.firstrow))),0,
           IF(OFFSET(PLE!$G$15,$M183-$A$15,DQ$13)="",10^12,OFFSET(PLE!$G$15,$M183-$A$15,DQ$13)))</f>
        <v>1000000000000</v>
      </c>
      <c r="DR183" s="172" cm="1">
        <f t="array" aca="1" ref="DR183" ca="1">IF(OR($D183&lt;&gt;"Serviço",AND(AUTOEVENTO="Manual",$M183=$A$15),$M183&gt;(ROW(PLE.lastrow)-ROW(PLE.firstrow))),0,
           IF(OFFSET(PLE!$G$15,$M183-$A$15,DR$13)="",10^12,OFFSET(PLE!$G$15,$M183-$A$15,DR$13)))</f>
        <v>1000000000000</v>
      </c>
      <c r="DS183" s="172" cm="1">
        <f t="array" aca="1" ref="DS183" ca="1">IF(OR($D183&lt;&gt;"Serviço",AND(AUTOEVENTO="Manual",$M183=$A$15),$M183&gt;(ROW(PLE.lastrow)-ROW(PLE.firstrow))),0,
           IF(OFFSET(PLE!$G$15,$M183-$A$15,DS$13)="",10^12,OFFSET(PLE!$G$15,$M183-$A$15,DS$13)))</f>
        <v>1000000000000</v>
      </c>
    </row>
    <row r="184" spans="1:123" ht="38.25" x14ac:dyDescent="0.2">
      <c r="A184" s="7">
        <f t="shared" ca="1" si="18"/>
        <v>9</v>
      </c>
      <c r="B184" s="7" t="str">
        <f ca="1">OFFSET(ORÇAMENTO!C$15,$L184,0)</f>
        <v>S</v>
      </c>
      <c r="C184" s="7" t="str">
        <f ca="1">OFFSET(ORÇAMENTO!L$15,$L184,0)</f>
        <v/>
      </c>
      <c r="D184" s="116" t="str">
        <f ca="1">OFFSET(ORÇAMENTO!N$15,$L184,0)</f>
        <v>Serviço</v>
      </c>
      <c r="E184" s="117" t="str">
        <f ca="1">OFFSET(ORÇAMENTO!O$15,$L184,0)</f>
        <v>-</v>
      </c>
      <c r="F184" s="163" t="str">
        <f ca="1">OFFSET(ORÇAMENTO!R$15,$L184,0)</f>
        <v>(Código não identificado nas referências)</v>
      </c>
      <c r="G184" s="164" t="str">
        <f ca="1">IF($D184&lt;&gt;"Serviço","",OFFSET(ORÇAMENTO!S$15,$L184,0))</f>
        <v>-</v>
      </c>
      <c r="H184" s="122" cm="1">
        <f t="array" aca="1" ref="H184" ca="1">IF($D184&lt;&gt;"Serviço",0,IF(ACOMPANHAMENTO="BM",ROUND(OFFSET(ORÇAMENTO!AJ$15,$L184,0),15-13*ORÇAMENTO!$AF$7),IF(IFERROR(CÁLCULO.FrentesPreenchidas,0)=0,0,SUM(ROUND(OFFSET($P184,0,1,1,CÁLCULO.FrentesPreenchidas),15-13*ORÇAMENTO!$AF$7)))))</f>
        <v>135</v>
      </c>
      <c r="I184" s="468" t="s">
        <v>1235</v>
      </c>
      <c r="J184" s="651" t="str" cm="1">
        <f t="array" aca="1" ref="J184" ca="1">IF(OR(B184&lt;&gt;"S",CÁLCULO.FrentesPreenchidas=0),"",IF(AND(ACOMPANHAMENTO="PLE",AUTOEVENTO="Manual",OR(H184&gt;0,ORÇAMENTO!AC184="QUANT."),OR(K184="",M184=0,N184="")),"►E",IF(AND(ACOMPANHAMENTO="PLE",ORÇAMENTO!AC184="QUANT."),"►Q",IF(AND(ACOMPANHAMENTO="PLE",H184&lt;&gt;SUMPRODUCT(($Q$1:$AQ$1=1)*ROUND(Q184:AQ184,15))),"►S",IF(AND(COUNTIF($P$11:$AQ$11,"▼")=0,H184&gt;0,I184=""),"◄M","")))))</f>
        <v/>
      </c>
      <c r="K184" s="652" t="s">
        <v>1257</v>
      </c>
      <c r="L184" s="165">
        <f t="shared" ca="1" si="17"/>
        <v>169</v>
      </c>
      <c r="M184" s="166">
        <f ca="1">IF($D184&lt;&gt;"Serviço","",
          IF(AUTOEVENTO="manual",$A184,
                IF(ISERROR(MATCH($A184,$A$15:OFFSET($A184,-1,0),0)),MAX($M$15:OFFSET(M184,-1,0))+1,
                      INDEX($M$15:OFFSET(M184,-1,0),MATCH($A184,$A$15:OFFSET($A184,-1,0),0)))))</f>
        <v>9</v>
      </c>
      <c r="N184" s="167" t="str">
        <f ca="1">IF($D184&lt;&gt;"Serviço","",
         IF(AUTOEVENTO="Manual",
                IF($A184=0,"&lt;-- defina o número do agrupador",
                       OFFSET(EVENTOS!$D$15,$A184-$A$15,0)),
                OFFSET($F$15,$A184,0)))</f>
        <v>INSTALAÇÕES</v>
      </c>
      <c r="O184" s="168"/>
      <c r="Q184" s="168">
        <v>6.75</v>
      </c>
      <c r="R184" s="169">
        <v>6.75</v>
      </c>
      <c r="S184" s="169">
        <v>6.75</v>
      </c>
      <c r="T184" s="169">
        <v>6.75</v>
      </c>
      <c r="U184" s="169">
        <v>6.75</v>
      </c>
      <c r="V184" s="169">
        <v>6.75</v>
      </c>
      <c r="W184" s="169">
        <v>6.75</v>
      </c>
      <c r="X184" s="169">
        <v>6.75</v>
      </c>
      <c r="Y184" s="169">
        <v>6.75</v>
      </c>
      <c r="Z184" s="170">
        <v>6.75</v>
      </c>
      <c r="AA184" s="169">
        <v>6.75</v>
      </c>
      <c r="AB184" s="169">
        <v>6.75</v>
      </c>
      <c r="AC184" s="169">
        <v>6.75</v>
      </c>
      <c r="AD184" s="169">
        <v>6.75</v>
      </c>
      <c r="AE184" s="169">
        <v>6.75</v>
      </c>
      <c r="AF184" s="169">
        <v>6.75</v>
      </c>
      <c r="AG184" s="169">
        <v>6.75</v>
      </c>
      <c r="AH184" s="170">
        <v>6.75</v>
      </c>
      <c r="AI184" s="169">
        <v>6.75</v>
      </c>
      <c r="AJ184" s="169">
        <v>6.75</v>
      </c>
      <c r="AK184" s="169"/>
      <c r="AL184" s="169"/>
      <c r="AM184" s="169"/>
      <c r="AN184" s="169"/>
      <c r="AO184" s="169"/>
      <c r="AP184" s="170"/>
      <c r="AR184" s="453">
        <f ca="1">IF(AND($D184="Serviço",AR$12&lt;&gt;0,$H184&gt;0,OR(AUTOEVENTO&lt;&gt;"manual",$M184&lt;&gt;$A$15)),
        IF(Import.TipoArredondamento&lt;&gt;"TransfereGOV",
              ROUND(OFFSET($P184,0,AR$13),15-13*ORÇAMENTO!$AF$7)/$H184*OFFSET(ORÇAMENTO!$X$15,ROW(AR184)-ROW(AR$15),0),
              ROUND(ROUND(OFFSET($P184,0,AR$13),15-13*ORÇAMENTO!$AF$7)*OFFSET(ORÇAMENTO!$W$15,ROW(AR184)-ROW(AR$15),0),15-13*ORÇAMENTO!$AF$11)),
         0)</f>
        <v>0</v>
      </c>
      <c r="AS184" s="453">
        <f ca="1">IF(AND($D184="Serviço",AS$12&lt;&gt;0,$H184&gt;0,OR(AUTOEVENTO&lt;&gt;"manual",$M184&lt;&gt;$A$15)),
        IF(Import.TipoArredondamento&lt;&gt;"TransfereGOV",
              ROUND(OFFSET($P184,0,AS$13),15-13*ORÇAMENTO!$AF$7)/$H184*OFFSET(ORÇAMENTO!$X$15,ROW(AS184)-ROW(AS$15),0),
              ROUND(ROUND(OFFSET($P184,0,AS$13),15-13*ORÇAMENTO!$AF$7)*OFFSET(ORÇAMENTO!$W$15,ROW(AS184)-ROW(AS$15),0),15-13*ORÇAMENTO!$AF$11)),
         0)</f>
        <v>0</v>
      </c>
      <c r="AT184" s="453">
        <f ca="1">IF(AND($D184="Serviço",AT$12&lt;&gt;0,$H184&gt;0,OR(AUTOEVENTO&lt;&gt;"manual",$M184&lt;&gt;$A$15)),
        IF(Import.TipoArredondamento&lt;&gt;"TransfereGOV",
              ROUND(OFFSET($P184,0,AT$13),15-13*ORÇAMENTO!$AF$7)/$H184*OFFSET(ORÇAMENTO!$X$15,ROW(AT184)-ROW(AT$15),0),
              ROUND(ROUND(OFFSET($P184,0,AT$13),15-13*ORÇAMENTO!$AF$7)*OFFSET(ORÇAMENTO!$W$15,ROW(AT184)-ROW(AT$15),0),15-13*ORÇAMENTO!$AF$11)),
         0)</f>
        <v>0</v>
      </c>
      <c r="AU184" s="453">
        <f ca="1">IF(AND($D184="Serviço",AU$12&lt;&gt;0,$H184&gt;0,OR(AUTOEVENTO&lt;&gt;"manual",$M184&lt;&gt;$A$15)),
        IF(Import.TipoArredondamento&lt;&gt;"TransfereGOV",
              ROUND(OFFSET($P184,0,AU$13),15-13*ORÇAMENTO!$AF$7)/$H184*OFFSET(ORÇAMENTO!$X$15,ROW(AU184)-ROW(AU$15),0),
              ROUND(ROUND(OFFSET($P184,0,AU$13),15-13*ORÇAMENTO!$AF$7)*OFFSET(ORÇAMENTO!$W$15,ROW(AU184)-ROW(AU$15),0),15-13*ORÇAMENTO!$AF$11)),
         0)</f>
        <v>0</v>
      </c>
      <c r="AV184" s="453">
        <f ca="1">IF(AND($D184="Serviço",AV$12&lt;&gt;0,$H184&gt;0,OR(AUTOEVENTO&lt;&gt;"manual",$M184&lt;&gt;$A$15)),
        IF(Import.TipoArredondamento&lt;&gt;"TransfereGOV",
              ROUND(OFFSET($P184,0,AV$13),15-13*ORÇAMENTO!$AF$7)/$H184*OFFSET(ORÇAMENTO!$X$15,ROW(AV184)-ROW(AV$15),0),
              ROUND(ROUND(OFFSET($P184,0,AV$13),15-13*ORÇAMENTO!$AF$7)*OFFSET(ORÇAMENTO!$W$15,ROW(AV184)-ROW(AV$15),0),15-13*ORÇAMENTO!$AF$11)),
         0)</f>
        <v>0</v>
      </c>
      <c r="AW184" s="453">
        <f ca="1">IF(AND($D184="Serviço",AW$12&lt;&gt;0,$H184&gt;0,OR(AUTOEVENTO&lt;&gt;"manual",$M184&lt;&gt;$A$15)),
        IF(Import.TipoArredondamento&lt;&gt;"TransfereGOV",
              ROUND(OFFSET($P184,0,AW$13),15-13*ORÇAMENTO!$AF$7)/$H184*OFFSET(ORÇAMENTO!$X$15,ROW(AW184)-ROW(AW$15),0),
              ROUND(ROUND(OFFSET($P184,0,AW$13),15-13*ORÇAMENTO!$AF$7)*OFFSET(ORÇAMENTO!$W$15,ROW(AW184)-ROW(AW$15),0),15-13*ORÇAMENTO!$AF$11)),
         0)</f>
        <v>0</v>
      </c>
      <c r="AX184" s="453">
        <f ca="1">IF(AND($D184="Serviço",AX$12&lt;&gt;0,$H184&gt;0,OR(AUTOEVENTO&lt;&gt;"manual",$M184&lt;&gt;$A$15)),
        IF(Import.TipoArredondamento&lt;&gt;"TransfereGOV",
              ROUND(OFFSET($P184,0,AX$13),15-13*ORÇAMENTO!$AF$7)/$H184*OFFSET(ORÇAMENTO!$X$15,ROW(AX184)-ROW(AX$15),0),
              ROUND(ROUND(OFFSET($P184,0,AX$13),15-13*ORÇAMENTO!$AF$7)*OFFSET(ORÇAMENTO!$W$15,ROW(AX184)-ROW(AX$15),0),15-13*ORÇAMENTO!$AF$11)),
         0)</f>
        <v>0</v>
      </c>
      <c r="AY184" s="453">
        <f ca="1">IF(AND($D184="Serviço",AY$12&lt;&gt;0,$H184&gt;0,OR(AUTOEVENTO&lt;&gt;"manual",$M184&lt;&gt;$A$15)),
        IF(Import.TipoArredondamento&lt;&gt;"TransfereGOV",
              ROUND(OFFSET($P184,0,AY$13),15-13*ORÇAMENTO!$AF$7)/$H184*OFFSET(ORÇAMENTO!$X$15,ROW(AY184)-ROW(AY$15),0),
              ROUND(ROUND(OFFSET($P184,0,AY$13),15-13*ORÇAMENTO!$AF$7)*OFFSET(ORÇAMENTO!$W$15,ROW(AY184)-ROW(AY$15),0),15-13*ORÇAMENTO!$AF$11)),
         0)</f>
        <v>0</v>
      </c>
      <c r="AZ184" s="453">
        <f ca="1">IF(AND($D184="Serviço",AZ$12&lt;&gt;0,$H184&gt;0,OR(AUTOEVENTO&lt;&gt;"manual",$M184&lt;&gt;$A$15)),
        IF(Import.TipoArredondamento&lt;&gt;"TransfereGOV",
              ROUND(OFFSET($P184,0,AZ$13),15-13*ORÇAMENTO!$AF$7)/$H184*OFFSET(ORÇAMENTO!$X$15,ROW(AZ184)-ROW(AZ$15),0),
              ROUND(ROUND(OFFSET($P184,0,AZ$13),15-13*ORÇAMENTO!$AF$7)*OFFSET(ORÇAMENTO!$W$15,ROW(AZ184)-ROW(AZ$15),0),15-13*ORÇAMENTO!$AF$11)),
         0)</f>
        <v>0</v>
      </c>
      <c r="BA184" s="453">
        <f ca="1">IF(AND($D184="Serviço",BA$12&lt;&gt;0,$H184&gt;0,OR(AUTOEVENTO&lt;&gt;"manual",$M184&lt;&gt;$A$15)),
        IF(Import.TipoArredondamento&lt;&gt;"TransfereGOV",
              ROUND(OFFSET($P184,0,BA$13),15-13*ORÇAMENTO!$AF$7)/$H184*OFFSET(ORÇAMENTO!$X$15,ROW(BA184)-ROW(BA$15),0),
              ROUND(ROUND(OFFSET($P184,0,BA$13),15-13*ORÇAMENTO!$AF$7)*OFFSET(ORÇAMENTO!$W$15,ROW(BA184)-ROW(BA$15),0),15-13*ORÇAMENTO!$AF$11)),
         0)</f>
        <v>0</v>
      </c>
      <c r="BB184" s="453">
        <f ca="1">IF(AND($D184="Serviço",BB$12&lt;&gt;0,$H184&gt;0,OR(AUTOEVENTO&lt;&gt;"manual",$M184&lt;&gt;$A$15)),
        IF(Import.TipoArredondamento&lt;&gt;"TransfereGOV",
              ROUND(OFFSET($P184,0,BB$13),15-13*ORÇAMENTO!$AF$7)/$H184*OFFSET(ORÇAMENTO!$X$15,ROW(BB184)-ROW(BB$15),0),
              ROUND(ROUND(OFFSET($P184,0,BB$13),15-13*ORÇAMENTO!$AF$7)*OFFSET(ORÇAMENTO!$W$15,ROW(BB184)-ROW(BB$15),0),15-13*ORÇAMENTO!$AF$11)),
         0)</f>
        <v>0</v>
      </c>
      <c r="BC184" s="453">
        <f ca="1">IF(AND($D184="Serviço",BC$12&lt;&gt;0,$H184&gt;0,OR(AUTOEVENTO&lt;&gt;"manual",$M184&lt;&gt;$A$15)),
        IF(Import.TipoArredondamento&lt;&gt;"TransfereGOV",
              ROUND(OFFSET($P184,0,BC$13),15-13*ORÇAMENTO!$AF$7)/$H184*OFFSET(ORÇAMENTO!$X$15,ROW(BC184)-ROW(BC$15),0),
              ROUND(ROUND(OFFSET($P184,0,BC$13),15-13*ORÇAMENTO!$AF$7)*OFFSET(ORÇAMENTO!$W$15,ROW(BC184)-ROW(BC$15),0),15-13*ORÇAMENTO!$AF$11)),
         0)</f>
        <v>0</v>
      </c>
      <c r="BD184" s="453">
        <f ca="1">IF(AND($D184="Serviço",BD$12&lt;&gt;0,$H184&gt;0,OR(AUTOEVENTO&lt;&gt;"manual",$M184&lt;&gt;$A$15)),
        IF(Import.TipoArredondamento&lt;&gt;"TransfereGOV",
              ROUND(OFFSET($P184,0,BD$13),15-13*ORÇAMENTO!$AF$7)/$H184*OFFSET(ORÇAMENTO!$X$15,ROW(BD184)-ROW(BD$15),0),
              ROUND(ROUND(OFFSET($P184,0,BD$13),15-13*ORÇAMENTO!$AF$7)*OFFSET(ORÇAMENTO!$W$15,ROW(BD184)-ROW(BD$15),0),15-13*ORÇAMENTO!$AF$11)),
         0)</f>
        <v>0</v>
      </c>
      <c r="BE184" s="453">
        <f ca="1">IF(AND($D184="Serviço",BE$12&lt;&gt;0,$H184&gt;0,OR(AUTOEVENTO&lt;&gt;"manual",$M184&lt;&gt;$A$15)),
        IF(Import.TipoArredondamento&lt;&gt;"TransfereGOV",
              ROUND(OFFSET($P184,0,BE$13),15-13*ORÇAMENTO!$AF$7)/$H184*OFFSET(ORÇAMENTO!$X$15,ROW(BE184)-ROW(BE$15),0),
              ROUND(ROUND(OFFSET($P184,0,BE$13),15-13*ORÇAMENTO!$AF$7)*OFFSET(ORÇAMENTO!$W$15,ROW(BE184)-ROW(BE$15),0),15-13*ORÇAMENTO!$AF$11)),
         0)</f>
        <v>0</v>
      </c>
      <c r="BF184" s="453">
        <f ca="1">IF(AND($D184="Serviço",BF$12&lt;&gt;0,$H184&gt;0,OR(AUTOEVENTO&lt;&gt;"manual",$M184&lt;&gt;$A$15)),
        IF(Import.TipoArredondamento&lt;&gt;"TransfereGOV",
              ROUND(OFFSET($P184,0,BF$13),15-13*ORÇAMENTO!$AF$7)/$H184*OFFSET(ORÇAMENTO!$X$15,ROW(BF184)-ROW(BF$15),0),
              ROUND(ROUND(OFFSET($P184,0,BF$13),15-13*ORÇAMENTO!$AF$7)*OFFSET(ORÇAMENTO!$W$15,ROW(BF184)-ROW(BF$15),0),15-13*ORÇAMENTO!$AF$11)),
         0)</f>
        <v>0</v>
      </c>
      <c r="BG184" s="453">
        <f ca="1">IF(AND($D184="Serviço",BG$12&lt;&gt;0,$H184&gt;0,OR(AUTOEVENTO&lt;&gt;"manual",$M184&lt;&gt;$A$15)),
        IF(Import.TipoArredondamento&lt;&gt;"TransfereGOV",
              ROUND(OFFSET($P184,0,BG$13),15-13*ORÇAMENTO!$AF$7)/$H184*OFFSET(ORÇAMENTO!$X$15,ROW(BG184)-ROW(BG$15),0),
              ROUND(ROUND(OFFSET($P184,0,BG$13),15-13*ORÇAMENTO!$AF$7)*OFFSET(ORÇAMENTO!$W$15,ROW(BG184)-ROW(BG$15),0),15-13*ORÇAMENTO!$AF$11)),
         0)</f>
        <v>0</v>
      </c>
      <c r="BH184" s="453">
        <f ca="1">IF(AND($D184="Serviço",BH$12&lt;&gt;0,$H184&gt;0,OR(AUTOEVENTO&lt;&gt;"manual",$M184&lt;&gt;$A$15)),
        IF(Import.TipoArredondamento&lt;&gt;"TransfereGOV",
              ROUND(OFFSET($P184,0,BH$13),15-13*ORÇAMENTO!$AF$7)/$H184*OFFSET(ORÇAMENTO!$X$15,ROW(BH184)-ROW(BH$15),0),
              ROUND(ROUND(OFFSET($P184,0,BH$13),15-13*ORÇAMENTO!$AF$7)*OFFSET(ORÇAMENTO!$W$15,ROW(BH184)-ROW(BH$15),0),15-13*ORÇAMENTO!$AF$11)),
         0)</f>
        <v>0</v>
      </c>
      <c r="BI184" s="453">
        <f ca="1">IF(AND($D184="Serviço",BI$12&lt;&gt;0,$H184&gt;0,OR(AUTOEVENTO&lt;&gt;"manual",$M184&lt;&gt;$A$15)),
        IF(Import.TipoArredondamento&lt;&gt;"TransfereGOV",
              ROUND(OFFSET($P184,0,BI$13),15-13*ORÇAMENTO!$AF$7)/$H184*OFFSET(ORÇAMENTO!$X$15,ROW(BI184)-ROW(BI$15),0),
              ROUND(ROUND(OFFSET($P184,0,BI$13),15-13*ORÇAMENTO!$AF$7)*OFFSET(ORÇAMENTO!$W$15,ROW(BI184)-ROW(BI$15),0),15-13*ORÇAMENTO!$AF$11)),
         0)</f>
        <v>0</v>
      </c>
      <c r="BJ184" s="453">
        <f ca="1">IF(AND($D184="Serviço",BJ$12&lt;&gt;0,$H184&gt;0,OR(AUTOEVENTO&lt;&gt;"manual",$M184&lt;&gt;$A$15)),
        IF(Import.TipoArredondamento&lt;&gt;"TransfereGOV",
              ROUND(OFFSET($P184,0,BJ$13),15-13*ORÇAMENTO!$AF$7)/$H184*OFFSET(ORÇAMENTO!$X$15,ROW(BJ184)-ROW(BJ$15),0),
              ROUND(ROUND(OFFSET($P184,0,BJ$13),15-13*ORÇAMENTO!$AF$7)*OFFSET(ORÇAMENTO!$W$15,ROW(BJ184)-ROW(BJ$15),0),15-13*ORÇAMENTO!$AF$11)),
         0)</f>
        <v>0</v>
      </c>
      <c r="BK184" s="453">
        <f ca="1">IF(AND($D184="Serviço",BK$12&lt;&gt;0,$H184&gt;0,OR(AUTOEVENTO&lt;&gt;"manual",$M184&lt;&gt;$A$15)),
        IF(Import.TipoArredondamento&lt;&gt;"TransfereGOV",
              ROUND(OFFSET($P184,0,BK$13),15-13*ORÇAMENTO!$AF$7)/$H184*OFFSET(ORÇAMENTO!$X$15,ROW(BK184)-ROW(BK$15),0),
              ROUND(ROUND(OFFSET($P184,0,BK$13),15-13*ORÇAMENTO!$AF$7)*OFFSET(ORÇAMENTO!$W$15,ROW(BK184)-ROW(BK$15),0),15-13*ORÇAMENTO!$AF$11)),
         0)</f>
        <v>0</v>
      </c>
      <c r="BL184" s="453">
        <f ca="1">IF(AND($D184="Serviço",BL$12&lt;&gt;0,$H184&gt;0,OR(AUTOEVENTO&lt;&gt;"manual",$M184&lt;&gt;$A$15)),
        IF(Import.TipoArredondamento&lt;&gt;"TransfereGOV",
              ROUND(OFFSET($P184,0,BL$13),15-13*ORÇAMENTO!$AF$7)/$H184*OFFSET(ORÇAMENTO!$X$15,ROW(BL184)-ROW(BL$15),0),
              ROUND(ROUND(OFFSET($P184,0,BL$13),15-13*ORÇAMENTO!$AF$7)*OFFSET(ORÇAMENTO!$W$15,ROW(BL184)-ROW(BL$15),0),15-13*ORÇAMENTO!$AF$11)),
         0)</f>
        <v>0</v>
      </c>
      <c r="BM184" s="453">
        <f ca="1">IF(AND($D184="Serviço",BM$12&lt;&gt;0,$H184&gt;0,OR(AUTOEVENTO&lt;&gt;"manual",$M184&lt;&gt;$A$15)),
        IF(Import.TipoArredondamento&lt;&gt;"TransfereGOV",
              ROUND(OFFSET($P184,0,BM$13),15-13*ORÇAMENTO!$AF$7)/$H184*OFFSET(ORÇAMENTO!$X$15,ROW(BM184)-ROW(BM$15),0),
              ROUND(ROUND(OFFSET($P184,0,BM$13),15-13*ORÇAMENTO!$AF$7)*OFFSET(ORÇAMENTO!$W$15,ROW(BM184)-ROW(BM$15),0),15-13*ORÇAMENTO!$AF$11)),
         0)</f>
        <v>0</v>
      </c>
      <c r="BN184" s="453">
        <f ca="1">IF(AND($D184="Serviço",BN$12&lt;&gt;0,$H184&gt;0,OR(AUTOEVENTO&lt;&gt;"manual",$M184&lt;&gt;$A$15)),
        IF(Import.TipoArredondamento&lt;&gt;"TransfereGOV",
              ROUND(OFFSET($P184,0,BN$13),15-13*ORÇAMENTO!$AF$7)/$H184*OFFSET(ORÇAMENTO!$X$15,ROW(BN184)-ROW(BN$15),0),
              ROUND(ROUND(OFFSET($P184,0,BN$13),15-13*ORÇAMENTO!$AF$7)*OFFSET(ORÇAMENTO!$W$15,ROW(BN184)-ROW(BN$15),0),15-13*ORÇAMENTO!$AF$11)),
         0)</f>
        <v>0</v>
      </c>
      <c r="BO184" s="453">
        <f ca="1">IF(AND($D184="Serviço",BO$12&lt;&gt;0,$H184&gt;0,OR(AUTOEVENTO&lt;&gt;"manual",$M184&lt;&gt;$A$15)),
        IF(Import.TipoArredondamento&lt;&gt;"TransfereGOV",
              ROUND(OFFSET($P184,0,BO$13),15-13*ORÇAMENTO!$AF$7)/$H184*OFFSET(ORÇAMENTO!$X$15,ROW(BO184)-ROW(BO$15),0),
              ROUND(ROUND(OFFSET($P184,0,BO$13),15-13*ORÇAMENTO!$AF$7)*OFFSET(ORÇAMENTO!$W$15,ROW(BO184)-ROW(BO$15),0),15-13*ORÇAMENTO!$AF$11)),
         0)</f>
        <v>0</v>
      </c>
      <c r="BP184" s="453">
        <f ca="1">IF(AND($D184="Serviço",BP$12&lt;&gt;0,$H184&gt;0,OR(AUTOEVENTO&lt;&gt;"manual",$M184&lt;&gt;$A$15)),
        IF(Import.TipoArredondamento&lt;&gt;"TransfereGOV",
              ROUND(OFFSET($P184,0,BP$13),15-13*ORÇAMENTO!$AF$7)/$H184*OFFSET(ORÇAMENTO!$X$15,ROW(BP184)-ROW(BP$15),0),
              ROUND(ROUND(OFFSET($P184,0,BP$13),15-13*ORÇAMENTO!$AF$7)*OFFSET(ORÇAMENTO!$W$15,ROW(BP184)-ROW(BP$15),0),15-13*ORÇAMENTO!$AF$11)),
         0)</f>
        <v>0</v>
      </c>
      <c r="BQ184" s="453">
        <f ca="1">IF(AND($D184="Serviço",BQ$12&lt;&gt;0,$H184&gt;0,OR(AUTOEVENTO&lt;&gt;"manual",$M184&lt;&gt;$A$15)),
        IF(Import.TipoArredondamento&lt;&gt;"TransfereGOV",
              ROUND(OFFSET($P184,0,BQ$13),15-13*ORÇAMENTO!$AF$7)/$H184*OFFSET(ORÇAMENTO!$X$15,ROW(BQ184)-ROW(BQ$15),0),
              ROUND(ROUND(OFFSET($P184,0,BQ$13),15-13*ORÇAMENTO!$AF$7)*OFFSET(ORÇAMENTO!$W$15,ROW(BQ184)-ROW(BQ$15),0),15-13*ORÇAMENTO!$AF$11)),
         0)</f>
        <v>0</v>
      </c>
      <c r="BS184" s="171">
        <f ca="1">IF(OR($D184&lt;&gt;"Serviço",AND(AUTOEVENTO="Manual",$M184=$A$15)),0,
         IF(OFFSET(CRONOPLE!$F$15,$M184-$A$15,BS$13)=0,10^12,OFFSET(CRONOPLE!$F$15,$M184-$A$15,BS$13)))</f>
        <v>1</v>
      </c>
      <c r="BT184" s="171">
        <f ca="1">IF(OR($D184&lt;&gt;"Serviço",AND(AUTOEVENTO="Manual",$M184=$A$15)),0,
         IF(OFFSET(CRONOPLE!$F$15,$M184-$A$15,BT$13)=0,10^12,OFFSET(CRONOPLE!$F$15,$M184-$A$15,BT$13)))</f>
        <v>2</v>
      </c>
      <c r="BU184" s="171">
        <f ca="1">IF(OR($D184&lt;&gt;"Serviço",AND(AUTOEVENTO="Manual",$M184=$A$15)),0,
         IF(OFFSET(CRONOPLE!$F$15,$M184-$A$15,BU$13)=0,10^12,OFFSET(CRONOPLE!$F$15,$M184-$A$15,BU$13)))</f>
        <v>3</v>
      </c>
      <c r="BV184" s="171">
        <f ca="1">IF(OR($D184&lt;&gt;"Serviço",AND(AUTOEVENTO="Manual",$M184=$A$15)),0,
         IF(OFFSET(CRONOPLE!$F$15,$M184-$A$15,BV$13)=0,10^12,OFFSET(CRONOPLE!$F$15,$M184-$A$15,BV$13)))</f>
        <v>4</v>
      </c>
      <c r="BW184" s="171">
        <f ca="1">IF(OR($D184&lt;&gt;"Serviço",AND(AUTOEVENTO="Manual",$M184=$A$15)),0,
         IF(OFFSET(CRONOPLE!$F$15,$M184-$A$15,BW$13)=0,10^12,OFFSET(CRONOPLE!$F$15,$M184-$A$15,BW$13)))</f>
        <v>5</v>
      </c>
      <c r="BX184" s="171">
        <f ca="1">IF(OR($D184&lt;&gt;"Serviço",AND(AUTOEVENTO="Manual",$M184=$A$15)),0,
         IF(OFFSET(CRONOPLE!$F$15,$M184-$A$15,BX$13)=0,10^12,OFFSET(CRONOPLE!$F$15,$M184-$A$15,BX$13)))</f>
        <v>6</v>
      </c>
      <c r="BY184" s="171">
        <f ca="1">IF(OR($D184&lt;&gt;"Serviço",AND(AUTOEVENTO="Manual",$M184=$A$15)),0,
         IF(OFFSET(CRONOPLE!$F$15,$M184-$A$15,BY$13)=0,10^12,OFFSET(CRONOPLE!$F$15,$M184-$A$15,BY$13)))</f>
        <v>7</v>
      </c>
      <c r="BZ184" s="171">
        <f ca="1">IF(OR($D184&lt;&gt;"Serviço",AND(AUTOEVENTO="Manual",$M184=$A$15)),0,
         IF(OFFSET(CRONOPLE!$F$15,$M184-$A$15,BZ$13)=0,10^12,OFFSET(CRONOPLE!$F$15,$M184-$A$15,BZ$13)))</f>
        <v>8</v>
      </c>
      <c r="CA184" s="171">
        <f ca="1">IF(OR($D184&lt;&gt;"Serviço",AND(AUTOEVENTO="Manual",$M184=$A$15)),0,
         IF(OFFSET(CRONOPLE!$F$15,$M184-$A$15,CA$13)=0,10^12,OFFSET(CRONOPLE!$F$15,$M184-$A$15,CA$13)))</f>
        <v>9</v>
      </c>
      <c r="CB184" s="171">
        <f ca="1">IF(OR($D184&lt;&gt;"Serviço",AND(AUTOEVENTO="Manual",$M184=$A$15)),0,
         IF(OFFSET(CRONOPLE!$F$15,$M184-$A$15,CB$13)=0,10^12,OFFSET(CRONOPLE!$F$15,$M184-$A$15,CB$13)))</f>
        <v>10</v>
      </c>
      <c r="CC184" s="171">
        <f ca="1">IF(OR($D184&lt;&gt;"Serviço",AND(AUTOEVENTO="Manual",$M184=$A$15)),0,
         IF(OFFSET(CRONOPLE!$F$15,$M184-$A$15,CC$13)=0,10^12,OFFSET(CRONOPLE!$F$15,$M184-$A$15,CC$13)))</f>
        <v>11</v>
      </c>
      <c r="CD184" s="171">
        <f ca="1">IF(OR($D184&lt;&gt;"Serviço",AND(AUTOEVENTO="Manual",$M184=$A$15)),0,
         IF(OFFSET(CRONOPLE!$F$15,$M184-$A$15,CD$13)=0,10^12,OFFSET(CRONOPLE!$F$15,$M184-$A$15,CD$13)))</f>
        <v>12</v>
      </c>
      <c r="CE184" s="171">
        <f ca="1">IF(OR($D184&lt;&gt;"Serviço",AND(AUTOEVENTO="Manual",$M184=$A$15)),0,
         IF(OFFSET(CRONOPLE!$F$15,$M184-$A$15,CE$13)=0,10^12,OFFSET(CRONOPLE!$F$15,$M184-$A$15,CE$13)))</f>
        <v>13</v>
      </c>
      <c r="CF184" s="171">
        <f ca="1">IF(OR($D184&lt;&gt;"Serviço",AND(AUTOEVENTO="Manual",$M184=$A$15)),0,
         IF(OFFSET(CRONOPLE!$F$15,$M184-$A$15,CF$13)=0,10^12,OFFSET(CRONOPLE!$F$15,$M184-$A$15,CF$13)))</f>
        <v>14</v>
      </c>
      <c r="CG184" s="171">
        <f ca="1">IF(OR($D184&lt;&gt;"Serviço",AND(AUTOEVENTO="Manual",$M184=$A$15)),0,
         IF(OFFSET(CRONOPLE!$F$15,$M184-$A$15,CG$13)=0,10^12,OFFSET(CRONOPLE!$F$15,$M184-$A$15,CG$13)))</f>
        <v>15</v>
      </c>
      <c r="CH184" s="171">
        <f ca="1">IF(OR($D184&lt;&gt;"Serviço",AND(AUTOEVENTO="Manual",$M184=$A$15)),0,
         IF(OFFSET(CRONOPLE!$F$15,$M184-$A$15,CH$13)=0,10^12,OFFSET(CRONOPLE!$F$15,$M184-$A$15,CH$13)))</f>
        <v>16</v>
      </c>
      <c r="CI184" s="171">
        <f ca="1">IF(OR($D184&lt;&gt;"Serviço",AND(AUTOEVENTO="Manual",$M184=$A$15)),0,
         IF(OFFSET(CRONOPLE!$F$15,$M184-$A$15,CI$13)=0,10^12,OFFSET(CRONOPLE!$F$15,$M184-$A$15,CI$13)))</f>
        <v>17</v>
      </c>
      <c r="CJ184" s="171">
        <f ca="1">IF(OR($D184&lt;&gt;"Serviço",AND(AUTOEVENTO="Manual",$M184=$A$15)),0,
         IF(OFFSET(CRONOPLE!$F$15,$M184-$A$15,CJ$13)=0,10^12,OFFSET(CRONOPLE!$F$15,$M184-$A$15,CJ$13)))</f>
        <v>18</v>
      </c>
      <c r="CK184" s="171">
        <f ca="1">IF(OR($D184&lt;&gt;"Serviço",AND(AUTOEVENTO="Manual",$M184=$A$15)),0,
         IF(OFFSET(CRONOPLE!$F$15,$M184-$A$15,CK$13)=0,10^12,OFFSET(CRONOPLE!$F$15,$M184-$A$15,CK$13)))</f>
        <v>19</v>
      </c>
      <c r="CL184" s="171">
        <f ca="1">IF(OR($D184&lt;&gt;"Serviço",AND(AUTOEVENTO="Manual",$M184=$A$15)),0,
         IF(OFFSET(CRONOPLE!$F$15,$M184-$A$15,CL$13)=0,10^12,OFFSET(CRONOPLE!$F$15,$M184-$A$15,CL$13)))</f>
        <v>20</v>
      </c>
      <c r="CM184" s="171">
        <f ca="1">IF(OR($D184&lt;&gt;"Serviço",AND(AUTOEVENTO="Manual",$M184=$A$15)),0,
         IF(OFFSET(CRONOPLE!$F$15,$M184-$A$15,CM$13)=0,10^12,OFFSET(CRONOPLE!$F$15,$M184-$A$15,CM$13)))</f>
        <v>1000000000000</v>
      </c>
      <c r="CN184" s="171">
        <f ca="1">IF(OR($D184&lt;&gt;"Serviço",AND(AUTOEVENTO="Manual",$M184=$A$15)),0,
         IF(OFFSET(CRONOPLE!$F$15,$M184-$A$15,CN$13)=0,10^12,OFFSET(CRONOPLE!$F$15,$M184-$A$15,CN$13)))</f>
        <v>1000000000000</v>
      </c>
      <c r="CO184" s="171">
        <f ca="1">IF(OR($D184&lt;&gt;"Serviço",AND(AUTOEVENTO="Manual",$M184=$A$15)),0,
         IF(OFFSET(CRONOPLE!$F$15,$M184-$A$15,CO$13)=0,10^12,OFFSET(CRONOPLE!$F$15,$M184-$A$15,CO$13)))</f>
        <v>1000000000000</v>
      </c>
      <c r="CP184" s="171">
        <f ca="1">IF(OR($D184&lt;&gt;"Serviço",AND(AUTOEVENTO="Manual",$M184=$A$15)),0,
         IF(OFFSET(CRONOPLE!$F$15,$M184-$A$15,CP$13)=0,10^12,OFFSET(CRONOPLE!$F$15,$M184-$A$15,CP$13)))</f>
        <v>1000000000000</v>
      </c>
      <c r="CQ184" s="171">
        <f ca="1">IF(OR($D184&lt;&gt;"Serviço",AND(AUTOEVENTO="Manual",$M184=$A$15)),0,
         IF(OFFSET(CRONOPLE!$F$15,$M184-$A$15,CQ$13)=0,10^12,OFFSET(CRONOPLE!$F$15,$M184-$A$15,CQ$13)))</f>
        <v>1000000000000</v>
      </c>
      <c r="CR184" s="171">
        <f ca="1">IF(OR($D184&lt;&gt;"Serviço",AND(AUTOEVENTO="Manual",$M184=$A$15)),0,
         IF(OFFSET(CRONOPLE!$F$15,$M184-$A$15,CR$13)=0,10^12,OFFSET(CRONOPLE!$F$15,$M184-$A$15,CR$13)))</f>
        <v>1000000000000</v>
      </c>
      <c r="CT184" s="172" cm="1">
        <f t="array" aca="1" ref="CT184" ca="1">IF(OR($D184&lt;&gt;"Serviço",AND(AUTOEVENTO="Manual",$M184=$A$15),$M184&gt;(ROW(PLE.lastrow)-ROW(PLE.firstrow))),0,
           IF(OFFSET(PLE!$G$15,$M184-$A$15,CT$13)="",10^12,OFFSET(PLE!$G$15,$M184-$A$15,CT$13)))</f>
        <v>1000000000000</v>
      </c>
      <c r="CU184" s="172" cm="1">
        <f t="array" aca="1" ref="CU184" ca="1">IF(OR($D184&lt;&gt;"Serviço",AND(AUTOEVENTO="Manual",$M184=$A$15),$M184&gt;(ROW(PLE.lastrow)-ROW(PLE.firstrow))),0,
           IF(OFFSET(PLE!$G$15,$M184-$A$15,CU$13)="",10^12,OFFSET(PLE!$G$15,$M184-$A$15,CU$13)))</f>
        <v>1000000000000</v>
      </c>
      <c r="CV184" s="172" cm="1">
        <f t="array" aca="1" ref="CV184" ca="1">IF(OR($D184&lt;&gt;"Serviço",AND(AUTOEVENTO="Manual",$M184=$A$15),$M184&gt;(ROW(PLE.lastrow)-ROW(PLE.firstrow))),0,
           IF(OFFSET(PLE!$G$15,$M184-$A$15,CV$13)="",10^12,OFFSET(PLE!$G$15,$M184-$A$15,CV$13)))</f>
        <v>1000000000000</v>
      </c>
      <c r="CW184" s="172" cm="1">
        <f t="array" aca="1" ref="CW184" ca="1">IF(OR($D184&lt;&gt;"Serviço",AND(AUTOEVENTO="Manual",$M184=$A$15),$M184&gt;(ROW(PLE.lastrow)-ROW(PLE.firstrow))),0,
           IF(OFFSET(PLE!$G$15,$M184-$A$15,CW$13)="",10^12,OFFSET(PLE!$G$15,$M184-$A$15,CW$13)))</f>
        <v>1000000000000</v>
      </c>
      <c r="CX184" s="172" cm="1">
        <f t="array" aca="1" ref="CX184" ca="1">IF(OR($D184&lt;&gt;"Serviço",AND(AUTOEVENTO="Manual",$M184=$A$15),$M184&gt;(ROW(PLE.lastrow)-ROW(PLE.firstrow))),0,
           IF(OFFSET(PLE!$G$15,$M184-$A$15,CX$13)="",10^12,OFFSET(PLE!$G$15,$M184-$A$15,CX$13)))</f>
        <v>1000000000000</v>
      </c>
      <c r="CY184" s="172" cm="1">
        <f t="array" aca="1" ref="CY184" ca="1">IF(OR($D184&lt;&gt;"Serviço",AND(AUTOEVENTO="Manual",$M184=$A$15),$M184&gt;(ROW(PLE.lastrow)-ROW(PLE.firstrow))),0,
           IF(OFFSET(PLE!$G$15,$M184-$A$15,CY$13)="",10^12,OFFSET(PLE!$G$15,$M184-$A$15,CY$13)))</f>
        <v>1000000000000</v>
      </c>
      <c r="CZ184" s="172" cm="1">
        <f t="array" aca="1" ref="CZ184" ca="1">IF(OR($D184&lt;&gt;"Serviço",AND(AUTOEVENTO="Manual",$M184=$A$15),$M184&gt;(ROW(PLE.lastrow)-ROW(PLE.firstrow))),0,
           IF(OFFSET(PLE!$G$15,$M184-$A$15,CZ$13)="",10^12,OFFSET(PLE!$G$15,$M184-$A$15,CZ$13)))</f>
        <v>1000000000000</v>
      </c>
      <c r="DA184" s="172" cm="1">
        <f t="array" aca="1" ref="DA184" ca="1">IF(OR($D184&lt;&gt;"Serviço",AND(AUTOEVENTO="Manual",$M184=$A$15),$M184&gt;(ROW(PLE.lastrow)-ROW(PLE.firstrow))),0,
           IF(OFFSET(PLE!$G$15,$M184-$A$15,DA$13)="",10^12,OFFSET(PLE!$G$15,$M184-$A$15,DA$13)))</f>
        <v>1000000000000</v>
      </c>
      <c r="DB184" s="172" cm="1">
        <f t="array" aca="1" ref="DB184" ca="1">IF(OR($D184&lt;&gt;"Serviço",AND(AUTOEVENTO="Manual",$M184=$A$15),$M184&gt;(ROW(PLE.lastrow)-ROW(PLE.firstrow))),0,
           IF(OFFSET(PLE!$G$15,$M184-$A$15,DB$13)="",10^12,OFFSET(PLE!$G$15,$M184-$A$15,DB$13)))</f>
        <v>1000000000000</v>
      </c>
      <c r="DC184" s="172" cm="1">
        <f t="array" aca="1" ref="DC184" ca="1">IF(OR($D184&lt;&gt;"Serviço",AND(AUTOEVENTO="Manual",$M184=$A$15),$M184&gt;(ROW(PLE.lastrow)-ROW(PLE.firstrow))),0,
           IF(OFFSET(PLE!$G$15,$M184-$A$15,DC$13)="",10^12,OFFSET(PLE!$G$15,$M184-$A$15,DC$13)))</f>
        <v>1000000000000</v>
      </c>
      <c r="DD184" s="172" cm="1">
        <f t="array" aca="1" ref="DD184" ca="1">IF(OR($D184&lt;&gt;"Serviço",AND(AUTOEVENTO="Manual",$M184=$A$15),$M184&gt;(ROW(PLE.lastrow)-ROW(PLE.firstrow))),0,
           IF(OFFSET(PLE!$G$15,$M184-$A$15,DD$13)="",10^12,OFFSET(PLE!$G$15,$M184-$A$15,DD$13)))</f>
        <v>1000000000000</v>
      </c>
      <c r="DE184" s="172" cm="1">
        <f t="array" aca="1" ref="DE184" ca="1">IF(OR($D184&lt;&gt;"Serviço",AND(AUTOEVENTO="Manual",$M184=$A$15),$M184&gt;(ROW(PLE.lastrow)-ROW(PLE.firstrow))),0,
           IF(OFFSET(PLE!$G$15,$M184-$A$15,DE$13)="",10^12,OFFSET(PLE!$G$15,$M184-$A$15,DE$13)))</f>
        <v>1000000000000</v>
      </c>
      <c r="DF184" s="172" cm="1">
        <f t="array" aca="1" ref="DF184" ca="1">IF(OR($D184&lt;&gt;"Serviço",AND(AUTOEVENTO="Manual",$M184=$A$15),$M184&gt;(ROW(PLE.lastrow)-ROW(PLE.firstrow))),0,
           IF(OFFSET(PLE!$G$15,$M184-$A$15,DF$13)="",10^12,OFFSET(PLE!$G$15,$M184-$A$15,DF$13)))</f>
        <v>1000000000000</v>
      </c>
      <c r="DG184" s="172" cm="1">
        <f t="array" aca="1" ref="DG184" ca="1">IF(OR($D184&lt;&gt;"Serviço",AND(AUTOEVENTO="Manual",$M184=$A$15),$M184&gt;(ROW(PLE.lastrow)-ROW(PLE.firstrow))),0,
           IF(OFFSET(PLE!$G$15,$M184-$A$15,DG$13)="",10^12,OFFSET(PLE!$G$15,$M184-$A$15,DG$13)))</f>
        <v>1000000000000</v>
      </c>
      <c r="DH184" s="172" cm="1">
        <f t="array" aca="1" ref="DH184" ca="1">IF(OR($D184&lt;&gt;"Serviço",AND(AUTOEVENTO="Manual",$M184=$A$15),$M184&gt;(ROW(PLE.lastrow)-ROW(PLE.firstrow))),0,
           IF(OFFSET(PLE!$G$15,$M184-$A$15,DH$13)="",10^12,OFFSET(PLE!$G$15,$M184-$A$15,DH$13)))</f>
        <v>1000000000000</v>
      </c>
      <c r="DI184" s="172" cm="1">
        <f t="array" aca="1" ref="DI184" ca="1">IF(OR($D184&lt;&gt;"Serviço",AND(AUTOEVENTO="Manual",$M184=$A$15),$M184&gt;(ROW(PLE.lastrow)-ROW(PLE.firstrow))),0,
           IF(OFFSET(PLE!$G$15,$M184-$A$15,DI$13)="",10^12,OFFSET(PLE!$G$15,$M184-$A$15,DI$13)))</f>
        <v>1000000000000</v>
      </c>
      <c r="DJ184" s="172" cm="1">
        <f t="array" aca="1" ref="DJ184" ca="1">IF(OR($D184&lt;&gt;"Serviço",AND(AUTOEVENTO="Manual",$M184=$A$15),$M184&gt;(ROW(PLE.lastrow)-ROW(PLE.firstrow))),0,
           IF(OFFSET(PLE!$G$15,$M184-$A$15,DJ$13)="",10^12,OFFSET(PLE!$G$15,$M184-$A$15,DJ$13)))</f>
        <v>1000000000000</v>
      </c>
      <c r="DK184" s="172" cm="1">
        <f t="array" aca="1" ref="DK184" ca="1">IF(OR($D184&lt;&gt;"Serviço",AND(AUTOEVENTO="Manual",$M184=$A$15),$M184&gt;(ROW(PLE.lastrow)-ROW(PLE.firstrow))),0,
           IF(OFFSET(PLE!$G$15,$M184-$A$15,DK$13)="",10^12,OFFSET(PLE!$G$15,$M184-$A$15,DK$13)))</f>
        <v>1000000000000</v>
      </c>
      <c r="DL184" s="172" cm="1">
        <f t="array" aca="1" ref="DL184" ca="1">IF(OR($D184&lt;&gt;"Serviço",AND(AUTOEVENTO="Manual",$M184=$A$15),$M184&gt;(ROW(PLE.lastrow)-ROW(PLE.firstrow))),0,
           IF(OFFSET(PLE!$G$15,$M184-$A$15,DL$13)="",10^12,OFFSET(PLE!$G$15,$M184-$A$15,DL$13)))</f>
        <v>1000000000000</v>
      </c>
      <c r="DM184" s="172" cm="1">
        <f t="array" aca="1" ref="DM184" ca="1">IF(OR($D184&lt;&gt;"Serviço",AND(AUTOEVENTO="Manual",$M184=$A$15),$M184&gt;(ROW(PLE.lastrow)-ROW(PLE.firstrow))),0,
           IF(OFFSET(PLE!$G$15,$M184-$A$15,DM$13)="",10^12,OFFSET(PLE!$G$15,$M184-$A$15,DM$13)))</f>
        <v>1000000000000</v>
      </c>
      <c r="DN184" s="172" cm="1">
        <f t="array" aca="1" ref="DN184" ca="1">IF(OR($D184&lt;&gt;"Serviço",AND(AUTOEVENTO="Manual",$M184=$A$15),$M184&gt;(ROW(PLE.lastrow)-ROW(PLE.firstrow))),0,
           IF(OFFSET(PLE!$G$15,$M184-$A$15,DN$13)="",10^12,OFFSET(PLE!$G$15,$M184-$A$15,DN$13)))</f>
        <v>1000000000000</v>
      </c>
      <c r="DO184" s="172" cm="1">
        <f t="array" aca="1" ref="DO184" ca="1">IF(OR($D184&lt;&gt;"Serviço",AND(AUTOEVENTO="Manual",$M184=$A$15),$M184&gt;(ROW(PLE.lastrow)-ROW(PLE.firstrow))),0,
           IF(OFFSET(PLE!$G$15,$M184-$A$15,DO$13)="",10^12,OFFSET(PLE!$G$15,$M184-$A$15,DO$13)))</f>
        <v>1000000000000</v>
      </c>
      <c r="DP184" s="172" cm="1">
        <f t="array" aca="1" ref="DP184" ca="1">IF(OR($D184&lt;&gt;"Serviço",AND(AUTOEVENTO="Manual",$M184=$A$15),$M184&gt;(ROW(PLE.lastrow)-ROW(PLE.firstrow))),0,
           IF(OFFSET(PLE!$G$15,$M184-$A$15,DP$13)="",10^12,OFFSET(PLE!$G$15,$M184-$A$15,DP$13)))</f>
        <v>1000000000000</v>
      </c>
      <c r="DQ184" s="172" cm="1">
        <f t="array" aca="1" ref="DQ184" ca="1">IF(OR($D184&lt;&gt;"Serviço",AND(AUTOEVENTO="Manual",$M184=$A$15),$M184&gt;(ROW(PLE.lastrow)-ROW(PLE.firstrow))),0,
           IF(OFFSET(PLE!$G$15,$M184-$A$15,DQ$13)="",10^12,OFFSET(PLE!$G$15,$M184-$A$15,DQ$13)))</f>
        <v>1000000000000</v>
      </c>
      <c r="DR184" s="172" cm="1">
        <f t="array" aca="1" ref="DR184" ca="1">IF(OR($D184&lt;&gt;"Serviço",AND(AUTOEVENTO="Manual",$M184=$A$15),$M184&gt;(ROW(PLE.lastrow)-ROW(PLE.firstrow))),0,
           IF(OFFSET(PLE!$G$15,$M184-$A$15,DR$13)="",10^12,OFFSET(PLE!$G$15,$M184-$A$15,DR$13)))</f>
        <v>1000000000000</v>
      </c>
      <c r="DS184" s="172" cm="1">
        <f t="array" aca="1" ref="DS184" ca="1">IF(OR($D184&lt;&gt;"Serviço",AND(AUTOEVENTO="Manual",$M184=$A$15),$M184&gt;(ROW(PLE.lastrow)-ROW(PLE.firstrow))),0,
           IF(OFFSET(PLE!$G$15,$M184-$A$15,DS$13)="",10^12,OFFSET(PLE!$G$15,$M184-$A$15,DS$13)))</f>
        <v>1000000000000</v>
      </c>
    </row>
    <row r="185" spans="1:123" ht="25.5" x14ac:dyDescent="0.2">
      <c r="A185" s="7">
        <f t="shared" ca="1" si="18"/>
        <v>9</v>
      </c>
      <c r="B185" s="7" t="str">
        <f ca="1">OFFSET(ORÇAMENTO!C$15,$L185,0)</f>
        <v>S</v>
      </c>
      <c r="C185" s="7" t="str">
        <f ca="1">OFFSET(ORÇAMENTO!L$15,$L185,0)</f>
        <v/>
      </c>
      <c r="D185" s="116" t="str">
        <f ca="1">OFFSET(ORÇAMENTO!N$15,$L185,0)</f>
        <v>Serviço</v>
      </c>
      <c r="E185" s="117" t="str">
        <f ca="1">OFFSET(ORÇAMENTO!O$15,$L185,0)</f>
        <v>-</v>
      </c>
      <c r="F185" s="163" t="str">
        <f ca="1">OFFSET(ORÇAMENTO!R$15,$L185,0)</f>
        <v>(Código não identificado nas referências)</v>
      </c>
      <c r="G185" s="164" t="str">
        <f ca="1">IF($D185&lt;&gt;"Serviço","",OFFSET(ORÇAMENTO!S$15,$L185,0))</f>
        <v>-</v>
      </c>
      <c r="H185" s="122" cm="1">
        <f t="array" aca="1" ref="H185" ca="1">IF($D185&lt;&gt;"Serviço",0,IF(ACOMPANHAMENTO="BM",ROUND(OFFSET(ORÇAMENTO!AJ$15,$L185,0),15-13*ORÇAMENTO!$AF$7),IF(IFERROR(CÁLCULO.FrentesPreenchidas,0)=0,0,SUM(ROUND(OFFSET($P185,0,1,1,CÁLCULO.FrentesPreenchidas),15-13*ORÇAMENTO!$AF$7)))))</f>
        <v>60</v>
      </c>
      <c r="I185" s="468" t="s">
        <v>1235</v>
      </c>
      <c r="J185" s="651" t="str" cm="1">
        <f t="array" aca="1" ref="J185" ca="1">IF(OR(B185&lt;&gt;"S",CÁLCULO.FrentesPreenchidas=0),"",IF(AND(ACOMPANHAMENTO="PLE",AUTOEVENTO="Manual",OR(H185&gt;0,ORÇAMENTO!AC185="QUANT."),OR(K185="",M185=0,N185="")),"►E",IF(AND(ACOMPANHAMENTO="PLE",ORÇAMENTO!AC185="QUANT."),"►Q",IF(AND(ACOMPANHAMENTO="PLE",H185&lt;&gt;SUMPRODUCT(($Q$1:$AQ$1=1)*ROUND(Q185:AQ185,15))),"►S",IF(AND(COUNTIF($P$11:$AQ$11,"▼")=0,H185&gt;0,I185=""),"◄M","")))))</f>
        <v/>
      </c>
      <c r="K185" s="652" t="s">
        <v>1257</v>
      </c>
      <c r="L185" s="165">
        <f t="shared" ca="1" si="17"/>
        <v>170</v>
      </c>
      <c r="M185" s="166">
        <f ca="1">IF($D185&lt;&gt;"Serviço","",
          IF(AUTOEVENTO="manual",$A185,
                IF(ISERROR(MATCH($A185,$A$15:OFFSET($A185,-1,0),0)),MAX($M$15:OFFSET(M185,-1,0))+1,
                      INDEX($M$15:OFFSET(M185,-1,0),MATCH($A185,$A$15:OFFSET($A185,-1,0),0)))))</f>
        <v>9</v>
      </c>
      <c r="N185" s="167" t="str">
        <f ca="1">IF($D185&lt;&gt;"Serviço","",
         IF(AUTOEVENTO="Manual",
                IF($A185=0,"&lt;-- defina o número do agrupador",
                       OFFSET(EVENTOS!$D$15,$A185-$A$15,0)),
                OFFSET($F$15,$A185,0)))</f>
        <v>INSTALAÇÕES</v>
      </c>
      <c r="O185" s="168"/>
      <c r="Q185" s="168">
        <v>3</v>
      </c>
      <c r="R185" s="169">
        <v>3</v>
      </c>
      <c r="S185" s="169">
        <v>3</v>
      </c>
      <c r="T185" s="169">
        <v>3</v>
      </c>
      <c r="U185" s="169">
        <v>3</v>
      </c>
      <c r="V185" s="169">
        <v>3</v>
      </c>
      <c r="W185" s="169">
        <v>3</v>
      </c>
      <c r="X185" s="169">
        <v>3</v>
      </c>
      <c r="Y185" s="169">
        <v>3</v>
      </c>
      <c r="Z185" s="170">
        <v>3</v>
      </c>
      <c r="AA185" s="169">
        <v>3</v>
      </c>
      <c r="AB185" s="169">
        <v>3</v>
      </c>
      <c r="AC185" s="169">
        <v>3</v>
      </c>
      <c r="AD185" s="169">
        <v>3</v>
      </c>
      <c r="AE185" s="169">
        <v>3</v>
      </c>
      <c r="AF185" s="169">
        <v>3</v>
      </c>
      <c r="AG185" s="169">
        <v>3</v>
      </c>
      <c r="AH185" s="170">
        <v>3</v>
      </c>
      <c r="AI185" s="169">
        <v>3</v>
      </c>
      <c r="AJ185" s="169">
        <v>3</v>
      </c>
      <c r="AK185" s="169"/>
      <c r="AL185" s="169"/>
      <c r="AM185" s="169"/>
      <c r="AN185" s="169"/>
      <c r="AO185" s="169"/>
      <c r="AP185" s="170"/>
      <c r="AR185" s="453">
        <f ca="1">IF(AND($D185="Serviço",AR$12&lt;&gt;0,$H185&gt;0,OR(AUTOEVENTO&lt;&gt;"manual",$M185&lt;&gt;$A$15)),
        IF(Import.TipoArredondamento&lt;&gt;"TransfereGOV",
              ROUND(OFFSET($P185,0,AR$13),15-13*ORÇAMENTO!$AF$7)/$H185*OFFSET(ORÇAMENTO!$X$15,ROW(AR185)-ROW(AR$15),0),
              ROUND(ROUND(OFFSET($P185,0,AR$13),15-13*ORÇAMENTO!$AF$7)*OFFSET(ORÇAMENTO!$W$15,ROW(AR185)-ROW(AR$15),0),15-13*ORÇAMENTO!$AF$11)),
         0)</f>
        <v>0</v>
      </c>
      <c r="AS185" s="453">
        <f ca="1">IF(AND($D185="Serviço",AS$12&lt;&gt;0,$H185&gt;0,OR(AUTOEVENTO&lt;&gt;"manual",$M185&lt;&gt;$A$15)),
        IF(Import.TipoArredondamento&lt;&gt;"TransfereGOV",
              ROUND(OFFSET($P185,0,AS$13),15-13*ORÇAMENTO!$AF$7)/$H185*OFFSET(ORÇAMENTO!$X$15,ROW(AS185)-ROW(AS$15),0),
              ROUND(ROUND(OFFSET($P185,0,AS$13),15-13*ORÇAMENTO!$AF$7)*OFFSET(ORÇAMENTO!$W$15,ROW(AS185)-ROW(AS$15),0),15-13*ORÇAMENTO!$AF$11)),
         0)</f>
        <v>0</v>
      </c>
      <c r="AT185" s="453">
        <f ca="1">IF(AND($D185="Serviço",AT$12&lt;&gt;0,$H185&gt;0,OR(AUTOEVENTO&lt;&gt;"manual",$M185&lt;&gt;$A$15)),
        IF(Import.TipoArredondamento&lt;&gt;"TransfereGOV",
              ROUND(OFFSET($P185,0,AT$13),15-13*ORÇAMENTO!$AF$7)/$H185*OFFSET(ORÇAMENTO!$X$15,ROW(AT185)-ROW(AT$15),0),
              ROUND(ROUND(OFFSET($P185,0,AT$13),15-13*ORÇAMENTO!$AF$7)*OFFSET(ORÇAMENTO!$W$15,ROW(AT185)-ROW(AT$15),0),15-13*ORÇAMENTO!$AF$11)),
         0)</f>
        <v>0</v>
      </c>
      <c r="AU185" s="453">
        <f ca="1">IF(AND($D185="Serviço",AU$12&lt;&gt;0,$H185&gt;0,OR(AUTOEVENTO&lt;&gt;"manual",$M185&lt;&gt;$A$15)),
        IF(Import.TipoArredondamento&lt;&gt;"TransfereGOV",
              ROUND(OFFSET($P185,0,AU$13),15-13*ORÇAMENTO!$AF$7)/$H185*OFFSET(ORÇAMENTO!$X$15,ROW(AU185)-ROW(AU$15),0),
              ROUND(ROUND(OFFSET($P185,0,AU$13),15-13*ORÇAMENTO!$AF$7)*OFFSET(ORÇAMENTO!$W$15,ROW(AU185)-ROW(AU$15),0),15-13*ORÇAMENTO!$AF$11)),
         0)</f>
        <v>0</v>
      </c>
      <c r="AV185" s="453">
        <f ca="1">IF(AND($D185="Serviço",AV$12&lt;&gt;0,$H185&gt;0,OR(AUTOEVENTO&lt;&gt;"manual",$M185&lt;&gt;$A$15)),
        IF(Import.TipoArredondamento&lt;&gt;"TransfereGOV",
              ROUND(OFFSET($P185,0,AV$13),15-13*ORÇAMENTO!$AF$7)/$H185*OFFSET(ORÇAMENTO!$X$15,ROW(AV185)-ROW(AV$15),0),
              ROUND(ROUND(OFFSET($P185,0,AV$13),15-13*ORÇAMENTO!$AF$7)*OFFSET(ORÇAMENTO!$W$15,ROW(AV185)-ROW(AV$15),0),15-13*ORÇAMENTO!$AF$11)),
         0)</f>
        <v>0</v>
      </c>
      <c r="AW185" s="453">
        <f ca="1">IF(AND($D185="Serviço",AW$12&lt;&gt;0,$H185&gt;0,OR(AUTOEVENTO&lt;&gt;"manual",$M185&lt;&gt;$A$15)),
        IF(Import.TipoArredondamento&lt;&gt;"TransfereGOV",
              ROUND(OFFSET($P185,0,AW$13),15-13*ORÇAMENTO!$AF$7)/$H185*OFFSET(ORÇAMENTO!$X$15,ROW(AW185)-ROW(AW$15),0),
              ROUND(ROUND(OFFSET($P185,0,AW$13),15-13*ORÇAMENTO!$AF$7)*OFFSET(ORÇAMENTO!$W$15,ROW(AW185)-ROW(AW$15),0),15-13*ORÇAMENTO!$AF$11)),
         0)</f>
        <v>0</v>
      </c>
      <c r="AX185" s="453">
        <f ca="1">IF(AND($D185="Serviço",AX$12&lt;&gt;0,$H185&gt;0,OR(AUTOEVENTO&lt;&gt;"manual",$M185&lt;&gt;$A$15)),
        IF(Import.TipoArredondamento&lt;&gt;"TransfereGOV",
              ROUND(OFFSET($P185,0,AX$13),15-13*ORÇAMENTO!$AF$7)/$H185*OFFSET(ORÇAMENTO!$X$15,ROW(AX185)-ROW(AX$15),0),
              ROUND(ROUND(OFFSET($P185,0,AX$13),15-13*ORÇAMENTO!$AF$7)*OFFSET(ORÇAMENTO!$W$15,ROW(AX185)-ROW(AX$15),0),15-13*ORÇAMENTO!$AF$11)),
         0)</f>
        <v>0</v>
      </c>
      <c r="AY185" s="453">
        <f ca="1">IF(AND($D185="Serviço",AY$12&lt;&gt;0,$H185&gt;0,OR(AUTOEVENTO&lt;&gt;"manual",$M185&lt;&gt;$A$15)),
        IF(Import.TipoArredondamento&lt;&gt;"TransfereGOV",
              ROUND(OFFSET($P185,0,AY$13),15-13*ORÇAMENTO!$AF$7)/$H185*OFFSET(ORÇAMENTO!$X$15,ROW(AY185)-ROW(AY$15),0),
              ROUND(ROUND(OFFSET($P185,0,AY$13),15-13*ORÇAMENTO!$AF$7)*OFFSET(ORÇAMENTO!$W$15,ROW(AY185)-ROW(AY$15),0),15-13*ORÇAMENTO!$AF$11)),
         0)</f>
        <v>0</v>
      </c>
      <c r="AZ185" s="453">
        <f ca="1">IF(AND($D185="Serviço",AZ$12&lt;&gt;0,$H185&gt;0,OR(AUTOEVENTO&lt;&gt;"manual",$M185&lt;&gt;$A$15)),
        IF(Import.TipoArredondamento&lt;&gt;"TransfereGOV",
              ROUND(OFFSET($P185,0,AZ$13),15-13*ORÇAMENTO!$AF$7)/$H185*OFFSET(ORÇAMENTO!$X$15,ROW(AZ185)-ROW(AZ$15),0),
              ROUND(ROUND(OFFSET($P185,0,AZ$13),15-13*ORÇAMENTO!$AF$7)*OFFSET(ORÇAMENTO!$W$15,ROW(AZ185)-ROW(AZ$15),0),15-13*ORÇAMENTO!$AF$11)),
         0)</f>
        <v>0</v>
      </c>
      <c r="BA185" s="453">
        <f ca="1">IF(AND($D185="Serviço",BA$12&lt;&gt;0,$H185&gt;0,OR(AUTOEVENTO&lt;&gt;"manual",$M185&lt;&gt;$A$15)),
        IF(Import.TipoArredondamento&lt;&gt;"TransfereGOV",
              ROUND(OFFSET($P185,0,BA$13),15-13*ORÇAMENTO!$AF$7)/$H185*OFFSET(ORÇAMENTO!$X$15,ROW(BA185)-ROW(BA$15),0),
              ROUND(ROUND(OFFSET($P185,0,BA$13),15-13*ORÇAMENTO!$AF$7)*OFFSET(ORÇAMENTO!$W$15,ROW(BA185)-ROW(BA$15),0),15-13*ORÇAMENTO!$AF$11)),
         0)</f>
        <v>0</v>
      </c>
      <c r="BB185" s="453">
        <f ca="1">IF(AND($D185="Serviço",BB$12&lt;&gt;0,$H185&gt;0,OR(AUTOEVENTO&lt;&gt;"manual",$M185&lt;&gt;$A$15)),
        IF(Import.TipoArredondamento&lt;&gt;"TransfereGOV",
              ROUND(OFFSET($P185,0,BB$13),15-13*ORÇAMENTO!$AF$7)/$H185*OFFSET(ORÇAMENTO!$X$15,ROW(BB185)-ROW(BB$15),0),
              ROUND(ROUND(OFFSET($P185,0,BB$13),15-13*ORÇAMENTO!$AF$7)*OFFSET(ORÇAMENTO!$W$15,ROW(BB185)-ROW(BB$15),0),15-13*ORÇAMENTO!$AF$11)),
         0)</f>
        <v>0</v>
      </c>
      <c r="BC185" s="453">
        <f ca="1">IF(AND($D185="Serviço",BC$12&lt;&gt;0,$H185&gt;0,OR(AUTOEVENTO&lt;&gt;"manual",$M185&lt;&gt;$A$15)),
        IF(Import.TipoArredondamento&lt;&gt;"TransfereGOV",
              ROUND(OFFSET($P185,0,BC$13),15-13*ORÇAMENTO!$AF$7)/$H185*OFFSET(ORÇAMENTO!$X$15,ROW(BC185)-ROW(BC$15),0),
              ROUND(ROUND(OFFSET($P185,0,BC$13),15-13*ORÇAMENTO!$AF$7)*OFFSET(ORÇAMENTO!$W$15,ROW(BC185)-ROW(BC$15),0),15-13*ORÇAMENTO!$AF$11)),
         0)</f>
        <v>0</v>
      </c>
      <c r="BD185" s="453">
        <f ca="1">IF(AND($D185="Serviço",BD$12&lt;&gt;0,$H185&gt;0,OR(AUTOEVENTO&lt;&gt;"manual",$M185&lt;&gt;$A$15)),
        IF(Import.TipoArredondamento&lt;&gt;"TransfereGOV",
              ROUND(OFFSET($P185,0,BD$13),15-13*ORÇAMENTO!$AF$7)/$H185*OFFSET(ORÇAMENTO!$X$15,ROW(BD185)-ROW(BD$15),0),
              ROUND(ROUND(OFFSET($P185,0,BD$13),15-13*ORÇAMENTO!$AF$7)*OFFSET(ORÇAMENTO!$W$15,ROW(BD185)-ROW(BD$15),0),15-13*ORÇAMENTO!$AF$11)),
         0)</f>
        <v>0</v>
      </c>
      <c r="BE185" s="453">
        <f ca="1">IF(AND($D185="Serviço",BE$12&lt;&gt;0,$H185&gt;0,OR(AUTOEVENTO&lt;&gt;"manual",$M185&lt;&gt;$A$15)),
        IF(Import.TipoArredondamento&lt;&gt;"TransfereGOV",
              ROUND(OFFSET($P185,0,BE$13),15-13*ORÇAMENTO!$AF$7)/$H185*OFFSET(ORÇAMENTO!$X$15,ROW(BE185)-ROW(BE$15),0),
              ROUND(ROUND(OFFSET($P185,0,BE$13),15-13*ORÇAMENTO!$AF$7)*OFFSET(ORÇAMENTO!$W$15,ROW(BE185)-ROW(BE$15),0),15-13*ORÇAMENTO!$AF$11)),
         0)</f>
        <v>0</v>
      </c>
      <c r="BF185" s="453">
        <f ca="1">IF(AND($D185="Serviço",BF$12&lt;&gt;0,$H185&gt;0,OR(AUTOEVENTO&lt;&gt;"manual",$M185&lt;&gt;$A$15)),
        IF(Import.TipoArredondamento&lt;&gt;"TransfereGOV",
              ROUND(OFFSET($P185,0,BF$13),15-13*ORÇAMENTO!$AF$7)/$H185*OFFSET(ORÇAMENTO!$X$15,ROW(BF185)-ROW(BF$15),0),
              ROUND(ROUND(OFFSET($P185,0,BF$13),15-13*ORÇAMENTO!$AF$7)*OFFSET(ORÇAMENTO!$W$15,ROW(BF185)-ROW(BF$15),0),15-13*ORÇAMENTO!$AF$11)),
         0)</f>
        <v>0</v>
      </c>
      <c r="BG185" s="453">
        <f ca="1">IF(AND($D185="Serviço",BG$12&lt;&gt;0,$H185&gt;0,OR(AUTOEVENTO&lt;&gt;"manual",$M185&lt;&gt;$A$15)),
        IF(Import.TipoArredondamento&lt;&gt;"TransfereGOV",
              ROUND(OFFSET($P185,0,BG$13),15-13*ORÇAMENTO!$AF$7)/$H185*OFFSET(ORÇAMENTO!$X$15,ROW(BG185)-ROW(BG$15),0),
              ROUND(ROUND(OFFSET($P185,0,BG$13),15-13*ORÇAMENTO!$AF$7)*OFFSET(ORÇAMENTO!$W$15,ROW(BG185)-ROW(BG$15),0),15-13*ORÇAMENTO!$AF$11)),
         0)</f>
        <v>0</v>
      </c>
      <c r="BH185" s="453">
        <f ca="1">IF(AND($D185="Serviço",BH$12&lt;&gt;0,$H185&gt;0,OR(AUTOEVENTO&lt;&gt;"manual",$M185&lt;&gt;$A$15)),
        IF(Import.TipoArredondamento&lt;&gt;"TransfereGOV",
              ROUND(OFFSET($P185,0,BH$13),15-13*ORÇAMENTO!$AF$7)/$H185*OFFSET(ORÇAMENTO!$X$15,ROW(BH185)-ROW(BH$15),0),
              ROUND(ROUND(OFFSET($P185,0,BH$13),15-13*ORÇAMENTO!$AF$7)*OFFSET(ORÇAMENTO!$W$15,ROW(BH185)-ROW(BH$15),0),15-13*ORÇAMENTO!$AF$11)),
         0)</f>
        <v>0</v>
      </c>
      <c r="BI185" s="453">
        <f ca="1">IF(AND($D185="Serviço",BI$12&lt;&gt;0,$H185&gt;0,OR(AUTOEVENTO&lt;&gt;"manual",$M185&lt;&gt;$A$15)),
        IF(Import.TipoArredondamento&lt;&gt;"TransfereGOV",
              ROUND(OFFSET($P185,0,BI$13),15-13*ORÇAMENTO!$AF$7)/$H185*OFFSET(ORÇAMENTO!$X$15,ROW(BI185)-ROW(BI$15),0),
              ROUND(ROUND(OFFSET($P185,0,BI$13),15-13*ORÇAMENTO!$AF$7)*OFFSET(ORÇAMENTO!$W$15,ROW(BI185)-ROW(BI$15),0),15-13*ORÇAMENTO!$AF$11)),
         0)</f>
        <v>0</v>
      </c>
      <c r="BJ185" s="453">
        <f ca="1">IF(AND($D185="Serviço",BJ$12&lt;&gt;0,$H185&gt;0,OR(AUTOEVENTO&lt;&gt;"manual",$M185&lt;&gt;$A$15)),
        IF(Import.TipoArredondamento&lt;&gt;"TransfereGOV",
              ROUND(OFFSET($P185,0,BJ$13),15-13*ORÇAMENTO!$AF$7)/$H185*OFFSET(ORÇAMENTO!$X$15,ROW(BJ185)-ROW(BJ$15),0),
              ROUND(ROUND(OFFSET($P185,0,BJ$13),15-13*ORÇAMENTO!$AF$7)*OFFSET(ORÇAMENTO!$W$15,ROW(BJ185)-ROW(BJ$15),0),15-13*ORÇAMENTO!$AF$11)),
         0)</f>
        <v>0</v>
      </c>
      <c r="BK185" s="453">
        <f ca="1">IF(AND($D185="Serviço",BK$12&lt;&gt;0,$H185&gt;0,OR(AUTOEVENTO&lt;&gt;"manual",$M185&lt;&gt;$A$15)),
        IF(Import.TipoArredondamento&lt;&gt;"TransfereGOV",
              ROUND(OFFSET($P185,0,BK$13),15-13*ORÇAMENTO!$AF$7)/$H185*OFFSET(ORÇAMENTO!$X$15,ROW(BK185)-ROW(BK$15),0),
              ROUND(ROUND(OFFSET($P185,0,BK$13),15-13*ORÇAMENTO!$AF$7)*OFFSET(ORÇAMENTO!$W$15,ROW(BK185)-ROW(BK$15),0),15-13*ORÇAMENTO!$AF$11)),
         0)</f>
        <v>0</v>
      </c>
      <c r="BL185" s="453">
        <f ca="1">IF(AND($D185="Serviço",BL$12&lt;&gt;0,$H185&gt;0,OR(AUTOEVENTO&lt;&gt;"manual",$M185&lt;&gt;$A$15)),
        IF(Import.TipoArredondamento&lt;&gt;"TransfereGOV",
              ROUND(OFFSET($P185,0,BL$13),15-13*ORÇAMENTO!$AF$7)/$H185*OFFSET(ORÇAMENTO!$X$15,ROW(BL185)-ROW(BL$15),0),
              ROUND(ROUND(OFFSET($P185,0,BL$13),15-13*ORÇAMENTO!$AF$7)*OFFSET(ORÇAMENTO!$W$15,ROW(BL185)-ROW(BL$15),0),15-13*ORÇAMENTO!$AF$11)),
         0)</f>
        <v>0</v>
      </c>
      <c r="BM185" s="453">
        <f ca="1">IF(AND($D185="Serviço",BM$12&lt;&gt;0,$H185&gt;0,OR(AUTOEVENTO&lt;&gt;"manual",$M185&lt;&gt;$A$15)),
        IF(Import.TipoArredondamento&lt;&gt;"TransfereGOV",
              ROUND(OFFSET($P185,0,BM$13),15-13*ORÇAMENTO!$AF$7)/$H185*OFFSET(ORÇAMENTO!$X$15,ROW(BM185)-ROW(BM$15),0),
              ROUND(ROUND(OFFSET($P185,0,BM$13),15-13*ORÇAMENTO!$AF$7)*OFFSET(ORÇAMENTO!$W$15,ROW(BM185)-ROW(BM$15),0),15-13*ORÇAMENTO!$AF$11)),
         0)</f>
        <v>0</v>
      </c>
      <c r="BN185" s="453">
        <f ca="1">IF(AND($D185="Serviço",BN$12&lt;&gt;0,$H185&gt;0,OR(AUTOEVENTO&lt;&gt;"manual",$M185&lt;&gt;$A$15)),
        IF(Import.TipoArredondamento&lt;&gt;"TransfereGOV",
              ROUND(OFFSET($P185,0,BN$13),15-13*ORÇAMENTO!$AF$7)/$H185*OFFSET(ORÇAMENTO!$X$15,ROW(BN185)-ROW(BN$15),0),
              ROUND(ROUND(OFFSET($P185,0,BN$13),15-13*ORÇAMENTO!$AF$7)*OFFSET(ORÇAMENTO!$W$15,ROW(BN185)-ROW(BN$15),0),15-13*ORÇAMENTO!$AF$11)),
         0)</f>
        <v>0</v>
      </c>
      <c r="BO185" s="453">
        <f ca="1">IF(AND($D185="Serviço",BO$12&lt;&gt;0,$H185&gt;0,OR(AUTOEVENTO&lt;&gt;"manual",$M185&lt;&gt;$A$15)),
        IF(Import.TipoArredondamento&lt;&gt;"TransfereGOV",
              ROUND(OFFSET($P185,0,BO$13),15-13*ORÇAMENTO!$AF$7)/$H185*OFFSET(ORÇAMENTO!$X$15,ROW(BO185)-ROW(BO$15),0),
              ROUND(ROUND(OFFSET($P185,0,BO$13),15-13*ORÇAMENTO!$AF$7)*OFFSET(ORÇAMENTO!$W$15,ROW(BO185)-ROW(BO$15),0),15-13*ORÇAMENTO!$AF$11)),
         0)</f>
        <v>0</v>
      </c>
      <c r="BP185" s="453">
        <f ca="1">IF(AND($D185="Serviço",BP$12&lt;&gt;0,$H185&gt;0,OR(AUTOEVENTO&lt;&gt;"manual",$M185&lt;&gt;$A$15)),
        IF(Import.TipoArredondamento&lt;&gt;"TransfereGOV",
              ROUND(OFFSET($P185,0,BP$13),15-13*ORÇAMENTO!$AF$7)/$H185*OFFSET(ORÇAMENTO!$X$15,ROW(BP185)-ROW(BP$15),0),
              ROUND(ROUND(OFFSET($P185,0,BP$13),15-13*ORÇAMENTO!$AF$7)*OFFSET(ORÇAMENTO!$W$15,ROW(BP185)-ROW(BP$15),0),15-13*ORÇAMENTO!$AF$11)),
         0)</f>
        <v>0</v>
      </c>
      <c r="BQ185" s="453">
        <f ca="1">IF(AND($D185="Serviço",BQ$12&lt;&gt;0,$H185&gt;0,OR(AUTOEVENTO&lt;&gt;"manual",$M185&lt;&gt;$A$15)),
        IF(Import.TipoArredondamento&lt;&gt;"TransfereGOV",
              ROUND(OFFSET($P185,0,BQ$13),15-13*ORÇAMENTO!$AF$7)/$H185*OFFSET(ORÇAMENTO!$X$15,ROW(BQ185)-ROW(BQ$15),0),
              ROUND(ROUND(OFFSET($P185,0,BQ$13),15-13*ORÇAMENTO!$AF$7)*OFFSET(ORÇAMENTO!$W$15,ROW(BQ185)-ROW(BQ$15),0),15-13*ORÇAMENTO!$AF$11)),
         0)</f>
        <v>0</v>
      </c>
      <c r="BS185" s="171">
        <f ca="1">IF(OR($D185&lt;&gt;"Serviço",AND(AUTOEVENTO="Manual",$M185=$A$15)),0,
         IF(OFFSET(CRONOPLE!$F$15,$M185-$A$15,BS$13)=0,10^12,OFFSET(CRONOPLE!$F$15,$M185-$A$15,BS$13)))</f>
        <v>1</v>
      </c>
      <c r="BT185" s="171">
        <f ca="1">IF(OR($D185&lt;&gt;"Serviço",AND(AUTOEVENTO="Manual",$M185=$A$15)),0,
         IF(OFFSET(CRONOPLE!$F$15,$M185-$A$15,BT$13)=0,10^12,OFFSET(CRONOPLE!$F$15,$M185-$A$15,BT$13)))</f>
        <v>2</v>
      </c>
      <c r="BU185" s="171">
        <f ca="1">IF(OR($D185&lt;&gt;"Serviço",AND(AUTOEVENTO="Manual",$M185=$A$15)),0,
         IF(OFFSET(CRONOPLE!$F$15,$M185-$A$15,BU$13)=0,10^12,OFFSET(CRONOPLE!$F$15,$M185-$A$15,BU$13)))</f>
        <v>3</v>
      </c>
      <c r="BV185" s="171">
        <f ca="1">IF(OR($D185&lt;&gt;"Serviço",AND(AUTOEVENTO="Manual",$M185=$A$15)),0,
         IF(OFFSET(CRONOPLE!$F$15,$M185-$A$15,BV$13)=0,10^12,OFFSET(CRONOPLE!$F$15,$M185-$A$15,BV$13)))</f>
        <v>4</v>
      </c>
      <c r="BW185" s="171">
        <f ca="1">IF(OR($D185&lt;&gt;"Serviço",AND(AUTOEVENTO="Manual",$M185=$A$15)),0,
         IF(OFFSET(CRONOPLE!$F$15,$M185-$A$15,BW$13)=0,10^12,OFFSET(CRONOPLE!$F$15,$M185-$A$15,BW$13)))</f>
        <v>5</v>
      </c>
      <c r="BX185" s="171">
        <f ca="1">IF(OR($D185&lt;&gt;"Serviço",AND(AUTOEVENTO="Manual",$M185=$A$15)),0,
         IF(OFFSET(CRONOPLE!$F$15,$M185-$A$15,BX$13)=0,10^12,OFFSET(CRONOPLE!$F$15,$M185-$A$15,BX$13)))</f>
        <v>6</v>
      </c>
      <c r="BY185" s="171">
        <f ca="1">IF(OR($D185&lt;&gt;"Serviço",AND(AUTOEVENTO="Manual",$M185=$A$15)),0,
         IF(OFFSET(CRONOPLE!$F$15,$M185-$A$15,BY$13)=0,10^12,OFFSET(CRONOPLE!$F$15,$M185-$A$15,BY$13)))</f>
        <v>7</v>
      </c>
      <c r="BZ185" s="171">
        <f ca="1">IF(OR($D185&lt;&gt;"Serviço",AND(AUTOEVENTO="Manual",$M185=$A$15)),0,
         IF(OFFSET(CRONOPLE!$F$15,$M185-$A$15,BZ$13)=0,10^12,OFFSET(CRONOPLE!$F$15,$M185-$A$15,BZ$13)))</f>
        <v>8</v>
      </c>
      <c r="CA185" s="171">
        <f ca="1">IF(OR($D185&lt;&gt;"Serviço",AND(AUTOEVENTO="Manual",$M185=$A$15)),0,
         IF(OFFSET(CRONOPLE!$F$15,$M185-$A$15,CA$13)=0,10^12,OFFSET(CRONOPLE!$F$15,$M185-$A$15,CA$13)))</f>
        <v>9</v>
      </c>
      <c r="CB185" s="171">
        <f ca="1">IF(OR($D185&lt;&gt;"Serviço",AND(AUTOEVENTO="Manual",$M185=$A$15)),0,
         IF(OFFSET(CRONOPLE!$F$15,$M185-$A$15,CB$13)=0,10^12,OFFSET(CRONOPLE!$F$15,$M185-$A$15,CB$13)))</f>
        <v>10</v>
      </c>
      <c r="CC185" s="171">
        <f ca="1">IF(OR($D185&lt;&gt;"Serviço",AND(AUTOEVENTO="Manual",$M185=$A$15)),0,
         IF(OFFSET(CRONOPLE!$F$15,$M185-$A$15,CC$13)=0,10^12,OFFSET(CRONOPLE!$F$15,$M185-$A$15,CC$13)))</f>
        <v>11</v>
      </c>
      <c r="CD185" s="171">
        <f ca="1">IF(OR($D185&lt;&gt;"Serviço",AND(AUTOEVENTO="Manual",$M185=$A$15)),0,
         IF(OFFSET(CRONOPLE!$F$15,$M185-$A$15,CD$13)=0,10^12,OFFSET(CRONOPLE!$F$15,$M185-$A$15,CD$13)))</f>
        <v>12</v>
      </c>
      <c r="CE185" s="171">
        <f ca="1">IF(OR($D185&lt;&gt;"Serviço",AND(AUTOEVENTO="Manual",$M185=$A$15)),0,
         IF(OFFSET(CRONOPLE!$F$15,$M185-$A$15,CE$13)=0,10^12,OFFSET(CRONOPLE!$F$15,$M185-$A$15,CE$13)))</f>
        <v>13</v>
      </c>
      <c r="CF185" s="171">
        <f ca="1">IF(OR($D185&lt;&gt;"Serviço",AND(AUTOEVENTO="Manual",$M185=$A$15)),0,
         IF(OFFSET(CRONOPLE!$F$15,$M185-$A$15,CF$13)=0,10^12,OFFSET(CRONOPLE!$F$15,$M185-$A$15,CF$13)))</f>
        <v>14</v>
      </c>
      <c r="CG185" s="171">
        <f ca="1">IF(OR($D185&lt;&gt;"Serviço",AND(AUTOEVENTO="Manual",$M185=$A$15)),0,
         IF(OFFSET(CRONOPLE!$F$15,$M185-$A$15,CG$13)=0,10^12,OFFSET(CRONOPLE!$F$15,$M185-$A$15,CG$13)))</f>
        <v>15</v>
      </c>
      <c r="CH185" s="171">
        <f ca="1">IF(OR($D185&lt;&gt;"Serviço",AND(AUTOEVENTO="Manual",$M185=$A$15)),0,
         IF(OFFSET(CRONOPLE!$F$15,$M185-$A$15,CH$13)=0,10^12,OFFSET(CRONOPLE!$F$15,$M185-$A$15,CH$13)))</f>
        <v>16</v>
      </c>
      <c r="CI185" s="171">
        <f ca="1">IF(OR($D185&lt;&gt;"Serviço",AND(AUTOEVENTO="Manual",$M185=$A$15)),0,
         IF(OFFSET(CRONOPLE!$F$15,$M185-$A$15,CI$13)=0,10^12,OFFSET(CRONOPLE!$F$15,$M185-$A$15,CI$13)))</f>
        <v>17</v>
      </c>
      <c r="CJ185" s="171">
        <f ca="1">IF(OR($D185&lt;&gt;"Serviço",AND(AUTOEVENTO="Manual",$M185=$A$15)),0,
         IF(OFFSET(CRONOPLE!$F$15,$M185-$A$15,CJ$13)=0,10^12,OFFSET(CRONOPLE!$F$15,$M185-$A$15,CJ$13)))</f>
        <v>18</v>
      </c>
      <c r="CK185" s="171">
        <f ca="1">IF(OR($D185&lt;&gt;"Serviço",AND(AUTOEVENTO="Manual",$M185=$A$15)),0,
         IF(OFFSET(CRONOPLE!$F$15,$M185-$A$15,CK$13)=0,10^12,OFFSET(CRONOPLE!$F$15,$M185-$A$15,CK$13)))</f>
        <v>19</v>
      </c>
      <c r="CL185" s="171">
        <f ca="1">IF(OR($D185&lt;&gt;"Serviço",AND(AUTOEVENTO="Manual",$M185=$A$15)),0,
         IF(OFFSET(CRONOPLE!$F$15,$M185-$A$15,CL$13)=0,10^12,OFFSET(CRONOPLE!$F$15,$M185-$A$15,CL$13)))</f>
        <v>20</v>
      </c>
      <c r="CM185" s="171">
        <f ca="1">IF(OR($D185&lt;&gt;"Serviço",AND(AUTOEVENTO="Manual",$M185=$A$15)),0,
         IF(OFFSET(CRONOPLE!$F$15,$M185-$A$15,CM$13)=0,10^12,OFFSET(CRONOPLE!$F$15,$M185-$A$15,CM$13)))</f>
        <v>1000000000000</v>
      </c>
      <c r="CN185" s="171">
        <f ca="1">IF(OR($D185&lt;&gt;"Serviço",AND(AUTOEVENTO="Manual",$M185=$A$15)),0,
         IF(OFFSET(CRONOPLE!$F$15,$M185-$A$15,CN$13)=0,10^12,OFFSET(CRONOPLE!$F$15,$M185-$A$15,CN$13)))</f>
        <v>1000000000000</v>
      </c>
      <c r="CO185" s="171">
        <f ca="1">IF(OR($D185&lt;&gt;"Serviço",AND(AUTOEVENTO="Manual",$M185=$A$15)),0,
         IF(OFFSET(CRONOPLE!$F$15,$M185-$A$15,CO$13)=0,10^12,OFFSET(CRONOPLE!$F$15,$M185-$A$15,CO$13)))</f>
        <v>1000000000000</v>
      </c>
      <c r="CP185" s="171">
        <f ca="1">IF(OR($D185&lt;&gt;"Serviço",AND(AUTOEVENTO="Manual",$M185=$A$15)),0,
         IF(OFFSET(CRONOPLE!$F$15,$M185-$A$15,CP$13)=0,10^12,OFFSET(CRONOPLE!$F$15,$M185-$A$15,CP$13)))</f>
        <v>1000000000000</v>
      </c>
      <c r="CQ185" s="171">
        <f ca="1">IF(OR($D185&lt;&gt;"Serviço",AND(AUTOEVENTO="Manual",$M185=$A$15)),0,
         IF(OFFSET(CRONOPLE!$F$15,$M185-$A$15,CQ$13)=0,10^12,OFFSET(CRONOPLE!$F$15,$M185-$A$15,CQ$13)))</f>
        <v>1000000000000</v>
      </c>
      <c r="CR185" s="171">
        <f ca="1">IF(OR($D185&lt;&gt;"Serviço",AND(AUTOEVENTO="Manual",$M185=$A$15)),0,
         IF(OFFSET(CRONOPLE!$F$15,$M185-$A$15,CR$13)=0,10^12,OFFSET(CRONOPLE!$F$15,$M185-$A$15,CR$13)))</f>
        <v>1000000000000</v>
      </c>
      <c r="CT185" s="172" cm="1">
        <f t="array" aca="1" ref="CT185" ca="1">IF(OR($D185&lt;&gt;"Serviço",AND(AUTOEVENTO="Manual",$M185=$A$15),$M185&gt;(ROW(PLE.lastrow)-ROW(PLE.firstrow))),0,
           IF(OFFSET(PLE!$G$15,$M185-$A$15,CT$13)="",10^12,OFFSET(PLE!$G$15,$M185-$A$15,CT$13)))</f>
        <v>1000000000000</v>
      </c>
      <c r="CU185" s="172" cm="1">
        <f t="array" aca="1" ref="CU185" ca="1">IF(OR($D185&lt;&gt;"Serviço",AND(AUTOEVENTO="Manual",$M185=$A$15),$M185&gt;(ROW(PLE.lastrow)-ROW(PLE.firstrow))),0,
           IF(OFFSET(PLE!$G$15,$M185-$A$15,CU$13)="",10^12,OFFSET(PLE!$G$15,$M185-$A$15,CU$13)))</f>
        <v>1000000000000</v>
      </c>
      <c r="CV185" s="172" cm="1">
        <f t="array" aca="1" ref="CV185" ca="1">IF(OR($D185&lt;&gt;"Serviço",AND(AUTOEVENTO="Manual",$M185=$A$15),$M185&gt;(ROW(PLE.lastrow)-ROW(PLE.firstrow))),0,
           IF(OFFSET(PLE!$G$15,$M185-$A$15,CV$13)="",10^12,OFFSET(PLE!$G$15,$M185-$A$15,CV$13)))</f>
        <v>1000000000000</v>
      </c>
      <c r="CW185" s="172" cm="1">
        <f t="array" aca="1" ref="CW185" ca="1">IF(OR($D185&lt;&gt;"Serviço",AND(AUTOEVENTO="Manual",$M185=$A$15),$M185&gt;(ROW(PLE.lastrow)-ROW(PLE.firstrow))),0,
           IF(OFFSET(PLE!$G$15,$M185-$A$15,CW$13)="",10^12,OFFSET(PLE!$G$15,$M185-$A$15,CW$13)))</f>
        <v>1000000000000</v>
      </c>
      <c r="CX185" s="172" cm="1">
        <f t="array" aca="1" ref="CX185" ca="1">IF(OR($D185&lt;&gt;"Serviço",AND(AUTOEVENTO="Manual",$M185=$A$15),$M185&gt;(ROW(PLE.lastrow)-ROW(PLE.firstrow))),0,
           IF(OFFSET(PLE!$G$15,$M185-$A$15,CX$13)="",10^12,OFFSET(PLE!$G$15,$M185-$A$15,CX$13)))</f>
        <v>1000000000000</v>
      </c>
      <c r="CY185" s="172" cm="1">
        <f t="array" aca="1" ref="CY185" ca="1">IF(OR($D185&lt;&gt;"Serviço",AND(AUTOEVENTO="Manual",$M185=$A$15),$M185&gt;(ROW(PLE.lastrow)-ROW(PLE.firstrow))),0,
           IF(OFFSET(PLE!$G$15,$M185-$A$15,CY$13)="",10^12,OFFSET(PLE!$G$15,$M185-$A$15,CY$13)))</f>
        <v>1000000000000</v>
      </c>
      <c r="CZ185" s="172" cm="1">
        <f t="array" aca="1" ref="CZ185" ca="1">IF(OR($D185&lt;&gt;"Serviço",AND(AUTOEVENTO="Manual",$M185=$A$15),$M185&gt;(ROW(PLE.lastrow)-ROW(PLE.firstrow))),0,
           IF(OFFSET(PLE!$G$15,$M185-$A$15,CZ$13)="",10^12,OFFSET(PLE!$G$15,$M185-$A$15,CZ$13)))</f>
        <v>1000000000000</v>
      </c>
      <c r="DA185" s="172" cm="1">
        <f t="array" aca="1" ref="DA185" ca="1">IF(OR($D185&lt;&gt;"Serviço",AND(AUTOEVENTO="Manual",$M185=$A$15),$M185&gt;(ROW(PLE.lastrow)-ROW(PLE.firstrow))),0,
           IF(OFFSET(PLE!$G$15,$M185-$A$15,DA$13)="",10^12,OFFSET(PLE!$G$15,$M185-$A$15,DA$13)))</f>
        <v>1000000000000</v>
      </c>
      <c r="DB185" s="172" cm="1">
        <f t="array" aca="1" ref="DB185" ca="1">IF(OR($D185&lt;&gt;"Serviço",AND(AUTOEVENTO="Manual",$M185=$A$15),$M185&gt;(ROW(PLE.lastrow)-ROW(PLE.firstrow))),0,
           IF(OFFSET(PLE!$G$15,$M185-$A$15,DB$13)="",10^12,OFFSET(PLE!$G$15,$M185-$A$15,DB$13)))</f>
        <v>1000000000000</v>
      </c>
      <c r="DC185" s="172" cm="1">
        <f t="array" aca="1" ref="DC185" ca="1">IF(OR($D185&lt;&gt;"Serviço",AND(AUTOEVENTO="Manual",$M185=$A$15),$M185&gt;(ROW(PLE.lastrow)-ROW(PLE.firstrow))),0,
           IF(OFFSET(PLE!$G$15,$M185-$A$15,DC$13)="",10^12,OFFSET(PLE!$G$15,$M185-$A$15,DC$13)))</f>
        <v>1000000000000</v>
      </c>
      <c r="DD185" s="172" cm="1">
        <f t="array" aca="1" ref="DD185" ca="1">IF(OR($D185&lt;&gt;"Serviço",AND(AUTOEVENTO="Manual",$M185=$A$15),$M185&gt;(ROW(PLE.lastrow)-ROW(PLE.firstrow))),0,
           IF(OFFSET(PLE!$G$15,$M185-$A$15,DD$13)="",10^12,OFFSET(PLE!$G$15,$M185-$A$15,DD$13)))</f>
        <v>1000000000000</v>
      </c>
      <c r="DE185" s="172" cm="1">
        <f t="array" aca="1" ref="DE185" ca="1">IF(OR($D185&lt;&gt;"Serviço",AND(AUTOEVENTO="Manual",$M185=$A$15),$M185&gt;(ROW(PLE.lastrow)-ROW(PLE.firstrow))),0,
           IF(OFFSET(PLE!$G$15,$M185-$A$15,DE$13)="",10^12,OFFSET(PLE!$G$15,$M185-$A$15,DE$13)))</f>
        <v>1000000000000</v>
      </c>
      <c r="DF185" s="172" cm="1">
        <f t="array" aca="1" ref="DF185" ca="1">IF(OR($D185&lt;&gt;"Serviço",AND(AUTOEVENTO="Manual",$M185=$A$15),$M185&gt;(ROW(PLE.lastrow)-ROW(PLE.firstrow))),0,
           IF(OFFSET(PLE!$G$15,$M185-$A$15,DF$13)="",10^12,OFFSET(PLE!$G$15,$M185-$A$15,DF$13)))</f>
        <v>1000000000000</v>
      </c>
      <c r="DG185" s="172" cm="1">
        <f t="array" aca="1" ref="DG185" ca="1">IF(OR($D185&lt;&gt;"Serviço",AND(AUTOEVENTO="Manual",$M185=$A$15),$M185&gt;(ROW(PLE.lastrow)-ROW(PLE.firstrow))),0,
           IF(OFFSET(PLE!$G$15,$M185-$A$15,DG$13)="",10^12,OFFSET(PLE!$G$15,$M185-$A$15,DG$13)))</f>
        <v>1000000000000</v>
      </c>
      <c r="DH185" s="172" cm="1">
        <f t="array" aca="1" ref="DH185" ca="1">IF(OR($D185&lt;&gt;"Serviço",AND(AUTOEVENTO="Manual",$M185=$A$15),$M185&gt;(ROW(PLE.lastrow)-ROW(PLE.firstrow))),0,
           IF(OFFSET(PLE!$G$15,$M185-$A$15,DH$13)="",10^12,OFFSET(PLE!$G$15,$M185-$A$15,DH$13)))</f>
        <v>1000000000000</v>
      </c>
      <c r="DI185" s="172" cm="1">
        <f t="array" aca="1" ref="DI185" ca="1">IF(OR($D185&lt;&gt;"Serviço",AND(AUTOEVENTO="Manual",$M185=$A$15),$M185&gt;(ROW(PLE.lastrow)-ROW(PLE.firstrow))),0,
           IF(OFFSET(PLE!$G$15,$M185-$A$15,DI$13)="",10^12,OFFSET(PLE!$G$15,$M185-$A$15,DI$13)))</f>
        <v>1000000000000</v>
      </c>
      <c r="DJ185" s="172" cm="1">
        <f t="array" aca="1" ref="DJ185" ca="1">IF(OR($D185&lt;&gt;"Serviço",AND(AUTOEVENTO="Manual",$M185=$A$15),$M185&gt;(ROW(PLE.lastrow)-ROW(PLE.firstrow))),0,
           IF(OFFSET(PLE!$G$15,$M185-$A$15,DJ$13)="",10^12,OFFSET(PLE!$G$15,$M185-$A$15,DJ$13)))</f>
        <v>1000000000000</v>
      </c>
      <c r="DK185" s="172" cm="1">
        <f t="array" aca="1" ref="DK185" ca="1">IF(OR($D185&lt;&gt;"Serviço",AND(AUTOEVENTO="Manual",$M185=$A$15),$M185&gt;(ROW(PLE.lastrow)-ROW(PLE.firstrow))),0,
           IF(OFFSET(PLE!$G$15,$M185-$A$15,DK$13)="",10^12,OFFSET(PLE!$G$15,$M185-$A$15,DK$13)))</f>
        <v>1000000000000</v>
      </c>
      <c r="DL185" s="172" cm="1">
        <f t="array" aca="1" ref="DL185" ca="1">IF(OR($D185&lt;&gt;"Serviço",AND(AUTOEVENTO="Manual",$M185=$A$15),$M185&gt;(ROW(PLE.lastrow)-ROW(PLE.firstrow))),0,
           IF(OFFSET(PLE!$G$15,$M185-$A$15,DL$13)="",10^12,OFFSET(PLE!$G$15,$M185-$A$15,DL$13)))</f>
        <v>1000000000000</v>
      </c>
      <c r="DM185" s="172" cm="1">
        <f t="array" aca="1" ref="DM185" ca="1">IF(OR($D185&lt;&gt;"Serviço",AND(AUTOEVENTO="Manual",$M185=$A$15),$M185&gt;(ROW(PLE.lastrow)-ROW(PLE.firstrow))),0,
           IF(OFFSET(PLE!$G$15,$M185-$A$15,DM$13)="",10^12,OFFSET(PLE!$G$15,$M185-$A$15,DM$13)))</f>
        <v>1000000000000</v>
      </c>
      <c r="DN185" s="172" cm="1">
        <f t="array" aca="1" ref="DN185" ca="1">IF(OR($D185&lt;&gt;"Serviço",AND(AUTOEVENTO="Manual",$M185=$A$15),$M185&gt;(ROW(PLE.lastrow)-ROW(PLE.firstrow))),0,
           IF(OFFSET(PLE!$G$15,$M185-$A$15,DN$13)="",10^12,OFFSET(PLE!$G$15,$M185-$A$15,DN$13)))</f>
        <v>1000000000000</v>
      </c>
      <c r="DO185" s="172" cm="1">
        <f t="array" aca="1" ref="DO185" ca="1">IF(OR($D185&lt;&gt;"Serviço",AND(AUTOEVENTO="Manual",$M185=$A$15),$M185&gt;(ROW(PLE.lastrow)-ROW(PLE.firstrow))),0,
           IF(OFFSET(PLE!$G$15,$M185-$A$15,DO$13)="",10^12,OFFSET(PLE!$G$15,$M185-$A$15,DO$13)))</f>
        <v>1000000000000</v>
      </c>
      <c r="DP185" s="172" cm="1">
        <f t="array" aca="1" ref="DP185" ca="1">IF(OR($D185&lt;&gt;"Serviço",AND(AUTOEVENTO="Manual",$M185=$A$15),$M185&gt;(ROW(PLE.lastrow)-ROW(PLE.firstrow))),0,
           IF(OFFSET(PLE!$G$15,$M185-$A$15,DP$13)="",10^12,OFFSET(PLE!$G$15,$M185-$A$15,DP$13)))</f>
        <v>1000000000000</v>
      </c>
      <c r="DQ185" s="172" cm="1">
        <f t="array" aca="1" ref="DQ185" ca="1">IF(OR($D185&lt;&gt;"Serviço",AND(AUTOEVENTO="Manual",$M185=$A$15),$M185&gt;(ROW(PLE.lastrow)-ROW(PLE.firstrow))),0,
           IF(OFFSET(PLE!$G$15,$M185-$A$15,DQ$13)="",10^12,OFFSET(PLE!$G$15,$M185-$A$15,DQ$13)))</f>
        <v>1000000000000</v>
      </c>
      <c r="DR185" s="172" cm="1">
        <f t="array" aca="1" ref="DR185" ca="1">IF(OR($D185&lt;&gt;"Serviço",AND(AUTOEVENTO="Manual",$M185=$A$15),$M185&gt;(ROW(PLE.lastrow)-ROW(PLE.firstrow))),0,
           IF(OFFSET(PLE!$G$15,$M185-$A$15,DR$13)="",10^12,OFFSET(PLE!$G$15,$M185-$A$15,DR$13)))</f>
        <v>1000000000000</v>
      </c>
      <c r="DS185" s="172" cm="1">
        <f t="array" aca="1" ref="DS185" ca="1">IF(OR($D185&lt;&gt;"Serviço",AND(AUTOEVENTO="Manual",$M185=$A$15),$M185&gt;(ROW(PLE.lastrow)-ROW(PLE.firstrow))),0,
           IF(OFFSET(PLE!$G$15,$M185-$A$15,DS$13)="",10^12,OFFSET(PLE!$G$15,$M185-$A$15,DS$13)))</f>
        <v>1000000000000</v>
      </c>
    </row>
    <row r="186" spans="1:123" ht="38.25" x14ac:dyDescent="0.2">
      <c r="A186" s="7">
        <f t="shared" ca="1" si="18"/>
        <v>9</v>
      </c>
      <c r="B186" s="7" t="str">
        <f ca="1">OFFSET(ORÇAMENTO!C$15,$L186,0)</f>
        <v>S</v>
      </c>
      <c r="C186" s="7" t="str">
        <f ca="1">OFFSET(ORÇAMENTO!L$15,$L186,0)</f>
        <v/>
      </c>
      <c r="D186" s="116" t="str">
        <f ca="1">OFFSET(ORÇAMENTO!N$15,$L186,0)</f>
        <v>Serviço</v>
      </c>
      <c r="E186" s="117" t="str">
        <f ca="1">OFFSET(ORÇAMENTO!O$15,$L186,0)</f>
        <v>-</v>
      </c>
      <c r="F186" s="163" t="str">
        <f ca="1">OFFSET(ORÇAMENTO!R$15,$L186,0)</f>
        <v>(Código não identificado nas referências)</v>
      </c>
      <c r="G186" s="164" t="str">
        <f ca="1">IF($D186&lt;&gt;"Serviço","",OFFSET(ORÇAMENTO!S$15,$L186,0))</f>
        <v>-</v>
      </c>
      <c r="H186" s="122" cm="1">
        <f t="array" aca="1" ref="H186" ca="1">IF($D186&lt;&gt;"Serviço",0,IF(ACOMPANHAMENTO="BM",ROUND(OFFSET(ORÇAMENTO!AJ$15,$L186,0),15-13*ORÇAMENTO!$AF$7),IF(IFERROR(CÁLCULO.FrentesPreenchidas,0)=0,0,SUM(ROUND(OFFSET($P186,0,1,1,CÁLCULO.FrentesPreenchidas),15-13*ORÇAMENTO!$AF$7)))))</f>
        <v>40</v>
      </c>
      <c r="I186" s="468" t="s">
        <v>1235</v>
      </c>
      <c r="J186" s="651" t="str" cm="1">
        <f t="array" aca="1" ref="J186" ca="1">IF(OR(B186&lt;&gt;"S",CÁLCULO.FrentesPreenchidas=0),"",IF(AND(ACOMPANHAMENTO="PLE",AUTOEVENTO="Manual",OR(H186&gt;0,ORÇAMENTO!AC186="QUANT."),OR(K186="",M186=0,N186="")),"►E",IF(AND(ACOMPANHAMENTO="PLE",ORÇAMENTO!AC186="QUANT."),"►Q",IF(AND(ACOMPANHAMENTO="PLE",H186&lt;&gt;SUMPRODUCT(($Q$1:$AQ$1=1)*ROUND(Q186:AQ186,15))),"►S",IF(AND(COUNTIF($P$11:$AQ$11,"▼")=0,H186&gt;0,I186=""),"◄M","")))))</f>
        <v/>
      </c>
      <c r="K186" s="652" t="s">
        <v>1257</v>
      </c>
      <c r="L186" s="165">
        <f t="shared" ca="1" si="17"/>
        <v>171</v>
      </c>
      <c r="M186" s="166">
        <f ca="1">IF($D186&lt;&gt;"Serviço","",
          IF(AUTOEVENTO="manual",$A186,
                IF(ISERROR(MATCH($A186,$A$15:OFFSET($A186,-1,0),0)),MAX($M$15:OFFSET(M186,-1,0))+1,
                      INDEX($M$15:OFFSET(M186,-1,0),MATCH($A186,$A$15:OFFSET($A186,-1,0),0)))))</f>
        <v>9</v>
      </c>
      <c r="N186" s="167" t="str">
        <f ca="1">IF($D186&lt;&gt;"Serviço","",
         IF(AUTOEVENTO="Manual",
                IF($A186=0,"&lt;-- defina o número do agrupador",
                       OFFSET(EVENTOS!$D$15,$A186-$A$15,0)),
                OFFSET($F$15,$A186,0)))</f>
        <v>INSTALAÇÕES</v>
      </c>
      <c r="O186" s="168"/>
      <c r="Q186" s="168">
        <v>2</v>
      </c>
      <c r="R186" s="169">
        <v>2</v>
      </c>
      <c r="S186" s="169">
        <v>2</v>
      </c>
      <c r="T186" s="169">
        <v>2</v>
      </c>
      <c r="U186" s="169">
        <v>2</v>
      </c>
      <c r="V186" s="169">
        <v>2</v>
      </c>
      <c r="W186" s="169">
        <v>2</v>
      </c>
      <c r="X186" s="169">
        <v>2</v>
      </c>
      <c r="Y186" s="169">
        <v>2</v>
      </c>
      <c r="Z186" s="170">
        <v>2</v>
      </c>
      <c r="AA186" s="169">
        <v>2</v>
      </c>
      <c r="AB186" s="169">
        <v>2</v>
      </c>
      <c r="AC186" s="169">
        <v>2</v>
      </c>
      <c r="AD186" s="169">
        <v>2</v>
      </c>
      <c r="AE186" s="169">
        <v>2</v>
      </c>
      <c r="AF186" s="169">
        <v>2</v>
      </c>
      <c r="AG186" s="169">
        <v>2</v>
      </c>
      <c r="AH186" s="170">
        <v>2</v>
      </c>
      <c r="AI186" s="169">
        <v>2</v>
      </c>
      <c r="AJ186" s="169">
        <v>2</v>
      </c>
      <c r="AK186" s="169"/>
      <c r="AL186" s="169"/>
      <c r="AM186" s="169"/>
      <c r="AN186" s="169"/>
      <c r="AO186" s="169"/>
      <c r="AP186" s="170"/>
      <c r="AR186" s="453">
        <f ca="1">IF(AND($D186="Serviço",AR$12&lt;&gt;0,$H186&gt;0,OR(AUTOEVENTO&lt;&gt;"manual",$M186&lt;&gt;$A$15)),
        IF(Import.TipoArredondamento&lt;&gt;"TransfereGOV",
              ROUND(OFFSET($P186,0,AR$13),15-13*ORÇAMENTO!$AF$7)/$H186*OFFSET(ORÇAMENTO!$X$15,ROW(AR186)-ROW(AR$15),0),
              ROUND(ROUND(OFFSET($P186,0,AR$13),15-13*ORÇAMENTO!$AF$7)*OFFSET(ORÇAMENTO!$W$15,ROW(AR186)-ROW(AR$15),0),15-13*ORÇAMENTO!$AF$11)),
         0)</f>
        <v>0</v>
      </c>
      <c r="AS186" s="453">
        <f ca="1">IF(AND($D186="Serviço",AS$12&lt;&gt;0,$H186&gt;0,OR(AUTOEVENTO&lt;&gt;"manual",$M186&lt;&gt;$A$15)),
        IF(Import.TipoArredondamento&lt;&gt;"TransfereGOV",
              ROUND(OFFSET($P186,0,AS$13),15-13*ORÇAMENTO!$AF$7)/$H186*OFFSET(ORÇAMENTO!$X$15,ROW(AS186)-ROW(AS$15),0),
              ROUND(ROUND(OFFSET($P186,0,AS$13),15-13*ORÇAMENTO!$AF$7)*OFFSET(ORÇAMENTO!$W$15,ROW(AS186)-ROW(AS$15),0),15-13*ORÇAMENTO!$AF$11)),
         0)</f>
        <v>0</v>
      </c>
      <c r="AT186" s="453">
        <f ca="1">IF(AND($D186="Serviço",AT$12&lt;&gt;0,$H186&gt;0,OR(AUTOEVENTO&lt;&gt;"manual",$M186&lt;&gt;$A$15)),
        IF(Import.TipoArredondamento&lt;&gt;"TransfereGOV",
              ROUND(OFFSET($P186,0,AT$13),15-13*ORÇAMENTO!$AF$7)/$H186*OFFSET(ORÇAMENTO!$X$15,ROW(AT186)-ROW(AT$15),0),
              ROUND(ROUND(OFFSET($P186,0,AT$13),15-13*ORÇAMENTO!$AF$7)*OFFSET(ORÇAMENTO!$W$15,ROW(AT186)-ROW(AT$15),0),15-13*ORÇAMENTO!$AF$11)),
         0)</f>
        <v>0</v>
      </c>
      <c r="AU186" s="453">
        <f ca="1">IF(AND($D186="Serviço",AU$12&lt;&gt;0,$H186&gt;0,OR(AUTOEVENTO&lt;&gt;"manual",$M186&lt;&gt;$A$15)),
        IF(Import.TipoArredondamento&lt;&gt;"TransfereGOV",
              ROUND(OFFSET($P186,0,AU$13),15-13*ORÇAMENTO!$AF$7)/$H186*OFFSET(ORÇAMENTO!$X$15,ROW(AU186)-ROW(AU$15),0),
              ROUND(ROUND(OFFSET($P186,0,AU$13),15-13*ORÇAMENTO!$AF$7)*OFFSET(ORÇAMENTO!$W$15,ROW(AU186)-ROW(AU$15),0),15-13*ORÇAMENTO!$AF$11)),
         0)</f>
        <v>0</v>
      </c>
      <c r="AV186" s="453">
        <f ca="1">IF(AND($D186="Serviço",AV$12&lt;&gt;0,$H186&gt;0,OR(AUTOEVENTO&lt;&gt;"manual",$M186&lt;&gt;$A$15)),
        IF(Import.TipoArredondamento&lt;&gt;"TransfereGOV",
              ROUND(OFFSET($P186,0,AV$13),15-13*ORÇAMENTO!$AF$7)/$H186*OFFSET(ORÇAMENTO!$X$15,ROW(AV186)-ROW(AV$15),0),
              ROUND(ROUND(OFFSET($P186,0,AV$13),15-13*ORÇAMENTO!$AF$7)*OFFSET(ORÇAMENTO!$W$15,ROW(AV186)-ROW(AV$15),0),15-13*ORÇAMENTO!$AF$11)),
         0)</f>
        <v>0</v>
      </c>
      <c r="AW186" s="453">
        <f ca="1">IF(AND($D186="Serviço",AW$12&lt;&gt;0,$H186&gt;0,OR(AUTOEVENTO&lt;&gt;"manual",$M186&lt;&gt;$A$15)),
        IF(Import.TipoArredondamento&lt;&gt;"TransfereGOV",
              ROUND(OFFSET($P186,0,AW$13),15-13*ORÇAMENTO!$AF$7)/$H186*OFFSET(ORÇAMENTO!$X$15,ROW(AW186)-ROW(AW$15),0),
              ROUND(ROUND(OFFSET($P186,0,AW$13),15-13*ORÇAMENTO!$AF$7)*OFFSET(ORÇAMENTO!$W$15,ROW(AW186)-ROW(AW$15),0),15-13*ORÇAMENTO!$AF$11)),
         0)</f>
        <v>0</v>
      </c>
      <c r="AX186" s="453">
        <f ca="1">IF(AND($D186="Serviço",AX$12&lt;&gt;0,$H186&gt;0,OR(AUTOEVENTO&lt;&gt;"manual",$M186&lt;&gt;$A$15)),
        IF(Import.TipoArredondamento&lt;&gt;"TransfereGOV",
              ROUND(OFFSET($P186,0,AX$13),15-13*ORÇAMENTO!$AF$7)/$H186*OFFSET(ORÇAMENTO!$X$15,ROW(AX186)-ROW(AX$15),0),
              ROUND(ROUND(OFFSET($P186,0,AX$13),15-13*ORÇAMENTO!$AF$7)*OFFSET(ORÇAMENTO!$W$15,ROW(AX186)-ROW(AX$15),0),15-13*ORÇAMENTO!$AF$11)),
         0)</f>
        <v>0</v>
      </c>
      <c r="AY186" s="453">
        <f ca="1">IF(AND($D186="Serviço",AY$12&lt;&gt;0,$H186&gt;0,OR(AUTOEVENTO&lt;&gt;"manual",$M186&lt;&gt;$A$15)),
        IF(Import.TipoArredondamento&lt;&gt;"TransfereGOV",
              ROUND(OFFSET($P186,0,AY$13),15-13*ORÇAMENTO!$AF$7)/$H186*OFFSET(ORÇAMENTO!$X$15,ROW(AY186)-ROW(AY$15),0),
              ROUND(ROUND(OFFSET($P186,0,AY$13),15-13*ORÇAMENTO!$AF$7)*OFFSET(ORÇAMENTO!$W$15,ROW(AY186)-ROW(AY$15),0),15-13*ORÇAMENTO!$AF$11)),
         0)</f>
        <v>0</v>
      </c>
      <c r="AZ186" s="453">
        <f ca="1">IF(AND($D186="Serviço",AZ$12&lt;&gt;0,$H186&gt;0,OR(AUTOEVENTO&lt;&gt;"manual",$M186&lt;&gt;$A$15)),
        IF(Import.TipoArredondamento&lt;&gt;"TransfereGOV",
              ROUND(OFFSET($P186,0,AZ$13),15-13*ORÇAMENTO!$AF$7)/$H186*OFFSET(ORÇAMENTO!$X$15,ROW(AZ186)-ROW(AZ$15),0),
              ROUND(ROUND(OFFSET($P186,0,AZ$13),15-13*ORÇAMENTO!$AF$7)*OFFSET(ORÇAMENTO!$W$15,ROW(AZ186)-ROW(AZ$15),0),15-13*ORÇAMENTO!$AF$11)),
         0)</f>
        <v>0</v>
      </c>
      <c r="BA186" s="453">
        <f ca="1">IF(AND($D186="Serviço",BA$12&lt;&gt;0,$H186&gt;0,OR(AUTOEVENTO&lt;&gt;"manual",$M186&lt;&gt;$A$15)),
        IF(Import.TipoArredondamento&lt;&gt;"TransfereGOV",
              ROUND(OFFSET($P186,0,BA$13),15-13*ORÇAMENTO!$AF$7)/$H186*OFFSET(ORÇAMENTO!$X$15,ROW(BA186)-ROW(BA$15),0),
              ROUND(ROUND(OFFSET($P186,0,BA$13),15-13*ORÇAMENTO!$AF$7)*OFFSET(ORÇAMENTO!$W$15,ROW(BA186)-ROW(BA$15),0),15-13*ORÇAMENTO!$AF$11)),
         0)</f>
        <v>0</v>
      </c>
      <c r="BB186" s="453">
        <f ca="1">IF(AND($D186="Serviço",BB$12&lt;&gt;0,$H186&gt;0,OR(AUTOEVENTO&lt;&gt;"manual",$M186&lt;&gt;$A$15)),
        IF(Import.TipoArredondamento&lt;&gt;"TransfereGOV",
              ROUND(OFFSET($P186,0,BB$13),15-13*ORÇAMENTO!$AF$7)/$H186*OFFSET(ORÇAMENTO!$X$15,ROW(BB186)-ROW(BB$15),0),
              ROUND(ROUND(OFFSET($P186,0,BB$13),15-13*ORÇAMENTO!$AF$7)*OFFSET(ORÇAMENTO!$W$15,ROW(BB186)-ROW(BB$15),0),15-13*ORÇAMENTO!$AF$11)),
         0)</f>
        <v>0</v>
      </c>
      <c r="BC186" s="453">
        <f ca="1">IF(AND($D186="Serviço",BC$12&lt;&gt;0,$H186&gt;0,OR(AUTOEVENTO&lt;&gt;"manual",$M186&lt;&gt;$A$15)),
        IF(Import.TipoArredondamento&lt;&gt;"TransfereGOV",
              ROUND(OFFSET($P186,0,BC$13),15-13*ORÇAMENTO!$AF$7)/$H186*OFFSET(ORÇAMENTO!$X$15,ROW(BC186)-ROW(BC$15),0),
              ROUND(ROUND(OFFSET($P186,0,BC$13),15-13*ORÇAMENTO!$AF$7)*OFFSET(ORÇAMENTO!$W$15,ROW(BC186)-ROW(BC$15),0),15-13*ORÇAMENTO!$AF$11)),
         0)</f>
        <v>0</v>
      </c>
      <c r="BD186" s="453">
        <f ca="1">IF(AND($D186="Serviço",BD$12&lt;&gt;0,$H186&gt;0,OR(AUTOEVENTO&lt;&gt;"manual",$M186&lt;&gt;$A$15)),
        IF(Import.TipoArredondamento&lt;&gt;"TransfereGOV",
              ROUND(OFFSET($P186,0,BD$13),15-13*ORÇAMENTO!$AF$7)/$H186*OFFSET(ORÇAMENTO!$X$15,ROW(BD186)-ROW(BD$15),0),
              ROUND(ROUND(OFFSET($P186,0,BD$13),15-13*ORÇAMENTO!$AF$7)*OFFSET(ORÇAMENTO!$W$15,ROW(BD186)-ROW(BD$15),0),15-13*ORÇAMENTO!$AF$11)),
         0)</f>
        <v>0</v>
      </c>
      <c r="BE186" s="453">
        <f ca="1">IF(AND($D186="Serviço",BE$12&lt;&gt;0,$H186&gt;0,OR(AUTOEVENTO&lt;&gt;"manual",$M186&lt;&gt;$A$15)),
        IF(Import.TipoArredondamento&lt;&gt;"TransfereGOV",
              ROUND(OFFSET($P186,0,BE$13),15-13*ORÇAMENTO!$AF$7)/$H186*OFFSET(ORÇAMENTO!$X$15,ROW(BE186)-ROW(BE$15),0),
              ROUND(ROUND(OFFSET($P186,0,BE$13),15-13*ORÇAMENTO!$AF$7)*OFFSET(ORÇAMENTO!$W$15,ROW(BE186)-ROW(BE$15),0),15-13*ORÇAMENTO!$AF$11)),
         0)</f>
        <v>0</v>
      </c>
      <c r="BF186" s="453">
        <f ca="1">IF(AND($D186="Serviço",BF$12&lt;&gt;0,$H186&gt;0,OR(AUTOEVENTO&lt;&gt;"manual",$M186&lt;&gt;$A$15)),
        IF(Import.TipoArredondamento&lt;&gt;"TransfereGOV",
              ROUND(OFFSET($P186,0,BF$13),15-13*ORÇAMENTO!$AF$7)/$H186*OFFSET(ORÇAMENTO!$X$15,ROW(BF186)-ROW(BF$15),0),
              ROUND(ROUND(OFFSET($P186,0,BF$13),15-13*ORÇAMENTO!$AF$7)*OFFSET(ORÇAMENTO!$W$15,ROW(BF186)-ROW(BF$15),0),15-13*ORÇAMENTO!$AF$11)),
         0)</f>
        <v>0</v>
      </c>
      <c r="BG186" s="453">
        <f ca="1">IF(AND($D186="Serviço",BG$12&lt;&gt;0,$H186&gt;0,OR(AUTOEVENTO&lt;&gt;"manual",$M186&lt;&gt;$A$15)),
        IF(Import.TipoArredondamento&lt;&gt;"TransfereGOV",
              ROUND(OFFSET($P186,0,BG$13),15-13*ORÇAMENTO!$AF$7)/$H186*OFFSET(ORÇAMENTO!$X$15,ROW(BG186)-ROW(BG$15),0),
              ROUND(ROUND(OFFSET($P186,0,BG$13),15-13*ORÇAMENTO!$AF$7)*OFFSET(ORÇAMENTO!$W$15,ROW(BG186)-ROW(BG$15),0),15-13*ORÇAMENTO!$AF$11)),
         0)</f>
        <v>0</v>
      </c>
      <c r="BH186" s="453">
        <f ca="1">IF(AND($D186="Serviço",BH$12&lt;&gt;0,$H186&gt;0,OR(AUTOEVENTO&lt;&gt;"manual",$M186&lt;&gt;$A$15)),
        IF(Import.TipoArredondamento&lt;&gt;"TransfereGOV",
              ROUND(OFFSET($P186,0,BH$13),15-13*ORÇAMENTO!$AF$7)/$H186*OFFSET(ORÇAMENTO!$X$15,ROW(BH186)-ROW(BH$15),0),
              ROUND(ROUND(OFFSET($P186,0,BH$13),15-13*ORÇAMENTO!$AF$7)*OFFSET(ORÇAMENTO!$W$15,ROW(BH186)-ROW(BH$15),0),15-13*ORÇAMENTO!$AF$11)),
         0)</f>
        <v>0</v>
      </c>
      <c r="BI186" s="453">
        <f ca="1">IF(AND($D186="Serviço",BI$12&lt;&gt;0,$H186&gt;0,OR(AUTOEVENTO&lt;&gt;"manual",$M186&lt;&gt;$A$15)),
        IF(Import.TipoArredondamento&lt;&gt;"TransfereGOV",
              ROUND(OFFSET($P186,0,BI$13),15-13*ORÇAMENTO!$AF$7)/$H186*OFFSET(ORÇAMENTO!$X$15,ROW(BI186)-ROW(BI$15),0),
              ROUND(ROUND(OFFSET($P186,0,BI$13),15-13*ORÇAMENTO!$AF$7)*OFFSET(ORÇAMENTO!$W$15,ROW(BI186)-ROW(BI$15),0),15-13*ORÇAMENTO!$AF$11)),
         0)</f>
        <v>0</v>
      </c>
      <c r="BJ186" s="453">
        <f ca="1">IF(AND($D186="Serviço",BJ$12&lt;&gt;0,$H186&gt;0,OR(AUTOEVENTO&lt;&gt;"manual",$M186&lt;&gt;$A$15)),
        IF(Import.TipoArredondamento&lt;&gt;"TransfereGOV",
              ROUND(OFFSET($P186,0,BJ$13),15-13*ORÇAMENTO!$AF$7)/$H186*OFFSET(ORÇAMENTO!$X$15,ROW(BJ186)-ROW(BJ$15),0),
              ROUND(ROUND(OFFSET($P186,0,BJ$13),15-13*ORÇAMENTO!$AF$7)*OFFSET(ORÇAMENTO!$W$15,ROW(BJ186)-ROW(BJ$15),0),15-13*ORÇAMENTO!$AF$11)),
         0)</f>
        <v>0</v>
      </c>
      <c r="BK186" s="453">
        <f ca="1">IF(AND($D186="Serviço",BK$12&lt;&gt;0,$H186&gt;0,OR(AUTOEVENTO&lt;&gt;"manual",$M186&lt;&gt;$A$15)),
        IF(Import.TipoArredondamento&lt;&gt;"TransfereGOV",
              ROUND(OFFSET($P186,0,BK$13),15-13*ORÇAMENTO!$AF$7)/$H186*OFFSET(ORÇAMENTO!$X$15,ROW(BK186)-ROW(BK$15),0),
              ROUND(ROUND(OFFSET($P186,0,BK$13),15-13*ORÇAMENTO!$AF$7)*OFFSET(ORÇAMENTO!$W$15,ROW(BK186)-ROW(BK$15),0),15-13*ORÇAMENTO!$AF$11)),
         0)</f>
        <v>0</v>
      </c>
      <c r="BL186" s="453">
        <f ca="1">IF(AND($D186="Serviço",BL$12&lt;&gt;0,$H186&gt;0,OR(AUTOEVENTO&lt;&gt;"manual",$M186&lt;&gt;$A$15)),
        IF(Import.TipoArredondamento&lt;&gt;"TransfereGOV",
              ROUND(OFFSET($P186,0,BL$13),15-13*ORÇAMENTO!$AF$7)/$H186*OFFSET(ORÇAMENTO!$X$15,ROW(BL186)-ROW(BL$15),0),
              ROUND(ROUND(OFFSET($P186,0,BL$13),15-13*ORÇAMENTO!$AF$7)*OFFSET(ORÇAMENTO!$W$15,ROW(BL186)-ROW(BL$15),0),15-13*ORÇAMENTO!$AF$11)),
         0)</f>
        <v>0</v>
      </c>
      <c r="BM186" s="453">
        <f ca="1">IF(AND($D186="Serviço",BM$12&lt;&gt;0,$H186&gt;0,OR(AUTOEVENTO&lt;&gt;"manual",$M186&lt;&gt;$A$15)),
        IF(Import.TipoArredondamento&lt;&gt;"TransfereGOV",
              ROUND(OFFSET($P186,0,BM$13),15-13*ORÇAMENTO!$AF$7)/$H186*OFFSET(ORÇAMENTO!$X$15,ROW(BM186)-ROW(BM$15),0),
              ROUND(ROUND(OFFSET($P186,0,BM$13),15-13*ORÇAMENTO!$AF$7)*OFFSET(ORÇAMENTO!$W$15,ROW(BM186)-ROW(BM$15),0),15-13*ORÇAMENTO!$AF$11)),
         0)</f>
        <v>0</v>
      </c>
      <c r="BN186" s="453">
        <f ca="1">IF(AND($D186="Serviço",BN$12&lt;&gt;0,$H186&gt;0,OR(AUTOEVENTO&lt;&gt;"manual",$M186&lt;&gt;$A$15)),
        IF(Import.TipoArredondamento&lt;&gt;"TransfereGOV",
              ROUND(OFFSET($P186,0,BN$13),15-13*ORÇAMENTO!$AF$7)/$H186*OFFSET(ORÇAMENTO!$X$15,ROW(BN186)-ROW(BN$15),0),
              ROUND(ROUND(OFFSET($P186,0,BN$13),15-13*ORÇAMENTO!$AF$7)*OFFSET(ORÇAMENTO!$W$15,ROW(BN186)-ROW(BN$15),0),15-13*ORÇAMENTO!$AF$11)),
         0)</f>
        <v>0</v>
      </c>
      <c r="BO186" s="453">
        <f ca="1">IF(AND($D186="Serviço",BO$12&lt;&gt;0,$H186&gt;0,OR(AUTOEVENTO&lt;&gt;"manual",$M186&lt;&gt;$A$15)),
        IF(Import.TipoArredondamento&lt;&gt;"TransfereGOV",
              ROUND(OFFSET($P186,0,BO$13),15-13*ORÇAMENTO!$AF$7)/$H186*OFFSET(ORÇAMENTO!$X$15,ROW(BO186)-ROW(BO$15),0),
              ROUND(ROUND(OFFSET($P186,0,BO$13),15-13*ORÇAMENTO!$AF$7)*OFFSET(ORÇAMENTO!$W$15,ROW(BO186)-ROW(BO$15),0),15-13*ORÇAMENTO!$AF$11)),
         0)</f>
        <v>0</v>
      </c>
      <c r="BP186" s="453">
        <f ca="1">IF(AND($D186="Serviço",BP$12&lt;&gt;0,$H186&gt;0,OR(AUTOEVENTO&lt;&gt;"manual",$M186&lt;&gt;$A$15)),
        IF(Import.TipoArredondamento&lt;&gt;"TransfereGOV",
              ROUND(OFFSET($P186,0,BP$13),15-13*ORÇAMENTO!$AF$7)/$H186*OFFSET(ORÇAMENTO!$X$15,ROW(BP186)-ROW(BP$15),0),
              ROUND(ROUND(OFFSET($P186,0,BP$13),15-13*ORÇAMENTO!$AF$7)*OFFSET(ORÇAMENTO!$W$15,ROW(BP186)-ROW(BP$15),0),15-13*ORÇAMENTO!$AF$11)),
         0)</f>
        <v>0</v>
      </c>
      <c r="BQ186" s="453">
        <f ca="1">IF(AND($D186="Serviço",BQ$12&lt;&gt;0,$H186&gt;0,OR(AUTOEVENTO&lt;&gt;"manual",$M186&lt;&gt;$A$15)),
        IF(Import.TipoArredondamento&lt;&gt;"TransfereGOV",
              ROUND(OFFSET($P186,0,BQ$13),15-13*ORÇAMENTO!$AF$7)/$H186*OFFSET(ORÇAMENTO!$X$15,ROW(BQ186)-ROW(BQ$15),0),
              ROUND(ROUND(OFFSET($P186,0,BQ$13),15-13*ORÇAMENTO!$AF$7)*OFFSET(ORÇAMENTO!$W$15,ROW(BQ186)-ROW(BQ$15),0),15-13*ORÇAMENTO!$AF$11)),
         0)</f>
        <v>0</v>
      </c>
      <c r="BS186" s="171">
        <f ca="1">IF(OR($D186&lt;&gt;"Serviço",AND(AUTOEVENTO="Manual",$M186=$A$15)),0,
         IF(OFFSET(CRONOPLE!$F$15,$M186-$A$15,BS$13)=0,10^12,OFFSET(CRONOPLE!$F$15,$M186-$A$15,BS$13)))</f>
        <v>1</v>
      </c>
      <c r="BT186" s="171">
        <f ca="1">IF(OR($D186&lt;&gt;"Serviço",AND(AUTOEVENTO="Manual",$M186=$A$15)),0,
         IF(OFFSET(CRONOPLE!$F$15,$M186-$A$15,BT$13)=0,10^12,OFFSET(CRONOPLE!$F$15,$M186-$A$15,BT$13)))</f>
        <v>2</v>
      </c>
      <c r="BU186" s="171">
        <f ca="1">IF(OR($D186&lt;&gt;"Serviço",AND(AUTOEVENTO="Manual",$M186=$A$15)),0,
         IF(OFFSET(CRONOPLE!$F$15,$M186-$A$15,BU$13)=0,10^12,OFFSET(CRONOPLE!$F$15,$M186-$A$15,BU$13)))</f>
        <v>3</v>
      </c>
      <c r="BV186" s="171">
        <f ca="1">IF(OR($D186&lt;&gt;"Serviço",AND(AUTOEVENTO="Manual",$M186=$A$15)),0,
         IF(OFFSET(CRONOPLE!$F$15,$M186-$A$15,BV$13)=0,10^12,OFFSET(CRONOPLE!$F$15,$M186-$A$15,BV$13)))</f>
        <v>4</v>
      </c>
      <c r="BW186" s="171">
        <f ca="1">IF(OR($D186&lt;&gt;"Serviço",AND(AUTOEVENTO="Manual",$M186=$A$15)),0,
         IF(OFFSET(CRONOPLE!$F$15,$M186-$A$15,BW$13)=0,10^12,OFFSET(CRONOPLE!$F$15,$M186-$A$15,BW$13)))</f>
        <v>5</v>
      </c>
      <c r="BX186" s="171">
        <f ca="1">IF(OR($D186&lt;&gt;"Serviço",AND(AUTOEVENTO="Manual",$M186=$A$15)),0,
         IF(OFFSET(CRONOPLE!$F$15,$M186-$A$15,BX$13)=0,10^12,OFFSET(CRONOPLE!$F$15,$M186-$A$15,BX$13)))</f>
        <v>6</v>
      </c>
      <c r="BY186" s="171">
        <f ca="1">IF(OR($D186&lt;&gt;"Serviço",AND(AUTOEVENTO="Manual",$M186=$A$15)),0,
         IF(OFFSET(CRONOPLE!$F$15,$M186-$A$15,BY$13)=0,10^12,OFFSET(CRONOPLE!$F$15,$M186-$A$15,BY$13)))</f>
        <v>7</v>
      </c>
      <c r="BZ186" s="171">
        <f ca="1">IF(OR($D186&lt;&gt;"Serviço",AND(AUTOEVENTO="Manual",$M186=$A$15)),0,
         IF(OFFSET(CRONOPLE!$F$15,$M186-$A$15,BZ$13)=0,10^12,OFFSET(CRONOPLE!$F$15,$M186-$A$15,BZ$13)))</f>
        <v>8</v>
      </c>
      <c r="CA186" s="171">
        <f ca="1">IF(OR($D186&lt;&gt;"Serviço",AND(AUTOEVENTO="Manual",$M186=$A$15)),0,
         IF(OFFSET(CRONOPLE!$F$15,$M186-$A$15,CA$13)=0,10^12,OFFSET(CRONOPLE!$F$15,$M186-$A$15,CA$13)))</f>
        <v>9</v>
      </c>
      <c r="CB186" s="171">
        <f ca="1">IF(OR($D186&lt;&gt;"Serviço",AND(AUTOEVENTO="Manual",$M186=$A$15)),0,
         IF(OFFSET(CRONOPLE!$F$15,$M186-$A$15,CB$13)=0,10^12,OFFSET(CRONOPLE!$F$15,$M186-$A$15,CB$13)))</f>
        <v>10</v>
      </c>
      <c r="CC186" s="171">
        <f ca="1">IF(OR($D186&lt;&gt;"Serviço",AND(AUTOEVENTO="Manual",$M186=$A$15)),0,
         IF(OFFSET(CRONOPLE!$F$15,$M186-$A$15,CC$13)=0,10^12,OFFSET(CRONOPLE!$F$15,$M186-$A$15,CC$13)))</f>
        <v>11</v>
      </c>
      <c r="CD186" s="171">
        <f ca="1">IF(OR($D186&lt;&gt;"Serviço",AND(AUTOEVENTO="Manual",$M186=$A$15)),0,
         IF(OFFSET(CRONOPLE!$F$15,$M186-$A$15,CD$13)=0,10^12,OFFSET(CRONOPLE!$F$15,$M186-$A$15,CD$13)))</f>
        <v>12</v>
      </c>
      <c r="CE186" s="171">
        <f ca="1">IF(OR($D186&lt;&gt;"Serviço",AND(AUTOEVENTO="Manual",$M186=$A$15)),0,
         IF(OFFSET(CRONOPLE!$F$15,$M186-$A$15,CE$13)=0,10^12,OFFSET(CRONOPLE!$F$15,$M186-$A$15,CE$13)))</f>
        <v>13</v>
      </c>
      <c r="CF186" s="171">
        <f ca="1">IF(OR($D186&lt;&gt;"Serviço",AND(AUTOEVENTO="Manual",$M186=$A$15)),0,
         IF(OFFSET(CRONOPLE!$F$15,$M186-$A$15,CF$13)=0,10^12,OFFSET(CRONOPLE!$F$15,$M186-$A$15,CF$13)))</f>
        <v>14</v>
      </c>
      <c r="CG186" s="171">
        <f ca="1">IF(OR($D186&lt;&gt;"Serviço",AND(AUTOEVENTO="Manual",$M186=$A$15)),0,
         IF(OFFSET(CRONOPLE!$F$15,$M186-$A$15,CG$13)=0,10^12,OFFSET(CRONOPLE!$F$15,$M186-$A$15,CG$13)))</f>
        <v>15</v>
      </c>
      <c r="CH186" s="171">
        <f ca="1">IF(OR($D186&lt;&gt;"Serviço",AND(AUTOEVENTO="Manual",$M186=$A$15)),0,
         IF(OFFSET(CRONOPLE!$F$15,$M186-$A$15,CH$13)=0,10^12,OFFSET(CRONOPLE!$F$15,$M186-$A$15,CH$13)))</f>
        <v>16</v>
      </c>
      <c r="CI186" s="171">
        <f ca="1">IF(OR($D186&lt;&gt;"Serviço",AND(AUTOEVENTO="Manual",$M186=$A$15)),0,
         IF(OFFSET(CRONOPLE!$F$15,$M186-$A$15,CI$13)=0,10^12,OFFSET(CRONOPLE!$F$15,$M186-$A$15,CI$13)))</f>
        <v>17</v>
      </c>
      <c r="CJ186" s="171">
        <f ca="1">IF(OR($D186&lt;&gt;"Serviço",AND(AUTOEVENTO="Manual",$M186=$A$15)),0,
         IF(OFFSET(CRONOPLE!$F$15,$M186-$A$15,CJ$13)=0,10^12,OFFSET(CRONOPLE!$F$15,$M186-$A$15,CJ$13)))</f>
        <v>18</v>
      </c>
      <c r="CK186" s="171">
        <f ca="1">IF(OR($D186&lt;&gt;"Serviço",AND(AUTOEVENTO="Manual",$M186=$A$15)),0,
         IF(OFFSET(CRONOPLE!$F$15,$M186-$A$15,CK$13)=0,10^12,OFFSET(CRONOPLE!$F$15,$M186-$A$15,CK$13)))</f>
        <v>19</v>
      </c>
      <c r="CL186" s="171">
        <f ca="1">IF(OR($D186&lt;&gt;"Serviço",AND(AUTOEVENTO="Manual",$M186=$A$15)),0,
         IF(OFFSET(CRONOPLE!$F$15,$M186-$A$15,CL$13)=0,10^12,OFFSET(CRONOPLE!$F$15,$M186-$A$15,CL$13)))</f>
        <v>20</v>
      </c>
      <c r="CM186" s="171">
        <f ca="1">IF(OR($D186&lt;&gt;"Serviço",AND(AUTOEVENTO="Manual",$M186=$A$15)),0,
         IF(OFFSET(CRONOPLE!$F$15,$M186-$A$15,CM$13)=0,10^12,OFFSET(CRONOPLE!$F$15,$M186-$A$15,CM$13)))</f>
        <v>1000000000000</v>
      </c>
      <c r="CN186" s="171">
        <f ca="1">IF(OR($D186&lt;&gt;"Serviço",AND(AUTOEVENTO="Manual",$M186=$A$15)),0,
         IF(OFFSET(CRONOPLE!$F$15,$M186-$A$15,CN$13)=0,10^12,OFFSET(CRONOPLE!$F$15,$M186-$A$15,CN$13)))</f>
        <v>1000000000000</v>
      </c>
      <c r="CO186" s="171">
        <f ca="1">IF(OR($D186&lt;&gt;"Serviço",AND(AUTOEVENTO="Manual",$M186=$A$15)),0,
         IF(OFFSET(CRONOPLE!$F$15,$M186-$A$15,CO$13)=0,10^12,OFFSET(CRONOPLE!$F$15,$M186-$A$15,CO$13)))</f>
        <v>1000000000000</v>
      </c>
      <c r="CP186" s="171">
        <f ca="1">IF(OR($D186&lt;&gt;"Serviço",AND(AUTOEVENTO="Manual",$M186=$A$15)),0,
         IF(OFFSET(CRONOPLE!$F$15,$M186-$A$15,CP$13)=0,10^12,OFFSET(CRONOPLE!$F$15,$M186-$A$15,CP$13)))</f>
        <v>1000000000000</v>
      </c>
      <c r="CQ186" s="171">
        <f ca="1">IF(OR($D186&lt;&gt;"Serviço",AND(AUTOEVENTO="Manual",$M186=$A$15)),0,
         IF(OFFSET(CRONOPLE!$F$15,$M186-$A$15,CQ$13)=0,10^12,OFFSET(CRONOPLE!$F$15,$M186-$A$15,CQ$13)))</f>
        <v>1000000000000</v>
      </c>
      <c r="CR186" s="171">
        <f ca="1">IF(OR($D186&lt;&gt;"Serviço",AND(AUTOEVENTO="Manual",$M186=$A$15)),0,
         IF(OFFSET(CRONOPLE!$F$15,$M186-$A$15,CR$13)=0,10^12,OFFSET(CRONOPLE!$F$15,$M186-$A$15,CR$13)))</f>
        <v>1000000000000</v>
      </c>
      <c r="CT186" s="172" cm="1">
        <f t="array" aca="1" ref="CT186" ca="1">IF(OR($D186&lt;&gt;"Serviço",AND(AUTOEVENTO="Manual",$M186=$A$15),$M186&gt;(ROW(PLE.lastrow)-ROW(PLE.firstrow))),0,
           IF(OFFSET(PLE!$G$15,$M186-$A$15,CT$13)="",10^12,OFFSET(PLE!$G$15,$M186-$A$15,CT$13)))</f>
        <v>1000000000000</v>
      </c>
      <c r="CU186" s="172" cm="1">
        <f t="array" aca="1" ref="CU186" ca="1">IF(OR($D186&lt;&gt;"Serviço",AND(AUTOEVENTO="Manual",$M186=$A$15),$M186&gt;(ROW(PLE.lastrow)-ROW(PLE.firstrow))),0,
           IF(OFFSET(PLE!$G$15,$M186-$A$15,CU$13)="",10^12,OFFSET(PLE!$G$15,$M186-$A$15,CU$13)))</f>
        <v>1000000000000</v>
      </c>
      <c r="CV186" s="172" cm="1">
        <f t="array" aca="1" ref="CV186" ca="1">IF(OR($D186&lt;&gt;"Serviço",AND(AUTOEVENTO="Manual",$M186=$A$15),$M186&gt;(ROW(PLE.lastrow)-ROW(PLE.firstrow))),0,
           IF(OFFSET(PLE!$G$15,$M186-$A$15,CV$13)="",10^12,OFFSET(PLE!$G$15,$M186-$A$15,CV$13)))</f>
        <v>1000000000000</v>
      </c>
      <c r="CW186" s="172" cm="1">
        <f t="array" aca="1" ref="CW186" ca="1">IF(OR($D186&lt;&gt;"Serviço",AND(AUTOEVENTO="Manual",$M186=$A$15),$M186&gt;(ROW(PLE.lastrow)-ROW(PLE.firstrow))),0,
           IF(OFFSET(PLE!$G$15,$M186-$A$15,CW$13)="",10^12,OFFSET(PLE!$G$15,$M186-$A$15,CW$13)))</f>
        <v>1000000000000</v>
      </c>
      <c r="CX186" s="172" cm="1">
        <f t="array" aca="1" ref="CX186" ca="1">IF(OR($D186&lt;&gt;"Serviço",AND(AUTOEVENTO="Manual",$M186=$A$15),$M186&gt;(ROW(PLE.lastrow)-ROW(PLE.firstrow))),0,
           IF(OFFSET(PLE!$G$15,$M186-$A$15,CX$13)="",10^12,OFFSET(PLE!$G$15,$M186-$A$15,CX$13)))</f>
        <v>1000000000000</v>
      </c>
      <c r="CY186" s="172" cm="1">
        <f t="array" aca="1" ref="CY186" ca="1">IF(OR($D186&lt;&gt;"Serviço",AND(AUTOEVENTO="Manual",$M186=$A$15),$M186&gt;(ROW(PLE.lastrow)-ROW(PLE.firstrow))),0,
           IF(OFFSET(PLE!$G$15,$M186-$A$15,CY$13)="",10^12,OFFSET(PLE!$G$15,$M186-$A$15,CY$13)))</f>
        <v>1000000000000</v>
      </c>
      <c r="CZ186" s="172" cm="1">
        <f t="array" aca="1" ref="CZ186" ca="1">IF(OR($D186&lt;&gt;"Serviço",AND(AUTOEVENTO="Manual",$M186=$A$15),$M186&gt;(ROW(PLE.lastrow)-ROW(PLE.firstrow))),0,
           IF(OFFSET(PLE!$G$15,$M186-$A$15,CZ$13)="",10^12,OFFSET(PLE!$G$15,$M186-$A$15,CZ$13)))</f>
        <v>1000000000000</v>
      </c>
      <c r="DA186" s="172" cm="1">
        <f t="array" aca="1" ref="DA186" ca="1">IF(OR($D186&lt;&gt;"Serviço",AND(AUTOEVENTO="Manual",$M186=$A$15),$M186&gt;(ROW(PLE.lastrow)-ROW(PLE.firstrow))),0,
           IF(OFFSET(PLE!$G$15,$M186-$A$15,DA$13)="",10^12,OFFSET(PLE!$G$15,$M186-$A$15,DA$13)))</f>
        <v>1000000000000</v>
      </c>
      <c r="DB186" s="172" cm="1">
        <f t="array" aca="1" ref="DB186" ca="1">IF(OR($D186&lt;&gt;"Serviço",AND(AUTOEVENTO="Manual",$M186=$A$15),$M186&gt;(ROW(PLE.lastrow)-ROW(PLE.firstrow))),0,
           IF(OFFSET(PLE!$G$15,$M186-$A$15,DB$13)="",10^12,OFFSET(PLE!$G$15,$M186-$A$15,DB$13)))</f>
        <v>1000000000000</v>
      </c>
      <c r="DC186" s="172" cm="1">
        <f t="array" aca="1" ref="DC186" ca="1">IF(OR($D186&lt;&gt;"Serviço",AND(AUTOEVENTO="Manual",$M186=$A$15),$M186&gt;(ROW(PLE.lastrow)-ROW(PLE.firstrow))),0,
           IF(OFFSET(PLE!$G$15,$M186-$A$15,DC$13)="",10^12,OFFSET(PLE!$G$15,$M186-$A$15,DC$13)))</f>
        <v>1000000000000</v>
      </c>
      <c r="DD186" s="172" cm="1">
        <f t="array" aca="1" ref="DD186" ca="1">IF(OR($D186&lt;&gt;"Serviço",AND(AUTOEVENTO="Manual",$M186=$A$15),$M186&gt;(ROW(PLE.lastrow)-ROW(PLE.firstrow))),0,
           IF(OFFSET(PLE!$G$15,$M186-$A$15,DD$13)="",10^12,OFFSET(PLE!$G$15,$M186-$A$15,DD$13)))</f>
        <v>1000000000000</v>
      </c>
      <c r="DE186" s="172" cm="1">
        <f t="array" aca="1" ref="DE186" ca="1">IF(OR($D186&lt;&gt;"Serviço",AND(AUTOEVENTO="Manual",$M186=$A$15),$M186&gt;(ROW(PLE.lastrow)-ROW(PLE.firstrow))),0,
           IF(OFFSET(PLE!$G$15,$M186-$A$15,DE$13)="",10^12,OFFSET(PLE!$G$15,$M186-$A$15,DE$13)))</f>
        <v>1000000000000</v>
      </c>
      <c r="DF186" s="172" cm="1">
        <f t="array" aca="1" ref="DF186" ca="1">IF(OR($D186&lt;&gt;"Serviço",AND(AUTOEVENTO="Manual",$M186=$A$15),$M186&gt;(ROW(PLE.lastrow)-ROW(PLE.firstrow))),0,
           IF(OFFSET(PLE!$G$15,$M186-$A$15,DF$13)="",10^12,OFFSET(PLE!$G$15,$M186-$A$15,DF$13)))</f>
        <v>1000000000000</v>
      </c>
      <c r="DG186" s="172" cm="1">
        <f t="array" aca="1" ref="DG186" ca="1">IF(OR($D186&lt;&gt;"Serviço",AND(AUTOEVENTO="Manual",$M186=$A$15),$M186&gt;(ROW(PLE.lastrow)-ROW(PLE.firstrow))),0,
           IF(OFFSET(PLE!$G$15,$M186-$A$15,DG$13)="",10^12,OFFSET(PLE!$G$15,$M186-$A$15,DG$13)))</f>
        <v>1000000000000</v>
      </c>
      <c r="DH186" s="172" cm="1">
        <f t="array" aca="1" ref="DH186" ca="1">IF(OR($D186&lt;&gt;"Serviço",AND(AUTOEVENTO="Manual",$M186=$A$15),$M186&gt;(ROW(PLE.lastrow)-ROW(PLE.firstrow))),0,
           IF(OFFSET(PLE!$G$15,$M186-$A$15,DH$13)="",10^12,OFFSET(PLE!$G$15,$M186-$A$15,DH$13)))</f>
        <v>1000000000000</v>
      </c>
      <c r="DI186" s="172" cm="1">
        <f t="array" aca="1" ref="DI186" ca="1">IF(OR($D186&lt;&gt;"Serviço",AND(AUTOEVENTO="Manual",$M186=$A$15),$M186&gt;(ROW(PLE.lastrow)-ROW(PLE.firstrow))),0,
           IF(OFFSET(PLE!$G$15,$M186-$A$15,DI$13)="",10^12,OFFSET(PLE!$G$15,$M186-$A$15,DI$13)))</f>
        <v>1000000000000</v>
      </c>
      <c r="DJ186" s="172" cm="1">
        <f t="array" aca="1" ref="DJ186" ca="1">IF(OR($D186&lt;&gt;"Serviço",AND(AUTOEVENTO="Manual",$M186=$A$15),$M186&gt;(ROW(PLE.lastrow)-ROW(PLE.firstrow))),0,
           IF(OFFSET(PLE!$G$15,$M186-$A$15,DJ$13)="",10^12,OFFSET(PLE!$G$15,$M186-$A$15,DJ$13)))</f>
        <v>1000000000000</v>
      </c>
      <c r="DK186" s="172" cm="1">
        <f t="array" aca="1" ref="DK186" ca="1">IF(OR($D186&lt;&gt;"Serviço",AND(AUTOEVENTO="Manual",$M186=$A$15),$M186&gt;(ROW(PLE.lastrow)-ROW(PLE.firstrow))),0,
           IF(OFFSET(PLE!$G$15,$M186-$A$15,DK$13)="",10^12,OFFSET(PLE!$G$15,$M186-$A$15,DK$13)))</f>
        <v>1000000000000</v>
      </c>
      <c r="DL186" s="172" cm="1">
        <f t="array" aca="1" ref="DL186" ca="1">IF(OR($D186&lt;&gt;"Serviço",AND(AUTOEVENTO="Manual",$M186=$A$15),$M186&gt;(ROW(PLE.lastrow)-ROW(PLE.firstrow))),0,
           IF(OFFSET(PLE!$G$15,$M186-$A$15,DL$13)="",10^12,OFFSET(PLE!$G$15,$M186-$A$15,DL$13)))</f>
        <v>1000000000000</v>
      </c>
      <c r="DM186" s="172" cm="1">
        <f t="array" aca="1" ref="DM186" ca="1">IF(OR($D186&lt;&gt;"Serviço",AND(AUTOEVENTO="Manual",$M186=$A$15),$M186&gt;(ROW(PLE.lastrow)-ROW(PLE.firstrow))),0,
           IF(OFFSET(PLE!$G$15,$M186-$A$15,DM$13)="",10^12,OFFSET(PLE!$G$15,$M186-$A$15,DM$13)))</f>
        <v>1000000000000</v>
      </c>
      <c r="DN186" s="172" cm="1">
        <f t="array" aca="1" ref="DN186" ca="1">IF(OR($D186&lt;&gt;"Serviço",AND(AUTOEVENTO="Manual",$M186=$A$15),$M186&gt;(ROW(PLE.lastrow)-ROW(PLE.firstrow))),0,
           IF(OFFSET(PLE!$G$15,$M186-$A$15,DN$13)="",10^12,OFFSET(PLE!$G$15,$M186-$A$15,DN$13)))</f>
        <v>1000000000000</v>
      </c>
      <c r="DO186" s="172" cm="1">
        <f t="array" aca="1" ref="DO186" ca="1">IF(OR($D186&lt;&gt;"Serviço",AND(AUTOEVENTO="Manual",$M186=$A$15),$M186&gt;(ROW(PLE.lastrow)-ROW(PLE.firstrow))),0,
           IF(OFFSET(PLE!$G$15,$M186-$A$15,DO$13)="",10^12,OFFSET(PLE!$G$15,$M186-$A$15,DO$13)))</f>
        <v>1000000000000</v>
      </c>
      <c r="DP186" s="172" cm="1">
        <f t="array" aca="1" ref="DP186" ca="1">IF(OR($D186&lt;&gt;"Serviço",AND(AUTOEVENTO="Manual",$M186=$A$15),$M186&gt;(ROW(PLE.lastrow)-ROW(PLE.firstrow))),0,
           IF(OFFSET(PLE!$G$15,$M186-$A$15,DP$13)="",10^12,OFFSET(PLE!$G$15,$M186-$A$15,DP$13)))</f>
        <v>1000000000000</v>
      </c>
      <c r="DQ186" s="172" cm="1">
        <f t="array" aca="1" ref="DQ186" ca="1">IF(OR($D186&lt;&gt;"Serviço",AND(AUTOEVENTO="Manual",$M186=$A$15),$M186&gt;(ROW(PLE.lastrow)-ROW(PLE.firstrow))),0,
           IF(OFFSET(PLE!$G$15,$M186-$A$15,DQ$13)="",10^12,OFFSET(PLE!$G$15,$M186-$A$15,DQ$13)))</f>
        <v>1000000000000</v>
      </c>
      <c r="DR186" s="172" cm="1">
        <f t="array" aca="1" ref="DR186" ca="1">IF(OR($D186&lt;&gt;"Serviço",AND(AUTOEVENTO="Manual",$M186=$A$15),$M186&gt;(ROW(PLE.lastrow)-ROW(PLE.firstrow))),0,
           IF(OFFSET(PLE!$G$15,$M186-$A$15,DR$13)="",10^12,OFFSET(PLE!$G$15,$M186-$A$15,DR$13)))</f>
        <v>1000000000000</v>
      </c>
      <c r="DS186" s="172" cm="1">
        <f t="array" aca="1" ref="DS186" ca="1">IF(OR($D186&lt;&gt;"Serviço",AND(AUTOEVENTO="Manual",$M186=$A$15),$M186&gt;(ROW(PLE.lastrow)-ROW(PLE.firstrow))),0,
           IF(OFFSET(PLE!$G$15,$M186-$A$15,DS$13)="",10^12,OFFSET(PLE!$G$15,$M186-$A$15,DS$13)))</f>
        <v>1000000000000</v>
      </c>
    </row>
    <row r="187" spans="1:123" ht="38.25" x14ac:dyDescent="0.2">
      <c r="A187" s="7">
        <f t="shared" ca="1" si="18"/>
        <v>9</v>
      </c>
      <c r="B187" s="7" t="str">
        <f ca="1">OFFSET(ORÇAMENTO!C$15,$L187,0)</f>
        <v>S</v>
      </c>
      <c r="C187" s="7" t="str">
        <f ca="1">OFFSET(ORÇAMENTO!L$15,$L187,0)</f>
        <v/>
      </c>
      <c r="D187" s="116" t="str">
        <f ca="1">OFFSET(ORÇAMENTO!N$15,$L187,0)</f>
        <v>Serviço</v>
      </c>
      <c r="E187" s="117" t="str">
        <f ca="1">OFFSET(ORÇAMENTO!O$15,$L187,0)</f>
        <v>-</v>
      </c>
      <c r="F187" s="163" t="str">
        <f ca="1">OFFSET(ORÇAMENTO!R$15,$L187,0)</f>
        <v>(Código não identificado nas referências)</v>
      </c>
      <c r="G187" s="164" t="str">
        <f ca="1">IF($D187&lt;&gt;"Serviço","",OFFSET(ORÇAMENTO!S$15,$L187,0))</f>
        <v>-</v>
      </c>
      <c r="H187" s="122" cm="1">
        <f t="array" aca="1" ref="H187" ca="1">IF($D187&lt;&gt;"Serviço",0,IF(ACOMPANHAMENTO="BM",ROUND(OFFSET(ORÇAMENTO!AJ$15,$L187,0),15-13*ORÇAMENTO!$AF$7),IF(IFERROR(CÁLCULO.FrentesPreenchidas,0)=0,0,SUM(ROUND(OFFSET($P187,0,1,1,CÁLCULO.FrentesPreenchidas),15-13*ORÇAMENTO!$AF$7)))))</f>
        <v>20</v>
      </c>
      <c r="I187" s="468" t="s">
        <v>1235</v>
      </c>
      <c r="J187" s="651" t="str" cm="1">
        <f t="array" aca="1" ref="J187" ca="1">IF(OR(B187&lt;&gt;"S",CÁLCULO.FrentesPreenchidas=0),"",IF(AND(ACOMPANHAMENTO="PLE",AUTOEVENTO="Manual",OR(H187&gt;0,ORÇAMENTO!AC187="QUANT."),OR(K187="",M187=0,N187="")),"►E",IF(AND(ACOMPANHAMENTO="PLE",ORÇAMENTO!AC187="QUANT."),"►Q",IF(AND(ACOMPANHAMENTO="PLE",H187&lt;&gt;SUMPRODUCT(($Q$1:$AQ$1=1)*ROUND(Q187:AQ187,15))),"►S",IF(AND(COUNTIF($P$11:$AQ$11,"▼")=0,H187&gt;0,I187=""),"◄M","")))))</f>
        <v/>
      </c>
      <c r="K187" s="652" t="s">
        <v>1257</v>
      </c>
      <c r="L187" s="165">
        <f t="shared" ca="1" si="17"/>
        <v>172</v>
      </c>
      <c r="M187" s="166">
        <f ca="1">IF($D187&lt;&gt;"Serviço","",
          IF(AUTOEVENTO="manual",$A187,
                IF(ISERROR(MATCH($A187,$A$15:OFFSET($A187,-1,0),0)),MAX($M$15:OFFSET(M187,-1,0))+1,
                      INDEX($M$15:OFFSET(M187,-1,0),MATCH($A187,$A$15:OFFSET($A187,-1,0),0)))))</f>
        <v>9</v>
      </c>
      <c r="N187" s="167" t="str">
        <f ca="1">IF($D187&lt;&gt;"Serviço","",
         IF(AUTOEVENTO="Manual",
                IF($A187=0,"&lt;-- defina o número do agrupador",
                       OFFSET(EVENTOS!$D$15,$A187-$A$15,0)),
                OFFSET($F$15,$A187,0)))</f>
        <v>INSTALAÇÕES</v>
      </c>
      <c r="O187" s="168"/>
      <c r="Q187" s="168">
        <v>1</v>
      </c>
      <c r="R187" s="169">
        <v>1</v>
      </c>
      <c r="S187" s="169">
        <v>1</v>
      </c>
      <c r="T187" s="169">
        <v>1</v>
      </c>
      <c r="U187" s="169">
        <v>1</v>
      </c>
      <c r="V187" s="169">
        <v>1</v>
      </c>
      <c r="W187" s="169">
        <v>1</v>
      </c>
      <c r="X187" s="169">
        <v>1</v>
      </c>
      <c r="Y187" s="169">
        <v>1</v>
      </c>
      <c r="Z187" s="170">
        <v>1</v>
      </c>
      <c r="AA187" s="169">
        <v>1</v>
      </c>
      <c r="AB187" s="169">
        <v>1</v>
      </c>
      <c r="AC187" s="169">
        <v>1</v>
      </c>
      <c r="AD187" s="169">
        <v>1</v>
      </c>
      <c r="AE187" s="169">
        <v>1</v>
      </c>
      <c r="AF187" s="169">
        <v>1</v>
      </c>
      <c r="AG187" s="169">
        <v>1</v>
      </c>
      <c r="AH187" s="170">
        <v>1</v>
      </c>
      <c r="AI187" s="169">
        <v>1</v>
      </c>
      <c r="AJ187" s="169">
        <v>1</v>
      </c>
      <c r="AK187" s="169"/>
      <c r="AL187" s="169"/>
      <c r="AM187" s="169"/>
      <c r="AN187" s="169"/>
      <c r="AO187" s="169"/>
      <c r="AP187" s="170"/>
      <c r="AR187" s="453">
        <f ca="1">IF(AND($D187="Serviço",AR$12&lt;&gt;0,$H187&gt;0,OR(AUTOEVENTO&lt;&gt;"manual",$M187&lt;&gt;$A$15)),
        IF(Import.TipoArredondamento&lt;&gt;"TransfereGOV",
              ROUND(OFFSET($P187,0,AR$13),15-13*ORÇAMENTO!$AF$7)/$H187*OFFSET(ORÇAMENTO!$X$15,ROW(AR187)-ROW(AR$15),0),
              ROUND(ROUND(OFFSET($P187,0,AR$13),15-13*ORÇAMENTO!$AF$7)*OFFSET(ORÇAMENTO!$W$15,ROW(AR187)-ROW(AR$15),0),15-13*ORÇAMENTO!$AF$11)),
         0)</f>
        <v>0</v>
      </c>
      <c r="AS187" s="453">
        <f ca="1">IF(AND($D187="Serviço",AS$12&lt;&gt;0,$H187&gt;0,OR(AUTOEVENTO&lt;&gt;"manual",$M187&lt;&gt;$A$15)),
        IF(Import.TipoArredondamento&lt;&gt;"TransfereGOV",
              ROUND(OFFSET($P187,0,AS$13),15-13*ORÇAMENTO!$AF$7)/$H187*OFFSET(ORÇAMENTO!$X$15,ROW(AS187)-ROW(AS$15),0),
              ROUND(ROUND(OFFSET($P187,0,AS$13),15-13*ORÇAMENTO!$AF$7)*OFFSET(ORÇAMENTO!$W$15,ROW(AS187)-ROW(AS$15),0),15-13*ORÇAMENTO!$AF$11)),
         0)</f>
        <v>0</v>
      </c>
      <c r="AT187" s="453">
        <f ca="1">IF(AND($D187="Serviço",AT$12&lt;&gt;0,$H187&gt;0,OR(AUTOEVENTO&lt;&gt;"manual",$M187&lt;&gt;$A$15)),
        IF(Import.TipoArredondamento&lt;&gt;"TransfereGOV",
              ROUND(OFFSET($P187,0,AT$13),15-13*ORÇAMENTO!$AF$7)/$H187*OFFSET(ORÇAMENTO!$X$15,ROW(AT187)-ROW(AT$15),0),
              ROUND(ROUND(OFFSET($P187,0,AT$13),15-13*ORÇAMENTO!$AF$7)*OFFSET(ORÇAMENTO!$W$15,ROW(AT187)-ROW(AT$15),0),15-13*ORÇAMENTO!$AF$11)),
         0)</f>
        <v>0</v>
      </c>
      <c r="AU187" s="453">
        <f ca="1">IF(AND($D187="Serviço",AU$12&lt;&gt;0,$H187&gt;0,OR(AUTOEVENTO&lt;&gt;"manual",$M187&lt;&gt;$A$15)),
        IF(Import.TipoArredondamento&lt;&gt;"TransfereGOV",
              ROUND(OFFSET($P187,0,AU$13),15-13*ORÇAMENTO!$AF$7)/$H187*OFFSET(ORÇAMENTO!$X$15,ROW(AU187)-ROW(AU$15),0),
              ROUND(ROUND(OFFSET($P187,0,AU$13),15-13*ORÇAMENTO!$AF$7)*OFFSET(ORÇAMENTO!$W$15,ROW(AU187)-ROW(AU$15),0),15-13*ORÇAMENTO!$AF$11)),
         0)</f>
        <v>0</v>
      </c>
      <c r="AV187" s="453">
        <f ca="1">IF(AND($D187="Serviço",AV$12&lt;&gt;0,$H187&gt;0,OR(AUTOEVENTO&lt;&gt;"manual",$M187&lt;&gt;$A$15)),
        IF(Import.TipoArredondamento&lt;&gt;"TransfereGOV",
              ROUND(OFFSET($P187,0,AV$13),15-13*ORÇAMENTO!$AF$7)/$H187*OFFSET(ORÇAMENTO!$X$15,ROW(AV187)-ROW(AV$15),0),
              ROUND(ROUND(OFFSET($P187,0,AV$13),15-13*ORÇAMENTO!$AF$7)*OFFSET(ORÇAMENTO!$W$15,ROW(AV187)-ROW(AV$15),0),15-13*ORÇAMENTO!$AF$11)),
         0)</f>
        <v>0</v>
      </c>
      <c r="AW187" s="453">
        <f ca="1">IF(AND($D187="Serviço",AW$12&lt;&gt;0,$H187&gt;0,OR(AUTOEVENTO&lt;&gt;"manual",$M187&lt;&gt;$A$15)),
        IF(Import.TipoArredondamento&lt;&gt;"TransfereGOV",
              ROUND(OFFSET($P187,0,AW$13),15-13*ORÇAMENTO!$AF$7)/$H187*OFFSET(ORÇAMENTO!$X$15,ROW(AW187)-ROW(AW$15),0),
              ROUND(ROUND(OFFSET($P187,0,AW$13),15-13*ORÇAMENTO!$AF$7)*OFFSET(ORÇAMENTO!$W$15,ROW(AW187)-ROW(AW$15),0),15-13*ORÇAMENTO!$AF$11)),
         0)</f>
        <v>0</v>
      </c>
      <c r="AX187" s="453">
        <f ca="1">IF(AND($D187="Serviço",AX$12&lt;&gt;0,$H187&gt;0,OR(AUTOEVENTO&lt;&gt;"manual",$M187&lt;&gt;$A$15)),
        IF(Import.TipoArredondamento&lt;&gt;"TransfereGOV",
              ROUND(OFFSET($P187,0,AX$13),15-13*ORÇAMENTO!$AF$7)/$H187*OFFSET(ORÇAMENTO!$X$15,ROW(AX187)-ROW(AX$15),0),
              ROUND(ROUND(OFFSET($P187,0,AX$13),15-13*ORÇAMENTO!$AF$7)*OFFSET(ORÇAMENTO!$W$15,ROW(AX187)-ROW(AX$15),0),15-13*ORÇAMENTO!$AF$11)),
         0)</f>
        <v>0</v>
      </c>
      <c r="AY187" s="453">
        <f ca="1">IF(AND($D187="Serviço",AY$12&lt;&gt;0,$H187&gt;0,OR(AUTOEVENTO&lt;&gt;"manual",$M187&lt;&gt;$A$15)),
        IF(Import.TipoArredondamento&lt;&gt;"TransfereGOV",
              ROUND(OFFSET($P187,0,AY$13),15-13*ORÇAMENTO!$AF$7)/$H187*OFFSET(ORÇAMENTO!$X$15,ROW(AY187)-ROW(AY$15),0),
              ROUND(ROUND(OFFSET($P187,0,AY$13),15-13*ORÇAMENTO!$AF$7)*OFFSET(ORÇAMENTO!$W$15,ROW(AY187)-ROW(AY$15),0),15-13*ORÇAMENTO!$AF$11)),
         0)</f>
        <v>0</v>
      </c>
      <c r="AZ187" s="453">
        <f ca="1">IF(AND($D187="Serviço",AZ$12&lt;&gt;0,$H187&gt;0,OR(AUTOEVENTO&lt;&gt;"manual",$M187&lt;&gt;$A$15)),
        IF(Import.TipoArredondamento&lt;&gt;"TransfereGOV",
              ROUND(OFFSET($P187,0,AZ$13),15-13*ORÇAMENTO!$AF$7)/$H187*OFFSET(ORÇAMENTO!$X$15,ROW(AZ187)-ROW(AZ$15),0),
              ROUND(ROUND(OFFSET($P187,0,AZ$13),15-13*ORÇAMENTO!$AF$7)*OFFSET(ORÇAMENTO!$W$15,ROW(AZ187)-ROW(AZ$15),0),15-13*ORÇAMENTO!$AF$11)),
         0)</f>
        <v>0</v>
      </c>
      <c r="BA187" s="453">
        <f ca="1">IF(AND($D187="Serviço",BA$12&lt;&gt;0,$H187&gt;0,OR(AUTOEVENTO&lt;&gt;"manual",$M187&lt;&gt;$A$15)),
        IF(Import.TipoArredondamento&lt;&gt;"TransfereGOV",
              ROUND(OFFSET($P187,0,BA$13),15-13*ORÇAMENTO!$AF$7)/$H187*OFFSET(ORÇAMENTO!$X$15,ROW(BA187)-ROW(BA$15),0),
              ROUND(ROUND(OFFSET($P187,0,BA$13),15-13*ORÇAMENTO!$AF$7)*OFFSET(ORÇAMENTO!$W$15,ROW(BA187)-ROW(BA$15),0),15-13*ORÇAMENTO!$AF$11)),
         0)</f>
        <v>0</v>
      </c>
      <c r="BB187" s="453">
        <f ca="1">IF(AND($D187="Serviço",BB$12&lt;&gt;0,$H187&gt;0,OR(AUTOEVENTO&lt;&gt;"manual",$M187&lt;&gt;$A$15)),
        IF(Import.TipoArredondamento&lt;&gt;"TransfereGOV",
              ROUND(OFFSET($P187,0,BB$13),15-13*ORÇAMENTO!$AF$7)/$H187*OFFSET(ORÇAMENTO!$X$15,ROW(BB187)-ROW(BB$15),0),
              ROUND(ROUND(OFFSET($P187,0,BB$13),15-13*ORÇAMENTO!$AF$7)*OFFSET(ORÇAMENTO!$W$15,ROW(BB187)-ROW(BB$15),0),15-13*ORÇAMENTO!$AF$11)),
         0)</f>
        <v>0</v>
      </c>
      <c r="BC187" s="453">
        <f ca="1">IF(AND($D187="Serviço",BC$12&lt;&gt;0,$H187&gt;0,OR(AUTOEVENTO&lt;&gt;"manual",$M187&lt;&gt;$A$15)),
        IF(Import.TipoArredondamento&lt;&gt;"TransfereGOV",
              ROUND(OFFSET($P187,0,BC$13),15-13*ORÇAMENTO!$AF$7)/$H187*OFFSET(ORÇAMENTO!$X$15,ROW(BC187)-ROW(BC$15),0),
              ROUND(ROUND(OFFSET($P187,0,BC$13),15-13*ORÇAMENTO!$AF$7)*OFFSET(ORÇAMENTO!$W$15,ROW(BC187)-ROW(BC$15),0),15-13*ORÇAMENTO!$AF$11)),
         0)</f>
        <v>0</v>
      </c>
      <c r="BD187" s="453">
        <f ca="1">IF(AND($D187="Serviço",BD$12&lt;&gt;0,$H187&gt;0,OR(AUTOEVENTO&lt;&gt;"manual",$M187&lt;&gt;$A$15)),
        IF(Import.TipoArredondamento&lt;&gt;"TransfereGOV",
              ROUND(OFFSET($P187,0,BD$13),15-13*ORÇAMENTO!$AF$7)/$H187*OFFSET(ORÇAMENTO!$X$15,ROW(BD187)-ROW(BD$15),0),
              ROUND(ROUND(OFFSET($P187,0,BD$13),15-13*ORÇAMENTO!$AF$7)*OFFSET(ORÇAMENTO!$W$15,ROW(BD187)-ROW(BD$15),0),15-13*ORÇAMENTO!$AF$11)),
         0)</f>
        <v>0</v>
      </c>
      <c r="BE187" s="453">
        <f ca="1">IF(AND($D187="Serviço",BE$12&lt;&gt;0,$H187&gt;0,OR(AUTOEVENTO&lt;&gt;"manual",$M187&lt;&gt;$A$15)),
        IF(Import.TipoArredondamento&lt;&gt;"TransfereGOV",
              ROUND(OFFSET($P187,0,BE$13),15-13*ORÇAMENTO!$AF$7)/$H187*OFFSET(ORÇAMENTO!$X$15,ROW(BE187)-ROW(BE$15),0),
              ROUND(ROUND(OFFSET($P187,0,BE$13),15-13*ORÇAMENTO!$AF$7)*OFFSET(ORÇAMENTO!$W$15,ROW(BE187)-ROW(BE$15),0),15-13*ORÇAMENTO!$AF$11)),
         0)</f>
        <v>0</v>
      </c>
      <c r="BF187" s="453">
        <f ca="1">IF(AND($D187="Serviço",BF$12&lt;&gt;0,$H187&gt;0,OR(AUTOEVENTO&lt;&gt;"manual",$M187&lt;&gt;$A$15)),
        IF(Import.TipoArredondamento&lt;&gt;"TransfereGOV",
              ROUND(OFFSET($P187,0,BF$13),15-13*ORÇAMENTO!$AF$7)/$H187*OFFSET(ORÇAMENTO!$X$15,ROW(BF187)-ROW(BF$15),0),
              ROUND(ROUND(OFFSET($P187,0,BF$13),15-13*ORÇAMENTO!$AF$7)*OFFSET(ORÇAMENTO!$W$15,ROW(BF187)-ROW(BF$15),0),15-13*ORÇAMENTO!$AF$11)),
         0)</f>
        <v>0</v>
      </c>
      <c r="BG187" s="453">
        <f ca="1">IF(AND($D187="Serviço",BG$12&lt;&gt;0,$H187&gt;0,OR(AUTOEVENTO&lt;&gt;"manual",$M187&lt;&gt;$A$15)),
        IF(Import.TipoArredondamento&lt;&gt;"TransfereGOV",
              ROUND(OFFSET($P187,0,BG$13),15-13*ORÇAMENTO!$AF$7)/$H187*OFFSET(ORÇAMENTO!$X$15,ROW(BG187)-ROW(BG$15),0),
              ROUND(ROUND(OFFSET($P187,0,BG$13),15-13*ORÇAMENTO!$AF$7)*OFFSET(ORÇAMENTO!$W$15,ROW(BG187)-ROW(BG$15),0),15-13*ORÇAMENTO!$AF$11)),
         0)</f>
        <v>0</v>
      </c>
      <c r="BH187" s="453">
        <f ca="1">IF(AND($D187="Serviço",BH$12&lt;&gt;0,$H187&gt;0,OR(AUTOEVENTO&lt;&gt;"manual",$M187&lt;&gt;$A$15)),
        IF(Import.TipoArredondamento&lt;&gt;"TransfereGOV",
              ROUND(OFFSET($P187,0,BH$13),15-13*ORÇAMENTO!$AF$7)/$H187*OFFSET(ORÇAMENTO!$X$15,ROW(BH187)-ROW(BH$15),0),
              ROUND(ROUND(OFFSET($P187,0,BH$13),15-13*ORÇAMENTO!$AF$7)*OFFSET(ORÇAMENTO!$W$15,ROW(BH187)-ROW(BH$15),0),15-13*ORÇAMENTO!$AF$11)),
         0)</f>
        <v>0</v>
      </c>
      <c r="BI187" s="453">
        <f ca="1">IF(AND($D187="Serviço",BI$12&lt;&gt;0,$H187&gt;0,OR(AUTOEVENTO&lt;&gt;"manual",$M187&lt;&gt;$A$15)),
        IF(Import.TipoArredondamento&lt;&gt;"TransfereGOV",
              ROUND(OFFSET($P187,0,BI$13),15-13*ORÇAMENTO!$AF$7)/$H187*OFFSET(ORÇAMENTO!$X$15,ROW(BI187)-ROW(BI$15),0),
              ROUND(ROUND(OFFSET($P187,0,BI$13),15-13*ORÇAMENTO!$AF$7)*OFFSET(ORÇAMENTO!$W$15,ROW(BI187)-ROW(BI$15),0),15-13*ORÇAMENTO!$AF$11)),
         0)</f>
        <v>0</v>
      </c>
      <c r="BJ187" s="453">
        <f ca="1">IF(AND($D187="Serviço",BJ$12&lt;&gt;0,$H187&gt;0,OR(AUTOEVENTO&lt;&gt;"manual",$M187&lt;&gt;$A$15)),
        IF(Import.TipoArredondamento&lt;&gt;"TransfereGOV",
              ROUND(OFFSET($P187,0,BJ$13),15-13*ORÇAMENTO!$AF$7)/$H187*OFFSET(ORÇAMENTO!$X$15,ROW(BJ187)-ROW(BJ$15),0),
              ROUND(ROUND(OFFSET($P187,0,BJ$13),15-13*ORÇAMENTO!$AF$7)*OFFSET(ORÇAMENTO!$W$15,ROW(BJ187)-ROW(BJ$15),0),15-13*ORÇAMENTO!$AF$11)),
         0)</f>
        <v>0</v>
      </c>
      <c r="BK187" s="453">
        <f ca="1">IF(AND($D187="Serviço",BK$12&lt;&gt;0,$H187&gt;0,OR(AUTOEVENTO&lt;&gt;"manual",$M187&lt;&gt;$A$15)),
        IF(Import.TipoArredondamento&lt;&gt;"TransfereGOV",
              ROUND(OFFSET($P187,0,BK$13),15-13*ORÇAMENTO!$AF$7)/$H187*OFFSET(ORÇAMENTO!$X$15,ROW(BK187)-ROW(BK$15),0),
              ROUND(ROUND(OFFSET($P187,0,BK$13),15-13*ORÇAMENTO!$AF$7)*OFFSET(ORÇAMENTO!$W$15,ROW(BK187)-ROW(BK$15),0),15-13*ORÇAMENTO!$AF$11)),
         0)</f>
        <v>0</v>
      </c>
      <c r="BL187" s="453">
        <f ca="1">IF(AND($D187="Serviço",BL$12&lt;&gt;0,$H187&gt;0,OR(AUTOEVENTO&lt;&gt;"manual",$M187&lt;&gt;$A$15)),
        IF(Import.TipoArredondamento&lt;&gt;"TransfereGOV",
              ROUND(OFFSET($P187,0,BL$13),15-13*ORÇAMENTO!$AF$7)/$H187*OFFSET(ORÇAMENTO!$X$15,ROW(BL187)-ROW(BL$15),0),
              ROUND(ROUND(OFFSET($P187,0,BL$13),15-13*ORÇAMENTO!$AF$7)*OFFSET(ORÇAMENTO!$W$15,ROW(BL187)-ROW(BL$15),0),15-13*ORÇAMENTO!$AF$11)),
         0)</f>
        <v>0</v>
      </c>
      <c r="BM187" s="453">
        <f ca="1">IF(AND($D187="Serviço",BM$12&lt;&gt;0,$H187&gt;0,OR(AUTOEVENTO&lt;&gt;"manual",$M187&lt;&gt;$A$15)),
        IF(Import.TipoArredondamento&lt;&gt;"TransfereGOV",
              ROUND(OFFSET($P187,0,BM$13),15-13*ORÇAMENTO!$AF$7)/$H187*OFFSET(ORÇAMENTO!$X$15,ROW(BM187)-ROW(BM$15),0),
              ROUND(ROUND(OFFSET($P187,0,BM$13),15-13*ORÇAMENTO!$AF$7)*OFFSET(ORÇAMENTO!$W$15,ROW(BM187)-ROW(BM$15),0),15-13*ORÇAMENTO!$AF$11)),
         0)</f>
        <v>0</v>
      </c>
      <c r="BN187" s="453">
        <f ca="1">IF(AND($D187="Serviço",BN$12&lt;&gt;0,$H187&gt;0,OR(AUTOEVENTO&lt;&gt;"manual",$M187&lt;&gt;$A$15)),
        IF(Import.TipoArredondamento&lt;&gt;"TransfereGOV",
              ROUND(OFFSET($P187,0,BN$13),15-13*ORÇAMENTO!$AF$7)/$H187*OFFSET(ORÇAMENTO!$X$15,ROW(BN187)-ROW(BN$15),0),
              ROUND(ROUND(OFFSET($P187,0,BN$13),15-13*ORÇAMENTO!$AF$7)*OFFSET(ORÇAMENTO!$W$15,ROW(BN187)-ROW(BN$15),0),15-13*ORÇAMENTO!$AF$11)),
         0)</f>
        <v>0</v>
      </c>
      <c r="BO187" s="453">
        <f ca="1">IF(AND($D187="Serviço",BO$12&lt;&gt;0,$H187&gt;0,OR(AUTOEVENTO&lt;&gt;"manual",$M187&lt;&gt;$A$15)),
        IF(Import.TipoArredondamento&lt;&gt;"TransfereGOV",
              ROUND(OFFSET($P187,0,BO$13),15-13*ORÇAMENTO!$AF$7)/$H187*OFFSET(ORÇAMENTO!$X$15,ROW(BO187)-ROW(BO$15),0),
              ROUND(ROUND(OFFSET($P187,0,BO$13),15-13*ORÇAMENTO!$AF$7)*OFFSET(ORÇAMENTO!$W$15,ROW(BO187)-ROW(BO$15),0),15-13*ORÇAMENTO!$AF$11)),
         0)</f>
        <v>0</v>
      </c>
      <c r="BP187" s="453">
        <f ca="1">IF(AND($D187="Serviço",BP$12&lt;&gt;0,$H187&gt;0,OR(AUTOEVENTO&lt;&gt;"manual",$M187&lt;&gt;$A$15)),
        IF(Import.TipoArredondamento&lt;&gt;"TransfereGOV",
              ROUND(OFFSET($P187,0,BP$13),15-13*ORÇAMENTO!$AF$7)/$H187*OFFSET(ORÇAMENTO!$X$15,ROW(BP187)-ROW(BP$15),0),
              ROUND(ROUND(OFFSET($P187,0,BP$13),15-13*ORÇAMENTO!$AF$7)*OFFSET(ORÇAMENTO!$W$15,ROW(BP187)-ROW(BP$15),0),15-13*ORÇAMENTO!$AF$11)),
         0)</f>
        <v>0</v>
      </c>
      <c r="BQ187" s="453">
        <f ca="1">IF(AND($D187="Serviço",BQ$12&lt;&gt;0,$H187&gt;0,OR(AUTOEVENTO&lt;&gt;"manual",$M187&lt;&gt;$A$15)),
        IF(Import.TipoArredondamento&lt;&gt;"TransfereGOV",
              ROUND(OFFSET($P187,0,BQ$13),15-13*ORÇAMENTO!$AF$7)/$H187*OFFSET(ORÇAMENTO!$X$15,ROW(BQ187)-ROW(BQ$15),0),
              ROUND(ROUND(OFFSET($P187,0,BQ$13),15-13*ORÇAMENTO!$AF$7)*OFFSET(ORÇAMENTO!$W$15,ROW(BQ187)-ROW(BQ$15),0),15-13*ORÇAMENTO!$AF$11)),
         0)</f>
        <v>0</v>
      </c>
      <c r="BS187" s="171">
        <f ca="1">IF(OR($D187&lt;&gt;"Serviço",AND(AUTOEVENTO="Manual",$M187=$A$15)),0,
         IF(OFFSET(CRONOPLE!$F$15,$M187-$A$15,BS$13)=0,10^12,OFFSET(CRONOPLE!$F$15,$M187-$A$15,BS$13)))</f>
        <v>1</v>
      </c>
      <c r="BT187" s="171">
        <f ca="1">IF(OR($D187&lt;&gt;"Serviço",AND(AUTOEVENTO="Manual",$M187=$A$15)),0,
         IF(OFFSET(CRONOPLE!$F$15,$M187-$A$15,BT$13)=0,10^12,OFFSET(CRONOPLE!$F$15,$M187-$A$15,BT$13)))</f>
        <v>2</v>
      </c>
      <c r="BU187" s="171">
        <f ca="1">IF(OR($D187&lt;&gt;"Serviço",AND(AUTOEVENTO="Manual",$M187=$A$15)),0,
         IF(OFFSET(CRONOPLE!$F$15,$M187-$A$15,BU$13)=0,10^12,OFFSET(CRONOPLE!$F$15,$M187-$A$15,BU$13)))</f>
        <v>3</v>
      </c>
      <c r="BV187" s="171">
        <f ca="1">IF(OR($D187&lt;&gt;"Serviço",AND(AUTOEVENTO="Manual",$M187=$A$15)),0,
         IF(OFFSET(CRONOPLE!$F$15,$M187-$A$15,BV$13)=0,10^12,OFFSET(CRONOPLE!$F$15,$M187-$A$15,BV$13)))</f>
        <v>4</v>
      </c>
      <c r="BW187" s="171">
        <f ca="1">IF(OR($D187&lt;&gt;"Serviço",AND(AUTOEVENTO="Manual",$M187=$A$15)),0,
         IF(OFFSET(CRONOPLE!$F$15,$M187-$A$15,BW$13)=0,10^12,OFFSET(CRONOPLE!$F$15,$M187-$A$15,BW$13)))</f>
        <v>5</v>
      </c>
      <c r="BX187" s="171">
        <f ca="1">IF(OR($D187&lt;&gt;"Serviço",AND(AUTOEVENTO="Manual",$M187=$A$15)),0,
         IF(OFFSET(CRONOPLE!$F$15,$M187-$A$15,BX$13)=0,10^12,OFFSET(CRONOPLE!$F$15,$M187-$A$15,BX$13)))</f>
        <v>6</v>
      </c>
      <c r="BY187" s="171">
        <f ca="1">IF(OR($D187&lt;&gt;"Serviço",AND(AUTOEVENTO="Manual",$M187=$A$15)),0,
         IF(OFFSET(CRONOPLE!$F$15,$M187-$A$15,BY$13)=0,10^12,OFFSET(CRONOPLE!$F$15,$M187-$A$15,BY$13)))</f>
        <v>7</v>
      </c>
      <c r="BZ187" s="171">
        <f ca="1">IF(OR($D187&lt;&gt;"Serviço",AND(AUTOEVENTO="Manual",$M187=$A$15)),0,
         IF(OFFSET(CRONOPLE!$F$15,$M187-$A$15,BZ$13)=0,10^12,OFFSET(CRONOPLE!$F$15,$M187-$A$15,BZ$13)))</f>
        <v>8</v>
      </c>
      <c r="CA187" s="171">
        <f ca="1">IF(OR($D187&lt;&gt;"Serviço",AND(AUTOEVENTO="Manual",$M187=$A$15)),0,
         IF(OFFSET(CRONOPLE!$F$15,$M187-$A$15,CA$13)=0,10^12,OFFSET(CRONOPLE!$F$15,$M187-$A$15,CA$13)))</f>
        <v>9</v>
      </c>
      <c r="CB187" s="171">
        <f ca="1">IF(OR($D187&lt;&gt;"Serviço",AND(AUTOEVENTO="Manual",$M187=$A$15)),0,
         IF(OFFSET(CRONOPLE!$F$15,$M187-$A$15,CB$13)=0,10^12,OFFSET(CRONOPLE!$F$15,$M187-$A$15,CB$13)))</f>
        <v>10</v>
      </c>
      <c r="CC187" s="171">
        <f ca="1">IF(OR($D187&lt;&gt;"Serviço",AND(AUTOEVENTO="Manual",$M187=$A$15)),0,
         IF(OFFSET(CRONOPLE!$F$15,$M187-$A$15,CC$13)=0,10^12,OFFSET(CRONOPLE!$F$15,$M187-$A$15,CC$13)))</f>
        <v>11</v>
      </c>
      <c r="CD187" s="171">
        <f ca="1">IF(OR($D187&lt;&gt;"Serviço",AND(AUTOEVENTO="Manual",$M187=$A$15)),0,
         IF(OFFSET(CRONOPLE!$F$15,$M187-$A$15,CD$13)=0,10^12,OFFSET(CRONOPLE!$F$15,$M187-$A$15,CD$13)))</f>
        <v>12</v>
      </c>
      <c r="CE187" s="171">
        <f ca="1">IF(OR($D187&lt;&gt;"Serviço",AND(AUTOEVENTO="Manual",$M187=$A$15)),0,
         IF(OFFSET(CRONOPLE!$F$15,$M187-$A$15,CE$13)=0,10^12,OFFSET(CRONOPLE!$F$15,$M187-$A$15,CE$13)))</f>
        <v>13</v>
      </c>
      <c r="CF187" s="171">
        <f ca="1">IF(OR($D187&lt;&gt;"Serviço",AND(AUTOEVENTO="Manual",$M187=$A$15)),0,
         IF(OFFSET(CRONOPLE!$F$15,$M187-$A$15,CF$13)=0,10^12,OFFSET(CRONOPLE!$F$15,$M187-$A$15,CF$13)))</f>
        <v>14</v>
      </c>
      <c r="CG187" s="171">
        <f ca="1">IF(OR($D187&lt;&gt;"Serviço",AND(AUTOEVENTO="Manual",$M187=$A$15)),0,
         IF(OFFSET(CRONOPLE!$F$15,$M187-$A$15,CG$13)=0,10^12,OFFSET(CRONOPLE!$F$15,$M187-$A$15,CG$13)))</f>
        <v>15</v>
      </c>
      <c r="CH187" s="171">
        <f ca="1">IF(OR($D187&lt;&gt;"Serviço",AND(AUTOEVENTO="Manual",$M187=$A$15)),0,
         IF(OFFSET(CRONOPLE!$F$15,$M187-$A$15,CH$13)=0,10^12,OFFSET(CRONOPLE!$F$15,$M187-$A$15,CH$13)))</f>
        <v>16</v>
      </c>
      <c r="CI187" s="171">
        <f ca="1">IF(OR($D187&lt;&gt;"Serviço",AND(AUTOEVENTO="Manual",$M187=$A$15)),0,
         IF(OFFSET(CRONOPLE!$F$15,$M187-$A$15,CI$13)=0,10^12,OFFSET(CRONOPLE!$F$15,$M187-$A$15,CI$13)))</f>
        <v>17</v>
      </c>
      <c r="CJ187" s="171">
        <f ca="1">IF(OR($D187&lt;&gt;"Serviço",AND(AUTOEVENTO="Manual",$M187=$A$15)),0,
         IF(OFFSET(CRONOPLE!$F$15,$M187-$A$15,CJ$13)=0,10^12,OFFSET(CRONOPLE!$F$15,$M187-$A$15,CJ$13)))</f>
        <v>18</v>
      </c>
      <c r="CK187" s="171">
        <f ca="1">IF(OR($D187&lt;&gt;"Serviço",AND(AUTOEVENTO="Manual",$M187=$A$15)),0,
         IF(OFFSET(CRONOPLE!$F$15,$M187-$A$15,CK$13)=0,10^12,OFFSET(CRONOPLE!$F$15,$M187-$A$15,CK$13)))</f>
        <v>19</v>
      </c>
      <c r="CL187" s="171">
        <f ca="1">IF(OR($D187&lt;&gt;"Serviço",AND(AUTOEVENTO="Manual",$M187=$A$15)),0,
         IF(OFFSET(CRONOPLE!$F$15,$M187-$A$15,CL$13)=0,10^12,OFFSET(CRONOPLE!$F$15,$M187-$A$15,CL$13)))</f>
        <v>20</v>
      </c>
      <c r="CM187" s="171">
        <f ca="1">IF(OR($D187&lt;&gt;"Serviço",AND(AUTOEVENTO="Manual",$M187=$A$15)),0,
         IF(OFFSET(CRONOPLE!$F$15,$M187-$A$15,CM$13)=0,10^12,OFFSET(CRONOPLE!$F$15,$M187-$A$15,CM$13)))</f>
        <v>1000000000000</v>
      </c>
      <c r="CN187" s="171">
        <f ca="1">IF(OR($D187&lt;&gt;"Serviço",AND(AUTOEVENTO="Manual",$M187=$A$15)),0,
         IF(OFFSET(CRONOPLE!$F$15,$M187-$A$15,CN$13)=0,10^12,OFFSET(CRONOPLE!$F$15,$M187-$A$15,CN$13)))</f>
        <v>1000000000000</v>
      </c>
      <c r="CO187" s="171">
        <f ca="1">IF(OR($D187&lt;&gt;"Serviço",AND(AUTOEVENTO="Manual",$M187=$A$15)),0,
         IF(OFFSET(CRONOPLE!$F$15,$M187-$A$15,CO$13)=0,10^12,OFFSET(CRONOPLE!$F$15,$M187-$A$15,CO$13)))</f>
        <v>1000000000000</v>
      </c>
      <c r="CP187" s="171">
        <f ca="1">IF(OR($D187&lt;&gt;"Serviço",AND(AUTOEVENTO="Manual",$M187=$A$15)),0,
         IF(OFFSET(CRONOPLE!$F$15,$M187-$A$15,CP$13)=0,10^12,OFFSET(CRONOPLE!$F$15,$M187-$A$15,CP$13)))</f>
        <v>1000000000000</v>
      </c>
      <c r="CQ187" s="171">
        <f ca="1">IF(OR($D187&lt;&gt;"Serviço",AND(AUTOEVENTO="Manual",$M187=$A$15)),0,
         IF(OFFSET(CRONOPLE!$F$15,$M187-$A$15,CQ$13)=0,10^12,OFFSET(CRONOPLE!$F$15,$M187-$A$15,CQ$13)))</f>
        <v>1000000000000</v>
      </c>
      <c r="CR187" s="171">
        <f ca="1">IF(OR($D187&lt;&gt;"Serviço",AND(AUTOEVENTO="Manual",$M187=$A$15)),0,
         IF(OFFSET(CRONOPLE!$F$15,$M187-$A$15,CR$13)=0,10^12,OFFSET(CRONOPLE!$F$15,$M187-$A$15,CR$13)))</f>
        <v>1000000000000</v>
      </c>
      <c r="CT187" s="172" cm="1">
        <f t="array" aca="1" ref="CT187" ca="1">IF(OR($D187&lt;&gt;"Serviço",AND(AUTOEVENTO="Manual",$M187=$A$15),$M187&gt;(ROW(PLE.lastrow)-ROW(PLE.firstrow))),0,
           IF(OFFSET(PLE!$G$15,$M187-$A$15,CT$13)="",10^12,OFFSET(PLE!$G$15,$M187-$A$15,CT$13)))</f>
        <v>1000000000000</v>
      </c>
      <c r="CU187" s="172" cm="1">
        <f t="array" aca="1" ref="CU187" ca="1">IF(OR($D187&lt;&gt;"Serviço",AND(AUTOEVENTO="Manual",$M187=$A$15),$M187&gt;(ROW(PLE.lastrow)-ROW(PLE.firstrow))),0,
           IF(OFFSET(PLE!$G$15,$M187-$A$15,CU$13)="",10^12,OFFSET(PLE!$G$15,$M187-$A$15,CU$13)))</f>
        <v>1000000000000</v>
      </c>
      <c r="CV187" s="172" cm="1">
        <f t="array" aca="1" ref="CV187" ca="1">IF(OR($D187&lt;&gt;"Serviço",AND(AUTOEVENTO="Manual",$M187=$A$15),$M187&gt;(ROW(PLE.lastrow)-ROW(PLE.firstrow))),0,
           IF(OFFSET(PLE!$G$15,$M187-$A$15,CV$13)="",10^12,OFFSET(PLE!$G$15,$M187-$A$15,CV$13)))</f>
        <v>1000000000000</v>
      </c>
      <c r="CW187" s="172" cm="1">
        <f t="array" aca="1" ref="CW187" ca="1">IF(OR($D187&lt;&gt;"Serviço",AND(AUTOEVENTO="Manual",$M187=$A$15),$M187&gt;(ROW(PLE.lastrow)-ROW(PLE.firstrow))),0,
           IF(OFFSET(PLE!$G$15,$M187-$A$15,CW$13)="",10^12,OFFSET(PLE!$G$15,$M187-$A$15,CW$13)))</f>
        <v>1000000000000</v>
      </c>
      <c r="CX187" s="172" cm="1">
        <f t="array" aca="1" ref="CX187" ca="1">IF(OR($D187&lt;&gt;"Serviço",AND(AUTOEVENTO="Manual",$M187=$A$15),$M187&gt;(ROW(PLE.lastrow)-ROW(PLE.firstrow))),0,
           IF(OFFSET(PLE!$G$15,$M187-$A$15,CX$13)="",10^12,OFFSET(PLE!$G$15,$M187-$A$15,CX$13)))</f>
        <v>1000000000000</v>
      </c>
      <c r="CY187" s="172" cm="1">
        <f t="array" aca="1" ref="CY187" ca="1">IF(OR($D187&lt;&gt;"Serviço",AND(AUTOEVENTO="Manual",$M187=$A$15),$M187&gt;(ROW(PLE.lastrow)-ROW(PLE.firstrow))),0,
           IF(OFFSET(PLE!$G$15,$M187-$A$15,CY$13)="",10^12,OFFSET(PLE!$G$15,$M187-$A$15,CY$13)))</f>
        <v>1000000000000</v>
      </c>
      <c r="CZ187" s="172" cm="1">
        <f t="array" aca="1" ref="CZ187" ca="1">IF(OR($D187&lt;&gt;"Serviço",AND(AUTOEVENTO="Manual",$M187=$A$15),$M187&gt;(ROW(PLE.lastrow)-ROW(PLE.firstrow))),0,
           IF(OFFSET(PLE!$G$15,$M187-$A$15,CZ$13)="",10^12,OFFSET(PLE!$G$15,$M187-$A$15,CZ$13)))</f>
        <v>1000000000000</v>
      </c>
      <c r="DA187" s="172" cm="1">
        <f t="array" aca="1" ref="DA187" ca="1">IF(OR($D187&lt;&gt;"Serviço",AND(AUTOEVENTO="Manual",$M187=$A$15),$M187&gt;(ROW(PLE.lastrow)-ROW(PLE.firstrow))),0,
           IF(OFFSET(PLE!$G$15,$M187-$A$15,DA$13)="",10^12,OFFSET(PLE!$G$15,$M187-$A$15,DA$13)))</f>
        <v>1000000000000</v>
      </c>
      <c r="DB187" s="172" cm="1">
        <f t="array" aca="1" ref="DB187" ca="1">IF(OR($D187&lt;&gt;"Serviço",AND(AUTOEVENTO="Manual",$M187=$A$15),$M187&gt;(ROW(PLE.lastrow)-ROW(PLE.firstrow))),0,
           IF(OFFSET(PLE!$G$15,$M187-$A$15,DB$13)="",10^12,OFFSET(PLE!$G$15,$M187-$A$15,DB$13)))</f>
        <v>1000000000000</v>
      </c>
      <c r="DC187" s="172" cm="1">
        <f t="array" aca="1" ref="DC187" ca="1">IF(OR($D187&lt;&gt;"Serviço",AND(AUTOEVENTO="Manual",$M187=$A$15),$M187&gt;(ROW(PLE.lastrow)-ROW(PLE.firstrow))),0,
           IF(OFFSET(PLE!$G$15,$M187-$A$15,DC$13)="",10^12,OFFSET(PLE!$G$15,$M187-$A$15,DC$13)))</f>
        <v>1000000000000</v>
      </c>
      <c r="DD187" s="172" cm="1">
        <f t="array" aca="1" ref="DD187" ca="1">IF(OR($D187&lt;&gt;"Serviço",AND(AUTOEVENTO="Manual",$M187=$A$15),$M187&gt;(ROW(PLE.lastrow)-ROW(PLE.firstrow))),0,
           IF(OFFSET(PLE!$G$15,$M187-$A$15,DD$13)="",10^12,OFFSET(PLE!$G$15,$M187-$A$15,DD$13)))</f>
        <v>1000000000000</v>
      </c>
      <c r="DE187" s="172" cm="1">
        <f t="array" aca="1" ref="DE187" ca="1">IF(OR($D187&lt;&gt;"Serviço",AND(AUTOEVENTO="Manual",$M187=$A$15),$M187&gt;(ROW(PLE.lastrow)-ROW(PLE.firstrow))),0,
           IF(OFFSET(PLE!$G$15,$M187-$A$15,DE$13)="",10^12,OFFSET(PLE!$G$15,$M187-$A$15,DE$13)))</f>
        <v>1000000000000</v>
      </c>
      <c r="DF187" s="172" cm="1">
        <f t="array" aca="1" ref="DF187" ca="1">IF(OR($D187&lt;&gt;"Serviço",AND(AUTOEVENTO="Manual",$M187=$A$15),$M187&gt;(ROW(PLE.lastrow)-ROW(PLE.firstrow))),0,
           IF(OFFSET(PLE!$G$15,$M187-$A$15,DF$13)="",10^12,OFFSET(PLE!$G$15,$M187-$A$15,DF$13)))</f>
        <v>1000000000000</v>
      </c>
      <c r="DG187" s="172" cm="1">
        <f t="array" aca="1" ref="DG187" ca="1">IF(OR($D187&lt;&gt;"Serviço",AND(AUTOEVENTO="Manual",$M187=$A$15),$M187&gt;(ROW(PLE.lastrow)-ROW(PLE.firstrow))),0,
           IF(OFFSET(PLE!$G$15,$M187-$A$15,DG$13)="",10^12,OFFSET(PLE!$G$15,$M187-$A$15,DG$13)))</f>
        <v>1000000000000</v>
      </c>
      <c r="DH187" s="172" cm="1">
        <f t="array" aca="1" ref="DH187" ca="1">IF(OR($D187&lt;&gt;"Serviço",AND(AUTOEVENTO="Manual",$M187=$A$15),$M187&gt;(ROW(PLE.lastrow)-ROW(PLE.firstrow))),0,
           IF(OFFSET(PLE!$G$15,$M187-$A$15,DH$13)="",10^12,OFFSET(PLE!$G$15,$M187-$A$15,DH$13)))</f>
        <v>1000000000000</v>
      </c>
      <c r="DI187" s="172" cm="1">
        <f t="array" aca="1" ref="DI187" ca="1">IF(OR($D187&lt;&gt;"Serviço",AND(AUTOEVENTO="Manual",$M187=$A$15),$M187&gt;(ROW(PLE.lastrow)-ROW(PLE.firstrow))),0,
           IF(OFFSET(PLE!$G$15,$M187-$A$15,DI$13)="",10^12,OFFSET(PLE!$G$15,$M187-$A$15,DI$13)))</f>
        <v>1000000000000</v>
      </c>
      <c r="DJ187" s="172" cm="1">
        <f t="array" aca="1" ref="DJ187" ca="1">IF(OR($D187&lt;&gt;"Serviço",AND(AUTOEVENTO="Manual",$M187=$A$15),$M187&gt;(ROW(PLE.lastrow)-ROW(PLE.firstrow))),0,
           IF(OFFSET(PLE!$G$15,$M187-$A$15,DJ$13)="",10^12,OFFSET(PLE!$G$15,$M187-$A$15,DJ$13)))</f>
        <v>1000000000000</v>
      </c>
      <c r="DK187" s="172" cm="1">
        <f t="array" aca="1" ref="DK187" ca="1">IF(OR($D187&lt;&gt;"Serviço",AND(AUTOEVENTO="Manual",$M187=$A$15),$M187&gt;(ROW(PLE.lastrow)-ROW(PLE.firstrow))),0,
           IF(OFFSET(PLE!$G$15,$M187-$A$15,DK$13)="",10^12,OFFSET(PLE!$G$15,$M187-$A$15,DK$13)))</f>
        <v>1000000000000</v>
      </c>
      <c r="DL187" s="172" cm="1">
        <f t="array" aca="1" ref="DL187" ca="1">IF(OR($D187&lt;&gt;"Serviço",AND(AUTOEVENTO="Manual",$M187=$A$15),$M187&gt;(ROW(PLE.lastrow)-ROW(PLE.firstrow))),0,
           IF(OFFSET(PLE!$G$15,$M187-$A$15,DL$13)="",10^12,OFFSET(PLE!$G$15,$M187-$A$15,DL$13)))</f>
        <v>1000000000000</v>
      </c>
      <c r="DM187" s="172" cm="1">
        <f t="array" aca="1" ref="DM187" ca="1">IF(OR($D187&lt;&gt;"Serviço",AND(AUTOEVENTO="Manual",$M187=$A$15),$M187&gt;(ROW(PLE.lastrow)-ROW(PLE.firstrow))),0,
           IF(OFFSET(PLE!$G$15,$M187-$A$15,DM$13)="",10^12,OFFSET(PLE!$G$15,$M187-$A$15,DM$13)))</f>
        <v>1000000000000</v>
      </c>
      <c r="DN187" s="172" cm="1">
        <f t="array" aca="1" ref="DN187" ca="1">IF(OR($D187&lt;&gt;"Serviço",AND(AUTOEVENTO="Manual",$M187=$A$15),$M187&gt;(ROW(PLE.lastrow)-ROW(PLE.firstrow))),0,
           IF(OFFSET(PLE!$G$15,$M187-$A$15,DN$13)="",10^12,OFFSET(PLE!$G$15,$M187-$A$15,DN$13)))</f>
        <v>1000000000000</v>
      </c>
      <c r="DO187" s="172" cm="1">
        <f t="array" aca="1" ref="DO187" ca="1">IF(OR($D187&lt;&gt;"Serviço",AND(AUTOEVENTO="Manual",$M187=$A$15),$M187&gt;(ROW(PLE.lastrow)-ROW(PLE.firstrow))),0,
           IF(OFFSET(PLE!$G$15,$M187-$A$15,DO$13)="",10^12,OFFSET(PLE!$G$15,$M187-$A$15,DO$13)))</f>
        <v>1000000000000</v>
      </c>
      <c r="DP187" s="172" cm="1">
        <f t="array" aca="1" ref="DP187" ca="1">IF(OR($D187&lt;&gt;"Serviço",AND(AUTOEVENTO="Manual",$M187=$A$15),$M187&gt;(ROW(PLE.lastrow)-ROW(PLE.firstrow))),0,
           IF(OFFSET(PLE!$G$15,$M187-$A$15,DP$13)="",10^12,OFFSET(PLE!$G$15,$M187-$A$15,DP$13)))</f>
        <v>1000000000000</v>
      </c>
      <c r="DQ187" s="172" cm="1">
        <f t="array" aca="1" ref="DQ187" ca="1">IF(OR($D187&lt;&gt;"Serviço",AND(AUTOEVENTO="Manual",$M187=$A$15),$M187&gt;(ROW(PLE.lastrow)-ROW(PLE.firstrow))),0,
           IF(OFFSET(PLE!$G$15,$M187-$A$15,DQ$13)="",10^12,OFFSET(PLE!$G$15,$M187-$A$15,DQ$13)))</f>
        <v>1000000000000</v>
      </c>
      <c r="DR187" s="172" cm="1">
        <f t="array" aca="1" ref="DR187" ca="1">IF(OR($D187&lt;&gt;"Serviço",AND(AUTOEVENTO="Manual",$M187=$A$15),$M187&gt;(ROW(PLE.lastrow)-ROW(PLE.firstrow))),0,
           IF(OFFSET(PLE!$G$15,$M187-$A$15,DR$13)="",10^12,OFFSET(PLE!$G$15,$M187-$A$15,DR$13)))</f>
        <v>1000000000000</v>
      </c>
      <c r="DS187" s="172" cm="1">
        <f t="array" aca="1" ref="DS187" ca="1">IF(OR($D187&lt;&gt;"Serviço",AND(AUTOEVENTO="Manual",$M187=$A$15),$M187&gt;(ROW(PLE.lastrow)-ROW(PLE.firstrow))),0,
           IF(OFFSET(PLE!$G$15,$M187-$A$15,DS$13)="",10^12,OFFSET(PLE!$G$15,$M187-$A$15,DS$13)))</f>
        <v>1000000000000</v>
      </c>
    </row>
    <row r="188" spans="1:123" ht="12.75" x14ac:dyDescent="0.2">
      <c r="A188" s="7">
        <f t="shared" ca="1" si="18"/>
        <v>0</v>
      </c>
      <c r="B188" s="7">
        <f ca="1">OFFSET(ORÇAMENTO!C$15,$L188,0)</f>
        <v>3</v>
      </c>
      <c r="C188" s="7" t="str">
        <f ca="1">OFFSET(ORÇAMENTO!L$15,$L188,0)</f>
        <v>F</v>
      </c>
      <c r="D188" s="116" t="str">
        <f ca="1">OFFSET(ORÇAMENTO!N$15,$L188,0)</f>
        <v>Nível 3</v>
      </c>
      <c r="E188" s="117" t="str">
        <f ca="1">OFFSET(ORÇAMENTO!O$15,$L188,0)</f>
        <v>9.2.4.</v>
      </c>
      <c r="F188" s="163" t="str">
        <f ca="1">OFFSET(ORÇAMENTO!R$15,$L188,0)</f>
        <v>CAIXA D'ÁGUA E BARRILETE</v>
      </c>
      <c r="G188" s="164" t="str">
        <f ca="1">IF($D188&lt;&gt;"Serviço","",OFFSET(ORÇAMENTO!S$15,$L188,0))</f>
        <v/>
      </c>
      <c r="H188" s="122" cm="1">
        <f t="array" aca="1" ref="H188" ca="1">IF($D188&lt;&gt;"Serviço",0,IF(ACOMPANHAMENTO="BM",ROUND(OFFSET(ORÇAMENTO!AJ$15,$L188,0),15-13*ORÇAMENTO!$AF$7),IF(IFERROR(CÁLCULO.FrentesPreenchidas,0)=0,0,SUM(ROUND(OFFSET($P188,0,1,1,CÁLCULO.FrentesPreenchidas),15-13*ORÇAMENTO!$AF$7)))))</f>
        <v>0</v>
      </c>
      <c r="I188" s="468"/>
      <c r="J188" s="651" t="str" cm="1">
        <f t="array" aca="1" ref="J188" ca="1">IF(OR(B188&lt;&gt;"S",CÁLCULO.FrentesPreenchidas=0),"",IF(AND(ACOMPANHAMENTO="PLE",AUTOEVENTO="Manual",OR(H188&gt;0,ORÇAMENTO!AC188="QUANT."),OR(K188="",M188=0,N188="")),"►E",IF(AND(ACOMPANHAMENTO="PLE",ORÇAMENTO!AC188="QUANT."),"►Q",IF(AND(ACOMPANHAMENTO="PLE",H188&lt;&gt;SUMPRODUCT(($Q$1:$AQ$1=1)*ROUND(Q188:AQ188,15))),"►S",IF(AND(COUNTIF($P$11:$AQ$11,"▼")=0,H188&gt;0,I188=""),"◄M","")))))</f>
        <v/>
      </c>
      <c r="K188" s="652"/>
      <c r="L188" s="165">
        <f t="shared" ca="1" si="17"/>
        <v>173</v>
      </c>
      <c r="M188" s="166" t="str">
        <f ca="1">IF($D188&lt;&gt;"Serviço","",
          IF(AUTOEVENTO="manual",$A188,
                IF(ISERROR(MATCH($A188,$A$15:OFFSET($A188,-1,0),0)),MAX($M$15:OFFSET(M188,-1,0))+1,
                      INDEX($M$15:OFFSET(M188,-1,0),MATCH($A188,$A$15:OFFSET($A188,-1,0),0)))))</f>
        <v/>
      </c>
      <c r="N188" s="167" t="str">
        <f ca="1">IF($D188&lt;&gt;"Serviço","",
         IF(AUTOEVENTO="Manual",
                IF($A188=0,"&lt;-- defina o número do agrupador",
                       OFFSET(EVENTOS!$D$15,$A188-$A$15,0)),
                OFFSET($F$15,$A188,0)))</f>
        <v/>
      </c>
      <c r="O188" s="168"/>
      <c r="Q188" s="168"/>
      <c r="R188" s="169"/>
      <c r="S188" s="169"/>
      <c r="T188" s="169"/>
      <c r="U188" s="169"/>
      <c r="V188" s="169"/>
      <c r="W188" s="169"/>
      <c r="X188" s="169"/>
      <c r="Y188" s="169"/>
      <c r="Z188" s="170"/>
      <c r="AA188" s="169"/>
      <c r="AB188" s="169"/>
      <c r="AC188" s="169"/>
      <c r="AD188" s="169"/>
      <c r="AE188" s="169"/>
      <c r="AF188" s="169"/>
      <c r="AG188" s="169"/>
      <c r="AH188" s="170"/>
      <c r="AI188" s="169"/>
      <c r="AJ188" s="169"/>
      <c r="AK188" s="169"/>
      <c r="AL188" s="169"/>
      <c r="AM188" s="169"/>
      <c r="AN188" s="169"/>
      <c r="AO188" s="169"/>
      <c r="AP188" s="170"/>
      <c r="AR188" s="453">
        <f ca="1">IF(AND($D188="Serviço",AR$12&lt;&gt;0,$H188&gt;0,OR(AUTOEVENTO&lt;&gt;"manual",$M188&lt;&gt;$A$15)),
        IF(Import.TipoArredondamento&lt;&gt;"TransfereGOV",
              ROUND(OFFSET($P188,0,AR$13),15-13*ORÇAMENTO!$AF$7)/$H188*OFFSET(ORÇAMENTO!$X$15,ROW(AR188)-ROW(AR$15),0),
              ROUND(ROUND(OFFSET($P188,0,AR$13),15-13*ORÇAMENTO!$AF$7)*OFFSET(ORÇAMENTO!$W$15,ROW(AR188)-ROW(AR$15),0),15-13*ORÇAMENTO!$AF$11)),
         0)</f>
        <v>0</v>
      </c>
      <c r="AS188" s="453">
        <f ca="1">IF(AND($D188="Serviço",AS$12&lt;&gt;0,$H188&gt;0,OR(AUTOEVENTO&lt;&gt;"manual",$M188&lt;&gt;$A$15)),
        IF(Import.TipoArredondamento&lt;&gt;"TransfereGOV",
              ROUND(OFFSET($P188,0,AS$13),15-13*ORÇAMENTO!$AF$7)/$H188*OFFSET(ORÇAMENTO!$X$15,ROW(AS188)-ROW(AS$15),0),
              ROUND(ROUND(OFFSET($P188,0,AS$13),15-13*ORÇAMENTO!$AF$7)*OFFSET(ORÇAMENTO!$W$15,ROW(AS188)-ROW(AS$15),0),15-13*ORÇAMENTO!$AF$11)),
         0)</f>
        <v>0</v>
      </c>
      <c r="AT188" s="453">
        <f ca="1">IF(AND($D188="Serviço",AT$12&lt;&gt;0,$H188&gt;0,OR(AUTOEVENTO&lt;&gt;"manual",$M188&lt;&gt;$A$15)),
        IF(Import.TipoArredondamento&lt;&gt;"TransfereGOV",
              ROUND(OFFSET($P188,0,AT$13),15-13*ORÇAMENTO!$AF$7)/$H188*OFFSET(ORÇAMENTO!$X$15,ROW(AT188)-ROW(AT$15),0),
              ROUND(ROUND(OFFSET($P188,0,AT$13),15-13*ORÇAMENTO!$AF$7)*OFFSET(ORÇAMENTO!$W$15,ROW(AT188)-ROW(AT$15),0),15-13*ORÇAMENTO!$AF$11)),
         0)</f>
        <v>0</v>
      </c>
      <c r="AU188" s="453">
        <f ca="1">IF(AND($D188="Serviço",AU$12&lt;&gt;0,$H188&gt;0,OR(AUTOEVENTO&lt;&gt;"manual",$M188&lt;&gt;$A$15)),
        IF(Import.TipoArredondamento&lt;&gt;"TransfereGOV",
              ROUND(OFFSET($P188,0,AU$13),15-13*ORÇAMENTO!$AF$7)/$H188*OFFSET(ORÇAMENTO!$X$15,ROW(AU188)-ROW(AU$15),0),
              ROUND(ROUND(OFFSET($P188,0,AU$13),15-13*ORÇAMENTO!$AF$7)*OFFSET(ORÇAMENTO!$W$15,ROW(AU188)-ROW(AU$15),0),15-13*ORÇAMENTO!$AF$11)),
         0)</f>
        <v>0</v>
      </c>
      <c r="AV188" s="453">
        <f ca="1">IF(AND($D188="Serviço",AV$12&lt;&gt;0,$H188&gt;0,OR(AUTOEVENTO&lt;&gt;"manual",$M188&lt;&gt;$A$15)),
        IF(Import.TipoArredondamento&lt;&gt;"TransfereGOV",
              ROUND(OFFSET($P188,0,AV$13),15-13*ORÇAMENTO!$AF$7)/$H188*OFFSET(ORÇAMENTO!$X$15,ROW(AV188)-ROW(AV$15),0),
              ROUND(ROUND(OFFSET($P188,0,AV$13),15-13*ORÇAMENTO!$AF$7)*OFFSET(ORÇAMENTO!$W$15,ROW(AV188)-ROW(AV$15),0),15-13*ORÇAMENTO!$AF$11)),
         0)</f>
        <v>0</v>
      </c>
      <c r="AW188" s="453">
        <f ca="1">IF(AND($D188="Serviço",AW$12&lt;&gt;0,$H188&gt;0,OR(AUTOEVENTO&lt;&gt;"manual",$M188&lt;&gt;$A$15)),
        IF(Import.TipoArredondamento&lt;&gt;"TransfereGOV",
              ROUND(OFFSET($P188,0,AW$13),15-13*ORÇAMENTO!$AF$7)/$H188*OFFSET(ORÇAMENTO!$X$15,ROW(AW188)-ROW(AW$15),0),
              ROUND(ROUND(OFFSET($P188,0,AW$13),15-13*ORÇAMENTO!$AF$7)*OFFSET(ORÇAMENTO!$W$15,ROW(AW188)-ROW(AW$15),0),15-13*ORÇAMENTO!$AF$11)),
         0)</f>
        <v>0</v>
      </c>
      <c r="AX188" s="453">
        <f ca="1">IF(AND($D188="Serviço",AX$12&lt;&gt;0,$H188&gt;0,OR(AUTOEVENTO&lt;&gt;"manual",$M188&lt;&gt;$A$15)),
        IF(Import.TipoArredondamento&lt;&gt;"TransfereGOV",
              ROUND(OFFSET($P188,0,AX$13),15-13*ORÇAMENTO!$AF$7)/$H188*OFFSET(ORÇAMENTO!$X$15,ROW(AX188)-ROW(AX$15),0),
              ROUND(ROUND(OFFSET($P188,0,AX$13),15-13*ORÇAMENTO!$AF$7)*OFFSET(ORÇAMENTO!$W$15,ROW(AX188)-ROW(AX$15),0),15-13*ORÇAMENTO!$AF$11)),
         0)</f>
        <v>0</v>
      </c>
      <c r="AY188" s="453">
        <f ca="1">IF(AND($D188="Serviço",AY$12&lt;&gt;0,$H188&gt;0,OR(AUTOEVENTO&lt;&gt;"manual",$M188&lt;&gt;$A$15)),
        IF(Import.TipoArredondamento&lt;&gt;"TransfereGOV",
              ROUND(OFFSET($P188,0,AY$13),15-13*ORÇAMENTO!$AF$7)/$H188*OFFSET(ORÇAMENTO!$X$15,ROW(AY188)-ROW(AY$15),0),
              ROUND(ROUND(OFFSET($P188,0,AY$13),15-13*ORÇAMENTO!$AF$7)*OFFSET(ORÇAMENTO!$W$15,ROW(AY188)-ROW(AY$15),0),15-13*ORÇAMENTO!$AF$11)),
         0)</f>
        <v>0</v>
      </c>
      <c r="AZ188" s="453">
        <f ca="1">IF(AND($D188="Serviço",AZ$12&lt;&gt;0,$H188&gt;0,OR(AUTOEVENTO&lt;&gt;"manual",$M188&lt;&gt;$A$15)),
        IF(Import.TipoArredondamento&lt;&gt;"TransfereGOV",
              ROUND(OFFSET($P188,0,AZ$13),15-13*ORÇAMENTO!$AF$7)/$H188*OFFSET(ORÇAMENTO!$X$15,ROW(AZ188)-ROW(AZ$15),0),
              ROUND(ROUND(OFFSET($P188,0,AZ$13),15-13*ORÇAMENTO!$AF$7)*OFFSET(ORÇAMENTO!$W$15,ROW(AZ188)-ROW(AZ$15),0),15-13*ORÇAMENTO!$AF$11)),
         0)</f>
        <v>0</v>
      </c>
      <c r="BA188" s="453">
        <f ca="1">IF(AND($D188="Serviço",BA$12&lt;&gt;0,$H188&gt;0,OR(AUTOEVENTO&lt;&gt;"manual",$M188&lt;&gt;$A$15)),
        IF(Import.TipoArredondamento&lt;&gt;"TransfereGOV",
              ROUND(OFFSET($P188,0,BA$13),15-13*ORÇAMENTO!$AF$7)/$H188*OFFSET(ORÇAMENTO!$X$15,ROW(BA188)-ROW(BA$15),0),
              ROUND(ROUND(OFFSET($P188,0,BA$13),15-13*ORÇAMENTO!$AF$7)*OFFSET(ORÇAMENTO!$W$15,ROW(BA188)-ROW(BA$15),0),15-13*ORÇAMENTO!$AF$11)),
         0)</f>
        <v>0</v>
      </c>
      <c r="BB188" s="453">
        <f ca="1">IF(AND($D188="Serviço",BB$12&lt;&gt;0,$H188&gt;0,OR(AUTOEVENTO&lt;&gt;"manual",$M188&lt;&gt;$A$15)),
        IF(Import.TipoArredondamento&lt;&gt;"TransfereGOV",
              ROUND(OFFSET($P188,0,BB$13),15-13*ORÇAMENTO!$AF$7)/$H188*OFFSET(ORÇAMENTO!$X$15,ROW(BB188)-ROW(BB$15),0),
              ROUND(ROUND(OFFSET($P188,0,BB$13),15-13*ORÇAMENTO!$AF$7)*OFFSET(ORÇAMENTO!$W$15,ROW(BB188)-ROW(BB$15),0),15-13*ORÇAMENTO!$AF$11)),
         0)</f>
        <v>0</v>
      </c>
      <c r="BC188" s="453">
        <f ca="1">IF(AND($D188="Serviço",BC$12&lt;&gt;0,$H188&gt;0,OR(AUTOEVENTO&lt;&gt;"manual",$M188&lt;&gt;$A$15)),
        IF(Import.TipoArredondamento&lt;&gt;"TransfereGOV",
              ROUND(OFFSET($P188,0,BC$13),15-13*ORÇAMENTO!$AF$7)/$H188*OFFSET(ORÇAMENTO!$X$15,ROW(BC188)-ROW(BC$15),0),
              ROUND(ROUND(OFFSET($P188,0,BC$13),15-13*ORÇAMENTO!$AF$7)*OFFSET(ORÇAMENTO!$W$15,ROW(BC188)-ROW(BC$15),0),15-13*ORÇAMENTO!$AF$11)),
         0)</f>
        <v>0</v>
      </c>
      <c r="BD188" s="453">
        <f ca="1">IF(AND($D188="Serviço",BD$12&lt;&gt;0,$H188&gt;0,OR(AUTOEVENTO&lt;&gt;"manual",$M188&lt;&gt;$A$15)),
        IF(Import.TipoArredondamento&lt;&gt;"TransfereGOV",
              ROUND(OFFSET($P188,0,BD$13),15-13*ORÇAMENTO!$AF$7)/$H188*OFFSET(ORÇAMENTO!$X$15,ROW(BD188)-ROW(BD$15),0),
              ROUND(ROUND(OFFSET($P188,0,BD$13),15-13*ORÇAMENTO!$AF$7)*OFFSET(ORÇAMENTO!$W$15,ROW(BD188)-ROW(BD$15),0),15-13*ORÇAMENTO!$AF$11)),
         0)</f>
        <v>0</v>
      </c>
      <c r="BE188" s="453">
        <f ca="1">IF(AND($D188="Serviço",BE$12&lt;&gt;0,$H188&gt;0,OR(AUTOEVENTO&lt;&gt;"manual",$M188&lt;&gt;$A$15)),
        IF(Import.TipoArredondamento&lt;&gt;"TransfereGOV",
              ROUND(OFFSET($P188,0,BE$13),15-13*ORÇAMENTO!$AF$7)/$H188*OFFSET(ORÇAMENTO!$X$15,ROW(BE188)-ROW(BE$15),0),
              ROUND(ROUND(OFFSET($P188,0,BE$13),15-13*ORÇAMENTO!$AF$7)*OFFSET(ORÇAMENTO!$W$15,ROW(BE188)-ROW(BE$15),0),15-13*ORÇAMENTO!$AF$11)),
         0)</f>
        <v>0</v>
      </c>
      <c r="BF188" s="453">
        <f ca="1">IF(AND($D188="Serviço",BF$12&lt;&gt;0,$H188&gt;0,OR(AUTOEVENTO&lt;&gt;"manual",$M188&lt;&gt;$A$15)),
        IF(Import.TipoArredondamento&lt;&gt;"TransfereGOV",
              ROUND(OFFSET($P188,0,BF$13),15-13*ORÇAMENTO!$AF$7)/$H188*OFFSET(ORÇAMENTO!$X$15,ROW(BF188)-ROW(BF$15),0),
              ROUND(ROUND(OFFSET($P188,0,BF$13),15-13*ORÇAMENTO!$AF$7)*OFFSET(ORÇAMENTO!$W$15,ROW(BF188)-ROW(BF$15),0),15-13*ORÇAMENTO!$AF$11)),
         0)</f>
        <v>0</v>
      </c>
      <c r="BG188" s="453">
        <f ca="1">IF(AND($D188="Serviço",BG$12&lt;&gt;0,$H188&gt;0,OR(AUTOEVENTO&lt;&gt;"manual",$M188&lt;&gt;$A$15)),
        IF(Import.TipoArredondamento&lt;&gt;"TransfereGOV",
              ROUND(OFFSET($P188,0,BG$13),15-13*ORÇAMENTO!$AF$7)/$H188*OFFSET(ORÇAMENTO!$X$15,ROW(BG188)-ROW(BG$15),0),
              ROUND(ROUND(OFFSET($P188,0,BG$13),15-13*ORÇAMENTO!$AF$7)*OFFSET(ORÇAMENTO!$W$15,ROW(BG188)-ROW(BG$15),0),15-13*ORÇAMENTO!$AF$11)),
         0)</f>
        <v>0</v>
      </c>
      <c r="BH188" s="453">
        <f ca="1">IF(AND($D188="Serviço",BH$12&lt;&gt;0,$H188&gt;0,OR(AUTOEVENTO&lt;&gt;"manual",$M188&lt;&gt;$A$15)),
        IF(Import.TipoArredondamento&lt;&gt;"TransfereGOV",
              ROUND(OFFSET($P188,0,BH$13),15-13*ORÇAMENTO!$AF$7)/$H188*OFFSET(ORÇAMENTO!$X$15,ROW(BH188)-ROW(BH$15),0),
              ROUND(ROUND(OFFSET($P188,0,BH$13),15-13*ORÇAMENTO!$AF$7)*OFFSET(ORÇAMENTO!$W$15,ROW(BH188)-ROW(BH$15),0),15-13*ORÇAMENTO!$AF$11)),
         0)</f>
        <v>0</v>
      </c>
      <c r="BI188" s="453">
        <f ca="1">IF(AND($D188="Serviço",BI$12&lt;&gt;0,$H188&gt;0,OR(AUTOEVENTO&lt;&gt;"manual",$M188&lt;&gt;$A$15)),
        IF(Import.TipoArredondamento&lt;&gt;"TransfereGOV",
              ROUND(OFFSET($P188,0,BI$13),15-13*ORÇAMENTO!$AF$7)/$H188*OFFSET(ORÇAMENTO!$X$15,ROW(BI188)-ROW(BI$15),0),
              ROUND(ROUND(OFFSET($P188,0,BI$13),15-13*ORÇAMENTO!$AF$7)*OFFSET(ORÇAMENTO!$W$15,ROW(BI188)-ROW(BI$15),0),15-13*ORÇAMENTO!$AF$11)),
         0)</f>
        <v>0</v>
      </c>
      <c r="BJ188" s="453">
        <f ca="1">IF(AND($D188="Serviço",BJ$12&lt;&gt;0,$H188&gt;0,OR(AUTOEVENTO&lt;&gt;"manual",$M188&lt;&gt;$A$15)),
        IF(Import.TipoArredondamento&lt;&gt;"TransfereGOV",
              ROUND(OFFSET($P188,0,BJ$13),15-13*ORÇAMENTO!$AF$7)/$H188*OFFSET(ORÇAMENTO!$X$15,ROW(BJ188)-ROW(BJ$15),0),
              ROUND(ROUND(OFFSET($P188,0,BJ$13),15-13*ORÇAMENTO!$AF$7)*OFFSET(ORÇAMENTO!$W$15,ROW(BJ188)-ROW(BJ$15),0),15-13*ORÇAMENTO!$AF$11)),
         0)</f>
        <v>0</v>
      </c>
      <c r="BK188" s="453">
        <f ca="1">IF(AND($D188="Serviço",BK$12&lt;&gt;0,$H188&gt;0,OR(AUTOEVENTO&lt;&gt;"manual",$M188&lt;&gt;$A$15)),
        IF(Import.TipoArredondamento&lt;&gt;"TransfereGOV",
              ROUND(OFFSET($P188,0,BK$13),15-13*ORÇAMENTO!$AF$7)/$H188*OFFSET(ORÇAMENTO!$X$15,ROW(BK188)-ROW(BK$15),0),
              ROUND(ROUND(OFFSET($P188,0,BK$13),15-13*ORÇAMENTO!$AF$7)*OFFSET(ORÇAMENTO!$W$15,ROW(BK188)-ROW(BK$15),0),15-13*ORÇAMENTO!$AF$11)),
         0)</f>
        <v>0</v>
      </c>
      <c r="BL188" s="453">
        <f ca="1">IF(AND($D188="Serviço",BL$12&lt;&gt;0,$H188&gt;0,OR(AUTOEVENTO&lt;&gt;"manual",$M188&lt;&gt;$A$15)),
        IF(Import.TipoArredondamento&lt;&gt;"TransfereGOV",
              ROUND(OFFSET($P188,0,BL$13),15-13*ORÇAMENTO!$AF$7)/$H188*OFFSET(ORÇAMENTO!$X$15,ROW(BL188)-ROW(BL$15),0),
              ROUND(ROUND(OFFSET($P188,0,BL$13),15-13*ORÇAMENTO!$AF$7)*OFFSET(ORÇAMENTO!$W$15,ROW(BL188)-ROW(BL$15),0),15-13*ORÇAMENTO!$AF$11)),
         0)</f>
        <v>0</v>
      </c>
      <c r="BM188" s="453">
        <f ca="1">IF(AND($D188="Serviço",BM$12&lt;&gt;0,$H188&gt;0,OR(AUTOEVENTO&lt;&gt;"manual",$M188&lt;&gt;$A$15)),
        IF(Import.TipoArredondamento&lt;&gt;"TransfereGOV",
              ROUND(OFFSET($P188,0,BM$13),15-13*ORÇAMENTO!$AF$7)/$H188*OFFSET(ORÇAMENTO!$X$15,ROW(BM188)-ROW(BM$15),0),
              ROUND(ROUND(OFFSET($P188,0,BM$13),15-13*ORÇAMENTO!$AF$7)*OFFSET(ORÇAMENTO!$W$15,ROW(BM188)-ROW(BM$15),0),15-13*ORÇAMENTO!$AF$11)),
         0)</f>
        <v>0</v>
      </c>
      <c r="BN188" s="453">
        <f ca="1">IF(AND($D188="Serviço",BN$12&lt;&gt;0,$H188&gt;0,OR(AUTOEVENTO&lt;&gt;"manual",$M188&lt;&gt;$A$15)),
        IF(Import.TipoArredondamento&lt;&gt;"TransfereGOV",
              ROUND(OFFSET($P188,0,BN$13),15-13*ORÇAMENTO!$AF$7)/$H188*OFFSET(ORÇAMENTO!$X$15,ROW(BN188)-ROW(BN$15),0),
              ROUND(ROUND(OFFSET($P188,0,BN$13),15-13*ORÇAMENTO!$AF$7)*OFFSET(ORÇAMENTO!$W$15,ROW(BN188)-ROW(BN$15),0),15-13*ORÇAMENTO!$AF$11)),
         0)</f>
        <v>0</v>
      </c>
      <c r="BO188" s="453">
        <f ca="1">IF(AND($D188="Serviço",BO$12&lt;&gt;0,$H188&gt;0,OR(AUTOEVENTO&lt;&gt;"manual",$M188&lt;&gt;$A$15)),
        IF(Import.TipoArredondamento&lt;&gt;"TransfereGOV",
              ROUND(OFFSET($P188,0,BO$13),15-13*ORÇAMENTO!$AF$7)/$H188*OFFSET(ORÇAMENTO!$X$15,ROW(BO188)-ROW(BO$15),0),
              ROUND(ROUND(OFFSET($P188,0,BO$13),15-13*ORÇAMENTO!$AF$7)*OFFSET(ORÇAMENTO!$W$15,ROW(BO188)-ROW(BO$15),0),15-13*ORÇAMENTO!$AF$11)),
         0)</f>
        <v>0</v>
      </c>
      <c r="BP188" s="453">
        <f ca="1">IF(AND($D188="Serviço",BP$12&lt;&gt;0,$H188&gt;0,OR(AUTOEVENTO&lt;&gt;"manual",$M188&lt;&gt;$A$15)),
        IF(Import.TipoArredondamento&lt;&gt;"TransfereGOV",
              ROUND(OFFSET($P188,0,BP$13),15-13*ORÇAMENTO!$AF$7)/$H188*OFFSET(ORÇAMENTO!$X$15,ROW(BP188)-ROW(BP$15),0),
              ROUND(ROUND(OFFSET($P188,0,BP$13),15-13*ORÇAMENTO!$AF$7)*OFFSET(ORÇAMENTO!$W$15,ROW(BP188)-ROW(BP$15),0),15-13*ORÇAMENTO!$AF$11)),
         0)</f>
        <v>0</v>
      </c>
      <c r="BQ188" s="453">
        <f ca="1">IF(AND($D188="Serviço",BQ$12&lt;&gt;0,$H188&gt;0,OR(AUTOEVENTO&lt;&gt;"manual",$M188&lt;&gt;$A$15)),
        IF(Import.TipoArredondamento&lt;&gt;"TransfereGOV",
              ROUND(OFFSET($P188,0,BQ$13),15-13*ORÇAMENTO!$AF$7)/$H188*OFFSET(ORÇAMENTO!$X$15,ROW(BQ188)-ROW(BQ$15),0),
              ROUND(ROUND(OFFSET($P188,0,BQ$13),15-13*ORÇAMENTO!$AF$7)*OFFSET(ORÇAMENTO!$W$15,ROW(BQ188)-ROW(BQ$15),0),15-13*ORÇAMENTO!$AF$11)),
         0)</f>
        <v>0</v>
      </c>
      <c r="BS188" s="171">
        <f ca="1">IF(OR($D188&lt;&gt;"Serviço",AND(AUTOEVENTO="Manual",$M188=$A$15)),0,
         IF(OFFSET(CRONOPLE!$F$15,$M188-$A$15,BS$13)=0,10^12,OFFSET(CRONOPLE!$F$15,$M188-$A$15,BS$13)))</f>
        <v>0</v>
      </c>
      <c r="BT188" s="171">
        <f ca="1">IF(OR($D188&lt;&gt;"Serviço",AND(AUTOEVENTO="Manual",$M188=$A$15)),0,
         IF(OFFSET(CRONOPLE!$F$15,$M188-$A$15,BT$13)=0,10^12,OFFSET(CRONOPLE!$F$15,$M188-$A$15,BT$13)))</f>
        <v>0</v>
      </c>
      <c r="BU188" s="171">
        <f ca="1">IF(OR($D188&lt;&gt;"Serviço",AND(AUTOEVENTO="Manual",$M188=$A$15)),0,
         IF(OFFSET(CRONOPLE!$F$15,$M188-$A$15,BU$13)=0,10^12,OFFSET(CRONOPLE!$F$15,$M188-$A$15,BU$13)))</f>
        <v>0</v>
      </c>
      <c r="BV188" s="171">
        <f ca="1">IF(OR($D188&lt;&gt;"Serviço",AND(AUTOEVENTO="Manual",$M188=$A$15)),0,
         IF(OFFSET(CRONOPLE!$F$15,$M188-$A$15,BV$13)=0,10^12,OFFSET(CRONOPLE!$F$15,$M188-$A$15,BV$13)))</f>
        <v>0</v>
      </c>
      <c r="BW188" s="171">
        <f ca="1">IF(OR($D188&lt;&gt;"Serviço",AND(AUTOEVENTO="Manual",$M188=$A$15)),0,
         IF(OFFSET(CRONOPLE!$F$15,$M188-$A$15,BW$13)=0,10^12,OFFSET(CRONOPLE!$F$15,$M188-$A$15,BW$13)))</f>
        <v>0</v>
      </c>
      <c r="BX188" s="171">
        <f ca="1">IF(OR($D188&lt;&gt;"Serviço",AND(AUTOEVENTO="Manual",$M188=$A$15)),0,
         IF(OFFSET(CRONOPLE!$F$15,$M188-$A$15,BX$13)=0,10^12,OFFSET(CRONOPLE!$F$15,$M188-$A$15,BX$13)))</f>
        <v>0</v>
      </c>
      <c r="BY188" s="171">
        <f ca="1">IF(OR($D188&lt;&gt;"Serviço",AND(AUTOEVENTO="Manual",$M188=$A$15)),0,
         IF(OFFSET(CRONOPLE!$F$15,$M188-$A$15,BY$13)=0,10^12,OFFSET(CRONOPLE!$F$15,$M188-$A$15,BY$13)))</f>
        <v>0</v>
      </c>
      <c r="BZ188" s="171">
        <f ca="1">IF(OR($D188&lt;&gt;"Serviço",AND(AUTOEVENTO="Manual",$M188=$A$15)),0,
         IF(OFFSET(CRONOPLE!$F$15,$M188-$A$15,BZ$13)=0,10^12,OFFSET(CRONOPLE!$F$15,$M188-$A$15,BZ$13)))</f>
        <v>0</v>
      </c>
      <c r="CA188" s="171">
        <f ca="1">IF(OR($D188&lt;&gt;"Serviço",AND(AUTOEVENTO="Manual",$M188=$A$15)),0,
         IF(OFFSET(CRONOPLE!$F$15,$M188-$A$15,CA$13)=0,10^12,OFFSET(CRONOPLE!$F$15,$M188-$A$15,CA$13)))</f>
        <v>0</v>
      </c>
      <c r="CB188" s="171">
        <f ca="1">IF(OR($D188&lt;&gt;"Serviço",AND(AUTOEVENTO="Manual",$M188=$A$15)),0,
         IF(OFFSET(CRONOPLE!$F$15,$M188-$A$15,CB$13)=0,10^12,OFFSET(CRONOPLE!$F$15,$M188-$A$15,CB$13)))</f>
        <v>0</v>
      </c>
      <c r="CC188" s="171">
        <f ca="1">IF(OR($D188&lt;&gt;"Serviço",AND(AUTOEVENTO="Manual",$M188=$A$15)),0,
         IF(OFFSET(CRONOPLE!$F$15,$M188-$A$15,CC$13)=0,10^12,OFFSET(CRONOPLE!$F$15,$M188-$A$15,CC$13)))</f>
        <v>0</v>
      </c>
      <c r="CD188" s="171">
        <f ca="1">IF(OR($D188&lt;&gt;"Serviço",AND(AUTOEVENTO="Manual",$M188=$A$15)),0,
         IF(OFFSET(CRONOPLE!$F$15,$M188-$A$15,CD$13)=0,10^12,OFFSET(CRONOPLE!$F$15,$M188-$A$15,CD$13)))</f>
        <v>0</v>
      </c>
      <c r="CE188" s="171">
        <f ca="1">IF(OR($D188&lt;&gt;"Serviço",AND(AUTOEVENTO="Manual",$M188=$A$15)),0,
         IF(OFFSET(CRONOPLE!$F$15,$M188-$A$15,CE$13)=0,10^12,OFFSET(CRONOPLE!$F$15,$M188-$A$15,CE$13)))</f>
        <v>0</v>
      </c>
      <c r="CF188" s="171">
        <f ca="1">IF(OR($D188&lt;&gt;"Serviço",AND(AUTOEVENTO="Manual",$M188=$A$15)),0,
         IF(OFFSET(CRONOPLE!$F$15,$M188-$A$15,CF$13)=0,10^12,OFFSET(CRONOPLE!$F$15,$M188-$A$15,CF$13)))</f>
        <v>0</v>
      </c>
      <c r="CG188" s="171">
        <f ca="1">IF(OR($D188&lt;&gt;"Serviço",AND(AUTOEVENTO="Manual",$M188=$A$15)),0,
         IF(OFFSET(CRONOPLE!$F$15,$M188-$A$15,CG$13)=0,10^12,OFFSET(CRONOPLE!$F$15,$M188-$A$15,CG$13)))</f>
        <v>0</v>
      </c>
      <c r="CH188" s="171">
        <f ca="1">IF(OR($D188&lt;&gt;"Serviço",AND(AUTOEVENTO="Manual",$M188=$A$15)),0,
         IF(OFFSET(CRONOPLE!$F$15,$M188-$A$15,CH$13)=0,10^12,OFFSET(CRONOPLE!$F$15,$M188-$A$15,CH$13)))</f>
        <v>0</v>
      </c>
      <c r="CI188" s="171">
        <f ca="1">IF(OR($D188&lt;&gt;"Serviço",AND(AUTOEVENTO="Manual",$M188=$A$15)),0,
         IF(OFFSET(CRONOPLE!$F$15,$M188-$A$15,CI$13)=0,10^12,OFFSET(CRONOPLE!$F$15,$M188-$A$15,CI$13)))</f>
        <v>0</v>
      </c>
      <c r="CJ188" s="171">
        <f ca="1">IF(OR($D188&lt;&gt;"Serviço",AND(AUTOEVENTO="Manual",$M188=$A$15)),0,
         IF(OFFSET(CRONOPLE!$F$15,$M188-$A$15,CJ$13)=0,10^12,OFFSET(CRONOPLE!$F$15,$M188-$A$15,CJ$13)))</f>
        <v>0</v>
      </c>
      <c r="CK188" s="171">
        <f ca="1">IF(OR($D188&lt;&gt;"Serviço",AND(AUTOEVENTO="Manual",$M188=$A$15)),0,
         IF(OFFSET(CRONOPLE!$F$15,$M188-$A$15,CK$13)=0,10^12,OFFSET(CRONOPLE!$F$15,$M188-$A$15,CK$13)))</f>
        <v>0</v>
      </c>
      <c r="CL188" s="171">
        <f ca="1">IF(OR($D188&lt;&gt;"Serviço",AND(AUTOEVENTO="Manual",$M188=$A$15)),0,
         IF(OFFSET(CRONOPLE!$F$15,$M188-$A$15,CL$13)=0,10^12,OFFSET(CRONOPLE!$F$15,$M188-$A$15,CL$13)))</f>
        <v>0</v>
      </c>
      <c r="CM188" s="171">
        <f ca="1">IF(OR($D188&lt;&gt;"Serviço",AND(AUTOEVENTO="Manual",$M188=$A$15)),0,
         IF(OFFSET(CRONOPLE!$F$15,$M188-$A$15,CM$13)=0,10^12,OFFSET(CRONOPLE!$F$15,$M188-$A$15,CM$13)))</f>
        <v>0</v>
      </c>
      <c r="CN188" s="171">
        <f ca="1">IF(OR($D188&lt;&gt;"Serviço",AND(AUTOEVENTO="Manual",$M188=$A$15)),0,
         IF(OFFSET(CRONOPLE!$F$15,$M188-$A$15,CN$13)=0,10^12,OFFSET(CRONOPLE!$F$15,$M188-$A$15,CN$13)))</f>
        <v>0</v>
      </c>
      <c r="CO188" s="171">
        <f ca="1">IF(OR($D188&lt;&gt;"Serviço",AND(AUTOEVENTO="Manual",$M188=$A$15)),0,
         IF(OFFSET(CRONOPLE!$F$15,$M188-$A$15,CO$13)=0,10^12,OFFSET(CRONOPLE!$F$15,$M188-$A$15,CO$13)))</f>
        <v>0</v>
      </c>
      <c r="CP188" s="171">
        <f ca="1">IF(OR($D188&lt;&gt;"Serviço",AND(AUTOEVENTO="Manual",$M188=$A$15)),0,
         IF(OFFSET(CRONOPLE!$F$15,$M188-$A$15,CP$13)=0,10^12,OFFSET(CRONOPLE!$F$15,$M188-$A$15,CP$13)))</f>
        <v>0</v>
      </c>
      <c r="CQ188" s="171">
        <f ca="1">IF(OR($D188&lt;&gt;"Serviço",AND(AUTOEVENTO="Manual",$M188=$A$15)),0,
         IF(OFFSET(CRONOPLE!$F$15,$M188-$A$15,CQ$13)=0,10^12,OFFSET(CRONOPLE!$F$15,$M188-$A$15,CQ$13)))</f>
        <v>0</v>
      </c>
      <c r="CR188" s="171">
        <f ca="1">IF(OR($D188&lt;&gt;"Serviço",AND(AUTOEVENTO="Manual",$M188=$A$15)),0,
         IF(OFFSET(CRONOPLE!$F$15,$M188-$A$15,CR$13)=0,10^12,OFFSET(CRONOPLE!$F$15,$M188-$A$15,CR$13)))</f>
        <v>0</v>
      </c>
      <c r="CT188" s="172" cm="1">
        <f t="array" aca="1" ref="CT188" ca="1">IF(OR($D188&lt;&gt;"Serviço",AND(AUTOEVENTO="Manual",$M188=$A$15),$M188&gt;(ROW(PLE.lastrow)-ROW(PLE.firstrow))),0,
           IF(OFFSET(PLE!$G$15,$M188-$A$15,CT$13)="",10^12,OFFSET(PLE!$G$15,$M188-$A$15,CT$13)))</f>
        <v>0</v>
      </c>
      <c r="CU188" s="172" cm="1">
        <f t="array" aca="1" ref="CU188" ca="1">IF(OR($D188&lt;&gt;"Serviço",AND(AUTOEVENTO="Manual",$M188=$A$15),$M188&gt;(ROW(PLE.lastrow)-ROW(PLE.firstrow))),0,
           IF(OFFSET(PLE!$G$15,$M188-$A$15,CU$13)="",10^12,OFFSET(PLE!$G$15,$M188-$A$15,CU$13)))</f>
        <v>0</v>
      </c>
      <c r="CV188" s="172" cm="1">
        <f t="array" aca="1" ref="CV188" ca="1">IF(OR($D188&lt;&gt;"Serviço",AND(AUTOEVENTO="Manual",$M188=$A$15),$M188&gt;(ROW(PLE.lastrow)-ROW(PLE.firstrow))),0,
           IF(OFFSET(PLE!$G$15,$M188-$A$15,CV$13)="",10^12,OFFSET(PLE!$G$15,$M188-$A$15,CV$13)))</f>
        <v>0</v>
      </c>
      <c r="CW188" s="172" cm="1">
        <f t="array" aca="1" ref="CW188" ca="1">IF(OR($D188&lt;&gt;"Serviço",AND(AUTOEVENTO="Manual",$M188=$A$15),$M188&gt;(ROW(PLE.lastrow)-ROW(PLE.firstrow))),0,
           IF(OFFSET(PLE!$G$15,$M188-$A$15,CW$13)="",10^12,OFFSET(PLE!$G$15,$M188-$A$15,CW$13)))</f>
        <v>0</v>
      </c>
      <c r="CX188" s="172" cm="1">
        <f t="array" aca="1" ref="CX188" ca="1">IF(OR($D188&lt;&gt;"Serviço",AND(AUTOEVENTO="Manual",$M188=$A$15),$M188&gt;(ROW(PLE.lastrow)-ROW(PLE.firstrow))),0,
           IF(OFFSET(PLE!$G$15,$M188-$A$15,CX$13)="",10^12,OFFSET(PLE!$G$15,$M188-$A$15,CX$13)))</f>
        <v>0</v>
      </c>
      <c r="CY188" s="172" cm="1">
        <f t="array" aca="1" ref="CY188" ca="1">IF(OR($D188&lt;&gt;"Serviço",AND(AUTOEVENTO="Manual",$M188=$A$15),$M188&gt;(ROW(PLE.lastrow)-ROW(PLE.firstrow))),0,
           IF(OFFSET(PLE!$G$15,$M188-$A$15,CY$13)="",10^12,OFFSET(PLE!$G$15,$M188-$A$15,CY$13)))</f>
        <v>0</v>
      </c>
      <c r="CZ188" s="172" cm="1">
        <f t="array" aca="1" ref="CZ188" ca="1">IF(OR($D188&lt;&gt;"Serviço",AND(AUTOEVENTO="Manual",$M188=$A$15),$M188&gt;(ROW(PLE.lastrow)-ROW(PLE.firstrow))),0,
           IF(OFFSET(PLE!$G$15,$M188-$A$15,CZ$13)="",10^12,OFFSET(PLE!$G$15,$M188-$A$15,CZ$13)))</f>
        <v>0</v>
      </c>
      <c r="DA188" s="172" cm="1">
        <f t="array" aca="1" ref="DA188" ca="1">IF(OR($D188&lt;&gt;"Serviço",AND(AUTOEVENTO="Manual",$M188=$A$15),$M188&gt;(ROW(PLE.lastrow)-ROW(PLE.firstrow))),0,
           IF(OFFSET(PLE!$G$15,$M188-$A$15,DA$13)="",10^12,OFFSET(PLE!$G$15,$M188-$A$15,DA$13)))</f>
        <v>0</v>
      </c>
      <c r="DB188" s="172" cm="1">
        <f t="array" aca="1" ref="DB188" ca="1">IF(OR($D188&lt;&gt;"Serviço",AND(AUTOEVENTO="Manual",$M188=$A$15),$M188&gt;(ROW(PLE.lastrow)-ROW(PLE.firstrow))),0,
           IF(OFFSET(PLE!$G$15,$M188-$A$15,DB$13)="",10^12,OFFSET(PLE!$G$15,$M188-$A$15,DB$13)))</f>
        <v>0</v>
      </c>
      <c r="DC188" s="172" cm="1">
        <f t="array" aca="1" ref="DC188" ca="1">IF(OR($D188&lt;&gt;"Serviço",AND(AUTOEVENTO="Manual",$M188=$A$15),$M188&gt;(ROW(PLE.lastrow)-ROW(PLE.firstrow))),0,
           IF(OFFSET(PLE!$G$15,$M188-$A$15,DC$13)="",10^12,OFFSET(PLE!$G$15,$M188-$A$15,DC$13)))</f>
        <v>0</v>
      </c>
      <c r="DD188" s="172" cm="1">
        <f t="array" aca="1" ref="DD188" ca="1">IF(OR($D188&lt;&gt;"Serviço",AND(AUTOEVENTO="Manual",$M188=$A$15),$M188&gt;(ROW(PLE.lastrow)-ROW(PLE.firstrow))),0,
           IF(OFFSET(PLE!$G$15,$M188-$A$15,DD$13)="",10^12,OFFSET(PLE!$G$15,$M188-$A$15,DD$13)))</f>
        <v>0</v>
      </c>
      <c r="DE188" s="172" cm="1">
        <f t="array" aca="1" ref="DE188" ca="1">IF(OR($D188&lt;&gt;"Serviço",AND(AUTOEVENTO="Manual",$M188=$A$15),$M188&gt;(ROW(PLE.lastrow)-ROW(PLE.firstrow))),0,
           IF(OFFSET(PLE!$G$15,$M188-$A$15,DE$13)="",10^12,OFFSET(PLE!$G$15,$M188-$A$15,DE$13)))</f>
        <v>0</v>
      </c>
      <c r="DF188" s="172" cm="1">
        <f t="array" aca="1" ref="DF188" ca="1">IF(OR($D188&lt;&gt;"Serviço",AND(AUTOEVENTO="Manual",$M188=$A$15),$M188&gt;(ROW(PLE.lastrow)-ROW(PLE.firstrow))),0,
           IF(OFFSET(PLE!$G$15,$M188-$A$15,DF$13)="",10^12,OFFSET(PLE!$G$15,$M188-$A$15,DF$13)))</f>
        <v>0</v>
      </c>
      <c r="DG188" s="172" cm="1">
        <f t="array" aca="1" ref="DG188" ca="1">IF(OR($D188&lt;&gt;"Serviço",AND(AUTOEVENTO="Manual",$M188=$A$15),$M188&gt;(ROW(PLE.lastrow)-ROW(PLE.firstrow))),0,
           IF(OFFSET(PLE!$G$15,$M188-$A$15,DG$13)="",10^12,OFFSET(PLE!$G$15,$M188-$A$15,DG$13)))</f>
        <v>0</v>
      </c>
      <c r="DH188" s="172" cm="1">
        <f t="array" aca="1" ref="DH188" ca="1">IF(OR($D188&lt;&gt;"Serviço",AND(AUTOEVENTO="Manual",$M188=$A$15),$M188&gt;(ROW(PLE.lastrow)-ROW(PLE.firstrow))),0,
           IF(OFFSET(PLE!$G$15,$M188-$A$15,DH$13)="",10^12,OFFSET(PLE!$G$15,$M188-$A$15,DH$13)))</f>
        <v>0</v>
      </c>
      <c r="DI188" s="172" cm="1">
        <f t="array" aca="1" ref="DI188" ca="1">IF(OR($D188&lt;&gt;"Serviço",AND(AUTOEVENTO="Manual",$M188=$A$15),$M188&gt;(ROW(PLE.lastrow)-ROW(PLE.firstrow))),0,
           IF(OFFSET(PLE!$G$15,$M188-$A$15,DI$13)="",10^12,OFFSET(PLE!$G$15,$M188-$A$15,DI$13)))</f>
        <v>0</v>
      </c>
      <c r="DJ188" s="172" cm="1">
        <f t="array" aca="1" ref="DJ188" ca="1">IF(OR($D188&lt;&gt;"Serviço",AND(AUTOEVENTO="Manual",$M188=$A$15),$M188&gt;(ROW(PLE.lastrow)-ROW(PLE.firstrow))),0,
           IF(OFFSET(PLE!$G$15,$M188-$A$15,DJ$13)="",10^12,OFFSET(PLE!$G$15,$M188-$A$15,DJ$13)))</f>
        <v>0</v>
      </c>
      <c r="DK188" s="172" cm="1">
        <f t="array" aca="1" ref="DK188" ca="1">IF(OR($D188&lt;&gt;"Serviço",AND(AUTOEVENTO="Manual",$M188=$A$15),$M188&gt;(ROW(PLE.lastrow)-ROW(PLE.firstrow))),0,
           IF(OFFSET(PLE!$G$15,$M188-$A$15,DK$13)="",10^12,OFFSET(PLE!$G$15,$M188-$A$15,DK$13)))</f>
        <v>0</v>
      </c>
      <c r="DL188" s="172" cm="1">
        <f t="array" aca="1" ref="DL188" ca="1">IF(OR($D188&lt;&gt;"Serviço",AND(AUTOEVENTO="Manual",$M188=$A$15),$M188&gt;(ROW(PLE.lastrow)-ROW(PLE.firstrow))),0,
           IF(OFFSET(PLE!$G$15,$M188-$A$15,DL$13)="",10^12,OFFSET(PLE!$G$15,$M188-$A$15,DL$13)))</f>
        <v>0</v>
      </c>
      <c r="DM188" s="172" cm="1">
        <f t="array" aca="1" ref="DM188" ca="1">IF(OR($D188&lt;&gt;"Serviço",AND(AUTOEVENTO="Manual",$M188=$A$15),$M188&gt;(ROW(PLE.lastrow)-ROW(PLE.firstrow))),0,
           IF(OFFSET(PLE!$G$15,$M188-$A$15,DM$13)="",10^12,OFFSET(PLE!$G$15,$M188-$A$15,DM$13)))</f>
        <v>0</v>
      </c>
      <c r="DN188" s="172" cm="1">
        <f t="array" aca="1" ref="DN188" ca="1">IF(OR($D188&lt;&gt;"Serviço",AND(AUTOEVENTO="Manual",$M188=$A$15),$M188&gt;(ROW(PLE.lastrow)-ROW(PLE.firstrow))),0,
           IF(OFFSET(PLE!$G$15,$M188-$A$15,DN$13)="",10^12,OFFSET(PLE!$G$15,$M188-$A$15,DN$13)))</f>
        <v>0</v>
      </c>
      <c r="DO188" s="172" cm="1">
        <f t="array" aca="1" ref="DO188" ca="1">IF(OR($D188&lt;&gt;"Serviço",AND(AUTOEVENTO="Manual",$M188=$A$15),$M188&gt;(ROW(PLE.lastrow)-ROW(PLE.firstrow))),0,
           IF(OFFSET(PLE!$G$15,$M188-$A$15,DO$13)="",10^12,OFFSET(PLE!$G$15,$M188-$A$15,DO$13)))</f>
        <v>0</v>
      </c>
      <c r="DP188" s="172" cm="1">
        <f t="array" aca="1" ref="DP188" ca="1">IF(OR($D188&lt;&gt;"Serviço",AND(AUTOEVENTO="Manual",$M188=$A$15),$M188&gt;(ROW(PLE.lastrow)-ROW(PLE.firstrow))),0,
           IF(OFFSET(PLE!$G$15,$M188-$A$15,DP$13)="",10^12,OFFSET(PLE!$G$15,$M188-$A$15,DP$13)))</f>
        <v>0</v>
      </c>
      <c r="DQ188" s="172" cm="1">
        <f t="array" aca="1" ref="DQ188" ca="1">IF(OR($D188&lt;&gt;"Serviço",AND(AUTOEVENTO="Manual",$M188=$A$15),$M188&gt;(ROW(PLE.lastrow)-ROW(PLE.firstrow))),0,
           IF(OFFSET(PLE!$G$15,$M188-$A$15,DQ$13)="",10^12,OFFSET(PLE!$G$15,$M188-$A$15,DQ$13)))</f>
        <v>0</v>
      </c>
      <c r="DR188" s="172" cm="1">
        <f t="array" aca="1" ref="DR188" ca="1">IF(OR($D188&lt;&gt;"Serviço",AND(AUTOEVENTO="Manual",$M188=$A$15),$M188&gt;(ROW(PLE.lastrow)-ROW(PLE.firstrow))),0,
           IF(OFFSET(PLE!$G$15,$M188-$A$15,DR$13)="",10^12,OFFSET(PLE!$G$15,$M188-$A$15,DR$13)))</f>
        <v>0</v>
      </c>
      <c r="DS188" s="172" cm="1">
        <f t="array" aca="1" ref="DS188" ca="1">IF(OR($D188&lt;&gt;"Serviço",AND(AUTOEVENTO="Manual",$M188=$A$15),$M188&gt;(ROW(PLE.lastrow)-ROW(PLE.firstrow))),0,
           IF(OFFSET(PLE!$G$15,$M188-$A$15,DS$13)="",10^12,OFFSET(PLE!$G$15,$M188-$A$15,DS$13)))</f>
        <v>0</v>
      </c>
    </row>
    <row r="189" spans="1:123" ht="25.5" x14ac:dyDescent="0.2">
      <c r="A189" s="7">
        <f t="shared" ca="1" si="18"/>
        <v>9</v>
      </c>
      <c r="B189" s="7" t="str">
        <f ca="1">OFFSET(ORÇAMENTO!C$15,$L189,0)</f>
        <v>S</v>
      </c>
      <c r="C189" s="7" t="str">
        <f ca="1">OFFSET(ORÇAMENTO!L$15,$L189,0)</f>
        <v/>
      </c>
      <c r="D189" s="116" t="str">
        <f ca="1">OFFSET(ORÇAMENTO!N$15,$L189,0)</f>
        <v>Serviço</v>
      </c>
      <c r="E189" s="117" t="str">
        <f ca="1">OFFSET(ORÇAMENTO!O$15,$L189,0)</f>
        <v>-</v>
      </c>
      <c r="F189" s="163" t="str">
        <f ca="1">OFFSET(ORÇAMENTO!R$15,$L189,0)</f>
        <v>(Código não identificado nas referências)</v>
      </c>
      <c r="G189" s="164" t="str">
        <f ca="1">IF($D189&lt;&gt;"Serviço","",OFFSET(ORÇAMENTO!S$15,$L189,0))</f>
        <v>-</v>
      </c>
      <c r="H189" s="122" cm="1">
        <f t="array" aca="1" ref="H189" ca="1">IF($D189&lt;&gt;"Serviço",0,IF(ACOMPANHAMENTO="BM",ROUND(OFFSET(ORÇAMENTO!AJ$15,$L189,0),15-13*ORÇAMENTO!$AF$7),IF(IFERROR(CÁLCULO.FrentesPreenchidas,0)=0,0,SUM(ROUND(OFFSET($P189,0,1,1,CÁLCULO.FrentesPreenchidas),15-13*ORÇAMENTO!$AF$7)))))</f>
        <v>20</v>
      </c>
      <c r="I189" s="468" t="s">
        <v>1235</v>
      </c>
      <c r="J189" s="651" t="str" cm="1">
        <f t="array" aca="1" ref="J189" ca="1">IF(OR(B189&lt;&gt;"S",CÁLCULO.FrentesPreenchidas=0),"",IF(AND(ACOMPANHAMENTO="PLE",AUTOEVENTO="Manual",OR(H189&gt;0,ORÇAMENTO!AC189="QUANT."),OR(K189="",M189=0,N189="")),"►E",IF(AND(ACOMPANHAMENTO="PLE",ORÇAMENTO!AC189="QUANT."),"►Q",IF(AND(ACOMPANHAMENTO="PLE",H189&lt;&gt;SUMPRODUCT(($Q$1:$AQ$1=1)*ROUND(Q189:AQ189,15))),"►S",IF(AND(COUNTIF($P$11:$AQ$11,"▼")=0,H189&gt;0,I189=""),"◄M","")))))</f>
        <v/>
      </c>
      <c r="K189" s="652" t="s">
        <v>1257</v>
      </c>
      <c r="L189" s="165">
        <f t="shared" ca="1" si="17"/>
        <v>174</v>
      </c>
      <c r="M189" s="166">
        <f ca="1">IF($D189&lt;&gt;"Serviço","",
          IF(AUTOEVENTO="manual",$A189,
                IF(ISERROR(MATCH($A189,$A$15:OFFSET($A189,-1,0),0)),MAX($M$15:OFFSET(M189,-1,0))+1,
                      INDEX($M$15:OFFSET(M189,-1,0),MATCH($A189,$A$15:OFFSET($A189,-1,0),0)))))</f>
        <v>9</v>
      </c>
      <c r="N189" s="167" t="str">
        <f ca="1">IF($D189&lt;&gt;"Serviço","",
         IF(AUTOEVENTO="Manual",
                IF($A189=0,"&lt;-- defina o número do agrupador",
                       OFFSET(EVENTOS!$D$15,$A189-$A$15,0)),
                OFFSET($F$15,$A189,0)))</f>
        <v>INSTALAÇÕES</v>
      </c>
      <c r="O189" s="168"/>
      <c r="Q189" s="168">
        <v>1</v>
      </c>
      <c r="R189" s="169">
        <v>1</v>
      </c>
      <c r="S189" s="169">
        <v>1</v>
      </c>
      <c r="T189" s="169">
        <v>1</v>
      </c>
      <c r="U189" s="169">
        <v>1</v>
      </c>
      <c r="V189" s="169">
        <v>1</v>
      </c>
      <c r="W189" s="169">
        <v>1</v>
      </c>
      <c r="X189" s="169">
        <v>1</v>
      </c>
      <c r="Y189" s="169">
        <v>1</v>
      </c>
      <c r="Z189" s="170">
        <v>1</v>
      </c>
      <c r="AA189" s="169">
        <v>1</v>
      </c>
      <c r="AB189" s="169">
        <v>1</v>
      </c>
      <c r="AC189" s="169">
        <v>1</v>
      </c>
      <c r="AD189" s="169">
        <v>1</v>
      </c>
      <c r="AE189" s="169">
        <v>1</v>
      </c>
      <c r="AF189" s="169">
        <v>1</v>
      </c>
      <c r="AG189" s="169">
        <v>1</v>
      </c>
      <c r="AH189" s="170">
        <v>1</v>
      </c>
      <c r="AI189" s="169">
        <v>1</v>
      </c>
      <c r="AJ189" s="169">
        <v>1</v>
      </c>
      <c r="AK189" s="169"/>
      <c r="AL189" s="169"/>
      <c r="AM189" s="169"/>
      <c r="AN189" s="169"/>
      <c r="AO189" s="169"/>
      <c r="AP189" s="170"/>
      <c r="AR189" s="453">
        <f ca="1">IF(AND($D189="Serviço",AR$12&lt;&gt;0,$H189&gt;0,OR(AUTOEVENTO&lt;&gt;"manual",$M189&lt;&gt;$A$15)),
        IF(Import.TipoArredondamento&lt;&gt;"TransfereGOV",
              ROUND(OFFSET($P189,0,AR$13),15-13*ORÇAMENTO!$AF$7)/$H189*OFFSET(ORÇAMENTO!$X$15,ROW(AR189)-ROW(AR$15),0),
              ROUND(ROUND(OFFSET($P189,0,AR$13),15-13*ORÇAMENTO!$AF$7)*OFFSET(ORÇAMENTO!$W$15,ROW(AR189)-ROW(AR$15),0),15-13*ORÇAMENTO!$AF$11)),
         0)</f>
        <v>0</v>
      </c>
      <c r="AS189" s="453">
        <f ca="1">IF(AND($D189="Serviço",AS$12&lt;&gt;0,$H189&gt;0,OR(AUTOEVENTO&lt;&gt;"manual",$M189&lt;&gt;$A$15)),
        IF(Import.TipoArredondamento&lt;&gt;"TransfereGOV",
              ROUND(OFFSET($P189,0,AS$13),15-13*ORÇAMENTO!$AF$7)/$H189*OFFSET(ORÇAMENTO!$X$15,ROW(AS189)-ROW(AS$15),0),
              ROUND(ROUND(OFFSET($P189,0,AS$13),15-13*ORÇAMENTO!$AF$7)*OFFSET(ORÇAMENTO!$W$15,ROW(AS189)-ROW(AS$15),0),15-13*ORÇAMENTO!$AF$11)),
         0)</f>
        <v>0</v>
      </c>
      <c r="AT189" s="453">
        <f ca="1">IF(AND($D189="Serviço",AT$12&lt;&gt;0,$H189&gt;0,OR(AUTOEVENTO&lt;&gt;"manual",$M189&lt;&gt;$A$15)),
        IF(Import.TipoArredondamento&lt;&gt;"TransfereGOV",
              ROUND(OFFSET($P189,0,AT$13),15-13*ORÇAMENTO!$AF$7)/$H189*OFFSET(ORÇAMENTO!$X$15,ROW(AT189)-ROW(AT$15),0),
              ROUND(ROUND(OFFSET($P189,0,AT$13),15-13*ORÇAMENTO!$AF$7)*OFFSET(ORÇAMENTO!$W$15,ROW(AT189)-ROW(AT$15),0),15-13*ORÇAMENTO!$AF$11)),
         0)</f>
        <v>0</v>
      </c>
      <c r="AU189" s="453">
        <f ca="1">IF(AND($D189="Serviço",AU$12&lt;&gt;0,$H189&gt;0,OR(AUTOEVENTO&lt;&gt;"manual",$M189&lt;&gt;$A$15)),
        IF(Import.TipoArredondamento&lt;&gt;"TransfereGOV",
              ROUND(OFFSET($P189,0,AU$13),15-13*ORÇAMENTO!$AF$7)/$H189*OFFSET(ORÇAMENTO!$X$15,ROW(AU189)-ROW(AU$15),0),
              ROUND(ROUND(OFFSET($P189,0,AU$13),15-13*ORÇAMENTO!$AF$7)*OFFSET(ORÇAMENTO!$W$15,ROW(AU189)-ROW(AU$15),0),15-13*ORÇAMENTO!$AF$11)),
         0)</f>
        <v>0</v>
      </c>
      <c r="AV189" s="453">
        <f ca="1">IF(AND($D189="Serviço",AV$12&lt;&gt;0,$H189&gt;0,OR(AUTOEVENTO&lt;&gt;"manual",$M189&lt;&gt;$A$15)),
        IF(Import.TipoArredondamento&lt;&gt;"TransfereGOV",
              ROUND(OFFSET($P189,0,AV$13),15-13*ORÇAMENTO!$AF$7)/$H189*OFFSET(ORÇAMENTO!$X$15,ROW(AV189)-ROW(AV$15),0),
              ROUND(ROUND(OFFSET($P189,0,AV$13),15-13*ORÇAMENTO!$AF$7)*OFFSET(ORÇAMENTO!$W$15,ROW(AV189)-ROW(AV$15),0),15-13*ORÇAMENTO!$AF$11)),
         0)</f>
        <v>0</v>
      </c>
      <c r="AW189" s="453">
        <f ca="1">IF(AND($D189="Serviço",AW$12&lt;&gt;0,$H189&gt;0,OR(AUTOEVENTO&lt;&gt;"manual",$M189&lt;&gt;$A$15)),
        IF(Import.TipoArredondamento&lt;&gt;"TransfereGOV",
              ROUND(OFFSET($P189,0,AW$13),15-13*ORÇAMENTO!$AF$7)/$H189*OFFSET(ORÇAMENTO!$X$15,ROW(AW189)-ROW(AW$15),0),
              ROUND(ROUND(OFFSET($P189,0,AW$13),15-13*ORÇAMENTO!$AF$7)*OFFSET(ORÇAMENTO!$W$15,ROW(AW189)-ROW(AW$15),0),15-13*ORÇAMENTO!$AF$11)),
         0)</f>
        <v>0</v>
      </c>
      <c r="AX189" s="453">
        <f ca="1">IF(AND($D189="Serviço",AX$12&lt;&gt;0,$H189&gt;0,OR(AUTOEVENTO&lt;&gt;"manual",$M189&lt;&gt;$A$15)),
        IF(Import.TipoArredondamento&lt;&gt;"TransfereGOV",
              ROUND(OFFSET($P189,0,AX$13),15-13*ORÇAMENTO!$AF$7)/$H189*OFFSET(ORÇAMENTO!$X$15,ROW(AX189)-ROW(AX$15),0),
              ROUND(ROUND(OFFSET($P189,0,AX$13),15-13*ORÇAMENTO!$AF$7)*OFFSET(ORÇAMENTO!$W$15,ROW(AX189)-ROW(AX$15),0),15-13*ORÇAMENTO!$AF$11)),
         0)</f>
        <v>0</v>
      </c>
      <c r="AY189" s="453">
        <f ca="1">IF(AND($D189="Serviço",AY$12&lt;&gt;0,$H189&gt;0,OR(AUTOEVENTO&lt;&gt;"manual",$M189&lt;&gt;$A$15)),
        IF(Import.TipoArredondamento&lt;&gt;"TransfereGOV",
              ROUND(OFFSET($P189,0,AY$13),15-13*ORÇAMENTO!$AF$7)/$H189*OFFSET(ORÇAMENTO!$X$15,ROW(AY189)-ROW(AY$15),0),
              ROUND(ROUND(OFFSET($P189,0,AY$13),15-13*ORÇAMENTO!$AF$7)*OFFSET(ORÇAMENTO!$W$15,ROW(AY189)-ROW(AY$15),0),15-13*ORÇAMENTO!$AF$11)),
         0)</f>
        <v>0</v>
      </c>
      <c r="AZ189" s="453">
        <f ca="1">IF(AND($D189="Serviço",AZ$12&lt;&gt;0,$H189&gt;0,OR(AUTOEVENTO&lt;&gt;"manual",$M189&lt;&gt;$A$15)),
        IF(Import.TipoArredondamento&lt;&gt;"TransfereGOV",
              ROUND(OFFSET($P189,0,AZ$13),15-13*ORÇAMENTO!$AF$7)/$H189*OFFSET(ORÇAMENTO!$X$15,ROW(AZ189)-ROW(AZ$15),0),
              ROUND(ROUND(OFFSET($P189,0,AZ$13),15-13*ORÇAMENTO!$AF$7)*OFFSET(ORÇAMENTO!$W$15,ROW(AZ189)-ROW(AZ$15),0),15-13*ORÇAMENTO!$AF$11)),
         0)</f>
        <v>0</v>
      </c>
      <c r="BA189" s="453">
        <f ca="1">IF(AND($D189="Serviço",BA$12&lt;&gt;0,$H189&gt;0,OR(AUTOEVENTO&lt;&gt;"manual",$M189&lt;&gt;$A$15)),
        IF(Import.TipoArredondamento&lt;&gt;"TransfereGOV",
              ROUND(OFFSET($P189,0,BA$13),15-13*ORÇAMENTO!$AF$7)/$H189*OFFSET(ORÇAMENTO!$X$15,ROW(BA189)-ROW(BA$15),0),
              ROUND(ROUND(OFFSET($P189,0,BA$13),15-13*ORÇAMENTO!$AF$7)*OFFSET(ORÇAMENTO!$W$15,ROW(BA189)-ROW(BA$15),0),15-13*ORÇAMENTO!$AF$11)),
         0)</f>
        <v>0</v>
      </c>
      <c r="BB189" s="453">
        <f ca="1">IF(AND($D189="Serviço",BB$12&lt;&gt;0,$H189&gt;0,OR(AUTOEVENTO&lt;&gt;"manual",$M189&lt;&gt;$A$15)),
        IF(Import.TipoArredondamento&lt;&gt;"TransfereGOV",
              ROUND(OFFSET($P189,0,BB$13),15-13*ORÇAMENTO!$AF$7)/$H189*OFFSET(ORÇAMENTO!$X$15,ROW(BB189)-ROW(BB$15),0),
              ROUND(ROUND(OFFSET($P189,0,BB$13),15-13*ORÇAMENTO!$AF$7)*OFFSET(ORÇAMENTO!$W$15,ROW(BB189)-ROW(BB$15),0),15-13*ORÇAMENTO!$AF$11)),
         0)</f>
        <v>0</v>
      </c>
      <c r="BC189" s="453">
        <f ca="1">IF(AND($D189="Serviço",BC$12&lt;&gt;0,$H189&gt;0,OR(AUTOEVENTO&lt;&gt;"manual",$M189&lt;&gt;$A$15)),
        IF(Import.TipoArredondamento&lt;&gt;"TransfereGOV",
              ROUND(OFFSET($P189,0,BC$13),15-13*ORÇAMENTO!$AF$7)/$H189*OFFSET(ORÇAMENTO!$X$15,ROW(BC189)-ROW(BC$15),0),
              ROUND(ROUND(OFFSET($P189,0,BC$13),15-13*ORÇAMENTO!$AF$7)*OFFSET(ORÇAMENTO!$W$15,ROW(BC189)-ROW(BC$15),0),15-13*ORÇAMENTO!$AF$11)),
         0)</f>
        <v>0</v>
      </c>
      <c r="BD189" s="453">
        <f ca="1">IF(AND($D189="Serviço",BD$12&lt;&gt;0,$H189&gt;0,OR(AUTOEVENTO&lt;&gt;"manual",$M189&lt;&gt;$A$15)),
        IF(Import.TipoArredondamento&lt;&gt;"TransfereGOV",
              ROUND(OFFSET($P189,0,BD$13),15-13*ORÇAMENTO!$AF$7)/$H189*OFFSET(ORÇAMENTO!$X$15,ROW(BD189)-ROW(BD$15),0),
              ROUND(ROUND(OFFSET($P189,0,BD$13),15-13*ORÇAMENTO!$AF$7)*OFFSET(ORÇAMENTO!$W$15,ROW(BD189)-ROW(BD$15),0),15-13*ORÇAMENTO!$AF$11)),
         0)</f>
        <v>0</v>
      </c>
      <c r="BE189" s="453">
        <f ca="1">IF(AND($D189="Serviço",BE$12&lt;&gt;0,$H189&gt;0,OR(AUTOEVENTO&lt;&gt;"manual",$M189&lt;&gt;$A$15)),
        IF(Import.TipoArredondamento&lt;&gt;"TransfereGOV",
              ROUND(OFFSET($P189,0,BE$13),15-13*ORÇAMENTO!$AF$7)/$H189*OFFSET(ORÇAMENTO!$X$15,ROW(BE189)-ROW(BE$15),0),
              ROUND(ROUND(OFFSET($P189,0,BE$13),15-13*ORÇAMENTO!$AF$7)*OFFSET(ORÇAMENTO!$W$15,ROW(BE189)-ROW(BE$15),0),15-13*ORÇAMENTO!$AF$11)),
         0)</f>
        <v>0</v>
      </c>
      <c r="BF189" s="453">
        <f ca="1">IF(AND($D189="Serviço",BF$12&lt;&gt;0,$H189&gt;0,OR(AUTOEVENTO&lt;&gt;"manual",$M189&lt;&gt;$A$15)),
        IF(Import.TipoArredondamento&lt;&gt;"TransfereGOV",
              ROUND(OFFSET($P189,0,BF$13),15-13*ORÇAMENTO!$AF$7)/$H189*OFFSET(ORÇAMENTO!$X$15,ROW(BF189)-ROW(BF$15),0),
              ROUND(ROUND(OFFSET($P189,0,BF$13),15-13*ORÇAMENTO!$AF$7)*OFFSET(ORÇAMENTO!$W$15,ROW(BF189)-ROW(BF$15),0),15-13*ORÇAMENTO!$AF$11)),
         0)</f>
        <v>0</v>
      </c>
      <c r="BG189" s="453">
        <f ca="1">IF(AND($D189="Serviço",BG$12&lt;&gt;0,$H189&gt;0,OR(AUTOEVENTO&lt;&gt;"manual",$M189&lt;&gt;$A$15)),
        IF(Import.TipoArredondamento&lt;&gt;"TransfereGOV",
              ROUND(OFFSET($P189,0,BG$13),15-13*ORÇAMENTO!$AF$7)/$H189*OFFSET(ORÇAMENTO!$X$15,ROW(BG189)-ROW(BG$15),0),
              ROUND(ROUND(OFFSET($P189,0,BG$13),15-13*ORÇAMENTO!$AF$7)*OFFSET(ORÇAMENTO!$W$15,ROW(BG189)-ROW(BG$15),0),15-13*ORÇAMENTO!$AF$11)),
         0)</f>
        <v>0</v>
      </c>
      <c r="BH189" s="453">
        <f ca="1">IF(AND($D189="Serviço",BH$12&lt;&gt;0,$H189&gt;0,OR(AUTOEVENTO&lt;&gt;"manual",$M189&lt;&gt;$A$15)),
        IF(Import.TipoArredondamento&lt;&gt;"TransfereGOV",
              ROUND(OFFSET($P189,0,BH$13),15-13*ORÇAMENTO!$AF$7)/$H189*OFFSET(ORÇAMENTO!$X$15,ROW(BH189)-ROW(BH$15),0),
              ROUND(ROUND(OFFSET($P189,0,BH$13),15-13*ORÇAMENTO!$AF$7)*OFFSET(ORÇAMENTO!$W$15,ROW(BH189)-ROW(BH$15),0),15-13*ORÇAMENTO!$AF$11)),
         0)</f>
        <v>0</v>
      </c>
      <c r="BI189" s="453">
        <f ca="1">IF(AND($D189="Serviço",BI$12&lt;&gt;0,$H189&gt;0,OR(AUTOEVENTO&lt;&gt;"manual",$M189&lt;&gt;$A$15)),
        IF(Import.TipoArredondamento&lt;&gt;"TransfereGOV",
              ROUND(OFFSET($P189,0,BI$13),15-13*ORÇAMENTO!$AF$7)/$H189*OFFSET(ORÇAMENTO!$X$15,ROW(BI189)-ROW(BI$15),0),
              ROUND(ROUND(OFFSET($P189,0,BI$13),15-13*ORÇAMENTO!$AF$7)*OFFSET(ORÇAMENTO!$W$15,ROW(BI189)-ROW(BI$15),0),15-13*ORÇAMENTO!$AF$11)),
         0)</f>
        <v>0</v>
      </c>
      <c r="BJ189" s="453">
        <f ca="1">IF(AND($D189="Serviço",BJ$12&lt;&gt;0,$H189&gt;0,OR(AUTOEVENTO&lt;&gt;"manual",$M189&lt;&gt;$A$15)),
        IF(Import.TipoArredondamento&lt;&gt;"TransfereGOV",
              ROUND(OFFSET($P189,0,BJ$13),15-13*ORÇAMENTO!$AF$7)/$H189*OFFSET(ORÇAMENTO!$X$15,ROW(BJ189)-ROW(BJ$15),0),
              ROUND(ROUND(OFFSET($P189,0,BJ$13),15-13*ORÇAMENTO!$AF$7)*OFFSET(ORÇAMENTO!$W$15,ROW(BJ189)-ROW(BJ$15),0),15-13*ORÇAMENTO!$AF$11)),
         0)</f>
        <v>0</v>
      </c>
      <c r="BK189" s="453">
        <f ca="1">IF(AND($D189="Serviço",BK$12&lt;&gt;0,$H189&gt;0,OR(AUTOEVENTO&lt;&gt;"manual",$M189&lt;&gt;$A$15)),
        IF(Import.TipoArredondamento&lt;&gt;"TransfereGOV",
              ROUND(OFFSET($P189,0,BK$13),15-13*ORÇAMENTO!$AF$7)/$H189*OFFSET(ORÇAMENTO!$X$15,ROW(BK189)-ROW(BK$15),0),
              ROUND(ROUND(OFFSET($P189,0,BK$13),15-13*ORÇAMENTO!$AF$7)*OFFSET(ORÇAMENTO!$W$15,ROW(BK189)-ROW(BK$15),0),15-13*ORÇAMENTO!$AF$11)),
         0)</f>
        <v>0</v>
      </c>
      <c r="BL189" s="453">
        <f ca="1">IF(AND($D189="Serviço",BL$12&lt;&gt;0,$H189&gt;0,OR(AUTOEVENTO&lt;&gt;"manual",$M189&lt;&gt;$A$15)),
        IF(Import.TipoArredondamento&lt;&gt;"TransfereGOV",
              ROUND(OFFSET($P189,0,BL$13),15-13*ORÇAMENTO!$AF$7)/$H189*OFFSET(ORÇAMENTO!$X$15,ROW(BL189)-ROW(BL$15),0),
              ROUND(ROUND(OFFSET($P189,0,BL$13),15-13*ORÇAMENTO!$AF$7)*OFFSET(ORÇAMENTO!$W$15,ROW(BL189)-ROW(BL$15),0),15-13*ORÇAMENTO!$AF$11)),
         0)</f>
        <v>0</v>
      </c>
      <c r="BM189" s="453">
        <f ca="1">IF(AND($D189="Serviço",BM$12&lt;&gt;0,$H189&gt;0,OR(AUTOEVENTO&lt;&gt;"manual",$M189&lt;&gt;$A$15)),
        IF(Import.TipoArredondamento&lt;&gt;"TransfereGOV",
              ROUND(OFFSET($P189,0,BM$13),15-13*ORÇAMENTO!$AF$7)/$H189*OFFSET(ORÇAMENTO!$X$15,ROW(BM189)-ROW(BM$15),0),
              ROUND(ROUND(OFFSET($P189,0,BM$13),15-13*ORÇAMENTO!$AF$7)*OFFSET(ORÇAMENTO!$W$15,ROW(BM189)-ROW(BM$15),0),15-13*ORÇAMENTO!$AF$11)),
         0)</f>
        <v>0</v>
      </c>
      <c r="BN189" s="453">
        <f ca="1">IF(AND($D189="Serviço",BN$12&lt;&gt;0,$H189&gt;0,OR(AUTOEVENTO&lt;&gt;"manual",$M189&lt;&gt;$A$15)),
        IF(Import.TipoArredondamento&lt;&gt;"TransfereGOV",
              ROUND(OFFSET($P189,0,BN$13),15-13*ORÇAMENTO!$AF$7)/$H189*OFFSET(ORÇAMENTO!$X$15,ROW(BN189)-ROW(BN$15),0),
              ROUND(ROUND(OFFSET($P189,0,BN$13),15-13*ORÇAMENTO!$AF$7)*OFFSET(ORÇAMENTO!$W$15,ROW(BN189)-ROW(BN$15),0),15-13*ORÇAMENTO!$AF$11)),
         0)</f>
        <v>0</v>
      </c>
      <c r="BO189" s="453">
        <f ca="1">IF(AND($D189="Serviço",BO$12&lt;&gt;0,$H189&gt;0,OR(AUTOEVENTO&lt;&gt;"manual",$M189&lt;&gt;$A$15)),
        IF(Import.TipoArredondamento&lt;&gt;"TransfereGOV",
              ROUND(OFFSET($P189,0,BO$13),15-13*ORÇAMENTO!$AF$7)/$H189*OFFSET(ORÇAMENTO!$X$15,ROW(BO189)-ROW(BO$15),0),
              ROUND(ROUND(OFFSET($P189,0,BO$13),15-13*ORÇAMENTO!$AF$7)*OFFSET(ORÇAMENTO!$W$15,ROW(BO189)-ROW(BO$15),0),15-13*ORÇAMENTO!$AF$11)),
         0)</f>
        <v>0</v>
      </c>
      <c r="BP189" s="453">
        <f ca="1">IF(AND($D189="Serviço",BP$12&lt;&gt;0,$H189&gt;0,OR(AUTOEVENTO&lt;&gt;"manual",$M189&lt;&gt;$A$15)),
        IF(Import.TipoArredondamento&lt;&gt;"TransfereGOV",
              ROUND(OFFSET($P189,0,BP$13),15-13*ORÇAMENTO!$AF$7)/$H189*OFFSET(ORÇAMENTO!$X$15,ROW(BP189)-ROW(BP$15),0),
              ROUND(ROUND(OFFSET($P189,0,BP$13),15-13*ORÇAMENTO!$AF$7)*OFFSET(ORÇAMENTO!$W$15,ROW(BP189)-ROW(BP$15),0),15-13*ORÇAMENTO!$AF$11)),
         0)</f>
        <v>0</v>
      </c>
      <c r="BQ189" s="453">
        <f ca="1">IF(AND($D189="Serviço",BQ$12&lt;&gt;0,$H189&gt;0,OR(AUTOEVENTO&lt;&gt;"manual",$M189&lt;&gt;$A$15)),
        IF(Import.TipoArredondamento&lt;&gt;"TransfereGOV",
              ROUND(OFFSET($P189,0,BQ$13),15-13*ORÇAMENTO!$AF$7)/$H189*OFFSET(ORÇAMENTO!$X$15,ROW(BQ189)-ROW(BQ$15),0),
              ROUND(ROUND(OFFSET($P189,0,BQ$13),15-13*ORÇAMENTO!$AF$7)*OFFSET(ORÇAMENTO!$W$15,ROW(BQ189)-ROW(BQ$15),0),15-13*ORÇAMENTO!$AF$11)),
         0)</f>
        <v>0</v>
      </c>
      <c r="BS189" s="171">
        <f ca="1">IF(OR($D189&lt;&gt;"Serviço",AND(AUTOEVENTO="Manual",$M189=$A$15)),0,
         IF(OFFSET(CRONOPLE!$F$15,$M189-$A$15,BS$13)=0,10^12,OFFSET(CRONOPLE!$F$15,$M189-$A$15,BS$13)))</f>
        <v>1</v>
      </c>
      <c r="BT189" s="171">
        <f ca="1">IF(OR($D189&lt;&gt;"Serviço",AND(AUTOEVENTO="Manual",$M189=$A$15)),0,
         IF(OFFSET(CRONOPLE!$F$15,$M189-$A$15,BT$13)=0,10^12,OFFSET(CRONOPLE!$F$15,$M189-$A$15,BT$13)))</f>
        <v>2</v>
      </c>
      <c r="BU189" s="171">
        <f ca="1">IF(OR($D189&lt;&gt;"Serviço",AND(AUTOEVENTO="Manual",$M189=$A$15)),0,
         IF(OFFSET(CRONOPLE!$F$15,$M189-$A$15,BU$13)=0,10^12,OFFSET(CRONOPLE!$F$15,$M189-$A$15,BU$13)))</f>
        <v>3</v>
      </c>
      <c r="BV189" s="171">
        <f ca="1">IF(OR($D189&lt;&gt;"Serviço",AND(AUTOEVENTO="Manual",$M189=$A$15)),0,
         IF(OFFSET(CRONOPLE!$F$15,$M189-$A$15,BV$13)=0,10^12,OFFSET(CRONOPLE!$F$15,$M189-$A$15,BV$13)))</f>
        <v>4</v>
      </c>
      <c r="BW189" s="171">
        <f ca="1">IF(OR($D189&lt;&gt;"Serviço",AND(AUTOEVENTO="Manual",$M189=$A$15)),0,
         IF(OFFSET(CRONOPLE!$F$15,$M189-$A$15,BW$13)=0,10^12,OFFSET(CRONOPLE!$F$15,$M189-$A$15,BW$13)))</f>
        <v>5</v>
      </c>
      <c r="BX189" s="171">
        <f ca="1">IF(OR($D189&lt;&gt;"Serviço",AND(AUTOEVENTO="Manual",$M189=$A$15)),0,
         IF(OFFSET(CRONOPLE!$F$15,$M189-$A$15,BX$13)=0,10^12,OFFSET(CRONOPLE!$F$15,$M189-$A$15,BX$13)))</f>
        <v>6</v>
      </c>
      <c r="BY189" s="171">
        <f ca="1">IF(OR($D189&lt;&gt;"Serviço",AND(AUTOEVENTO="Manual",$M189=$A$15)),0,
         IF(OFFSET(CRONOPLE!$F$15,$M189-$A$15,BY$13)=0,10^12,OFFSET(CRONOPLE!$F$15,$M189-$A$15,BY$13)))</f>
        <v>7</v>
      </c>
      <c r="BZ189" s="171">
        <f ca="1">IF(OR($D189&lt;&gt;"Serviço",AND(AUTOEVENTO="Manual",$M189=$A$15)),0,
         IF(OFFSET(CRONOPLE!$F$15,$M189-$A$15,BZ$13)=0,10^12,OFFSET(CRONOPLE!$F$15,$M189-$A$15,BZ$13)))</f>
        <v>8</v>
      </c>
      <c r="CA189" s="171">
        <f ca="1">IF(OR($D189&lt;&gt;"Serviço",AND(AUTOEVENTO="Manual",$M189=$A$15)),0,
         IF(OFFSET(CRONOPLE!$F$15,$M189-$A$15,CA$13)=0,10^12,OFFSET(CRONOPLE!$F$15,$M189-$A$15,CA$13)))</f>
        <v>9</v>
      </c>
      <c r="CB189" s="171">
        <f ca="1">IF(OR($D189&lt;&gt;"Serviço",AND(AUTOEVENTO="Manual",$M189=$A$15)),0,
         IF(OFFSET(CRONOPLE!$F$15,$M189-$A$15,CB$13)=0,10^12,OFFSET(CRONOPLE!$F$15,$M189-$A$15,CB$13)))</f>
        <v>10</v>
      </c>
      <c r="CC189" s="171">
        <f ca="1">IF(OR($D189&lt;&gt;"Serviço",AND(AUTOEVENTO="Manual",$M189=$A$15)),0,
         IF(OFFSET(CRONOPLE!$F$15,$M189-$A$15,CC$13)=0,10^12,OFFSET(CRONOPLE!$F$15,$M189-$A$15,CC$13)))</f>
        <v>11</v>
      </c>
      <c r="CD189" s="171">
        <f ca="1">IF(OR($D189&lt;&gt;"Serviço",AND(AUTOEVENTO="Manual",$M189=$A$15)),0,
         IF(OFFSET(CRONOPLE!$F$15,$M189-$A$15,CD$13)=0,10^12,OFFSET(CRONOPLE!$F$15,$M189-$A$15,CD$13)))</f>
        <v>12</v>
      </c>
      <c r="CE189" s="171">
        <f ca="1">IF(OR($D189&lt;&gt;"Serviço",AND(AUTOEVENTO="Manual",$M189=$A$15)),0,
         IF(OFFSET(CRONOPLE!$F$15,$M189-$A$15,CE$13)=0,10^12,OFFSET(CRONOPLE!$F$15,$M189-$A$15,CE$13)))</f>
        <v>13</v>
      </c>
      <c r="CF189" s="171">
        <f ca="1">IF(OR($D189&lt;&gt;"Serviço",AND(AUTOEVENTO="Manual",$M189=$A$15)),0,
         IF(OFFSET(CRONOPLE!$F$15,$M189-$A$15,CF$13)=0,10^12,OFFSET(CRONOPLE!$F$15,$M189-$A$15,CF$13)))</f>
        <v>14</v>
      </c>
      <c r="CG189" s="171">
        <f ca="1">IF(OR($D189&lt;&gt;"Serviço",AND(AUTOEVENTO="Manual",$M189=$A$15)),0,
         IF(OFFSET(CRONOPLE!$F$15,$M189-$A$15,CG$13)=0,10^12,OFFSET(CRONOPLE!$F$15,$M189-$A$15,CG$13)))</f>
        <v>15</v>
      </c>
      <c r="CH189" s="171">
        <f ca="1">IF(OR($D189&lt;&gt;"Serviço",AND(AUTOEVENTO="Manual",$M189=$A$15)),0,
         IF(OFFSET(CRONOPLE!$F$15,$M189-$A$15,CH$13)=0,10^12,OFFSET(CRONOPLE!$F$15,$M189-$A$15,CH$13)))</f>
        <v>16</v>
      </c>
      <c r="CI189" s="171">
        <f ca="1">IF(OR($D189&lt;&gt;"Serviço",AND(AUTOEVENTO="Manual",$M189=$A$15)),0,
         IF(OFFSET(CRONOPLE!$F$15,$M189-$A$15,CI$13)=0,10^12,OFFSET(CRONOPLE!$F$15,$M189-$A$15,CI$13)))</f>
        <v>17</v>
      </c>
      <c r="CJ189" s="171">
        <f ca="1">IF(OR($D189&lt;&gt;"Serviço",AND(AUTOEVENTO="Manual",$M189=$A$15)),0,
         IF(OFFSET(CRONOPLE!$F$15,$M189-$A$15,CJ$13)=0,10^12,OFFSET(CRONOPLE!$F$15,$M189-$A$15,CJ$13)))</f>
        <v>18</v>
      </c>
      <c r="CK189" s="171">
        <f ca="1">IF(OR($D189&lt;&gt;"Serviço",AND(AUTOEVENTO="Manual",$M189=$A$15)),0,
         IF(OFFSET(CRONOPLE!$F$15,$M189-$A$15,CK$13)=0,10^12,OFFSET(CRONOPLE!$F$15,$M189-$A$15,CK$13)))</f>
        <v>19</v>
      </c>
      <c r="CL189" s="171">
        <f ca="1">IF(OR($D189&lt;&gt;"Serviço",AND(AUTOEVENTO="Manual",$M189=$A$15)),0,
         IF(OFFSET(CRONOPLE!$F$15,$M189-$A$15,CL$13)=0,10^12,OFFSET(CRONOPLE!$F$15,$M189-$A$15,CL$13)))</f>
        <v>20</v>
      </c>
      <c r="CM189" s="171">
        <f ca="1">IF(OR($D189&lt;&gt;"Serviço",AND(AUTOEVENTO="Manual",$M189=$A$15)),0,
         IF(OFFSET(CRONOPLE!$F$15,$M189-$A$15,CM$13)=0,10^12,OFFSET(CRONOPLE!$F$15,$M189-$A$15,CM$13)))</f>
        <v>1000000000000</v>
      </c>
      <c r="CN189" s="171">
        <f ca="1">IF(OR($D189&lt;&gt;"Serviço",AND(AUTOEVENTO="Manual",$M189=$A$15)),0,
         IF(OFFSET(CRONOPLE!$F$15,$M189-$A$15,CN$13)=0,10^12,OFFSET(CRONOPLE!$F$15,$M189-$A$15,CN$13)))</f>
        <v>1000000000000</v>
      </c>
      <c r="CO189" s="171">
        <f ca="1">IF(OR($D189&lt;&gt;"Serviço",AND(AUTOEVENTO="Manual",$M189=$A$15)),0,
         IF(OFFSET(CRONOPLE!$F$15,$M189-$A$15,CO$13)=0,10^12,OFFSET(CRONOPLE!$F$15,$M189-$A$15,CO$13)))</f>
        <v>1000000000000</v>
      </c>
      <c r="CP189" s="171">
        <f ca="1">IF(OR($D189&lt;&gt;"Serviço",AND(AUTOEVENTO="Manual",$M189=$A$15)),0,
         IF(OFFSET(CRONOPLE!$F$15,$M189-$A$15,CP$13)=0,10^12,OFFSET(CRONOPLE!$F$15,$M189-$A$15,CP$13)))</f>
        <v>1000000000000</v>
      </c>
      <c r="CQ189" s="171">
        <f ca="1">IF(OR($D189&lt;&gt;"Serviço",AND(AUTOEVENTO="Manual",$M189=$A$15)),0,
         IF(OFFSET(CRONOPLE!$F$15,$M189-$A$15,CQ$13)=0,10^12,OFFSET(CRONOPLE!$F$15,$M189-$A$15,CQ$13)))</f>
        <v>1000000000000</v>
      </c>
      <c r="CR189" s="171">
        <f ca="1">IF(OR($D189&lt;&gt;"Serviço",AND(AUTOEVENTO="Manual",$M189=$A$15)),0,
         IF(OFFSET(CRONOPLE!$F$15,$M189-$A$15,CR$13)=0,10^12,OFFSET(CRONOPLE!$F$15,$M189-$A$15,CR$13)))</f>
        <v>1000000000000</v>
      </c>
      <c r="CT189" s="172" cm="1">
        <f t="array" aca="1" ref="CT189" ca="1">IF(OR($D189&lt;&gt;"Serviço",AND(AUTOEVENTO="Manual",$M189=$A$15),$M189&gt;(ROW(PLE.lastrow)-ROW(PLE.firstrow))),0,
           IF(OFFSET(PLE!$G$15,$M189-$A$15,CT$13)="",10^12,OFFSET(PLE!$G$15,$M189-$A$15,CT$13)))</f>
        <v>1000000000000</v>
      </c>
      <c r="CU189" s="172" cm="1">
        <f t="array" aca="1" ref="CU189" ca="1">IF(OR($D189&lt;&gt;"Serviço",AND(AUTOEVENTO="Manual",$M189=$A$15),$M189&gt;(ROW(PLE.lastrow)-ROW(PLE.firstrow))),0,
           IF(OFFSET(PLE!$G$15,$M189-$A$15,CU$13)="",10^12,OFFSET(PLE!$G$15,$M189-$A$15,CU$13)))</f>
        <v>1000000000000</v>
      </c>
      <c r="CV189" s="172" cm="1">
        <f t="array" aca="1" ref="CV189" ca="1">IF(OR($D189&lt;&gt;"Serviço",AND(AUTOEVENTO="Manual",$M189=$A$15),$M189&gt;(ROW(PLE.lastrow)-ROW(PLE.firstrow))),0,
           IF(OFFSET(PLE!$G$15,$M189-$A$15,CV$13)="",10^12,OFFSET(PLE!$G$15,$M189-$A$15,CV$13)))</f>
        <v>1000000000000</v>
      </c>
      <c r="CW189" s="172" cm="1">
        <f t="array" aca="1" ref="CW189" ca="1">IF(OR($D189&lt;&gt;"Serviço",AND(AUTOEVENTO="Manual",$M189=$A$15),$M189&gt;(ROW(PLE.lastrow)-ROW(PLE.firstrow))),0,
           IF(OFFSET(PLE!$G$15,$M189-$A$15,CW$13)="",10^12,OFFSET(PLE!$G$15,$M189-$A$15,CW$13)))</f>
        <v>1000000000000</v>
      </c>
      <c r="CX189" s="172" cm="1">
        <f t="array" aca="1" ref="CX189" ca="1">IF(OR($D189&lt;&gt;"Serviço",AND(AUTOEVENTO="Manual",$M189=$A$15),$M189&gt;(ROW(PLE.lastrow)-ROW(PLE.firstrow))),0,
           IF(OFFSET(PLE!$G$15,$M189-$A$15,CX$13)="",10^12,OFFSET(PLE!$G$15,$M189-$A$15,CX$13)))</f>
        <v>1000000000000</v>
      </c>
      <c r="CY189" s="172" cm="1">
        <f t="array" aca="1" ref="CY189" ca="1">IF(OR($D189&lt;&gt;"Serviço",AND(AUTOEVENTO="Manual",$M189=$A$15),$M189&gt;(ROW(PLE.lastrow)-ROW(PLE.firstrow))),0,
           IF(OFFSET(PLE!$G$15,$M189-$A$15,CY$13)="",10^12,OFFSET(PLE!$G$15,$M189-$A$15,CY$13)))</f>
        <v>1000000000000</v>
      </c>
      <c r="CZ189" s="172" cm="1">
        <f t="array" aca="1" ref="CZ189" ca="1">IF(OR($D189&lt;&gt;"Serviço",AND(AUTOEVENTO="Manual",$M189=$A$15),$M189&gt;(ROW(PLE.lastrow)-ROW(PLE.firstrow))),0,
           IF(OFFSET(PLE!$G$15,$M189-$A$15,CZ$13)="",10^12,OFFSET(PLE!$G$15,$M189-$A$15,CZ$13)))</f>
        <v>1000000000000</v>
      </c>
      <c r="DA189" s="172" cm="1">
        <f t="array" aca="1" ref="DA189" ca="1">IF(OR($D189&lt;&gt;"Serviço",AND(AUTOEVENTO="Manual",$M189=$A$15),$M189&gt;(ROW(PLE.lastrow)-ROW(PLE.firstrow))),0,
           IF(OFFSET(PLE!$G$15,$M189-$A$15,DA$13)="",10^12,OFFSET(PLE!$G$15,$M189-$A$15,DA$13)))</f>
        <v>1000000000000</v>
      </c>
      <c r="DB189" s="172" cm="1">
        <f t="array" aca="1" ref="DB189" ca="1">IF(OR($D189&lt;&gt;"Serviço",AND(AUTOEVENTO="Manual",$M189=$A$15),$M189&gt;(ROW(PLE.lastrow)-ROW(PLE.firstrow))),0,
           IF(OFFSET(PLE!$G$15,$M189-$A$15,DB$13)="",10^12,OFFSET(PLE!$G$15,$M189-$A$15,DB$13)))</f>
        <v>1000000000000</v>
      </c>
      <c r="DC189" s="172" cm="1">
        <f t="array" aca="1" ref="DC189" ca="1">IF(OR($D189&lt;&gt;"Serviço",AND(AUTOEVENTO="Manual",$M189=$A$15),$M189&gt;(ROW(PLE.lastrow)-ROW(PLE.firstrow))),0,
           IF(OFFSET(PLE!$G$15,$M189-$A$15,DC$13)="",10^12,OFFSET(PLE!$G$15,$M189-$A$15,DC$13)))</f>
        <v>1000000000000</v>
      </c>
      <c r="DD189" s="172" cm="1">
        <f t="array" aca="1" ref="DD189" ca="1">IF(OR($D189&lt;&gt;"Serviço",AND(AUTOEVENTO="Manual",$M189=$A$15),$M189&gt;(ROW(PLE.lastrow)-ROW(PLE.firstrow))),0,
           IF(OFFSET(PLE!$G$15,$M189-$A$15,DD$13)="",10^12,OFFSET(PLE!$G$15,$M189-$A$15,DD$13)))</f>
        <v>1000000000000</v>
      </c>
      <c r="DE189" s="172" cm="1">
        <f t="array" aca="1" ref="DE189" ca="1">IF(OR($D189&lt;&gt;"Serviço",AND(AUTOEVENTO="Manual",$M189=$A$15),$M189&gt;(ROW(PLE.lastrow)-ROW(PLE.firstrow))),0,
           IF(OFFSET(PLE!$G$15,$M189-$A$15,DE$13)="",10^12,OFFSET(PLE!$G$15,$M189-$A$15,DE$13)))</f>
        <v>1000000000000</v>
      </c>
      <c r="DF189" s="172" cm="1">
        <f t="array" aca="1" ref="DF189" ca="1">IF(OR($D189&lt;&gt;"Serviço",AND(AUTOEVENTO="Manual",$M189=$A$15),$M189&gt;(ROW(PLE.lastrow)-ROW(PLE.firstrow))),0,
           IF(OFFSET(PLE!$G$15,$M189-$A$15,DF$13)="",10^12,OFFSET(PLE!$G$15,$M189-$A$15,DF$13)))</f>
        <v>1000000000000</v>
      </c>
      <c r="DG189" s="172" cm="1">
        <f t="array" aca="1" ref="DG189" ca="1">IF(OR($D189&lt;&gt;"Serviço",AND(AUTOEVENTO="Manual",$M189=$A$15),$M189&gt;(ROW(PLE.lastrow)-ROW(PLE.firstrow))),0,
           IF(OFFSET(PLE!$G$15,$M189-$A$15,DG$13)="",10^12,OFFSET(PLE!$G$15,$M189-$A$15,DG$13)))</f>
        <v>1000000000000</v>
      </c>
      <c r="DH189" s="172" cm="1">
        <f t="array" aca="1" ref="DH189" ca="1">IF(OR($D189&lt;&gt;"Serviço",AND(AUTOEVENTO="Manual",$M189=$A$15),$M189&gt;(ROW(PLE.lastrow)-ROW(PLE.firstrow))),0,
           IF(OFFSET(PLE!$G$15,$M189-$A$15,DH$13)="",10^12,OFFSET(PLE!$G$15,$M189-$A$15,DH$13)))</f>
        <v>1000000000000</v>
      </c>
      <c r="DI189" s="172" cm="1">
        <f t="array" aca="1" ref="DI189" ca="1">IF(OR($D189&lt;&gt;"Serviço",AND(AUTOEVENTO="Manual",$M189=$A$15),$M189&gt;(ROW(PLE.lastrow)-ROW(PLE.firstrow))),0,
           IF(OFFSET(PLE!$G$15,$M189-$A$15,DI$13)="",10^12,OFFSET(PLE!$G$15,$M189-$A$15,DI$13)))</f>
        <v>1000000000000</v>
      </c>
      <c r="DJ189" s="172" cm="1">
        <f t="array" aca="1" ref="DJ189" ca="1">IF(OR($D189&lt;&gt;"Serviço",AND(AUTOEVENTO="Manual",$M189=$A$15),$M189&gt;(ROW(PLE.lastrow)-ROW(PLE.firstrow))),0,
           IF(OFFSET(PLE!$G$15,$M189-$A$15,DJ$13)="",10^12,OFFSET(PLE!$G$15,$M189-$A$15,DJ$13)))</f>
        <v>1000000000000</v>
      </c>
      <c r="DK189" s="172" cm="1">
        <f t="array" aca="1" ref="DK189" ca="1">IF(OR($D189&lt;&gt;"Serviço",AND(AUTOEVENTO="Manual",$M189=$A$15),$M189&gt;(ROW(PLE.lastrow)-ROW(PLE.firstrow))),0,
           IF(OFFSET(PLE!$G$15,$M189-$A$15,DK$13)="",10^12,OFFSET(PLE!$G$15,$M189-$A$15,DK$13)))</f>
        <v>1000000000000</v>
      </c>
      <c r="DL189" s="172" cm="1">
        <f t="array" aca="1" ref="DL189" ca="1">IF(OR($D189&lt;&gt;"Serviço",AND(AUTOEVENTO="Manual",$M189=$A$15),$M189&gt;(ROW(PLE.lastrow)-ROW(PLE.firstrow))),0,
           IF(OFFSET(PLE!$G$15,$M189-$A$15,DL$13)="",10^12,OFFSET(PLE!$G$15,$M189-$A$15,DL$13)))</f>
        <v>1000000000000</v>
      </c>
      <c r="DM189" s="172" cm="1">
        <f t="array" aca="1" ref="DM189" ca="1">IF(OR($D189&lt;&gt;"Serviço",AND(AUTOEVENTO="Manual",$M189=$A$15),$M189&gt;(ROW(PLE.lastrow)-ROW(PLE.firstrow))),0,
           IF(OFFSET(PLE!$G$15,$M189-$A$15,DM$13)="",10^12,OFFSET(PLE!$G$15,$M189-$A$15,DM$13)))</f>
        <v>1000000000000</v>
      </c>
      <c r="DN189" s="172" cm="1">
        <f t="array" aca="1" ref="DN189" ca="1">IF(OR($D189&lt;&gt;"Serviço",AND(AUTOEVENTO="Manual",$M189=$A$15),$M189&gt;(ROW(PLE.lastrow)-ROW(PLE.firstrow))),0,
           IF(OFFSET(PLE!$G$15,$M189-$A$15,DN$13)="",10^12,OFFSET(PLE!$G$15,$M189-$A$15,DN$13)))</f>
        <v>1000000000000</v>
      </c>
      <c r="DO189" s="172" cm="1">
        <f t="array" aca="1" ref="DO189" ca="1">IF(OR($D189&lt;&gt;"Serviço",AND(AUTOEVENTO="Manual",$M189=$A$15),$M189&gt;(ROW(PLE.lastrow)-ROW(PLE.firstrow))),0,
           IF(OFFSET(PLE!$G$15,$M189-$A$15,DO$13)="",10^12,OFFSET(PLE!$G$15,$M189-$A$15,DO$13)))</f>
        <v>1000000000000</v>
      </c>
      <c r="DP189" s="172" cm="1">
        <f t="array" aca="1" ref="DP189" ca="1">IF(OR($D189&lt;&gt;"Serviço",AND(AUTOEVENTO="Manual",$M189=$A$15),$M189&gt;(ROW(PLE.lastrow)-ROW(PLE.firstrow))),0,
           IF(OFFSET(PLE!$G$15,$M189-$A$15,DP$13)="",10^12,OFFSET(PLE!$G$15,$M189-$A$15,DP$13)))</f>
        <v>1000000000000</v>
      </c>
      <c r="DQ189" s="172" cm="1">
        <f t="array" aca="1" ref="DQ189" ca="1">IF(OR($D189&lt;&gt;"Serviço",AND(AUTOEVENTO="Manual",$M189=$A$15),$M189&gt;(ROW(PLE.lastrow)-ROW(PLE.firstrow))),0,
           IF(OFFSET(PLE!$G$15,$M189-$A$15,DQ$13)="",10^12,OFFSET(PLE!$G$15,$M189-$A$15,DQ$13)))</f>
        <v>1000000000000</v>
      </c>
      <c r="DR189" s="172" cm="1">
        <f t="array" aca="1" ref="DR189" ca="1">IF(OR($D189&lt;&gt;"Serviço",AND(AUTOEVENTO="Manual",$M189=$A$15),$M189&gt;(ROW(PLE.lastrow)-ROW(PLE.firstrow))),0,
           IF(OFFSET(PLE!$G$15,$M189-$A$15,DR$13)="",10^12,OFFSET(PLE!$G$15,$M189-$A$15,DR$13)))</f>
        <v>1000000000000</v>
      </c>
      <c r="DS189" s="172" cm="1">
        <f t="array" aca="1" ref="DS189" ca="1">IF(OR($D189&lt;&gt;"Serviço",AND(AUTOEVENTO="Manual",$M189=$A$15),$M189&gt;(ROW(PLE.lastrow)-ROW(PLE.firstrow))),0,
           IF(OFFSET(PLE!$G$15,$M189-$A$15,DS$13)="",10^12,OFFSET(PLE!$G$15,$M189-$A$15,DS$13)))</f>
        <v>1000000000000</v>
      </c>
    </row>
    <row r="190" spans="1:123" ht="25.5" x14ac:dyDescent="0.2">
      <c r="A190" s="7">
        <f t="shared" ca="1" si="18"/>
        <v>9</v>
      </c>
      <c r="B190" s="7" t="str">
        <f ca="1">OFFSET(ORÇAMENTO!C$15,$L190,0)</f>
        <v>S</v>
      </c>
      <c r="C190" s="7" t="str">
        <f ca="1">OFFSET(ORÇAMENTO!L$15,$L190,0)</f>
        <v/>
      </c>
      <c r="D190" s="116" t="str">
        <f ca="1">OFFSET(ORÇAMENTO!N$15,$L190,0)</f>
        <v>Serviço</v>
      </c>
      <c r="E190" s="117" t="str">
        <f ca="1">OFFSET(ORÇAMENTO!O$15,$L190,0)</f>
        <v>-</v>
      </c>
      <c r="F190" s="163" t="str">
        <f ca="1">OFFSET(ORÇAMENTO!R$15,$L190,0)</f>
        <v>(Código não identificado nas referências)</v>
      </c>
      <c r="G190" s="164" t="str">
        <f ca="1">IF($D190&lt;&gt;"Serviço","",OFFSET(ORÇAMENTO!S$15,$L190,0))</f>
        <v>-</v>
      </c>
      <c r="H190" s="122" cm="1">
        <f t="array" aca="1" ref="H190" ca="1">IF($D190&lt;&gt;"Serviço",0,IF(ACOMPANHAMENTO="BM",ROUND(OFFSET(ORÇAMENTO!AJ$15,$L190,0),15-13*ORÇAMENTO!$AF$7),IF(IFERROR(CÁLCULO.FrentesPreenchidas,0)=0,0,SUM(ROUND(OFFSET($P190,0,1,1,CÁLCULO.FrentesPreenchidas),15-13*ORÇAMENTO!$AF$7)))))</f>
        <v>20</v>
      </c>
      <c r="I190" s="468" t="s">
        <v>1235</v>
      </c>
      <c r="J190" s="651" t="str" cm="1">
        <f t="array" aca="1" ref="J190" ca="1">IF(OR(B190&lt;&gt;"S",CÁLCULO.FrentesPreenchidas=0),"",IF(AND(ACOMPANHAMENTO="PLE",AUTOEVENTO="Manual",OR(H190&gt;0,ORÇAMENTO!AC190="QUANT."),OR(K190="",M190=0,N190="")),"►E",IF(AND(ACOMPANHAMENTO="PLE",ORÇAMENTO!AC190="QUANT."),"►Q",IF(AND(ACOMPANHAMENTO="PLE",H190&lt;&gt;SUMPRODUCT(($Q$1:$AQ$1=1)*ROUND(Q190:AQ190,15))),"►S",IF(AND(COUNTIF($P$11:$AQ$11,"▼")=0,H190&gt;0,I190=""),"◄M","")))))</f>
        <v/>
      </c>
      <c r="K190" s="652" t="s">
        <v>1257</v>
      </c>
      <c r="L190" s="165">
        <f t="shared" ca="1" si="17"/>
        <v>175</v>
      </c>
      <c r="M190" s="166">
        <f ca="1">IF($D190&lt;&gt;"Serviço","",
          IF(AUTOEVENTO="manual",$A190,
                IF(ISERROR(MATCH($A190,$A$15:OFFSET($A190,-1,0),0)),MAX($M$15:OFFSET(M190,-1,0))+1,
                      INDEX($M$15:OFFSET(M190,-1,0),MATCH($A190,$A$15:OFFSET($A190,-1,0),0)))))</f>
        <v>9</v>
      </c>
      <c r="N190" s="167" t="str">
        <f ca="1">IF($D190&lt;&gt;"Serviço","",
         IF(AUTOEVENTO="Manual",
                IF($A190=0,"&lt;-- defina o número do agrupador",
                       OFFSET(EVENTOS!$D$15,$A190-$A$15,0)),
                OFFSET($F$15,$A190,0)))</f>
        <v>INSTALAÇÕES</v>
      </c>
      <c r="O190" s="168"/>
      <c r="Q190" s="168">
        <v>1</v>
      </c>
      <c r="R190" s="169">
        <v>1</v>
      </c>
      <c r="S190" s="169">
        <v>1</v>
      </c>
      <c r="T190" s="169">
        <v>1</v>
      </c>
      <c r="U190" s="169">
        <v>1</v>
      </c>
      <c r="V190" s="169">
        <v>1</v>
      </c>
      <c r="W190" s="169">
        <v>1</v>
      </c>
      <c r="X190" s="169">
        <v>1</v>
      </c>
      <c r="Y190" s="169">
        <v>1</v>
      </c>
      <c r="Z190" s="170">
        <v>1</v>
      </c>
      <c r="AA190" s="169">
        <v>1</v>
      </c>
      <c r="AB190" s="169">
        <v>1</v>
      </c>
      <c r="AC190" s="169">
        <v>1</v>
      </c>
      <c r="AD190" s="169">
        <v>1</v>
      </c>
      <c r="AE190" s="169">
        <v>1</v>
      </c>
      <c r="AF190" s="169">
        <v>1</v>
      </c>
      <c r="AG190" s="169">
        <v>1</v>
      </c>
      <c r="AH190" s="170">
        <v>1</v>
      </c>
      <c r="AI190" s="169">
        <v>1</v>
      </c>
      <c r="AJ190" s="169">
        <v>1</v>
      </c>
      <c r="AK190" s="169"/>
      <c r="AL190" s="169"/>
      <c r="AM190" s="169"/>
      <c r="AN190" s="169"/>
      <c r="AO190" s="169"/>
      <c r="AP190" s="170"/>
      <c r="AR190" s="453">
        <f ca="1">IF(AND($D190="Serviço",AR$12&lt;&gt;0,$H190&gt;0,OR(AUTOEVENTO&lt;&gt;"manual",$M190&lt;&gt;$A$15)),
        IF(Import.TipoArredondamento&lt;&gt;"TransfereGOV",
              ROUND(OFFSET($P190,0,AR$13),15-13*ORÇAMENTO!$AF$7)/$H190*OFFSET(ORÇAMENTO!$X$15,ROW(AR190)-ROW(AR$15),0),
              ROUND(ROUND(OFFSET($P190,0,AR$13),15-13*ORÇAMENTO!$AF$7)*OFFSET(ORÇAMENTO!$W$15,ROW(AR190)-ROW(AR$15),0),15-13*ORÇAMENTO!$AF$11)),
         0)</f>
        <v>0</v>
      </c>
      <c r="AS190" s="453">
        <f ca="1">IF(AND($D190="Serviço",AS$12&lt;&gt;0,$H190&gt;0,OR(AUTOEVENTO&lt;&gt;"manual",$M190&lt;&gt;$A$15)),
        IF(Import.TipoArredondamento&lt;&gt;"TransfereGOV",
              ROUND(OFFSET($P190,0,AS$13),15-13*ORÇAMENTO!$AF$7)/$H190*OFFSET(ORÇAMENTO!$X$15,ROW(AS190)-ROW(AS$15),0),
              ROUND(ROUND(OFFSET($P190,0,AS$13),15-13*ORÇAMENTO!$AF$7)*OFFSET(ORÇAMENTO!$W$15,ROW(AS190)-ROW(AS$15),0),15-13*ORÇAMENTO!$AF$11)),
         0)</f>
        <v>0</v>
      </c>
      <c r="AT190" s="453">
        <f ca="1">IF(AND($D190="Serviço",AT$12&lt;&gt;0,$H190&gt;0,OR(AUTOEVENTO&lt;&gt;"manual",$M190&lt;&gt;$A$15)),
        IF(Import.TipoArredondamento&lt;&gt;"TransfereGOV",
              ROUND(OFFSET($P190,0,AT$13),15-13*ORÇAMENTO!$AF$7)/$H190*OFFSET(ORÇAMENTO!$X$15,ROW(AT190)-ROW(AT$15),0),
              ROUND(ROUND(OFFSET($P190,0,AT$13),15-13*ORÇAMENTO!$AF$7)*OFFSET(ORÇAMENTO!$W$15,ROW(AT190)-ROW(AT$15),0),15-13*ORÇAMENTO!$AF$11)),
         0)</f>
        <v>0</v>
      </c>
      <c r="AU190" s="453">
        <f ca="1">IF(AND($D190="Serviço",AU$12&lt;&gt;0,$H190&gt;0,OR(AUTOEVENTO&lt;&gt;"manual",$M190&lt;&gt;$A$15)),
        IF(Import.TipoArredondamento&lt;&gt;"TransfereGOV",
              ROUND(OFFSET($P190,0,AU$13),15-13*ORÇAMENTO!$AF$7)/$H190*OFFSET(ORÇAMENTO!$X$15,ROW(AU190)-ROW(AU$15),0),
              ROUND(ROUND(OFFSET($P190,0,AU$13),15-13*ORÇAMENTO!$AF$7)*OFFSET(ORÇAMENTO!$W$15,ROW(AU190)-ROW(AU$15),0),15-13*ORÇAMENTO!$AF$11)),
         0)</f>
        <v>0</v>
      </c>
      <c r="AV190" s="453">
        <f ca="1">IF(AND($D190="Serviço",AV$12&lt;&gt;0,$H190&gt;0,OR(AUTOEVENTO&lt;&gt;"manual",$M190&lt;&gt;$A$15)),
        IF(Import.TipoArredondamento&lt;&gt;"TransfereGOV",
              ROUND(OFFSET($P190,0,AV$13),15-13*ORÇAMENTO!$AF$7)/$H190*OFFSET(ORÇAMENTO!$X$15,ROW(AV190)-ROW(AV$15),0),
              ROUND(ROUND(OFFSET($P190,0,AV$13),15-13*ORÇAMENTO!$AF$7)*OFFSET(ORÇAMENTO!$W$15,ROW(AV190)-ROW(AV$15),0),15-13*ORÇAMENTO!$AF$11)),
         0)</f>
        <v>0</v>
      </c>
      <c r="AW190" s="453">
        <f ca="1">IF(AND($D190="Serviço",AW$12&lt;&gt;0,$H190&gt;0,OR(AUTOEVENTO&lt;&gt;"manual",$M190&lt;&gt;$A$15)),
        IF(Import.TipoArredondamento&lt;&gt;"TransfereGOV",
              ROUND(OFFSET($P190,0,AW$13),15-13*ORÇAMENTO!$AF$7)/$H190*OFFSET(ORÇAMENTO!$X$15,ROW(AW190)-ROW(AW$15),0),
              ROUND(ROUND(OFFSET($P190,0,AW$13),15-13*ORÇAMENTO!$AF$7)*OFFSET(ORÇAMENTO!$W$15,ROW(AW190)-ROW(AW$15),0),15-13*ORÇAMENTO!$AF$11)),
         0)</f>
        <v>0</v>
      </c>
      <c r="AX190" s="453">
        <f ca="1">IF(AND($D190="Serviço",AX$12&lt;&gt;0,$H190&gt;0,OR(AUTOEVENTO&lt;&gt;"manual",$M190&lt;&gt;$A$15)),
        IF(Import.TipoArredondamento&lt;&gt;"TransfereGOV",
              ROUND(OFFSET($P190,0,AX$13),15-13*ORÇAMENTO!$AF$7)/$H190*OFFSET(ORÇAMENTO!$X$15,ROW(AX190)-ROW(AX$15),0),
              ROUND(ROUND(OFFSET($P190,0,AX$13),15-13*ORÇAMENTO!$AF$7)*OFFSET(ORÇAMENTO!$W$15,ROW(AX190)-ROW(AX$15),0),15-13*ORÇAMENTO!$AF$11)),
         0)</f>
        <v>0</v>
      </c>
      <c r="AY190" s="453">
        <f ca="1">IF(AND($D190="Serviço",AY$12&lt;&gt;0,$H190&gt;0,OR(AUTOEVENTO&lt;&gt;"manual",$M190&lt;&gt;$A$15)),
        IF(Import.TipoArredondamento&lt;&gt;"TransfereGOV",
              ROUND(OFFSET($P190,0,AY$13),15-13*ORÇAMENTO!$AF$7)/$H190*OFFSET(ORÇAMENTO!$X$15,ROW(AY190)-ROW(AY$15),0),
              ROUND(ROUND(OFFSET($P190,0,AY$13),15-13*ORÇAMENTO!$AF$7)*OFFSET(ORÇAMENTO!$W$15,ROW(AY190)-ROW(AY$15),0),15-13*ORÇAMENTO!$AF$11)),
         0)</f>
        <v>0</v>
      </c>
      <c r="AZ190" s="453">
        <f ca="1">IF(AND($D190="Serviço",AZ$12&lt;&gt;0,$H190&gt;0,OR(AUTOEVENTO&lt;&gt;"manual",$M190&lt;&gt;$A$15)),
        IF(Import.TipoArredondamento&lt;&gt;"TransfereGOV",
              ROUND(OFFSET($P190,0,AZ$13),15-13*ORÇAMENTO!$AF$7)/$H190*OFFSET(ORÇAMENTO!$X$15,ROW(AZ190)-ROW(AZ$15),0),
              ROUND(ROUND(OFFSET($P190,0,AZ$13),15-13*ORÇAMENTO!$AF$7)*OFFSET(ORÇAMENTO!$W$15,ROW(AZ190)-ROW(AZ$15),0),15-13*ORÇAMENTO!$AF$11)),
         0)</f>
        <v>0</v>
      </c>
      <c r="BA190" s="453">
        <f ca="1">IF(AND($D190="Serviço",BA$12&lt;&gt;0,$H190&gt;0,OR(AUTOEVENTO&lt;&gt;"manual",$M190&lt;&gt;$A$15)),
        IF(Import.TipoArredondamento&lt;&gt;"TransfereGOV",
              ROUND(OFFSET($P190,0,BA$13),15-13*ORÇAMENTO!$AF$7)/$H190*OFFSET(ORÇAMENTO!$X$15,ROW(BA190)-ROW(BA$15),0),
              ROUND(ROUND(OFFSET($P190,0,BA$13),15-13*ORÇAMENTO!$AF$7)*OFFSET(ORÇAMENTO!$W$15,ROW(BA190)-ROW(BA$15),0),15-13*ORÇAMENTO!$AF$11)),
         0)</f>
        <v>0</v>
      </c>
      <c r="BB190" s="453">
        <f ca="1">IF(AND($D190="Serviço",BB$12&lt;&gt;0,$H190&gt;0,OR(AUTOEVENTO&lt;&gt;"manual",$M190&lt;&gt;$A$15)),
        IF(Import.TipoArredondamento&lt;&gt;"TransfereGOV",
              ROUND(OFFSET($P190,0,BB$13),15-13*ORÇAMENTO!$AF$7)/$H190*OFFSET(ORÇAMENTO!$X$15,ROW(BB190)-ROW(BB$15),0),
              ROUND(ROUND(OFFSET($P190,0,BB$13),15-13*ORÇAMENTO!$AF$7)*OFFSET(ORÇAMENTO!$W$15,ROW(BB190)-ROW(BB$15),0),15-13*ORÇAMENTO!$AF$11)),
         0)</f>
        <v>0</v>
      </c>
      <c r="BC190" s="453">
        <f ca="1">IF(AND($D190="Serviço",BC$12&lt;&gt;0,$H190&gt;0,OR(AUTOEVENTO&lt;&gt;"manual",$M190&lt;&gt;$A$15)),
        IF(Import.TipoArredondamento&lt;&gt;"TransfereGOV",
              ROUND(OFFSET($P190,0,BC$13),15-13*ORÇAMENTO!$AF$7)/$H190*OFFSET(ORÇAMENTO!$X$15,ROW(BC190)-ROW(BC$15),0),
              ROUND(ROUND(OFFSET($P190,0,BC$13),15-13*ORÇAMENTO!$AF$7)*OFFSET(ORÇAMENTO!$W$15,ROW(BC190)-ROW(BC$15),0),15-13*ORÇAMENTO!$AF$11)),
         0)</f>
        <v>0</v>
      </c>
      <c r="BD190" s="453">
        <f ca="1">IF(AND($D190="Serviço",BD$12&lt;&gt;0,$H190&gt;0,OR(AUTOEVENTO&lt;&gt;"manual",$M190&lt;&gt;$A$15)),
        IF(Import.TipoArredondamento&lt;&gt;"TransfereGOV",
              ROUND(OFFSET($P190,0,BD$13),15-13*ORÇAMENTO!$AF$7)/$H190*OFFSET(ORÇAMENTO!$X$15,ROW(BD190)-ROW(BD$15),0),
              ROUND(ROUND(OFFSET($P190,0,BD$13),15-13*ORÇAMENTO!$AF$7)*OFFSET(ORÇAMENTO!$W$15,ROW(BD190)-ROW(BD$15),0),15-13*ORÇAMENTO!$AF$11)),
         0)</f>
        <v>0</v>
      </c>
      <c r="BE190" s="453">
        <f ca="1">IF(AND($D190="Serviço",BE$12&lt;&gt;0,$H190&gt;0,OR(AUTOEVENTO&lt;&gt;"manual",$M190&lt;&gt;$A$15)),
        IF(Import.TipoArredondamento&lt;&gt;"TransfereGOV",
              ROUND(OFFSET($P190,0,BE$13),15-13*ORÇAMENTO!$AF$7)/$H190*OFFSET(ORÇAMENTO!$X$15,ROW(BE190)-ROW(BE$15),0),
              ROUND(ROUND(OFFSET($P190,0,BE$13),15-13*ORÇAMENTO!$AF$7)*OFFSET(ORÇAMENTO!$W$15,ROW(BE190)-ROW(BE$15),0),15-13*ORÇAMENTO!$AF$11)),
         0)</f>
        <v>0</v>
      </c>
      <c r="BF190" s="453">
        <f ca="1">IF(AND($D190="Serviço",BF$12&lt;&gt;0,$H190&gt;0,OR(AUTOEVENTO&lt;&gt;"manual",$M190&lt;&gt;$A$15)),
        IF(Import.TipoArredondamento&lt;&gt;"TransfereGOV",
              ROUND(OFFSET($P190,0,BF$13),15-13*ORÇAMENTO!$AF$7)/$H190*OFFSET(ORÇAMENTO!$X$15,ROW(BF190)-ROW(BF$15),0),
              ROUND(ROUND(OFFSET($P190,0,BF$13),15-13*ORÇAMENTO!$AF$7)*OFFSET(ORÇAMENTO!$W$15,ROW(BF190)-ROW(BF$15),0),15-13*ORÇAMENTO!$AF$11)),
         0)</f>
        <v>0</v>
      </c>
      <c r="BG190" s="453">
        <f ca="1">IF(AND($D190="Serviço",BG$12&lt;&gt;0,$H190&gt;0,OR(AUTOEVENTO&lt;&gt;"manual",$M190&lt;&gt;$A$15)),
        IF(Import.TipoArredondamento&lt;&gt;"TransfereGOV",
              ROUND(OFFSET($P190,0,BG$13),15-13*ORÇAMENTO!$AF$7)/$H190*OFFSET(ORÇAMENTO!$X$15,ROW(BG190)-ROW(BG$15),0),
              ROUND(ROUND(OFFSET($P190,0,BG$13),15-13*ORÇAMENTO!$AF$7)*OFFSET(ORÇAMENTO!$W$15,ROW(BG190)-ROW(BG$15),0),15-13*ORÇAMENTO!$AF$11)),
         0)</f>
        <v>0</v>
      </c>
      <c r="BH190" s="453">
        <f ca="1">IF(AND($D190="Serviço",BH$12&lt;&gt;0,$H190&gt;0,OR(AUTOEVENTO&lt;&gt;"manual",$M190&lt;&gt;$A$15)),
        IF(Import.TipoArredondamento&lt;&gt;"TransfereGOV",
              ROUND(OFFSET($P190,0,BH$13),15-13*ORÇAMENTO!$AF$7)/$H190*OFFSET(ORÇAMENTO!$X$15,ROW(BH190)-ROW(BH$15),0),
              ROUND(ROUND(OFFSET($P190,0,BH$13),15-13*ORÇAMENTO!$AF$7)*OFFSET(ORÇAMENTO!$W$15,ROW(BH190)-ROW(BH$15),0),15-13*ORÇAMENTO!$AF$11)),
         0)</f>
        <v>0</v>
      </c>
      <c r="BI190" s="453">
        <f ca="1">IF(AND($D190="Serviço",BI$12&lt;&gt;0,$H190&gt;0,OR(AUTOEVENTO&lt;&gt;"manual",$M190&lt;&gt;$A$15)),
        IF(Import.TipoArredondamento&lt;&gt;"TransfereGOV",
              ROUND(OFFSET($P190,0,BI$13),15-13*ORÇAMENTO!$AF$7)/$H190*OFFSET(ORÇAMENTO!$X$15,ROW(BI190)-ROW(BI$15),0),
              ROUND(ROUND(OFFSET($P190,0,BI$13),15-13*ORÇAMENTO!$AF$7)*OFFSET(ORÇAMENTO!$W$15,ROW(BI190)-ROW(BI$15),0),15-13*ORÇAMENTO!$AF$11)),
         0)</f>
        <v>0</v>
      </c>
      <c r="BJ190" s="453">
        <f ca="1">IF(AND($D190="Serviço",BJ$12&lt;&gt;0,$H190&gt;0,OR(AUTOEVENTO&lt;&gt;"manual",$M190&lt;&gt;$A$15)),
        IF(Import.TipoArredondamento&lt;&gt;"TransfereGOV",
              ROUND(OFFSET($P190,0,BJ$13),15-13*ORÇAMENTO!$AF$7)/$H190*OFFSET(ORÇAMENTO!$X$15,ROW(BJ190)-ROW(BJ$15),0),
              ROUND(ROUND(OFFSET($P190,0,BJ$13),15-13*ORÇAMENTO!$AF$7)*OFFSET(ORÇAMENTO!$W$15,ROW(BJ190)-ROW(BJ$15),0),15-13*ORÇAMENTO!$AF$11)),
         0)</f>
        <v>0</v>
      </c>
      <c r="BK190" s="453">
        <f ca="1">IF(AND($D190="Serviço",BK$12&lt;&gt;0,$H190&gt;0,OR(AUTOEVENTO&lt;&gt;"manual",$M190&lt;&gt;$A$15)),
        IF(Import.TipoArredondamento&lt;&gt;"TransfereGOV",
              ROUND(OFFSET($P190,0,BK$13),15-13*ORÇAMENTO!$AF$7)/$H190*OFFSET(ORÇAMENTO!$X$15,ROW(BK190)-ROW(BK$15),0),
              ROUND(ROUND(OFFSET($P190,0,BK$13),15-13*ORÇAMENTO!$AF$7)*OFFSET(ORÇAMENTO!$W$15,ROW(BK190)-ROW(BK$15),0),15-13*ORÇAMENTO!$AF$11)),
         0)</f>
        <v>0</v>
      </c>
      <c r="BL190" s="453">
        <f ca="1">IF(AND($D190="Serviço",BL$12&lt;&gt;0,$H190&gt;0,OR(AUTOEVENTO&lt;&gt;"manual",$M190&lt;&gt;$A$15)),
        IF(Import.TipoArredondamento&lt;&gt;"TransfereGOV",
              ROUND(OFFSET($P190,0,BL$13),15-13*ORÇAMENTO!$AF$7)/$H190*OFFSET(ORÇAMENTO!$X$15,ROW(BL190)-ROW(BL$15),0),
              ROUND(ROUND(OFFSET($P190,0,BL$13),15-13*ORÇAMENTO!$AF$7)*OFFSET(ORÇAMENTO!$W$15,ROW(BL190)-ROW(BL$15),0),15-13*ORÇAMENTO!$AF$11)),
         0)</f>
        <v>0</v>
      </c>
      <c r="BM190" s="453">
        <f ca="1">IF(AND($D190="Serviço",BM$12&lt;&gt;0,$H190&gt;0,OR(AUTOEVENTO&lt;&gt;"manual",$M190&lt;&gt;$A$15)),
        IF(Import.TipoArredondamento&lt;&gt;"TransfereGOV",
              ROUND(OFFSET($P190,0,BM$13),15-13*ORÇAMENTO!$AF$7)/$H190*OFFSET(ORÇAMENTO!$X$15,ROW(BM190)-ROW(BM$15),0),
              ROUND(ROUND(OFFSET($P190,0,BM$13),15-13*ORÇAMENTO!$AF$7)*OFFSET(ORÇAMENTO!$W$15,ROW(BM190)-ROW(BM$15),0),15-13*ORÇAMENTO!$AF$11)),
         0)</f>
        <v>0</v>
      </c>
      <c r="BN190" s="453">
        <f ca="1">IF(AND($D190="Serviço",BN$12&lt;&gt;0,$H190&gt;0,OR(AUTOEVENTO&lt;&gt;"manual",$M190&lt;&gt;$A$15)),
        IF(Import.TipoArredondamento&lt;&gt;"TransfereGOV",
              ROUND(OFFSET($P190,0,BN$13),15-13*ORÇAMENTO!$AF$7)/$H190*OFFSET(ORÇAMENTO!$X$15,ROW(BN190)-ROW(BN$15),0),
              ROUND(ROUND(OFFSET($P190,0,BN$13),15-13*ORÇAMENTO!$AF$7)*OFFSET(ORÇAMENTO!$W$15,ROW(BN190)-ROW(BN$15),0),15-13*ORÇAMENTO!$AF$11)),
         0)</f>
        <v>0</v>
      </c>
      <c r="BO190" s="453">
        <f ca="1">IF(AND($D190="Serviço",BO$12&lt;&gt;0,$H190&gt;0,OR(AUTOEVENTO&lt;&gt;"manual",$M190&lt;&gt;$A$15)),
        IF(Import.TipoArredondamento&lt;&gt;"TransfereGOV",
              ROUND(OFFSET($P190,0,BO$13),15-13*ORÇAMENTO!$AF$7)/$H190*OFFSET(ORÇAMENTO!$X$15,ROW(BO190)-ROW(BO$15),0),
              ROUND(ROUND(OFFSET($P190,0,BO$13),15-13*ORÇAMENTO!$AF$7)*OFFSET(ORÇAMENTO!$W$15,ROW(BO190)-ROW(BO$15),0),15-13*ORÇAMENTO!$AF$11)),
         0)</f>
        <v>0</v>
      </c>
      <c r="BP190" s="453">
        <f ca="1">IF(AND($D190="Serviço",BP$12&lt;&gt;0,$H190&gt;0,OR(AUTOEVENTO&lt;&gt;"manual",$M190&lt;&gt;$A$15)),
        IF(Import.TipoArredondamento&lt;&gt;"TransfereGOV",
              ROUND(OFFSET($P190,0,BP$13),15-13*ORÇAMENTO!$AF$7)/$H190*OFFSET(ORÇAMENTO!$X$15,ROW(BP190)-ROW(BP$15),0),
              ROUND(ROUND(OFFSET($P190,0,BP$13),15-13*ORÇAMENTO!$AF$7)*OFFSET(ORÇAMENTO!$W$15,ROW(BP190)-ROW(BP$15),0),15-13*ORÇAMENTO!$AF$11)),
         0)</f>
        <v>0</v>
      </c>
      <c r="BQ190" s="453">
        <f ca="1">IF(AND($D190="Serviço",BQ$12&lt;&gt;0,$H190&gt;0,OR(AUTOEVENTO&lt;&gt;"manual",$M190&lt;&gt;$A$15)),
        IF(Import.TipoArredondamento&lt;&gt;"TransfereGOV",
              ROUND(OFFSET($P190,0,BQ$13),15-13*ORÇAMENTO!$AF$7)/$H190*OFFSET(ORÇAMENTO!$X$15,ROW(BQ190)-ROW(BQ$15),0),
              ROUND(ROUND(OFFSET($P190,0,BQ$13),15-13*ORÇAMENTO!$AF$7)*OFFSET(ORÇAMENTO!$W$15,ROW(BQ190)-ROW(BQ$15),0),15-13*ORÇAMENTO!$AF$11)),
         0)</f>
        <v>0</v>
      </c>
      <c r="BS190" s="171">
        <f ca="1">IF(OR($D190&lt;&gt;"Serviço",AND(AUTOEVENTO="Manual",$M190=$A$15)),0,
         IF(OFFSET(CRONOPLE!$F$15,$M190-$A$15,BS$13)=0,10^12,OFFSET(CRONOPLE!$F$15,$M190-$A$15,BS$13)))</f>
        <v>1</v>
      </c>
      <c r="BT190" s="171">
        <f ca="1">IF(OR($D190&lt;&gt;"Serviço",AND(AUTOEVENTO="Manual",$M190=$A$15)),0,
         IF(OFFSET(CRONOPLE!$F$15,$M190-$A$15,BT$13)=0,10^12,OFFSET(CRONOPLE!$F$15,$M190-$A$15,BT$13)))</f>
        <v>2</v>
      </c>
      <c r="BU190" s="171">
        <f ca="1">IF(OR($D190&lt;&gt;"Serviço",AND(AUTOEVENTO="Manual",$M190=$A$15)),0,
         IF(OFFSET(CRONOPLE!$F$15,$M190-$A$15,BU$13)=0,10^12,OFFSET(CRONOPLE!$F$15,$M190-$A$15,BU$13)))</f>
        <v>3</v>
      </c>
      <c r="BV190" s="171">
        <f ca="1">IF(OR($D190&lt;&gt;"Serviço",AND(AUTOEVENTO="Manual",$M190=$A$15)),0,
         IF(OFFSET(CRONOPLE!$F$15,$M190-$A$15,BV$13)=0,10^12,OFFSET(CRONOPLE!$F$15,$M190-$A$15,BV$13)))</f>
        <v>4</v>
      </c>
      <c r="BW190" s="171">
        <f ca="1">IF(OR($D190&lt;&gt;"Serviço",AND(AUTOEVENTO="Manual",$M190=$A$15)),0,
         IF(OFFSET(CRONOPLE!$F$15,$M190-$A$15,BW$13)=0,10^12,OFFSET(CRONOPLE!$F$15,$M190-$A$15,BW$13)))</f>
        <v>5</v>
      </c>
      <c r="BX190" s="171">
        <f ca="1">IF(OR($D190&lt;&gt;"Serviço",AND(AUTOEVENTO="Manual",$M190=$A$15)),0,
         IF(OFFSET(CRONOPLE!$F$15,$M190-$A$15,BX$13)=0,10^12,OFFSET(CRONOPLE!$F$15,$M190-$A$15,BX$13)))</f>
        <v>6</v>
      </c>
      <c r="BY190" s="171">
        <f ca="1">IF(OR($D190&lt;&gt;"Serviço",AND(AUTOEVENTO="Manual",$M190=$A$15)),0,
         IF(OFFSET(CRONOPLE!$F$15,$M190-$A$15,BY$13)=0,10^12,OFFSET(CRONOPLE!$F$15,$M190-$A$15,BY$13)))</f>
        <v>7</v>
      </c>
      <c r="BZ190" s="171">
        <f ca="1">IF(OR($D190&lt;&gt;"Serviço",AND(AUTOEVENTO="Manual",$M190=$A$15)),0,
         IF(OFFSET(CRONOPLE!$F$15,$M190-$A$15,BZ$13)=0,10^12,OFFSET(CRONOPLE!$F$15,$M190-$A$15,BZ$13)))</f>
        <v>8</v>
      </c>
      <c r="CA190" s="171">
        <f ca="1">IF(OR($D190&lt;&gt;"Serviço",AND(AUTOEVENTO="Manual",$M190=$A$15)),0,
         IF(OFFSET(CRONOPLE!$F$15,$M190-$A$15,CA$13)=0,10^12,OFFSET(CRONOPLE!$F$15,$M190-$A$15,CA$13)))</f>
        <v>9</v>
      </c>
      <c r="CB190" s="171">
        <f ca="1">IF(OR($D190&lt;&gt;"Serviço",AND(AUTOEVENTO="Manual",$M190=$A$15)),0,
         IF(OFFSET(CRONOPLE!$F$15,$M190-$A$15,CB$13)=0,10^12,OFFSET(CRONOPLE!$F$15,$M190-$A$15,CB$13)))</f>
        <v>10</v>
      </c>
      <c r="CC190" s="171">
        <f ca="1">IF(OR($D190&lt;&gt;"Serviço",AND(AUTOEVENTO="Manual",$M190=$A$15)),0,
         IF(OFFSET(CRONOPLE!$F$15,$M190-$A$15,CC$13)=0,10^12,OFFSET(CRONOPLE!$F$15,$M190-$A$15,CC$13)))</f>
        <v>11</v>
      </c>
      <c r="CD190" s="171">
        <f ca="1">IF(OR($D190&lt;&gt;"Serviço",AND(AUTOEVENTO="Manual",$M190=$A$15)),0,
         IF(OFFSET(CRONOPLE!$F$15,$M190-$A$15,CD$13)=0,10^12,OFFSET(CRONOPLE!$F$15,$M190-$A$15,CD$13)))</f>
        <v>12</v>
      </c>
      <c r="CE190" s="171">
        <f ca="1">IF(OR($D190&lt;&gt;"Serviço",AND(AUTOEVENTO="Manual",$M190=$A$15)),0,
         IF(OFFSET(CRONOPLE!$F$15,$M190-$A$15,CE$13)=0,10^12,OFFSET(CRONOPLE!$F$15,$M190-$A$15,CE$13)))</f>
        <v>13</v>
      </c>
      <c r="CF190" s="171">
        <f ca="1">IF(OR($D190&lt;&gt;"Serviço",AND(AUTOEVENTO="Manual",$M190=$A$15)),0,
         IF(OFFSET(CRONOPLE!$F$15,$M190-$A$15,CF$13)=0,10^12,OFFSET(CRONOPLE!$F$15,$M190-$A$15,CF$13)))</f>
        <v>14</v>
      </c>
      <c r="CG190" s="171">
        <f ca="1">IF(OR($D190&lt;&gt;"Serviço",AND(AUTOEVENTO="Manual",$M190=$A$15)),0,
         IF(OFFSET(CRONOPLE!$F$15,$M190-$A$15,CG$13)=0,10^12,OFFSET(CRONOPLE!$F$15,$M190-$A$15,CG$13)))</f>
        <v>15</v>
      </c>
      <c r="CH190" s="171">
        <f ca="1">IF(OR($D190&lt;&gt;"Serviço",AND(AUTOEVENTO="Manual",$M190=$A$15)),0,
         IF(OFFSET(CRONOPLE!$F$15,$M190-$A$15,CH$13)=0,10^12,OFFSET(CRONOPLE!$F$15,$M190-$A$15,CH$13)))</f>
        <v>16</v>
      </c>
      <c r="CI190" s="171">
        <f ca="1">IF(OR($D190&lt;&gt;"Serviço",AND(AUTOEVENTO="Manual",$M190=$A$15)),0,
         IF(OFFSET(CRONOPLE!$F$15,$M190-$A$15,CI$13)=0,10^12,OFFSET(CRONOPLE!$F$15,$M190-$A$15,CI$13)))</f>
        <v>17</v>
      </c>
      <c r="CJ190" s="171">
        <f ca="1">IF(OR($D190&lt;&gt;"Serviço",AND(AUTOEVENTO="Manual",$M190=$A$15)),0,
         IF(OFFSET(CRONOPLE!$F$15,$M190-$A$15,CJ$13)=0,10^12,OFFSET(CRONOPLE!$F$15,$M190-$A$15,CJ$13)))</f>
        <v>18</v>
      </c>
      <c r="CK190" s="171">
        <f ca="1">IF(OR($D190&lt;&gt;"Serviço",AND(AUTOEVENTO="Manual",$M190=$A$15)),0,
         IF(OFFSET(CRONOPLE!$F$15,$M190-$A$15,CK$13)=0,10^12,OFFSET(CRONOPLE!$F$15,$M190-$A$15,CK$13)))</f>
        <v>19</v>
      </c>
      <c r="CL190" s="171">
        <f ca="1">IF(OR($D190&lt;&gt;"Serviço",AND(AUTOEVENTO="Manual",$M190=$A$15)),0,
         IF(OFFSET(CRONOPLE!$F$15,$M190-$A$15,CL$13)=0,10^12,OFFSET(CRONOPLE!$F$15,$M190-$A$15,CL$13)))</f>
        <v>20</v>
      </c>
      <c r="CM190" s="171">
        <f ca="1">IF(OR($D190&lt;&gt;"Serviço",AND(AUTOEVENTO="Manual",$M190=$A$15)),0,
         IF(OFFSET(CRONOPLE!$F$15,$M190-$A$15,CM$13)=0,10^12,OFFSET(CRONOPLE!$F$15,$M190-$A$15,CM$13)))</f>
        <v>1000000000000</v>
      </c>
      <c r="CN190" s="171">
        <f ca="1">IF(OR($D190&lt;&gt;"Serviço",AND(AUTOEVENTO="Manual",$M190=$A$15)),0,
         IF(OFFSET(CRONOPLE!$F$15,$M190-$A$15,CN$13)=0,10^12,OFFSET(CRONOPLE!$F$15,$M190-$A$15,CN$13)))</f>
        <v>1000000000000</v>
      </c>
      <c r="CO190" s="171">
        <f ca="1">IF(OR($D190&lt;&gt;"Serviço",AND(AUTOEVENTO="Manual",$M190=$A$15)),0,
         IF(OFFSET(CRONOPLE!$F$15,$M190-$A$15,CO$13)=0,10^12,OFFSET(CRONOPLE!$F$15,$M190-$A$15,CO$13)))</f>
        <v>1000000000000</v>
      </c>
      <c r="CP190" s="171">
        <f ca="1">IF(OR($D190&lt;&gt;"Serviço",AND(AUTOEVENTO="Manual",$M190=$A$15)),0,
         IF(OFFSET(CRONOPLE!$F$15,$M190-$A$15,CP$13)=0,10^12,OFFSET(CRONOPLE!$F$15,$M190-$A$15,CP$13)))</f>
        <v>1000000000000</v>
      </c>
      <c r="CQ190" s="171">
        <f ca="1">IF(OR($D190&lt;&gt;"Serviço",AND(AUTOEVENTO="Manual",$M190=$A$15)),0,
         IF(OFFSET(CRONOPLE!$F$15,$M190-$A$15,CQ$13)=0,10^12,OFFSET(CRONOPLE!$F$15,$M190-$A$15,CQ$13)))</f>
        <v>1000000000000</v>
      </c>
      <c r="CR190" s="171">
        <f ca="1">IF(OR($D190&lt;&gt;"Serviço",AND(AUTOEVENTO="Manual",$M190=$A$15)),0,
         IF(OFFSET(CRONOPLE!$F$15,$M190-$A$15,CR$13)=0,10^12,OFFSET(CRONOPLE!$F$15,$M190-$A$15,CR$13)))</f>
        <v>1000000000000</v>
      </c>
      <c r="CT190" s="172" cm="1">
        <f t="array" aca="1" ref="CT190" ca="1">IF(OR($D190&lt;&gt;"Serviço",AND(AUTOEVENTO="Manual",$M190=$A$15),$M190&gt;(ROW(PLE.lastrow)-ROW(PLE.firstrow))),0,
           IF(OFFSET(PLE!$G$15,$M190-$A$15,CT$13)="",10^12,OFFSET(PLE!$G$15,$M190-$A$15,CT$13)))</f>
        <v>1000000000000</v>
      </c>
      <c r="CU190" s="172" cm="1">
        <f t="array" aca="1" ref="CU190" ca="1">IF(OR($D190&lt;&gt;"Serviço",AND(AUTOEVENTO="Manual",$M190=$A$15),$M190&gt;(ROW(PLE.lastrow)-ROW(PLE.firstrow))),0,
           IF(OFFSET(PLE!$G$15,$M190-$A$15,CU$13)="",10^12,OFFSET(PLE!$G$15,$M190-$A$15,CU$13)))</f>
        <v>1000000000000</v>
      </c>
      <c r="CV190" s="172" cm="1">
        <f t="array" aca="1" ref="CV190" ca="1">IF(OR($D190&lt;&gt;"Serviço",AND(AUTOEVENTO="Manual",$M190=$A$15),$M190&gt;(ROW(PLE.lastrow)-ROW(PLE.firstrow))),0,
           IF(OFFSET(PLE!$G$15,$M190-$A$15,CV$13)="",10^12,OFFSET(PLE!$G$15,$M190-$A$15,CV$13)))</f>
        <v>1000000000000</v>
      </c>
      <c r="CW190" s="172" cm="1">
        <f t="array" aca="1" ref="CW190" ca="1">IF(OR($D190&lt;&gt;"Serviço",AND(AUTOEVENTO="Manual",$M190=$A$15),$M190&gt;(ROW(PLE.lastrow)-ROW(PLE.firstrow))),0,
           IF(OFFSET(PLE!$G$15,$M190-$A$15,CW$13)="",10^12,OFFSET(PLE!$G$15,$M190-$A$15,CW$13)))</f>
        <v>1000000000000</v>
      </c>
      <c r="CX190" s="172" cm="1">
        <f t="array" aca="1" ref="CX190" ca="1">IF(OR($D190&lt;&gt;"Serviço",AND(AUTOEVENTO="Manual",$M190=$A$15),$M190&gt;(ROW(PLE.lastrow)-ROW(PLE.firstrow))),0,
           IF(OFFSET(PLE!$G$15,$M190-$A$15,CX$13)="",10^12,OFFSET(PLE!$G$15,$M190-$A$15,CX$13)))</f>
        <v>1000000000000</v>
      </c>
      <c r="CY190" s="172" cm="1">
        <f t="array" aca="1" ref="CY190" ca="1">IF(OR($D190&lt;&gt;"Serviço",AND(AUTOEVENTO="Manual",$M190=$A$15),$M190&gt;(ROW(PLE.lastrow)-ROW(PLE.firstrow))),0,
           IF(OFFSET(PLE!$G$15,$M190-$A$15,CY$13)="",10^12,OFFSET(PLE!$G$15,$M190-$A$15,CY$13)))</f>
        <v>1000000000000</v>
      </c>
      <c r="CZ190" s="172" cm="1">
        <f t="array" aca="1" ref="CZ190" ca="1">IF(OR($D190&lt;&gt;"Serviço",AND(AUTOEVENTO="Manual",$M190=$A$15),$M190&gt;(ROW(PLE.lastrow)-ROW(PLE.firstrow))),0,
           IF(OFFSET(PLE!$G$15,$M190-$A$15,CZ$13)="",10^12,OFFSET(PLE!$G$15,$M190-$A$15,CZ$13)))</f>
        <v>1000000000000</v>
      </c>
      <c r="DA190" s="172" cm="1">
        <f t="array" aca="1" ref="DA190" ca="1">IF(OR($D190&lt;&gt;"Serviço",AND(AUTOEVENTO="Manual",$M190=$A$15),$M190&gt;(ROW(PLE.lastrow)-ROW(PLE.firstrow))),0,
           IF(OFFSET(PLE!$G$15,$M190-$A$15,DA$13)="",10^12,OFFSET(PLE!$G$15,$M190-$A$15,DA$13)))</f>
        <v>1000000000000</v>
      </c>
      <c r="DB190" s="172" cm="1">
        <f t="array" aca="1" ref="DB190" ca="1">IF(OR($D190&lt;&gt;"Serviço",AND(AUTOEVENTO="Manual",$M190=$A$15),$M190&gt;(ROW(PLE.lastrow)-ROW(PLE.firstrow))),0,
           IF(OFFSET(PLE!$G$15,$M190-$A$15,DB$13)="",10^12,OFFSET(PLE!$G$15,$M190-$A$15,DB$13)))</f>
        <v>1000000000000</v>
      </c>
      <c r="DC190" s="172" cm="1">
        <f t="array" aca="1" ref="DC190" ca="1">IF(OR($D190&lt;&gt;"Serviço",AND(AUTOEVENTO="Manual",$M190=$A$15),$M190&gt;(ROW(PLE.lastrow)-ROW(PLE.firstrow))),0,
           IF(OFFSET(PLE!$G$15,$M190-$A$15,DC$13)="",10^12,OFFSET(PLE!$G$15,$M190-$A$15,DC$13)))</f>
        <v>1000000000000</v>
      </c>
      <c r="DD190" s="172" cm="1">
        <f t="array" aca="1" ref="DD190" ca="1">IF(OR($D190&lt;&gt;"Serviço",AND(AUTOEVENTO="Manual",$M190=$A$15),$M190&gt;(ROW(PLE.lastrow)-ROW(PLE.firstrow))),0,
           IF(OFFSET(PLE!$G$15,$M190-$A$15,DD$13)="",10^12,OFFSET(PLE!$G$15,$M190-$A$15,DD$13)))</f>
        <v>1000000000000</v>
      </c>
      <c r="DE190" s="172" cm="1">
        <f t="array" aca="1" ref="DE190" ca="1">IF(OR($D190&lt;&gt;"Serviço",AND(AUTOEVENTO="Manual",$M190=$A$15),$M190&gt;(ROW(PLE.lastrow)-ROW(PLE.firstrow))),0,
           IF(OFFSET(PLE!$G$15,$M190-$A$15,DE$13)="",10^12,OFFSET(PLE!$G$15,$M190-$A$15,DE$13)))</f>
        <v>1000000000000</v>
      </c>
      <c r="DF190" s="172" cm="1">
        <f t="array" aca="1" ref="DF190" ca="1">IF(OR($D190&lt;&gt;"Serviço",AND(AUTOEVENTO="Manual",$M190=$A$15),$M190&gt;(ROW(PLE.lastrow)-ROW(PLE.firstrow))),0,
           IF(OFFSET(PLE!$G$15,$M190-$A$15,DF$13)="",10^12,OFFSET(PLE!$G$15,$M190-$A$15,DF$13)))</f>
        <v>1000000000000</v>
      </c>
      <c r="DG190" s="172" cm="1">
        <f t="array" aca="1" ref="DG190" ca="1">IF(OR($D190&lt;&gt;"Serviço",AND(AUTOEVENTO="Manual",$M190=$A$15),$M190&gt;(ROW(PLE.lastrow)-ROW(PLE.firstrow))),0,
           IF(OFFSET(PLE!$G$15,$M190-$A$15,DG$13)="",10^12,OFFSET(PLE!$G$15,$M190-$A$15,DG$13)))</f>
        <v>1000000000000</v>
      </c>
      <c r="DH190" s="172" cm="1">
        <f t="array" aca="1" ref="DH190" ca="1">IF(OR($D190&lt;&gt;"Serviço",AND(AUTOEVENTO="Manual",$M190=$A$15),$M190&gt;(ROW(PLE.lastrow)-ROW(PLE.firstrow))),0,
           IF(OFFSET(PLE!$G$15,$M190-$A$15,DH$13)="",10^12,OFFSET(PLE!$G$15,$M190-$A$15,DH$13)))</f>
        <v>1000000000000</v>
      </c>
      <c r="DI190" s="172" cm="1">
        <f t="array" aca="1" ref="DI190" ca="1">IF(OR($D190&lt;&gt;"Serviço",AND(AUTOEVENTO="Manual",$M190=$A$15),$M190&gt;(ROW(PLE.lastrow)-ROW(PLE.firstrow))),0,
           IF(OFFSET(PLE!$G$15,$M190-$A$15,DI$13)="",10^12,OFFSET(PLE!$G$15,$M190-$A$15,DI$13)))</f>
        <v>1000000000000</v>
      </c>
      <c r="DJ190" s="172" cm="1">
        <f t="array" aca="1" ref="DJ190" ca="1">IF(OR($D190&lt;&gt;"Serviço",AND(AUTOEVENTO="Manual",$M190=$A$15),$M190&gt;(ROW(PLE.lastrow)-ROW(PLE.firstrow))),0,
           IF(OFFSET(PLE!$G$15,$M190-$A$15,DJ$13)="",10^12,OFFSET(PLE!$G$15,$M190-$A$15,DJ$13)))</f>
        <v>1000000000000</v>
      </c>
      <c r="DK190" s="172" cm="1">
        <f t="array" aca="1" ref="DK190" ca="1">IF(OR($D190&lt;&gt;"Serviço",AND(AUTOEVENTO="Manual",$M190=$A$15),$M190&gt;(ROW(PLE.lastrow)-ROW(PLE.firstrow))),0,
           IF(OFFSET(PLE!$G$15,$M190-$A$15,DK$13)="",10^12,OFFSET(PLE!$G$15,$M190-$A$15,DK$13)))</f>
        <v>1000000000000</v>
      </c>
      <c r="DL190" s="172" cm="1">
        <f t="array" aca="1" ref="DL190" ca="1">IF(OR($D190&lt;&gt;"Serviço",AND(AUTOEVENTO="Manual",$M190=$A$15),$M190&gt;(ROW(PLE.lastrow)-ROW(PLE.firstrow))),0,
           IF(OFFSET(PLE!$G$15,$M190-$A$15,DL$13)="",10^12,OFFSET(PLE!$G$15,$M190-$A$15,DL$13)))</f>
        <v>1000000000000</v>
      </c>
      <c r="DM190" s="172" cm="1">
        <f t="array" aca="1" ref="DM190" ca="1">IF(OR($D190&lt;&gt;"Serviço",AND(AUTOEVENTO="Manual",$M190=$A$15),$M190&gt;(ROW(PLE.lastrow)-ROW(PLE.firstrow))),0,
           IF(OFFSET(PLE!$G$15,$M190-$A$15,DM$13)="",10^12,OFFSET(PLE!$G$15,$M190-$A$15,DM$13)))</f>
        <v>1000000000000</v>
      </c>
      <c r="DN190" s="172" cm="1">
        <f t="array" aca="1" ref="DN190" ca="1">IF(OR($D190&lt;&gt;"Serviço",AND(AUTOEVENTO="Manual",$M190=$A$15),$M190&gt;(ROW(PLE.lastrow)-ROW(PLE.firstrow))),0,
           IF(OFFSET(PLE!$G$15,$M190-$A$15,DN$13)="",10^12,OFFSET(PLE!$G$15,$M190-$A$15,DN$13)))</f>
        <v>1000000000000</v>
      </c>
      <c r="DO190" s="172" cm="1">
        <f t="array" aca="1" ref="DO190" ca="1">IF(OR($D190&lt;&gt;"Serviço",AND(AUTOEVENTO="Manual",$M190=$A$15),$M190&gt;(ROW(PLE.lastrow)-ROW(PLE.firstrow))),0,
           IF(OFFSET(PLE!$G$15,$M190-$A$15,DO$13)="",10^12,OFFSET(PLE!$G$15,$M190-$A$15,DO$13)))</f>
        <v>1000000000000</v>
      </c>
      <c r="DP190" s="172" cm="1">
        <f t="array" aca="1" ref="DP190" ca="1">IF(OR($D190&lt;&gt;"Serviço",AND(AUTOEVENTO="Manual",$M190=$A$15),$M190&gt;(ROW(PLE.lastrow)-ROW(PLE.firstrow))),0,
           IF(OFFSET(PLE!$G$15,$M190-$A$15,DP$13)="",10^12,OFFSET(PLE!$G$15,$M190-$A$15,DP$13)))</f>
        <v>1000000000000</v>
      </c>
      <c r="DQ190" s="172" cm="1">
        <f t="array" aca="1" ref="DQ190" ca="1">IF(OR($D190&lt;&gt;"Serviço",AND(AUTOEVENTO="Manual",$M190=$A$15),$M190&gt;(ROW(PLE.lastrow)-ROW(PLE.firstrow))),0,
           IF(OFFSET(PLE!$G$15,$M190-$A$15,DQ$13)="",10^12,OFFSET(PLE!$G$15,$M190-$A$15,DQ$13)))</f>
        <v>1000000000000</v>
      </c>
      <c r="DR190" s="172" cm="1">
        <f t="array" aca="1" ref="DR190" ca="1">IF(OR($D190&lt;&gt;"Serviço",AND(AUTOEVENTO="Manual",$M190=$A$15),$M190&gt;(ROW(PLE.lastrow)-ROW(PLE.firstrow))),0,
           IF(OFFSET(PLE!$G$15,$M190-$A$15,DR$13)="",10^12,OFFSET(PLE!$G$15,$M190-$A$15,DR$13)))</f>
        <v>1000000000000</v>
      </c>
      <c r="DS190" s="172" cm="1">
        <f t="array" aca="1" ref="DS190" ca="1">IF(OR($D190&lt;&gt;"Serviço",AND(AUTOEVENTO="Manual",$M190=$A$15),$M190&gt;(ROW(PLE.lastrow)-ROW(PLE.firstrow))),0,
           IF(OFFSET(PLE!$G$15,$M190-$A$15,DS$13)="",10^12,OFFSET(PLE!$G$15,$M190-$A$15,DS$13)))</f>
        <v>1000000000000</v>
      </c>
    </row>
    <row r="191" spans="1:123" ht="25.5" x14ac:dyDescent="0.2">
      <c r="A191" s="7">
        <f t="shared" ca="1" si="18"/>
        <v>9</v>
      </c>
      <c r="B191" s="7" t="str">
        <f ca="1">OFFSET(ORÇAMENTO!C$15,$L191,0)</f>
        <v>S</v>
      </c>
      <c r="C191" s="7" t="str">
        <f ca="1">OFFSET(ORÇAMENTO!L$15,$L191,0)</f>
        <v/>
      </c>
      <c r="D191" s="116" t="str">
        <f ca="1">OFFSET(ORÇAMENTO!N$15,$L191,0)</f>
        <v>Serviço</v>
      </c>
      <c r="E191" s="117" t="str">
        <f ca="1">OFFSET(ORÇAMENTO!O$15,$L191,0)</f>
        <v>-</v>
      </c>
      <c r="F191" s="163" t="str">
        <f ca="1">OFFSET(ORÇAMENTO!R$15,$L191,0)</f>
        <v>(Código não identificado nas referências)</v>
      </c>
      <c r="G191" s="164" t="str">
        <f ca="1">IF($D191&lt;&gt;"Serviço","",OFFSET(ORÇAMENTO!S$15,$L191,0))</f>
        <v>-</v>
      </c>
      <c r="H191" s="122" cm="1">
        <f t="array" aca="1" ref="H191" ca="1">IF($D191&lt;&gt;"Serviço",0,IF(ACOMPANHAMENTO="BM",ROUND(OFFSET(ORÇAMENTO!AJ$15,$L191,0),15-13*ORÇAMENTO!$AF$7),IF(IFERROR(CÁLCULO.FrentesPreenchidas,0)=0,0,SUM(ROUND(OFFSET($P191,0,1,1,CÁLCULO.FrentesPreenchidas),15-13*ORÇAMENTO!$AF$7)))))</f>
        <v>40</v>
      </c>
      <c r="I191" s="468" t="s">
        <v>1235</v>
      </c>
      <c r="J191" s="651" t="str" cm="1">
        <f t="array" aca="1" ref="J191" ca="1">IF(OR(B191&lt;&gt;"S",CÁLCULO.FrentesPreenchidas=0),"",IF(AND(ACOMPANHAMENTO="PLE",AUTOEVENTO="Manual",OR(H191&gt;0,ORÇAMENTO!AC191="QUANT."),OR(K191="",M191=0,N191="")),"►E",IF(AND(ACOMPANHAMENTO="PLE",ORÇAMENTO!AC191="QUANT."),"►Q",IF(AND(ACOMPANHAMENTO="PLE",H191&lt;&gt;SUMPRODUCT(($Q$1:$AQ$1=1)*ROUND(Q191:AQ191,15))),"►S",IF(AND(COUNTIF($P$11:$AQ$11,"▼")=0,H191&gt;0,I191=""),"◄M","")))))</f>
        <v/>
      </c>
      <c r="K191" s="652" t="s">
        <v>1257</v>
      </c>
      <c r="L191" s="165">
        <f t="shared" ca="1" si="17"/>
        <v>176</v>
      </c>
      <c r="M191" s="166">
        <f ca="1">IF($D191&lt;&gt;"Serviço","",
          IF(AUTOEVENTO="manual",$A191,
                IF(ISERROR(MATCH($A191,$A$15:OFFSET($A191,-1,0),0)),MAX($M$15:OFFSET(M191,-1,0))+1,
                      INDEX($M$15:OFFSET(M191,-1,0),MATCH($A191,$A$15:OFFSET($A191,-1,0),0)))))</f>
        <v>9</v>
      </c>
      <c r="N191" s="167" t="str">
        <f ca="1">IF($D191&lt;&gt;"Serviço","",
         IF(AUTOEVENTO="Manual",
                IF($A191=0,"&lt;-- defina o número do agrupador",
                       OFFSET(EVENTOS!$D$15,$A191-$A$15,0)),
                OFFSET($F$15,$A191,0)))</f>
        <v>INSTALAÇÕES</v>
      </c>
      <c r="O191" s="168"/>
      <c r="Q191" s="168">
        <v>2</v>
      </c>
      <c r="R191" s="169">
        <v>2</v>
      </c>
      <c r="S191" s="169">
        <v>2</v>
      </c>
      <c r="T191" s="169">
        <v>2</v>
      </c>
      <c r="U191" s="169">
        <v>2</v>
      </c>
      <c r="V191" s="169">
        <v>2</v>
      </c>
      <c r="W191" s="169">
        <v>2</v>
      </c>
      <c r="X191" s="169">
        <v>2</v>
      </c>
      <c r="Y191" s="169">
        <v>2</v>
      </c>
      <c r="Z191" s="170">
        <v>2</v>
      </c>
      <c r="AA191" s="169">
        <v>2</v>
      </c>
      <c r="AB191" s="169">
        <v>2</v>
      </c>
      <c r="AC191" s="169">
        <v>2</v>
      </c>
      <c r="AD191" s="169">
        <v>2</v>
      </c>
      <c r="AE191" s="169">
        <v>2</v>
      </c>
      <c r="AF191" s="169">
        <v>2</v>
      </c>
      <c r="AG191" s="169">
        <v>2</v>
      </c>
      <c r="AH191" s="170">
        <v>2</v>
      </c>
      <c r="AI191" s="169">
        <v>2</v>
      </c>
      <c r="AJ191" s="169">
        <v>2</v>
      </c>
      <c r="AK191" s="169"/>
      <c r="AL191" s="169"/>
      <c r="AM191" s="169"/>
      <c r="AN191" s="169"/>
      <c r="AO191" s="169"/>
      <c r="AP191" s="170"/>
      <c r="AR191" s="453">
        <f ca="1">IF(AND($D191="Serviço",AR$12&lt;&gt;0,$H191&gt;0,OR(AUTOEVENTO&lt;&gt;"manual",$M191&lt;&gt;$A$15)),
        IF(Import.TipoArredondamento&lt;&gt;"TransfereGOV",
              ROUND(OFFSET($P191,0,AR$13),15-13*ORÇAMENTO!$AF$7)/$H191*OFFSET(ORÇAMENTO!$X$15,ROW(AR191)-ROW(AR$15),0),
              ROUND(ROUND(OFFSET($P191,0,AR$13),15-13*ORÇAMENTO!$AF$7)*OFFSET(ORÇAMENTO!$W$15,ROW(AR191)-ROW(AR$15),0),15-13*ORÇAMENTO!$AF$11)),
         0)</f>
        <v>0</v>
      </c>
      <c r="AS191" s="453">
        <f ca="1">IF(AND($D191="Serviço",AS$12&lt;&gt;0,$H191&gt;0,OR(AUTOEVENTO&lt;&gt;"manual",$M191&lt;&gt;$A$15)),
        IF(Import.TipoArredondamento&lt;&gt;"TransfereGOV",
              ROUND(OFFSET($P191,0,AS$13),15-13*ORÇAMENTO!$AF$7)/$H191*OFFSET(ORÇAMENTO!$X$15,ROW(AS191)-ROW(AS$15),0),
              ROUND(ROUND(OFFSET($P191,0,AS$13),15-13*ORÇAMENTO!$AF$7)*OFFSET(ORÇAMENTO!$W$15,ROW(AS191)-ROW(AS$15),0),15-13*ORÇAMENTO!$AF$11)),
         0)</f>
        <v>0</v>
      </c>
      <c r="AT191" s="453">
        <f ca="1">IF(AND($D191="Serviço",AT$12&lt;&gt;0,$H191&gt;0,OR(AUTOEVENTO&lt;&gt;"manual",$M191&lt;&gt;$A$15)),
        IF(Import.TipoArredondamento&lt;&gt;"TransfereGOV",
              ROUND(OFFSET($P191,0,AT$13),15-13*ORÇAMENTO!$AF$7)/$H191*OFFSET(ORÇAMENTO!$X$15,ROW(AT191)-ROW(AT$15),0),
              ROUND(ROUND(OFFSET($P191,0,AT$13),15-13*ORÇAMENTO!$AF$7)*OFFSET(ORÇAMENTO!$W$15,ROW(AT191)-ROW(AT$15),0),15-13*ORÇAMENTO!$AF$11)),
         0)</f>
        <v>0</v>
      </c>
      <c r="AU191" s="453">
        <f ca="1">IF(AND($D191="Serviço",AU$12&lt;&gt;0,$H191&gt;0,OR(AUTOEVENTO&lt;&gt;"manual",$M191&lt;&gt;$A$15)),
        IF(Import.TipoArredondamento&lt;&gt;"TransfereGOV",
              ROUND(OFFSET($P191,0,AU$13),15-13*ORÇAMENTO!$AF$7)/$H191*OFFSET(ORÇAMENTO!$X$15,ROW(AU191)-ROW(AU$15),0),
              ROUND(ROUND(OFFSET($P191,0,AU$13),15-13*ORÇAMENTO!$AF$7)*OFFSET(ORÇAMENTO!$W$15,ROW(AU191)-ROW(AU$15),0),15-13*ORÇAMENTO!$AF$11)),
         0)</f>
        <v>0</v>
      </c>
      <c r="AV191" s="453">
        <f ca="1">IF(AND($D191="Serviço",AV$12&lt;&gt;0,$H191&gt;0,OR(AUTOEVENTO&lt;&gt;"manual",$M191&lt;&gt;$A$15)),
        IF(Import.TipoArredondamento&lt;&gt;"TransfereGOV",
              ROUND(OFFSET($P191,0,AV$13),15-13*ORÇAMENTO!$AF$7)/$H191*OFFSET(ORÇAMENTO!$X$15,ROW(AV191)-ROW(AV$15),0),
              ROUND(ROUND(OFFSET($P191,0,AV$13),15-13*ORÇAMENTO!$AF$7)*OFFSET(ORÇAMENTO!$W$15,ROW(AV191)-ROW(AV$15),0),15-13*ORÇAMENTO!$AF$11)),
         0)</f>
        <v>0</v>
      </c>
      <c r="AW191" s="453">
        <f ca="1">IF(AND($D191="Serviço",AW$12&lt;&gt;0,$H191&gt;0,OR(AUTOEVENTO&lt;&gt;"manual",$M191&lt;&gt;$A$15)),
        IF(Import.TipoArredondamento&lt;&gt;"TransfereGOV",
              ROUND(OFFSET($P191,0,AW$13),15-13*ORÇAMENTO!$AF$7)/$H191*OFFSET(ORÇAMENTO!$X$15,ROW(AW191)-ROW(AW$15),0),
              ROUND(ROUND(OFFSET($P191,0,AW$13),15-13*ORÇAMENTO!$AF$7)*OFFSET(ORÇAMENTO!$W$15,ROW(AW191)-ROW(AW$15),0),15-13*ORÇAMENTO!$AF$11)),
         0)</f>
        <v>0</v>
      </c>
      <c r="AX191" s="453">
        <f ca="1">IF(AND($D191="Serviço",AX$12&lt;&gt;0,$H191&gt;0,OR(AUTOEVENTO&lt;&gt;"manual",$M191&lt;&gt;$A$15)),
        IF(Import.TipoArredondamento&lt;&gt;"TransfereGOV",
              ROUND(OFFSET($P191,0,AX$13),15-13*ORÇAMENTO!$AF$7)/$H191*OFFSET(ORÇAMENTO!$X$15,ROW(AX191)-ROW(AX$15),0),
              ROUND(ROUND(OFFSET($P191,0,AX$13),15-13*ORÇAMENTO!$AF$7)*OFFSET(ORÇAMENTO!$W$15,ROW(AX191)-ROW(AX$15),0),15-13*ORÇAMENTO!$AF$11)),
         0)</f>
        <v>0</v>
      </c>
      <c r="AY191" s="453">
        <f ca="1">IF(AND($D191="Serviço",AY$12&lt;&gt;0,$H191&gt;0,OR(AUTOEVENTO&lt;&gt;"manual",$M191&lt;&gt;$A$15)),
        IF(Import.TipoArredondamento&lt;&gt;"TransfereGOV",
              ROUND(OFFSET($P191,0,AY$13),15-13*ORÇAMENTO!$AF$7)/$H191*OFFSET(ORÇAMENTO!$X$15,ROW(AY191)-ROW(AY$15),0),
              ROUND(ROUND(OFFSET($P191,0,AY$13),15-13*ORÇAMENTO!$AF$7)*OFFSET(ORÇAMENTO!$W$15,ROW(AY191)-ROW(AY$15),0),15-13*ORÇAMENTO!$AF$11)),
         0)</f>
        <v>0</v>
      </c>
      <c r="AZ191" s="453">
        <f ca="1">IF(AND($D191="Serviço",AZ$12&lt;&gt;0,$H191&gt;0,OR(AUTOEVENTO&lt;&gt;"manual",$M191&lt;&gt;$A$15)),
        IF(Import.TipoArredondamento&lt;&gt;"TransfereGOV",
              ROUND(OFFSET($P191,0,AZ$13),15-13*ORÇAMENTO!$AF$7)/$H191*OFFSET(ORÇAMENTO!$X$15,ROW(AZ191)-ROW(AZ$15),0),
              ROUND(ROUND(OFFSET($P191,0,AZ$13),15-13*ORÇAMENTO!$AF$7)*OFFSET(ORÇAMENTO!$W$15,ROW(AZ191)-ROW(AZ$15),0),15-13*ORÇAMENTO!$AF$11)),
         0)</f>
        <v>0</v>
      </c>
      <c r="BA191" s="453">
        <f ca="1">IF(AND($D191="Serviço",BA$12&lt;&gt;0,$H191&gt;0,OR(AUTOEVENTO&lt;&gt;"manual",$M191&lt;&gt;$A$15)),
        IF(Import.TipoArredondamento&lt;&gt;"TransfereGOV",
              ROUND(OFFSET($P191,0,BA$13),15-13*ORÇAMENTO!$AF$7)/$H191*OFFSET(ORÇAMENTO!$X$15,ROW(BA191)-ROW(BA$15),0),
              ROUND(ROUND(OFFSET($P191,0,BA$13),15-13*ORÇAMENTO!$AF$7)*OFFSET(ORÇAMENTO!$W$15,ROW(BA191)-ROW(BA$15),0),15-13*ORÇAMENTO!$AF$11)),
         0)</f>
        <v>0</v>
      </c>
      <c r="BB191" s="453">
        <f ca="1">IF(AND($D191="Serviço",BB$12&lt;&gt;0,$H191&gt;0,OR(AUTOEVENTO&lt;&gt;"manual",$M191&lt;&gt;$A$15)),
        IF(Import.TipoArredondamento&lt;&gt;"TransfereGOV",
              ROUND(OFFSET($P191,0,BB$13),15-13*ORÇAMENTO!$AF$7)/$H191*OFFSET(ORÇAMENTO!$X$15,ROW(BB191)-ROW(BB$15),0),
              ROUND(ROUND(OFFSET($P191,0,BB$13),15-13*ORÇAMENTO!$AF$7)*OFFSET(ORÇAMENTO!$W$15,ROW(BB191)-ROW(BB$15),0),15-13*ORÇAMENTO!$AF$11)),
         0)</f>
        <v>0</v>
      </c>
      <c r="BC191" s="453">
        <f ca="1">IF(AND($D191="Serviço",BC$12&lt;&gt;0,$H191&gt;0,OR(AUTOEVENTO&lt;&gt;"manual",$M191&lt;&gt;$A$15)),
        IF(Import.TipoArredondamento&lt;&gt;"TransfereGOV",
              ROUND(OFFSET($P191,0,BC$13),15-13*ORÇAMENTO!$AF$7)/$H191*OFFSET(ORÇAMENTO!$X$15,ROW(BC191)-ROW(BC$15),0),
              ROUND(ROUND(OFFSET($P191,0,BC$13),15-13*ORÇAMENTO!$AF$7)*OFFSET(ORÇAMENTO!$W$15,ROW(BC191)-ROW(BC$15),0),15-13*ORÇAMENTO!$AF$11)),
         0)</f>
        <v>0</v>
      </c>
      <c r="BD191" s="453">
        <f ca="1">IF(AND($D191="Serviço",BD$12&lt;&gt;0,$H191&gt;0,OR(AUTOEVENTO&lt;&gt;"manual",$M191&lt;&gt;$A$15)),
        IF(Import.TipoArredondamento&lt;&gt;"TransfereGOV",
              ROUND(OFFSET($P191,0,BD$13),15-13*ORÇAMENTO!$AF$7)/$H191*OFFSET(ORÇAMENTO!$X$15,ROW(BD191)-ROW(BD$15),0),
              ROUND(ROUND(OFFSET($P191,0,BD$13),15-13*ORÇAMENTO!$AF$7)*OFFSET(ORÇAMENTO!$W$15,ROW(BD191)-ROW(BD$15),0),15-13*ORÇAMENTO!$AF$11)),
         0)</f>
        <v>0</v>
      </c>
      <c r="BE191" s="453">
        <f ca="1">IF(AND($D191="Serviço",BE$12&lt;&gt;0,$H191&gt;0,OR(AUTOEVENTO&lt;&gt;"manual",$M191&lt;&gt;$A$15)),
        IF(Import.TipoArredondamento&lt;&gt;"TransfereGOV",
              ROUND(OFFSET($P191,0,BE$13),15-13*ORÇAMENTO!$AF$7)/$H191*OFFSET(ORÇAMENTO!$X$15,ROW(BE191)-ROW(BE$15),0),
              ROUND(ROUND(OFFSET($P191,0,BE$13),15-13*ORÇAMENTO!$AF$7)*OFFSET(ORÇAMENTO!$W$15,ROW(BE191)-ROW(BE$15),0),15-13*ORÇAMENTO!$AF$11)),
         0)</f>
        <v>0</v>
      </c>
      <c r="BF191" s="453">
        <f ca="1">IF(AND($D191="Serviço",BF$12&lt;&gt;0,$H191&gt;0,OR(AUTOEVENTO&lt;&gt;"manual",$M191&lt;&gt;$A$15)),
        IF(Import.TipoArredondamento&lt;&gt;"TransfereGOV",
              ROUND(OFFSET($P191,0,BF$13),15-13*ORÇAMENTO!$AF$7)/$H191*OFFSET(ORÇAMENTO!$X$15,ROW(BF191)-ROW(BF$15),0),
              ROUND(ROUND(OFFSET($P191,0,BF$13),15-13*ORÇAMENTO!$AF$7)*OFFSET(ORÇAMENTO!$W$15,ROW(BF191)-ROW(BF$15),0),15-13*ORÇAMENTO!$AF$11)),
         0)</f>
        <v>0</v>
      </c>
      <c r="BG191" s="453">
        <f ca="1">IF(AND($D191="Serviço",BG$12&lt;&gt;0,$H191&gt;0,OR(AUTOEVENTO&lt;&gt;"manual",$M191&lt;&gt;$A$15)),
        IF(Import.TipoArredondamento&lt;&gt;"TransfereGOV",
              ROUND(OFFSET($P191,0,BG$13),15-13*ORÇAMENTO!$AF$7)/$H191*OFFSET(ORÇAMENTO!$X$15,ROW(BG191)-ROW(BG$15),0),
              ROUND(ROUND(OFFSET($P191,0,BG$13),15-13*ORÇAMENTO!$AF$7)*OFFSET(ORÇAMENTO!$W$15,ROW(BG191)-ROW(BG$15),0),15-13*ORÇAMENTO!$AF$11)),
         0)</f>
        <v>0</v>
      </c>
      <c r="BH191" s="453">
        <f ca="1">IF(AND($D191="Serviço",BH$12&lt;&gt;0,$H191&gt;0,OR(AUTOEVENTO&lt;&gt;"manual",$M191&lt;&gt;$A$15)),
        IF(Import.TipoArredondamento&lt;&gt;"TransfereGOV",
              ROUND(OFFSET($P191,0,BH$13),15-13*ORÇAMENTO!$AF$7)/$H191*OFFSET(ORÇAMENTO!$X$15,ROW(BH191)-ROW(BH$15),0),
              ROUND(ROUND(OFFSET($P191,0,BH$13),15-13*ORÇAMENTO!$AF$7)*OFFSET(ORÇAMENTO!$W$15,ROW(BH191)-ROW(BH$15),0),15-13*ORÇAMENTO!$AF$11)),
         0)</f>
        <v>0</v>
      </c>
      <c r="BI191" s="453">
        <f ca="1">IF(AND($D191="Serviço",BI$12&lt;&gt;0,$H191&gt;0,OR(AUTOEVENTO&lt;&gt;"manual",$M191&lt;&gt;$A$15)),
        IF(Import.TipoArredondamento&lt;&gt;"TransfereGOV",
              ROUND(OFFSET($P191,0,BI$13),15-13*ORÇAMENTO!$AF$7)/$H191*OFFSET(ORÇAMENTO!$X$15,ROW(BI191)-ROW(BI$15),0),
              ROUND(ROUND(OFFSET($P191,0,BI$13),15-13*ORÇAMENTO!$AF$7)*OFFSET(ORÇAMENTO!$W$15,ROW(BI191)-ROW(BI$15),0),15-13*ORÇAMENTO!$AF$11)),
         0)</f>
        <v>0</v>
      </c>
      <c r="BJ191" s="453">
        <f ca="1">IF(AND($D191="Serviço",BJ$12&lt;&gt;0,$H191&gt;0,OR(AUTOEVENTO&lt;&gt;"manual",$M191&lt;&gt;$A$15)),
        IF(Import.TipoArredondamento&lt;&gt;"TransfereGOV",
              ROUND(OFFSET($P191,0,BJ$13),15-13*ORÇAMENTO!$AF$7)/$H191*OFFSET(ORÇAMENTO!$X$15,ROW(BJ191)-ROW(BJ$15),0),
              ROUND(ROUND(OFFSET($P191,0,BJ$13),15-13*ORÇAMENTO!$AF$7)*OFFSET(ORÇAMENTO!$W$15,ROW(BJ191)-ROW(BJ$15),0),15-13*ORÇAMENTO!$AF$11)),
         0)</f>
        <v>0</v>
      </c>
      <c r="BK191" s="453">
        <f ca="1">IF(AND($D191="Serviço",BK$12&lt;&gt;0,$H191&gt;0,OR(AUTOEVENTO&lt;&gt;"manual",$M191&lt;&gt;$A$15)),
        IF(Import.TipoArredondamento&lt;&gt;"TransfereGOV",
              ROUND(OFFSET($P191,0,BK$13),15-13*ORÇAMENTO!$AF$7)/$H191*OFFSET(ORÇAMENTO!$X$15,ROW(BK191)-ROW(BK$15),0),
              ROUND(ROUND(OFFSET($P191,0,BK$13),15-13*ORÇAMENTO!$AF$7)*OFFSET(ORÇAMENTO!$W$15,ROW(BK191)-ROW(BK$15),0),15-13*ORÇAMENTO!$AF$11)),
         0)</f>
        <v>0</v>
      </c>
      <c r="BL191" s="453">
        <f ca="1">IF(AND($D191="Serviço",BL$12&lt;&gt;0,$H191&gt;0,OR(AUTOEVENTO&lt;&gt;"manual",$M191&lt;&gt;$A$15)),
        IF(Import.TipoArredondamento&lt;&gt;"TransfereGOV",
              ROUND(OFFSET($P191,0,BL$13),15-13*ORÇAMENTO!$AF$7)/$H191*OFFSET(ORÇAMENTO!$X$15,ROW(BL191)-ROW(BL$15),0),
              ROUND(ROUND(OFFSET($P191,0,BL$13),15-13*ORÇAMENTO!$AF$7)*OFFSET(ORÇAMENTO!$W$15,ROW(BL191)-ROW(BL$15),0),15-13*ORÇAMENTO!$AF$11)),
         0)</f>
        <v>0</v>
      </c>
      <c r="BM191" s="453">
        <f ca="1">IF(AND($D191="Serviço",BM$12&lt;&gt;0,$H191&gt;0,OR(AUTOEVENTO&lt;&gt;"manual",$M191&lt;&gt;$A$15)),
        IF(Import.TipoArredondamento&lt;&gt;"TransfereGOV",
              ROUND(OFFSET($P191,0,BM$13),15-13*ORÇAMENTO!$AF$7)/$H191*OFFSET(ORÇAMENTO!$X$15,ROW(BM191)-ROW(BM$15),0),
              ROUND(ROUND(OFFSET($P191,0,BM$13),15-13*ORÇAMENTO!$AF$7)*OFFSET(ORÇAMENTO!$W$15,ROW(BM191)-ROW(BM$15),0),15-13*ORÇAMENTO!$AF$11)),
         0)</f>
        <v>0</v>
      </c>
      <c r="BN191" s="453">
        <f ca="1">IF(AND($D191="Serviço",BN$12&lt;&gt;0,$H191&gt;0,OR(AUTOEVENTO&lt;&gt;"manual",$M191&lt;&gt;$A$15)),
        IF(Import.TipoArredondamento&lt;&gt;"TransfereGOV",
              ROUND(OFFSET($P191,0,BN$13),15-13*ORÇAMENTO!$AF$7)/$H191*OFFSET(ORÇAMENTO!$X$15,ROW(BN191)-ROW(BN$15),0),
              ROUND(ROUND(OFFSET($P191,0,BN$13),15-13*ORÇAMENTO!$AF$7)*OFFSET(ORÇAMENTO!$W$15,ROW(BN191)-ROW(BN$15),0),15-13*ORÇAMENTO!$AF$11)),
         0)</f>
        <v>0</v>
      </c>
      <c r="BO191" s="453">
        <f ca="1">IF(AND($D191="Serviço",BO$12&lt;&gt;0,$H191&gt;0,OR(AUTOEVENTO&lt;&gt;"manual",$M191&lt;&gt;$A$15)),
        IF(Import.TipoArredondamento&lt;&gt;"TransfereGOV",
              ROUND(OFFSET($P191,0,BO$13),15-13*ORÇAMENTO!$AF$7)/$H191*OFFSET(ORÇAMENTO!$X$15,ROW(BO191)-ROW(BO$15),0),
              ROUND(ROUND(OFFSET($P191,0,BO$13),15-13*ORÇAMENTO!$AF$7)*OFFSET(ORÇAMENTO!$W$15,ROW(BO191)-ROW(BO$15),0),15-13*ORÇAMENTO!$AF$11)),
         0)</f>
        <v>0</v>
      </c>
      <c r="BP191" s="453">
        <f ca="1">IF(AND($D191="Serviço",BP$12&lt;&gt;0,$H191&gt;0,OR(AUTOEVENTO&lt;&gt;"manual",$M191&lt;&gt;$A$15)),
        IF(Import.TipoArredondamento&lt;&gt;"TransfereGOV",
              ROUND(OFFSET($P191,0,BP$13),15-13*ORÇAMENTO!$AF$7)/$H191*OFFSET(ORÇAMENTO!$X$15,ROW(BP191)-ROW(BP$15),0),
              ROUND(ROUND(OFFSET($P191,0,BP$13),15-13*ORÇAMENTO!$AF$7)*OFFSET(ORÇAMENTO!$W$15,ROW(BP191)-ROW(BP$15),0),15-13*ORÇAMENTO!$AF$11)),
         0)</f>
        <v>0</v>
      </c>
      <c r="BQ191" s="453">
        <f ca="1">IF(AND($D191="Serviço",BQ$12&lt;&gt;0,$H191&gt;0,OR(AUTOEVENTO&lt;&gt;"manual",$M191&lt;&gt;$A$15)),
        IF(Import.TipoArredondamento&lt;&gt;"TransfereGOV",
              ROUND(OFFSET($P191,0,BQ$13),15-13*ORÇAMENTO!$AF$7)/$H191*OFFSET(ORÇAMENTO!$X$15,ROW(BQ191)-ROW(BQ$15),0),
              ROUND(ROUND(OFFSET($P191,0,BQ$13),15-13*ORÇAMENTO!$AF$7)*OFFSET(ORÇAMENTO!$W$15,ROW(BQ191)-ROW(BQ$15),0),15-13*ORÇAMENTO!$AF$11)),
         0)</f>
        <v>0</v>
      </c>
      <c r="BS191" s="171">
        <f ca="1">IF(OR($D191&lt;&gt;"Serviço",AND(AUTOEVENTO="Manual",$M191=$A$15)),0,
         IF(OFFSET(CRONOPLE!$F$15,$M191-$A$15,BS$13)=0,10^12,OFFSET(CRONOPLE!$F$15,$M191-$A$15,BS$13)))</f>
        <v>1</v>
      </c>
      <c r="BT191" s="171">
        <f ca="1">IF(OR($D191&lt;&gt;"Serviço",AND(AUTOEVENTO="Manual",$M191=$A$15)),0,
         IF(OFFSET(CRONOPLE!$F$15,$M191-$A$15,BT$13)=0,10^12,OFFSET(CRONOPLE!$F$15,$M191-$A$15,BT$13)))</f>
        <v>2</v>
      </c>
      <c r="BU191" s="171">
        <f ca="1">IF(OR($D191&lt;&gt;"Serviço",AND(AUTOEVENTO="Manual",$M191=$A$15)),0,
         IF(OFFSET(CRONOPLE!$F$15,$M191-$A$15,BU$13)=0,10^12,OFFSET(CRONOPLE!$F$15,$M191-$A$15,BU$13)))</f>
        <v>3</v>
      </c>
      <c r="BV191" s="171">
        <f ca="1">IF(OR($D191&lt;&gt;"Serviço",AND(AUTOEVENTO="Manual",$M191=$A$15)),0,
         IF(OFFSET(CRONOPLE!$F$15,$M191-$A$15,BV$13)=0,10^12,OFFSET(CRONOPLE!$F$15,$M191-$A$15,BV$13)))</f>
        <v>4</v>
      </c>
      <c r="BW191" s="171">
        <f ca="1">IF(OR($D191&lt;&gt;"Serviço",AND(AUTOEVENTO="Manual",$M191=$A$15)),0,
         IF(OFFSET(CRONOPLE!$F$15,$M191-$A$15,BW$13)=0,10^12,OFFSET(CRONOPLE!$F$15,$M191-$A$15,BW$13)))</f>
        <v>5</v>
      </c>
      <c r="BX191" s="171">
        <f ca="1">IF(OR($D191&lt;&gt;"Serviço",AND(AUTOEVENTO="Manual",$M191=$A$15)),0,
         IF(OFFSET(CRONOPLE!$F$15,$M191-$A$15,BX$13)=0,10^12,OFFSET(CRONOPLE!$F$15,$M191-$A$15,BX$13)))</f>
        <v>6</v>
      </c>
      <c r="BY191" s="171">
        <f ca="1">IF(OR($D191&lt;&gt;"Serviço",AND(AUTOEVENTO="Manual",$M191=$A$15)),0,
         IF(OFFSET(CRONOPLE!$F$15,$M191-$A$15,BY$13)=0,10^12,OFFSET(CRONOPLE!$F$15,$M191-$A$15,BY$13)))</f>
        <v>7</v>
      </c>
      <c r="BZ191" s="171">
        <f ca="1">IF(OR($D191&lt;&gt;"Serviço",AND(AUTOEVENTO="Manual",$M191=$A$15)),0,
         IF(OFFSET(CRONOPLE!$F$15,$M191-$A$15,BZ$13)=0,10^12,OFFSET(CRONOPLE!$F$15,$M191-$A$15,BZ$13)))</f>
        <v>8</v>
      </c>
      <c r="CA191" s="171">
        <f ca="1">IF(OR($D191&lt;&gt;"Serviço",AND(AUTOEVENTO="Manual",$M191=$A$15)),0,
         IF(OFFSET(CRONOPLE!$F$15,$M191-$A$15,CA$13)=0,10^12,OFFSET(CRONOPLE!$F$15,$M191-$A$15,CA$13)))</f>
        <v>9</v>
      </c>
      <c r="CB191" s="171">
        <f ca="1">IF(OR($D191&lt;&gt;"Serviço",AND(AUTOEVENTO="Manual",$M191=$A$15)),0,
         IF(OFFSET(CRONOPLE!$F$15,$M191-$A$15,CB$13)=0,10^12,OFFSET(CRONOPLE!$F$15,$M191-$A$15,CB$13)))</f>
        <v>10</v>
      </c>
      <c r="CC191" s="171">
        <f ca="1">IF(OR($D191&lt;&gt;"Serviço",AND(AUTOEVENTO="Manual",$M191=$A$15)),0,
         IF(OFFSET(CRONOPLE!$F$15,$M191-$A$15,CC$13)=0,10^12,OFFSET(CRONOPLE!$F$15,$M191-$A$15,CC$13)))</f>
        <v>11</v>
      </c>
      <c r="CD191" s="171">
        <f ca="1">IF(OR($D191&lt;&gt;"Serviço",AND(AUTOEVENTO="Manual",$M191=$A$15)),0,
         IF(OFFSET(CRONOPLE!$F$15,$M191-$A$15,CD$13)=0,10^12,OFFSET(CRONOPLE!$F$15,$M191-$A$15,CD$13)))</f>
        <v>12</v>
      </c>
      <c r="CE191" s="171">
        <f ca="1">IF(OR($D191&lt;&gt;"Serviço",AND(AUTOEVENTO="Manual",$M191=$A$15)),0,
         IF(OFFSET(CRONOPLE!$F$15,$M191-$A$15,CE$13)=0,10^12,OFFSET(CRONOPLE!$F$15,$M191-$A$15,CE$13)))</f>
        <v>13</v>
      </c>
      <c r="CF191" s="171">
        <f ca="1">IF(OR($D191&lt;&gt;"Serviço",AND(AUTOEVENTO="Manual",$M191=$A$15)),0,
         IF(OFFSET(CRONOPLE!$F$15,$M191-$A$15,CF$13)=0,10^12,OFFSET(CRONOPLE!$F$15,$M191-$A$15,CF$13)))</f>
        <v>14</v>
      </c>
      <c r="CG191" s="171">
        <f ca="1">IF(OR($D191&lt;&gt;"Serviço",AND(AUTOEVENTO="Manual",$M191=$A$15)),0,
         IF(OFFSET(CRONOPLE!$F$15,$M191-$A$15,CG$13)=0,10^12,OFFSET(CRONOPLE!$F$15,$M191-$A$15,CG$13)))</f>
        <v>15</v>
      </c>
      <c r="CH191" s="171">
        <f ca="1">IF(OR($D191&lt;&gt;"Serviço",AND(AUTOEVENTO="Manual",$M191=$A$15)),0,
         IF(OFFSET(CRONOPLE!$F$15,$M191-$A$15,CH$13)=0,10^12,OFFSET(CRONOPLE!$F$15,$M191-$A$15,CH$13)))</f>
        <v>16</v>
      </c>
      <c r="CI191" s="171">
        <f ca="1">IF(OR($D191&lt;&gt;"Serviço",AND(AUTOEVENTO="Manual",$M191=$A$15)),0,
         IF(OFFSET(CRONOPLE!$F$15,$M191-$A$15,CI$13)=0,10^12,OFFSET(CRONOPLE!$F$15,$M191-$A$15,CI$13)))</f>
        <v>17</v>
      </c>
      <c r="CJ191" s="171">
        <f ca="1">IF(OR($D191&lt;&gt;"Serviço",AND(AUTOEVENTO="Manual",$M191=$A$15)),0,
         IF(OFFSET(CRONOPLE!$F$15,$M191-$A$15,CJ$13)=0,10^12,OFFSET(CRONOPLE!$F$15,$M191-$A$15,CJ$13)))</f>
        <v>18</v>
      </c>
      <c r="CK191" s="171">
        <f ca="1">IF(OR($D191&lt;&gt;"Serviço",AND(AUTOEVENTO="Manual",$M191=$A$15)),0,
         IF(OFFSET(CRONOPLE!$F$15,$M191-$A$15,CK$13)=0,10^12,OFFSET(CRONOPLE!$F$15,$M191-$A$15,CK$13)))</f>
        <v>19</v>
      </c>
      <c r="CL191" s="171">
        <f ca="1">IF(OR($D191&lt;&gt;"Serviço",AND(AUTOEVENTO="Manual",$M191=$A$15)),0,
         IF(OFFSET(CRONOPLE!$F$15,$M191-$A$15,CL$13)=0,10^12,OFFSET(CRONOPLE!$F$15,$M191-$A$15,CL$13)))</f>
        <v>20</v>
      </c>
      <c r="CM191" s="171">
        <f ca="1">IF(OR($D191&lt;&gt;"Serviço",AND(AUTOEVENTO="Manual",$M191=$A$15)),0,
         IF(OFFSET(CRONOPLE!$F$15,$M191-$A$15,CM$13)=0,10^12,OFFSET(CRONOPLE!$F$15,$M191-$A$15,CM$13)))</f>
        <v>1000000000000</v>
      </c>
      <c r="CN191" s="171">
        <f ca="1">IF(OR($D191&lt;&gt;"Serviço",AND(AUTOEVENTO="Manual",$M191=$A$15)),0,
         IF(OFFSET(CRONOPLE!$F$15,$M191-$A$15,CN$13)=0,10^12,OFFSET(CRONOPLE!$F$15,$M191-$A$15,CN$13)))</f>
        <v>1000000000000</v>
      </c>
      <c r="CO191" s="171">
        <f ca="1">IF(OR($D191&lt;&gt;"Serviço",AND(AUTOEVENTO="Manual",$M191=$A$15)),0,
         IF(OFFSET(CRONOPLE!$F$15,$M191-$A$15,CO$13)=0,10^12,OFFSET(CRONOPLE!$F$15,$M191-$A$15,CO$13)))</f>
        <v>1000000000000</v>
      </c>
      <c r="CP191" s="171">
        <f ca="1">IF(OR($D191&lt;&gt;"Serviço",AND(AUTOEVENTO="Manual",$M191=$A$15)),0,
         IF(OFFSET(CRONOPLE!$F$15,$M191-$A$15,CP$13)=0,10^12,OFFSET(CRONOPLE!$F$15,$M191-$A$15,CP$13)))</f>
        <v>1000000000000</v>
      </c>
      <c r="CQ191" s="171">
        <f ca="1">IF(OR($D191&lt;&gt;"Serviço",AND(AUTOEVENTO="Manual",$M191=$A$15)),0,
         IF(OFFSET(CRONOPLE!$F$15,$M191-$A$15,CQ$13)=0,10^12,OFFSET(CRONOPLE!$F$15,$M191-$A$15,CQ$13)))</f>
        <v>1000000000000</v>
      </c>
      <c r="CR191" s="171">
        <f ca="1">IF(OR($D191&lt;&gt;"Serviço",AND(AUTOEVENTO="Manual",$M191=$A$15)),0,
         IF(OFFSET(CRONOPLE!$F$15,$M191-$A$15,CR$13)=0,10^12,OFFSET(CRONOPLE!$F$15,$M191-$A$15,CR$13)))</f>
        <v>1000000000000</v>
      </c>
      <c r="CT191" s="172" cm="1">
        <f t="array" aca="1" ref="CT191" ca="1">IF(OR($D191&lt;&gt;"Serviço",AND(AUTOEVENTO="Manual",$M191=$A$15),$M191&gt;(ROW(PLE.lastrow)-ROW(PLE.firstrow))),0,
           IF(OFFSET(PLE!$G$15,$M191-$A$15,CT$13)="",10^12,OFFSET(PLE!$G$15,$M191-$A$15,CT$13)))</f>
        <v>1000000000000</v>
      </c>
      <c r="CU191" s="172" cm="1">
        <f t="array" aca="1" ref="CU191" ca="1">IF(OR($D191&lt;&gt;"Serviço",AND(AUTOEVENTO="Manual",$M191=$A$15),$M191&gt;(ROW(PLE.lastrow)-ROW(PLE.firstrow))),0,
           IF(OFFSET(PLE!$G$15,$M191-$A$15,CU$13)="",10^12,OFFSET(PLE!$G$15,$M191-$A$15,CU$13)))</f>
        <v>1000000000000</v>
      </c>
      <c r="CV191" s="172" cm="1">
        <f t="array" aca="1" ref="CV191" ca="1">IF(OR($D191&lt;&gt;"Serviço",AND(AUTOEVENTO="Manual",$M191=$A$15),$M191&gt;(ROW(PLE.lastrow)-ROW(PLE.firstrow))),0,
           IF(OFFSET(PLE!$G$15,$M191-$A$15,CV$13)="",10^12,OFFSET(PLE!$G$15,$M191-$A$15,CV$13)))</f>
        <v>1000000000000</v>
      </c>
      <c r="CW191" s="172" cm="1">
        <f t="array" aca="1" ref="CW191" ca="1">IF(OR($D191&lt;&gt;"Serviço",AND(AUTOEVENTO="Manual",$M191=$A$15),$M191&gt;(ROW(PLE.lastrow)-ROW(PLE.firstrow))),0,
           IF(OFFSET(PLE!$G$15,$M191-$A$15,CW$13)="",10^12,OFFSET(PLE!$G$15,$M191-$A$15,CW$13)))</f>
        <v>1000000000000</v>
      </c>
      <c r="CX191" s="172" cm="1">
        <f t="array" aca="1" ref="CX191" ca="1">IF(OR($D191&lt;&gt;"Serviço",AND(AUTOEVENTO="Manual",$M191=$A$15),$M191&gt;(ROW(PLE.lastrow)-ROW(PLE.firstrow))),0,
           IF(OFFSET(PLE!$G$15,$M191-$A$15,CX$13)="",10^12,OFFSET(PLE!$G$15,$M191-$A$15,CX$13)))</f>
        <v>1000000000000</v>
      </c>
      <c r="CY191" s="172" cm="1">
        <f t="array" aca="1" ref="CY191" ca="1">IF(OR($D191&lt;&gt;"Serviço",AND(AUTOEVENTO="Manual",$M191=$A$15),$M191&gt;(ROW(PLE.lastrow)-ROW(PLE.firstrow))),0,
           IF(OFFSET(PLE!$G$15,$M191-$A$15,CY$13)="",10^12,OFFSET(PLE!$G$15,$M191-$A$15,CY$13)))</f>
        <v>1000000000000</v>
      </c>
      <c r="CZ191" s="172" cm="1">
        <f t="array" aca="1" ref="CZ191" ca="1">IF(OR($D191&lt;&gt;"Serviço",AND(AUTOEVENTO="Manual",$M191=$A$15),$M191&gt;(ROW(PLE.lastrow)-ROW(PLE.firstrow))),0,
           IF(OFFSET(PLE!$G$15,$M191-$A$15,CZ$13)="",10^12,OFFSET(PLE!$G$15,$M191-$A$15,CZ$13)))</f>
        <v>1000000000000</v>
      </c>
      <c r="DA191" s="172" cm="1">
        <f t="array" aca="1" ref="DA191" ca="1">IF(OR($D191&lt;&gt;"Serviço",AND(AUTOEVENTO="Manual",$M191=$A$15),$M191&gt;(ROW(PLE.lastrow)-ROW(PLE.firstrow))),0,
           IF(OFFSET(PLE!$G$15,$M191-$A$15,DA$13)="",10^12,OFFSET(PLE!$G$15,$M191-$A$15,DA$13)))</f>
        <v>1000000000000</v>
      </c>
      <c r="DB191" s="172" cm="1">
        <f t="array" aca="1" ref="DB191" ca="1">IF(OR($D191&lt;&gt;"Serviço",AND(AUTOEVENTO="Manual",$M191=$A$15),$M191&gt;(ROW(PLE.lastrow)-ROW(PLE.firstrow))),0,
           IF(OFFSET(PLE!$G$15,$M191-$A$15,DB$13)="",10^12,OFFSET(PLE!$G$15,$M191-$A$15,DB$13)))</f>
        <v>1000000000000</v>
      </c>
      <c r="DC191" s="172" cm="1">
        <f t="array" aca="1" ref="DC191" ca="1">IF(OR($D191&lt;&gt;"Serviço",AND(AUTOEVENTO="Manual",$M191=$A$15),$M191&gt;(ROW(PLE.lastrow)-ROW(PLE.firstrow))),0,
           IF(OFFSET(PLE!$G$15,$M191-$A$15,DC$13)="",10^12,OFFSET(PLE!$G$15,$M191-$A$15,DC$13)))</f>
        <v>1000000000000</v>
      </c>
      <c r="DD191" s="172" cm="1">
        <f t="array" aca="1" ref="DD191" ca="1">IF(OR($D191&lt;&gt;"Serviço",AND(AUTOEVENTO="Manual",$M191=$A$15),$M191&gt;(ROW(PLE.lastrow)-ROW(PLE.firstrow))),0,
           IF(OFFSET(PLE!$G$15,$M191-$A$15,DD$13)="",10^12,OFFSET(PLE!$G$15,$M191-$A$15,DD$13)))</f>
        <v>1000000000000</v>
      </c>
      <c r="DE191" s="172" cm="1">
        <f t="array" aca="1" ref="DE191" ca="1">IF(OR($D191&lt;&gt;"Serviço",AND(AUTOEVENTO="Manual",$M191=$A$15),$M191&gt;(ROW(PLE.lastrow)-ROW(PLE.firstrow))),0,
           IF(OFFSET(PLE!$G$15,$M191-$A$15,DE$13)="",10^12,OFFSET(PLE!$G$15,$M191-$A$15,DE$13)))</f>
        <v>1000000000000</v>
      </c>
      <c r="DF191" s="172" cm="1">
        <f t="array" aca="1" ref="DF191" ca="1">IF(OR($D191&lt;&gt;"Serviço",AND(AUTOEVENTO="Manual",$M191=$A$15),$M191&gt;(ROW(PLE.lastrow)-ROW(PLE.firstrow))),0,
           IF(OFFSET(PLE!$G$15,$M191-$A$15,DF$13)="",10^12,OFFSET(PLE!$G$15,$M191-$A$15,DF$13)))</f>
        <v>1000000000000</v>
      </c>
      <c r="DG191" s="172" cm="1">
        <f t="array" aca="1" ref="DG191" ca="1">IF(OR($D191&lt;&gt;"Serviço",AND(AUTOEVENTO="Manual",$M191=$A$15),$M191&gt;(ROW(PLE.lastrow)-ROW(PLE.firstrow))),0,
           IF(OFFSET(PLE!$G$15,$M191-$A$15,DG$13)="",10^12,OFFSET(PLE!$G$15,$M191-$A$15,DG$13)))</f>
        <v>1000000000000</v>
      </c>
      <c r="DH191" s="172" cm="1">
        <f t="array" aca="1" ref="DH191" ca="1">IF(OR($D191&lt;&gt;"Serviço",AND(AUTOEVENTO="Manual",$M191=$A$15),$M191&gt;(ROW(PLE.lastrow)-ROW(PLE.firstrow))),0,
           IF(OFFSET(PLE!$G$15,$M191-$A$15,DH$13)="",10^12,OFFSET(PLE!$G$15,$M191-$A$15,DH$13)))</f>
        <v>1000000000000</v>
      </c>
      <c r="DI191" s="172" cm="1">
        <f t="array" aca="1" ref="DI191" ca="1">IF(OR($D191&lt;&gt;"Serviço",AND(AUTOEVENTO="Manual",$M191=$A$15),$M191&gt;(ROW(PLE.lastrow)-ROW(PLE.firstrow))),0,
           IF(OFFSET(PLE!$G$15,$M191-$A$15,DI$13)="",10^12,OFFSET(PLE!$G$15,$M191-$A$15,DI$13)))</f>
        <v>1000000000000</v>
      </c>
      <c r="DJ191" s="172" cm="1">
        <f t="array" aca="1" ref="DJ191" ca="1">IF(OR($D191&lt;&gt;"Serviço",AND(AUTOEVENTO="Manual",$M191=$A$15),$M191&gt;(ROW(PLE.lastrow)-ROW(PLE.firstrow))),0,
           IF(OFFSET(PLE!$G$15,$M191-$A$15,DJ$13)="",10^12,OFFSET(PLE!$G$15,$M191-$A$15,DJ$13)))</f>
        <v>1000000000000</v>
      </c>
      <c r="DK191" s="172" cm="1">
        <f t="array" aca="1" ref="DK191" ca="1">IF(OR($D191&lt;&gt;"Serviço",AND(AUTOEVENTO="Manual",$M191=$A$15),$M191&gt;(ROW(PLE.lastrow)-ROW(PLE.firstrow))),0,
           IF(OFFSET(PLE!$G$15,$M191-$A$15,DK$13)="",10^12,OFFSET(PLE!$G$15,$M191-$A$15,DK$13)))</f>
        <v>1000000000000</v>
      </c>
      <c r="DL191" s="172" cm="1">
        <f t="array" aca="1" ref="DL191" ca="1">IF(OR($D191&lt;&gt;"Serviço",AND(AUTOEVENTO="Manual",$M191=$A$15),$M191&gt;(ROW(PLE.lastrow)-ROW(PLE.firstrow))),0,
           IF(OFFSET(PLE!$G$15,$M191-$A$15,DL$13)="",10^12,OFFSET(PLE!$G$15,$M191-$A$15,DL$13)))</f>
        <v>1000000000000</v>
      </c>
      <c r="DM191" s="172" cm="1">
        <f t="array" aca="1" ref="DM191" ca="1">IF(OR($D191&lt;&gt;"Serviço",AND(AUTOEVENTO="Manual",$M191=$A$15),$M191&gt;(ROW(PLE.lastrow)-ROW(PLE.firstrow))),0,
           IF(OFFSET(PLE!$G$15,$M191-$A$15,DM$13)="",10^12,OFFSET(PLE!$G$15,$M191-$A$15,DM$13)))</f>
        <v>1000000000000</v>
      </c>
      <c r="DN191" s="172" cm="1">
        <f t="array" aca="1" ref="DN191" ca="1">IF(OR($D191&lt;&gt;"Serviço",AND(AUTOEVENTO="Manual",$M191=$A$15),$M191&gt;(ROW(PLE.lastrow)-ROW(PLE.firstrow))),0,
           IF(OFFSET(PLE!$G$15,$M191-$A$15,DN$13)="",10^12,OFFSET(PLE!$G$15,$M191-$A$15,DN$13)))</f>
        <v>1000000000000</v>
      </c>
      <c r="DO191" s="172" cm="1">
        <f t="array" aca="1" ref="DO191" ca="1">IF(OR($D191&lt;&gt;"Serviço",AND(AUTOEVENTO="Manual",$M191=$A$15),$M191&gt;(ROW(PLE.lastrow)-ROW(PLE.firstrow))),0,
           IF(OFFSET(PLE!$G$15,$M191-$A$15,DO$13)="",10^12,OFFSET(PLE!$G$15,$M191-$A$15,DO$13)))</f>
        <v>1000000000000</v>
      </c>
      <c r="DP191" s="172" cm="1">
        <f t="array" aca="1" ref="DP191" ca="1">IF(OR($D191&lt;&gt;"Serviço",AND(AUTOEVENTO="Manual",$M191=$A$15),$M191&gt;(ROW(PLE.lastrow)-ROW(PLE.firstrow))),0,
           IF(OFFSET(PLE!$G$15,$M191-$A$15,DP$13)="",10^12,OFFSET(PLE!$G$15,$M191-$A$15,DP$13)))</f>
        <v>1000000000000</v>
      </c>
      <c r="DQ191" s="172" cm="1">
        <f t="array" aca="1" ref="DQ191" ca="1">IF(OR($D191&lt;&gt;"Serviço",AND(AUTOEVENTO="Manual",$M191=$A$15),$M191&gt;(ROW(PLE.lastrow)-ROW(PLE.firstrow))),0,
           IF(OFFSET(PLE!$G$15,$M191-$A$15,DQ$13)="",10^12,OFFSET(PLE!$G$15,$M191-$A$15,DQ$13)))</f>
        <v>1000000000000</v>
      </c>
      <c r="DR191" s="172" cm="1">
        <f t="array" aca="1" ref="DR191" ca="1">IF(OR($D191&lt;&gt;"Serviço",AND(AUTOEVENTO="Manual",$M191=$A$15),$M191&gt;(ROW(PLE.lastrow)-ROW(PLE.firstrow))),0,
           IF(OFFSET(PLE!$G$15,$M191-$A$15,DR$13)="",10^12,OFFSET(PLE!$G$15,$M191-$A$15,DR$13)))</f>
        <v>1000000000000</v>
      </c>
      <c r="DS191" s="172" cm="1">
        <f t="array" aca="1" ref="DS191" ca="1">IF(OR($D191&lt;&gt;"Serviço",AND(AUTOEVENTO="Manual",$M191=$A$15),$M191&gt;(ROW(PLE.lastrow)-ROW(PLE.firstrow))),0,
           IF(OFFSET(PLE!$G$15,$M191-$A$15,DS$13)="",10^12,OFFSET(PLE!$G$15,$M191-$A$15,DS$13)))</f>
        <v>1000000000000</v>
      </c>
    </row>
    <row r="192" spans="1:123" ht="38.25" x14ac:dyDescent="0.2">
      <c r="A192" s="7">
        <f t="shared" ca="1" si="18"/>
        <v>9</v>
      </c>
      <c r="B192" s="7" t="str">
        <f ca="1">OFFSET(ORÇAMENTO!C$15,$L192,0)</f>
        <v>S</v>
      </c>
      <c r="C192" s="7" t="str">
        <f ca="1">OFFSET(ORÇAMENTO!L$15,$L192,0)</f>
        <v/>
      </c>
      <c r="D192" s="116" t="str">
        <f ca="1">OFFSET(ORÇAMENTO!N$15,$L192,0)</f>
        <v>Serviço</v>
      </c>
      <c r="E192" s="117" t="str">
        <f ca="1">OFFSET(ORÇAMENTO!O$15,$L192,0)</f>
        <v>-</v>
      </c>
      <c r="F192" s="163" t="str">
        <f ca="1">OFFSET(ORÇAMENTO!R$15,$L192,0)</f>
        <v>(Código não identificado nas referências)</v>
      </c>
      <c r="G192" s="164" t="str">
        <f ca="1">IF($D192&lt;&gt;"Serviço","",OFFSET(ORÇAMENTO!S$15,$L192,0))</f>
        <v>-</v>
      </c>
      <c r="H192" s="122" cm="1">
        <f t="array" aca="1" ref="H192" ca="1">IF($D192&lt;&gt;"Serviço",0,IF(ACOMPANHAMENTO="BM",ROUND(OFFSET(ORÇAMENTO!AJ$15,$L192,0),15-13*ORÇAMENTO!$AF$7),IF(IFERROR(CÁLCULO.FrentesPreenchidas,0)=0,0,SUM(ROUND(OFFSET($P192,0,1,1,CÁLCULO.FrentesPreenchidas),15-13*ORÇAMENTO!$AF$7)))))</f>
        <v>20</v>
      </c>
      <c r="I192" s="468" t="s">
        <v>1235</v>
      </c>
      <c r="J192" s="651" t="str" cm="1">
        <f t="array" aca="1" ref="J192" ca="1">IF(OR(B192&lt;&gt;"S",CÁLCULO.FrentesPreenchidas=0),"",IF(AND(ACOMPANHAMENTO="PLE",AUTOEVENTO="Manual",OR(H192&gt;0,ORÇAMENTO!AC192="QUANT."),OR(K192="",M192=0,N192="")),"►E",IF(AND(ACOMPANHAMENTO="PLE",ORÇAMENTO!AC192="QUANT."),"►Q",IF(AND(ACOMPANHAMENTO="PLE",H192&lt;&gt;SUMPRODUCT(($Q$1:$AQ$1=1)*ROUND(Q192:AQ192,15))),"►S",IF(AND(COUNTIF($P$11:$AQ$11,"▼")=0,H192&gt;0,I192=""),"◄M","")))))</f>
        <v/>
      </c>
      <c r="K192" s="652" t="s">
        <v>1257</v>
      </c>
      <c r="L192" s="165">
        <f t="shared" ca="1" si="17"/>
        <v>177</v>
      </c>
      <c r="M192" s="166">
        <f ca="1">IF($D192&lt;&gt;"Serviço","",
          IF(AUTOEVENTO="manual",$A192,
                IF(ISERROR(MATCH($A192,$A$15:OFFSET($A192,-1,0),0)),MAX($M$15:OFFSET(M192,-1,0))+1,
                      INDEX($M$15:OFFSET(M192,-1,0),MATCH($A192,$A$15:OFFSET($A192,-1,0),0)))))</f>
        <v>9</v>
      </c>
      <c r="N192" s="167" t="str">
        <f ca="1">IF($D192&lt;&gt;"Serviço","",
         IF(AUTOEVENTO="Manual",
                IF($A192=0,"&lt;-- defina o número do agrupador",
                       OFFSET(EVENTOS!$D$15,$A192-$A$15,0)),
                OFFSET($F$15,$A192,0)))</f>
        <v>INSTALAÇÕES</v>
      </c>
      <c r="O192" s="168"/>
      <c r="Q192" s="168">
        <v>1</v>
      </c>
      <c r="R192" s="169">
        <v>1</v>
      </c>
      <c r="S192" s="169">
        <v>1</v>
      </c>
      <c r="T192" s="169">
        <v>1</v>
      </c>
      <c r="U192" s="169">
        <v>1</v>
      </c>
      <c r="V192" s="169">
        <v>1</v>
      </c>
      <c r="W192" s="169">
        <v>1</v>
      </c>
      <c r="X192" s="169">
        <v>1</v>
      </c>
      <c r="Y192" s="169">
        <v>1</v>
      </c>
      <c r="Z192" s="170">
        <v>1</v>
      </c>
      <c r="AA192" s="169">
        <v>1</v>
      </c>
      <c r="AB192" s="169">
        <v>1</v>
      </c>
      <c r="AC192" s="169">
        <v>1</v>
      </c>
      <c r="AD192" s="169">
        <v>1</v>
      </c>
      <c r="AE192" s="169">
        <v>1</v>
      </c>
      <c r="AF192" s="169">
        <v>1</v>
      </c>
      <c r="AG192" s="169">
        <v>1</v>
      </c>
      <c r="AH192" s="170">
        <v>1</v>
      </c>
      <c r="AI192" s="169">
        <v>1</v>
      </c>
      <c r="AJ192" s="169">
        <v>1</v>
      </c>
      <c r="AK192" s="169"/>
      <c r="AL192" s="169"/>
      <c r="AM192" s="169"/>
      <c r="AN192" s="169"/>
      <c r="AO192" s="169"/>
      <c r="AP192" s="170"/>
      <c r="AR192" s="453">
        <f ca="1">IF(AND($D192="Serviço",AR$12&lt;&gt;0,$H192&gt;0,OR(AUTOEVENTO&lt;&gt;"manual",$M192&lt;&gt;$A$15)),
        IF(Import.TipoArredondamento&lt;&gt;"TransfereGOV",
              ROUND(OFFSET($P192,0,AR$13),15-13*ORÇAMENTO!$AF$7)/$H192*OFFSET(ORÇAMENTO!$X$15,ROW(AR192)-ROW(AR$15),0),
              ROUND(ROUND(OFFSET($P192,0,AR$13),15-13*ORÇAMENTO!$AF$7)*OFFSET(ORÇAMENTO!$W$15,ROW(AR192)-ROW(AR$15),0),15-13*ORÇAMENTO!$AF$11)),
         0)</f>
        <v>0</v>
      </c>
      <c r="AS192" s="453">
        <f ca="1">IF(AND($D192="Serviço",AS$12&lt;&gt;0,$H192&gt;0,OR(AUTOEVENTO&lt;&gt;"manual",$M192&lt;&gt;$A$15)),
        IF(Import.TipoArredondamento&lt;&gt;"TransfereGOV",
              ROUND(OFFSET($P192,0,AS$13),15-13*ORÇAMENTO!$AF$7)/$H192*OFFSET(ORÇAMENTO!$X$15,ROW(AS192)-ROW(AS$15),0),
              ROUND(ROUND(OFFSET($P192,0,AS$13),15-13*ORÇAMENTO!$AF$7)*OFFSET(ORÇAMENTO!$W$15,ROW(AS192)-ROW(AS$15),0),15-13*ORÇAMENTO!$AF$11)),
         0)</f>
        <v>0</v>
      </c>
      <c r="AT192" s="453">
        <f ca="1">IF(AND($D192="Serviço",AT$12&lt;&gt;0,$H192&gt;0,OR(AUTOEVENTO&lt;&gt;"manual",$M192&lt;&gt;$A$15)),
        IF(Import.TipoArredondamento&lt;&gt;"TransfereGOV",
              ROUND(OFFSET($P192,0,AT$13),15-13*ORÇAMENTO!$AF$7)/$H192*OFFSET(ORÇAMENTO!$X$15,ROW(AT192)-ROW(AT$15),0),
              ROUND(ROUND(OFFSET($P192,0,AT$13),15-13*ORÇAMENTO!$AF$7)*OFFSET(ORÇAMENTO!$W$15,ROW(AT192)-ROW(AT$15),0),15-13*ORÇAMENTO!$AF$11)),
         0)</f>
        <v>0</v>
      </c>
      <c r="AU192" s="453">
        <f ca="1">IF(AND($D192="Serviço",AU$12&lt;&gt;0,$H192&gt;0,OR(AUTOEVENTO&lt;&gt;"manual",$M192&lt;&gt;$A$15)),
        IF(Import.TipoArredondamento&lt;&gt;"TransfereGOV",
              ROUND(OFFSET($P192,0,AU$13),15-13*ORÇAMENTO!$AF$7)/$H192*OFFSET(ORÇAMENTO!$X$15,ROW(AU192)-ROW(AU$15),0),
              ROUND(ROUND(OFFSET($P192,0,AU$13),15-13*ORÇAMENTO!$AF$7)*OFFSET(ORÇAMENTO!$W$15,ROW(AU192)-ROW(AU$15),0),15-13*ORÇAMENTO!$AF$11)),
         0)</f>
        <v>0</v>
      </c>
      <c r="AV192" s="453">
        <f ca="1">IF(AND($D192="Serviço",AV$12&lt;&gt;0,$H192&gt;0,OR(AUTOEVENTO&lt;&gt;"manual",$M192&lt;&gt;$A$15)),
        IF(Import.TipoArredondamento&lt;&gt;"TransfereGOV",
              ROUND(OFFSET($P192,0,AV$13),15-13*ORÇAMENTO!$AF$7)/$H192*OFFSET(ORÇAMENTO!$X$15,ROW(AV192)-ROW(AV$15),0),
              ROUND(ROUND(OFFSET($P192,0,AV$13),15-13*ORÇAMENTO!$AF$7)*OFFSET(ORÇAMENTO!$W$15,ROW(AV192)-ROW(AV$15),0),15-13*ORÇAMENTO!$AF$11)),
         0)</f>
        <v>0</v>
      </c>
      <c r="AW192" s="453">
        <f ca="1">IF(AND($D192="Serviço",AW$12&lt;&gt;0,$H192&gt;0,OR(AUTOEVENTO&lt;&gt;"manual",$M192&lt;&gt;$A$15)),
        IF(Import.TipoArredondamento&lt;&gt;"TransfereGOV",
              ROUND(OFFSET($P192,0,AW$13),15-13*ORÇAMENTO!$AF$7)/$H192*OFFSET(ORÇAMENTO!$X$15,ROW(AW192)-ROW(AW$15),0),
              ROUND(ROUND(OFFSET($P192,0,AW$13),15-13*ORÇAMENTO!$AF$7)*OFFSET(ORÇAMENTO!$W$15,ROW(AW192)-ROW(AW$15),0),15-13*ORÇAMENTO!$AF$11)),
         0)</f>
        <v>0</v>
      </c>
      <c r="AX192" s="453">
        <f ca="1">IF(AND($D192="Serviço",AX$12&lt;&gt;0,$H192&gt;0,OR(AUTOEVENTO&lt;&gt;"manual",$M192&lt;&gt;$A$15)),
        IF(Import.TipoArredondamento&lt;&gt;"TransfereGOV",
              ROUND(OFFSET($P192,0,AX$13),15-13*ORÇAMENTO!$AF$7)/$H192*OFFSET(ORÇAMENTO!$X$15,ROW(AX192)-ROW(AX$15),0),
              ROUND(ROUND(OFFSET($P192,0,AX$13),15-13*ORÇAMENTO!$AF$7)*OFFSET(ORÇAMENTO!$W$15,ROW(AX192)-ROW(AX$15),0),15-13*ORÇAMENTO!$AF$11)),
         0)</f>
        <v>0</v>
      </c>
      <c r="AY192" s="453">
        <f ca="1">IF(AND($D192="Serviço",AY$12&lt;&gt;0,$H192&gt;0,OR(AUTOEVENTO&lt;&gt;"manual",$M192&lt;&gt;$A$15)),
        IF(Import.TipoArredondamento&lt;&gt;"TransfereGOV",
              ROUND(OFFSET($P192,0,AY$13),15-13*ORÇAMENTO!$AF$7)/$H192*OFFSET(ORÇAMENTO!$X$15,ROW(AY192)-ROW(AY$15),0),
              ROUND(ROUND(OFFSET($P192,0,AY$13),15-13*ORÇAMENTO!$AF$7)*OFFSET(ORÇAMENTO!$W$15,ROW(AY192)-ROW(AY$15),0),15-13*ORÇAMENTO!$AF$11)),
         0)</f>
        <v>0</v>
      </c>
      <c r="AZ192" s="453">
        <f ca="1">IF(AND($D192="Serviço",AZ$12&lt;&gt;0,$H192&gt;0,OR(AUTOEVENTO&lt;&gt;"manual",$M192&lt;&gt;$A$15)),
        IF(Import.TipoArredondamento&lt;&gt;"TransfereGOV",
              ROUND(OFFSET($P192,0,AZ$13),15-13*ORÇAMENTO!$AF$7)/$H192*OFFSET(ORÇAMENTO!$X$15,ROW(AZ192)-ROW(AZ$15),0),
              ROUND(ROUND(OFFSET($P192,0,AZ$13),15-13*ORÇAMENTO!$AF$7)*OFFSET(ORÇAMENTO!$W$15,ROW(AZ192)-ROW(AZ$15),0),15-13*ORÇAMENTO!$AF$11)),
         0)</f>
        <v>0</v>
      </c>
      <c r="BA192" s="453">
        <f ca="1">IF(AND($D192="Serviço",BA$12&lt;&gt;0,$H192&gt;0,OR(AUTOEVENTO&lt;&gt;"manual",$M192&lt;&gt;$A$15)),
        IF(Import.TipoArredondamento&lt;&gt;"TransfereGOV",
              ROUND(OFFSET($P192,0,BA$13),15-13*ORÇAMENTO!$AF$7)/$H192*OFFSET(ORÇAMENTO!$X$15,ROW(BA192)-ROW(BA$15),0),
              ROUND(ROUND(OFFSET($P192,0,BA$13),15-13*ORÇAMENTO!$AF$7)*OFFSET(ORÇAMENTO!$W$15,ROW(BA192)-ROW(BA$15),0),15-13*ORÇAMENTO!$AF$11)),
         0)</f>
        <v>0</v>
      </c>
      <c r="BB192" s="453">
        <f ca="1">IF(AND($D192="Serviço",BB$12&lt;&gt;0,$H192&gt;0,OR(AUTOEVENTO&lt;&gt;"manual",$M192&lt;&gt;$A$15)),
        IF(Import.TipoArredondamento&lt;&gt;"TransfereGOV",
              ROUND(OFFSET($P192,0,BB$13),15-13*ORÇAMENTO!$AF$7)/$H192*OFFSET(ORÇAMENTO!$X$15,ROW(BB192)-ROW(BB$15),0),
              ROUND(ROUND(OFFSET($P192,0,BB$13),15-13*ORÇAMENTO!$AF$7)*OFFSET(ORÇAMENTO!$W$15,ROW(BB192)-ROW(BB$15),0),15-13*ORÇAMENTO!$AF$11)),
         0)</f>
        <v>0</v>
      </c>
      <c r="BC192" s="453">
        <f ca="1">IF(AND($D192="Serviço",BC$12&lt;&gt;0,$H192&gt;0,OR(AUTOEVENTO&lt;&gt;"manual",$M192&lt;&gt;$A$15)),
        IF(Import.TipoArredondamento&lt;&gt;"TransfereGOV",
              ROUND(OFFSET($P192,0,BC$13),15-13*ORÇAMENTO!$AF$7)/$H192*OFFSET(ORÇAMENTO!$X$15,ROW(BC192)-ROW(BC$15),0),
              ROUND(ROUND(OFFSET($P192,0,BC$13),15-13*ORÇAMENTO!$AF$7)*OFFSET(ORÇAMENTO!$W$15,ROW(BC192)-ROW(BC$15),0),15-13*ORÇAMENTO!$AF$11)),
         0)</f>
        <v>0</v>
      </c>
      <c r="BD192" s="453">
        <f ca="1">IF(AND($D192="Serviço",BD$12&lt;&gt;0,$H192&gt;0,OR(AUTOEVENTO&lt;&gt;"manual",$M192&lt;&gt;$A$15)),
        IF(Import.TipoArredondamento&lt;&gt;"TransfereGOV",
              ROUND(OFFSET($P192,0,BD$13),15-13*ORÇAMENTO!$AF$7)/$H192*OFFSET(ORÇAMENTO!$X$15,ROW(BD192)-ROW(BD$15),0),
              ROUND(ROUND(OFFSET($P192,0,BD$13),15-13*ORÇAMENTO!$AF$7)*OFFSET(ORÇAMENTO!$W$15,ROW(BD192)-ROW(BD$15),0),15-13*ORÇAMENTO!$AF$11)),
         0)</f>
        <v>0</v>
      </c>
      <c r="BE192" s="453">
        <f ca="1">IF(AND($D192="Serviço",BE$12&lt;&gt;0,$H192&gt;0,OR(AUTOEVENTO&lt;&gt;"manual",$M192&lt;&gt;$A$15)),
        IF(Import.TipoArredondamento&lt;&gt;"TransfereGOV",
              ROUND(OFFSET($P192,0,BE$13),15-13*ORÇAMENTO!$AF$7)/$H192*OFFSET(ORÇAMENTO!$X$15,ROW(BE192)-ROW(BE$15),0),
              ROUND(ROUND(OFFSET($P192,0,BE$13),15-13*ORÇAMENTO!$AF$7)*OFFSET(ORÇAMENTO!$W$15,ROW(BE192)-ROW(BE$15),0),15-13*ORÇAMENTO!$AF$11)),
         0)</f>
        <v>0</v>
      </c>
      <c r="BF192" s="453">
        <f ca="1">IF(AND($D192="Serviço",BF$12&lt;&gt;0,$H192&gt;0,OR(AUTOEVENTO&lt;&gt;"manual",$M192&lt;&gt;$A$15)),
        IF(Import.TipoArredondamento&lt;&gt;"TransfereGOV",
              ROUND(OFFSET($P192,0,BF$13),15-13*ORÇAMENTO!$AF$7)/$H192*OFFSET(ORÇAMENTO!$X$15,ROW(BF192)-ROW(BF$15),0),
              ROUND(ROUND(OFFSET($P192,0,BF$13),15-13*ORÇAMENTO!$AF$7)*OFFSET(ORÇAMENTO!$W$15,ROW(BF192)-ROW(BF$15),0),15-13*ORÇAMENTO!$AF$11)),
         0)</f>
        <v>0</v>
      </c>
      <c r="BG192" s="453">
        <f ca="1">IF(AND($D192="Serviço",BG$12&lt;&gt;0,$H192&gt;0,OR(AUTOEVENTO&lt;&gt;"manual",$M192&lt;&gt;$A$15)),
        IF(Import.TipoArredondamento&lt;&gt;"TransfereGOV",
              ROUND(OFFSET($P192,0,BG$13),15-13*ORÇAMENTO!$AF$7)/$H192*OFFSET(ORÇAMENTO!$X$15,ROW(BG192)-ROW(BG$15),0),
              ROUND(ROUND(OFFSET($P192,0,BG$13),15-13*ORÇAMENTO!$AF$7)*OFFSET(ORÇAMENTO!$W$15,ROW(BG192)-ROW(BG$15),0),15-13*ORÇAMENTO!$AF$11)),
         0)</f>
        <v>0</v>
      </c>
      <c r="BH192" s="453">
        <f ca="1">IF(AND($D192="Serviço",BH$12&lt;&gt;0,$H192&gt;0,OR(AUTOEVENTO&lt;&gt;"manual",$M192&lt;&gt;$A$15)),
        IF(Import.TipoArredondamento&lt;&gt;"TransfereGOV",
              ROUND(OFFSET($P192,0,BH$13),15-13*ORÇAMENTO!$AF$7)/$H192*OFFSET(ORÇAMENTO!$X$15,ROW(BH192)-ROW(BH$15),0),
              ROUND(ROUND(OFFSET($P192,0,BH$13),15-13*ORÇAMENTO!$AF$7)*OFFSET(ORÇAMENTO!$W$15,ROW(BH192)-ROW(BH$15),0),15-13*ORÇAMENTO!$AF$11)),
         0)</f>
        <v>0</v>
      </c>
      <c r="BI192" s="453">
        <f ca="1">IF(AND($D192="Serviço",BI$12&lt;&gt;0,$H192&gt;0,OR(AUTOEVENTO&lt;&gt;"manual",$M192&lt;&gt;$A$15)),
        IF(Import.TipoArredondamento&lt;&gt;"TransfereGOV",
              ROUND(OFFSET($P192,0,BI$13),15-13*ORÇAMENTO!$AF$7)/$H192*OFFSET(ORÇAMENTO!$X$15,ROW(BI192)-ROW(BI$15),0),
              ROUND(ROUND(OFFSET($P192,0,BI$13),15-13*ORÇAMENTO!$AF$7)*OFFSET(ORÇAMENTO!$W$15,ROW(BI192)-ROW(BI$15),0),15-13*ORÇAMENTO!$AF$11)),
         0)</f>
        <v>0</v>
      </c>
      <c r="BJ192" s="453">
        <f ca="1">IF(AND($D192="Serviço",BJ$12&lt;&gt;0,$H192&gt;0,OR(AUTOEVENTO&lt;&gt;"manual",$M192&lt;&gt;$A$15)),
        IF(Import.TipoArredondamento&lt;&gt;"TransfereGOV",
              ROUND(OFFSET($P192,0,BJ$13),15-13*ORÇAMENTO!$AF$7)/$H192*OFFSET(ORÇAMENTO!$X$15,ROW(BJ192)-ROW(BJ$15),0),
              ROUND(ROUND(OFFSET($P192,0,BJ$13),15-13*ORÇAMENTO!$AF$7)*OFFSET(ORÇAMENTO!$W$15,ROW(BJ192)-ROW(BJ$15),0),15-13*ORÇAMENTO!$AF$11)),
         0)</f>
        <v>0</v>
      </c>
      <c r="BK192" s="453">
        <f ca="1">IF(AND($D192="Serviço",BK$12&lt;&gt;0,$H192&gt;0,OR(AUTOEVENTO&lt;&gt;"manual",$M192&lt;&gt;$A$15)),
        IF(Import.TipoArredondamento&lt;&gt;"TransfereGOV",
              ROUND(OFFSET($P192,0,BK$13),15-13*ORÇAMENTO!$AF$7)/$H192*OFFSET(ORÇAMENTO!$X$15,ROW(BK192)-ROW(BK$15),0),
              ROUND(ROUND(OFFSET($P192,0,BK$13),15-13*ORÇAMENTO!$AF$7)*OFFSET(ORÇAMENTO!$W$15,ROW(BK192)-ROW(BK$15),0),15-13*ORÇAMENTO!$AF$11)),
         0)</f>
        <v>0</v>
      </c>
      <c r="BL192" s="453">
        <f ca="1">IF(AND($D192="Serviço",BL$12&lt;&gt;0,$H192&gt;0,OR(AUTOEVENTO&lt;&gt;"manual",$M192&lt;&gt;$A$15)),
        IF(Import.TipoArredondamento&lt;&gt;"TransfereGOV",
              ROUND(OFFSET($P192,0,BL$13),15-13*ORÇAMENTO!$AF$7)/$H192*OFFSET(ORÇAMENTO!$X$15,ROW(BL192)-ROW(BL$15),0),
              ROUND(ROUND(OFFSET($P192,0,BL$13),15-13*ORÇAMENTO!$AF$7)*OFFSET(ORÇAMENTO!$W$15,ROW(BL192)-ROW(BL$15),0),15-13*ORÇAMENTO!$AF$11)),
         0)</f>
        <v>0</v>
      </c>
      <c r="BM192" s="453">
        <f ca="1">IF(AND($D192="Serviço",BM$12&lt;&gt;0,$H192&gt;0,OR(AUTOEVENTO&lt;&gt;"manual",$M192&lt;&gt;$A$15)),
        IF(Import.TipoArredondamento&lt;&gt;"TransfereGOV",
              ROUND(OFFSET($P192,0,BM$13),15-13*ORÇAMENTO!$AF$7)/$H192*OFFSET(ORÇAMENTO!$X$15,ROW(BM192)-ROW(BM$15),0),
              ROUND(ROUND(OFFSET($P192,0,BM$13),15-13*ORÇAMENTO!$AF$7)*OFFSET(ORÇAMENTO!$W$15,ROW(BM192)-ROW(BM$15),0),15-13*ORÇAMENTO!$AF$11)),
         0)</f>
        <v>0</v>
      </c>
      <c r="BN192" s="453">
        <f ca="1">IF(AND($D192="Serviço",BN$12&lt;&gt;0,$H192&gt;0,OR(AUTOEVENTO&lt;&gt;"manual",$M192&lt;&gt;$A$15)),
        IF(Import.TipoArredondamento&lt;&gt;"TransfereGOV",
              ROUND(OFFSET($P192,0,BN$13),15-13*ORÇAMENTO!$AF$7)/$H192*OFFSET(ORÇAMENTO!$X$15,ROW(BN192)-ROW(BN$15),0),
              ROUND(ROUND(OFFSET($P192,0,BN$13),15-13*ORÇAMENTO!$AF$7)*OFFSET(ORÇAMENTO!$W$15,ROW(BN192)-ROW(BN$15),0),15-13*ORÇAMENTO!$AF$11)),
         0)</f>
        <v>0</v>
      </c>
      <c r="BO192" s="453">
        <f ca="1">IF(AND($D192="Serviço",BO$12&lt;&gt;0,$H192&gt;0,OR(AUTOEVENTO&lt;&gt;"manual",$M192&lt;&gt;$A$15)),
        IF(Import.TipoArredondamento&lt;&gt;"TransfereGOV",
              ROUND(OFFSET($P192,0,BO$13),15-13*ORÇAMENTO!$AF$7)/$H192*OFFSET(ORÇAMENTO!$X$15,ROW(BO192)-ROW(BO$15),0),
              ROUND(ROUND(OFFSET($P192,0,BO$13),15-13*ORÇAMENTO!$AF$7)*OFFSET(ORÇAMENTO!$W$15,ROW(BO192)-ROW(BO$15),0),15-13*ORÇAMENTO!$AF$11)),
         0)</f>
        <v>0</v>
      </c>
      <c r="BP192" s="453">
        <f ca="1">IF(AND($D192="Serviço",BP$12&lt;&gt;0,$H192&gt;0,OR(AUTOEVENTO&lt;&gt;"manual",$M192&lt;&gt;$A$15)),
        IF(Import.TipoArredondamento&lt;&gt;"TransfereGOV",
              ROUND(OFFSET($P192,0,BP$13),15-13*ORÇAMENTO!$AF$7)/$H192*OFFSET(ORÇAMENTO!$X$15,ROW(BP192)-ROW(BP$15),0),
              ROUND(ROUND(OFFSET($P192,0,BP$13),15-13*ORÇAMENTO!$AF$7)*OFFSET(ORÇAMENTO!$W$15,ROW(BP192)-ROW(BP$15),0),15-13*ORÇAMENTO!$AF$11)),
         0)</f>
        <v>0</v>
      </c>
      <c r="BQ192" s="453">
        <f ca="1">IF(AND($D192="Serviço",BQ$12&lt;&gt;0,$H192&gt;0,OR(AUTOEVENTO&lt;&gt;"manual",$M192&lt;&gt;$A$15)),
        IF(Import.TipoArredondamento&lt;&gt;"TransfereGOV",
              ROUND(OFFSET($P192,0,BQ$13),15-13*ORÇAMENTO!$AF$7)/$H192*OFFSET(ORÇAMENTO!$X$15,ROW(BQ192)-ROW(BQ$15),0),
              ROUND(ROUND(OFFSET($P192,0,BQ$13),15-13*ORÇAMENTO!$AF$7)*OFFSET(ORÇAMENTO!$W$15,ROW(BQ192)-ROW(BQ$15),0),15-13*ORÇAMENTO!$AF$11)),
         0)</f>
        <v>0</v>
      </c>
      <c r="BS192" s="171">
        <f ca="1">IF(OR($D192&lt;&gt;"Serviço",AND(AUTOEVENTO="Manual",$M192=$A$15)),0,
         IF(OFFSET(CRONOPLE!$F$15,$M192-$A$15,BS$13)=0,10^12,OFFSET(CRONOPLE!$F$15,$M192-$A$15,BS$13)))</f>
        <v>1</v>
      </c>
      <c r="BT192" s="171">
        <f ca="1">IF(OR($D192&lt;&gt;"Serviço",AND(AUTOEVENTO="Manual",$M192=$A$15)),0,
         IF(OFFSET(CRONOPLE!$F$15,$M192-$A$15,BT$13)=0,10^12,OFFSET(CRONOPLE!$F$15,$M192-$A$15,BT$13)))</f>
        <v>2</v>
      </c>
      <c r="BU192" s="171">
        <f ca="1">IF(OR($D192&lt;&gt;"Serviço",AND(AUTOEVENTO="Manual",$M192=$A$15)),0,
         IF(OFFSET(CRONOPLE!$F$15,$M192-$A$15,BU$13)=0,10^12,OFFSET(CRONOPLE!$F$15,$M192-$A$15,BU$13)))</f>
        <v>3</v>
      </c>
      <c r="BV192" s="171">
        <f ca="1">IF(OR($D192&lt;&gt;"Serviço",AND(AUTOEVENTO="Manual",$M192=$A$15)),0,
         IF(OFFSET(CRONOPLE!$F$15,$M192-$A$15,BV$13)=0,10^12,OFFSET(CRONOPLE!$F$15,$M192-$A$15,BV$13)))</f>
        <v>4</v>
      </c>
      <c r="BW192" s="171">
        <f ca="1">IF(OR($D192&lt;&gt;"Serviço",AND(AUTOEVENTO="Manual",$M192=$A$15)),0,
         IF(OFFSET(CRONOPLE!$F$15,$M192-$A$15,BW$13)=0,10^12,OFFSET(CRONOPLE!$F$15,$M192-$A$15,BW$13)))</f>
        <v>5</v>
      </c>
      <c r="BX192" s="171">
        <f ca="1">IF(OR($D192&lt;&gt;"Serviço",AND(AUTOEVENTO="Manual",$M192=$A$15)),0,
         IF(OFFSET(CRONOPLE!$F$15,$M192-$A$15,BX$13)=0,10^12,OFFSET(CRONOPLE!$F$15,$M192-$A$15,BX$13)))</f>
        <v>6</v>
      </c>
      <c r="BY192" s="171">
        <f ca="1">IF(OR($D192&lt;&gt;"Serviço",AND(AUTOEVENTO="Manual",$M192=$A$15)),0,
         IF(OFFSET(CRONOPLE!$F$15,$M192-$A$15,BY$13)=0,10^12,OFFSET(CRONOPLE!$F$15,$M192-$A$15,BY$13)))</f>
        <v>7</v>
      </c>
      <c r="BZ192" s="171">
        <f ca="1">IF(OR($D192&lt;&gt;"Serviço",AND(AUTOEVENTO="Manual",$M192=$A$15)),0,
         IF(OFFSET(CRONOPLE!$F$15,$M192-$A$15,BZ$13)=0,10^12,OFFSET(CRONOPLE!$F$15,$M192-$A$15,BZ$13)))</f>
        <v>8</v>
      </c>
      <c r="CA192" s="171">
        <f ca="1">IF(OR($D192&lt;&gt;"Serviço",AND(AUTOEVENTO="Manual",$M192=$A$15)),0,
         IF(OFFSET(CRONOPLE!$F$15,$M192-$A$15,CA$13)=0,10^12,OFFSET(CRONOPLE!$F$15,$M192-$A$15,CA$13)))</f>
        <v>9</v>
      </c>
      <c r="CB192" s="171">
        <f ca="1">IF(OR($D192&lt;&gt;"Serviço",AND(AUTOEVENTO="Manual",$M192=$A$15)),0,
         IF(OFFSET(CRONOPLE!$F$15,$M192-$A$15,CB$13)=0,10^12,OFFSET(CRONOPLE!$F$15,$M192-$A$15,CB$13)))</f>
        <v>10</v>
      </c>
      <c r="CC192" s="171">
        <f ca="1">IF(OR($D192&lt;&gt;"Serviço",AND(AUTOEVENTO="Manual",$M192=$A$15)),0,
         IF(OFFSET(CRONOPLE!$F$15,$M192-$A$15,CC$13)=0,10^12,OFFSET(CRONOPLE!$F$15,$M192-$A$15,CC$13)))</f>
        <v>11</v>
      </c>
      <c r="CD192" s="171">
        <f ca="1">IF(OR($D192&lt;&gt;"Serviço",AND(AUTOEVENTO="Manual",$M192=$A$15)),0,
         IF(OFFSET(CRONOPLE!$F$15,$M192-$A$15,CD$13)=0,10^12,OFFSET(CRONOPLE!$F$15,$M192-$A$15,CD$13)))</f>
        <v>12</v>
      </c>
      <c r="CE192" s="171">
        <f ca="1">IF(OR($D192&lt;&gt;"Serviço",AND(AUTOEVENTO="Manual",$M192=$A$15)),0,
         IF(OFFSET(CRONOPLE!$F$15,$M192-$A$15,CE$13)=0,10^12,OFFSET(CRONOPLE!$F$15,$M192-$A$15,CE$13)))</f>
        <v>13</v>
      </c>
      <c r="CF192" s="171">
        <f ca="1">IF(OR($D192&lt;&gt;"Serviço",AND(AUTOEVENTO="Manual",$M192=$A$15)),0,
         IF(OFFSET(CRONOPLE!$F$15,$M192-$A$15,CF$13)=0,10^12,OFFSET(CRONOPLE!$F$15,$M192-$A$15,CF$13)))</f>
        <v>14</v>
      </c>
      <c r="CG192" s="171">
        <f ca="1">IF(OR($D192&lt;&gt;"Serviço",AND(AUTOEVENTO="Manual",$M192=$A$15)),0,
         IF(OFFSET(CRONOPLE!$F$15,$M192-$A$15,CG$13)=0,10^12,OFFSET(CRONOPLE!$F$15,$M192-$A$15,CG$13)))</f>
        <v>15</v>
      </c>
      <c r="CH192" s="171">
        <f ca="1">IF(OR($D192&lt;&gt;"Serviço",AND(AUTOEVENTO="Manual",$M192=$A$15)),0,
         IF(OFFSET(CRONOPLE!$F$15,$M192-$A$15,CH$13)=0,10^12,OFFSET(CRONOPLE!$F$15,$M192-$A$15,CH$13)))</f>
        <v>16</v>
      </c>
      <c r="CI192" s="171">
        <f ca="1">IF(OR($D192&lt;&gt;"Serviço",AND(AUTOEVENTO="Manual",$M192=$A$15)),0,
         IF(OFFSET(CRONOPLE!$F$15,$M192-$A$15,CI$13)=0,10^12,OFFSET(CRONOPLE!$F$15,$M192-$A$15,CI$13)))</f>
        <v>17</v>
      </c>
      <c r="CJ192" s="171">
        <f ca="1">IF(OR($D192&lt;&gt;"Serviço",AND(AUTOEVENTO="Manual",$M192=$A$15)),0,
         IF(OFFSET(CRONOPLE!$F$15,$M192-$A$15,CJ$13)=0,10^12,OFFSET(CRONOPLE!$F$15,$M192-$A$15,CJ$13)))</f>
        <v>18</v>
      </c>
      <c r="CK192" s="171">
        <f ca="1">IF(OR($D192&lt;&gt;"Serviço",AND(AUTOEVENTO="Manual",$M192=$A$15)),0,
         IF(OFFSET(CRONOPLE!$F$15,$M192-$A$15,CK$13)=0,10^12,OFFSET(CRONOPLE!$F$15,$M192-$A$15,CK$13)))</f>
        <v>19</v>
      </c>
      <c r="CL192" s="171">
        <f ca="1">IF(OR($D192&lt;&gt;"Serviço",AND(AUTOEVENTO="Manual",$M192=$A$15)),0,
         IF(OFFSET(CRONOPLE!$F$15,$M192-$A$15,CL$13)=0,10^12,OFFSET(CRONOPLE!$F$15,$M192-$A$15,CL$13)))</f>
        <v>20</v>
      </c>
      <c r="CM192" s="171">
        <f ca="1">IF(OR($D192&lt;&gt;"Serviço",AND(AUTOEVENTO="Manual",$M192=$A$15)),0,
         IF(OFFSET(CRONOPLE!$F$15,$M192-$A$15,CM$13)=0,10^12,OFFSET(CRONOPLE!$F$15,$M192-$A$15,CM$13)))</f>
        <v>1000000000000</v>
      </c>
      <c r="CN192" s="171">
        <f ca="1">IF(OR($D192&lt;&gt;"Serviço",AND(AUTOEVENTO="Manual",$M192=$A$15)),0,
         IF(OFFSET(CRONOPLE!$F$15,$M192-$A$15,CN$13)=0,10^12,OFFSET(CRONOPLE!$F$15,$M192-$A$15,CN$13)))</f>
        <v>1000000000000</v>
      </c>
      <c r="CO192" s="171">
        <f ca="1">IF(OR($D192&lt;&gt;"Serviço",AND(AUTOEVENTO="Manual",$M192=$A$15)),0,
         IF(OFFSET(CRONOPLE!$F$15,$M192-$A$15,CO$13)=0,10^12,OFFSET(CRONOPLE!$F$15,$M192-$A$15,CO$13)))</f>
        <v>1000000000000</v>
      </c>
      <c r="CP192" s="171">
        <f ca="1">IF(OR($D192&lt;&gt;"Serviço",AND(AUTOEVENTO="Manual",$M192=$A$15)),0,
         IF(OFFSET(CRONOPLE!$F$15,$M192-$A$15,CP$13)=0,10^12,OFFSET(CRONOPLE!$F$15,$M192-$A$15,CP$13)))</f>
        <v>1000000000000</v>
      </c>
      <c r="CQ192" s="171">
        <f ca="1">IF(OR($D192&lt;&gt;"Serviço",AND(AUTOEVENTO="Manual",$M192=$A$15)),0,
         IF(OFFSET(CRONOPLE!$F$15,$M192-$A$15,CQ$13)=0,10^12,OFFSET(CRONOPLE!$F$15,$M192-$A$15,CQ$13)))</f>
        <v>1000000000000</v>
      </c>
      <c r="CR192" s="171">
        <f ca="1">IF(OR($D192&lt;&gt;"Serviço",AND(AUTOEVENTO="Manual",$M192=$A$15)),0,
         IF(OFFSET(CRONOPLE!$F$15,$M192-$A$15,CR$13)=0,10^12,OFFSET(CRONOPLE!$F$15,$M192-$A$15,CR$13)))</f>
        <v>1000000000000</v>
      </c>
      <c r="CT192" s="172" cm="1">
        <f t="array" aca="1" ref="CT192" ca="1">IF(OR($D192&lt;&gt;"Serviço",AND(AUTOEVENTO="Manual",$M192=$A$15),$M192&gt;(ROW(PLE.lastrow)-ROW(PLE.firstrow))),0,
           IF(OFFSET(PLE!$G$15,$M192-$A$15,CT$13)="",10^12,OFFSET(PLE!$G$15,$M192-$A$15,CT$13)))</f>
        <v>1000000000000</v>
      </c>
      <c r="CU192" s="172" cm="1">
        <f t="array" aca="1" ref="CU192" ca="1">IF(OR($D192&lt;&gt;"Serviço",AND(AUTOEVENTO="Manual",$M192=$A$15),$M192&gt;(ROW(PLE.lastrow)-ROW(PLE.firstrow))),0,
           IF(OFFSET(PLE!$G$15,$M192-$A$15,CU$13)="",10^12,OFFSET(PLE!$G$15,$M192-$A$15,CU$13)))</f>
        <v>1000000000000</v>
      </c>
      <c r="CV192" s="172" cm="1">
        <f t="array" aca="1" ref="CV192" ca="1">IF(OR($D192&lt;&gt;"Serviço",AND(AUTOEVENTO="Manual",$M192=$A$15),$M192&gt;(ROW(PLE.lastrow)-ROW(PLE.firstrow))),0,
           IF(OFFSET(PLE!$G$15,$M192-$A$15,CV$13)="",10^12,OFFSET(PLE!$G$15,$M192-$A$15,CV$13)))</f>
        <v>1000000000000</v>
      </c>
      <c r="CW192" s="172" cm="1">
        <f t="array" aca="1" ref="CW192" ca="1">IF(OR($D192&lt;&gt;"Serviço",AND(AUTOEVENTO="Manual",$M192=$A$15),$M192&gt;(ROW(PLE.lastrow)-ROW(PLE.firstrow))),0,
           IF(OFFSET(PLE!$G$15,$M192-$A$15,CW$13)="",10^12,OFFSET(PLE!$G$15,$M192-$A$15,CW$13)))</f>
        <v>1000000000000</v>
      </c>
      <c r="CX192" s="172" cm="1">
        <f t="array" aca="1" ref="CX192" ca="1">IF(OR($D192&lt;&gt;"Serviço",AND(AUTOEVENTO="Manual",$M192=$A$15),$M192&gt;(ROW(PLE.lastrow)-ROW(PLE.firstrow))),0,
           IF(OFFSET(PLE!$G$15,$M192-$A$15,CX$13)="",10^12,OFFSET(PLE!$G$15,$M192-$A$15,CX$13)))</f>
        <v>1000000000000</v>
      </c>
      <c r="CY192" s="172" cm="1">
        <f t="array" aca="1" ref="CY192" ca="1">IF(OR($D192&lt;&gt;"Serviço",AND(AUTOEVENTO="Manual",$M192=$A$15),$M192&gt;(ROW(PLE.lastrow)-ROW(PLE.firstrow))),0,
           IF(OFFSET(PLE!$G$15,$M192-$A$15,CY$13)="",10^12,OFFSET(PLE!$G$15,$M192-$A$15,CY$13)))</f>
        <v>1000000000000</v>
      </c>
      <c r="CZ192" s="172" cm="1">
        <f t="array" aca="1" ref="CZ192" ca="1">IF(OR($D192&lt;&gt;"Serviço",AND(AUTOEVENTO="Manual",$M192=$A$15),$M192&gt;(ROW(PLE.lastrow)-ROW(PLE.firstrow))),0,
           IF(OFFSET(PLE!$G$15,$M192-$A$15,CZ$13)="",10^12,OFFSET(PLE!$G$15,$M192-$A$15,CZ$13)))</f>
        <v>1000000000000</v>
      </c>
      <c r="DA192" s="172" cm="1">
        <f t="array" aca="1" ref="DA192" ca="1">IF(OR($D192&lt;&gt;"Serviço",AND(AUTOEVENTO="Manual",$M192=$A$15),$M192&gt;(ROW(PLE.lastrow)-ROW(PLE.firstrow))),0,
           IF(OFFSET(PLE!$G$15,$M192-$A$15,DA$13)="",10^12,OFFSET(PLE!$G$15,$M192-$A$15,DA$13)))</f>
        <v>1000000000000</v>
      </c>
      <c r="DB192" s="172" cm="1">
        <f t="array" aca="1" ref="DB192" ca="1">IF(OR($D192&lt;&gt;"Serviço",AND(AUTOEVENTO="Manual",$M192=$A$15),$M192&gt;(ROW(PLE.lastrow)-ROW(PLE.firstrow))),0,
           IF(OFFSET(PLE!$G$15,$M192-$A$15,DB$13)="",10^12,OFFSET(PLE!$G$15,$M192-$A$15,DB$13)))</f>
        <v>1000000000000</v>
      </c>
      <c r="DC192" s="172" cm="1">
        <f t="array" aca="1" ref="DC192" ca="1">IF(OR($D192&lt;&gt;"Serviço",AND(AUTOEVENTO="Manual",$M192=$A$15),$M192&gt;(ROW(PLE.lastrow)-ROW(PLE.firstrow))),0,
           IF(OFFSET(PLE!$G$15,$M192-$A$15,DC$13)="",10^12,OFFSET(PLE!$G$15,$M192-$A$15,DC$13)))</f>
        <v>1000000000000</v>
      </c>
      <c r="DD192" s="172" cm="1">
        <f t="array" aca="1" ref="DD192" ca="1">IF(OR($D192&lt;&gt;"Serviço",AND(AUTOEVENTO="Manual",$M192=$A$15),$M192&gt;(ROW(PLE.lastrow)-ROW(PLE.firstrow))),0,
           IF(OFFSET(PLE!$G$15,$M192-$A$15,DD$13)="",10^12,OFFSET(PLE!$G$15,$M192-$A$15,DD$13)))</f>
        <v>1000000000000</v>
      </c>
      <c r="DE192" s="172" cm="1">
        <f t="array" aca="1" ref="DE192" ca="1">IF(OR($D192&lt;&gt;"Serviço",AND(AUTOEVENTO="Manual",$M192=$A$15),$M192&gt;(ROW(PLE.lastrow)-ROW(PLE.firstrow))),0,
           IF(OFFSET(PLE!$G$15,$M192-$A$15,DE$13)="",10^12,OFFSET(PLE!$G$15,$M192-$A$15,DE$13)))</f>
        <v>1000000000000</v>
      </c>
      <c r="DF192" s="172" cm="1">
        <f t="array" aca="1" ref="DF192" ca="1">IF(OR($D192&lt;&gt;"Serviço",AND(AUTOEVENTO="Manual",$M192=$A$15),$M192&gt;(ROW(PLE.lastrow)-ROW(PLE.firstrow))),0,
           IF(OFFSET(PLE!$G$15,$M192-$A$15,DF$13)="",10^12,OFFSET(PLE!$G$15,$M192-$A$15,DF$13)))</f>
        <v>1000000000000</v>
      </c>
      <c r="DG192" s="172" cm="1">
        <f t="array" aca="1" ref="DG192" ca="1">IF(OR($D192&lt;&gt;"Serviço",AND(AUTOEVENTO="Manual",$M192=$A$15),$M192&gt;(ROW(PLE.lastrow)-ROW(PLE.firstrow))),0,
           IF(OFFSET(PLE!$G$15,$M192-$A$15,DG$13)="",10^12,OFFSET(PLE!$G$15,$M192-$A$15,DG$13)))</f>
        <v>1000000000000</v>
      </c>
      <c r="DH192" s="172" cm="1">
        <f t="array" aca="1" ref="DH192" ca="1">IF(OR($D192&lt;&gt;"Serviço",AND(AUTOEVENTO="Manual",$M192=$A$15),$M192&gt;(ROW(PLE.lastrow)-ROW(PLE.firstrow))),0,
           IF(OFFSET(PLE!$G$15,$M192-$A$15,DH$13)="",10^12,OFFSET(PLE!$G$15,$M192-$A$15,DH$13)))</f>
        <v>1000000000000</v>
      </c>
      <c r="DI192" s="172" cm="1">
        <f t="array" aca="1" ref="DI192" ca="1">IF(OR($D192&lt;&gt;"Serviço",AND(AUTOEVENTO="Manual",$M192=$A$15),$M192&gt;(ROW(PLE.lastrow)-ROW(PLE.firstrow))),0,
           IF(OFFSET(PLE!$G$15,$M192-$A$15,DI$13)="",10^12,OFFSET(PLE!$G$15,$M192-$A$15,DI$13)))</f>
        <v>1000000000000</v>
      </c>
      <c r="DJ192" s="172" cm="1">
        <f t="array" aca="1" ref="DJ192" ca="1">IF(OR($D192&lt;&gt;"Serviço",AND(AUTOEVENTO="Manual",$M192=$A$15),$M192&gt;(ROW(PLE.lastrow)-ROW(PLE.firstrow))),0,
           IF(OFFSET(PLE!$G$15,$M192-$A$15,DJ$13)="",10^12,OFFSET(PLE!$G$15,$M192-$A$15,DJ$13)))</f>
        <v>1000000000000</v>
      </c>
      <c r="DK192" s="172" cm="1">
        <f t="array" aca="1" ref="DK192" ca="1">IF(OR($D192&lt;&gt;"Serviço",AND(AUTOEVENTO="Manual",$M192=$A$15),$M192&gt;(ROW(PLE.lastrow)-ROW(PLE.firstrow))),0,
           IF(OFFSET(PLE!$G$15,$M192-$A$15,DK$13)="",10^12,OFFSET(PLE!$G$15,$M192-$A$15,DK$13)))</f>
        <v>1000000000000</v>
      </c>
      <c r="DL192" s="172" cm="1">
        <f t="array" aca="1" ref="DL192" ca="1">IF(OR($D192&lt;&gt;"Serviço",AND(AUTOEVENTO="Manual",$M192=$A$15),$M192&gt;(ROW(PLE.lastrow)-ROW(PLE.firstrow))),0,
           IF(OFFSET(PLE!$G$15,$M192-$A$15,DL$13)="",10^12,OFFSET(PLE!$G$15,$M192-$A$15,DL$13)))</f>
        <v>1000000000000</v>
      </c>
      <c r="DM192" s="172" cm="1">
        <f t="array" aca="1" ref="DM192" ca="1">IF(OR($D192&lt;&gt;"Serviço",AND(AUTOEVENTO="Manual",$M192=$A$15),$M192&gt;(ROW(PLE.lastrow)-ROW(PLE.firstrow))),0,
           IF(OFFSET(PLE!$G$15,$M192-$A$15,DM$13)="",10^12,OFFSET(PLE!$G$15,$M192-$A$15,DM$13)))</f>
        <v>1000000000000</v>
      </c>
      <c r="DN192" s="172" cm="1">
        <f t="array" aca="1" ref="DN192" ca="1">IF(OR($D192&lt;&gt;"Serviço",AND(AUTOEVENTO="Manual",$M192=$A$15),$M192&gt;(ROW(PLE.lastrow)-ROW(PLE.firstrow))),0,
           IF(OFFSET(PLE!$G$15,$M192-$A$15,DN$13)="",10^12,OFFSET(PLE!$G$15,$M192-$A$15,DN$13)))</f>
        <v>1000000000000</v>
      </c>
      <c r="DO192" s="172" cm="1">
        <f t="array" aca="1" ref="DO192" ca="1">IF(OR($D192&lt;&gt;"Serviço",AND(AUTOEVENTO="Manual",$M192=$A$15),$M192&gt;(ROW(PLE.lastrow)-ROW(PLE.firstrow))),0,
           IF(OFFSET(PLE!$G$15,$M192-$A$15,DO$13)="",10^12,OFFSET(PLE!$G$15,$M192-$A$15,DO$13)))</f>
        <v>1000000000000</v>
      </c>
      <c r="DP192" s="172" cm="1">
        <f t="array" aca="1" ref="DP192" ca="1">IF(OR($D192&lt;&gt;"Serviço",AND(AUTOEVENTO="Manual",$M192=$A$15),$M192&gt;(ROW(PLE.lastrow)-ROW(PLE.firstrow))),0,
           IF(OFFSET(PLE!$G$15,$M192-$A$15,DP$13)="",10^12,OFFSET(PLE!$G$15,$M192-$A$15,DP$13)))</f>
        <v>1000000000000</v>
      </c>
      <c r="DQ192" s="172" cm="1">
        <f t="array" aca="1" ref="DQ192" ca="1">IF(OR($D192&lt;&gt;"Serviço",AND(AUTOEVENTO="Manual",$M192=$A$15),$M192&gt;(ROW(PLE.lastrow)-ROW(PLE.firstrow))),0,
           IF(OFFSET(PLE!$G$15,$M192-$A$15,DQ$13)="",10^12,OFFSET(PLE!$G$15,$M192-$A$15,DQ$13)))</f>
        <v>1000000000000</v>
      </c>
      <c r="DR192" s="172" cm="1">
        <f t="array" aca="1" ref="DR192" ca="1">IF(OR($D192&lt;&gt;"Serviço",AND(AUTOEVENTO="Manual",$M192=$A$15),$M192&gt;(ROW(PLE.lastrow)-ROW(PLE.firstrow))),0,
           IF(OFFSET(PLE!$G$15,$M192-$A$15,DR$13)="",10^12,OFFSET(PLE!$G$15,$M192-$A$15,DR$13)))</f>
        <v>1000000000000</v>
      </c>
      <c r="DS192" s="172" cm="1">
        <f t="array" aca="1" ref="DS192" ca="1">IF(OR($D192&lt;&gt;"Serviço",AND(AUTOEVENTO="Manual",$M192=$A$15),$M192&gt;(ROW(PLE.lastrow)-ROW(PLE.firstrow))),0,
           IF(OFFSET(PLE!$G$15,$M192-$A$15,DS$13)="",10^12,OFFSET(PLE!$G$15,$M192-$A$15,DS$13)))</f>
        <v>1000000000000</v>
      </c>
    </row>
    <row r="193" spans="1:123" ht="38.25" x14ac:dyDescent="0.2">
      <c r="A193" s="7">
        <f t="shared" ca="1" si="18"/>
        <v>9</v>
      </c>
      <c r="B193" s="7" t="str">
        <f ca="1">OFFSET(ORÇAMENTO!C$15,$L193,0)</f>
        <v>S</v>
      </c>
      <c r="C193" s="7" t="str">
        <f ca="1">OFFSET(ORÇAMENTO!L$15,$L193,0)</f>
        <v/>
      </c>
      <c r="D193" s="116" t="str">
        <f ca="1">OFFSET(ORÇAMENTO!N$15,$L193,0)</f>
        <v>Serviço</v>
      </c>
      <c r="E193" s="117" t="str">
        <f ca="1">OFFSET(ORÇAMENTO!O$15,$L193,0)</f>
        <v>-</v>
      </c>
      <c r="F193" s="163" t="str">
        <f ca="1">OFFSET(ORÇAMENTO!R$15,$L193,0)</f>
        <v>(Código não identificado nas referências)</v>
      </c>
      <c r="G193" s="164" t="str">
        <f ca="1">IF($D193&lt;&gt;"Serviço","",OFFSET(ORÇAMENTO!S$15,$L193,0))</f>
        <v>-</v>
      </c>
      <c r="H193" s="122" cm="1">
        <f t="array" aca="1" ref="H193" ca="1">IF($D193&lt;&gt;"Serviço",0,IF(ACOMPANHAMENTO="BM",ROUND(OFFSET(ORÇAMENTO!AJ$15,$L193,0),15-13*ORÇAMENTO!$AF$7),IF(IFERROR(CÁLCULO.FrentesPreenchidas,0)=0,0,SUM(ROUND(OFFSET($P193,0,1,1,CÁLCULO.FrentesPreenchidas),15-13*ORÇAMENTO!$AF$7)))))</f>
        <v>40</v>
      </c>
      <c r="I193" s="468" t="s">
        <v>1235</v>
      </c>
      <c r="J193" s="651" t="str" cm="1">
        <f t="array" aca="1" ref="J193" ca="1">IF(OR(B193&lt;&gt;"S",CÁLCULO.FrentesPreenchidas=0),"",IF(AND(ACOMPANHAMENTO="PLE",AUTOEVENTO="Manual",OR(H193&gt;0,ORÇAMENTO!AC193="QUANT."),OR(K193="",M193=0,N193="")),"►E",IF(AND(ACOMPANHAMENTO="PLE",ORÇAMENTO!AC193="QUANT."),"►Q",IF(AND(ACOMPANHAMENTO="PLE",H193&lt;&gt;SUMPRODUCT(($Q$1:$AQ$1=1)*ROUND(Q193:AQ193,15))),"►S",IF(AND(COUNTIF($P$11:$AQ$11,"▼")=0,H193&gt;0,I193=""),"◄M","")))))</f>
        <v/>
      </c>
      <c r="K193" s="652" t="s">
        <v>1257</v>
      </c>
      <c r="L193" s="165">
        <f t="shared" ca="1" si="17"/>
        <v>178</v>
      </c>
      <c r="M193" s="166">
        <f ca="1">IF($D193&lt;&gt;"Serviço","",
          IF(AUTOEVENTO="manual",$A193,
                IF(ISERROR(MATCH($A193,$A$15:OFFSET($A193,-1,0),0)),MAX($M$15:OFFSET(M193,-1,0))+1,
                      INDEX($M$15:OFFSET(M193,-1,0),MATCH($A193,$A$15:OFFSET($A193,-1,0),0)))))</f>
        <v>9</v>
      </c>
      <c r="N193" s="167" t="str">
        <f ca="1">IF($D193&lt;&gt;"Serviço","",
         IF(AUTOEVENTO="Manual",
                IF($A193=0,"&lt;-- defina o número do agrupador",
                       OFFSET(EVENTOS!$D$15,$A193-$A$15,0)),
                OFFSET($F$15,$A193,0)))</f>
        <v>INSTALAÇÕES</v>
      </c>
      <c r="O193" s="168"/>
      <c r="Q193" s="168">
        <v>2</v>
      </c>
      <c r="R193" s="169">
        <v>2</v>
      </c>
      <c r="S193" s="169">
        <v>2</v>
      </c>
      <c r="T193" s="169">
        <v>2</v>
      </c>
      <c r="U193" s="169">
        <v>2</v>
      </c>
      <c r="V193" s="169">
        <v>2</v>
      </c>
      <c r="W193" s="169">
        <v>2</v>
      </c>
      <c r="X193" s="169">
        <v>2</v>
      </c>
      <c r="Y193" s="169">
        <v>2</v>
      </c>
      <c r="Z193" s="170">
        <v>2</v>
      </c>
      <c r="AA193" s="169">
        <v>2</v>
      </c>
      <c r="AB193" s="169">
        <v>2</v>
      </c>
      <c r="AC193" s="169">
        <v>2</v>
      </c>
      <c r="AD193" s="169">
        <v>2</v>
      </c>
      <c r="AE193" s="169">
        <v>2</v>
      </c>
      <c r="AF193" s="169">
        <v>2</v>
      </c>
      <c r="AG193" s="169">
        <v>2</v>
      </c>
      <c r="AH193" s="170">
        <v>2</v>
      </c>
      <c r="AI193" s="169">
        <v>2</v>
      </c>
      <c r="AJ193" s="169">
        <v>2</v>
      </c>
      <c r="AK193" s="169"/>
      <c r="AL193" s="169"/>
      <c r="AM193" s="169"/>
      <c r="AN193" s="169"/>
      <c r="AO193" s="169"/>
      <c r="AP193" s="170"/>
      <c r="AR193" s="453">
        <f ca="1">IF(AND($D193="Serviço",AR$12&lt;&gt;0,$H193&gt;0,OR(AUTOEVENTO&lt;&gt;"manual",$M193&lt;&gt;$A$15)),
        IF(Import.TipoArredondamento&lt;&gt;"TransfereGOV",
              ROUND(OFFSET($P193,0,AR$13),15-13*ORÇAMENTO!$AF$7)/$H193*OFFSET(ORÇAMENTO!$X$15,ROW(AR193)-ROW(AR$15),0),
              ROUND(ROUND(OFFSET($P193,0,AR$13),15-13*ORÇAMENTO!$AF$7)*OFFSET(ORÇAMENTO!$W$15,ROW(AR193)-ROW(AR$15),0),15-13*ORÇAMENTO!$AF$11)),
         0)</f>
        <v>0</v>
      </c>
      <c r="AS193" s="453">
        <f ca="1">IF(AND($D193="Serviço",AS$12&lt;&gt;0,$H193&gt;0,OR(AUTOEVENTO&lt;&gt;"manual",$M193&lt;&gt;$A$15)),
        IF(Import.TipoArredondamento&lt;&gt;"TransfereGOV",
              ROUND(OFFSET($P193,0,AS$13),15-13*ORÇAMENTO!$AF$7)/$H193*OFFSET(ORÇAMENTO!$X$15,ROW(AS193)-ROW(AS$15),0),
              ROUND(ROUND(OFFSET($P193,0,AS$13),15-13*ORÇAMENTO!$AF$7)*OFFSET(ORÇAMENTO!$W$15,ROW(AS193)-ROW(AS$15),0),15-13*ORÇAMENTO!$AF$11)),
         0)</f>
        <v>0</v>
      </c>
      <c r="AT193" s="453">
        <f ca="1">IF(AND($D193="Serviço",AT$12&lt;&gt;0,$H193&gt;0,OR(AUTOEVENTO&lt;&gt;"manual",$M193&lt;&gt;$A$15)),
        IF(Import.TipoArredondamento&lt;&gt;"TransfereGOV",
              ROUND(OFFSET($P193,0,AT$13),15-13*ORÇAMENTO!$AF$7)/$H193*OFFSET(ORÇAMENTO!$X$15,ROW(AT193)-ROW(AT$15),0),
              ROUND(ROUND(OFFSET($P193,0,AT$13),15-13*ORÇAMENTO!$AF$7)*OFFSET(ORÇAMENTO!$W$15,ROW(AT193)-ROW(AT$15),0),15-13*ORÇAMENTO!$AF$11)),
         0)</f>
        <v>0</v>
      </c>
      <c r="AU193" s="453">
        <f ca="1">IF(AND($D193="Serviço",AU$12&lt;&gt;0,$H193&gt;0,OR(AUTOEVENTO&lt;&gt;"manual",$M193&lt;&gt;$A$15)),
        IF(Import.TipoArredondamento&lt;&gt;"TransfereGOV",
              ROUND(OFFSET($P193,0,AU$13),15-13*ORÇAMENTO!$AF$7)/$H193*OFFSET(ORÇAMENTO!$X$15,ROW(AU193)-ROW(AU$15),0),
              ROUND(ROUND(OFFSET($P193,0,AU$13),15-13*ORÇAMENTO!$AF$7)*OFFSET(ORÇAMENTO!$W$15,ROW(AU193)-ROW(AU$15),0),15-13*ORÇAMENTO!$AF$11)),
         0)</f>
        <v>0</v>
      </c>
      <c r="AV193" s="453">
        <f ca="1">IF(AND($D193="Serviço",AV$12&lt;&gt;0,$H193&gt;0,OR(AUTOEVENTO&lt;&gt;"manual",$M193&lt;&gt;$A$15)),
        IF(Import.TipoArredondamento&lt;&gt;"TransfereGOV",
              ROUND(OFFSET($P193,0,AV$13),15-13*ORÇAMENTO!$AF$7)/$H193*OFFSET(ORÇAMENTO!$X$15,ROW(AV193)-ROW(AV$15),0),
              ROUND(ROUND(OFFSET($P193,0,AV$13),15-13*ORÇAMENTO!$AF$7)*OFFSET(ORÇAMENTO!$W$15,ROW(AV193)-ROW(AV$15),0),15-13*ORÇAMENTO!$AF$11)),
         0)</f>
        <v>0</v>
      </c>
      <c r="AW193" s="453">
        <f ca="1">IF(AND($D193="Serviço",AW$12&lt;&gt;0,$H193&gt;0,OR(AUTOEVENTO&lt;&gt;"manual",$M193&lt;&gt;$A$15)),
        IF(Import.TipoArredondamento&lt;&gt;"TransfereGOV",
              ROUND(OFFSET($P193,0,AW$13),15-13*ORÇAMENTO!$AF$7)/$H193*OFFSET(ORÇAMENTO!$X$15,ROW(AW193)-ROW(AW$15),0),
              ROUND(ROUND(OFFSET($P193,0,AW$13),15-13*ORÇAMENTO!$AF$7)*OFFSET(ORÇAMENTO!$W$15,ROW(AW193)-ROW(AW$15),0),15-13*ORÇAMENTO!$AF$11)),
         0)</f>
        <v>0</v>
      </c>
      <c r="AX193" s="453">
        <f ca="1">IF(AND($D193="Serviço",AX$12&lt;&gt;0,$H193&gt;0,OR(AUTOEVENTO&lt;&gt;"manual",$M193&lt;&gt;$A$15)),
        IF(Import.TipoArredondamento&lt;&gt;"TransfereGOV",
              ROUND(OFFSET($P193,0,AX$13),15-13*ORÇAMENTO!$AF$7)/$H193*OFFSET(ORÇAMENTO!$X$15,ROW(AX193)-ROW(AX$15),0),
              ROUND(ROUND(OFFSET($P193,0,AX$13),15-13*ORÇAMENTO!$AF$7)*OFFSET(ORÇAMENTO!$W$15,ROW(AX193)-ROW(AX$15),0),15-13*ORÇAMENTO!$AF$11)),
         0)</f>
        <v>0</v>
      </c>
      <c r="AY193" s="453">
        <f ca="1">IF(AND($D193="Serviço",AY$12&lt;&gt;0,$H193&gt;0,OR(AUTOEVENTO&lt;&gt;"manual",$M193&lt;&gt;$A$15)),
        IF(Import.TipoArredondamento&lt;&gt;"TransfereGOV",
              ROUND(OFFSET($P193,0,AY$13),15-13*ORÇAMENTO!$AF$7)/$H193*OFFSET(ORÇAMENTO!$X$15,ROW(AY193)-ROW(AY$15),0),
              ROUND(ROUND(OFFSET($P193,0,AY$13),15-13*ORÇAMENTO!$AF$7)*OFFSET(ORÇAMENTO!$W$15,ROW(AY193)-ROW(AY$15),0),15-13*ORÇAMENTO!$AF$11)),
         0)</f>
        <v>0</v>
      </c>
      <c r="AZ193" s="453">
        <f ca="1">IF(AND($D193="Serviço",AZ$12&lt;&gt;0,$H193&gt;0,OR(AUTOEVENTO&lt;&gt;"manual",$M193&lt;&gt;$A$15)),
        IF(Import.TipoArredondamento&lt;&gt;"TransfereGOV",
              ROUND(OFFSET($P193,0,AZ$13),15-13*ORÇAMENTO!$AF$7)/$H193*OFFSET(ORÇAMENTO!$X$15,ROW(AZ193)-ROW(AZ$15),0),
              ROUND(ROUND(OFFSET($P193,0,AZ$13),15-13*ORÇAMENTO!$AF$7)*OFFSET(ORÇAMENTO!$W$15,ROW(AZ193)-ROW(AZ$15),0),15-13*ORÇAMENTO!$AF$11)),
         0)</f>
        <v>0</v>
      </c>
      <c r="BA193" s="453">
        <f ca="1">IF(AND($D193="Serviço",BA$12&lt;&gt;0,$H193&gt;0,OR(AUTOEVENTO&lt;&gt;"manual",$M193&lt;&gt;$A$15)),
        IF(Import.TipoArredondamento&lt;&gt;"TransfereGOV",
              ROUND(OFFSET($P193,0,BA$13),15-13*ORÇAMENTO!$AF$7)/$H193*OFFSET(ORÇAMENTO!$X$15,ROW(BA193)-ROW(BA$15),0),
              ROUND(ROUND(OFFSET($P193,0,BA$13),15-13*ORÇAMENTO!$AF$7)*OFFSET(ORÇAMENTO!$W$15,ROW(BA193)-ROW(BA$15),0),15-13*ORÇAMENTO!$AF$11)),
         0)</f>
        <v>0</v>
      </c>
      <c r="BB193" s="453">
        <f ca="1">IF(AND($D193="Serviço",BB$12&lt;&gt;0,$H193&gt;0,OR(AUTOEVENTO&lt;&gt;"manual",$M193&lt;&gt;$A$15)),
        IF(Import.TipoArredondamento&lt;&gt;"TransfereGOV",
              ROUND(OFFSET($P193,0,BB$13),15-13*ORÇAMENTO!$AF$7)/$H193*OFFSET(ORÇAMENTO!$X$15,ROW(BB193)-ROW(BB$15),0),
              ROUND(ROUND(OFFSET($P193,0,BB$13),15-13*ORÇAMENTO!$AF$7)*OFFSET(ORÇAMENTO!$W$15,ROW(BB193)-ROW(BB$15),0),15-13*ORÇAMENTO!$AF$11)),
         0)</f>
        <v>0</v>
      </c>
      <c r="BC193" s="453">
        <f ca="1">IF(AND($D193="Serviço",BC$12&lt;&gt;0,$H193&gt;0,OR(AUTOEVENTO&lt;&gt;"manual",$M193&lt;&gt;$A$15)),
        IF(Import.TipoArredondamento&lt;&gt;"TransfereGOV",
              ROUND(OFFSET($P193,0,BC$13),15-13*ORÇAMENTO!$AF$7)/$H193*OFFSET(ORÇAMENTO!$X$15,ROW(BC193)-ROW(BC$15),0),
              ROUND(ROUND(OFFSET($P193,0,BC$13),15-13*ORÇAMENTO!$AF$7)*OFFSET(ORÇAMENTO!$W$15,ROW(BC193)-ROW(BC$15),0),15-13*ORÇAMENTO!$AF$11)),
         0)</f>
        <v>0</v>
      </c>
      <c r="BD193" s="453">
        <f ca="1">IF(AND($D193="Serviço",BD$12&lt;&gt;0,$H193&gt;0,OR(AUTOEVENTO&lt;&gt;"manual",$M193&lt;&gt;$A$15)),
        IF(Import.TipoArredondamento&lt;&gt;"TransfereGOV",
              ROUND(OFFSET($P193,0,BD$13),15-13*ORÇAMENTO!$AF$7)/$H193*OFFSET(ORÇAMENTO!$X$15,ROW(BD193)-ROW(BD$15),0),
              ROUND(ROUND(OFFSET($P193,0,BD$13),15-13*ORÇAMENTO!$AF$7)*OFFSET(ORÇAMENTO!$W$15,ROW(BD193)-ROW(BD$15),0),15-13*ORÇAMENTO!$AF$11)),
         0)</f>
        <v>0</v>
      </c>
      <c r="BE193" s="453">
        <f ca="1">IF(AND($D193="Serviço",BE$12&lt;&gt;0,$H193&gt;0,OR(AUTOEVENTO&lt;&gt;"manual",$M193&lt;&gt;$A$15)),
        IF(Import.TipoArredondamento&lt;&gt;"TransfereGOV",
              ROUND(OFFSET($P193,0,BE$13),15-13*ORÇAMENTO!$AF$7)/$H193*OFFSET(ORÇAMENTO!$X$15,ROW(BE193)-ROW(BE$15),0),
              ROUND(ROUND(OFFSET($P193,0,BE$13),15-13*ORÇAMENTO!$AF$7)*OFFSET(ORÇAMENTO!$W$15,ROW(BE193)-ROW(BE$15),0),15-13*ORÇAMENTO!$AF$11)),
         0)</f>
        <v>0</v>
      </c>
      <c r="BF193" s="453">
        <f ca="1">IF(AND($D193="Serviço",BF$12&lt;&gt;0,$H193&gt;0,OR(AUTOEVENTO&lt;&gt;"manual",$M193&lt;&gt;$A$15)),
        IF(Import.TipoArredondamento&lt;&gt;"TransfereGOV",
              ROUND(OFFSET($P193,0,BF$13),15-13*ORÇAMENTO!$AF$7)/$H193*OFFSET(ORÇAMENTO!$X$15,ROW(BF193)-ROW(BF$15),0),
              ROUND(ROUND(OFFSET($P193,0,BF$13),15-13*ORÇAMENTO!$AF$7)*OFFSET(ORÇAMENTO!$W$15,ROW(BF193)-ROW(BF$15),0),15-13*ORÇAMENTO!$AF$11)),
         0)</f>
        <v>0</v>
      </c>
      <c r="BG193" s="453">
        <f ca="1">IF(AND($D193="Serviço",BG$12&lt;&gt;0,$H193&gt;0,OR(AUTOEVENTO&lt;&gt;"manual",$M193&lt;&gt;$A$15)),
        IF(Import.TipoArredondamento&lt;&gt;"TransfereGOV",
              ROUND(OFFSET($P193,0,BG$13),15-13*ORÇAMENTO!$AF$7)/$H193*OFFSET(ORÇAMENTO!$X$15,ROW(BG193)-ROW(BG$15),0),
              ROUND(ROUND(OFFSET($P193,0,BG$13),15-13*ORÇAMENTO!$AF$7)*OFFSET(ORÇAMENTO!$W$15,ROW(BG193)-ROW(BG$15),0),15-13*ORÇAMENTO!$AF$11)),
         0)</f>
        <v>0</v>
      </c>
      <c r="BH193" s="453">
        <f ca="1">IF(AND($D193="Serviço",BH$12&lt;&gt;0,$H193&gt;0,OR(AUTOEVENTO&lt;&gt;"manual",$M193&lt;&gt;$A$15)),
        IF(Import.TipoArredondamento&lt;&gt;"TransfereGOV",
              ROUND(OFFSET($P193,0,BH$13),15-13*ORÇAMENTO!$AF$7)/$H193*OFFSET(ORÇAMENTO!$X$15,ROW(BH193)-ROW(BH$15),0),
              ROUND(ROUND(OFFSET($P193,0,BH$13),15-13*ORÇAMENTO!$AF$7)*OFFSET(ORÇAMENTO!$W$15,ROW(BH193)-ROW(BH$15),0),15-13*ORÇAMENTO!$AF$11)),
         0)</f>
        <v>0</v>
      </c>
      <c r="BI193" s="453">
        <f ca="1">IF(AND($D193="Serviço",BI$12&lt;&gt;0,$H193&gt;0,OR(AUTOEVENTO&lt;&gt;"manual",$M193&lt;&gt;$A$15)),
        IF(Import.TipoArredondamento&lt;&gt;"TransfereGOV",
              ROUND(OFFSET($P193,0,BI$13),15-13*ORÇAMENTO!$AF$7)/$H193*OFFSET(ORÇAMENTO!$X$15,ROW(BI193)-ROW(BI$15),0),
              ROUND(ROUND(OFFSET($P193,0,BI$13),15-13*ORÇAMENTO!$AF$7)*OFFSET(ORÇAMENTO!$W$15,ROW(BI193)-ROW(BI$15),0),15-13*ORÇAMENTO!$AF$11)),
         0)</f>
        <v>0</v>
      </c>
      <c r="BJ193" s="453">
        <f ca="1">IF(AND($D193="Serviço",BJ$12&lt;&gt;0,$H193&gt;0,OR(AUTOEVENTO&lt;&gt;"manual",$M193&lt;&gt;$A$15)),
        IF(Import.TipoArredondamento&lt;&gt;"TransfereGOV",
              ROUND(OFFSET($P193,0,BJ$13),15-13*ORÇAMENTO!$AF$7)/$H193*OFFSET(ORÇAMENTO!$X$15,ROW(BJ193)-ROW(BJ$15),0),
              ROUND(ROUND(OFFSET($P193,0,BJ$13),15-13*ORÇAMENTO!$AF$7)*OFFSET(ORÇAMENTO!$W$15,ROW(BJ193)-ROW(BJ$15),0),15-13*ORÇAMENTO!$AF$11)),
         0)</f>
        <v>0</v>
      </c>
      <c r="BK193" s="453">
        <f ca="1">IF(AND($D193="Serviço",BK$12&lt;&gt;0,$H193&gt;0,OR(AUTOEVENTO&lt;&gt;"manual",$M193&lt;&gt;$A$15)),
        IF(Import.TipoArredondamento&lt;&gt;"TransfereGOV",
              ROUND(OFFSET($P193,0,BK$13),15-13*ORÇAMENTO!$AF$7)/$H193*OFFSET(ORÇAMENTO!$X$15,ROW(BK193)-ROW(BK$15),0),
              ROUND(ROUND(OFFSET($P193,0,BK$13),15-13*ORÇAMENTO!$AF$7)*OFFSET(ORÇAMENTO!$W$15,ROW(BK193)-ROW(BK$15),0),15-13*ORÇAMENTO!$AF$11)),
         0)</f>
        <v>0</v>
      </c>
      <c r="BL193" s="453">
        <f ca="1">IF(AND($D193="Serviço",BL$12&lt;&gt;0,$H193&gt;0,OR(AUTOEVENTO&lt;&gt;"manual",$M193&lt;&gt;$A$15)),
        IF(Import.TipoArredondamento&lt;&gt;"TransfereGOV",
              ROUND(OFFSET($P193,0,BL$13),15-13*ORÇAMENTO!$AF$7)/$H193*OFFSET(ORÇAMENTO!$X$15,ROW(BL193)-ROW(BL$15),0),
              ROUND(ROUND(OFFSET($P193,0,BL$13),15-13*ORÇAMENTO!$AF$7)*OFFSET(ORÇAMENTO!$W$15,ROW(BL193)-ROW(BL$15),0),15-13*ORÇAMENTO!$AF$11)),
         0)</f>
        <v>0</v>
      </c>
      <c r="BM193" s="453">
        <f ca="1">IF(AND($D193="Serviço",BM$12&lt;&gt;0,$H193&gt;0,OR(AUTOEVENTO&lt;&gt;"manual",$M193&lt;&gt;$A$15)),
        IF(Import.TipoArredondamento&lt;&gt;"TransfereGOV",
              ROUND(OFFSET($P193,0,BM$13),15-13*ORÇAMENTO!$AF$7)/$H193*OFFSET(ORÇAMENTO!$X$15,ROW(BM193)-ROW(BM$15),0),
              ROUND(ROUND(OFFSET($P193,0,BM$13),15-13*ORÇAMENTO!$AF$7)*OFFSET(ORÇAMENTO!$W$15,ROW(BM193)-ROW(BM$15),0),15-13*ORÇAMENTO!$AF$11)),
         0)</f>
        <v>0</v>
      </c>
      <c r="BN193" s="453">
        <f ca="1">IF(AND($D193="Serviço",BN$12&lt;&gt;0,$H193&gt;0,OR(AUTOEVENTO&lt;&gt;"manual",$M193&lt;&gt;$A$15)),
        IF(Import.TipoArredondamento&lt;&gt;"TransfereGOV",
              ROUND(OFFSET($P193,0,BN$13),15-13*ORÇAMENTO!$AF$7)/$H193*OFFSET(ORÇAMENTO!$X$15,ROW(BN193)-ROW(BN$15),0),
              ROUND(ROUND(OFFSET($P193,0,BN$13),15-13*ORÇAMENTO!$AF$7)*OFFSET(ORÇAMENTO!$W$15,ROW(BN193)-ROW(BN$15),0),15-13*ORÇAMENTO!$AF$11)),
         0)</f>
        <v>0</v>
      </c>
      <c r="BO193" s="453">
        <f ca="1">IF(AND($D193="Serviço",BO$12&lt;&gt;0,$H193&gt;0,OR(AUTOEVENTO&lt;&gt;"manual",$M193&lt;&gt;$A$15)),
        IF(Import.TipoArredondamento&lt;&gt;"TransfereGOV",
              ROUND(OFFSET($P193,0,BO$13),15-13*ORÇAMENTO!$AF$7)/$H193*OFFSET(ORÇAMENTO!$X$15,ROW(BO193)-ROW(BO$15),0),
              ROUND(ROUND(OFFSET($P193,0,BO$13),15-13*ORÇAMENTO!$AF$7)*OFFSET(ORÇAMENTO!$W$15,ROW(BO193)-ROW(BO$15),0),15-13*ORÇAMENTO!$AF$11)),
         0)</f>
        <v>0</v>
      </c>
      <c r="BP193" s="453">
        <f ca="1">IF(AND($D193="Serviço",BP$12&lt;&gt;0,$H193&gt;0,OR(AUTOEVENTO&lt;&gt;"manual",$M193&lt;&gt;$A$15)),
        IF(Import.TipoArredondamento&lt;&gt;"TransfereGOV",
              ROUND(OFFSET($P193,0,BP$13),15-13*ORÇAMENTO!$AF$7)/$H193*OFFSET(ORÇAMENTO!$X$15,ROW(BP193)-ROW(BP$15),0),
              ROUND(ROUND(OFFSET($P193,0,BP$13),15-13*ORÇAMENTO!$AF$7)*OFFSET(ORÇAMENTO!$W$15,ROW(BP193)-ROW(BP$15),0),15-13*ORÇAMENTO!$AF$11)),
         0)</f>
        <v>0</v>
      </c>
      <c r="BQ193" s="453">
        <f ca="1">IF(AND($D193="Serviço",BQ$12&lt;&gt;0,$H193&gt;0,OR(AUTOEVENTO&lt;&gt;"manual",$M193&lt;&gt;$A$15)),
        IF(Import.TipoArredondamento&lt;&gt;"TransfereGOV",
              ROUND(OFFSET($P193,0,BQ$13),15-13*ORÇAMENTO!$AF$7)/$H193*OFFSET(ORÇAMENTO!$X$15,ROW(BQ193)-ROW(BQ$15),0),
              ROUND(ROUND(OFFSET($P193,0,BQ$13),15-13*ORÇAMENTO!$AF$7)*OFFSET(ORÇAMENTO!$W$15,ROW(BQ193)-ROW(BQ$15),0),15-13*ORÇAMENTO!$AF$11)),
         0)</f>
        <v>0</v>
      </c>
      <c r="BS193" s="171">
        <f ca="1">IF(OR($D193&lt;&gt;"Serviço",AND(AUTOEVENTO="Manual",$M193=$A$15)),0,
         IF(OFFSET(CRONOPLE!$F$15,$M193-$A$15,BS$13)=0,10^12,OFFSET(CRONOPLE!$F$15,$M193-$A$15,BS$13)))</f>
        <v>1</v>
      </c>
      <c r="BT193" s="171">
        <f ca="1">IF(OR($D193&lt;&gt;"Serviço",AND(AUTOEVENTO="Manual",$M193=$A$15)),0,
         IF(OFFSET(CRONOPLE!$F$15,$M193-$A$15,BT$13)=0,10^12,OFFSET(CRONOPLE!$F$15,$M193-$A$15,BT$13)))</f>
        <v>2</v>
      </c>
      <c r="BU193" s="171">
        <f ca="1">IF(OR($D193&lt;&gt;"Serviço",AND(AUTOEVENTO="Manual",$M193=$A$15)),0,
         IF(OFFSET(CRONOPLE!$F$15,$M193-$A$15,BU$13)=0,10^12,OFFSET(CRONOPLE!$F$15,$M193-$A$15,BU$13)))</f>
        <v>3</v>
      </c>
      <c r="BV193" s="171">
        <f ca="1">IF(OR($D193&lt;&gt;"Serviço",AND(AUTOEVENTO="Manual",$M193=$A$15)),0,
         IF(OFFSET(CRONOPLE!$F$15,$M193-$A$15,BV$13)=0,10^12,OFFSET(CRONOPLE!$F$15,$M193-$A$15,BV$13)))</f>
        <v>4</v>
      </c>
      <c r="BW193" s="171">
        <f ca="1">IF(OR($D193&lt;&gt;"Serviço",AND(AUTOEVENTO="Manual",$M193=$A$15)),0,
         IF(OFFSET(CRONOPLE!$F$15,$M193-$A$15,BW$13)=0,10^12,OFFSET(CRONOPLE!$F$15,$M193-$A$15,BW$13)))</f>
        <v>5</v>
      </c>
      <c r="BX193" s="171">
        <f ca="1">IF(OR($D193&lt;&gt;"Serviço",AND(AUTOEVENTO="Manual",$M193=$A$15)),0,
         IF(OFFSET(CRONOPLE!$F$15,$M193-$A$15,BX$13)=0,10^12,OFFSET(CRONOPLE!$F$15,$M193-$A$15,BX$13)))</f>
        <v>6</v>
      </c>
      <c r="BY193" s="171">
        <f ca="1">IF(OR($D193&lt;&gt;"Serviço",AND(AUTOEVENTO="Manual",$M193=$A$15)),0,
         IF(OFFSET(CRONOPLE!$F$15,$M193-$A$15,BY$13)=0,10^12,OFFSET(CRONOPLE!$F$15,$M193-$A$15,BY$13)))</f>
        <v>7</v>
      </c>
      <c r="BZ193" s="171">
        <f ca="1">IF(OR($D193&lt;&gt;"Serviço",AND(AUTOEVENTO="Manual",$M193=$A$15)),0,
         IF(OFFSET(CRONOPLE!$F$15,$M193-$A$15,BZ$13)=0,10^12,OFFSET(CRONOPLE!$F$15,$M193-$A$15,BZ$13)))</f>
        <v>8</v>
      </c>
      <c r="CA193" s="171">
        <f ca="1">IF(OR($D193&lt;&gt;"Serviço",AND(AUTOEVENTO="Manual",$M193=$A$15)),0,
         IF(OFFSET(CRONOPLE!$F$15,$M193-$A$15,CA$13)=0,10^12,OFFSET(CRONOPLE!$F$15,$M193-$A$15,CA$13)))</f>
        <v>9</v>
      </c>
      <c r="CB193" s="171">
        <f ca="1">IF(OR($D193&lt;&gt;"Serviço",AND(AUTOEVENTO="Manual",$M193=$A$15)),0,
         IF(OFFSET(CRONOPLE!$F$15,$M193-$A$15,CB$13)=0,10^12,OFFSET(CRONOPLE!$F$15,$M193-$A$15,CB$13)))</f>
        <v>10</v>
      </c>
      <c r="CC193" s="171">
        <f ca="1">IF(OR($D193&lt;&gt;"Serviço",AND(AUTOEVENTO="Manual",$M193=$A$15)),0,
         IF(OFFSET(CRONOPLE!$F$15,$M193-$A$15,CC$13)=0,10^12,OFFSET(CRONOPLE!$F$15,$M193-$A$15,CC$13)))</f>
        <v>11</v>
      </c>
      <c r="CD193" s="171">
        <f ca="1">IF(OR($D193&lt;&gt;"Serviço",AND(AUTOEVENTO="Manual",$M193=$A$15)),0,
         IF(OFFSET(CRONOPLE!$F$15,$M193-$A$15,CD$13)=0,10^12,OFFSET(CRONOPLE!$F$15,$M193-$A$15,CD$13)))</f>
        <v>12</v>
      </c>
      <c r="CE193" s="171">
        <f ca="1">IF(OR($D193&lt;&gt;"Serviço",AND(AUTOEVENTO="Manual",$M193=$A$15)),0,
         IF(OFFSET(CRONOPLE!$F$15,$M193-$A$15,CE$13)=0,10^12,OFFSET(CRONOPLE!$F$15,$M193-$A$15,CE$13)))</f>
        <v>13</v>
      </c>
      <c r="CF193" s="171">
        <f ca="1">IF(OR($D193&lt;&gt;"Serviço",AND(AUTOEVENTO="Manual",$M193=$A$15)),0,
         IF(OFFSET(CRONOPLE!$F$15,$M193-$A$15,CF$13)=0,10^12,OFFSET(CRONOPLE!$F$15,$M193-$A$15,CF$13)))</f>
        <v>14</v>
      </c>
      <c r="CG193" s="171">
        <f ca="1">IF(OR($D193&lt;&gt;"Serviço",AND(AUTOEVENTO="Manual",$M193=$A$15)),0,
         IF(OFFSET(CRONOPLE!$F$15,$M193-$A$15,CG$13)=0,10^12,OFFSET(CRONOPLE!$F$15,$M193-$A$15,CG$13)))</f>
        <v>15</v>
      </c>
      <c r="CH193" s="171">
        <f ca="1">IF(OR($D193&lt;&gt;"Serviço",AND(AUTOEVENTO="Manual",$M193=$A$15)),0,
         IF(OFFSET(CRONOPLE!$F$15,$M193-$A$15,CH$13)=0,10^12,OFFSET(CRONOPLE!$F$15,$M193-$A$15,CH$13)))</f>
        <v>16</v>
      </c>
      <c r="CI193" s="171">
        <f ca="1">IF(OR($D193&lt;&gt;"Serviço",AND(AUTOEVENTO="Manual",$M193=$A$15)),0,
         IF(OFFSET(CRONOPLE!$F$15,$M193-$A$15,CI$13)=0,10^12,OFFSET(CRONOPLE!$F$15,$M193-$A$15,CI$13)))</f>
        <v>17</v>
      </c>
      <c r="CJ193" s="171">
        <f ca="1">IF(OR($D193&lt;&gt;"Serviço",AND(AUTOEVENTO="Manual",$M193=$A$15)),0,
         IF(OFFSET(CRONOPLE!$F$15,$M193-$A$15,CJ$13)=0,10^12,OFFSET(CRONOPLE!$F$15,$M193-$A$15,CJ$13)))</f>
        <v>18</v>
      </c>
      <c r="CK193" s="171">
        <f ca="1">IF(OR($D193&lt;&gt;"Serviço",AND(AUTOEVENTO="Manual",$M193=$A$15)),0,
         IF(OFFSET(CRONOPLE!$F$15,$M193-$A$15,CK$13)=0,10^12,OFFSET(CRONOPLE!$F$15,$M193-$A$15,CK$13)))</f>
        <v>19</v>
      </c>
      <c r="CL193" s="171">
        <f ca="1">IF(OR($D193&lt;&gt;"Serviço",AND(AUTOEVENTO="Manual",$M193=$A$15)),0,
         IF(OFFSET(CRONOPLE!$F$15,$M193-$A$15,CL$13)=0,10^12,OFFSET(CRONOPLE!$F$15,$M193-$A$15,CL$13)))</f>
        <v>20</v>
      </c>
      <c r="CM193" s="171">
        <f ca="1">IF(OR($D193&lt;&gt;"Serviço",AND(AUTOEVENTO="Manual",$M193=$A$15)),0,
         IF(OFFSET(CRONOPLE!$F$15,$M193-$A$15,CM$13)=0,10^12,OFFSET(CRONOPLE!$F$15,$M193-$A$15,CM$13)))</f>
        <v>1000000000000</v>
      </c>
      <c r="CN193" s="171">
        <f ca="1">IF(OR($D193&lt;&gt;"Serviço",AND(AUTOEVENTO="Manual",$M193=$A$15)),0,
         IF(OFFSET(CRONOPLE!$F$15,$M193-$A$15,CN$13)=0,10^12,OFFSET(CRONOPLE!$F$15,$M193-$A$15,CN$13)))</f>
        <v>1000000000000</v>
      </c>
      <c r="CO193" s="171">
        <f ca="1">IF(OR($D193&lt;&gt;"Serviço",AND(AUTOEVENTO="Manual",$M193=$A$15)),0,
         IF(OFFSET(CRONOPLE!$F$15,$M193-$A$15,CO$13)=0,10^12,OFFSET(CRONOPLE!$F$15,$M193-$A$15,CO$13)))</f>
        <v>1000000000000</v>
      </c>
      <c r="CP193" s="171">
        <f ca="1">IF(OR($D193&lt;&gt;"Serviço",AND(AUTOEVENTO="Manual",$M193=$A$15)),0,
         IF(OFFSET(CRONOPLE!$F$15,$M193-$A$15,CP$13)=0,10^12,OFFSET(CRONOPLE!$F$15,$M193-$A$15,CP$13)))</f>
        <v>1000000000000</v>
      </c>
      <c r="CQ193" s="171">
        <f ca="1">IF(OR($D193&lt;&gt;"Serviço",AND(AUTOEVENTO="Manual",$M193=$A$15)),0,
         IF(OFFSET(CRONOPLE!$F$15,$M193-$A$15,CQ$13)=0,10^12,OFFSET(CRONOPLE!$F$15,$M193-$A$15,CQ$13)))</f>
        <v>1000000000000</v>
      </c>
      <c r="CR193" s="171">
        <f ca="1">IF(OR($D193&lt;&gt;"Serviço",AND(AUTOEVENTO="Manual",$M193=$A$15)),0,
         IF(OFFSET(CRONOPLE!$F$15,$M193-$A$15,CR$13)=0,10^12,OFFSET(CRONOPLE!$F$15,$M193-$A$15,CR$13)))</f>
        <v>1000000000000</v>
      </c>
      <c r="CT193" s="172" cm="1">
        <f t="array" aca="1" ref="CT193" ca="1">IF(OR($D193&lt;&gt;"Serviço",AND(AUTOEVENTO="Manual",$M193=$A$15),$M193&gt;(ROW(PLE.lastrow)-ROW(PLE.firstrow))),0,
           IF(OFFSET(PLE!$G$15,$M193-$A$15,CT$13)="",10^12,OFFSET(PLE!$G$15,$M193-$A$15,CT$13)))</f>
        <v>1000000000000</v>
      </c>
      <c r="CU193" s="172" cm="1">
        <f t="array" aca="1" ref="CU193" ca="1">IF(OR($D193&lt;&gt;"Serviço",AND(AUTOEVENTO="Manual",$M193=$A$15),$M193&gt;(ROW(PLE.lastrow)-ROW(PLE.firstrow))),0,
           IF(OFFSET(PLE!$G$15,$M193-$A$15,CU$13)="",10^12,OFFSET(PLE!$G$15,$M193-$A$15,CU$13)))</f>
        <v>1000000000000</v>
      </c>
      <c r="CV193" s="172" cm="1">
        <f t="array" aca="1" ref="CV193" ca="1">IF(OR($D193&lt;&gt;"Serviço",AND(AUTOEVENTO="Manual",$M193=$A$15),$M193&gt;(ROW(PLE.lastrow)-ROW(PLE.firstrow))),0,
           IF(OFFSET(PLE!$G$15,$M193-$A$15,CV$13)="",10^12,OFFSET(PLE!$G$15,$M193-$A$15,CV$13)))</f>
        <v>1000000000000</v>
      </c>
      <c r="CW193" s="172" cm="1">
        <f t="array" aca="1" ref="CW193" ca="1">IF(OR($D193&lt;&gt;"Serviço",AND(AUTOEVENTO="Manual",$M193=$A$15),$M193&gt;(ROW(PLE.lastrow)-ROW(PLE.firstrow))),0,
           IF(OFFSET(PLE!$G$15,$M193-$A$15,CW$13)="",10^12,OFFSET(PLE!$G$15,$M193-$A$15,CW$13)))</f>
        <v>1000000000000</v>
      </c>
      <c r="CX193" s="172" cm="1">
        <f t="array" aca="1" ref="CX193" ca="1">IF(OR($D193&lt;&gt;"Serviço",AND(AUTOEVENTO="Manual",$M193=$A$15),$M193&gt;(ROW(PLE.lastrow)-ROW(PLE.firstrow))),0,
           IF(OFFSET(PLE!$G$15,$M193-$A$15,CX$13)="",10^12,OFFSET(PLE!$G$15,$M193-$A$15,CX$13)))</f>
        <v>1000000000000</v>
      </c>
      <c r="CY193" s="172" cm="1">
        <f t="array" aca="1" ref="CY193" ca="1">IF(OR($D193&lt;&gt;"Serviço",AND(AUTOEVENTO="Manual",$M193=$A$15),$M193&gt;(ROW(PLE.lastrow)-ROW(PLE.firstrow))),0,
           IF(OFFSET(PLE!$G$15,$M193-$A$15,CY$13)="",10^12,OFFSET(PLE!$G$15,$M193-$A$15,CY$13)))</f>
        <v>1000000000000</v>
      </c>
      <c r="CZ193" s="172" cm="1">
        <f t="array" aca="1" ref="CZ193" ca="1">IF(OR($D193&lt;&gt;"Serviço",AND(AUTOEVENTO="Manual",$M193=$A$15),$M193&gt;(ROW(PLE.lastrow)-ROW(PLE.firstrow))),0,
           IF(OFFSET(PLE!$G$15,$M193-$A$15,CZ$13)="",10^12,OFFSET(PLE!$G$15,$M193-$A$15,CZ$13)))</f>
        <v>1000000000000</v>
      </c>
      <c r="DA193" s="172" cm="1">
        <f t="array" aca="1" ref="DA193" ca="1">IF(OR($D193&lt;&gt;"Serviço",AND(AUTOEVENTO="Manual",$M193=$A$15),$M193&gt;(ROW(PLE.lastrow)-ROW(PLE.firstrow))),0,
           IF(OFFSET(PLE!$G$15,$M193-$A$15,DA$13)="",10^12,OFFSET(PLE!$G$15,$M193-$A$15,DA$13)))</f>
        <v>1000000000000</v>
      </c>
      <c r="DB193" s="172" cm="1">
        <f t="array" aca="1" ref="DB193" ca="1">IF(OR($D193&lt;&gt;"Serviço",AND(AUTOEVENTO="Manual",$M193=$A$15),$M193&gt;(ROW(PLE.lastrow)-ROW(PLE.firstrow))),0,
           IF(OFFSET(PLE!$G$15,$M193-$A$15,DB$13)="",10^12,OFFSET(PLE!$G$15,$M193-$A$15,DB$13)))</f>
        <v>1000000000000</v>
      </c>
      <c r="DC193" s="172" cm="1">
        <f t="array" aca="1" ref="DC193" ca="1">IF(OR($D193&lt;&gt;"Serviço",AND(AUTOEVENTO="Manual",$M193=$A$15),$M193&gt;(ROW(PLE.lastrow)-ROW(PLE.firstrow))),0,
           IF(OFFSET(PLE!$G$15,$M193-$A$15,DC$13)="",10^12,OFFSET(PLE!$G$15,$M193-$A$15,DC$13)))</f>
        <v>1000000000000</v>
      </c>
      <c r="DD193" s="172" cm="1">
        <f t="array" aca="1" ref="DD193" ca="1">IF(OR($D193&lt;&gt;"Serviço",AND(AUTOEVENTO="Manual",$M193=$A$15),$M193&gt;(ROW(PLE.lastrow)-ROW(PLE.firstrow))),0,
           IF(OFFSET(PLE!$G$15,$M193-$A$15,DD$13)="",10^12,OFFSET(PLE!$G$15,$M193-$A$15,DD$13)))</f>
        <v>1000000000000</v>
      </c>
      <c r="DE193" s="172" cm="1">
        <f t="array" aca="1" ref="DE193" ca="1">IF(OR($D193&lt;&gt;"Serviço",AND(AUTOEVENTO="Manual",$M193=$A$15),$M193&gt;(ROW(PLE.lastrow)-ROW(PLE.firstrow))),0,
           IF(OFFSET(PLE!$G$15,$M193-$A$15,DE$13)="",10^12,OFFSET(PLE!$G$15,$M193-$A$15,DE$13)))</f>
        <v>1000000000000</v>
      </c>
      <c r="DF193" s="172" cm="1">
        <f t="array" aca="1" ref="DF193" ca="1">IF(OR($D193&lt;&gt;"Serviço",AND(AUTOEVENTO="Manual",$M193=$A$15),$M193&gt;(ROW(PLE.lastrow)-ROW(PLE.firstrow))),0,
           IF(OFFSET(PLE!$G$15,$M193-$A$15,DF$13)="",10^12,OFFSET(PLE!$G$15,$M193-$A$15,DF$13)))</f>
        <v>1000000000000</v>
      </c>
      <c r="DG193" s="172" cm="1">
        <f t="array" aca="1" ref="DG193" ca="1">IF(OR($D193&lt;&gt;"Serviço",AND(AUTOEVENTO="Manual",$M193=$A$15),$M193&gt;(ROW(PLE.lastrow)-ROW(PLE.firstrow))),0,
           IF(OFFSET(PLE!$G$15,$M193-$A$15,DG$13)="",10^12,OFFSET(PLE!$G$15,$M193-$A$15,DG$13)))</f>
        <v>1000000000000</v>
      </c>
      <c r="DH193" s="172" cm="1">
        <f t="array" aca="1" ref="DH193" ca="1">IF(OR($D193&lt;&gt;"Serviço",AND(AUTOEVENTO="Manual",$M193=$A$15),$M193&gt;(ROW(PLE.lastrow)-ROW(PLE.firstrow))),0,
           IF(OFFSET(PLE!$G$15,$M193-$A$15,DH$13)="",10^12,OFFSET(PLE!$G$15,$M193-$A$15,DH$13)))</f>
        <v>1000000000000</v>
      </c>
      <c r="DI193" s="172" cm="1">
        <f t="array" aca="1" ref="DI193" ca="1">IF(OR($D193&lt;&gt;"Serviço",AND(AUTOEVENTO="Manual",$M193=$A$15),$M193&gt;(ROW(PLE.lastrow)-ROW(PLE.firstrow))),0,
           IF(OFFSET(PLE!$G$15,$M193-$A$15,DI$13)="",10^12,OFFSET(PLE!$G$15,$M193-$A$15,DI$13)))</f>
        <v>1000000000000</v>
      </c>
      <c r="DJ193" s="172" cm="1">
        <f t="array" aca="1" ref="DJ193" ca="1">IF(OR($D193&lt;&gt;"Serviço",AND(AUTOEVENTO="Manual",$M193=$A$15),$M193&gt;(ROW(PLE.lastrow)-ROW(PLE.firstrow))),0,
           IF(OFFSET(PLE!$G$15,$M193-$A$15,DJ$13)="",10^12,OFFSET(PLE!$G$15,$M193-$A$15,DJ$13)))</f>
        <v>1000000000000</v>
      </c>
      <c r="DK193" s="172" cm="1">
        <f t="array" aca="1" ref="DK193" ca="1">IF(OR($D193&lt;&gt;"Serviço",AND(AUTOEVENTO="Manual",$M193=$A$15),$M193&gt;(ROW(PLE.lastrow)-ROW(PLE.firstrow))),0,
           IF(OFFSET(PLE!$G$15,$M193-$A$15,DK$13)="",10^12,OFFSET(PLE!$G$15,$M193-$A$15,DK$13)))</f>
        <v>1000000000000</v>
      </c>
      <c r="DL193" s="172" cm="1">
        <f t="array" aca="1" ref="DL193" ca="1">IF(OR($D193&lt;&gt;"Serviço",AND(AUTOEVENTO="Manual",$M193=$A$15),$M193&gt;(ROW(PLE.lastrow)-ROW(PLE.firstrow))),0,
           IF(OFFSET(PLE!$G$15,$M193-$A$15,DL$13)="",10^12,OFFSET(PLE!$G$15,$M193-$A$15,DL$13)))</f>
        <v>1000000000000</v>
      </c>
      <c r="DM193" s="172" cm="1">
        <f t="array" aca="1" ref="DM193" ca="1">IF(OR($D193&lt;&gt;"Serviço",AND(AUTOEVENTO="Manual",$M193=$A$15),$M193&gt;(ROW(PLE.lastrow)-ROW(PLE.firstrow))),0,
           IF(OFFSET(PLE!$G$15,$M193-$A$15,DM$13)="",10^12,OFFSET(PLE!$G$15,$M193-$A$15,DM$13)))</f>
        <v>1000000000000</v>
      </c>
      <c r="DN193" s="172" cm="1">
        <f t="array" aca="1" ref="DN193" ca="1">IF(OR($D193&lt;&gt;"Serviço",AND(AUTOEVENTO="Manual",$M193=$A$15),$M193&gt;(ROW(PLE.lastrow)-ROW(PLE.firstrow))),0,
           IF(OFFSET(PLE!$G$15,$M193-$A$15,DN$13)="",10^12,OFFSET(PLE!$G$15,$M193-$A$15,DN$13)))</f>
        <v>1000000000000</v>
      </c>
      <c r="DO193" s="172" cm="1">
        <f t="array" aca="1" ref="DO193" ca="1">IF(OR($D193&lt;&gt;"Serviço",AND(AUTOEVENTO="Manual",$M193=$A$15),$M193&gt;(ROW(PLE.lastrow)-ROW(PLE.firstrow))),0,
           IF(OFFSET(PLE!$G$15,$M193-$A$15,DO$13)="",10^12,OFFSET(PLE!$G$15,$M193-$A$15,DO$13)))</f>
        <v>1000000000000</v>
      </c>
      <c r="DP193" s="172" cm="1">
        <f t="array" aca="1" ref="DP193" ca="1">IF(OR($D193&lt;&gt;"Serviço",AND(AUTOEVENTO="Manual",$M193=$A$15),$M193&gt;(ROW(PLE.lastrow)-ROW(PLE.firstrow))),0,
           IF(OFFSET(PLE!$G$15,$M193-$A$15,DP$13)="",10^12,OFFSET(PLE!$G$15,$M193-$A$15,DP$13)))</f>
        <v>1000000000000</v>
      </c>
      <c r="DQ193" s="172" cm="1">
        <f t="array" aca="1" ref="DQ193" ca="1">IF(OR($D193&lt;&gt;"Serviço",AND(AUTOEVENTO="Manual",$M193=$A$15),$M193&gt;(ROW(PLE.lastrow)-ROW(PLE.firstrow))),0,
           IF(OFFSET(PLE!$G$15,$M193-$A$15,DQ$13)="",10^12,OFFSET(PLE!$G$15,$M193-$A$15,DQ$13)))</f>
        <v>1000000000000</v>
      </c>
      <c r="DR193" s="172" cm="1">
        <f t="array" aca="1" ref="DR193" ca="1">IF(OR($D193&lt;&gt;"Serviço",AND(AUTOEVENTO="Manual",$M193=$A$15),$M193&gt;(ROW(PLE.lastrow)-ROW(PLE.firstrow))),0,
           IF(OFFSET(PLE!$G$15,$M193-$A$15,DR$13)="",10^12,OFFSET(PLE!$G$15,$M193-$A$15,DR$13)))</f>
        <v>1000000000000</v>
      </c>
      <c r="DS193" s="172" cm="1">
        <f t="array" aca="1" ref="DS193" ca="1">IF(OR($D193&lt;&gt;"Serviço",AND(AUTOEVENTO="Manual",$M193=$A$15),$M193&gt;(ROW(PLE.lastrow)-ROW(PLE.firstrow))),0,
           IF(OFFSET(PLE!$G$15,$M193-$A$15,DS$13)="",10^12,OFFSET(PLE!$G$15,$M193-$A$15,DS$13)))</f>
        <v>1000000000000</v>
      </c>
    </row>
    <row r="194" spans="1:123" ht="25.5" x14ac:dyDescent="0.2">
      <c r="A194" s="7">
        <f t="shared" ca="1" si="18"/>
        <v>9</v>
      </c>
      <c r="B194" s="7" t="str">
        <f ca="1">OFFSET(ORÇAMENTO!C$15,$L194,0)</f>
        <v>S</v>
      </c>
      <c r="C194" s="7" t="str">
        <f ca="1">OFFSET(ORÇAMENTO!L$15,$L194,0)</f>
        <v/>
      </c>
      <c r="D194" s="116" t="str">
        <f ca="1">OFFSET(ORÇAMENTO!N$15,$L194,0)</f>
        <v>Serviço</v>
      </c>
      <c r="E194" s="117" t="str">
        <f ca="1">OFFSET(ORÇAMENTO!O$15,$L194,0)</f>
        <v>-</v>
      </c>
      <c r="F194" s="163" t="str">
        <f ca="1">OFFSET(ORÇAMENTO!R$15,$L194,0)</f>
        <v>(Código não identificado nas referências)</v>
      </c>
      <c r="G194" s="164" t="str">
        <f ca="1">IF($D194&lt;&gt;"Serviço","",OFFSET(ORÇAMENTO!S$15,$L194,0))</f>
        <v>-</v>
      </c>
      <c r="H194" s="122" cm="1">
        <f t="array" aca="1" ref="H194" ca="1">IF($D194&lt;&gt;"Serviço",0,IF(ACOMPANHAMENTO="BM",ROUND(OFFSET(ORÇAMENTO!AJ$15,$L194,0),15-13*ORÇAMENTO!$AF$7),IF(IFERROR(CÁLCULO.FrentesPreenchidas,0)=0,0,SUM(ROUND(OFFSET($P194,0,1,1,CÁLCULO.FrentesPreenchidas),15-13*ORÇAMENTO!$AF$7)))))</f>
        <v>20</v>
      </c>
      <c r="I194" s="468" t="s">
        <v>1235</v>
      </c>
      <c r="J194" s="651" t="str" cm="1">
        <f t="array" aca="1" ref="J194" ca="1">IF(OR(B194&lt;&gt;"S",CÁLCULO.FrentesPreenchidas=0),"",IF(AND(ACOMPANHAMENTO="PLE",AUTOEVENTO="Manual",OR(H194&gt;0,ORÇAMENTO!AC194="QUANT."),OR(K194="",M194=0,N194="")),"►E",IF(AND(ACOMPANHAMENTO="PLE",ORÇAMENTO!AC194="QUANT."),"►Q",IF(AND(ACOMPANHAMENTO="PLE",H194&lt;&gt;SUMPRODUCT(($Q$1:$AQ$1=1)*ROUND(Q194:AQ194,15))),"►S",IF(AND(COUNTIF($P$11:$AQ$11,"▼")=0,H194&gt;0,I194=""),"◄M","")))))</f>
        <v/>
      </c>
      <c r="K194" s="652" t="s">
        <v>1257</v>
      </c>
      <c r="L194" s="165">
        <f t="shared" ca="1" si="17"/>
        <v>179</v>
      </c>
      <c r="M194" s="166">
        <f ca="1">IF($D194&lt;&gt;"Serviço","",
          IF(AUTOEVENTO="manual",$A194,
                IF(ISERROR(MATCH($A194,$A$15:OFFSET($A194,-1,0),0)),MAX($M$15:OFFSET(M194,-1,0))+1,
                      INDEX($M$15:OFFSET(M194,-1,0),MATCH($A194,$A$15:OFFSET($A194,-1,0),0)))))</f>
        <v>9</v>
      </c>
      <c r="N194" s="167" t="str">
        <f ca="1">IF($D194&lt;&gt;"Serviço","",
         IF(AUTOEVENTO="Manual",
                IF($A194=0,"&lt;-- defina o número do agrupador",
                       OFFSET(EVENTOS!$D$15,$A194-$A$15,0)),
                OFFSET($F$15,$A194,0)))</f>
        <v>INSTALAÇÕES</v>
      </c>
      <c r="O194" s="168"/>
      <c r="Q194" s="168">
        <v>1</v>
      </c>
      <c r="R194" s="169">
        <v>1</v>
      </c>
      <c r="S194" s="169">
        <v>1</v>
      </c>
      <c r="T194" s="169">
        <v>1</v>
      </c>
      <c r="U194" s="169">
        <v>1</v>
      </c>
      <c r="V194" s="169">
        <v>1</v>
      </c>
      <c r="W194" s="169">
        <v>1</v>
      </c>
      <c r="X194" s="169">
        <v>1</v>
      </c>
      <c r="Y194" s="169">
        <v>1</v>
      </c>
      <c r="Z194" s="170">
        <v>1</v>
      </c>
      <c r="AA194" s="169">
        <v>1</v>
      </c>
      <c r="AB194" s="169">
        <v>1</v>
      </c>
      <c r="AC194" s="169">
        <v>1</v>
      </c>
      <c r="AD194" s="169">
        <v>1</v>
      </c>
      <c r="AE194" s="169">
        <v>1</v>
      </c>
      <c r="AF194" s="169">
        <v>1</v>
      </c>
      <c r="AG194" s="169">
        <v>1</v>
      </c>
      <c r="AH194" s="170">
        <v>1</v>
      </c>
      <c r="AI194" s="169">
        <v>1</v>
      </c>
      <c r="AJ194" s="169">
        <v>1</v>
      </c>
      <c r="AK194" s="169"/>
      <c r="AL194" s="169"/>
      <c r="AM194" s="169"/>
      <c r="AN194" s="169"/>
      <c r="AO194" s="169"/>
      <c r="AP194" s="170"/>
      <c r="AR194" s="453">
        <f ca="1">IF(AND($D194="Serviço",AR$12&lt;&gt;0,$H194&gt;0,OR(AUTOEVENTO&lt;&gt;"manual",$M194&lt;&gt;$A$15)),
        IF(Import.TipoArredondamento&lt;&gt;"TransfereGOV",
              ROUND(OFFSET($P194,0,AR$13),15-13*ORÇAMENTO!$AF$7)/$H194*OFFSET(ORÇAMENTO!$X$15,ROW(AR194)-ROW(AR$15),0),
              ROUND(ROUND(OFFSET($P194,0,AR$13),15-13*ORÇAMENTO!$AF$7)*OFFSET(ORÇAMENTO!$W$15,ROW(AR194)-ROW(AR$15),0),15-13*ORÇAMENTO!$AF$11)),
         0)</f>
        <v>0</v>
      </c>
      <c r="AS194" s="453">
        <f ca="1">IF(AND($D194="Serviço",AS$12&lt;&gt;0,$H194&gt;0,OR(AUTOEVENTO&lt;&gt;"manual",$M194&lt;&gt;$A$15)),
        IF(Import.TipoArredondamento&lt;&gt;"TransfereGOV",
              ROUND(OFFSET($P194,0,AS$13),15-13*ORÇAMENTO!$AF$7)/$H194*OFFSET(ORÇAMENTO!$X$15,ROW(AS194)-ROW(AS$15),0),
              ROUND(ROUND(OFFSET($P194,0,AS$13),15-13*ORÇAMENTO!$AF$7)*OFFSET(ORÇAMENTO!$W$15,ROW(AS194)-ROW(AS$15),0),15-13*ORÇAMENTO!$AF$11)),
         0)</f>
        <v>0</v>
      </c>
      <c r="AT194" s="453">
        <f ca="1">IF(AND($D194="Serviço",AT$12&lt;&gt;0,$H194&gt;0,OR(AUTOEVENTO&lt;&gt;"manual",$M194&lt;&gt;$A$15)),
        IF(Import.TipoArredondamento&lt;&gt;"TransfereGOV",
              ROUND(OFFSET($P194,0,AT$13),15-13*ORÇAMENTO!$AF$7)/$H194*OFFSET(ORÇAMENTO!$X$15,ROW(AT194)-ROW(AT$15),0),
              ROUND(ROUND(OFFSET($P194,0,AT$13),15-13*ORÇAMENTO!$AF$7)*OFFSET(ORÇAMENTO!$W$15,ROW(AT194)-ROW(AT$15),0),15-13*ORÇAMENTO!$AF$11)),
         0)</f>
        <v>0</v>
      </c>
      <c r="AU194" s="453">
        <f ca="1">IF(AND($D194="Serviço",AU$12&lt;&gt;0,$H194&gt;0,OR(AUTOEVENTO&lt;&gt;"manual",$M194&lt;&gt;$A$15)),
        IF(Import.TipoArredondamento&lt;&gt;"TransfereGOV",
              ROUND(OFFSET($P194,0,AU$13),15-13*ORÇAMENTO!$AF$7)/$H194*OFFSET(ORÇAMENTO!$X$15,ROW(AU194)-ROW(AU$15),0),
              ROUND(ROUND(OFFSET($P194,0,AU$13),15-13*ORÇAMENTO!$AF$7)*OFFSET(ORÇAMENTO!$W$15,ROW(AU194)-ROW(AU$15),0),15-13*ORÇAMENTO!$AF$11)),
         0)</f>
        <v>0</v>
      </c>
      <c r="AV194" s="453">
        <f ca="1">IF(AND($D194="Serviço",AV$12&lt;&gt;0,$H194&gt;0,OR(AUTOEVENTO&lt;&gt;"manual",$M194&lt;&gt;$A$15)),
        IF(Import.TipoArredondamento&lt;&gt;"TransfereGOV",
              ROUND(OFFSET($P194,0,AV$13),15-13*ORÇAMENTO!$AF$7)/$H194*OFFSET(ORÇAMENTO!$X$15,ROW(AV194)-ROW(AV$15),0),
              ROUND(ROUND(OFFSET($P194,0,AV$13),15-13*ORÇAMENTO!$AF$7)*OFFSET(ORÇAMENTO!$W$15,ROW(AV194)-ROW(AV$15),0),15-13*ORÇAMENTO!$AF$11)),
         0)</f>
        <v>0</v>
      </c>
      <c r="AW194" s="453">
        <f ca="1">IF(AND($D194="Serviço",AW$12&lt;&gt;0,$H194&gt;0,OR(AUTOEVENTO&lt;&gt;"manual",$M194&lt;&gt;$A$15)),
        IF(Import.TipoArredondamento&lt;&gt;"TransfereGOV",
              ROUND(OFFSET($P194,0,AW$13),15-13*ORÇAMENTO!$AF$7)/$H194*OFFSET(ORÇAMENTO!$X$15,ROW(AW194)-ROW(AW$15),0),
              ROUND(ROUND(OFFSET($P194,0,AW$13),15-13*ORÇAMENTO!$AF$7)*OFFSET(ORÇAMENTO!$W$15,ROW(AW194)-ROW(AW$15),0),15-13*ORÇAMENTO!$AF$11)),
         0)</f>
        <v>0</v>
      </c>
      <c r="AX194" s="453">
        <f ca="1">IF(AND($D194="Serviço",AX$12&lt;&gt;0,$H194&gt;0,OR(AUTOEVENTO&lt;&gt;"manual",$M194&lt;&gt;$A$15)),
        IF(Import.TipoArredondamento&lt;&gt;"TransfereGOV",
              ROUND(OFFSET($P194,0,AX$13),15-13*ORÇAMENTO!$AF$7)/$H194*OFFSET(ORÇAMENTO!$X$15,ROW(AX194)-ROW(AX$15),0),
              ROUND(ROUND(OFFSET($P194,0,AX$13),15-13*ORÇAMENTO!$AF$7)*OFFSET(ORÇAMENTO!$W$15,ROW(AX194)-ROW(AX$15),0),15-13*ORÇAMENTO!$AF$11)),
         0)</f>
        <v>0</v>
      </c>
      <c r="AY194" s="453">
        <f ca="1">IF(AND($D194="Serviço",AY$12&lt;&gt;0,$H194&gt;0,OR(AUTOEVENTO&lt;&gt;"manual",$M194&lt;&gt;$A$15)),
        IF(Import.TipoArredondamento&lt;&gt;"TransfereGOV",
              ROUND(OFFSET($P194,0,AY$13),15-13*ORÇAMENTO!$AF$7)/$H194*OFFSET(ORÇAMENTO!$X$15,ROW(AY194)-ROW(AY$15),0),
              ROUND(ROUND(OFFSET($P194,0,AY$13),15-13*ORÇAMENTO!$AF$7)*OFFSET(ORÇAMENTO!$W$15,ROW(AY194)-ROW(AY$15),0),15-13*ORÇAMENTO!$AF$11)),
         0)</f>
        <v>0</v>
      </c>
      <c r="AZ194" s="453">
        <f ca="1">IF(AND($D194="Serviço",AZ$12&lt;&gt;0,$H194&gt;0,OR(AUTOEVENTO&lt;&gt;"manual",$M194&lt;&gt;$A$15)),
        IF(Import.TipoArredondamento&lt;&gt;"TransfereGOV",
              ROUND(OFFSET($P194,0,AZ$13),15-13*ORÇAMENTO!$AF$7)/$H194*OFFSET(ORÇAMENTO!$X$15,ROW(AZ194)-ROW(AZ$15),0),
              ROUND(ROUND(OFFSET($P194,0,AZ$13),15-13*ORÇAMENTO!$AF$7)*OFFSET(ORÇAMENTO!$W$15,ROW(AZ194)-ROW(AZ$15),0),15-13*ORÇAMENTO!$AF$11)),
         0)</f>
        <v>0</v>
      </c>
      <c r="BA194" s="453">
        <f ca="1">IF(AND($D194="Serviço",BA$12&lt;&gt;0,$H194&gt;0,OR(AUTOEVENTO&lt;&gt;"manual",$M194&lt;&gt;$A$15)),
        IF(Import.TipoArredondamento&lt;&gt;"TransfereGOV",
              ROUND(OFFSET($P194,0,BA$13),15-13*ORÇAMENTO!$AF$7)/$H194*OFFSET(ORÇAMENTO!$X$15,ROW(BA194)-ROW(BA$15),0),
              ROUND(ROUND(OFFSET($P194,0,BA$13),15-13*ORÇAMENTO!$AF$7)*OFFSET(ORÇAMENTO!$W$15,ROW(BA194)-ROW(BA$15),0),15-13*ORÇAMENTO!$AF$11)),
         0)</f>
        <v>0</v>
      </c>
      <c r="BB194" s="453">
        <f ca="1">IF(AND($D194="Serviço",BB$12&lt;&gt;0,$H194&gt;0,OR(AUTOEVENTO&lt;&gt;"manual",$M194&lt;&gt;$A$15)),
        IF(Import.TipoArredondamento&lt;&gt;"TransfereGOV",
              ROUND(OFFSET($P194,0,BB$13),15-13*ORÇAMENTO!$AF$7)/$H194*OFFSET(ORÇAMENTO!$X$15,ROW(BB194)-ROW(BB$15),0),
              ROUND(ROUND(OFFSET($P194,0,BB$13),15-13*ORÇAMENTO!$AF$7)*OFFSET(ORÇAMENTO!$W$15,ROW(BB194)-ROW(BB$15),0),15-13*ORÇAMENTO!$AF$11)),
         0)</f>
        <v>0</v>
      </c>
      <c r="BC194" s="453">
        <f ca="1">IF(AND($D194="Serviço",BC$12&lt;&gt;0,$H194&gt;0,OR(AUTOEVENTO&lt;&gt;"manual",$M194&lt;&gt;$A$15)),
        IF(Import.TipoArredondamento&lt;&gt;"TransfereGOV",
              ROUND(OFFSET($P194,0,BC$13),15-13*ORÇAMENTO!$AF$7)/$H194*OFFSET(ORÇAMENTO!$X$15,ROW(BC194)-ROW(BC$15),0),
              ROUND(ROUND(OFFSET($P194,0,BC$13),15-13*ORÇAMENTO!$AF$7)*OFFSET(ORÇAMENTO!$W$15,ROW(BC194)-ROW(BC$15),0),15-13*ORÇAMENTO!$AF$11)),
         0)</f>
        <v>0</v>
      </c>
      <c r="BD194" s="453">
        <f ca="1">IF(AND($D194="Serviço",BD$12&lt;&gt;0,$H194&gt;0,OR(AUTOEVENTO&lt;&gt;"manual",$M194&lt;&gt;$A$15)),
        IF(Import.TipoArredondamento&lt;&gt;"TransfereGOV",
              ROUND(OFFSET($P194,0,BD$13),15-13*ORÇAMENTO!$AF$7)/$H194*OFFSET(ORÇAMENTO!$X$15,ROW(BD194)-ROW(BD$15),0),
              ROUND(ROUND(OFFSET($P194,0,BD$13),15-13*ORÇAMENTO!$AF$7)*OFFSET(ORÇAMENTO!$W$15,ROW(BD194)-ROW(BD$15),0),15-13*ORÇAMENTO!$AF$11)),
         0)</f>
        <v>0</v>
      </c>
      <c r="BE194" s="453">
        <f ca="1">IF(AND($D194="Serviço",BE$12&lt;&gt;0,$H194&gt;0,OR(AUTOEVENTO&lt;&gt;"manual",$M194&lt;&gt;$A$15)),
        IF(Import.TipoArredondamento&lt;&gt;"TransfereGOV",
              ROUND(OFFSET($P194,0,BE$13),15-13*ORÇAMENTO!$AF$7)/$H194*OFFSET(ORÇAMENTO!$X$15,ROW(BE194)-ROW(BE$15),0),
              ROUND(ROUND(OFFSET($P194,0,BE$13),15-13*ORÇAMENTO!$AF$7)*OFFSET(ORÇAMENTO!$W$15,ROW(BE194)-ROW(BE$15),0),15-13*ORÇAMENTO!$AF$11)),
         0)</f>
        <v>0</v>
      </c>
      <c r="BF194" s="453">
        <f ca="1">IF(AND($D194="Serviço",BF$12&lt;&gt;0,$H194&gt;0,OR(AUTOEVENTO&lt;&gt;"manual",$M194&lt;&gt;$A$15)),
        IF(Import.TipoArredondamento&lt;&gt;"TransfereGOV",
              ROUND(OFFSET($P194,0,BF$13),15-13*ORÇAMENTO!$AF$7)/$H194*OFFSET(ORÇAMENTO!$X$15,ROW(BF194)-ROW(BF$15),0),
              ROUND(ROUND(OFFSET($P194,0,BF$13),15-13*ORÇAMENTO!$AF$7)*OFFSET(ORÇAMENTO!$W$15,ROW(BF194)-ROW(BF$15),0),15-13*ORÇAMENTO!$AF$11)),
         0)</f>
        <v>0</v>
      </c>
      <c r="BG194" s="453">
        <f ca="1">IF(AND($D194="Serviço",BG$12&lt;&gt;0,$H194&gt;0,OR(AUTOEVENTO&lt;&gt;"manual",$M194&lt;&gt;$A$15)),
        IF(Import.TipoArredondamento&lt;&gt;"TransfereGOV",
              ROUND(OFFSET($P194,0,BG$13),15-13*ORÇAMENTO!$AF$7)/$H194*OFFSET(ORÇAMENTO!$X$15,ROW(BG194)-ROW(BG$15),0),
              ROUND(ROUND(OFFSET($P194,0,BG$13),15-13*ORÇAMENTO!$AF$7)*OFFSET(ORÇAMENTO!$W$15,ROW(BG194)-ROW(BG$15),0),15-13*ORÇAMENTO!$AF$11)),
         0)</f>
        <v>0</v>
      </c>
      <c r="BH194" s="453">
        <f ca="1">IF(AND($D194="Serviço",BH$12&lt;&gt;0,$H194&gt;0,OR(AUTOEVENTO&lt;&gt;"manual",$M194&lt;&gt;$A$15)),
        IF(Import.TipoArredondamento&lt;&gt;"TransfereGOV",
              ROUND(OFFSET($P194,0,BH$13),15-13*ORÇAMENTO!$AF$7)/$H194*OFFSET(ORÇAMENTO!$X$15,ROW(BH194)-ROW(BH$15),0),
              ROUND(ROUND(OFFSET($P194,0,BH$13),15-13*ORÇAMENTO!$AF$7)*OFFSET(ORÇAMENTO!$W$15,ROW(BH194)-ROW(BH$15),0),15-13*ORÇAMENTO!$AF$11)),
         0)</f>
        <v>0</v>
      </c>
      <c r="BI194" s="453">
        <f ca="1">IF(AND($D194="Serviço",BI$12&lt;&gt;0,$H194&gt;0,OR(AUTOEVENTO&lt;&gt;"manual",$M194&lt;&gt;$A$15)),
        IF(Import.TipoArredondamento&lt;&gt;"TransfereGOV",
              ROUND(OFFSET($P194,0,BI$13),15-13*ORÇAMENTO!$AF$7)/$H194*OFFSET(ORÇAMENTO!$X$15,ROW(BI194)-ROW(BI$15),0),
              ROUND(ROUND(OFFSET($P194,0,BI$13),15-13*ORÇAMENTO!$AF$7)*OFFSET(ORÇAMENTO!$W$15,ROW(BI194)-ROW(BI$15),0),15-13*ORÇAMENTO!$AF$11)),
         0)</f>
        <v>0</v>
      </c>
      <c r="BJ194" s="453">
        <f ca="1">IF(AND($D194="Serviço",BJ$12&lt;&gt;0,$H194&gt;0,OR(AUTOEVENTO&lt;&gt;"manual",$M194&lt;&gt;$A$15)),
        IF(Import.TipoArredondamento&lt;&gt;"TransfereGOV",
              ROUND(OFFSET($P194,0,BJ$13),15-13*ORÇAMENTO!$AF$7)/$H194*OFFSET(ORÇAMENTO!$X$15,ROW(BJ194)-ROW(BJ$15),0),
              ROUND(ROUND(OFFSET($P194,0,BJ$13),15-13*ORÇAMENTO!$AF$7)*OFFSET(ORÇAMENTO!$W$15,ROW(BJ194)-ROW(BJ$15),0),15-13*ORÇAMENTO!$AF$11)),
         0)</f>
        <v>0</v>
      </c>
      <c r="BK194" s="453">
        <f ca="1">IF(AND($D194="Serviço",BK$12&lt;&gt;0,$H194&gt;0,OR(AUTOEVENTO&lt;&gt;"manual",$M194&lt;&gt;$A$15)),
        IF(Import.TipoArredondamento&lt;&gt;"TransfereGOV",
              ROUND(OFFSET($P194,0,BK$13),15-13*ORÇAMENTO!$AF$7)/$H194*OFFSET(ORÇAMENTO!$X$15,ROW(BK194)-ROW(BK$15),0),
              ROUND(ROUND(OFFSET($P194,0,BK$13),15-13*ORÇAMENTO!$AF$7)*OFFSET(ORÇAMENTO!$W$15,ROW(BK194)-ROW(BK$15),0),15-13*ORÇAMENTO!$AF$11)),
         0)</f>
        <v>0</v>
      </c>
      <c r="BL194" s="453">
        <f ca="1">IF(AND($D194="Serviço",BL$12&lt;&gt;0,$H194&gt;0,OR(AUTOEVENTO&lt;&gt;"manual",$M194&lt;&gt;$A$15)),
        IF(Import.TipoArredondamento&lt;&gt;"TransfereGOV",
              ROUND(OFFSET($P194,0,BL$13),15-13*ORÇAMENTO!$AF$7)/$H194*OFFSET(ORÇAMENTO!$X$15,ROW(BL194)-ROW(BL$15),0),
              ROUND(ROUND(OFFSET($P194,0,BL$13),15-13*ORÇAMENTO!$AF$7)*OFFSET(ORÇAMENTO!$W$15,ROW(BL194)-ROW(BL$15),0),15-13*ORÇAMENTO!$AF$11)),
         0)</f>
        <v>0</v>
      </c>
      <c r="BM194" s="453">
        <f ca="1">IF(AND($D194="Serviço",BM$12&lt;&gt;0,$H194&gt;0,OR(AUTOEVENTO&lt;&gt;"manual",$M194&lt;&gt;$A$15)),
        IF(Import.TipoArredondamento&lt;&gt;"TransfereGOV",
              ROUND(OFFSET($P194,0,BM$13),15-13*ORÇAMENTO!$AF$7)/$H194*OFFSET(ORÇAMENTO!$X$15,ROW(BM194)-ROW(BM$15),0),
              ROUND(ROUND(OFFSET($P194,0,BM$13),15-13*ORÇAMENTO!$AF$7)*OFFSET(ORÇAMENTO!$W$15,ROW(BM194)-ROW(BM$15),0),15-13*ORÇAMENTO!$AF$11)),
         0)</f>
        <v>0</v>
      </c>
      <c r="BN194" s="453">
        <f ca="1">IF(AND($D194="Serviço",BN$12&lt;&gt;0,$H194&gt;0,OR(AUTOEVENTO&lt;&gt;"manual",$M194&lt;&gt;$A$15)),
        IF(Import.TipoArredondamento&lt;&gt;"TransfereGOV",
              ROUND(OFFSET($P194,0,BN$13),15-13*ORÇAMENTO!$AF$7)/$H194*OFFSET(ORÇAMENTO!$X$15,ROW(BN194)-ROW(BN$15),0),
              ROUND(ROUND(OFFSET($P194,0,BN$13),15-13*ORÇAMENTO!$AF$7)*OFFSET(ORÇAMENTO!$W$15,ROW(BN194)-ROW(BN$15),0),15-13*ORÇAMENTO!$AF$11)),
         0)</f>
        <v>0</v>
      </c>
      <c r="BO194" s="453">
        <f ca="1">IF(AND($D194="Serviço",BO$12&lt;&gt;0,$H194&gt;0,OR(AUTOEVENTO&lt;&gt;"manual",$M194&lt;&gt;$A$15)),
        IF(Import.TipoArredondamento&lt;&gt;"TransfereGOV",
              ROUND(OFFSET($P194,0,BO$13),15-13*ORÇAMENTO!$AF$7)/$H194*OFFSET(ORÇAMENTO!$X$15,ROW(BO194)-ROW(BO$15),0),
              ROUND(ROUND(OFFSET($P194,0,BO$13),15-13*ORÇAMENTO!$AF$7)*OFFSET(ORÇAMENTO!$W$15,ROW(BO194)-ROW(BO$15),0),15-13*ORÇAMENTO!$AF$11)),
         0)</f>
        <v>0</v>
      </c>
      <c r="BP194" s="453">
        <f ca="1">IF(AND($D194="Serviço",BP$12&lt;&gt;0,$H194&gt;0,OR(AUTOEVENTO&lt;&gt;"manual",$M194&lt;&gt;$A$15)),
        IF(Import.TipoArredondamento&lt;&gt;"TransfereGOV",
              ROUND(OFFSET($P194,0,BP$13),15-13*ORÇAMENTO!$AF$7)/$H194*OFFSET(ORÇAMENTO!$X$15,ROW(BP194)-ROW(BP$15),0),
              ROUND(ROUND(OFFSET($P194,0,BP$13),15-13*ORÇAMENTO!$AF$7)*OFFSET(ORÇAMENTO!$W$15,ROW(BP194)-ROW(BP$15),0),15-13*ORÇAMENTO!$AF$11)),
         0)</f>
        <v>0</v>
      </c>
      <c r="BQ194" s="453">
        <f ca="1">IF(AND($D194="Serviço",BQ$12&lt;&gt;0,$H194&gt;0,OR(AUTOEVENTO&lt;&gt;"manual",$M194&lt;&gt;$A$15)),
        IF(Import.TipoArredondamento&lt;&gt;"TransfereGOV",
              ROUND(OFFSET($P194,0,BQ$13),15-13*ORÇAMENTO!$AF$7)/$H194*OFFSET(ORÇAMENTO!$X$15,ROW(BQ194)-ROW(BQ$15),0),
              ROUND(ROUND(OFFSET($P194,0,BQ$13),15-13*ORÇAMENTO!$AF$7)*OFFSET(ORÇAMENTO!$W$15,ROW(BQ194)-ROW(BQ$15),0),15-13*ORÇAMENTO!$AF$11)),
         0)</f>
        <v>0</v>
      </c>
      <c r="BS194" s="171">
        <f ca="1">IF(OR($D194&lt;&gt;"Serviço",AND(AUTOEVENTO="Manual",$M194=$A$15)),0,
         IF(OFFSET(CRONOPLE!$F$15,$M194-$A$15,BS$13)=0,10^12,OFFSET(CRONOPLE!$F$15,$M194-$A$15,BS$13)))</f>
        <v>1</v>
      </c>
      <c r="BT194" s="171">
        <f ca="1">IF(OR($D194&lt;&gt;"Serviço",AND(AUTOEVENTO="Manual",$M194=$A$15)),0,
         IF(OFFSET(CRONOPLE!$F$15,$M194-$A$15,BT$13)=0,10^12,OFFSET(CRONOPLE!$F$15,$M194-$A$15,BT$13)))</f>
        <v>2</v>
      </c>
      <c r="BU194" s="171">
        <f ca="1">IF(OR($D194&lt;&gt;"Serviço",AND(AUTOEVENTO="Manual",$M194=$A$15)),0,
         IF(OFFSET(CRONOPLE!$F$15,$M194-$A$15,BU$13)=0,10^12,OFFSET(CRONOPLE!$F$15,$M194-$A$15,BU$13)))</f>
        <v>3</v>
      </c>
      <c r="BV194" s="171">
        <f ca="1">IF(OR($D194&lt;&gt;"Serviço",AND(AUTOEVENTO="Manual",$M194=$A$15)),0,
         IF(OFFSET(CRONOPLE!$F$15,$M194-$A$15,BV$13)=0,10^12,OFFSET(CRONOPLE!$F$15,$M194-$A$15,BV$13)))</f>
        <v>4</v>
      </c>
      <c r="BW194" s="171">
        <f ca="1">IF(OR($D194&lt;&gt;"Serviço",AND(AUTOEVENTO="Manual",$M194=$A$15)),0,
         IF(OFFSET(CRONOPLE!$F$15,$M194-$A$15,BW$13)=0,10^12,OFFSET(CRONOPLE!$F$15,$M194-$A$15,BW$13)))</f>
        <v>5</v>
      </c>
      <c r="BX194" s="171">
        <f ca="1">IF(OR($D194&lt;&gt;"Serviço",AND(AUTOEVENTO="Manual",$M194=$A$15)),0,
         IF(OFFSET(CRONOPLE!$F$15,$M194-$A$15,BX$13)=0,10^12,OFFSET(CRONOPLE!$F$15,$M194-$A$15,BX$13)))</f>
        <v>6</v>
      </c>
      <c r="BY194" s="171">
        <f ca="1">IF(OR($D194&lt;&gt;"Serviço",AND(AUTOEVENTO="Manual",$M194=$A$15)),0,
         IF(OFFSET(CRONOPLE!$F$15,$M194-$A$15,BY$13)=0,10^12,OFFSET(CRONOPLE!$F$15,$M194-$A$15,BY$13)))</f>
        <v>7</v>
      </c>
      <c r="BZ194" s="171">
        <f ca="1">IF(OR($D194&lt;&gt;"Serviço",AND(AUTOEVENTO="Manual",$M194=$A$15)),0,
         IF(OFFSET(CRONOPLE!$F$15,$M194-$A$15,BZ$13)=0,10^12,OFFSET(CRONOPLE!$F$15,$M194-$A$15,BZ$13)))</f>
        <v>8</v>
      </c>
      <c r="CA194" s="171">
        <f ca="1">IF(OR($D194&lt;&gt;"Serviço",AND(AUTOEVENTO="Manual",$M194=$A$15)),0,
         IF(OFFSET(CRONOPLE!$F$15,$M194-$A$15,CA$13)=0,10^12,OFFSET(CRONOPLE!$F$15,$M194-$A$15,CA$13)))</f>
        <v>9</v>
      </c>
      <c r="CB194" s="171">
        <f ca="1">IF(OR($D194&lt;&gt;"Serviço",AND(AUTOEVENTO="Manual",$M194=$A$15)),0,
         IF(OFFSET(CRONOPLE!$F$15,$M194-$A$15,CB$13)=0,10^12,OFFSET(CRONOPLE!$F$15,$M194-$A$15,CB$13)))</f>
        <v>10</v>
      </c>
      <c r="CC194" s="171">
        <f ca="1">IF(OR($D194&lt;&gt;"Serviço",AND(AUTOEVENTO="Manual",$M194=$A$15)),0,
         IF(OFFSET(CRONOPLE!$F$15,$M194-$A$15,CC$13)=0,10^12,OFFSET(CRONOPLE!$F$15,$M194-$A$15,CC$13)))</f>
        <v>11</v>
      </c>
      <c r="CD194" s="171">
        <f ca="1">IF(OR($D194&lt;&gt;"Serviço",AND(AUTOEVENTO="Manual",$M194=$A$15)),0,
         IF(OFFSET(CRONOPLE!$F$15,$M194-$A$15,CD$13)=0,10^12,OFFSET(CRONOPLE!$F$15,$M194-$A$15,CD$13)))</f>
        <v>12</v>
      </c>
      <c r="CE194" s="171">
        <f ca="1">IF(OR($D194&lt;&gt;"Serviço",AND(AUTOEVENTO="Manual",$M194=$A$15)),0,
         IF(OFFSET(CRONOPLE!$F$15,$M194-$A$15,CE$13)=0,10^12,OFFSET(CRONOPLE!$F$15,$M194-$A$15,CE$13)))</f>
        <v>13</v>
      </c>
      <c r="CF194" s="171">
        <f ca="1">IF(OR($D194&lt;&gt;"Serviço",AND(AUTOEVENTO="Manual",$M194=$A$15)),0,
         IF(OFFSET(CRONOPLE!$F$15,$M194-$A$15,CF$13)=0,10^12,OFFSET(CRONOPLE!$F$15,$M194-$A$15,CF$13)))</f>
        <v>14</v>
      </c>
      <c r="CG194" s="171">
        <f ca="1">IF(OR($D194&lt;&gt;"Serviço",AND(AUTOEVENTO="Manual",$M194=$A$15)),0,
         IF(OFFSET(CRONOPLE!$F$15,$M194-$A$15,CG$13)=0,10^12,OFFSET(CRONOPLE!$F$15,$M194-$A$15,CG$13)))</f>
        <v>15</v>
      </c>
      <c r="CH194" s="171">
        <f ca="1">IF(OR($D194&lt;&gt;"Serviço",AND(AUTOEVENTO="Manual",$M194=$A$15)),0,
         IF(OFFSET(CRONOPLE!$F$15,$M194-$A$15,CH$13)=0,10^12,OFFSET(CRONOPLE!$F$15,$M194-$A$15,CH$13)))</f>
        <v>16</v>
      </c>
      <c r="CI194" s="171">
        <f ca="1">IF(OR($D194&lt;&gt;"Serviço",AND(AUTOEVENTO="Manual",$M194=$A$15)),0,
         IF(OFFSET(CRONOPLE!$F$15,$M194-$A$15,CI$13)=0,10^12,OFFSET(CRONOPLE!$F$15,$M194-$A$15,CI$13)))</f>
        <v>17</v>
      </c>
      <c r="CJ194" s="171">
        <f ca="1">IF(OR($D194&lt;&gt;"Serviço",AND(AUTOEVENTO="Manual",$M194=$A$15)),0,
         IF(OFFSET(CRONOPLE!$F$15,$M194-$A$15,CJ$13)=0,10^12,OFFSET(CRONOPLE!$F$15,$M194-$A$15,CJ$13)))</f>
        <v>18</v>
      </c>
      <c r="CK194" s="171">
        <f ca="1">IF(OR($D194&lt;&gt;"Serviço",AND(AUTOEVENTO="Manual",$M194=$A$15)),0,
         IF(OFFSET(CRONOPLE!$F$15,$M194-$A$15,CK$13)=0,10^12,OFFSET(CRONOPLE!$F$15,$M194-$A$15,CK$13)))</f>
        <v>19</v>
      </c>
      <c r="CL194" s="171">
        <f ca="1">IF(OR($D194&lt;&gt;"Serviço",AND(AUTOEVENTO="Manual",$M194=$A$15)),0,
         IF(OFFSET(CRONOPLE!$F$15,$M194-$A$15,CL$13)=0,10^12,OFFSET(CRONOPLE!$F$15,$M194-$A$15,CL$13)))</f>
        <v>20</v>
      </c>
      <c r="CM194" s="171">
        <f ca="1">IF(OR($D194&lt;&gt;"Serviço",AND(AUTOEVENTO="Manual",$M194=$A$15)),0,
         IF(OFFSET(CRONOPLE!$F$15,$M194-$A$15,CM$13)=0,10^12,OFFSET(CRONOPLE!$F$15,$M194-$A$15,CM$13)))</f>
        <v>1000000000000</v>
      </c>
      <c r="CN194" s="171">
        <f ca="1">IF(OR($D194&lt;&gt;"Serviço",AND(AUTOEVENTO="Manual",$M194=$A$15)),0,
         IF(OFFSET(CRONOPLE!$F$15,$M194-$A$15,CN$13)=0,10^12,OFFSET(CRONOPLE!$F$15,$M194-$A$15,CN$13)))</f>
        <v>1000000000000</v>
      </c>
      <c r="CO194" s="171">
        <f ca="1">IF(OR($D194&lt;&gt;"Serviço",AND(AUTOEVENTO="Manual",$M194=$A$15)),0,
         IF(OFFSET(CRONOPLE!$F$15,$M194-$A$15,CO$13)=0,10^12,OFFSET(CRONOPLE!$F$15,$M194-$A$15,CO$13)))</f>
        <v>1000000000000</v>
      </c>
      <c r="CP194" s="171">
        <f ca="1">IF(OR($D194&lt;&gt;"Serviço",AND(AUTOEVENTO="Manual",$M194=$A$15)),0,
         IF(OFFSET(CRONOPLE!$F$15,$M194-$A$15,CP$13)=0,10^12,OFFSET(CRONOPLE!$F$15,$M194-$A$15,CP$13)))</f>
        <v>1000000000000</v>
      </c>
      <c r="CQ194" s="171">
        <f ca="1">IF(OR($D194&lt;&gt;"Serviço",AND(AUTOEVENTO="Manual",$M194=$A$15)),0,
         IF(OFFSET(CRONOPLE!$F$15,$M194-$A$15,CQ$13)=0,10^12,OFFSET(CRONOPLE!$F$15,$M194-$A$15,CQ$13)))</f>
        <v>1000000000000</v>
      </c>
      <c r="CR194" s="171">
        <f ca="1">IF(OR($D194&lt;&gt;"Serviço",AND(AUTOEVENTO="Manual",$M194=$A$15)),0,
         IF(OFFSET(CRONOPLE!$F$15,$M194-$A$15,CR$13)=0,10^12,OFFSET(CRONOPLE!$F$15,$M194-$A$15,CR$13)))</f>
        <v>1000000000000</v>
      </c>
      <c r="CT194" s="172" cm="1">
        <f t="array" aca="1" ref="CT194" ca="1">IF(OR($D194&lt;&gt;"Serviço",AND(AUTOEVENTO="Manual",$M194=$A$15),$M194&gt;(ROW(PLE.lastrow)-ROW(PLE.firstrow))),0,
           IF(OFFSET(PLE!$G$15,$M194-$A$15,CT$13)="",10^12,OFFSET(PLE!$G$15,$M194-$A$15,CT$13)))</f>
        <v>1000000000000</v>
      </c>
      <c r="CU194" s="172" cm="1">
        <f t="array" aca="1" ref="CU194" ca="1">IF(OR($D194&lt;&gt;"Serviço",AND(AUTOEVENTO="Manual",$M194=$A$15),$M194&gt;(ROW(PLE.lastrow)-ROW(PLE.firstrow))),0,
           IF(OFFSET(PLE!$G$15,$M194-$A$15,CU$13)="",10^12,OFFSET(PLE!$G$15,$M194-$A$15,CU$13)))</f>
        <v>1000000000000</v>
      </c>
      <c r="CV194" s="172" cm="1">
        <f t="array" aca="1" ref="CV194" ca="1">IF(OR($D194&lt;&gt;"Serviço",AND(AUTOEVENTO="Manual",$M194=$A$15),$M194&gt;(ROW(PLE.lastrow)-ROW(PLE.firstrow))),0,
           IF(OFFSET(PLE!$G$15,$M194-$A$15,CV$13)="",10^12,OFFSET(PLE!$G$15,$M194-$A$15,CV$13)))</f>
        <v>1000000000000</v>
      </c>
      <c r="CW194" s="172" cm="1">
        <f t="array" aca="1" ref="CW194" ca="1">IF(OR($D194&lt;&gt;"Serviço",AND(AUTOEVENTO="Manual",$M194=$A$15),$M194&gt;(ROW(PLE.lastrow)-ROW(PLE.firstrow))),0,
           IF(OFFSET(PLE!$G$15,$M194-$A$15,CW$13)="",10^12,OFFSET(PLE!$G$15,$M194-$A$15,CW$13)))</f>
        <v>1000000000000</v>
      </c>
      <c r="CX194" s="172" cm="1">
        <f t="array" aca="1" ref="CX194" ca="1">IF(OR($D194&lt;&gt;"Serviço",AND(AUTOEVENTO="Manual",$M194=$A$15),$M194&gt;(ROW(PLE.lastrow)-ROW(PLE.firstrow))),0,
           IF(OFFSET(PLE!$G$15,$M194-$A$15,CX$13)="",10^12,OFFSET(PLE!$G$15,$M194-$A$15,CX$13)))</f>
        <v>1000000000000</v>
      </c>
      <c r="CY194" s="172" cm="1">
        <f t="array" aca="1" ref="CY194" ca="1">IF(OR($D194&lt;&gt;"Serviço",AND(AUTOEVENTO="Manual",$M194=$A$15),$M194&gt;(ROW(PLE.lastrow)-ROW(PLE.firstrow))),0,
           IF(OFFSET(PLE!$G$15,$M194-$A$15,CY$13)="",10^12,OFFSET(PLE!$G$15,$M194-$A$15,CY$13)))</f>
        <v>1000000000000</v>
      </c>
      <c r="CZ194" s="172" cm="1">
        <f t="array" aca="1" ref="CZ194" ca="1">IF(OR($D194&lt;&gt;"Serviço",AND(AUTOEVENTO="Manual",$M194=$A$15),$M194&gt;(ROW(PLE.lastrow)-ROW(PLE.firstrow))),0,
           IF(OFFSET(PLE!$G$15,$M194-$A$15,CZ$13)="",10^12,OFFSET(PLE!$G$15,$M194-$A$15,CZ$13)))</f>
        <v>1000000000000</v>
      </c>
      <c r="DA194" s="172" cm="1">
        <f t="array" aca="1" ref="DA194" ca="1">IF(OR($D194&lt;&gt;"Serviço",AND(AUTOEVENTO="Manual",$M194=$A$15),$M194&gt;(ROW(PLE.lastrow)-ROW(PLE.firstrow))),0,
           IF(OFFSET(PLE!$G$15,$M194-$A$15,DA$13)="",10^12,OFFSET(PLE!$G$15,$M194-$A$15,DA$13)))</f>
        <v>1000000000000</v>
      </c>
      <c r="DB194" s="172" cm="1">
        <f t="array" aca="1" ref="DB194" ca="1">IF(OR($D194&lt;&gt;"Serviço",AND(AUTOEVENTO="Manual",$M194=$A$15),$M194&gt;(ROW(PLE.lastrow)-ROW(PLE.firstrow))),0,
           IF(OFFSET(PLE!$G$15,$M194-$A$15,DB$13)="",10^12,OFFSET(PLE!$G$15,$M194-$A$15,DB$13)))</f>
        <v>1000000000000</v>
      </c>
      <c r="DC194" s="172" cm="1">
        <f t="array" aca="1" ref="DC194" ca="1">IF(OR($D194&lt;&gt;"Serviço",AND(AUTOEVENTO="Manual",$M194=$A$15),$M194&gt;(ROW(PLE.lastrow)-ROW(PLE.firstrow))),0,
           IF(OFFSET(PLE!$G$15,$M194-$A$15,DC$13)="",10^12,OFFSET(PLE!$G$15,$M194-$A$15,DC$13)))</f>
        <v>1000000000000</v>
      </c>
      <c r="DD194" s="172" cm="1">
        <f t="array" aca="1" ref="DD194" ca="1">IF(OR($D194&lt;&gt;"Serviço",AND(AUTOEVENTO="Manual",$M194=$A$15),$M194&gt;(ROW(PLE.lastrow)-ROW(PLE.firstrow))),0,
           IF(OFFSET(PLE!$G$15,$M194-$A$15,DD$13)="",10^12,OFFSET(PLE!$G$15,$M194-$A$15,DD$13)))</f>
        <v>1000000000000</v>
      </c>
      <c r="DE194" s="172" cm="1">
        <f t="array" aca="1" ref="DE194" ca="1">IF(OR($D194&lt;&gt;"Serviço",AND(AUTOEVENTO="Manual",$M194=$A$15),$M194&gt;(ROW(PLE.lastrow)-ROW(PLE.firstrow))),0,
           IF(OFFSET(PLE!$G$15,$M194-$A$15,DE$13)="",10^12,OFFSET(PLE!$G$15,$M194-$A$15,DE$13)))</f>
        <v>1000000000000</v>
      </c>
      <c r="DF194" s="172" cm="1">
        <f t="array" aca="1" ref="DF194" ca="1">IF(OR($D194&lt;&gt;"Serviço",AND(AUTOEVENTO="Manual",$M194=$A$15),$M194&gt;(ROW(PLE.lastrow)-ROW(PLE.firstrow))),0,
           IF(OFFSET(PLE!$G$15,$M194-$A$15,DF$13)="",10^12,OFFSET(PLE!$G$15,$M194-$A$15,DF$13)))</f>
        <v>1000000000000</v>
      </c>
      <c r="DG194" s="172" cm="1">
        <f t="array" aca="1" ref="DG194" ca="1">IF(OR($D194&lt;&gt;"Serviço",AND(AUTOEVENTO="Manual",$M194=$A$15),$M194&gt;(ROW(PLE.lastrow)-ROW(PLE.firstrow))),0,
           IF(OFFSET(PLE!$G$15,$M194-$A$15,DG$13)="",10^12,OFFSET(PLE!$G$15,$M194-$A$15,DG$13)))</f>
        <v>1000000000000</v>
      </c>
      <c r="DH194" s="172" cm="1">
        <f t="array" aca="1" ref="DH194" ca="1">IF(OR($D194&lt;&gt;"Serviço",AND(AUTOEVENTO="Manual",$M194=$A$15),$M194&gt;(ROW(PLE.lastrow)-ROW(PLE.firstrow))),0,
           IF(OFFSET(PLE!$G$15,$M194-$A$15,DH$13)="",10^12,OFFSET(PLE!$G$15,$M194-$A$15,DH$13)))</f>
        <v>1000000000000</v>
      </c>
      <c r="DI194" s="172" cm="1">
        <f t="array" aca="1" ref="DI194" ca="1">IF(OR($D194&lt;&gt;"Serviço",AND(AUTOEVENTO="Manual",$M194=$A$15),$M194&gt;(ROW(PLE.lastrow)-ROW(PLE.firstrow))),0,
           IF(OFFSET(PLE!$G$15,$M194-$A$15,DI$13)="",10^12,OFFSET(PLE!$G$15,$M194-$A$15,DI$13)))</f>
        <v>1000000000000</v>
      </c>
      <c r="DJ194" s="172" cm="1">
        <f t="array" aca="1" ref="DJ194" ca="1">IF(OR($D194&lt;&gt;"Serviço",AND(AUTOEVENTO="Manual",$M194=$A$15),$M194&gt;(ROW(PLE.lastrow)-ROW(PLE.firstrow))),0,
           IF(OFFSET(PLE!$G$15,$M194-$A$15,DJ$13)="",10^12,OFFSET(PLE!$G$15,$M194-$A$15,DJ$13)))</f>
        <v>1000000000000</v>
      </c>
      <c r="DK194" s="172" cm="1">
        <f t="array" aca="1" ref="DK194" ca="1">IF(OR($D194&lt;&gt;"Serviço",AND(AUTOEVENTO="Manual",$M194=$A$15),$M194&gt;(ROW(PLE.lastrow)-ROW(PLE.firstrow))),0,
           IF(OFFSET(PLE!$G$15,$M194-$A$15,DK$13)="",10^12,OFFSET(PLE!$G$15,$M194-$A$15,DK$13)))</f>
        <v>1000000000000</v>
      </c>
      <c r="DL194" s="172" cm="1">
        <f t="array" aca="1" ref="DL194" ca="1">IF(OR($D194&lt;&gt;"Serviço",AND(AUTOEVENTO="Manual",$M194=$A$15),$M194&gt;(ROW(PLE.lastrow)-ROW(PLE.firstrow))),0,
           IF(OFFSET(PLE!$G$15,$M194-$A$15,DL$13)="",10^12,OFFSET(PLE!$G$15,$M194-$A$15,DL$13)))</f>
        <v>1000000000000</v>
      </c>
      <c r="DM194" s="172" cm="1">
        <f t="array" aca="1" ref="DM194" ca="1">IF(OR($D194&lt;&gt;"Serviço",AND(AUTOEVENTO="Manual",$M194=$A$15),$M194&gt;(ROW(PLE.lastrow)-ROW(PLE.firstrow))),0,
           IF(OFFSET(PLE!$G$15,$M194-$A$15,DM$13)="",10^12,OFFSET(PLE!$G$15,$M194-$A$15,DM$13)))</f>
        <v>1000000000000</v>
      </c>
      <c r="DN194" s="172" cm="1">
        <f t="array" aca="1" ref="DN194" ca="1">IF(OR($D194&lt;&gt;"Serviço",AND(AUTOEVENTO="Manual",$M194=$A$15),$M194&gt;(ROW(PLE.lastrow)-ROW(PLE.firstrow))),0,
           IF(OFFSET(PLE!$G$15,$M194-$A$15,DN$13)="",10^12,OFFSET(PLE!$G$15,$M194-$A$15,DN$13)))</f>
        <v>1000000000000</v>
      </c>
      <c r="DO194" s="172" cm="1">
        <f t="array" aca="1" ref="DO194" ca="1">IF(OR($D194&lt;&gt;"Serviço",AND(AUTOEVENTO="Manual",$M194=$A$15),$M194&gt;(ROW(PLE.lastrow)-ROW(PLE.firstrow))),0,
           IF(OFFSET(PLE!$G$15,$M194-$A$15,DO$13)="",10^12,OFFSET(PLE!$G$15,$M194-$A$15,DO$13)))</f>
        <v>1000000000000</v>
      </c>
      <c r="DP194" s="172" cm="1">
        <f t="array" aca="1" ref="DP194" ca="1">IF(OR($D194&lt;&gt;"Serviço",AND(AUTOEVENTO="Manual",$M194=$A$15),$M194&gt;(ROW(PLE.lastrow)-ROW(PLE.firstrow))),0,
           IF(OFFSET(PLE!$G$15,$M194-$A$15,DP$13)="",10^12,OFFSET(PLE!$G$15,$M194-$A$15,DP$13)))</f>
        <v>1000000000000</v>
      </c>
      <c r="DQ194" s="172" cm="1">
        <f t="array" aca="1" ref="DQ194" ca="1">IF(OR($D194&lt;&gt;"Serviço",AND(AUTOEVENTO="Manual",$M194=$A$15),$M194&gt;(ROW(PLE.lastrow)-ROW(PLE.firstrow))),0,
           IF(OFFSET(PLE!$G$15,$M194-$A$15,DQ$13)="",10^12,OFFSET(PLE!$G$15,$M194-$A$15,DQ$13)))</f>
        <v>1000000000000</v>
      </c>
      <c r="DR194" s="172" cm="1">
        <f t="array" aca="1" ref="DR194" ca="1">IF(OR($D194&lt;&gt;"Serviço",AND(AUTOEVENTO="Manual",$M194=$A$15),$M194&gt;(ROW(PLE.lastrow)-ROW(PLE.firstrow))),0,
           IF(OFFSET(PLE!$G$15,$M194-$A$15,DR$13)="",10^12,OFFSET(PLE!$G$15,$M194-$A$15,DR$13)))</f>
        <v>1000000000000</v>
      </c>
      <c r="DS194" s="172" cm="1">
        <f t="array" aca="1" ref="DS194" ca="1">IF(OR($D194&lt;&gt;"Serviço",AND(AUTOEVENTO="Manual",$M194=$A$15),$M194&gt;(ROW(PLE.lastrow)-ROW(PLE.firstrow))),0,
           IF(OFFSET(PLE!$G$15,$M194-$A$15,DS$13)="",10^12,OFFSET(PLE!$G$15,$M194-$A$15,DS$13)))</f>
        <v>1000000000000</v>
      </c>
    </row>
    <row r="195" spans="1:123" ht="38.25" x14ac:dyDescent="0.2">
      <c r="A195" s="7">
        <f t="shared" ca="1" si="18"/>
        <v>9</v>
      </c>
      <c r="B195" s="7" t="str">
        <f ca="1">OFFSET(ORÇAMENTO!C$15,$L195,0)</f>
        <v>S</v>
      </c>
      <c r="C195" s="7" t="str">
        <f ca="1">OFFSET(ORÇAMENTO!L$15,$L195,0)</f>
        <v/>
      </c>
      <c r="D195" s="116" t="str">
        <f ca="1">OFFSET(ORÇAMENTO!N$15,$L195,0)</f>
        <v>Serviço</v>
      </c>
      <c r="E195" s="117" t="str">
        <f ca="1">OFFSET(ORÇAMENTO!O$15,$L195,0)</f>
        <v>-</v>
      </c>
      <c r="F195" s="163" t="str">
        <f ca="1">OFFSET(ORÇAMENTO!R$15,$L195,0)</f>
        <v>(Código não identificado nas referências)</v>
      </c>
      <c r="G195" s="164" t="str">
        <f ca="1">IF($D195&lt;&gt;"Serviço","",OFFSET(ORÇAMENTO!S$15,$L195,0))</f>
        <v>-</v>
      </c>
      <c r="H195" s="122" cm="1">
        <f t="array" aca="1" ref="H195" ca="1">IF($D195&lt;&gt;"Serviço",0,IF(ACOMPANHAMENTO="BM",ROUND(OFFSET(ORÇAMENTO!AJ$15,$L195,0),15-13*ORÇAMENTO!$AF$7),IF(IFERROR(CÁLCULO.FrentesPreenchidas,0)=0,0,SUM(ROUND(OFFSET($P195,0,1,1,CÁLCULO.FrentesPreenchidas),15-13*ORÇAMENTO!$AF$7)))))</f>
        <v>160</v>
      </c>
      <c r="I195" s="468" t="s">
        <v>1235</v>
      </c>
      <c r="J195" s="651" t="str" cm="1">
        <f t="array" aca="1" ref="J195" ca="1">IF(OR(B195&lt;&gt;"S",CÁLCULO.FrentesPreenchidas=0),"",IF(AND(ACOMPANHAMENTO="PLE",AUTOEVENTO="Manual",OR(H195&gt;0,ORÇAMENTO!AC195="QUANT."),OR(K195="",M195=0,N195="")),"►E",IF(AND(ACOMPANHAMENTO="PLE",ORÇAMENTO!AC195="QUANT."),"►Q",IF(AND(ACOMPANHAMENTO="PLE",H195&lt;&gt;SUMPRODUCT(($Q$1:$AQ$1=1)*ROUND(Q195:AQ195,15))),"►S",IF(AND(COUNTIF($P$11:$AQ$11,"▼")=0,H195&gt;0,I195=""),"◄M","")))))</f>
        <v/>
      </c>
      <c r="K195" s="652" t="s">
        <v>1257</v>
      </c>
      <c r="L195" s="165">
        <f t="shared" ca="1" si="17"/>
        <v>180</v>
      </c>
      <c r="M195" s="166">
        <f ca="1">IF($D195&lt;&gt;"Serviço","",
          IF(AUTOEVENTO="manual",$A195,
                IF(ISERROR(MATCH($A195,$A$15:OFFSET($A195,-1,0),0)),MAX($M$15:OFFSET(M195,-1,0))+1,
                      INDEX($M$15:OFFSET(M195,-1,0),MATCH($A195,$A$15:OFFSET($A195,-1,0),0)))))</f>
        <v>9</v>
      </c>
      <c r="N195" s="167" t="str">
        <f ca="1">IF($D195&lt;&gt;"Serviço","",
         IF(AUTOEVENTO="Manual",
                IF($A195=0,"&lt;-- defina o número do agrupador",
                       OFFSET(EVENTOS!$D$15,$A195-$A$15,0)),
                OFFSET($F$15,$A195,0)))</f>
        <v>INSTALAÇÕES</v>
      </c>
      <c r="O195" s="168"/>
      <c r="Q195" s="168">
        <v>8</v>
      </c>
      <c r="R195" s="169">
        <v>8</v>
      </c>
      <c r="S195" s="169">
        <v>8</v>
      </c>
      <c r="T195" s="169">
        <v>8</v>
      </c>
      <c r="U195" s="169">
        <v>8</v>
      </c>
      <c r="V195" s="169">
        <v>8</v>
      </c>
      <c r="W195" s="169">
        <v>8</v>
      </c>
      <c r="X195" s="169">
        <v>8</v>
      </c>
      <c r="Y195" s="169">
        <v>8</v>
      </c>
      <c r="Z195" s="170">
        <v>8</v>
      </c>
      <c r="AA195" s="169">
        <v>8</v>
      </c>
      <c r="AB195" s="169">
        <v>8</v>
      </c>
      <c r="AC195" s="169">
        <v>8</v>
      </c>
      <c r="AD195" s="169">
        <v>8</v>
      </c>
      <c r="AE195" s="169">
        <v>8</v>
      </c>
      <c r="AF195" s="169">
        <v>8</v>
      </c>
      <c r="AG195" s="169">
        <v>8</v>
      </c>
      <c r="AH195" s="170">
        <v>8</v>
      </c>
      <c r="AI195" s="169">
        <v>8</v>
      </c>
      <c r="AJ195" s="169">
        <v>8</v>
      </c>
      <c r="AK195" s="169"/>
      <c r="AL195" s="169"/>
      <c r="AM195" s="169"/>
      <c r="AN195" s="169"/>
      <c r="AO195" s="169"/>
      <c r="AP195" s="170"/>
      <c r="AR195" s="453">
        <f ca="1">IF(AND($D195="Serviço",AR$12&lt;&gt;0,$H195&gt;0,OR(AUTOEVENTO&lt;&gt;"manual",$M195&lt;&gt;$A$15)),
        IF(Import.TipoArredondamento&lt;&gt;"TransfereGOV",
              ROUND(OFFSET($P195,0,AR$13),15-13*ORÇAMENTO!$AF$7)/$H195*OFFSET(ORÇAMENTO!$X$15,ROW(AR195)-ROW(AR$15),0),
              ROUND(ROUND(OFFSET($P195,0,AR$13),15-13*ORÇAMENTO!$AF$7)*OFFSET(ORÇAMENTO!$W$15,ROW(AR195)-ROW(AR$15),0),15-13*ORÇAMENTO!$AF$11)),
         0)</f>
        <v>0</v>
      </c>
      <c r="AS195" s="453">
        <f ca="1">IF(AND($D195="Serviço",AS$12&lt;&gt;0,$H195&gt;0,OR(AUTOEVENTO&lt;&gt;"manual",$M195&lt;&gt;$A$15)),
        IF(Import.TipoArredondamento&lt;&gt;"TransfereGOV",
              ROUND(OFFSET($P195,0,AS$13),15-13*ORÇAMENTO!$AF$7)/$H195*OFFSET(ORÇAMENTO!$X$15,ROW(AS195)-ROW(AS$15),0),
              ROUND(ROUND(OFFSET($P195,0,AS$13),15-13*ORÇAMENTO!$AF$7)*OFFSET(ORÇAMENTO!$W$15,ROW(AS195)-ROW(AS$15),0),15-13*ORÇAMENTO!$AF$11)),
         0)</f>
        <v>0</v>
      </c>
      <c r="AT195" s="453">
        <f ca="1">IF(AND($D195="Serviço",AT$12&lt;&gt;0,$H195&gt;0,OR(AUTOEVENTO&lt;&gt;"manual",$M195&lt;&gt;$A$15)),
        IF(Import.TipoArredondamento&lt;&gt;"TransfereGOV",
              ROUND(OFFSET($P195,0,AT$13),15-13*ORÇAMENTO!$AF$7)/$H195*OFFSET(ORÇAMENTO!$X$15,ROW(AT195)-ROW(AT$15),0),
              ROUND(ROUND(OFFSET($P195,0,AT$13),15-13*ORÇAMENTO!$AF$7)*OFFSET(ORÇAMENTO!$W$15,ROW(AT195)-ROW(AT$15),0),15-13*ORÇAMENTO!$AF$11)),
         0)</f>
        <v>0</v>
      </c>
      <c r="AU195" s="453">
        <f ca="1">IF(AND($D195="Serviço",AU$12&lt;&gt;0,$H195&gt;0,OR(AUTOEVENTO&lt;&gt;"manual",$M195&lt;&gt;$A$15)),
        IF(Import.TipoArredondamento&lt;&gt;"TransfereGOV",
              ROUND(OFFSET($P195,0,AU$13),15-13*ORÇAMENTO!$AF$7)/$H195*OFFSET(ORÇAMENTO!$X$15,ROW(AU195)-ROW(AU$15),0),
              ROUND(ROUND(OFFSET($P195,0,AU$13),15-13*ORÇAMENTO!$AF$7)*OFFSET(ORÇAMENTO!$W$15,ROW(AU195)-ROW(AU$15),0),15-13*ORÇAMENTO!$AF$11)),
         0)</f>
        <v>0</v>
      </c>
      <c r="AV195" s="453">
        <f ca="1">IF(AND($D195="Serviço",AV$12&lt;&gt;0,$H195&gt;0,OR(AUTOEVENTO&lt;&gt;"manual",$M195&lt;&gt;$A$15)),
        IF(Import.TipoArredondamento&lt;&gt;"TransfereGOV",
              ROUND(OFFSET($P195,0,AV$13),15-13*ORÇAMENTO!$AF$7)/$H195*OFFSET(ORÇAMENTO!$X$15,ROW(AV195)-ROW(AV$15),0),
              ROUND(ROUND(OFFSET($P195,0,AV$13),15-13*ORÇAMENTO!$AF$7)*OFFSET(ORÇAMENTO!$W$15,ROW(AV195)-ROW(AV$15),0),15-13*ORÇAMENTO!$AF$11)),
         0)</f>
        <v>0</v>
      </c>
      <c r="AW195" s="453">
        <f ca="1">IF(AND($D195="Serviço",AW$12&lt;&gt;0,$H195&gt;0,OR(AUTOEVENTO&lt;&gt;"manual",$M195&lt;&gt;$A$15)),
        IF(Import.TipoArredondamento&lt;&gt;"TransfereGOV",
              ROUND(OFFSET($P195,0,AW$13),15-13*ORÇAMENTO!$AF$7)/$H195*OFFSET(ORÇAMENTO!$X$15,ROW(AW195)-ROW(AW$15),0),
              ROUND(ROUND(OFFSET($P195,0,AW$13),15-13*ORÇAMENTO!$AF$7)*OFFSET(ORÇAMENTO!$W$15,ROW(AW195)-ROW(AW$15),0),15-13*ORÇAMENTO!$AF$11)),
         0)</f>
        <v>0</v>
      </c>
      <c r="AX195" s="453">
        <f ca="1">IF(AND($D195="Serviço",AX$12&lt;&gt;0,$H195&gt;0,OR(AUTOEVENTO&lt;&gt;"manual",$M195&lt;&gt;$A$15)),
        IF(Import.TipoArredondamento&lt;&gt;"TransfereGOV",
              ROUND(OFFSET($P195,0,AX$13),15-13*ORÇAMENTO!$AF$7)/$H195*OFFSET(ORÇAMENTO!$X$15,ROW(AX195)-ROW(AX$15),0),
              ROUND(ROUND(OFFSET($P195,0,AX$13),15-13*ORÇAMENTO!$AF$7)*OFFSET(ORÇAMENTO!$W$15,ROW(AX195)-ROW(AX$15),0),15-13*ORÇAMENTO!$AF$11)),
         0)</f>
        <v>0</v>
      </c>
      <c r="AY195" s="453">
        <f ca="1">IF(AND($D195="Serviço",AY$12&lt;&gt;0,$H195&gt;0,OR(AUTOEVENTO&lt;&gt;"manual",$M195&lt;&gt;$A$15)),
        IF(Import.TipoArredondamento&lt;&gt;"TransfereGOV",
              ROUND(OFFSET($P195,0,AY$13),15-13*ORÇAMENTO!$AF$7)/$H195*OFFSET(ORÇAMENTO!$X$15,ROW(AY195)-ROW(AY$15),0),
              ROUND(ROUND(OFFSET($P195,0,AY$13),15-13*ORÇAMENTO!$AF$7)*OFFSET(ORÇAMENTO!$W$15,ROW(AY195)-ROW(AY$15),0),15-13*ORÇAMENTO!$AF$11)),
         0)</f>
        <v>0</v>
      </c>
      <c r="AZ195" s="453">
        <f ca="1">IF(AND($D195="Serviço",AZ$12&lt;&gt;0,$H195&gt;0,OR(AUTOEVENTO&lt;&gt;"manual",$M195&lt;&gt;$A$15)),
        IF(Import.TipoArredondamento&lt;&gt;"TransfereGOV",
              ROUND(OFFSET($P195,0,AZ$13),15-13*ORÇAMENTO!$AF$7)/$H195*OFFSET(ORÇAMENTO!$X$15,ROW(AZ195)-ROW(AZ$15),0),
              ROUND(ROUND(OFFSET($P195,0,AZ$13),15-13*ORÇAMENTO!$AF$7)*OFFSET(ORÇAMENTO!$W$15,ROW(AZ195)-ROW(AZ$15),0),15-13*ORÇAMENTO!$AF$11)),
         0)</f>
        <v>0</v>
      </c>
      <c r="BA195" s="453">
        <f ca="1">IF(AND($D195="Serviço",BA$12&lt;&gt;0,$H195&gt;0,OR(AUTOEVENTO&lt;&gt;"manual",$M195&lt;&gt;$A$15)),
        IF(Import.TipoArredondamento&lt;&gt;"TransfereGOV",
              ROUND(OFFSET($P195,0,BA$13),15-13*ORÇAMENTO!$AF$7)/$H195*OFFSET(ORÇAMENTO!$X$15,ROW(BA195)-ROW(BA$15),0),
              ROUND(ROUND(OFFSET($P195,0,BA$13),15-13*ORÇAMENTO!$AF$7)*OFFSET(ORÇAMENTO!$W$15,ROW(BA195)-ROW(BA$15),0),15-13*ORÇAMENTO!$AF$11)),
         0)</f>
        <v>0</v>
      </c>
      <c r="BB195" s="453">
        <f ca="1">IF(AND($D195="Serviço",BB$12&lt;&gt;0,$H195&gt;0,OR(AUTOEVENTO&lt;&gt;"manual",$M195&lt;&gt;$A$15)),
        IF(Import.TipoArredondamento&lt;&gt;"TransfereGOV",
              ROUND(OFFSET($P195,0,BB$13),15-13*ORÇAMENTO!$AF$7)/$H195*OFFSET(ORÇAMENTO!$X$15,ROW(BB195)-ROW(BB$15),0),
              ROUND(ROUND(OFFSET($P195,0,BB$13),15-13*ORÇAMENTO!$AF$7)*OFFSET(ORÇAMENTO!$W$15,ROW(BB195)-ROW(BB$15),0),15-13*ORÇAMENTO!$AF$11)),
         0)</f>
        <v>0</v>
      </c>
      <c r="BC195" s="453">
        <f ca="1">IF(AND($D195="Serviço",BC$12&lt;&gt;0,$H195&gt;0,OR(AUTOEVENTO&lt;&gt;"manual",$M195&lt;&gt;$A$15)),
        IF(Import.TipoArredondamento&lt;&gt;"TransfereGOV",
              ROUND(OFFSET($P195,0,BC$13),15-13*ORÇAMENTO!$AF$7)/$H195*OFFSET(ORÇAMENTO!$X$15,ROW(BC195)-ROW(BC$15),0),
              ROUND(ROUND(OFFSET($P195,0,BC$13),15-13*ORÇAMENTO!$AF$7)*OFFSET(ORÇAMENTO!$W$15,ROW(BC195)-ROW(BC$15),0),15-13*ORÇAMENTO!$AF$11)),
         0)</f>
        <v>0</v>
      </c>
      <c r="BD195" s="453">
        <f ca="1">IF(AND($D195="Serviço",BD$12&lt;&gt;0,$H195&gt;0,OR(AUTOEVENTO&lt;&gt;"manual",$M195&lt;&gt;$A$15)),
        IF(Import.TipoArredondamento&lt;&gt;"TransfereGOV",
              ROUND(OFFSET($P195,0,BD$13),15-13*ORÇAMENTO!$AF$7)/$H195*OFFSET(ORÇAMENTO!$X$15,ROW(BD195)-ROW(BD$15),0),
              ROUND(ROUND(OFFSET($P195,0,BD$13),15-13*ORÇAMENTO!$AF$7)*OFFSET(ORÇAMENTO!$W$15,ROW(BD195)-ROW(BD$15),0),15-13*ORÇAMENTO!$AF$11)),
         0)</f>
        <v>0</v>
      </c>
      <c r="BE195" s="453">
        <f ca="1">IF(AND($D195="Serviço",BE$12&lt;&gt;0,$H195&gt;0,OR(AUTOEVENTO&lt;&gt;"manual",$M195&lt;&gt;$A$15)),
        IF(Import.TipoArredondamento&lt;&gt;"TransfereGOV",
              ROUND(OFFSET($P195,0,BE$13),15-13*ORÇAMENTO!$AF$7)/$H195*OFFSET(ORÇAMENTO!$X$15,ROW(BE195)-ROW(BE$15),0),
              ROUND(ROUND(OFFSET($P195,0,BE$13),15-13*ORÇAMENTO!$AF$7)*OFFSET(ORÇAMENTO!$W$15,ROW(BE195)-ROW(BE$15),0),15-13*ORÇAMENTO!$AF$11)),
         0)</f>
        <v>0</v>
      </c>
      <c r="BF195" s="453">
        <f ca="1">IF(AND($D195="Serviço",BF$12&lt;&gt;0,$H195&gt;0,OR(AUTOEVENTO&lt;&gt;"manual",$M195&lt;&gt;$A$15)),
        IF(Import.TipoArredondamento&lt;&gt;"TransfereGOV",
              ROUND(OFFSET($P195,0,BF$13),15-13*ORÇAMENTO!$AF$7)/$H195*OFFSET(ORÇAMENTO!$X$15,ROW(BF195)-ROW(BF$15),0),
              ROUND(ROUND(OFFSET($P195,0,BF$13),15-13*ORÇAMENTO!$AF$7)*OFFSET(ORÇAMENTO!$W$15,ROW(BF195)-ROW(BF$15),0),15-13*ORÇAMENTO!$AF$11)),
         0)</f>
        <v>0</v>
      </c>
      <c r="BG195" s="453">
        <f ca="1">IF(AND($D195="Serviço",BG$12&lt;&gt;0,$H195&gt;0,OR(AUTOEVENTO&lt;&gt;"manual",$M195&lt;&gt;$A$15)),
        IF(Import.TipoArredondamento&lt;&gt;"TransfereGOV",
              ROUND(OFFSET($P195,0,BG$13),15-13*ORÇAMENTO!$AF$7)/$H195*OFFSET(ORÇAMENTO!$X$15,ROW(BG195)-ROW(BG$15),0),
              ROUND(ROUND(OFFSET($P195,0,BG$13),15-13*ORÇAMENTO!$AF$7)*OFFSET(ORÇAMENTO!$W$15,ROW(BG195)-ROW(BG$15),0),15-13*ORÇAMENTO!$AF$11)),
         0)</f>
        <v>0</v>
      </c>
      <c r="BH195" s="453">
        <f ca="1">IF(AND($D195="Serviço",BH$12&lt;&gt;0,$H195&gt;0,OR(AUTOEVENTO&lt;&gt;"manual",$M195&lt;&gt;$A$15)),
        IF(Import.TipoArredondamento&lt;&gt;"TransfereGOV",
              ROUND(OFFSET($P195,0,BH$13),15-13*ORÇAMENTO!$AF$7)/$H195*OFFSET(ORÇAMENTO!$X$15,ROW(BH195)-ROW(BH$15),0),
              ROUND(ROUND(OFFSET($P195,0,BH$13),15-13*ORÇAMENTO!$AF$7)*OFFSET(ORÇAMENTO!$W$15,ROW(BH195)-ROW(BH$15),0),15-13*ORÇAMENTO!$AF$11)),
         0)</f>
        <v>0</v>
      </c>
      <c r="BI195" s="453">
        <f ca="1">IF(AND($D195="Serviço",BI$12&lt;&gt;0,$H195&gt;0,OR(AUTOEVENTO&lt;&gt;"manual",$M195&lt;&gt;$A$15)),
        IF(Import.TipoArredondamento&lt;&gt;"TransfereGOV",
              ROUND(OFFSET($P195,0,BI$13),15-13*ORÇAMENTO!$AF$7)/$H195*OFFSET(ORÇAMENTO!$X$15,ROW(BI195)-ROW(BI$15),0),
              ROUND(ROUND(OFFSET($P195,0,BI$13),15-13*ORÇAMENTO!$AF$7)*OFFSET(ORÇAMENTO!$W$15,ROW(BI195)-ROW(BI$15),0),15-13*ORÇAMENTO!$AF$11)),
         0)</f>
        <v>0</v>
      </c>
      <c r="BJ195" s="453">
        <f ca="1">IF(AND($D195="Serviço",BJ$12&lt;&gt;0,$H195&gt;0,OR(AUTOEVENTO&lt;&gt;"manual",$M195&lt;&gt;$A$15)),
        IF(Import.TipoArredondamento&lt;&gt;"TransfereGOV",
              ROUND(OFFSET($P195,0,BJ$13),15-13*ORÇAMENTO!$AF$7)/$H195*OFFSET(ORÇAMENTO!$X$15,ROW(BJ195)-ROW(BJ$15),0),
              ROUND(ROUND(OFFSET($P195,0,BJ$13),15-13*ORÇAMENTO!$AF$7)*OFFSET(ORÇAMENTO!$W$15,ROW(BJ195)-ROW(BJ$15),0),15-13*ORÇAMENTO!$AF$11)),
         0)</f>
        <v>0</v>
      </c>
      <c r="BK195" s="453">
        <f ca="1">IF(AND($D195="Serviço",BK$12&lt;&gt;0,$H195&gt;0,OR(AUTOEVENTO&lt;&gt;"manual",$M195&lt;&gt;$A$15)),
        IF(Import.TipoArredondamento&lt;&gt;"TransfereGOV",
              ROUND(OFFSET($P195,0,BK$13),15-13*ORÇAMENTO!$AF$7)/$H195*OFFSET(ORÇAMENTO!$X$15,ROW(BK195)-ROW(BK$15),0),
              ROUND(ROUND(OFFSET($P195,0,BK$13),15-13*ORÇAMENTO!$AF$7)*OFFSET(ORÇAMENTO!$W$15,ROW(BK195)-ROW(BK$15),0),15-13*ORÇAMENTO!$AF$11)),
         0)</f>
        <v>0</v>
      </c>
      <c r="BL195" s="453">
        <f ca="1">IF(AND($D195="Serviço",BL$12&lt;&gt;0,$H195&gt;0,OR(AUTOEVENTO&lt;&gt;"manual",$M195&lt;&gt;$A$15)),
        IF(Import.TipoArredondamento&lt;&gt;"TransfereGOV",
              ROUND(OFFSET($P195,0,BL$13),15-13*ORÇAMENTO!$AF$7)/$H195*OFFSET(ORÇAMENTO!$X$15,ROW(BL195)-ROW(BL$15),0),
              ROUND(ROUND(OFFSET($P195,0,BL$13),15-13*ORÇAMENTO!$AF$7)*OFFSET(ORÇAMENTO!$W$15,ROW(BL195)-ROW(BL$15),0),15-13*ORÇAMENTO!$AF$11)),
         0)</f>
        <v>0</v>
      </c>
      <c r="BM195" s="453">
        <f ca="1">IF(AND($D195="Serviço",BM$12&lt;&gt;0,$H195&gt;0,OR(AUTOEVENTO&lt;&gt;"manual",$M195&lt;&gt;$A$15)),
        IF(Import.TipoArredondamento&lt;&gt;"TransfereGOV",
              ROUND(OFFSET($P195,0,BM$13),15-13*ORÇAMENTO!$AF$7)/$H195*OFFSET(ORÇAMENTO!$X$15,ROW(BM195)-ROW(BM$15),0),
              ROUND(ROUND(OFFSET($P195,0,BM$13),15-13*ORÇAMENTO!$AF$7)*OFFSET(ORÇAMENTO!$W$15,ROW(BM195)-ROW(BM$15),0),15-13*ORÇAMENTO!$AF$11)),
         0)</f>
        <v>0</v>
      </c>
      <c r="BN195" s="453">
        <f ca="1">IF(AND($D195="Serviço",BN$12&lt;&gt;0,$H195&gt;0,OR(AUTOEVENTO&lt;&gt;"manual",$M195&lt;&gt;$A$15)),
        IF(Import.TipoArredondamento&lt;&gt;"TransfereGOV",
              ROUND(OFFSET($P195,0,BN$13),15-13*ORÇAMENTO!$AF$7)/$H195*OFFSET(ORÇAMENTO!$X$15,ROW(BN195)-ROW(BN$15),0),
              ROUND(ROUND(OFFSET($P195,0,BN$13),15-13*ORÇAMENTO!$AF$7)*OFFSET(ORÇAMENTO!$W$15,ROW(BN195)-ROW(BN$15),0),15-13*ORÇAMENTO!$AF$11)),
         0)</f>
        <v>0</v>
      </c>
      <c r="BO195" s="453">
        <f ca="1">IF(AND($D195="Serviço",BO$12&lt;&gt;0,$H195&gt;0,OR(AUTOEVENTO&lt;&gt;"manual",$M195&lt;&gt;$A$15)),
        IF(Import.TipoArredondamento&lt;&gt;"TransfereGOV",
              ROUND(OFFSET($P195,0,BO$13),15-13*ORÇAMENTO!$AF$7)/$H195*OFFSET(ORÇAMENTO!$X$15,ROW(BO195)-ROW(BO$15),0),
              ROUND(ROUND(OFFSET($P195,0,BO$13),15-13*ORÇAMENTO!$AF$7)*OFFSET(ORÇAMENTO!$W$15,ROW(BO195)-ROW(BO$15),0),15-13*ORÇAMENTO!$AF$11)),
         0)</f>
        <v>0</v>
      </c>
      <c r="BP195" s="453">
        <f ca="1">IF(AND($D195="Serviço",BP$12&lt;&gt;0,$H195&gt;0,OR(AUTOEVENTO&lt;&gt;"manual",$M195&lt;&gt;$A$15)),
        IF(Import.TipoArredondamento&lt;&gt;"TransfereGOV",
              ROUND(OFFSET($P195,0,BP$13),15-13*ORÇAMENTO!$AF$7)/$H195*OFFSET(ORÇAMENTO!$X$15,ROW(BP195)-ROW(BP$15),0),
              ROUND(ROUND(OFFSET($P195,0,BP$13),15-13*ORÇAMENTO!$AF$7)*OFFSET(ORÇAMENTO!$W$15,ROW(BP195)-ROW(BP$15),0),15-13*ORÇAMENTO!$AF$11)),
         0)</f>
        <v>0</v>
      </c>
      <c r="BQ195" s="453">
        <f ca="1">IF(AND($D195="Serviço",BQ$12&lt;&gt;0,$H195&gt;0,OR(AUTOEVENTO&lt;&gt;"manual",$M195&lt;&gt;$A$15)),
        IF(Import.TipoArredondamento&lt;&gt;"TransfereGOV",
              ROUND(OFFSET($P195,0,BQ$13),15-13*ORÇAMENTO!$AF$7)/$H195*OFFSET(ORÇAMENTO!$X$15,ROW(BQ195)-ROW(BQ$15),0),
              ROUND(ROUND(OFFSET($P195,0,BQ$13),15-13*ORÇAMENTO!$AF$7)*OFFSET(ORÇAMENTO!$W$15,ROW(BQ195)-ROW(BQ$15),0),15-13*ORÇAMENTO!$AF$11)),
         0)</f>
        <v>0</v>
      </c>
      <c r="BS195" s="171">
        <f ca="1">IF(OR($D195&lt;&gt;"Serviço",AND(AUTOEVENTO="Manual",$M195=$A$15)),0,
         IF(OFFSET(CRONOPLE!$F$15,$M195-$A$15,BS$13)=0,10^12,OFFSET(CRONOPLE!$F$15,$M195-$A$15,BS$13)))</f>
        <v>1</v>
      </c>
      <c r="BT195" s="171">
        <f ca="1">IF(OR($D195&lt;&gt;"Serviço",AND(AUTOEVENTO="Manual",$M195=$A$15)),0,
         IF(OFFSET(CRONOPLE!$F$15,$M195-$A$15,BT$13)=0,10^12,OFFSET(CRONOPLE!$F$15,$M195-$A$15,BT$13)))</f>
        <v>2</v>
      </c>
      <c r="BU195" s="171">
        <f ca="1">IF(OR($D195&lt;&gt;"Serviço",AND(AUTOEVENTO="Manual",$M195=$A$15)),0,
         IF(OFFSET(CRONOPLE!$F$15,$M195-$A$15,BU$13)=0,10^12,OFFSET(CRONOPLE!$F$15,$M195-$A$15,BU$13)))</f>
        <v>3</v>
      </c>
      <c r="BV195" s="171">
        <f ca="1">IF(OR($D195&lt;&gt;"Serviço",AND(AUTOEVENTO="Manual",$M195=$A$15)),0,
         IF(OFFSET(CRONOPLE!$F$15,$M195-$A$15,BV$13)=0,10^12,OFFSET(CRONOPLE!$F$15,$M195-$A$15,BV$13)))</f>
        <v>4</v>
      </c>
      <c r="BW195" s="171">
        <f ca="1">IF(OR($D195&lt;&gt;"Serviço",AND(AUTOEVENTO="Manual",$M195=$A$15)),0,
         IF(OFFSET(CRONOPLE!$F$15,$M195-$A$15,BW$13)=0,10^12,OFFSET(CRONOPLE!$F$15,$M195-$A$15,BW$13)))</f>
        <v>5</v>
      </c>
      <c r="BX195" s="171">
        <f ca="1">IF(OR($D195&lt;&gt;"Serviço",AND(AUTOEVENTO="Manual",$M195=$A$15)),0,
         IF(OFFSET(CRONOPLE!$F$15,$M195-$A$15,BX$13)=0,10^12,OFFSET(CRONOPLE!$F$15,$M195-$A$15,BX$13)))</f>
        <v>6</v>
      </c>
      <c r="BY195" s="171">
        <f ca="1">IF(OR($D195&lt;&gt;"Serviço",AND(AUTOEVENTO="Manual",$M195=$A$15)),0,
         IF(OFFSET(CRONOPLE!$F$15,$M195-$A$15,BY$13)=0,10^12,OFFSET(CRONOPLE!$F$15,$M195-$A$15,BY$13)))</f>
        <v>7</v>
      </c>
      <c r="BZ195" s="171">
        <f ca="1">IF(OR($D195&lt;&gt;"Serviço",AND(AUTOEVENTO="Manual",$M195=$A$15)),0,
         IF(OFFSET(CRONOPLE!$F$15,$M195-$A$15,BZ$13)=0,10^12,OFFSET(CRONOPLE!$F$15,$M195-$A$15,BZ$13)))</f>
        <v>8</v>
      </c>
      <c r="CA195" s="171">
        <f ca="1">IF(OR($D195&lt;&gt;"Serviço",AND(AUTOEVENTO="Manual",$M195=$A$15)),0,
         IF(OFFSET(CRONOPLE!$F$15,$M195-$A$15,CA$13)=0,10^12,OFFSET(CRONOPLE!$F$15,$M195-$A$15,CA$13)))</f>
        <v>9</v>
      </c>
      <c r="CB195" s="171">
        <f ca="1">IF(OR($D195&lt;&gt;"Serviço",AND(AUTOEVENTO="Manual",$M195=$A$15)),0,
         IF(OFFSET(CRONOPLE!$F$15,$M195-$A$15,CB$13)=0,10^12,OFFSET(CRONOPLE!$F$15,$M195-$A$15,CB$13)))</f>
        <v>10</v>
      </c>
      <c r="CC195" s="171">
        <f ca="1">IF(OR($D195&lt;&gt;"Serviço",AND(AUTOEVENTO="Manual",$M195=$A$15)),0,
         IF(OFFSET(CRONOPLE!$F$15,$M195-$A$15,CC$13)=0,10^12,OFFSET(CRONOPLE!$F$15,$M195-$A$15,CC$13)))</f>
        <v>11</v>
      </c>
      <c r="CD195" s="171">
        <f ca="1">IF(OR($D195&lt;&gt;"Serviço",AND(AUTOEVENTO="Manual",$M195=$A$15)),0,
         IF(OFFSET(CRONOPLE!$F$15,$M195-$A$15,CD$13)=0,10^12,OFFSET(CRONOPLE!$F$15,$M195-$A$15,CD$13)))</f>
        <v>12</v>
      </c>
      <c r="CE195" s="171">
        <f ca="1">IF(OR($D195&lt;&gt;"Serviço",AND(AUTOEVENTO="Manual",$M195=$A$15)),0,
         IF(OFFSET(CRONOPLE!$F$15,$M195-$A$15,CE$13)=0,10^12,OFFSET(CRONOPLE!$F$15,$M195-$A$15,CE$13)))</f>
        <v>13</v>
      </c>
      <c r="CF195" s="171">
        <f ca="1">IF(OR($D195&lt;&gt;"Serviço",AND(AUTOEVENTO="Manual",$M195=$A$15)),0,
         IF(OFFSET(CRONOPLE!$F$15,$M195-$A$15,CF$13)=0,10^12,OFFSET(CRONOPLE!$F$15,$M195-$A$15,CF$13)))</f>
        <v>14</v>
      </c>
      <c r="CG195" s="171">
        <f ca="1">IF(OR($D195&lt;&gt;"Serviço",AND(AUTOEVENTO="Manual",$M195=$A$15)),0,
         IF(OFFSET(CRONOPLE!$F$15,$M195-$A$15,CG$13)=0,10^12,OFFSET(CRONOPLE!$F$15,$M195-$A$15,CG$13)))</f>
        <v>15</v>
      </c>
      <c r="CH195" s="171">
        <f ca="1">IF(OR($D195&lt;&gt;"Serviço",AND(AUTOEVENTO="Manual",$M195=$A$15)),0,
         IF(OFFSET(CRONOPLE!$F$15,$M195-$A$15,CH$13)=0,10^12,OFFSET(CRONOPLE!$F$15,$M195-$A$15,CH$13)))</f>
        <v>16</v>
      </c>
      <c r="CI195" s="171">
        <f ca="1">IF(OR($D195&lt;&gt;"Serviço",AND(AUTOEVENTO="Manual",$M195=$A$15)),0,
         IF(OFFSET(CRONOPLE!$F$15,$M195-$A$15,CI$13)=0,10^12,OFFSET(CRONOPLE!$F$15,$M195-$A$15,CI$13)))</f>
        <v>17</v>
      </c>
      <c r="CJ195" s="171">
        <f ca="1">IF(OR($D195&lt;&gt;"Serviço",AND(AUTOEVENTO="Manual",$M195=$A$15)),0,
         IF(OFFSET(CRONOPLE!$F$15,$M195-$A$15,CJ$13)=0,10^12,OFFSET(CRONOPLE!$F$15,$M195-$A$15,CJ$13)))</f>
        <v>18</v>
      </c>
      <c r="CK195" s="171">
        <f ca="1">IF(OR($D195&lt;&gt;"Serviço",AND(AUTOEVENTO="Manual",$M195=$A$15)),0,
         IF(OFFSET(CRONOPLE!$F$15,$M195-$A$15,CK$13)=0,10^12,OFFSET(CRONOPLE!$F$15,$M195-$A$15,CK$13)))</f>
        <v>19</v>
      </c>
      <c r="CL195" s="171">
        <f ca="1">IF(OR($D195&lt;&gt;"Serviço",AND(AUTOEVENTO="Manual",$M195=$A$15)),0,
         IF(OFFSET(CRONOPLE!$F$15,$M195-$A$15,CL$13)=0,10^12,OFFSET(CRONOPLE!$F$15,$M195-$A$15,CL$13)))</f>
        <v>20</v>
      </c>
      <c r="CM195" s="171">
        <f ca="1">IF(OR($D195&lt;&gt;"Serviço",AND(AUTOEVENTO="Manual",$M195=$A$15)),0,
         IF(OFFSET(CRONOPLE!$F$15,$M195-$A$15,CM$13)=0,10^12,OFFSET(CRONOPLE!$F$15,$M195-$A$15,CM$13)))</f>
        <v>1000000000000</v>
      </c>
      <c r="CN195" s="171">
        <f ca="1">IF(OR($D195&lt;&gt;"Serviço",AND(AUTOEVENTO="Manual",$M195=$A$15)),0,
         IF(OFFSET(CRONOPLE!$F$15,$M195-$A$15,CN$13)=0,10^12,OFFSET(CRONOPLE!$F$15,$M195-$A$15,CN$13)))</f>
        <v>1000000000000</v>
      </c>
      <c r="CO195" s="171">
        <f ca="1">IF(OR($D195&lt;&gt;"Serviço",AND(AUTOEVENTO="Manual",$M195=$A$15)),0,
         IF(OFFSET(CRONOPLE!$F$15,$M195-$A$15,CO$13)=0,10^12,OFFSET(CRONOPLE!$F$15,$M195-$A$15,CO$13)))</f>
        <v>1000000000000</v>
      </c>
      <c r="CP195" s="171">
        <f ca="1">IF(OR($D195&lt;&gt;"Serviço",AND(AUTOEVENTO="Manual",$M195=$A$15)),0,
         IF(OFFSET(CRONOPLE!$F$15,$M195-$A$15,CP$13)=0,10^12,OFFSET(CRONOPLE!$F$15,$M195-$A$15,CP$13)))</f>
        <v>1000000000000</v>
      </c>
      <c r="CQ195" s="171">
        <f ca="1">IF(OR($D195&lt;&gt;"Serviço",AND(AUTOEVENTO="Manual",$M195=$A$15)),0,
         IF(OFFSET(CRONOPLE!$F$15,$M195-$A$15,CQ$13)=0,10^12,OFFSET(CRONOPLE!$F$15,$M195-$A$15,CQ$13)))</f>
        <v>1000000000000</v>
      </c>
      <c r="CR195" s="171">
        <f ca="1">IF(OR($D195&lt;&gt;"Serviço",AND(AUTOEVENTO="Manual",$M195=$A$15)),0,
         IF(OFFSET(CRONOPLE!$F$15,$M195-$A$15,CR$13)=0,10^12,OFFSET(CRONOPLE!$F$15,$M195-$A$15,CR$13)))</f>
        <v>1000000000000</v>
      </c>
      <c r="CT195" s="172" cm="1">
        <f t="array" aca="1" ref="CT195" ca="1">IF(OR($D195&lt;&gt;"Serviço",AND(AUTOEVENTO="Manual",$M195=$A$15),$M195&gt;(ROW(PLE.lastrow)-ROW(PLE.firstrow))),0,
           IF(OFFSET(PLE!$G$15,$M195-$A$15,CT$13)="",10^12,OFFSET(PLE!$G$15,$M195-$A$15,CT$13)))</f>
        <v>1000000000000</v>
      </c>
      <c r="CU195" s="172" cm="1">
        <f t="array" aca="1" ref="CU195" ca="1">IF(OR($D195&lt;&gt;"Serviço",AND(AUTOEVENTO="Manual",$M195=$A$15),$M195&gt;(ROW(PLE.lastrow)-ROW(PLE.firstrow))),0,
           IF(OFFSET(PLE!$G$15,$M195-$A$15,CU$13)="",10^12,OFFSET(PLE!$G$15,$M195-$A$15,CU$13)))</f>
        <v>1000000000000</v>
      </c>
      <c r="CV195" s="172" cm="1">
        <f t="array" aca="1" ref="CV195" ca="1">IF(OR($D195&lt;&gt;"Serviço",AND(AUTOEVENTO="Manual",$M195=$A$15),$M195&gt;(ROW(PLE.lastrow)-ROW(PLE.firstrow))),0,
           IF(OFFSET(PLE!$G$15,$M195-$A$15,CV$13)="",10^12,OFFSET(PLE!$G$15,$M195-$A$15,CV$13)))</f>
        <v>1000000000000</v>
      </c>
      <c r="CW195" s="172" cm="1">
        <f t="array" aca="1" ref="CW195" ca="1">IF(OR($D195&lt;&gt;"Serviço",AND(AUTOEVENTO="Manual",$M195=$A$15),$M195&gt;(ROW(PLE.lastrow)-ROW(PLE.firstrow))),0,
           IF(OFFSET(PLE!$G$15,$M195-$A$15,CW$13)="",10^12,OFFSET(PLE!$G$15,$M195-$A$15,CW$13)))</f>
        <v>1000000000000</v>
      </c>
      <c r="CX195" s="172" cm="1">
        <f t="array" aca="1" ref="CX195" ca="1">IF(OR($D195&lt;&gt;"Serviço",AND(AUTOEVENTO="Manual",$M195=$A$15),$M195&gt;(ROW(PLE.lastrow)-ROW(PLE.firstrow))),0,
           IF(OFFSET(PLE!$G$15,$M195-$A$15,CX$13)="",10^12,OFFSET(PLE!$G$15,$M195-$A$15,CX$13)))</f>
        <v>1000000000000</v>
      </c>
      <c r="CY195" s="172" cm="1">
        <f t="array" aca="1" ref="CY195" ca="1">IF(OR($D195&lt;&gt;"Serviço",AND(AUTOEVENTO="Manual",$M195=$A$15),$M195&gt;(ROW(PLE.lastrow)-ROW(PLE.firstrow))),0,
           IF(OFFSET(PLE!$G$15,$M195-$A$15,CY$13)="",10^12,OFFSET(PLE!$G$15,$M195-$A$15,CY$13)))</f>
        <v>1000000000000</v>
      </c>
      <c r="CZ195" s="172" cm="1">
        <f t="array" aca="1" ref="CZ195" ca="1">IF(OR($D195&lt;&gt;"Serviço",AND(AUTOEVENTO="Manual",$M195=$A$15),$M195&gt;(ROW(PLE.lastrow)-ROW(PLE.firstrow))),0,
           IF(OFFSET(PLE!$G$15,$M195-$A$15,CZ$13)="",10^12,OFFSET(PLE!$G$15,$M195-$A$15,CZ$13)))</f>
        <v>1000000000000</v>
      </c>
      <c r="DA195" s="172" cm="1">
        <f t="array" aca="1" ref="DA195" ca="1">IF(OR($D195&lt;&gt;"Serviço",AND(AUTOEVENTO="Manual",$M195=$A$15),$M195&gt;(ROW(PLE.lastrow)-ROW(PLE.firstrow))),0,
           IF(OFFSET(PLE!$G$15,$M195-$A$15,DA$13)="",10^12,OFFSET(PLE!$G$15,$M195-$A$15,DA$13)))</f>
        <v>1000000000000</v>
      </c>
      <c r="DB195" s="172" cm="1">
        <f t="array" aca="1" ref="DB195" ca="1">IF(OR($D195&lt;&gt;"Serviço",AND(AUTOEVENTO="Manual",$M195=$A$15),$M195&gt;(ROW(PLE.lastrow)-ROW(PLE.firstrow))),0,
           IF(OFFSET(PLE!$G$15,$M195-$A$15,DB$13)="",10^12,OFFSET(PLE!$G$15,$M195-$A$15,DB$13)))</f>
        <v>1000000000000</v>
      </c>
      <c r="DC195" s="172" cm="1">
        <f t="array" aca="1" ref="DC195" ca="1">IF(OR($D195&lt;&gt;"Serviço",AND(AUTOEVENTO="Manual",$M195=$A$15),$M195&gt;(ROW(PLE.lastrow)-ROW(PLE.firstrow))),0,
           IF(OFFSET(PLE!$G$15,$M195-$A$15,DC$13)="",10^12,OFFSET(PLE!$G$15,$M195-$A$15,DC$13)))</f>
        <v>1000000000000</v>
      </c>
      <c r="DD195" s="172" cm="1">
        <f t="array" aca="1" ref="DD195" ca="1">IF(OR($D195&lt;&gt;"Serviço",AND(AUTOEVENTO="Manual",$M195=$A$15),$M195&gt;(ROW(PLE.lastrow)-ROW(PLE.firstrow))),0,
           IF(OFFSET(PLE!$G$15,$M195-$A$15,DD$13)="",10^12,OFFSET(PLE!$G$15,$M195-$A$15,DD$13)))</f>
        <v>1000000000000</v>
      </c>
      <c r="DE195" s="172" cm="1">
        <f t="array" aca="1" ref="DE195" ca="1">IF(OR($D195&lt;&gt;"Serviço",AND(AUTOEVENTO="Manual",$M195=$A$15),$M195&gt;(ROW(PLE.lastrow)-ROW(PLE.firstrow))),0,
           IF(OFFSET(PLE!$G$15,$M195-$A$15,DE$13)="",10^12,OFFSET(PLE!$G$15,$M195-$A$15,DE$13)))</f>
        <v>1000000000000</v>
      </c>
      <c r="DF195" s="172" cm="1">
        <f t="array" aca="1" ref="DF195" ca="1">IF(OR($D195&lt;&gt;"Serviço",AND(AUTOEVENTO="Manual",$M195=$A$15),$M195&gt;(ROW(PLE.lastrow)-ROW(PLE.firstrow))),0,
           IF(OFFSET(PLE!$G$15,$M195-$A$15,DF$13)="",10^12,OFFSET(PLE!$G$15,$M195-$A$15,DF$13)))</f>
        <v>1000000000000</v>
      </c>
      <c r="DG195" s="172" cm="1">
        <f t="array" aca="1" ref="DG195" ca="1">IF(OR($D195&lt;&gt;"Serviço",AND(AUTOEVENTO="Manual",$M195=$A$15),$M195&gt;(ROW(PLE.lastrow)-ROW(PLE.firstrow))),0,
           IF(OFFSET(PLE!$G$15,$M195-$A$15,DG$13)="",10^12,OFFSET(PLE!$G$15,$M195-$A$15,DG$13)))</f>
        <v>1000000000000</v>
      </c>
      <c r="DH195" s="172" cm="1">
        <f t="array" aca="1" ref="DH195" ca="1">IF(OR($D195&lt;&gt;"Serviço",AND(AUTOEVENTO="Manual",$M195=$A$15),$M195&gt;(ROW(PLE.lastrow)-ROW(PLE.firstrow))),0,
           IF(OFFSET(PLE!$G$15,$M195-$A$15,DH$13)="",10^12,OFFSET(PLE!$G$15,$M195-$A$15,DH$13)))</f>
        <v>1000000000000</v>
      </c>
      <c r="DI195" s="172" cm="1">
        <f t="array" aca="1" ref="DI195" ca="1">IF(OR($D195&lt;&gt;"Serviço",AND(AUTOEVENTO="Manual",$M195=$A$15),$M195&gt;(ROW(PLE.lastrow)-ROW(PLE.firstrow))),0,
           IF(OFFSET(PLE!$G$15,$M195-$A$15,DI$13)="",10^12,OFFSET(PLE!$G$15,$M195-$A$15,DI$13)))</f>
        <v>1000000000000</v>
      </c>
      <c r="DJ195" s="172" cm="1">
        <f t="array" aca="1" ref="DJ195" ca="1">IF(OR($D195&lt;&gt;"Serviço",AND(AUTOEVENTO="Manual",$M195=$A$15),$M195&gt;(ROW(PLE.lastrow)-ROW(PLE.firstrow))),0,
           IF(OFFSET(PLE!$G$15,$M195-$A$15,DJ$13)="",10^12,OFFSET(PLE!$G$15,$M195-$A$15,DJ$13)))</f>
        <v>1000000000000</v>
      </c>
      <c r="DK195" s="172" cm="1">
        <f t="array" aca="1" ref="DK195" ca="1">IF(OR($D195&lt;&gt;"Serviço",AND(AUTOEVENTO="Manual",$M195=$A$15),$M195&gt;(ROW(PLE.lastrow)-ROW(PLE.firstrow))),0,
           IF(OFFSET(PLE!$G$15,$M195-$A$15,DK$13)="",10^12,OFFSET(PLE!$G$15,$M195-$A$15,DK$13)))</f>
        <v>1000000000000</v>
      </c>
      <c r="DL195" s="172" cm="1">
        <f t="array" aca="1" ref="DL195" ca="1">IF(OR($D195&lt;&gt;"Serviço",AND(AUTOEVENTO="Manual",$M195=$A$15),$M195&gt;(ROW(PLE.lastrow)-ROW(PLE.firstrow))),0,
           IF(OFFSET(PLE!$G$15,$M195-$A$15,DL$13)="",10^12,OFFSET(PLE!$G$15,$M195-$A$15,DL$13)))</f>
        <v>1000000000000</v>
      </c>
      <c r="DM195" s="172" cm="1">
        <f t="array" aca="1" ref="DM195" ca="1">IF(OR($D195&lt;&gt;"Serviço",AND(AUTOEVENTO="Manual",$M195=$A$15),$M195&gt;(ROW(PLE.lastrow)-ROW(PLE.firstrow))),0,
           IF(OFFSET(PLE!$G$15,$M195-$A$15,DM$13)="",10^12,OFFSET(PLE!$G$15,$M195-$A$15,DM$13)))</f>
        <v>1000000000000</v>
      </c>
      <c r="DN195" s="172" cm="1">
        <f t="array" aca="1" ref="DN195" ca="1">IF(OR($D195&lt;&gt;"Serviço",AND(AUTOEVENTO="Manual",$M195=$A$15),$M195&gt;(ROW(PLE.lastrow)-ROW(PLE.firstrow))),0,
           IF(OFFSET(PLE!$G$15,$M195-$A$15,DN$13)="",10^12,OFFSET(PLE!$G$15,$M195-$A$15,DN$13)))</f>
        <v>1000000000000</v>
      </c>
      <c r="DO195" s="172" cm="1">
        <f t="array" aca="1" ref="DO195" ca="1">IF(OR($D195&lt;&gt;"Serviço",AND(AUTOEVENTO="Manual",$M195=$A$15),$M195&gt;(ROW(PLE.lastrow)-ROW(PLE.firstrow))),0,
           IF(OFFSET(PLE!$G$15,$M195-$A$15,DO$13)="",10^12,OFFSET(PLE!$G$15,$M195-$A$15,DO$13)))</f>
        <v>1000000000000</v>
      </c>
      <c r="DP195" s="172" cm="1">
        <f t="array" aca="1" ref="DP195" ca="1">IF(OR($D195&lt;&gt;"Serviço",AND(AUTOEVENTO="Manual",$M195=$A$15),$M195&gt;(ROW(PLE.lastrow)-ROW(PLE.firstrow))),0,
           IF(OFFSET(PLE!$G$15,$M195-$A$15,DP$13)="",10^12,OFFSET(PLE!$G$15,$M195-$A$15,DP$13)))</f>
        <v>1000000000000</v>
      </c>
      <c r="DQ195" s="172" cm="1">
        <f t="array" aca="1" ref="DQ195" ca="1">IF(OR($D195&lt;&gt;"Serviço",AND(AUTOEVENTO="Manual",$M195=$A$15),$M195&gt;(ROW(PLE.lastrow)-ROW(PLE.firstrow))),0,
           IF(OFFSET(PLE!$G$15,$M195-$A$15,DQ$13)="",10^12,OFFSET(PLE!$G$15,$M195-$A$15,DQ$13)))</f>
        <v>1000000000000</v>
      </c>
      <c r="DR195" s="172" cm="1">
        <f t="array" aca="1" ref="DR195" ca="1">IF(OR($D195&lt;&gt;"Serviço",AND(AUTOEVENTO="Manual",$M195=$A$15),$M195&gt;(ROW(PLE.lastrow)-ROW(PLE.firstrow))),0,
           IF(OFFSET(PLE!$G$15,$M195-$A$15,DR$13)="",10^12,OFFSET(PLE!$G$15,$M195-$A$15,DR$13)))</f>
        <v>1000000000000</v>
      </c>
      <c r="DS195" s="172" cm="1">
        <f t="array" aca="1" ref="DS195" ca="1">IF(OR($D195&lt;&gt;"Serviço",AND(AUTOEVENTO="Manual",$M195=$A$15),$M195&gt;(ROW(PLE.lastrow)-ROW(PLE.firstrow))),0,
           IF(OFFSET(PLE!$G$15,$M195-$A$15,DS$13)="",10^12,OFFSET(PLE!$G$15,$M195-$A$15,DS$13)))</f>
        <v>1000000000000</v>
      </c>
    </row>
    <row r="196" spans="1:123" ht="38.25" x14ac:dyDescent="0.2">
      <c r="A196" s="7">
        <f t="shared" ca="1" si="18"/>
        <v>9</v>
      </c>
      <c r="B196" s="7" t="str">
        <f ca="1">OFFSET(ORÇAMENTO!C$15,$L196,0)</f>
        <v>S</v>
      </c>
      <c r="C196" s="7" t="str">
        <f ca="1">OFFSET(ORÇAMENTO!L$15,$L196,0)</f>
        <v/>
      </c>
      <c r="D196" s="116" t="str">
        <f ca="1">OFFSET(ORÇAMENTO!N$15,$L196,0)</f>
        <v>Serviço</v>
      </c>
      <c r="E196" s="117" t="str">
        <f ca="1">OFFSET(ORÇAMENTO!O$15,$L196,0)</f>
        <v>-</v>
      </c>
      <c r="F196" s="163" t="str">
        <f ca="1">OFFSET(ORÇAMENTO!R$15,$L196,0)</f>
        <v>(Código não identificado nas referências)</v>
      </c>
      <c r="G196" s="164" t="str">
        <f ca="1">IF($D196&lt;&gt;"Serviço","",OFFSET(ORÇAMENTO!S$15,$L196,0))</f>
        <v>-</v>
      </c>
      <c r="H196" s="122" cm="1">
        <f t="array" aca="1" ref="H196" ca="1">IF($D196&lt;&gt;"Serviço",0,IF(ACOMPANHAMENTO="BM",ROUND(OFFSET(ORÇAMENTO!AJ$15,$L196,0),15-13*ORÇAMENTO!$AF$7),IF(IFERROR(CÁLCULO.FrentesPreenchidas,0)=0,0,SUM(ROUND(OFFSET($P196,0,1,1,CÁLCULO.FrentesPreenchidas),15-13*ORÇAMENTO!$AF$7)))))</f>
        <v>80</v>
      </c>
      <c r="I196" s="468" t="s">
        <v>1235</v>
      </c>
      <c r="J196" s="651" t="str" cm="1">
        <f t="array" aca="1" ref="J196" ca="1">IF(OR(B196&lt;&gt;"S",CÁLCULO.FrentesPreenchidas=0),"",IF(AND(ACOMPANHAMENTO="PLE",AUTOEVENTO="Manual",OR(H196&gt;0,ORÇAMENTO!AC196="QUANT."),OR(K196="",M196=0,N196="")),"►E",IF(AND(ACOMPANHAMENTO="PLE",ORÇAMENTO!AC196="QUANT."),"►Q",IF(AND(ACOMPANHAMENTO="PLE",H196&lt;&gt;SUMPRODUCT(($Q$1:$AQ$1=1)*ROUND(Q196:AQ196,15))),"►S",IF(AND(COUNTIF($P$11:$AQ$11,"▼")=0,H196&gt;0,I196=""),"◄M","")))))</f>
        <v/>
      </c>
      <c r="K196" s="652" t="s">
        <v>1257</v>
      </c>
      <c r="L196" s="165">
        <f t="shared" ca="1" si="17"/>
        <v>181</v>
      </c>
      <c r="M196" s="166">
        <f ca="1">IF($D196&lt;&gt;"Serviço","",
          IF(AUTOEVENTO="manual",$A196,
                IF(ISERROR(MATCH($A196,$A$15:OFFSET($A196,-1,0),0)),MAX($M$15:OFFSET(M196,-1,0))+1,
                      INDEX($M$15:OFFSET(M196,-1,0),MATCH($A196,$A$15:OFFSET($A196,-1,0),0)))))</f>
        <v>9</v>
      </c>
      <c r="N196" s="167" t="str">
        <f ca="1">IF($D196&lt;&gt;"Serviço","",
         IF(AUTOEVENTO="Manual",
                IF($A196=0,"&lt;-- defina o número do agrupador",
                       OFFSET(EVENTOS!$D$15,$A196-$A$15,0)),
                OFFSET($F$15,$A196,0)))</f>
        <v>INSTALAÇÕES</v>
      </c>
      <c r="O196" s="168"/>
      <c r="Q196" s="168">
        <v>4</v>
      </c>
      <c r="R196" s="169">
        <v>4</v>
      </c>
      <c r="S196" s="169">
        <v>4</v>
      </c>
      <c r="T196" s="169">
        <v>4</v>
      </c>
      <c r="U196" s="169">
        <v>4</v>
      </c>
      <c r="V196" s="169">
        <v>4</v>
      </c>
      <c r="W196" s="169">
        <v>4</v>
      </c>
      <c r="X196" s="169">
        <v>4</v>
      </c>
      <c r="Y196" s="169">
        <v>4</v>
      </c>
      <c r="Z196" s="170">
        <v>4</v>
      </c>
      <c r="AA196" s="169">
        <v>4</v>
      </c>
      <c r="AB196" s="169">
        <v>4</v>
      </c>
      <c r="AC196" s="169">
        <v>4</v>
      </c>
      <c r="AD196" s="169">
        <v>4</v>
      </c>
      <c r="AE196" s="169">
        <v>4</v>
      </c>
      <c r="AF196" s="169">
        <v>4</v>
      </c>
      <c r="AG196" s="169">
        <v>4</v>
      </c>
      <c r="AH196" s="170">
        <v>4</v>
      </c>
      <c r="AI196" s="169">
        <v>4</v>
      </c>
      <c r="AJ196" s="169">
        <v>4</v>
      </c>
      <c r="AK196" s="169"/>
      <c r="AL196" s="169"/>
      <c r="AM196" s="169"/>
      <c r="AN196" s="169"/>
      <c r="AO196" s="169"/>
      <c r="AP196" s="170"/>
      <c r="AR196" s="453">
        <f ca="1">IF(AND($D196="Serviço",AR$12&lt;&gt;0,$H196&gt;0,OR(AUTOEVENTO&lt;&gt;"manual",$M196&lt;&gt;$A$15)),
        IF(Import.TipoArredondamento&lt;&gt;"TransfereGOV",
              ROUND(OFFSET($P196,0,AR$13),15-13*ORÇAMENTO!$AF$7)/$H196*OFFSET(ORÇAMENTO!$X$15,ROW(AR196)-ROW(AR$15),0),
              ROUND(ROUND(OFFSET($P196,0,AR$13),15-13*ORÇAMENTO!$AF$7)*OFFSET(ORÇAMENTO!$W$15,ROW(AR196)-ROW(AR$15),0),15-13*ORÇAMENTO!$AF$11)),
         0)</f>
        <v>0</v>
      </c>
      <c r="AS196" s="453">
        <f ca="1">IF(AND($D196="Serviço",AS$12&lt;&gt;0,$H196&gt;0,OR(AUTOEVENTO&lt;&gt;"manual",$M196&lt;&gt;$A$15)),
        IF(Import.TipoArredondamento&lt;&gt;"TransfereGOV",
              ROUND(OFFSET($P196,0,AS$13),15-13*ORÇAMENTO!$AF$7)/$H196*OFFSET(ORÇAMENTO!$X$15,ROW(AS196)-ROW(AS$15),0),
              ROUND(ROUND(OFFSET($P196,0,AS$13),15-13*ORÇAMENTO!$AF$7)*OFFSET(ORÇAMENTO!$W$15,ROW(AS196)-ROW(AS$15),0),15-13*ORÇAMENTO!$AF$11)),
         0)</f>
        <v>0</v>
      </c>
      <c r="AT196" s="453">
        <f ca="1">IF(AND($D196="Serviço",AT$12&lt;&gt;0,$H196&gt;0,OR(AUTOEVENTO&lt;&gt;"manual",$M196&lt;&gt;$A$15)),
        IF(Import.TipoArredondamento&lt;&gt;"TransfereGOV",
              ROUND(OFFSET($P196,0,AT$13),15-13*ORÇAMENTO!$AF$7)/$H196*OFFSET(ORÇAMENTO!$X$15,ROW(AT196)-ROW(AT$15),0),
              ROUND(ROUND(OFFSET($P196,0,AT$13),15-13*ORÇAMENTO!$AF$7)*OFFSET(ORÇAMENTO!$W$15,ROW(AT196)-ROW(AT$15),0),15-13*ORÇAMENTO!$AF$11)),
         0)</f>
        <v>0</v>
      </c>
      <c r="AU196" s="453">
        <f ca="1">IF(AND($D196="Serviço",AU$12&lt;&gt;0,$H196&gt;0,OR(AUTOEVENTO&lt;&gt;"manual",$M196&lt;&gt;$A$15)),
        IF(Import.TipoArredondamento&lt;&gt;"TransfereGOV",
              ROUND(OFFSET($P196,0,AU$13),15-13*ORÇAMENTO!$AF$7)/$H196*OFFSET(ORÇAMENTO!$X$15,ROW(AU196)-ROW(AU$15),0),
              ROUND(ROUND(OFFSET($P196,0,AU$13),15-13*ORÇAMENTO!$AF$7)*OFFSET(ORÇAMENTO!$W$15,ROW(AU196)-ROW(AU$15),0),15-13*ORÇAMENTO!$AF$11)),
         0)</f>
        <v>0</v>
      </c>
      <c r="AV196" s="453">
        <f ca="1">IF(AND($D196="Serviço",AV$12&lt;&gt;0,$H196&gt;0,OR(AUTOEVENTO&lt;&gt;"manual",$M196&lt;&gt;$A$15)),
        IF(Import.TipoArredondamento&lt;&gt;"TransfereGOV",
              ROUND(OFFSET($P196,0,AV$13),15-13*ORÇAMENTO!$AF$7)/$H196*OFFSET(ORÇAMENTO!$X$15,ROW(AV196)-ROW(AV$15),0),
              ROUND(ROUND(OFFSET($P196,0,AV$13),15-13*ORÇAMENTO!$AF$7)*OFFSET(ORÇAMENTO!$W$15,ROW(AV196)-ROW(AV$15),0),15-13*ORÇAMENTO!$AF$11)),
         0)</f>
        <v>0</v>
      </c>
      <c r="AW196" s="453">
        <f ca="1">IF(AND($D196="Serviço",AW$12&lt;&gt;0,$H196&gt;0,OR(AUTOEVENTO&lt;&gt;"manual",$M196&lt;&gt;$A$15)),
        IF(Import.TipoArredondamento&lt;&gt;"TransfereGOV",
              ROUND(OFFSET($P196,0,AW$13),15-13*ORÇAMENTO!$AF$7)/$H196*OFFSET(ORÇAMENTO!$X$15,ROW(AW196)-ROW(AW$15),0),
              ROUND(ROUND(OFFSET($P196,0,AW$13),15-13*ORÇAMENTO!$AF$7)*OFFSET(ORÇAMENTO!$W$15,ROW(AW196)-ROW(AW$15),0),15-13*ORÇAMENTO!$AF$11)),
         0)</f>
        <v>0</v>
      </c>
      <c r="AX196" s="453">
        <f ca="1">IF(AND($D196="Serviço",AX$12&lt;&gt;0,$H196&gt;0,OR(AUTOEVENTO&lt;&gt;"manual",$M196&lt;&gt;$A$15)),
        IF(Import.TipoArredondamento&lt;&gt;"TransfereGOV",
              ROUND(OFFSET($P196,0,AX$13),15-13*ORÇAMENTO!$AF$7)/$H196*OFFSET(ORÇAMENTO!$X$15,ROW(AX196)-ROW(AX$15),0),
              ROUND(ROUND(OFFSET($P196,0,AX$13),15-13*ORÇAMENTO!$AF$7)*OFFSET(ORÇAMENTO!$W$15,ROW(AX196)-ROW(AX$15),0),15-13*ORÇAMENTO!$AF$11)),
         0)</f>
        <v>0</v>
      </c>
      <c r="AY196" s="453">
        <f ca="1">IF(AND($D196="Serviço",AY$12&lt;&gt;0,$H196&gt;0,OR(AUTOEVENTO&lt;&gt;"manual",$M196&lt;&gt;$A$15)),
        IF(Import.TipoArredondamento&lt;&gt;"TransfereGOV",
              ROUND(OFFSET($P196,0,AY$13),15-13*ORÇAMENTO!$AF$7)/$H196*OFFSET(ORÇAMENTO!$X$15,ROW(AY196)-ROW(AY$15),0),
              ROUND(ROUND(OFFSET($P196,0,AY$13),15-13*ORÇAMENTO!$AF$7)*OFFSET(ORÇAMENTO!$W$15,ROW(AY196)-ROW(AY$15),0),15-13*ORÇAMENTO!$AF$11)),
         0)</f>
        <v>0</v>
      </c>
      <c r="AZ196" s="453">
        <f ca="1">IF(AND($D196="Serviço",AZ$12&lt;&gt;0,$H196&gt;0,OR(AUTOEVENTO&lt;&gt;"manual",$M196&lt;&gt;$A$15)),
        IF(Import.TipoArredondamento&lt;&gt;"TransfereGOV",
              ROUND(OFFSET($P196,0,AZ$13),15-13*ORÇAMENTO!$AF$7)/$H196*OFFSET(ORÇAMENTO!$X$15,ROW(AZ196)-ROW(AZ$15),0),
              ROUND(ROUND(OFFSET($P196,0,AZ$13),15-13*ORÇAMENTO!$AF$7)*OFFSET(ORÇAMENTO!$W$15,ROW(AZ196)-ROW(AZ$15),0),15-13*ORÇAMENTO!$AF$11)),
         0)</f>
        <v>0</v>
      </c>
      <c r="BA196" s="453">
        <f ca="1">IF(AND($D196="Serviço",BA$12&lt;&gt;0,$H196&gt;0,OR(AUTOEVENTO&lt;&gt;"manual",$M196&lt;&gt;$A$15)),
        IF(Import.TipoArredondamento&lt;&gt;"TransfereGOV",
              ROUND(OFFSET($P196,0,BA$13),15-13*ORÇAMENTO!$AF$7)/$H196*OFFSET(ORÇAMENTO!$X$15,ROW(BA196)-ROW(BA$15),0),
              ROUND(ROUND(OFFSET($P196,0,BA$13),15-13*ORÇAMENTO!$AF$7)*OFFSET(ORÇAMENTO!$W$15,ROW(BA196)-ROW(BA$15),0),15-13*ORÇAMENTO!$AF$11)),
         0)</f>
        <v>0</v>
      </c>
      <c r="BB196" s="453">
        <f ca="1">IF(AND($D196="Serviço",BB$12&lt;&gt;0,$H196&gt;0,OR(AUTOEVENTO&lt;&gt;"manual",$M196&lt;&gt;$A$15)),
        IF(Import.TipoArredondamento&lt;&gt;"TransfereGOV",
              ROUND(OFFSET($P196,0,BB$13),15-13*ORÇAMENTO!$AF$7)/$H196*OFFSET(ORÇAMENTO!$X$15,ROW(BB196)-ROW(BB$15),0),
              ROUND(ROUND(OFFSET($P196,0,BB$13),15-13*ORÇAMENTO!$AF$7)*OFFSET(ORÇAMENTO!$W$15,ROW(BB196)-ROW(BB$15),0),15-13*ORÇAMENTO!$AF$11)),
         0)</f>
        <v>0</v>
      </c>
      <c r="BC196" s="453">
        <f ca="1">IF(AND($D196="Serviço",BC$12&lt;&gt;0,$H196&gt;0,OR(AUTOEVENTO&lt;&gt;"manual",$M196&lt;&gt;$A$15)),
        IF(Import.TipoArredondamento&lt;&gt;"TransfereGOV",
              ROUND(OFFSET($P196,0,BC$13),15-13*ORÇAMENTO!$AF$7)/$H196*OFFSET(ORÇAMENTO!$X$15,ROW(BC196)-ROW(BC$15),0),
              ROUND(ROUND(OFFSET($P196,0,BC$13),15-13*ORÇAMENTO!$AF$7)*OFFSET(ORÇAMENTO!$W$15,ROW(BC196)-ROW(BC$15),0),15-13*ORÇAMENTO!$AF$11)),
         0)</f>
        <v>0</v>
      </c>
      <c r="BD196" s="453">
        <f ca="1">IF(AND($D196="Serviço",BD$12&lt;&gt;0,$H196&gt;0,OR(AUTOEVENTO&lt;&gt;"manual",$M196&lt;&gt;$A$15)),
        IF(Import.TipoArredondamento&lt;&gt;"TransfereGOV",
              ROUND(OFFSET($P196,0,BD$13),15-13*ORÇAMENTO!$AF$7)/$H196*OFFSET(ORÇAMENTO!$X$15,ROW(BD196)-ROW(BD$15),0),
              ROUND(ROUND(OFFSET($P196,0,BD$13),15-13*ORÇAMENTO!$AF$7)*OFFSET(ORÇAMENTO!$W$15,ROW(BD196)-ROW(BD$15),0),15-13*ORÇAMENTO!$AF$11)),
         0)</f>
        <v>0</v>
      </c>
      <c r="BE196" s="453">
        <f ca="1">IF(AND($D196="Serviço",BE$12&lt;&gt;0,$H196&gt;0,OR(AUTOEVENTO&lt;&gt;"manual",$M196&lt;&gt;$A$15)),
        IF(Import.TipoArredondamento&lt;&gt;"TransfereGOV",
              ROUND(OFFSET($P196,0,BE$13),15-13*ORÇAMENTO!$AF$7)/$H196*OFFSET(ORÇAMENTO!$X$15,ROW(BE196)-ROW(BE$15),0),
              ROUND(ROUND(OFFSET($P196,0,BE$13),15-13*ORÇAMENTO!$AF$7)*OFFSET(ORÇAMENTO!$W$15,ROW(BE196)-ROW(BE$15),0),15-13*ORÇAMENTO!$AF$11)),
         0)</f>
        <v>0</v>
      </c>
      <c r="BF196" s="453">
        <f ca="1">IF(AND($D196="Serviço",BF$12&lt;&gt;0,$H196&gt;0,OR(AUTOEVENTO&lt;&gt;"manual",$M196&lt;&gt;$A$15)),
        IF(Import.TipoArredondamento&lt;&gt;"TransfereGOV",
              ROUND(OFFSET($P196,0,BF$13),15-13*ORÇAMENTO!$AF$7)/$H196*OFFSET(ORÇAMENTO!$X$15,ROW(BF196)-ROW(BF$15),0),
              ROUND(ROUND(OFFSET($P196,0,BF$13),15-13*ORÇAMENTO!$AF$7)*OFFSET(ORÇAMENTO!$W$15,ROW(BF196)-ROW(BF$15),0),15-13*ORÇAMENTO!$AF$11)),
         0)</f>
        <v>0</v>
      </c>
      <c r="BG196" s="453">
        <f ca="1">IF(AND($D196="Serviço",BG$12&lt;&gt;0,$H196&gt;0,OR(AUTOEVENTO&lt;&gt;"manual",$M196&lt;&gt;$A$15)),
        IF(Import.TipoArredondamento&lt;&gt;"TransfereGOV",
              ROUND(OFFSET($P196,0,BG$13),15-13*ORÇAMENTO!$AF$7)/$H196*OFFSET(ORÇAMENTO!$X$15,ROW(BG196)-ROW(BG$15),0),
              ROUND(ROUND(OFFSET($P196,0,BG$13),15-13*ORÇAMENTO!$AF$7)*OFFSET(ORÇAMENTO!$W$15,ROW(BG196)-ROW(BG$15),0),15-13*ORÇAMENTO!$AF$11)),
         0)</f>
        <v>0</v>
      </c>
      <c r="BH196" s="453">
        <f ca="1">IF(AND($D196="Serviço",BH$12&lt;&gt;0,$H196&gt;0,OR(AUTOEVENTO&lt;&gt;"manual",$M196&lt;&gt;$A$15)),
        IF(Import.TipoArredondamento&lt;&gt;"TransfereGOV",
              ROUND(OFFSET($P196,0,BH$13),15-13*ORÇAMENTO!$AF$7)/$H196*OFFSET(ORÇAMENTO!$X$15,ROW(BH196)-ROW(BH$15),0),
              ROUND(ROUND(OFFSET($P196,0,BH$13),15-13*ORÇAMENTO!$AF$7)*OFFSET(ORÇAMENTO!$W$15,ROW(BH196)-ROW(BH$15),0),15-13*ORÇAMENTO!$AF$11)),
         0)</f>
        <v>0</v>
      </c>
      <c r="BI196" s="453">
        <f ca="1">IF(AND($D196="Serviço",BI$12&lt;&gt;0,$H196&gt;0,OR(AUTOEVENTO&lt;&gt;"manual",$M196&lt;&gt;$A$15)),
        IF(Import.TipoArredondamento&lt;&gt;"TransfereGOV",
              ROUND(OFFSET($P196,0,BI$13),15-13*ORÇAMENTO!$AF$7)/$H196*OFFSET(ORÇAMENTO!$X$15,ROW(BI196)-ROW(BI$15),0),
              ROUND(ROUND(OFFSET($P196,0,BI$13),15-13*ORÇAMENTO!$AF$7)*OFFSET(ORÇAMENTO!$W$15,ROW(BI196)-ROW(BI$15),0),15-13*ORÇAMENTO!$AF$11)),
         0)</f>
        <v>0</v>
      </c>
      <c r="BJ196" s="453">
        <f ca="1">IF(AND($D196="Serviço",BJ$12&lt;&gt;0,$H196&gt;0,OR(AUTOEVENTO&lt;&gt;"manual",$M196&lt;&gt;$A$15)),
        IF(Import.TipoArredondamento&lt;&gt;"TransfereGOV",
              ROUND(OFFSET($P196,0,BJ$13),15-13*ORÇAMENTO!$AF$7)/$H196*OFFSET(ORÇAMENTO!$X$15,ROW(BJ196)-ROW(BJ$15),0),
              ROUND(ROUND(OFFSET($P196,0,BJ$13),15-13*ORÇAMENTO!$AF$7)*OFFSET(ORÇAMENTO!$W$15,ROW(BJ196)-ROW(BJ$15),0),15-13*ORÇAMENTO!$AF$11)),
         0)</f>
        <v>0</v>
      </c>
      <c r="BK196" s="453">
        <f ca="1">IF(AND($D196="Serviço",BK$12&lt;&gt;0,$H196&gt;0,OR(AUTOEVENTO&lt;&gt;"manual",$M196&lt;&gt;$A$15)),
        IF(Import.TipoArredondamento&lt;&gt;"TransfereGOV",
              ROUND(OFFSET($P196,0,BK$13),15-13*ORÇAMENTO!$AF$7)/$H196*OFFSET(ORÇAMENTO!$X$15,ROW(BK196)-ROW(BK$15),0),
              ROUND(ROUND(OFFSET($P196,0,BK$13),15-13*ORÇAMENTO!$AF$7)*OFFSET(ORÇAMENTO!$W$15,ROW(BK196)-ROW(BK$15),0),15-13*ORÇAMENTO!$AF$11)),
         0)</f>
        <v>0</v>
      </c>
      <c r="BL196" s="453">
        <f ca="1">IF(AND($D196="Serviço",BL$12&lt;&gt;0,$H196&gt;0,OR(AUTOEVENTO&lt;&gt;"manual",$M196&lt;&gt;$A$15)),
        IF(Import.TipoArredondamento&lt;&gt;"TransfereGOV",
              ROUND(OFFSET($P196,0,BL$13),15-13*ORÇAMENTO!$AF$7)/$H196*OFFSET(ORÇAMENTO!$X$15,ROW(BL196)-ROW(BL$15),0),
              ROUND(ROUND(OFFSET($P196,0,BL$13),15-13*ORÇAMENTO!$AF$7)*OFFSET(ORÇAMENTO!$W$15,ROW(BL196)-ROW(BL$15),0),15-13*ORÇAMENTO!$AF$11)),
         0)</f>
        <v>0</v>
      </c>
      <c r="BM196" s="453">
        <f ca="1">IF(AND($D196="Serviço",BM$12&lt;&gt;0,$H196&gt;0,OR(AUTOEVENTO&lt;&gt;"manual",$M196&lt;&gt;$A$15)),
        IF(Import.TipoArredondamento&lt;&gt;"TransfereGOV",
              ROUND(OFFSET($P196,0,BM$13),15-13*ORÇAMENTO!$AF$7)/$H196*OFFSET(ORÇAMENTO!$X$15,ROW(BM196)-ROW(BM$15),0),
              ROUND(ROUND(OFFSET($P196,0,BM$13),15-13*ORÇAMENTO!$AF$7)*OFFSET(ORÇAMENTO!$W$15,ROW(BM196)-ROW(BM$15),0),15-13*ORÇAMENTO!$AF$11)),
         0)</f>
        <v>0</v>
      </c>
      <c r="BN196" s="453">
        <f ca="1">IF(AND($D196="Serviço",BN$12&lt;&gt;0,$H196&gt;0,OR(AUTOEVENTO&lt;&gt;"manual",$M196&lt;&gt;$A$15)),
        IF(Import.TipoArredondamento&lt;&gt;"TransfereGOV",
              ROUND(OFFSET($P196,0,BN$13),15-13*ORÇAMENTO!$AF$7)/$H196*OFFSET(ORÇAMENTO!$X$15,ROW(BN196)-ROW(BN$15),0),
              ROUND(ROUND(OFFSET($P196,0,BN$13),15-13*ORÇAMENTO!$AF$7)*OFFSET(ORÇAMENTO!$W$15,ROW(BN196)-ROW(BN$15),0),15-13*ORÇAMENTO!$AF$11)),
         0)</f>
        <v>0</v>
      </c>
      <c r="BO196" s="453">
        <f ca="1">IF(AND($D196="Serviço",BO$12&lt;&gt;0,$H196&gt;0,OR(AUTOEVENTO&lt;&gt;"manual",$M196&lt;&gt;$A$15)),
        IF(Import.TipoArredondamento&lt;&gt;"TransfereGOV",
              ROUND(OFFSET($P196,0,BO$13),15-13*ORÇAMENTO!$AF$7)/$H196*OFFSET(ORÇAMENTO!$X$15,ROW(BO196)-ROW(BO$15),0),
              ROUND(ROUND(OFFSET($P196,0,BO$13),15-13*ORÇAMENTO!$AF$7)*OFFSET(ORÇAMENTO!$W$15,ROW(BO196)-ROW(BO$15),0),15-13*ORÇAMENTO!$AF$11)),
         0)</f>
        <v>0</v>
      </c>
      <c r="BP196" s="453">
        <f ca="1">IF(AND($D196="Serviço",BP$12&lt;&gt;0,$H196&gt;0,OR(AUTOEVENTO&lt;&gt;"manual",$M196&lt;&gt;$A$15)),
        IF(Import.TipoArredondamento&lt;&gt;"TransfereGOV",
              ROUND(OFFSET($P196,0,BP$13),15-13*ORÇAMENTO!$AF$7)/$H196*OFFSET(ORÇAMENTO!$X$15,ROW(BP196)-ROW(BP$15),0),
              ROUND(ROUND(OFFSET($P196,0,BP$13),15-13*ORÇAMENTO!$AF$7)*OFFSET(ORÇAMENTO!$W$15,ROW(BP196)-ROW(BP$15),0),15-13*ORÇAMENTO!$AF$11)),
         0)</f>
        <v>0</v>
      </c>
      <c r="BQ196" s="453">
        <f ca="1">IF(AND($D196="Serviço",BQ$12&lt;&gt;0,$H196&gt;0,OR(AUTOEVENTO&lt;&gt;"manual",$M196&lt;&gt;$A$15)),
        IF(Import.TipoArredondamento&lt;&gt;"TransfereGOV",
              ROUND(OFFSET($P196,0,BQ$13),15-13*ORÇAMENTO!$AF$7)/$H196*OFFSET(ORÇAMENTO!$X$15,ROW(BQ196)-ROW(BQ$15),0),
              ROUND(ROUND(OFFSET($P196,0,BQ$13),15-13*ORÇAMENTO!$AF$7)*OFFSET(ORÇAMENTO!$W$15,ROW(BQ196)-ROW(BQ$15),0),15-13*ORÇAMENTO!$AF$11)),
         0)</f>
        <v>0</v>
      </c>
      <c r="BS196" s="171">
        <f ca="1">IF(OR($D196&lt;&gt;"Serviço",AND(AUTOEVENTO="Manual",$M196=$A$15)),0,
         IF(OFFSET(CRONOPLE!$F$15,$M196-$A$15,BS$13)=0,10^12,OFFSET(CRONOPLE!$F$15,$M196-$A$15,BS$13)))</f>
        <v>1</v>
      </c>
      <c r="BT196" s="171">
        <f ca="1">IF(OR($D196&lt;&gt;"Serviço",AND(AUTOEVENTO="Manual",$M196=$A$15)),0,
         IF(OFFSET(CRONOPLE!$F$15,$M196-$A$15,BT$13)=0,10^12,OFFSET(CRONOPLE!$F$15,$M196-$A$15,BT$13)))</f>
        <v>2</v>
      </c>
      <c r="BU196" s="171">
        <f ca="1">IF(OR($D196&lt;&gt;"Serviço",AND(AUTOEVENTO="Manual",$M196=$A$15)),0,
         IF(OFFSET(CRONOPLE!$F$15,$M196-$A$15,BU$13)=0,10^12,OFFSET(CRONOPLE!$F$15,$M196-$A$15,BU$13)))</f>
        <v>3</v>
      </c>
      <c r="BV196" s="171">
        <f ca="1">IF(OR($D196&lt;&gt;"Serviço",AND(AUTOEVENTO="Manual",$M196=$A$15)),0,
         IF(OFFSET(CRONOPLE!$F$15,$M196-$A$15,BV$13)=0,10^12,OFFSET(CRONOPLE!$F$15,$M196-$A$15,BV$13)))</f>
        <v>4</v>
      </c>
      <c r="BW196" s="171">
        <f ca="1">IF(OR($D196&lt;&gt;"Serviço",AND(AUTOEVENTO="Manual",$M196=$A$15)),0,
         IF(OFFSET(CRONOPLE!$F$15,$M196-$A$15,BW$13)=0,10^12,OFFSET(CRONOPLE!$F$15,$M196-$A$15,BW$13)))</f>
        <v>5</v>
      </c>
      <c r="BX196" s="171">
        <f ca="1">IF(OR($D196&lt;&gt;"Serviço",AND(AUTOEVENTO="Manual",$M196=$A$15)),0,
         IF(OFFSET(CRONOPLE!$F$15,$M196-$A$15,BX$13)=0,10^12,OFFSET(CRONOPLE!$F$15,$M196-$A$15,BX$13)))</f>
        <v>6</v>
      </c>
      <c r="BY196" s="171">
        <f ca="1">IF(OR($D196&lt;&gt;"Serviço",AND(AUTOEVENTO="Manual",$M196=$A$15)),0,
         IF(OFFSET(CRONOPLE!$F$15,$M196-$A$15,BY$13)=0,10^12,OFFSET(CRONOPLE!$F$15,$M196-$A$15,BY$13)))</f>
        <v>7</v>
      </c>
      <c r="BZ196" s="171">
        <f ca="1">IF(OR($D196&lt;&gt;"Serviço",AND(AUTOEVENTO="Manual",$M196=$A$15)),0,
         IF(OFFSET(CRONOPLE!$F$15,$M196-$A$15,BZ$13)=0,10^12,OFFSET(CRONOPLE!$F$15,$M196-$A$15,BZ$13)))</f>
        <v>8</v>
      </c>
      <c r="CA196" s="171">
        <f ca="1">IF(OR($D196&lt;&gt;"Serviço",AND(AUTOEVENTO="Manual",$M196=$A$15)),0,
         IF(OFFSET(CRONOPLE!$F$15,$M196-$A$15,CA$13)=0,10^12,OFFSET(CRONOPLE!$F$15,$M196-$A$15,CA$13)))</f>
        <v>9</v>
      </c>
      <c r="CB196" s="171">
        <f ca="1">IF(OR($D196&lt;&gt;"Serviço",AND(AUTOEVENTO="Manual",$M196=$A$15)),0,
         IF(OFFSET(CRONOPLE!$F$15,$M196-$A$15,CB$13)=0,10^12,OFFSET(CRONOPLE!$F$15,$M196-$A$15,CB$13)))</f>
        <v>10</v>
      </c>
      <c r="CC196" s="171">
        <f ca="1">IF(OR($D196&lt;&gt;"Serviço",AND(AUTOEVENTO="Manual",$M196=$A$15)),0,
         IF(OFFSET(CRONOPLE!$F$15,$M196-$A$15,CC$13)=0,10^12,OFFSET(CRONOPLE!$F$15,$M196-$A$15,CC$13)))</f>
        <v>11</v>
      </c>
      <c r="CD196" s="171">
        <f ca="1">IF(OR($D196&lt;&gt;"Serviço",AND(AUTOEVENTO="Manual",$M196=$A$15)),0,
         IF(OFFSET(CRONOPLE!$F$15,$M196-$A$15,CD$13)=0,10^12,OFFSET(CRONOPLE!$F$15,$M196-$A$15,CD$13)))</f>
        <v>12</v>
      </c>
      <c r="CE196" s="171">
        <f ca="1">IF(OR($D196&lt;&gt;"Serviço",AND(AUTOEVENTO="Manual",$M196=$A$15)),0,
         IF(OFFSET(CRONOPLE!$F$15,$M196-$A$15,CE$13)=0,10^12,OFFSET(CRONOPLE!$F$15,$M196-$A$15,CE$13)))</f>
        <v>13</v>
      </c>
      <c r="CF196" s="171">
        <f ca="1">IF(OR($D196&lt;&gt;"Serviço",AND(AUTOEVENTO="Manual",$M196=$A$15)),0,
         IF(OFFSET(CRONOPLE!$F$15,$M196-$A$15,CF$13)=0,10^12,OFFSET(CRONOPLE!$F$15,$M196-$A$15,CF$13)))</f>
        <v>14</v>
      </c>
      <c r="CG196" s="171">
        <f ca="1">IF(OR($D196&lt;&gt;"Serviço",AND(AUTOEVENTO="Manual",$M196=$A$15)),0,
         IF(OFFSET(CRONOPLE!$F$15,$M196-$A$15,CG$13)=0,10^12,OFFSET(CRONOPLE!$F$15,$M196-$A$15,CG$13)))</f>
        <v>15</v>
      </c>
      <c r="CH196" s="171">
        <f ca="1">IF(OR($D196&lt;&gt;"Serviço",AND(AUTOEVENTO="Manual",$M196=$A$15)),0,
         IF(OFFSET(CRONOPLE!$F$15,$M196-$A$15,CH$13)=0,10^12,OFFSET(CRONOPLE!$F$15,$M196-$A$15,CH$13)))</f>
        <v>16</v>
      </c>
      <c r="CI196" s="171">
        <f ca="1">IF(OR($D196&lt;&gt;"Serviço",AND(AUTOEVENTO="Manual",$M196=$A$15)),0,
         IF(OFFSET(CRONOPLE!$F$15,$M196-$A$15,CI$13)=0,10^12,OFFSET(CRONOPLE!$F$15,$M196-$A$15,CI$13)))</f>
        <v>17</v>
      </c>
      <c r="CJ196" s="171">
        <f ca="1">IF(OR($D196&lt;&gt;"Serviço",AND(AUTOEVENTO="Manual",$M196=$A$15)),0,
         IF(OFFSET(CRONOPLE!$F$15,$M196-$A$15,CJ$13)=0,10^12,OFFSET(CRONOPLE!$F$15,$M196-$A$15,CJ$13)))</f>
        <v>18</v>
      </c>
      <c r="CK196" s="171">
        <f ca="1">IF(OR($D196&lt;&gt;"Serviço",AND(AUTOEVENTO="Manual",$M196=$A$15)),0,
         IF(OFFSET(CRONOPLE!$F$15,$M196-$A$15,CK$13)=0,10^12,OFFSET(CRONOPLE!$F$15,$M196-$A$15,CK$13)))</f>
        <v>19</v>
      </c>
      <c r="CL196" s="171">
        <f ca="1">IF(OR($D196&lt;&gt;"Serviço",AND(AUTOEVENTO="Manual",$M196=$A$15)),0,
         IF(OFFSET(CRONOPLE!$F$15,$M196-$A$15,CL$13)=0,10^12,OFFSET(CRONOPLE!$F$15,$M196-$A$15,CL$13)))</f>
        <v>20</v>
      </c>
      <c r="CM196" s="171">
        <f ca="1">IF(OR($D196&lt;&gt;"Serviço",AND(AUTOEVENTO="Manual",$M196=$A$15)),0,
         IF(OFFSET(CRONOPLE!$F$15,$M196-$A$15,CM$13)=0,10^12,OFFSET(CRONOPLE!$F$15,$M196-$A$15,CM$13)))</f>
        <v>1000000000000</v>
      </c>
      <c r="CN196" s="171">
        <f ca="1">IF(OR($D196&lt;&gt;"Serviço",AND(AUTOEVENTO="Manual",$M196=$A$15)),0,
         IF(OFFSET(CRONOPLE!$F$15,$M196-$A$15,CN$13)=0,10^12,OFFSET(CRONOPLE!$F$15,$M196-$A$15,CN$13)))</f>
        <v>1000000000000</v>
      </c>
      <c r="CO196" s="171">
        <f ca="1">IF(OR($D196&lt;&gt;"Serviço",AND(AUTOEVENTO="Manual",$M196=$A$15)),0,
         IF(OFFSET(CRONOPLE!$F$15,$M196-$A$15,CO$13)=0,10^12,OFFSET(CRONOPLE!$F$15,$M196-$A$15,CO$13)))</f>
        <v>1000000000000</v>
      </c>
      <c r="CP196" s="171">
        <f ca="1">IF(OR($D196&lt;&gt;"Serviço",AND(AUTOEVENTO="Manual",$M196=$A$15)),0,
         IF(OFFSET(CRONOPLE!$F$15,$M196-$A$15,CP$13)=0,10^12,OFFSET(CRONOPLE!$F$15,$M196-$A$15,CP$13)))</f>
        <v>1000000000000</v>
      </c>
      <c r="CQ196" s="171">
        <f ca="1">IF(OR($D196&lt;&gt;"Serviço",AND(AUTOEVENTO="Manual",$M196=$A$15)),0,
         IF(OFFSET(CRONOPLE!$F$15,$M196-$A$15,CQ$13)=0,10^12,OFFSET(CRONOPLE!$F$15,$M196-$A$15,CQ$13)))</f>
        <v>1000000000000</v>
      </c>
      <c r="CR196" s="171">
        <f ca="1">IF(OR($D196&lt;&gt;"Serviço",AND(AUTOEVENTO="Manual",$M196=$A$15)),0,
         IF(OFFSET(CRONOPLE!$F$15,$M196-$A$15,CR$13)=0,10^12,OFFSET(CRONOPLE!$F$15,$M196-$A$15,CR$13)))</f>
        <v>1000000000000</v>
      </c>
      <c r="CT196" s="172" cm="1">
        <f t="array" aca="1" ref="CT196" ca="1">IF(OR($D196&lt;&gt;"Serviço",AND(AUTOEVENTO="Manual",$M196=$A$15),$M196&gt;(ROW(PLE.lastrow)-ROW(PLE.firstrow))),0,
           IF(OFFSET(PLE!$G$15,$M196-$A$15,CT$13)="",10^12,OFFSET(PLE!$G$15,$M196-$A$15,CT$13)))</f>
        <v>1000000000000</v>
      </c>
      <c r="CU196" s="172" cm="1">
        <f t="array" aca="1" ref="CU196" ca="1">IF(OR($D196&lt;&gt;"Serviço",AND(AUTOEVENTO="Manual",$M196=$A$15),$M196&gt;(ROW(PLE.lastrow)-ROW(PLE.firstrow))),0,
           IF(OFFSET(PLE!$G$15,$M196-$A$15,CU$13)="",10^12,OFFSET(PLE!$G$15,$M196-$A$15,CU$13)))</f>
        <v>1000000000000</v>
      </c>
      <c r="CV196" s="172" cm="1">
        <f t="array" aca="1" ref="CV196" ca="1">IF(OR($D196&lt;&gt;"Serviço",AND(AUTOEVENTO="Manual",$M196=$A$15),$M196&gt;(ROW(PLE.lastrow)-ROW(PLE.firstrow))),0,
           IF(OFFSET(PLE!$G$15,$M196-$A$15,CV$13)="",10^12,OFFSET(PLE!$G$15,$M196-$A$15,CV$13)))</f>
        <v>1000000000000</v>
      </c>
      <c r="CW196" s="172" cm="1">
        <f t="array" aca="1" ref="CW196" ca="1">IF(OR($D196&lt;&gt;"Serviço",AND(AUTOEVENTO="Manual",$M196=$A$15),$M196&gt;(ROW(PLE.lastrow)-ROW(PLE.firstrow))),0,
           IF(OFFSET(PLE!$G$15,$M196-$A$15,CW$13)="",10^12,OFFSET(PLE!$G$15,$M196-$A$15,CW$13)))</f>
        <v>1000000000000</v>
      </c>
      <c r="CX196" s="172" cm="1">
        <f t="array" aca="1" ref="CX196" ca="1">IF(OR($D196&lt;&gt;"Serviço",AND(AUTOEVENTO="Manual",$M196=$A$15),$M196&gt;(ROW(PLE.lastrow)-ROW(PLE.firstrow))),0,
           IF(OFFSET(PLE!$G$15,$M196-$A$15,CX$13)="",10^12,OFFSET(PLE!$G$15,$M196-$A$15,CX$13)))</f>
        <v>1000000000000</v>
      </c>
      <c r="CY196" s="172" cm="1">
        <f t="array" aca="1" ref="CY196" ca="1">IF(OR($D196&lt;&gt;"Serviço",AND(AUTOEVENTO="Manual",$M196=$A$15),$M196&gt;(ROW(PLE.lastrow)-ROW(PLE.firstrow))),0,
           IF(OFFSET(PLE!$G$15,$M196-$A$15,CY$13)="",10^12,OFFSET(PLE!$G$15,$M196-$A$15,CY$13)))</f>
        <v>1000000000000</v>
      </c>
      <c r="CZ196" s="172" cm="1">
        <f t="array" aca="1" ref="CZ196" ca="1">IF(OR($D196&lt;&gt;"Serviço",AND(AUTOEVENTO="Manual",$M196=$A$15),$M196&gt;(ROW(PLE.lastrow)-ROW(PLE.firstrow))),0,
           IF(OFFSET(PLE!$G$15,$M196-$A$15,CZ$13)="",10^12,OFFSET(PLE!$G$15,$M196-$A$15,CZ$13)))</f>
        <v>1000000000000</v>
      </c>
      <c r="DA196" s="172" cm="1">
        <f t="array" aca="1" ref="DA196" ca="1">IF(OR($D196&lt;&gt;"Serviço",AND(AUTOEVENTO="Manual",$M196=$A$15),$M196&gt;(ROW(PLE.lastrow)-ROW(PLE.firstrow))),0,
           IF(OFFSET(PLE!$G$15,$M196-$A$15,DA$13)="",10^12,OFFSET(PLE!$G$15,$M196-$A$15,DA$13)))</f>
        <v>1000000000000</v>
      </c>
      <c r="DB196" s="172" cm="1">
        <f t="array" aca="1" ref="DB196" ca="1">IF(OR($D196&lt;&gt;"Serviço",AND(AUTOEVENTO="Manual",$M196=$A$15),$M196&gt;(ROW(PLE.lastrow)-ROW(PLE.firstrow))),0,
           IF(OFFSET(PLE!$G$15,$M196-$A$15,DB$13)="",10^12,OFFSET(PLE!$G$15,$M196-$A$15,DB$13)))</f>
        <v>1000000000000</v>
      </c>
      <c r="DC196" s="172" cm="1">
        <f t="array" aca="1" ref="DC196" ca="1">IF(OR($D196&lt;&gt;"Serviço",AND(AUTOEVENTO="Manual",$M196=$A$15),$M196&gt;(ROW(PLE.lastrow)-ROW(PLE.firstrow))),0,
           IF(OFFSET(PLE!$G$15,$M196-$A$15,DC$13)="",10^12,OFFSET(PLE!$G$15,$M196-$A$15,DC$13)))</f>
        <v>1000000000000</v>
      </c>
      <c r="DD196" s="172" cm="1">
        <f t="array" aca="1" ref="DD196" ca="1">IF(OR($D196&lt;&gt;"Serviço",AND(AUTOEVENTO="Manual",$M196=$A$15),$M196&gt;(ROW(PLE.lastrow)-ROW(PLE.firstrow))),0,
           IF(OFFSET(PLE!$G$15,$M196-$A$15,DD$13)="",10^12,OFFSET(PLE!$G$15,$M196-$A$15,DD$13)))</f>
        <v>1000000000000</v>
      </c>
      <c r="DE196" s="172" cm="1">
        <f t="array" aca="1" ref="DE196" ca="1">IF(OR($D196&lt;&gt;"Serviço",AND(AUTOEVENTO="Manual",$M196=$A$15),$M196&gt;(ROW(PLE.lastrow)-ROW(PLE.firstrow))),0,
           IF(OFFSET(PLE!$G$15,$M196-$A$15,DE$13)="",10^12,OFFSET(PLE!$G$15,$M196-$A$15,DE$13)))</f>
        <v>1000000000000</v>
      </c>
      <c r="DF196" s="172" cm="1">
        <f t="array" aca="1" ref="DF196" ca="1">IF(OR($D196&lt;&gt;"Serviço",AND(AUTOEVENTO="Manual",$M196=$A$15),$M196&gt;(ROW(PLE.lastrow)-ROW(PLE.firstrow))),0,
           IF(OFFSET(PLE!$G$15,$M196-$A$15,DF$13)="",10^12,OFFSET(PLE!$G$15,$M196-$A$15,DF$13)))</f>
        <v>1000000000000</v>
      </c>
      <c r="DG196" s="172" cm="1">
        <f t="array" aca="1" ref="DG196" ca="1">IF(OR($D196&lt;&gt;"Serviço",AND(AUTOEVENTO="Manual",$M196=$A$15),$M196&gt;(ROW(PLE.lastrow)-ROW(PLE.firstrow))),0,
           IF(OFFSET(PLE!$G$15,$M196-$A$15,DG$13)="",10^12,OFFSET(PLE!$G$15,$M196-$A$15,DG$13)))</f>
        <v>1000000000000</v>
      </c>
      <c r="DH196" s="172" cm="1">
        <f t="array" aca="1" ref="DH196" ca="1">IF(OR($D196&lt;&gt;"Serviço",AND(AUTOEVENTO="Manual",$M196=$A$15),$M196&gt;(ROW(PLE.lastrow)-ROW(PLE.firstrow))),0,
           IF(OFFSET(PLE!$G$15,$M196-$A$15,DH$13)="",10^12,OFFSET(PLE!$G$15,$M196-$A$15,DH$13)))</f>
        <v>1000000000000</v>
      </c>
      <c r="DI196" s="172" cm="1">
        <f t="array" aca="1" ref="DI196" ca="1">IF(OR($D196&lt;&gt;"Serviço",AND(AUTOEVENTO="Manual",$M196=$A$15),$M196&gt;(ROW(PLE.lastrow)-ROW(PLE.firstrow))),0,
           IF(OFFSET(PLE!$G$15,$M196-$A$15,DI$13)="",10^12,OFFSET(PLE!$G$15,$M196-$A$15,DI$13)))</f>
        <v>1000000000000</v>
      </c>
      <c r="DJ196" s="172" cm="1">
        <f t="array" aca="1" ref="DJ196" ca="1">IF(OR($D196&lt;&gt;"Serviço",AND(AUTOEVENTO="Manual",$M196=$A$15),$M196&gt;(ROW(PLE.lastrow)-ROW(PLE.firstrow))),0,
           IF(OFFSET(PLE!$G$15,$M196-$A$15,DJ$13)="",10^12,OFFSET(PLE!$G$15,$M196-$A$15,DJ$13)))</f>
        <v>1000000000000</v>
      </c>
      <c r="DK196" s="172" cm="1">
        <f t="array" aca="1" ref="DK196" ca="1">IF(OR($D196&lt;&gt;"Serviço",AND(AUTOEVENTO="Manual",$M196=$A$15),$M196&gt;(ROW(PLE.lastrow)-ROW(PLE.firstrow))),0,
           IF(OFFSET(PLE!$G$15,$M196-$A$15,DK$13)="",10^12,OFFSET(PLE!$G$15,$M196-$A$15,DK$13)))</f>
        <v>1000000000000</v>
      </c>
      <c r="DL196" s="172" cm="1">
        <f t="array" aca="1" ref="DL196" ca="1">IF(OR($D196&lt;&gt;"Serviço",AND(AUTOEVENTO="Manual",$M196=$A$15),$M196&gt;(ROW(PLE.lastrow)-ROW(PLE.firstrow))),0,
           IF(OFFSET(PLE!$G$15,$M196-$A$15,DL$13)="",10^12,OFFSET(PLE!$G$15,$M196-$A$15,DL$13)))</f>
        <v>1000000000000</v>
      </c>
      <c r="DM196" s="172" cm="1">
        <f t="array" aca="1" ref="DM196" ca="1">IF(OR($D196&lt;&gt;"Serviço",AND(AUTOEVENTO="Manual",$M196=$A$15),$M196&gt;(ROW(PLE.lastrow)-ROW(PLE.firstrow))),0,
           IF(OFFSET(PLE!$G$15,$M196-$A$15,DM$13)="",10^12,OFFSET(PLE!$G$15,$M196-$A$15,DM$13)))</f>
        <v>1000000000000</v>
      </c>
      <c r="DN196" s="172" cm="1">
        <f t="array" aca="1" ref="DN196" ca="1">IF(OR($D196&lt;&gt;"Serviço",AND(AUTOEVENTO="Manual",$M196=$A$15),$M196&gt;(ROW(PLE.lastrow)-ROW(PLE.firstrow))),0,
           IF(OFFSET(PLE!$G$15,$M196-$A$15,DN$13)="",10^12,OFFSET(PLE!$G$15,$M196-$A$15,DN$13)))</f>
        <v>1000000000000</v>
      </c>
      <c r="DO196" s="172" cm="1">
        <f t="array" aca="1" ref="DO196" ca="1">IF(OR($D196&lt;&gt;"Serviço",AND(AUTOEVENTO="Manual",$M196=$A$15),$M196&gt;(ROW(PLE.lastrow)-ROW(PLE.firstrow))),0,
           IF(OFFSET(PLE!$G$15,$M196-$A$15,DO$13)="",10^12,OFFSET(PLE!$G$15,$M196-$A$15,DO$13)))</f>
        <v>1000000000000</v>
      </c>
      <c r="DP196" s="172" cm="1">
        <f t="array" aca="1" ref="DP196" ca="1">IF(OR($D196&lt;&gt;"Serviço",AND(AUTOEVENTO="Manual",$M196=$A$15),$M196&gt;(ROW(PLE.lastrow)-ROW(PLE.firstrow))),0,
           IF(OFFSET(PLE!$G$15,$M196-$A$15,DP$13)="",10^12,OFFSET(PLE!$G$15,$M196-$A$15,DP$13)))</f>
        <v>1000000000000</v>
      </c>
      <c r="DQ196" s="172" cm="1">
        <f t="array" aca="1" ref="DQ196" ca="1">IF(OR($D196&lt;&gt;"Serviço",AND(AUTOEVENTO="Manual",$M196=$A$15),$M196&gt;(ROW(PLE.lastrow)-ROW(PLE.firstrow))),0,
           IF(OFFSET(PLE!$G$15,$M196-$A$15,DQ$13)="",10^12,OFFSET(PLE!$G$15,$M196-$A$15,DQ$13)))</f>
        <v>1000000000000</v>
      </c>
      <c r="DR196" s="172" cm="1">
        <f t="array" aca="1" ref="DR196" ca="1">IF(OR($D196&lt;&gt;"Serviço",AND(AUTOEVENTO="Manual",$M196=$A$15),$M196&gt;(ROW(PLE.lastrow)-ROW(PLE.firstrow))),0,
           IF(OFFSET(PLE!$G$15,$M196-$A$15,DR$13)="",10^12,OFFSET(PLE!$G$15,$M196-$A$15,DR$13)))</f>
        <v>1000000000000</v>
      </c>
      <c r="DS196" s="172" cm="1">
        <f t="array" aca="1" ref="DS196" ca="1">IF(OR($D196&lt;&gt;"Serviço",AND(AUTOEVENTO="Manual",$M196=$A$15),$M196&gt;(ROW(PLE.lastrow)-ROW(PLE.firstrow))),0,
           IF(OFFSET(PLE!$G$15,$M196-$A$15,DS$13)="",10^12,OFFSET(PLE!$G$15,$M196-$A$15,DS$13)))</f>
        <v>1000000000000</v>
      </c>
    </row>
    <row r="197" spans="1:123" ht="38.25" x14ac:dyDescent="0.2">
      <c r="A197" s="7">
        <f t="shared" ca="1" si="18"/>
        <v>9</v>
      </c>
      <c r="B197" s="7" t="str">
        <f ca="1">OFFSET(ORÇAMENTO!C$15,$L197,0)</f>
        <v>S</v>
      </c>
      <c r="C197" s="7" t="str">
        <f ca="1">OFFSET(ORÇAMENTO!L$15,$L197,0)</f>
        <v/>
      </c>
      <c r="D197" s="116" t="str">
        <f ca="1">OFFSET(ORÇAMENTO!N$15,$L197,0)</f>
        <v>Serviço</v>
      </c>
      <c r="E197" s="117" t="str">
        <f ca="1">OFFSET(ORÇAMENTO!O$15,$L197,0)</f>
        <v>-</v>
      </c>
      <c r="F197" s="163" t="str">
        <f ca="1">OFFSET(ORÇAMENTO!R$15,$L197,0)</f>
        <v>(Código não identificado nas referências)</v>
      </c>
      <c r="G197" s="164" t="str">
        <f ca="1">IF($D197&lt;&gt;"Serviço","",OFFSET(ORÇAMENTO!S$15,$L197,0))</f>
        <v>-</v>
      </c>
      <c r="H197" s="122" cm="1">
        <f t="array" aca="1" ref="H197" ca="1">IF($D197&lt;&gt;"Serviço",0,IF(ACOMPANHAMENTO="BM",ROUND(OFFSET(ORÇAMENTO!AJ$15,$L197,0),15-13*ORÇAMENTO!$AF$7),IF(IFERROR(CÁLCULO.FrentesPreenchidas,0)=0,0,SUM(ROUND(OFFSET($P197,0,1,1,CÁLCULO.FrentesPreenchidas),15-13*ORÇAMENTO!$AF$7)))))</f>
        <v>20</v>
      </c>
      <c r="I197" s="468" t="s">
        <v>1235</v>
      </c>
      <c r="J197" s="651" t="str" cm="1">
        <f t="array" aca="1" ref="J197" ca="1">IF(OR(B197&lt;&gt;"S",CÁLCULO.FrentesPreenchidas=0),"",IF(AND(ACOMPANHAMENTO="PLE",AUTOEVENTO="Manual",OR(H197&gt;0,ORÇAMENTO!AC197="QUANT."),OR(K197="",M197=0,N197="")),"►E",IF(AND(ACOMPANHAMENTO="PLE",ORÇAMENTO!AC197="QUANT."),"►Q",IF(AND(ACOMPANHAMENTO="PLE",H197&lt;&gt;SUMPRODUCT(($Q$1:$AQ$1=1)*ROUND(Q197:AQ197,15))),"►S",IF(AND(COUNTIF($P$11:$AQ$11,"▼")=0,H197&gt;0,I197=""),"◄M","")))))</f>
        <v/>
      </c>
      <c r="K197" s="652" t="s">
        <v>1257</v>
      </c>
      <c r="L197" s="165">
        <f t="shared" ca="1" si="17"/>
        <v>182</v>
      </c>
      <c r="M197" s="166">
        <f ca="1">IF($D197&lt;&gt;"Serviço","",
          IF(AUTOEVENTO="manual",$A197,
                IF(ISERROR(MATCH($A197,$A$15:OFFSET($A197,-1,0),0)),MAX($M$15:OFFSET(M197,-1,0))+1,
                      INDEX($M$15:OFFSET(M197,-1,0),MATCH($A197,$A$15:OFFSET($A197,-1,0),0)))))</f>
        <v>9</v>
      </c>
      <c r="N197" s="167" t="str">
        <f ca="1">IF($D197&lt;&gt;"Serviço","",
         IF(AUTOEVENTO="Manual",
                IF($A197=0,"&lt;-- defina o número do agrupador",
                       OFFSET(EVENTOS!$D$15,$A197-$A$15,0)),
                OFFSET($F$15,$A197,0)))</f>
        <v>INSTALAÇÕES</v>
      </c>
      <c r="O197" s="168"/>
      <c r="Q197" s="168">
        <v>1</v>
      </c>
      <c r="R197" s="169">
        <v>1</v>
      </c>
      <c r="S197" s="169">
        <v>1</v>
      </c>
      <c r="T197" s="169">
        <v>1</v>
      </c>
      <c r="U197" s="169">
        <v>1</v>
      </c>
      <c r="V197" s="169">
        <v>1</v>
      </c>
      <c r="W197" s="169">
        <v>1</v>
      </c>
      <c r="X197" s="169">
        <v>1</v>
      </c>
      <c r="Y197" s="169">
        <v>1</v>
      </c>
      <c r="Z197" s="170">
        <v>1</v>
      </c>
      <c r="AA197" s="169">
        <v>1</v>
      </c>
      <c r="AB197" s="169">
        <v>1</v>
      </c>
      <c r="AC197" s="169">
        <v>1</v>
      </c>
      <c r="AD197" s="169">
        <v>1</v>
      </c>
      <c r="AE197" s="169">
        <v>1</v>
      </c>
      <c r="AF197" s="169">
        <v>1</v>
      </c>
      <c r="AG197" s="169">
        <v>1</v>
      </c>
      <c r="AH197" s="170">
        <v>1</v>
      </c>
      <c r="AI197" s="169">
        <v>1</v>
      </c>
      <c r="AJ197" s="169">
        <v>1</v>
      </c>
      <c r="AK197" s="169"/>
      <c r="AL197" s="169"/>
      <c r="AM197" s="169"/>
      <c r="AN197" s="169"/>
      <c r="AO197" s="169"/>
      <c r="AP197" s="170"/>
      <c r="AR197" s="453">
        <f ca="1">IF(AND($D197="Serviço",AR$12&lt;&gt;0,$H197&gt;0,OR(AUTOEVENTO&lt;&gt;"manual",$M197&lt;&gt;$A$15)),
        IF(Import.TipoArredondamento&lt;&gt;"TransfereGOV",
              ROUND(OFFSET($P197,0,AR$13),15-13*ORÇAMENTO!$AF$7)/$H197*OFFSET(ORÇAMENTO!$X$15,ROW(AR197)-ROW(AR$15),0),
              ROUND(ROUND(OFFSET($P197,0,AR$13),15-13*ORÇAMENTO!$AF$7)*OFFSET(ORÇAMENTO!$W$15,ROW(AR197)-ROW(AR$15),0),15-13*ORÇAMENTO!$AF$11)),
         0)</f>
        <v>0</v>
      </c>
      <c r="AS197" s="453">
        <f ca="1">IF(AND($D197="Serviço",AS$12&lt;&gt;0,$H197&gt;0,OR(AUTOEVENTO&lt;&gt;"manual",$M197&lt;&gt;$A$15)),
        IF(Import.TipoArredondamento&lt;&gt;"TransfereGOV",
              ROUND(OFFSET($P197,0,AS$13),15-13*ORÇAMENTO!$AF$7)/$H197*OFFSET(ORÇAMENTO!$X$15,ROW(AS197)-ROW(AS$15),0),
              ROUND(ROUND(OFFSET($P197,0,AS$13),15-13*ORÇAMENTO!$AF$7)*OFFSET(ORÇAMENTO!$W$15,ROW(AS197)-ROW(AS$15),0),15-13*ORÇAMENTO!$AF$11)),
         0)</f>
        <v>0</v>
      </c>
      <c r="AT197" s="453">
        <f ca="1">IF(AND($D197="Serviço",AT$12&lt;&gt;0,$H197&gt;0,OR(AUTOEVENTO&lt;&gt;"manual",$M197&lt;&gt;$A$15)),
        IF(Import.TipoArredondamento&lt;&gt;"TransfereGOV",
              ROUND(OFFSET($P197,0,AT$13),15-13*ORÇAMENTO!$AF$7)/$H197*OFFSET(ORÇAMENTO!$X$15,ROW(AT197)-ROW(AT$15),0),
              ROUND(ROUND(OFFSET($P197,0,AT$13),15-13*ORÇAMENTO!$AF$7)*OFFSET(ORÇAMENTO!$W$15,ROW(AT197)-ROW(AT$15),0),15-13*ORÇAMENTO!$AF$11)),
         0)</f>
        <v>0</v>
      </c>
      <c r="AU197" s="453">
        <f ca="1">IF(AND($D197="Serviço",AU$12&lt;&gt;0,$H197&gt;0,OR(AUTOEVENTO&lt;&gt;"manual",$M197&lt;&gt;$A$15)),
        IF(Import.TipoArredondamento&lt;&gt;"TransfereGOV",
              ROUND(OFFSET($P197,0,AU$13),15-13*ORÇAMENTO!$AF$7)/$H197*OFFSET(ORÇAMENTO!$X$15,ROW(AU197)-ROW(AU$15),0),
              ROUND(ROUND(OFFSET($P197,0,AU$13),15-13*ORÇAMENTO!$AF$7)*OFFSET(ORÇAMENTO!$W$15,ROW(AU197)-ROW(AU$15),0),15-13*ORÇAMENTO!$AF$11)),
         0)</f>
        <v>0</v>
      </c>
      <c r="AV197" s="453">
        <f ca="1">IF(AND($D197="Serviço",AV$12&lt;&gt;0,$H197&gt;0,OR(AUTOEVENTO&lt;&gt;"manual",$M197&lt;&gt;$A$15)),
        IF(Import.TipoArredondamento&lt;&gt;"TransfereGOV",
              ROUND(OFFSET($P197,0,AV$13),15-13*ORÇAMENTO!$AF$7)/$H197*OFFSET(ORÇAMENTO!$X$15,ROW(AV197)-ROW(AV$15),0),
              ROUND(ROUND(OFFSET($P197,0,AV$13),15-13*ORÇAMENTO!$AF$7)*OFFSET(ORÇAMENTO!$W$15,ROW(AV197)-ROW(AV$15),0),15-13*ORÇAMENTO!$AF$11)),
         0)</f>
        <v>0</v>
      </c>
      <c r="AW197" s="453">
        <f ca="1">IF(AND($D197="Serviço",AW$12&lt;&gt;0,$H197&gt;0,OR(AUTOEVENTO&lt;&gt;"manual",$M197&lt;&gt;$A$15)),
        IF(Import.TipoArredondamento&lt;&gt;"TransfereGOV",
              ROUND(OFFSET($P197,0,AW$13),15-13*ORÇAMENTO!$AF$7)/$H197*OFFSET(ORÇAMENTO!$X$15,ROW(AW197)-ROW(AW$15),0),
              ROUND(ROUND(OFFSET($P197,0,AW$13),15-13*ORÇAMENTO!$AF$7)*OFFSET(ORÇAMENTO!$W$15,ROW(AW197)-ROW(AW$15),0),15-13*ORÇAMENTO!$AF$11)),
         0)</f>
        <v>0</v>
      </c>
      <c r="AX197" s="453">
        <f ca="1">IF(AND($D197="Serviço",AX$12&lt;&gt;0,$H197&gt;0,OR(AUTOEVENTO&lt;&gt;"manual",$M197&lt;&gt;$A$15)),
        IF(Import.TipoArredondamento&lt;&gt;"TransfereGOV",
              ROUND(OFFSET($P197,0,AX$13),15-13*ORÇAMENTO!$AF$7)/$H197*OFFSET(ORÇAMENTO!$X$15,ROW(AX197)-ROW(AX$15),0),
              ROUND(ROUND(OFFSET($P197,0,AX$13),15-13*ORÇAMENTO!$AF$7)*OFFSET(ORÇAMENTO!$W$15,ROW(AX197)-ROW(AX$15),0),15-13*ORÇAMENTO!$AF$11)),
         0)</f>
        <v>0</v>
      </c>
      <c r="AY197" s="453">
        <f ca="1">IF(AND($D197="Serviço",AY$12&lt;&gt;0,$H197&gt;0,OR(AUTOEVENTO&lt;&gt;"manual",$M197&lt;&gt;$A$15)),
        IF(Import.TipoArredondamento&lt;&gt;"TransfereGOV",
              ROUND(OFFSET($P197,0,AY$13),15-13*ORÇAMENTO!$AF$7)/$H197*OFFSET(ORÇAMENTO!$X$15,ROW(AY197)-ROW(AY$15),0),
              ROUND(ROUND(OFFSET($P197,0,AY$13),15-13*ORÇAMENTO!$AF$7)*OFFSET(ORÇAMENTO!$W$15,ROW(AY197)-ROW(AY$15),0),15-13*ORÇAMENTO!$AF$11)),
         0)</f>
        <v>0</v>
      </c>
      <c r="AZ197" s="453">
        <f ca="1">IF(AND($D197="Serviço",AZ$12&lt;&gt;0,$H197&gt;0,OR(AUTOEVENTO&lt;&gt;"manual",$M197&lt;&gt;$A$15)),
        IF(Import.TipoArredondamento&lt;&gt;"TransfereGOV",
              ROUND(OFFSET($P197,0,AZ$13),15-13*ORÇAMENTO!$AF$7)/$H197*OFFSET(ORÇAMENTO!$X$15,ROW(AZ197)-ROW(AZ$15),0),
              ROUND(ROUND(OFFSET($P197,0,AZ$13),15-13*ORÇAMENTO!$AF$7)*OFFSET(ORÇAMENTO!$W$15,ROW(AZ197)-ROW(AZ$15),0),15-13*ORÇAMENTO!$AF$11)),
         0)</f>
        <v>0</v>
      </c>
      <c r="BA197" s="453">
        <f ca="1">IF(AND($D197="Serviço",BA$12&lt;&gt;0,$H197&gt;0,OR(AUTOEVENTO&lt;&gt;"manual",$M197&lt;&gt;$A$15)),
        IF(Import.TipoArredondamento&lt;&gt;"TransfereGOV",
              ROUND(OFFSET($P197,0,BA$13),15-13*ORÇAMENTO!$AF$7)/$H197*OFFSET(ORÇAMENTO!$X$15,ROW(BA197)-ROW(BA$15),0),
              ROUND(ROUND(OFFSET($P197,0,BA$13),15-13*ORÇAMENTO!$AF$7)*OFFSET(ORÇAMENTO!$W$15,ROW(BA197)-ROW(BA$15),0),15-13*ORÇAMENTO!$AF$11)),
         0)</f>
        <v>0</v>
      </c>
      <c r="BB197" s="453">
        <f ca="1">IF(AND($D197="Serviço",BB$12&lt;&gt;0,$H197&gt;0,OR(AUTOEVENTO&lt;&gt;"manual",$M197&lt;&gt;$A$15)),
        IF(Import.TipoArredondamento&lt;&gt;"TransfereGOV",
              ROUND(OFFSET($P197,0,BB$13),15-13*ORÇAMENTO!$AF$7)/$H197*OFFSET(ORÇAMENTO!$X$15,ROW(BB197)-ROW(BB$15),0),
              ROUND(ROUND(OFFSET($P197,0,BB$13),15-13*ORÇAMENTO!$AF$7)*OFFSET(ORÇAMENTO!$W$15,ROW(BB197)-ROW(BB$15),0),15-13*ORÇAMENTO!$AF$11)),
         0)</f>
        <v>0</v>
      </c>
      <c r="BC197" s="453">
        <f ca="1">IF(AND($D197="Serviço",BC$12&lt;&gt;0,$H197&gt;0,OR(AUTOEVENTO&lt;&gt;"manual",$M197&lt;&gt;$A$15)),
        IF(Import.TipoArredondamento&lt;&gt;"TransfereGOV",
              ROUND(OFFSET($P197,0,BC$13),15-13*ORÇAMENTO!$AF$7)/$H197*OFFSET(ORÇAMENTO!$X$15,ROW(BC197)-ROW(BC$15),0),
              ROUND(ROUND(OFFSET($P197,0,BC$13),15-13*ORÇAMENTO!$AF$7)*OFFSET(ORÇAMENTO!$W$15,ROW(BC197)-ROW(BC$15),0),15-13*ORÇAMENTO!$AF$11)),
         0)</f>
        <v>0</v>
      </c>
      <c r="BD197" s="453">
        <f ca="1">IF(AND($D197="Serviço",BD$12&lt;&gt;0,$H197&gt;0,OR(AUTOEVENTO&lt;&gt;"manual",$M197&lt;&gt;$A$15)),
        IF(Import.TipoArredondamento&lt;&gt;"TransfereGOV",
              ROUND(OFFSET($P197,0,BD$13),15-13*ORÇAMENTO!$AF$7)/$H197*OFFSET(ORÇAMENTO!$X$15,ROW(BD197)-ROW(BD$15),0),
              ROUND(ROUND(OFFSET($P197,0,BD$13),15-13*ORÇAMENTO!$AF$7)*OFFSET(ORÇAMENTO!$W$15,ROW(BD197)-ROW(BD$15),0),15-13*ORÇAMENTO!$AF$11)),
         0)</f>
        <v>0</v>
      </c>
      <c r="BE197" s="453">
        <f ca="1">IF(AND($D197="Serviço",BE$12&lt;&gt;0,$H197&gt;0,OR(AUTOEVENTO&lt;&gt;"manual",$M197&lt;&gt;$A$15)),
        IF(Import.TipoArredondamento&lt;&gt;"TransfereGOV",
              ROUND(OFFSET($P197,0,BE$13),15-13*ORÇAMENTO!$AF$7)/$H197*OFFSET(ORÇAMENTO!$X$15,ROW(BE197)-ROW(BE$15),0),
              ROUND(ROUND(OFFSET($P197,0,BE$13),15-13*ORÇAMENTO!$AF$7)*OFFSET(ORÇAMENTO!$W$15,ROW(BE197)-ROW(BE$15),0),15-13*ORÇAMENTO!$AF$11)),
         0)</f>
        <v>0</v>
      </c>
      <c r="BF197" s="453">
        <f ca="1">IF(AND($D197="Serviço",BF$12&lt;&gt;0,$H197&gt;0,OR(AUTOEVENTO&lt;&gt;"manual",$M197&lt;&gt;$A$15)),
        IF(Import.TipoArredondamento&lt;&gt;"TransfereGOV",
              ROUND(OFFSET($P197,0,BF$13),15-13*ORÇAMENTO!$AF$7)/$H197*OFFSET(ORÇAMENTO!$X$15,ROW(BF197)-ROW(BF$15),0),
              ROUND(ROUND(OFFSET($P197,0,BF$13),15-13*ORÇAMENTO!$AF$7)*OFFSET(ORÇAMENTO!$W$15,ROW(BF197)-ROW(BF$15),0),15-13*ORÇAMENTO!$AF$11)),
         0)</f>
        <v>0</v>
      </c>
      <c r="BG197" s="453">
        <f ca="1">IF(AND($D197="Serviço",BG$12&lt;&gt;0,$H197&gt;0,OR(AUTOEVENTO&lt;&gt;"manual",$M197&lt;&gt;$A$15)),
        IF(Import.TipoArredondamento&lt;&gt;"TransfereGOV",
              ROUND(OFFSET($P197,0,BG$13),15-13*ORÇAMENTO!$AF$7)/$H197*OFFSET(ORÇAMENTO!$X$15,ROW(BG197)-ROW(BG$15),0),
              ROUND(ROUND(OFFSET($P197,0,BG$13),15-13*ORÇAMENTO!$AF$7)*OFFSET(ORÇAMENTO!$W$15,ROW(BG197)-ROW(BG$15),0),15-13*ORÇAMENTO!$AF$11)),
         0)</f>
        <v>0</v>
      </c>
      <c r="BH197" s="453">
        <f ca="1">IF(AND($D197="Serviço",BH$12&lt;&gt;0,$H197&gt;0,OR(AUTOEVENTO&lt;&gt;"manual",$M197&lt;&gt;$A$15)),
        IF(Import.TipoArredondamento&lt;&gt;"TransfereGOV",
              ROUND(OFFSET($P197,0,BH$13),15-13*ORÇAMENTO!$AF$7)/$H197*OFFSET(ORÇAMENTO!$X$15,ROW(BH197)-ROW(BH$15),0),
              ROUND(ROUND(OFFSET($P197,0,BH$13),15-13*ORÇAMENTO!$AF$7)*OFFSET(ORÇAMENTO!$W$15,ROW(BH197)-ROW(BH$15),0),15-13*ORÇAMENTO!$AF$11)),
         0)</f>
        <v>0</v>
      </c>
      <c r="BI197" s="453">
        <f ca="1">IF(AND($D197="Serviço",BI$12&lt;&gt;0,$H197&gt;0,OR(AUTOEVENTO&lt;&gt;"manual",$M197&lt;&gt;$A$15)),
        IF(Import.TipoArredondamento&lt;&gt;"TransfereGOV",
              ROUND(OFFSET($P197,0,BI$13),15-13*ORÇAMENTO!$AF$7)/$H197*OFFSET(ORÇAMENTO!$X$15,ROW(BI197)-ROW(BI$15),0),
              ROUND(ROUND(OFFSET($P197,0,BI$13),15-13*ORÇAMENTO!$AF$7)*OFFSET(ORÇAMENTO!$W$15,ROW(BI197)-ROW(BI$15),0),15-13*ORÇAMENTO!$AF$11)),
         0)</f>
        <v>0</v>
      </c>
      <c r="BJ197" s="453">
        <f ca="1">IF(AND($D197="Serviço",BJ$12&lt;&gt;0,$H197&gt;0,OR(AUTOEVENTO&lt;&gt;"manual",$M197&lt;&gt;$A$15)),
        IF(Import.TipoArredondamento&lt;&gt;"TransfereGOV",
              ROUND(OFFSET($P197,0,BJ$13),15-13*ORÇAMENTO!$AF$7)/$H197*OFFSET(ORÇAMENTO!$X$15,ROW(BJ197)-ROW(BJ$15),0),
              ROUND(ROUND(OFFSET($P197,0,BJ$13),15-13*ORÇAMENTO!$AF$7)*OFFSET(ORÇAMENTO!$W$15,ROW(BJ197)-ROW(BJ$15),0),15-13*ORÇAMENTO!$AF$11)),
         0)</f>
        <v>0</v>
      </c>
      <c r="BK197" s="453">
        <f ca="1">IF(AND($D197="Serviço",BK$12&lt;&gt;0,$H197&gt;0,OR(AUTOEVENTO&lt;&gt;"manual",$M197&lt;&gt;$A$15)),
        IF(Import.TipoArredondamento&lt;&gt;"TransfereGOV",
              ROUND(OFFSET($P197,0,BK$13),15-13*ORÇAMENTO!$AF$7)/$H197*OFFSET(ORÇAMENTO!$X$15,ROW(BK197)-ROW(BK$15),0),
              ROUND(ROUND(OFFSET($P197,0,BK$13),15-13*ORÇAMENTO!$AF$7)*OFFSET(ORÇAMENTO!$W$15,ROW(BK197)-ROW(BK$15),0),15-13*ORÇAMENTO!$AF$11)),
         0)</f>
        <v>0</v>
      </c>
      <c r="BL197" s="453">
        <f ca="1">IF(AND($D197="Serviço",BL$12&lt;&gt;0,$H197&gt;0,OR(AUTOEVENTO&lt;&gt;"manual",$M197&lt;&gt;$A$15)),
        IF(Import.TipoArredondamento&lt;&gt;"TransfereGOV",
              ROUND(OFFSET($P197,0,BL$13),15-13*ORÇAMENTO!$AF$7)/$H197*OFFSET(ORÇAMENTO!$X$15,ROW(BL197)-ROW(BL$15),0),
              ROUND(ROUND(OFFSET($P197,0,BL$13),15-13*ORÇAMENTO!$AF$7)*OFFSET(ORÇAMENTO!$W$15,ROW(BL197)-ROW(BL$15),0),15-13*ORÇAMENTO!$AF$11)),
         0)</f>
        <v>0</v>
      </c>
      <c r="BM197" s="453">
        <f ca="1">IF(AND($D197="Serviço",BM$12&lt;&gt;0,$H197&gt;0,OR(AUTOEVENTO&lt;&gt;"manual",$M197&lt;&gt;$A$15)),
        IF(Import.TipoArredondamento&lt;&gt;"TransfereGOV",
              ROUND(OFFSET($P197,0,BM$13),15-13*ORÇAMENTO!$AF$7)/$H197*OFFSET(ORÇAMENTO!$X$15,ROW(BM197)-ROW(BM$15),0),
              ROUND(ROUND(OFFSET($P197,0,BM$13),15-13*ORÇAMENTO!$AF$7)*OFFSET(ORÇAMENTO!$W$15,ROW(BM197)-ROW(BM$15),0),15-13*ORÇAMENTO!$AF$11)),
         0)</f>
        <v>0</v>
      </c>
      <c r="BN197" s="453">
        <f ca="1">IF(AND($D197="Serviço",BN$12&lt;&gt;0,$H197&gt;0,OR(AUTOEVENTO&lt;&gt;"manual",$M197&lt;&gt;$A$15)),
        IF(Import.TipoArredondamento&lt;&gt;"TransfereGOV",
              ROUND(OFFSET($P197,0,BN$13),15-13*ORÇAMENTO!$AF$7)/$H197*OFFSET(ORÇAMENTO!$X$15,ROW(BN197)-ROW(BN$15),0),
              ROUND(ROUND(OFFSET($P197,0,BN$13),15-13*ORÇAMENTO!$AF$7)*OFFSET(ORÇAMENTO!$W$15,ROW(BN197)-ROW(BN$15),0),15-13*ORÇAMENTO!$AF$11)),
         0)</f>
        <v>0</v>
      </c>
      <c r="BO197" s="453">
        <f ca="1">IF(AND($D197="Serviço",BO$12&lt;&gt;0,$H197&gt;0,OR(AUTOEVENTO&lt;&gt;"manual",$M197&lt;&gt;$A$15)),
        IF(Import.TipoArredondamento&lt;&gt;"TransfereGOV",
              ROUND(OFFSET($P197,0,BO$13),15-13*ORÇAMENTO!$AF$7)/$H197*OFFSET(ORÇAMENTO!$X$15,ROW(BO197)-ROW(BO$15),0),
              ROUND(ROUND(OFFSET($P197,0,BO$13),15-13*ORÇAMENTO!$AF$7)*OFFSET(ORÇAMENTO!$W$15,ROW(BO197)-ROW(BO$15),0),15-13*ORÇAMENTO!$AF$11)),
         0)</f>
        <v>0</v>
      </c>
      <c r="BP197" s="453">
        <f ca="1">IF(AND($D197="Serviço",BP$12&lt;&gt;0,$H197&gt;0,OR(AUTOEVENTO&lt;&gt;"manual",$M197&lt;&gt;$A$15)),
        IF(Import.TipoArredondamento&lt;&gt;"TransfereGOV",
              ROUND(OFFSET($P197,0,BP$13),15-13*ORÇAMENTO!$AF$7)/$H197*OFFSET(ORÇAMENTO!$X$15,ROW(BP197)-ROW(BP$15),0),
              ROUND(ROUND(OFFSET($P197,0,BP$13),15-13*ORÇAMENTO!$AF$7)*OFFSET(ORÇAMENTO!$W$15,ROW(BP197)-ROW(BP$15),0),15-13*ORÇAMENTO!$AF$11)),
         0)</f>
        <v>0</v>
      </c>
      <c r="BQ197" s="453">
        <f ca="1">IF(AND($D197="Serviço",BQ$12&lt;&gt;0,$H197&gt;0,OR(AUTOEVENTO&lt;&gt;"manual",$M197&lt;&gt;$A$15)),
        IF(Import.TipoArredondamento&lt;&gt;"TransfereGOV",
              ROUND(OFFSET($P197,0,BQ$13),15-13*ORÇAMENTO!$AF$7)/$H197*OFFSET(ORÇAMENTO!$X$15,ROW(BQ197)-ROW(BQ$15),0),
              ROUND(ROUND(OFFSET($P197,0,BQ$13),15-13*ORÇAMENTO!$AF$7)*OFFSET(ORÇAMENTO!$W$15,ROW(BQ197)-ROW(BQ$15),0),15-13*ORÇAMENTO!$AF$11)),
         0)</f>
        <v>0</v>
      </c>
      <c r="BS197" s="171">
        <f ca="1">IF(OR($D197&lt;&gt;"Serviço",AND(AUTOEVENTO="Manual",$M197=$A$15)),0,
         IF(OFFSET(CRONOPLE!$F$15,$M197-$A$15,BS$13)=0,10^12,OFFSET(CRONOPLE!$F$15,$M197-$A$15,BS$13)))</f>
        <v>1</v>
      </c>
      <c r="BT197" s="171">
        <f ca="1">IF(OR($D197&lt;&gt;"Serviço",AND(AUTOEVENTO="Manual",$M197=$A$15)),0,
         IF(OFFSET(CRONOPLE!$F$15,$M197-$A$15,BT$13)=0,10^12,OFFSET(CRONOPLE!$F$15,$M197-$A$15,BT$13)))</f>
        <v>2</v>
      </c>
      <c r="BU197" s="171">
        <f ca="1">IF(OR($D197&lt;&gt;"Serviço",AND(AUTOEVENTO="Manual",$M197=$A$15)),0,
         IF(OFFSET(CRONOPLE!$F$15,$M197-$A$15,BU$13)=0,10^12,OFFSET(CRONOPLE!$F$15,$M197-$A$15,BU$13)))</f>
        <v>3</v>
      </c>
      <c r="BV197" s="171">
        <f ca="1">IF(OR($D197&lt;&gt;"Serviço",AND(AUTOEVENTO="Manual",$M197=$A$15)),0,
         IF(OFFSET(CRONOPLE!$F$15,$M197-$A$15,BV$13)=0,10^12,OFFSET(CRONOPLE!$F$15,$M197-$A$15,BV$13)))</f>
        <v>4</v>
      </c>
      <c r="BW197" s="171">
        <f ca="1">IF(OR($D197&lt;&gt;"Serviço",AND(AUTOEVENTO="Manual",$M197=$A$15)),0,
         IF(OFFSET(CRONOPLE!$F$15,$M197-$A$15,BW$13)=0,10^12,OFFSET(CRONOPLE!$F$15,$M197-$A$15,BW$13)))</f>
        <v>5</v>
      </c>
      <c r="BX197" s="171">
        <f ca="1">IF(OR($D197&lt;&gt;"Serviço",AND(AUTOEVENTO="Manual",$M197=$A$15)),0,
         IF(OFFSET(CRONOPLE!$F$15,$M197-$A$15,BX$13)=0,10^12,OFFSET(CRONOPLE!$F$15,$M197-$A$15,BX$13)))</f>
        <v>6</v>
      </c>
      <c r="BY197" s="171">
        <f ca="1">IF(OR($D197&lt;&gt;"Serviço",AND(AUTOEVENTO="Manual",$M197=$A$15)),0,
         IF(OFFSET(CRONOPLE!$F$15,$M197-$A$15,BY$13)=0,10^12,OFFSET(CRONOPLE!$F$15,$M197-$A$15,BY$13)))</f>
        <v>7</v>
      </c>
      <c r="BZ197" s="171">
        <f ca="1">IF(OR($D197&lt;&gt;"Serviço",AND(AUTOEVENTO="Manual",$M197=$A$15)),0,
         IF(OFFSET(CRONOPLE!$F$15,$M197-$A$15,BZ$13)=0,10^12,OFFSET(CRONOPLE!$F$15,$M197-$A$15,BZ$13)))</f>
        <v>8</v>
      </c>
      <c r="CA197" s="171">
        <f ca="1">IF(OR($D197&lt;&gt;"Serviço",AND(AUTOEVENTO="Manual",$M197=$A$15)),0,
         IF(OFFSET(CRONOPLE!$F$15,$M197-$A$15,CA$13)=0,10^12,OFFSET(CRONOPLE!$F$15,$M197-$A$15,CA$13)))</f>
        <v>9</v>
      </c>
      <c r="CB197" s="171">
        <f ca="1">IF(OR($D197&lt;&gt;"Serviço",AND(AUTOEVENTO="Manual",$M197=$A$15)),0,
         IF(OFFSET(CRONOPLE!$F$15,$M197-$A$15,CB$13)=0,10^12,OFFSET(CRONOPLE!$F$15,$M197-$A$15,CB$13)))</f>
        <v>10</v>
      </c>
      <c r="CC197" s="171">
        <f ca="1">IF(OR($D197&lt;&gt;"Serviço",AND(AUTOEVENTO="Manual",$M197=$A$15)),0,
         IF(OFFSET(CRONOPLE!$F$15,$M197-$A$15,CC$13)=0,10^12,OFFSET(CRONOPLE!$F$15,$M197-$A$15,CC$13)))</f>
        <v>11</v>
      </c>
      <c r="CD197" s="171">
        <f ca="1">IF(OR($D197&lt;&gt;"Serviço",AND(AUTOEVENTO="Manual",$M197=$A$15)),0,
         IF(OFFSET(CRONOPLE!$F$15,$M197-$A$15,CD$13)=0,10^12,OFFSET(CRONOPLE!$F$15,$M197-$A$15,CD$13)))</f>
        <v>12</v>
      </c>
      <c r="CE197" s="171">
        <f ca="1">IF(OR($D197&lt;&gt;"Serviço",AND(AUTOEVENTO="Manual",$M197=$A$15)),0,
         IF(OFFSET(CRONOPLE!$F$15,$M197-$A$15,CE$13)=0,10^12,OFFSET(CRONOPLE!$F$15,$M197-$A$15,CE$13)))</f>
        <v>13</v>
      </c>
      <c r="CF197" s="171">
        <f ca="1">IF(OR($D197&lt;&gt;"Serviço",AND(AUTOEVENTO="Manual",$M197=$A$15)),0,
         IF(OFFSET(CRONOPLE!$F$15,$M197-$A$15,CF$13)=0,10^12,OFFSET(CRONOPLE!$F$15,$M197-$A$15,CF$13)))</f>
        <v>14</v>
      </c>
      <c r="CG197" s="171">
        <f ca="1">IF(OR($D197&lt;&gt;"Serviço",AND(AUTOEVENTO="Manual",$M197=$A$15)),0,
         IF(OFFSET(CRONOPLE!$F$15,$M197-$A$15,CG$13)=0,10^12,OFFSET(CRONOPLE!$F$15,$M197-$A$15,CG$13)))</f>
        <v>15</v>
      </c>
      <c r="CH197" s="171">
        <f ca="1">IF(OR($D197&lt;&gt;"Serviço",AND(AUTOEVENTO="Manual",$M197=$A$15)),0,
         IF(OFFSET(CRONOPLE!$F$15,$M197-$A$15,CH$13)=0,10^12,OFFSET(CRONOPLE!$F$15,$M197-$A$15,CH$13)))</f>
        <v>16</v>
      </c>
      <c r="CI197" s="171">
        <f ca="1">IF(OR($D197&lt;&gt;"Serviço",AND(AUTOEVENTO="Manual",$M197=$A$15)),0,
         IF(OFFSET(CRONOPLE!$F$15,$M197-$A$15,CI$13)=0,10^12,OFFSET(CRONOPLE!$F$15,$M197-$A$15,CI$13)))</f>
        <v>17</v>
      </c>
      <c r="CJ197" s="171">
        <f ca="1">IF(OR($D197&lt;&gt;"Serviço",AND(AUTOEVENTO="Manual",$M197=$A$15)),0,
         IF(OFFSET(CRONOPLE!$F$15,$M197-$A$15,CJ$13)=0,10^12,OFFSET(CRONOPLE!$F$15,$M197-$A$15,CJ$13)))</f>
        <v>18</v>
      </c>
      <c r="CK197" s="171">
        <f ca="1">IF(OR($D197&lt;&gt;"Serviço",AND(AUTOEVENTO="Manual",$M197=$A$15)),0,
         IF(OFFSET(CRONOPLE!$F$15,$M197-$A$15,CK$13)=0,10^12,OFFSET(CRONOPLE!$F$15,$M197-$A$15,CK$13)))</f>
        <v>19</v>
      </c>
      <c r="CL197" s="171">
        <f ca="1">IF(OR($D197&lt;&gt;"Serviço",AND(AUTOEVENTO="Manual",$M197=$A$15)),0,
         IF(OFFSET(CRONOPLE!$F$15,$M197-$A$15,CL$13)=0,10^12,OFFSET(CRONOPLE!$F$15,$M197-$A$15,CL$13)))</f>
        <v>20</v>
      </c>
      <c r="CM197" s="171">
        <f ca="1">IF(OR($D197&lt;&gt;"Serviço",AND(AUTOEVENTO="Manual",$M197=$A$15)),0,
         IF(OFFSET(CRONOPLE!$F$15,$M197-$A$15,CM$13)=0,10^12,OFFSET(CRONOPLE!$F$15,$M197-$A$15,CM$13)))</f>
        <v>1000000000000</v>
      </c>
      <c r="CN197" s="171">
        <f ca="1">IF(OR($D197&lt;&gt;"Serviço",AND(AUTOEVENTO="Manual",$M197=$A$15)),0,
         IF(OFFSET(CRONOPLE!$F$15,$M197-$A$15,CN$13)=0,10^12,OFFSET(CRONOPLE!$F$15,$M197-$A$15,CN$13)))</f>
        <v>1000000000000</v>
      </c>
      <c r="CO197" s="171">
        <f ca="1">IF(OR($D197&lt;&gt;"Serviço",AND(AUTOEVENTO="Manual",$M197=$A$15)),0,
         IF(OFFSET(CRONOPLE!$F$15,$M197-$A$15,CO$13)=0,10^12,OFFSET(CRONOPLE!$F$15,$M197-$A$15,CO$13)))</f>
        <v>1000000000000</v>
      </c>
      <c r="CP197" s="171">
        <f ca="1">IF(OR($D197&lt;&gt;"Serviço",AND(AUTOEVENTO="Manual",$M197=$A$15)),0,
         IF(OFFSET(CRONOPLE!$F$15,$M197-$A$15,CP$13)=0,10^12,OFFSET(CRONOPLE!$F$15,$M197-$A$15,CP$13)))</f>
        <v>1000000000000</v>
      </c>
      <c r="CQ197" s="171">
        <f ca="1">IF(OR($D197&lt;&gt;"Serviço",AND(AUTOEVENTO="Manual",$M197=$A$15)),0,
         IF(OFFSET(CRONOPLE!$F$15,$M197-$A$15,CQ$13)=0,10^12,OFFSET(CRONOPLE!$F$15,$M197-$A$15,CQ$13)))</f>
        <v>1000000000000</v>
      </c>
      <c r="CR197" s="171">
        <f ca="1">IF(OR($D197&lt;&gt;"Serviço",AND(AUTOEVENTO="Manual",$M197=$A$15)),0,
         IF(OFFSET(CRONOPLE!$F$15,$M197-$A$15,CR$13)=0,10^12,OFFSET(CRONOPLE!$F$15,$M197-$A$15,CR$13)))</f>
        <v>1000000000000</v>
      </c>
      <c r="CT197" s="172" cm="1">
        <f t="array" aca="1" ref="CT197" ca="1">IF(OR($D197&lt;&gt;"Serviço",AND(AUTOEVENTO="Manual",$M197=$A$15),$M197&gt;(ROW(PLE.lastrow)-ROW(PLE.firstrow))),0,
           IF(OFFSET(PLE!$G$15,$M197-$A$15,CT$13)="",10^12,OFFSET(PLE!$G$15,$M197-$A$15,CT$13)))</f>
        <v>1000000000000</v>
      </c>
      <c r="CU197" s="172" cm="1">
        <f t="array" aca="1" ref="CU197" ca="1">IF(OR($D197&lt;&gt;"Serviço",AND(AUTOEVENTO="Manual",$M197=$A$15),$M197&gt;(ROW(PLE.lastrow)-ROW(PLE.firstrow))),0,
           IF(OFFSET(PLE!$G$15,$M197-$A$15,CU$13)="",10^12,OFFSET(PLE!$G$15,$M197-$A$15,CU$13)))</f>
        <v>1000000000000</v>
      </c>
      <c r="CV197" s="172" cm="1">
        <f t="array" aca="1" ref="CV197" ca="1">IF(OR($D197&lt;&gt;"Serviço",AND(AUTOEVENTO="Manual",$M197=$A$15),$M197&gt;(ROW(PLE.lastrow)-ROW(PLE.firstrow))),0,
           IF(OFFSET(PLE!$G$15,$M197-$A$15,CV$13)="",10^12,OFFSET(PLE!$G$15,$M197-$A$15,CV$13)))</f>
        <v>1000000000000</v>
      </c>
      <c r="CW197" s="172" cm="1">
        <f t="array" aca="1" ref="CW197" ca="1">IF(OR($D197&lt;&gt;"Serviço",AND(AUTOEVENTO="Manual",$M197=$A$15),$M197&gt;(ROW(PLE.lastrow)-ROW(PLE.firstrow))),0,
           IF(OFFSET(PLE!$G$15,$M197-$A$15,CW$13)="",10^12,OFFSET(PLE!$G$15,$M197-$A$15,CW$13)))</f>
        <v>1000000000000</v>
      </c>
      <c r="CX197" s="172" cm="1">
        <f t="array" aca="1" ref="CX197" ca="1">IF(OR($D197&lt;&gt;"Serviço",AND(AUTOEVENTO="Manual",$M197=$A$15),$M197&gt;(ROW(PLE.lastrow)-ROW(PLE.firstrow))),0,
           IF(OFFSET(PLE!$G$15,$M197-$A$15,CX$13)="",10^12,OFFSET(PLE!$G$15,$M197-$A$15,CX$13)))</f>
        <v>1000000000000</v>
      </c>
      <c r="CY197" s="172" cm="1">
        <f t="array" aca="1" ref="CY197" ca="1">IF(OR($D197&lt;&gt;"Serviço",AND(AUTOEVENTO="Manual",$M197=$A$15),$M197&gt;(ROW(PLE.lastrow)-ROW(PLE.firstrow))),0,
           IF(OFFSET(PLE!$G$15,$M197-$A$15,CY$13)="",10^12,OFFSET(PLE!$G$15,$M197-$A$15,CY$13)))</f>
        <v>1000000000000</v>
      </c>
      <c r="CZ197" s="172" cm="1">
        <f t="array" aca="1" ref="CZ197" ca="1">IF(OR($D197&lt;&gt;"Serviço",AND(AUTOEVENTO="Manual",$M197=$A$15),$M197&gt;(ROW(PLE.lastrow)-ROW(PLE.firstrow))),0,
           IF(OFFSET(PLE!$G$15,$M197-$A$15,CZ$13)="",10^12,OFFSET(PLE!$G$15,$M197-$A$15,CZ$13)))</f>
        <v>1000000000000</v>
      </c>
      <c r="DA197" s="172" cm="1">
        <f t="array" aca="1" ref="DA197" ca="1">IF(OR($D197&lt;&gt;"Serviço",AND(AUTOEVENTO="Manual",$M197=$A$15),$M197&gt;(ROW(PLE.lastrow)-ROW(PLE.firstrow))),0,
           IF(OFFSET(PLE!$G$15,$M197-$A$15,DA$13)="",10^12,OFFSET(PLE!$G$15,$M197-$A$15,DA$13)))</f>
        <v>1000000000000</v>
      </c>
      <c r="DB197" s="172" cm="1">
        <f t="array" aca="1" ref="DB197" ca="1">IF(OR($D197&lt;&gt;"Serviço",AND(AUTOEVENTO="Manual",$M197=$A$15),$M197&gt;(ROW(PLE.lastrow)-ROW(PLE.firstrow))),0,
           IF(OFFSET(PLE!$G$15,$M197-$A$15,DB$13)="",10^12,OFFSET(PLE!$G$15,$M197-$A$15,DB$13)))</f>
        <v>1000000000000</v>
      </c>
      <c r="DC197" s="172" cm="1">
        <f t="array" aca="1" ref="DC197" ca="1">IF(OR($D197&lt;&gt;"Serviço",AND(AUTOEVENTO="Manual",$M197=$A$15),$M197&gt;(ROW(PLE.lastrow)-ROW(PLE.firstrow))),0,
           IF(OFFSET(PLE!$G$15,$M197-$A$15,DC$13)="",10^12,OFFSET(PLE!$G$15,$M197-$A$15,DC$13)))</f>
        <v>1000000000000</v>
      </c>
      <c r="DD197" s="172" cm="1">
        <f t="array" aca="1" ref="DD197" ca="1">IF(OR($D197&lt;&gt;"Serviço",AND(AUTOEVENTO="Manual",$M197=$A$15),$M197&gt;(ROW(PLE.lastrow)-ROW(PLE.firstrow))),0,
           IF(OFFSET(PLE!$G$15,$M197-$A$15,DD$13)="",10^12,OFFSET(PLE!$G$15,$M197-$A$15,DD$13)))</f>
        <v>1000000000000</v>
      </c>
      <c r="DE197" s="172" cm="1">
        <f t="array" aca="1" ref="DE197" ca="1">IF(OR($D197&lt;&gt;"Serviço",AND(AUTOEVENTO="Manual",$M197=$A$15),$M197&gt;(ROW(PLE.lastrow)-ROW(PLE.firstrow))),0,
           IF(OFFSET(PLE!$G$15,$M197-$A$15,DE$13)="",10^12,OFFSET(PLE!$G$15,$M197-$A$15,DE$13)))</f>
        <v>1000000000000</v>
      </c>
      <c r="DF197" s="172" cm="1">
        <f t="array" aca="1" ref="DF197" ca="1">IF(OR($D197&lt;&gt;"Serviço",AND(AUTOEVENTO="Manual",$M197=$A$15),$M197&gt;(ROW(PLE.lastrow)-ROW(PLE.firstrow))),0,
           IF(OFFSET(PLE!$G$15,$M197-$A$15,DF$13)="",10^12,OFFSET(PLE!$G$15,$M197-$A$15,DF$13)))</f>
        <v>1000000000000</v>
      </c>
      <c r="DG197" s="172" cm="1">
        <f t="array" aca="1" ref="DG197" ca="1">IF(OR($D197&lt;&gt;"Serviço",AND(AUTOEVENTO="Manual",$M197=$A$15),$M197&gt;(ROW(PLE.lastrow)-ROW(PLE.firstrow))),0,
           IF(OFFSET(PLE!$G$15,$M197-$A$15,DG$13)="",10^12,OFFSET(PLE!$G$15,$M197-$A$15,DG$13)))</f>
        <v>1000000000000</v>
      </c>
      <c r="DH197" s="172" cm="1">
        <f t="array" aca="1" ref="DH197" ca="1">IF(OR($D197&lt;&gt;"Serviço",AND(AUTOEVENTO="Manual",$M197=$A$15),$M197&gt;(ROW(PLE.lastrow)-ROW(PLE.firstrow))),0,
           IF(OFFSET(PLE!$G$15,$M197-$A$15,DH$13)="",10^12,OFFSET(PLE!$G$15,$M197-$A$15,DH$13)))</f>
        <v>1000000000000</v>
      </c>
      <c r="DI197" s="172" cm="1">
        <f t="array" aca="1" ref="DI197" ca="1">IF(OR($D197&lt;&gt;"Serviço",AND(AUTOEVENTO="Manual",$M197=$A$15),$M197&gt;(ROW(PLE.lastrow)-ROW(PLE.firstrow))),0,
           IF(OFFSET(PLE!$G$15,$M197-$A$15,DI$13)="",10^12,OFFSET(PLE!$G$15,$M197-$A$15,DI$13)))</f>
        <v>1000000000000</v>
      </c>
      <c r="DJ197" s="172" cm="1">
        <f t="array" aca="1" ref="DJ197" ca="1">IF(OR($D197&lt;&gt;"Serviço",AND(AUTOEVENTO="Manual",$M197=$A$15),$M197&gt;(ROW(PLE.lastrow)-ROW(PLE.firstrow))),0,
           IF(OFFSET(PLE!$G$15,$M197-$A$15,DJ$13)="",10^12,OFFSET(PLE!$G$15,$M197-$A$15,DJ$13)))</f>
        <v>1000000000000</v>
      </c>
      <c r="DK197" s="172" cm="1">
        <f t="array" aca="1" ref="DK197" ca="1">IF(OR($D197&lt;&gt;"Serviço",AND(AUTOEVENTO="Manual",$M197=$A$15),$M197&gt;(ROW(PLE.lastrow)-ROW(PLE.firstrow))),0,
           IF(OFFSET(PLE!$G$15,$M197-$A$15,DK$13)="",10^12,OFFSET(PLE!$G$15,$M197-$A$15,DK$13)))</f>
        <v>1000000000000</v>
      </c>
      <c r="DL197" s="172" cm="1">
        <f t="array" aca="1" ref="DL197" ca="1">IF(OR($D197&lt;&gt;"Serviço",AND(AUTOEVENTO="Manual",$M197=$A$15),$M197&gt;(ROW(PLE.lastrow)-ROW(PLE.firstrow))),0,
           IF(OFFSET(PLE!$G$15,$M197-$A$15,DL$13)="",10^12,OFFSET(PLE!$G$15,$M197-$A$15,DL$13)))</f>
        <v>1000000000000</v>
      </c>
      <c r="DM197" s="172" cm="1">
        <f t="array" aca="1" ref="DM197" ca="1">IF(OR($D197&lt;&gt;"Serviço",AND(AUTOEVENTO="Manual",$M197=$A$15),$M197&gt;(ROW(PLE.lastrow)-ROW(PLE.firstrow))),0,
           IF(OFFSET(PLE!$G$15,$M197-$A$15,DM$13)="",10^12,OFFSET(PLE!$G$15,$M197-$A$15,DM$13)))</f>
        <v>1000000000000</v>
      </c>
      <c r="DN197" s="172" cm="1">
        <f t="array" aca="1" ref="DN197" ca="1">IF(OR($D197&lt;&gt;"Serviço",AND(AUTOEVENTO="Manual",$M197=$A$15),$M197&gt;(ROW(PLE.lastrow)-ROW(PLE.firstrow))),0,
           IF(OFFSET(PLE!$G$15,$M197-$A$15,DN$13)="",10^12,OFFSET(PLE!$G$15,$M197-$A$15,DN$13)))</f>
        <v>1000000000000</v>
      </c>
      <c r="DO197" s="172" cm="1">
        <f t="array" aca="1" ref="DO197" ca="1">IF(OR($D197&lt;&gt;"Serviço",AND(AUTOEVENTO="Manual",$M197=$A$15),$M197&gt;(ROW(PLE.lastrow)-ROW(PLE.firstrow))),0,
           IF(OFFSET(PLE!$G$15,$M197-$A$15,DO$13)="",10^12,OFFSET(PLE!$G$15,$M197-$A$15,DO$13)))</f>
        <v>1000000000000</v>
      </c>
      <c r="DP197" s="172" cm="1">
        <f t="array" aca="1" ref="DP197" ca="1">IF(OR($D197&lt;&gt;"Serviço",AND(AUTOEVENTO="Manual",$M197=$A$15),$M197&gt;(ROW(PLE.lastrow)-ROW(PLE.firstrow))),0,
           IF(OFFSET(PLE!$G$15,$M197-$A$15,DP$13)="",10^12,OFFSET(PLE!$G$15,$M197-$A$15,DP$13)))</f>
        <v>1000000000000</v>
      </c>
      <c r="DQ197" s="172" cm="1">
        <f t="array" aca="1" ref="DQ197" ca="1">IF(OR($D197&lt;&gt;"Serviço",AND(AUTOEVENTO="Manual",$M197=$A$15),$M197&gt;(ROW(PLE.lastrow)-ROW(PLE.firstrow))),0,
           IF(OFFSET(PLE!$G$15,$M197-$A$15,DQ$13)="",10^12,OFFSET(PLE!$G$15,$M197-$A$15,DQ$13)))</f>
        <v>1000000000000</v>
      </c>
      <c r="DR197" s="172" cm="1">
        <f t="array" aca="1" ref="DR197" ca="1">IF(OR($D197&lt;&gt;"Serviço",AND(AUTOEVENTO="Manual",$M197=$A$15),$M197&gt;(ROW(PLE.lastrow)-ROW(PLE.firstrow))),0,
           IF(OFFSET(PLE!$G$15,$M197-$A$15,DR$13)="",10^12,OFFSET(PLE!$G$15,$M197-$A$15,DR$13)))</f>
        <v>1000000000000</v>
      </c>
      <c r="DS197" s="172" cm="1">
        <f t="array" aca="1" ref="DS197" ca="1">IF(OR($D197&lt;&gt;"Serviço",AND(AUTOEVENTO="Manual",$M197=$A$15),$M197&gt;(ROW(PLE.lastrow)-ROW(PLE.firstrow))),0,
           IF(OFFSET(PLE!$G$15,$M197-$A$15,DS$13)="",10^12,OFFSET(PLE!$G$15,$M197-$A$15,DS$13)))</f>
        <v>1000000000000</v>
      </c>
    </row>
    <row r="198" spans="1:123" ht="38.25" x14ac:dyDescent="0.2">
      <c r="A198" s="7">
        <f t="shared" ca="1" si="18"/>
        <v>9</v>
      </c>
      <c r="B198" s="7" t="str">
        <f ca="1">OFFSET(ORÇAMENTO!C$15,$L198,0)</f>
        <v>S</v>
      </c>
      <c r="C198" s="7" t="str">
        <f ca="1">OFFSET(ORÇAMENTO!L$15,$L198,0)</f>
        <v/>
      </c>
      <c r="D198" s="116" t="str">
        <f ca="1">OFFSET(ORÇAMENTO!N$15,$L198,0)</f>
        <v>Serviço</v>
      </c>
      <c r="E198" s="117" t="str">
        <f ca="1">OFFSET(ORÇAMENTO!O$15,$L198,0)</f>
        <v>-</v>
      </c>
      <c r="F198" s="163" t="str">
        <f ca="1">OFFSET(ORÇAMENTO!R$15,$L198,0)</f>
        <v>(Código não identificado nas referências)</v>
      </c>
      <c r="G198" s="164" t="str">
        <f ca="1">IF($D198&lt;&gt;"Serviço","",OFFSET(ORÇAMENTO!S$15,$L198,0))</f>
        <v>-</v>
      </c>
      <c r="H198" s="122" cm="1">
        <f t="array" aca="1" ref="H198" ca="1">IF($D198&lt;&gt;"Serviço",0,IF(ACOMPANHAMENTO="BM",ROUND(OFFSET(ORÇAMENTO!AJ$15,$L198,0),15-13*ORÇAMENTO!$AF$7),IF(IFERROR(CÁLCULO.FrentesPreenchidas,0)=0,0,SUM(ROUND(OFFSET($P198,0,1,1,CÁLCULO.FrentesPreenchidas),15-13*ORÇAMENTO!$AF$7)))))</f>
        <v>40</v>
      </c>
      <c r="I198" s="468" t="s">
        <v>1235</v>
      </c>
      <c r="J198" s="651" t="str" cm="1">
        <f t="array" aca="1" ref="J198" ca="1">IF(OR(B198&lt;&gt;"S",CÁLCULO.FrentesPreenchidas=0),"",IF(AND(ACOMPANHAMENTO="PLE",AUTOEVENTO="Manual",OR(H198&gt;0,ORÇAMENTO!AC198="QUANT."),OR(K198="",M198=0,N198="")),"►E",IF(AND(ACOMPANHAMENTO="PLE",ORÇAMENTO!AC198="QUANT."),"►Q",IF(AND(ACOMPANHAMENTO="PLE",H198&lt;&gt;SUMPRODUCT(($Q$1:$AQ$1=1)*ROUND(Q198:AQ198,15))),"►S",IF(AND(COUNTIF($P$11:$AQ$11,"▼")=0,H198&gt;0,I198=""),"◄M","")))))</f>
        <v/>
      </c>
      <c r="K198" s="652" t="s">
        <v>1257</v>
      </c>
      <c r="L198" s="165">
        <f t="shared" ca="1" si="17"/>
        <v>183</v>
      </c>
      <c r="M198" s="166">
        <f ca="1">IF($D198&lt;&gt;"Serviço","",
          IF(AUTOEVENTO="manual",$A198,
                IF(ISERROR(MATCH($A198,$A$15:OFFSET($A198,-1,0),0)),MAX($M$15:OFFSET(M198,-1,0))+1,
                      INDEX($M$15:OFFSET(M198,-1,0),MATCH($A198,$A$15:OFFSET($A198,-1,0),0)))))</f>
        <v>9</v>
      </c>
      <c r="N198" s="167" t="str">
        <f ca="1">IF($D198&lt;&gt;"Serviço","",
         IF(AUTOEVENTO="Manual",
                IF($A198=0,"&lt;-- defina o número do agrupador",
                       OFFSET(EVENTOS!$D$15,$A198-$A$15,0)),
                OFFSET($F$15,$A198,0)))</f>
        <v>INSTALAÇÕES</v>
      </c>
      <c r="O198" s="168"/>
      <c r="Q198" s="168">
        <v>2</v>
      </c>
      <c r="R198" s="169">
        <v>2</v>
      </c>
      <c r="S198" s="169">
        <v>2</v>
      </c>
      <c r="T198" s="169">
        <v>2</v>
      </c>
      <c r="U198" s="169">
        <v>2</v>
      </c>
      <c r="V198" s="169">
        <v>2</v>
      </c>
      <c r="W198" s="169">
        <v>2</v>
      </c>
      <c r="X198" s="169">
        <v>2</v>
      </c>
      <c r="Y198" s="169">
        <v>2</v>
      </c>
      <c r="Z198" s="170">
        <v>2</v>
      </c>
      <c r="AA198" s="169">
        <v>2</v>
      </c>
      <c r="AB198" s="169">
        <v>2</v>
      </c>
      <c r="AC198" s="169">
        <v>2</v>
      </c>
      <c r="AD198" s="169">
        <v>2</v>
      </c>
      <c r="AE198" s="169">
        <v>2</v>
      </c>
      <c r="AF198" s="169">
        <v>2</v>
      </c>
      <c r="AG198" s="169">
        <v>2</v>
      </c>
      <c r="AH198" s="170">
        <v>2</v>
      </c>
      <c r="AI198" s="169">
        <v>2</v>
      </c>
      <c r="AJ198" s="169">
        <v>2</v>
      </c>
      <c r="AK198" s="169"/>
      <c r="AL198" s="169"/>
      <c r="AM198" s="169"/>
      <c r="AN198" s="169"/>
      <c r="AO198" s="169"/>
      <c r="AP198" s="170"/>
      <c r="AR198" s="453">
        <f ca="1">IF(AND($D198="Serviço",AR$12&lt;&gt;0,$H198&gt;0,OR(AUTOEVENTO&lt;&gt;"manual",$M198&lt;&gt;$A$15)),
        IF(Import.TipoArredondamento&lt;&gt;"TransfereGOV",
              ROUND(OFFSET($P198,0,AR$13),15-13*ORÇAMENTO!$AF$7)/$H198*OFFSET(ORÇAMENTO!$X$15,ROW(AR198)-ROW(AR$15),0),
              ROUND(ROUND(OFFSET($P198,0,AR$13),15-13*ORÇAMENTO!$AF$7)*OFFSET(ORÇAMENTO!$W$15,ROW(AR198)-ROW(AR$15),0),15-13*ORÇAMENTO!$AF$11)),
         0)</f>
        <v>0</v>
      </c>
      <c r="AS198" s="453">
        <f ca="1">IF(AND($D198="Serviço",AS$12&lt;&gt;0,$H198&gt;0,OR(AUTOEVENTO&lt;&gt;"manual",$M198&lt;&gt;$A$15)),
        IF(Import.TipoArredondamento&lt;&gt;"TransfereGOV",
              ROUND(OFFSET($P198,0,AS$13),15-13*ORÇAMENTO!$AF$7)/$H198*OFFSET(ORÇAMENTO!$X$15,ROW(AS198)-ROW(AS$15),0),
              ROUND(ROUND(OFFSET($P198,0,AS$13),15-13*ORÇAMENTO!$AF$7)*OFFSET(ORÇAMENTO!$W$15,ROW(AS198)-ROW(AS$15),0),15-13*ORÇAMENTO!$AF$11)),
         0)</f>
        <v>0</v>
      </c>
      <c r="AT198" s="453">
        <f ca="1">IF(AND($D198="Serviço",AT$12&lt;&gt;0,$H198&gt;0,OR(AUTOEVENTO&lt;&gt;"manual",$M198&lt;&gt;$A$15)),
        IF(Import.TipoArredondamento&lt;&gt;"TransfereGOV",
              ROUND(OFFSET($P198,0,AT$13),15-13*ORÇAMENTO!$AF$7)/$H198*OFFSET(ORÇAMENTO!$X$15,ROW(AT198)-ROW(AT$15),0),
              ROUND(ROUND(OFFSET($P198,0,AT$13),15-13*ORÇAMENTO!$AF$7)*OFFSET(ORÇAMENTO!$W$15,ROW(AT198)-ROW(AT$15),0),15-13*ORÇAMENTO!$AF$11)),
         0)</f>
        <v>0</v>
      </c>
      <c r="AU198" s="453">
        <f ca="1">IF(AND($D198="Serviço",AU$12&lt;&gt;0,$H198&gt;0,OR(AUTOEVENTO&lt;&gt;"manual",$M198&lt;&gt;$A$15)),
        IF(Import.TipoArredondamento&lt;&gt;"TransfereGOV",
              ROUND(OFFSET($P198,0,AU$13),15-13*ORÇAMENTO!$AF$7)/$H198*OFFSET(ORÇAMENTO!$X$15,ROW(AU198)-ROW(AU$15),0),
              ROUND(ROUND(OFFSET($P198,0,AU$13),15-13*ORÇAMENTO!$AF$7)*OFFSET(ORÇAMENTO!$W$15,ROW(AU198)-ROW(AU$15),0),15-13*ORÇAMENTO!$AF$11)),
         0)</f>
        <v>0</v>
      </c>
      <c r="AV198" s="453">
        <f ca="1">IF(AND($D198="Serviço",AV$12&lt;&gt;0,$H198&gt;0,OR(AUTOEVENTO&lt;&gt;"manual",$M198&lt;&gt;$A$15)),
        IF(Import.TipoArredondamento&lt;&gt;"TransfereGOV",
              ROUND(OFFSET($P198,0,AV$13),15-13*ORÇAMENTO!$AF$7)/$H198*OFFSET(ORÇAMENTO!$X$15,ROW(AV198)-ROW(AV$15),0),
              ROUND(ROUND(OFFSET($P198,0,AV$13),15-13*ORÇAMENTO!$AF$7)*OFFSET(ORÇAMENTO!$W$15,ROW(AV198)-ROW(AV$15),0),15-13*ORÇAMENTO!$AF$11)),
         0)</f>
        <v>0</v>
      </c>
      <c r="AW198" s="453">
        <f ca="1">IF(AND($D198="Serviço",AW$12&lt;&gt;0,$H198&gt;0,OR(AUTOEVENTO&lt;&gt;"manual",$M198&lt;&gt;$A$15)),
        IF(Import.TipoArredondamento&lt;&gt;"TransfereGOV",
              ROUND(OFFSET($P198,0,AW$13),15-13*ORÇAMENTO!$AF$7)/$H198*OFFSET(ORÇAMENTO!$X$15,ROW(AW198)-ROW(AW$15),0),
              ROUND(ROUND(OFFSET($P198,0,AW$13),15-13*ORÇAMENTO!$AF$7)*OFFSET(ORÇAMENTO!$W$15,ROW(AW198)-ROW(AW$15),0),15-13*ORÇAMENTO!$AF$11)),
         0)</f>
        <v>0</v>
      </c>
      <c r="AX198" s="453">
        <f ca="1">IF(AND($D198="Serviço",AX$12&lt;&gt;0,$H198&gt;0,OR(AUTOEVENTO&lt;&gt;"manual",$M198&lt;&gt;$A$15)),
        IF(Import.TipoArredondamento&lt;&gt;"TransfereGOV",
              ROUND(OFFSET($P198,0,AX$13),15-13*ORÇAMENTO!$AF$7)/$H198*OFFSET(ORÇAMENTO!$X$15,ROW(AX198)-ROW(AX$15),0),
              ROUND(ROUND(OFFSET($P198,0,AX$13),15-13*ORÇAMENTO!$AF$7)*OFFSET(ORÇAMENTO!$W$15,ROW(AX198)-ROW(AX$15),0),15-13*ORÇAMENTO!$AF$11)),
         0)</f>
        <v>0</v>
      </c>
      <c r="AY198" s="453">
        <f ca="1">IF(AND($D198="Serviço",AY$12&lt;&gt;0,$H198&gt;0,OR(AUTOEVENTO&lt;&gt;"manual",$M198&lt;&gt;$A$15)),
        IF(Import.TipoArredondamento&lt;&gt;"TransfereGOV",
              ROUND(OFFSET($P198,0,AY$13),15-13*ORÇAMENTO!$AF$7)/$H198*OFFSET(ORÇAMENTO!$X$15,ROW(AY198)-ROW(AY$15),0),
              ROUND(ROUND(OFFSET($P198,0,AY$13),15-13*ORÇAMENTO!$AF$7)*OFFSET(ORÇAMENTO!$W$15,ROW(AY198)-ROW(AY$15),0),15-13*ORÇAMENTO!$AF$11)),
         0)</f>
        <v>0</v>
      </c>
      <c r="AZ198" s="453">
        <f ca="1">IF(AND($D198="Serviço",AZ$12&lt;&gt;0,$H198&gt;0,OR(AUTOEVENTO&lt;&gt;"manual",$M198&lt;&gt;$A$15)),
        IF(Import.TipoArredondamento&lt;&gt;"TransfereGOV",
              ROUND(OFFSET($P198,0,AZ$13),15-13*ORÇAMENTO!$AF$7)/$H198*OFFSET(ORÇAMENTO!$X$15,ROW(AZ198)-ROW(AZ$15),0),
              ROUND(ROUND(OFFSET($P198,0,AZ$13),15-13*ORÇAMENTO!$AF$7)*OFFSET(ORÇAMENTO!$W$15,ROW(AZ198)-ROW(AZ$15),0),15-13*ORÇAMENTO!$AF$11)),
         0)</f>
        <v>0</v>
      </c>
      <c r="BA198" s="453">
        <f ca="1">IF(AND($D198="Serviço",BA$12&lt;&gt;0,$H198&gt;0,OR(AUTOEVENTO&lt;&gt;"manual",$M198&lt;&gt;$A$15)),
        IF(Import.TipoArredondamento&lt;&gt;"TransfereGOV",
              ROUND(OFFSET($P198,0,BA$13),15-13*ORÇAMENTO!$AF$7)/$H198*OFFSET(ORÇAMENTO!$X$15,ROW(BA198)-ROW(BA$15),0),
              ROUND(ROUND(OFFSET($P198,0,BA$13),15-13*ORÇAMENTO!$AF$7)*OFFSET(ORÇAMENTO!$W$15,ROW(BA198)-ROW(BA$15),0),15-13*ORÇAMENTO!$AF$11)),
         0)</f>
        <v>0</v>
      </c>
      <c r="BB198" s="453">
        <f ca="1">IF(AND($D198="Serviço",BB$12&lt;&gt;0,$H198&gt;0,OR(AUTOEVENTO&lt;&gt;"manual",$M198&lt;&gt;$A$15)),
        IF(Import.TipoArredondamento&lt;&gt;"TransfereGOV",
              ROUND(OFFSET($P198,0,BB$13),15-13*ORÇAMENTO!$AF$7)/$H198*OFFSET(ORÇAMENTO!$X$15,ROW(BB198)-ROW(BB$15),0),
              ROUND(ROUND(OFFSET($P198,0,BB$13),15-13*ORÇAMENTO!$AF$7)*OFFSET(ORÇAMENTO!$W$15,ROW(BB198)-ROW(BB$15),0),15-13*ORÇAMENTO!$AF$11)),
         0)</f>
        <v>0</v>
      </c>
      <c r="BC198" s="453">
        <f ca="1">IF(AND($D198="Serviço",BC$12&lt;&gt;0,$H198&gt;0,OR(AUTOEVENTO&lt;&gt;"manual",$M198&lt;&gt;$A$15)),
        IF(Import.TipoArredondamento&lt;&gt;"TransfereGOV",
              ROUND(OFFSET($P198,0,BC$13),15-13*ORÇAMENTO!$AF$7)/$H198*OFFSET(ORÇAMENTO!$X$15,ROW(BC198)-ROW(BC$15),0),
              ROUND(ROUND(OFFSET($P198,0,BC$13),15-13*ORÇAMENTO!$AF$7)*OFFSET(ORÇAMENTO!$W$15,ROW(BC198)-ROW(BC$15),0),15-13*ORÇAMENTO!$AF$11)),
         0)</f>
        <v>0</v>
      </c>
      <c r="BD198" s="453">
        <f ca="1">IF(AND($D198="Serviço",BD$12&lt;&gt;0,$H198&gt;0,OR(AUTOEVENTO&lt;&gt;"manual",$M198&lt;&gt;$A$15)),
        IF(Import.TipoArredondamento&lt;&gt;"TransfereGOV",
              ROUND(OFFSET($P198,0,BD$13),15-13*ORÇAMENTO!$AF$7)/$H198*OFFSET(ORÇAMENTO!$X$15,ROW(BD198)-ROW(BD$15),0),
              ROUND(ROUND(OFFSET($P198,0,BD$13),15-13*ORÇAMENTO!$AF$7)*OFFSET(ORÇAMENTO!$W$15,ROW(BD198)-ROW(BD$15),0),15-13*ORÇAMENTO!$AF$11)),
         0)</f>
        <v>0</v>
      </c>
      <c r="BE198" s="453">
        <f ca="1">IF(AND($D198="Serviço",BE$12&lt;&gt;0,$H198&gt;0,OR(AUTOEVENTO&lt;&gt;"manual",$M198&lt;&gt;$A$15)),
        IF(Import.TipoArredondamento&lt;&gt;"TransfereGOV",
              ROUND(OFFSET($P198,0,BE$13),15-13*ORÇAMENTO!$AF$7)/$H198*OFFSET(ORÇAMENTO!$X$15,ROW(BE198)-ROW(BE$15),0),
              ROUND(ROUND(OFFSET($P198,0,BE$13),15-13*ORÇAMENTO!$AF$7)*OFFSET(ORÇAMENTO!$W$15,ROW(BE198)-ROW(BE$15),0),15-13*ORÇAMENTO!$AF$11)),
         0)</f>
        <v>0</v>
      </c>
      <c r="BF198" s="453">
        <f ca="1">IF(AND($D198="Serviço",BF$12&lt;&gt;0,$H198&gt;0,OR(AUTOEVENTO&lt;&gt;"manual",$M198&lt;&gt;$A$15)),
        IF(Import.TipoArredondamento&lt;&gt;"TransfereGOV",
              ROUND(OFFSET($P198,0,BF$13),15-13*ORÇAMENTO!$AF$7)/$H198*OFFSET(ORÇAMENTO!$X$15,ROW(BF198)-ROW(BF$15),0),
              ROUND(ROUND(OFFSET($P198,0,BF$13),15-13*ORÇAMENTO!$AF$7)*OFFSET(ORÇAMENTO!$W$15,ROW(BF198)-ROW(BF$15),0),15-13*ORÇAMENTO!$AF$11)),
         0)</f>
        <v>0</v>
      </c>
      <c r="BG198" s="453">
        <f ca="1">IF(AND($D198="Serviço",BG$12&lt;&gt;0,$H198&gt;0,OR(AUTOEVENTO&lt;&gt;"manual",$M198&lt;&gt;$A$15)),
        IF(Import.TipoArredondamento&lt;&gt;"TransfereGOV",
              ROUND(OFFSET($P198,0,BG$13),15-13*ORÇAMENTO!$AF$7)/$H198*OFFSET(ORÇAMENTO!$X$15,ROW(BG198)-ROW(BG$15),0),
              ROUND(ROUND(OFFSET($P198,0,BG$13),15-13*ORÇAMENTO!$AF$7)*OFFSET(ORÇAMENTO!$W$15,ROW(BG198)-ROW(BG$15),0),15-13*ORÇAMENTO!$AF$11)),
         0)</f>
        <v>0</v>
      </c>
      <c r="BH198" s="453">
        <f ca="1">IF(AND($D198="Serviço",BH$12&lt;&gt;0,$H198&gt;0,OR(AUTOEVENTO&lt;&gt;"manual",$M198&lt;&gt;$A$15)),
        IF(Import.TipoArredondamento&lt;&gt;"TransfereGOV",
              ROUND(OFFSET($P198,0,BH$13),15-13*ORÇAMENTO!$AF$7)/$H198*OFFSET(ORÇAMENTO!$X$15,ROW(BH198)-ROW(BH$15),0),
              ROUND(ROUND(OFFSET($P198,0,BH$13),15-13*ORÇAMENTO!$AF$7)*OFFSET(ORÇAMENTO!$W$15,ROW(BH198)-ROW(BH$15),0),15-13*ORÇAMENTO!$AF$11)),
         0)</f>
        <v>0</v>
      </c>
      <c r="BI198" s="453">
        <f ca="1">IF(AND($D198="Serviço",BI$12&lt;&gt;0,$H198&gt;0,OR(AUTOEVENTO&lt;&gt;"manual",$M198&lt;&gt;$A$15)),
        IF(Import.TipoArredondamento&lt;&gt;"TransfereGOV",
              ROUND(OFFSET($P198,0,BI$13),15-13*ORÇAMENTO!$AF$7)/$H198*OFFSET(ORÇAMENTO!$X$15,ROW(BI198)-ROW(BI$15),0),
              ROUND(ROUND(OFFSET($P198,0,BI$13),15-13*ORÇAMENTO!$AF$7)*OFFSET(ORÇAMENTO!$W$15,ROW(BI198)-ROW(BI$15),0),15-13*ORÇAMENTO!$AF$11)),
         0)</f>
        <v>0</v>
      </c>
      <c r="BJ198" s="453">
        <f ca="1">IF(AND($D198="Serviço",BJ$12&lt;&gt;0,$H198&gt;0,OR(AUTOEVENTO&lt;&gt;"manual",$M198&lt;&gt;$A$15)),
        IF(Import.TipoArredondamento&lt;&gt;"TransfereGOV",
              ROUND(OFFSET($P198,0,BJ$13),15-13*ORÇAMENTO!$AF$7)/$H198*OFFSET(ORÇAMENTO!$X$15,ROW(BJ198)-ROW(BJ$15),0),
              ROUND(ROUND(OFFSET($P198,0,BJ$13),15-13*ORÇAMENTO!$AF$7)*OFFSET(ORÇAMENTO!$W$15,ROW(BJ198)-ROW(BJ$15),0),15-13*ORÇAMENTO!$AF$11)),
         0)</f>
        <v>0</v>
      </c>
      <c r="BK198" s="453">
        <f ca="1">IF(AND($D198="Serviço",BK$12&lt;&gt;0,$H198&gt;0,OR(AUTOEVENTO&lt;&gt;"manual",$M198&lt;&gt;$A$15)),
        IF(Import.TipoArredondamento&lt;&gt;"TransfereGOV",
              ROUND(OFFSET($P198,0,BK$13),15-13*ORÇAMENTO!$AF$7)/$H198*OFFSET(ORÇAMENTO!$X$15,ROW(BK198)-ROW(BK$15),0),
              ROUND(ROUND(OFFSET($P198,0,BK$13),15-13*ORÇAMENTO!$AF$7)*OFFSET(ORÇAMENTO!$W$15,ROW(BK198)-ROW(BK$15),0),15-13*ORÇAMENTO!$AF$11)),
         0)</f>
        <v>0</v>
      </c>
      <c r="BL198" s="453">
        <f ca="1">IF(AND($D198="Serviço",BL$12&lt;&gt;0,$H198&gt;0,OR(AUTOEVENTO&lt;&gt;"manual",$M198&lt;&gt;$A$15)),
        IF(Import.TipoArredondamento&lt;&gt;"TransfereGOV",
              ROUND(OFFSET($P198,0,BL$13),15-13*ORÇAMENTO!$AF$7)/$H198*OFFSET(ORÇAMENTO!$X$15,ROW(BL198)-ROW(BL$15),0),
              ROUND(ROUND(OFFSET($P198,0,BL$13),15-13*ORÇAMENTO!$AF$7)*OFFSET(ORÇAMENTO!$W$15,ROW(BL198)-ROW(BL$15),0),15-13*ORÇAMENTO!$AF$11)),
         0)</f>
        <v>0</v>
      </c>
      <c r="BM198" s="453">
        <f ca="1">IF(AND($D198="Serviço",BM$12&lt;&gt;0,$H198&gt;0,OR(AUTOEVENTO&lt;&gt;"manual",$M198&lt;&gt;$A$15)),
        IF(Import.TipoArredondamento&lt;&gt;"TransfereGOV",
              ROUND(OFFSET($P198,0,BM$13),15-13*ORÇAMENTO!$AF$7)/$H198*OFFSET(ORÇAMENTO!$X$15,ROW(BM198)-ROW(BM$15),0),
              ROUND(ROUND(OFFSET($P198,0,BM$13),15-13*ORÇAMENTO!$AF$7)*OFFSET(ORÇAMENTO!$W$15,ROW(BM198)-ROW(BM$15),0),15-13*ORÇAMENTO!$AF$11)),
         0)</f>
        <v>0</v>
      </c>
      <c r="BN198" s="453">
        <f ca="1">IF(AND($D198="Serviço",BN$12&lt;&gt;0,$H198&gt;0,OR(AUTOEVENTO&lt;&gt;"manual",$M198&lt;&gt;$A$15)),
        IF(Import.TipoArredondamento&lt;&gt;"TransfereGOV",
              ROUND(OFFSET($P198,0,BN$13),15-13*ORÇAMENTO!$AF$7)/$H198*OFFSET(ORÇAMENTO!$X$15,ROW(BN198)-ROW(BN$15),0),
              ROUND(ROUND(OFFSET($P198,0,BN$13),15-13*ORÇAMENTO!$AF$7)*OFFSET(ORÇAMENTO!$W$15,ROW(BN198)-ROW(BN$15),0),15-13*ORÇAMENTO!$AF$11)),
         0)</f>
        <v>0</v>
      </c>
      <c r="BO198" s="453">
        <f ca="1">IF(AND($D198="Serviço",BO$12&lt;&gt;0,$H198&gt;0,OR(AUTOEVENTO&lt;&gt;"manual",$M198&lt;&gt;$A$15)),
        IF(Import.TipoArredondamento&lt;&gt;"TransfereGOV",
              ROUND(OFFSET($P198,0,BO$13),15-13*ORÇAMENTO!$AF$7)/$H198*OFFSET(ORÇAMENTO!$X$15,ROW(BO198)-ROW(BO$15),0),
              ROUND(ROUND(OFFSET($P198,0,BO$13),15-13*ORÇAMENTO!$AF$7)*OFFSET(ORÇAMENTO!$W$15,ROW(BO198)-ROW(BO$15),0),15-13*ORÇAMENTO!$AF$11)),
         0)</f>
        <v>0</v>
      </c>
      <c r="BP198" s="453">
        <f ca="1">IF(AND($D198="Serviço",BP$12&lt;&gt;0,$H198&gt;0,OR(AUTOEVENTO&lt;&gt;"manual",$M198&lt;&gt;$A$15)),
        IF(Import.TipoArredondamento&lt;&gt;"TransfereGOV",
              ROUND(OFFSET($P198,0,BP$13),15-13*ORÇAMENTO!$AF$7)/$H198*OFFSET(ORÇAMENTO!$X$15,ROW(BP198)-ROW(BP$15),0),
              ROUND(ROUND(OFFSET($P198,0,BP$13),15-13*ORÇAMENTO!$AF$7)*OFFSET(ORÇAMENTO!$W$15,ROW(BP198)-ROW(BP$15),0),15-13*ORÇAMENTO!$AF$11)),
         0)</f>
        <v>0</v>
      </c>
      <c r="BQ198" s="453">
        <f ca="1">IF(AND($D198="Serviço",BQ$12&lt;&gt;0,$H198&gt;0,OR(AUTOEVENTO&lt;&gt;"manual",$M198&lt;&gt;$A$15)),
        IF(Import.TipoArredondamento&lt;&gt;"TransfereGOV",
              ROUND(OFFSET($P198,0,BQ$13),15-13*ORÇAMENTO!$AF$7)/$H198*OFFSET(ORÇAMENTO!$X$15,ROW(BQ198)-ROW(BQ$15),0),
              ROUND(ROUND(OFFSET($P198,0,BQ$13),15-13*ORÇAMENTO!$AF$7)*OFFSET(ORÇAMENTO!$W$15,ROW(BQ198)-ROW(BQ$15),0),15-13*ORÇAMENTO!$AF$11)),
         0)</f>
        <v>0</v>
      </c>
      <c r="BS198" s="171">
        <f ca="1">IF(OR($D198&lt;&gt;"Serviço",AND(AUTOEVENTO="Manual",$M198=$A$15)),0,
         IF(OFFSET(CRONOPLE!$F$15,$M198-$A$15,BS$13)=0,10^12,OFFSET(CRONOPLE!$F$15,$M198-$A$15,BS$13)))</f>
        <v>1</v>
      </c>
      <c r="BT198" s="171">
        <f ca="1">IF(OR($D198&lt;&gt;"Serviço",AND(AUTOEVENTO="Manual",$M198=$A$15)),0,
         IF(OFFSET(CRONOPLE!$F$15,$M198-$A$15,BT$13)=0,10^12,OFFSET(CRONOPLE!$F$15,$M198-$A$15,BT$13)))</f>
        <v>2</v>
      </c>
      <c r="BU198" s="171">
        <f ca="1">IF(OR($D198&lt;&gt;"Serviço",AND(AUTOEVENTO="Manual",$M198=$A$15)),0,
         IF(OFFSET(CRONOPLE!$F$15,$M198-$A$15,BU$13)=0,10^12,OFFSET(CRONOPLE!$F$15,$M198-$A$15,BU$13)))</f>
        <v>3</v>
      </c>
      <c r="BV198" s="171">
        <f ca="1">IF(OR($D198&lt;&gt;"Serviço",AND(AUTOEVENTO="Manual",$M198=$A$15)),0,
         IF(OFFSET(CRONOPLE!$F$15,$M198-$A$15,BV$13)=0,10^12,OFFSET(CRONOPLE!$F$15,$M198-$A$15,BV$13)))</f>
        <v>4</v>
      </c>
      <c r="BW198" s="171">
        <f ca="1">IF(OR($D198&lt;&gt;"Serviço",AND(AUTOEVENTO="Manual",$M198=$A$15)),0,
         IF(OFFSET(CRONOPLE!$F$15,$M198-$A$15,BW$13)=0,10^12,OFFSET(CRONOPLE!$F$15,$M198-$A$15,BW$13)))</f>
        <v>5</v>
      </c>
      <c r="BX198" s="171">
        <f ca="1">IF(OR($D198&lt;&gt;"Serviço",AND(AUTOEVENTO="Manual",$M198=$A$15)),0,
         IF(OFFSET(CRONOPLE!$F$15,$M198-$A$15,BX$13)=0,10^12,OFFSET(CRONOPLE!$F$15,$M198-$A$15,BX$13)))</f>
        <v>6</v>
      </c>
      <c r="BY198" s="171">
        <f ca="1">IF(OR($D198&lt;&gt;"Serviço",AND(AUTOEVENTO="Manual",$M198=$A$15)),0,
         IF(OFFSET(CRONOPLE!$F$15,$M198-$A$15,BY$13)=0,10^12,OFFSET(CRONOPLE!$F$15,$M198-$A$15,BY$13)))</f>
        <v>7</v>
      </c>
      <c r="BZ198" s="171">
        <f ca="1">IF(OR($D198&lt;&gt;"Serviço",AND(AUTOEVENTO="Manual",$M198=$A$15)),0,
         IF(OFFSET(CRONOPLE!$F$15,$M198-$A$15,BZ$13)=0,10^12,OFFSET(CRONOPLE!$F$15,$M198-$A$15,BZ$13)))</f>
        <v>8</v>
      </c>
      <c r="CA198" s="171">
        <f ca="1">IF(OR($D198&lt;&gt;"Serviço",AND(AUTOEVENTO="Manual",$M198=$A$15)),0,
         IF(OFFSET(CRONOPLE!$F$15,$M198-$A$15,CA$13)=0,10^12,OFFSET(CRONOPLE!$F$15,$M198-$A$15,CA$13)))</f>
        <v>9</v>
      </c>
      <c r="CB198" s="171">
        <f ca="1">IF(OR($D198&lt;&gt;"Serviço",AND(AUTOEVENTO="Manual",$M198=$A$15)),0,
         IF(OFFSET(CRONOPLE!$F$15,$M198-$A$15,CB$13)=0,10^12,OFFSET(CRONOPLE!$F$15,$M198-$A$15,CB$13)))</f>
        <v>10</v>
      </c>
      <c r="CC198" s="171">
        <f ca="1">IF(OR($D198&lt;&gt;"Serviço",AND(AUTOEVENTO="Manual",$M198=$A$15)),0,
         IF(OFFSET(CRONOPLE!$F$15,$M198-$A$15,CC$13)=0,10^12,OFFSET(CRONOPLE!$F$15,$M198-$A$15,CC$13)))</f>
        <v>11</v>
      </c>
      <c r="CD198" s="171">
        <f ca="1">IF(OR($D198&lt;&gt;"Serviço",AND(AUTOEVENTO="Manual",$M198=$A$15)),0,
         IF(OFFSET(CRONOPLE!$F$15,$M198-$A$15,CD$13)=0,10^12,OFFSET(CRONOPLE!$F$15,$M198-$A$15,CD$13)))</f>
        <v>12</v>
      </c>
      <c r="CE198" s="171">
        <f ca="1">IF(OR($D198&lt;&gt;"Serviço",AND(AUTOEVENTO="Manual",$M198=$A$15)),0,
         IF(OFFSET(CRONOPLE!$F$15,$M198-$A$15,CE$13)=0,10^12,OFFSET(CRONOPLE!$F$15,$M198-$A$15,CE$13)))</f>
        <v>13</v>
      </c>
      <c r="CF198" s="171">
        <f ca="1">IF(OR($D198&lt;&gt;"Serviço",AND(AUTOEVENTO="Manual",$M198=$A$15)),0,
         IF(OFFSET(CRONOPLE!$F$15,$M198-$A$15,CF$13)=0,10^12,OFFSET(CRONOPLE!$F$15,$M198-$A$15,CF$13)))</f>
        <v>14</v>
      </c>
      <c r="CG198" s="171">
        <f ca="1">IF(OR($D198&lt;&gt;"Serviço",AND(AUTOEVENTO="Manual",$M198=$A$15)),0,
         IF(OFFSET(CRONOPLE!$F$15,$M198-$A$15,CG$13)=0,10^12,OFFSET(CRONOPLE!$F$15,$M198-$A$15,CG$13)))</f>
        <v>15</v>
      </c>
      <c r="CH198" s="171">
        <f ca="1">IF(OR($D198&lt;&gt;"Serviço",AND(AUTOEVENTO="Manual",$M198=$A$15)),0,
         IF(OFFSET(CRONOPLE!$F$15,$M198-$A$15,CH$13)=0,10^12,OFFSET(CRONOPLE!$F$15,$M198-$A$15,CH$13)))</f>
        <v>16</v>
      </c>
      <c r="CI198" s="171">
        <f ca="1">IF(OR($D198&lt;&gt;"Serviço",AND(AUTOEVENTO="Manual",$M198=$A$15)),0,
         IF(OFFSET(CRONOPLE!$F$15,$M198-$A$15,CI$13)=0,10^12,OFFSET(CRONOPLE!$F$15,$M198-$A$15,CI$13)))</f>
        <v>17</v>
      </c>
      <c r="CJ198" s="171">
        <f ca="1">IF(OR($D198&lt;&gt;"Serviço",AND(AUTOEVENTO="Manual",$M198=$A$15)),0,
         IF(OFFSET(CRONOPLE!$F$15,$M198-$A$15,CJ$13)=0,10^12,OFFSET(CRONOPLE!$F$15,$M198-$A$15,CJ$13)))</f>
        <v>18</v>
      </c>
      <c r="CK198" s="171">
        <f ca="1">IF(OR($D198&lt;&gt;"Serviço",AND(AUTOEVENTO="Manual",$M198=$A$15)),0,
         IF(OFFSET(CRONOPLE!$F$15,$M198-$A$15,CK$13)=0,10^12,OFFSET(CRONOPLE!$F$15,$M198-$A$15,CK$13)))</f>
        <v>19</v>
      </c>
      <c r="CL198" s="171">
        <f ca="1">IF(OR($D198&lt;&gt;"Serviço",AND(AUTOEVENTO="Manual",$M198=$A$15)),0,
         IF(OFFSET(CRONOPLE!$F$15,$M198-$A$15,CL$13)=0,10^12,OFFSET(CRONOPLE!$F$15,$M198-$A$15,CL$13)))</f>
        <v>20</v>
      </c>
      <c r="CM198" s="171">
        <f ca="1">IF(OR($D198&lt;&gt;"Serviço",AND(AUTOEVENTO="Manual",$M198=$A$15)),0,
         IF(OFFSET(CRONOPLE!$F$15,$M198-$A$15,CM$13)=0,10^12,OFFSET(CRONOPLE!$F$15,$M198-$A$15,CM$13)))</f>
        <v>1000000000000</v>
      </c>
      <c r="CN198" s="171">
        <f ca="1">IF(OR($D198&lt;&gt;"Serviço",AND(AUTOEVENTO="Manual",$M198=$A$15)),0,
         IF(OFFSET(CRONOPLE!$F$15,$M198-$A$15,CN$13)=0,10^12,OFFSET(CRONOPLE!$F$15,$M198-$A$15,CN$13)))</f>
        <v>1000000000000</v>
      </c>
      <c r="CO198" s="171">
        <f ca="1">IF(OR($D198&lt;&gt;"Serviço",AND(AUTOEVENTO="Manual",$M198=$A$15)),0,
         IF(OFFSET(CRONOPLE!$F$15,$M198-$A$15,CO$13)=0,10^12,OFFSET(CRONOPLE!$F$15,$M198-$A$15,CO$13)))</f>
        <v>1000000000000</v>
      </c>
      <c r="CP198" s="171">
        <f ca="1">IF(OR($D198&lt;&gt;"Serviço",AND(AUTOEVENTO="Manual",$M198=$A$15)),0,
         IF(OFFSET(CRONOPLE!$F$15,$M198-$A$15,CP$13)=0,10^12,OFFSET(CRONOPLE!$F$15,$M198-$A$15,CP$13)))</f>
        <v>1000000000000</v>
      </c>
      <c r="CQ198" s="171">
        <f ca="1">IF(OR($D198&lt;&gt;"Serviço",AND(AUTOEVENTO="Manual",$M198=$A$15)),0,
         IF(OFFSET(CRONOPLE!$F$15,$M198-$A$15,CQ$13)=0,10^12,OFFSET(CRONOPLE!$F$15,$M198-$A$15,CQ$13)))</f>
        <v>1000000000000</v>
      </c>
      <c r="CR198" s="171">
        <f ca="1">IF(OR($D198&lt;&gt;"Serviço",AND(AUTOEVENTO="Manual",$M198=$A$15)),0,
         IF(OFFSET(CRONOPLE!$F$15,$M198-$A$15,CR$13)=0,10^12,OFFSET(CRONOPLE!$F$15,$M198-$A$15,CR$13)))</f>
        <v>1000000000000</v>
      </c>
      <c r="CT198" s="172" cm="1">
        <f t="array" aca="1" ref="CT198" ca="1">IF(OR($D198&lt;&gt;"Serviço",AND(AUTOEVENTO="Manual",$M198=$A$15),$M198&gt;(ROW(PLE.lastrow)-ROW(PLE.firstrow))),0,
           IF(OFFSET(PLE!$G$15,$M198-$A$15,CT$13)="",10^12,OFFSET(PLE!$G$15,$M198-$A$15,CT$13)))</f>
        <v>1000000000000</v>
      </c>
      <c r="CU198" s="172" cm="1">
        <f t="array" aca="1" ref="CU198" ca="1">IF(OR($D198&lt;&gt;"Serviço",AND(AUTOEVENTO="Manual",$M198=$A$15),$M198&gt;(ROW(PLE.lastrow)-ROW(PLE.firstrow))),0,
           IF(OFFSET(PLE!$G$15,$M198-$A$15,CU$13)="",10^12,OFFSET(PLE!$G$15,$M198-$A$15,CU$13)))</f>
        <v>1000000000000</v>
      </c>
      <c r="CV198" s="172" cm="1">
        <f t="array" aca="1" ref="CV198" ca="1">IF(OR($D198&lt;&gt;"Serviço",AND(AUTOEVENTO="Manual",$M198=$A$15),$M198&gt;(ROW(PLE.lastrow)-ROW(PLE.firstrow))),0,
           IF(OFFSET(PLE!$G$15,$M198-$A$15,CV$13)="",10^12,OFFSET(PLE!$G$15,$M198-$A$15,CV$13)))</f>
        <v>1000000000000</v>
      </c>
      <c r="CW198" s="172" cm="1">
        <f t="array" aca="1" ref="CW198" ca="1">IF(OR($D198&lt;&gt;"Serviço",AND(AUTOEVENTO="Manual",$M198=$A$15),$M198&gt;(ROW(PLE.lastrow)-ROW(PLE.firstrow))),0,
           IF(OFFSET(PLE!$G$15,$M198-$A$15,CW$13)="",10^12,OFFSET(PLE!$G$15,$M198-$A$15,CW$13)))</f>
        <v>1000000000000</v>
      </c>
      <c r="CX198" s="172" cm="1">
        <f t="array" aca="1" ref="CX198" ca="1">IF(OR($D198&lt;&gt;"Serviço",AND(AUTOEVENTO="Manual",$M198=$A$15),$M198&gt;(ROW(PLE.lastrow)-ROW(PLE.firstrow))),0,
           IF(OFFSET(PLE!$G$15,$M198-$A$15,CX$13)="",10^12,OFFSET(PLE!$G$15,$M198-$A$15,CX$13)))</f>
        <v>1000000000000</v>
      </c>
      <c r="CY198" s="172" cm="1">
        <f t="array" aca="1" ref="CY198" ca="1">IF(OR($D198&lt;&gt;"Serviço",AND(AUTOEVENTO="Manual",$M198=$A$15),$M198&gt;(ROW(PLE.lastrow)-ROW(PLE.firstrow))),0,
           IF(OFFSET(PLE!$G$15,$M198-$A$15,CY$13)="",10^12,OFFSET(PLE!$G$15,$M198-$A$15,CY$13)))</f>
        <v>1000000000000</v>
      </c>
      <c r="CZ198" s="172" cm="1">
        <f t="array" aca="1" ref="CZ198" ca="1">IF(OR($D198&lt;&gt;"Serviço",AND(AUTOEVENTO="Manual",$M198=$A$15),$M198&gt;(ROW(PLE.lastrow)-ROW(PLE.firstrow))),0,
           IF(OFFSET(PLE!$G$15,$M198-$A$15,CZ$13)="",10^12,OFFSET(PLE!$G$15,$M198-$A$15,CZ$13)))</f>
        <v>1000000000000</v>
      </c>
      <c r="DA198" s="172" cm="1">
        <f t="array" aca="1" ref="DA198" ca="1">IF(OR($D198&lt;&gt;"Serviço",AND(AUTOEVENTO="Manual",$M198=$A$15),$M198&gt;(ROW(PLE.lastrow)-ROW(PLE.firstrow))),0,
           IF(OFFSET(PLE!$G$15,$M198-$A$15,DA$13)="",10^12,OFFSET(PLE!$G$15,$M198-$A$15,DA$13)))</f>
        <v>1000000000000</v>
      </c>
      <c r="DB198" s="172" cm="1">
        <f t="array" aca="1" ref="DB198" ca="1">IF(OR($D198&lt;&gt;"Serviço",AND(AUTOEVENTO="Manual",$M198=$A$15),$M198&gt;(ROW(PLE.lastrow)-ROW(PLE.firstrow))),0,
           IF(OFFSET(PLE!$G$15,$M198-$A$15,DB$13)="",10^12,OFFSET(PLE!$G$15,$M198-$A$15,DB$13)))</f>
        <v>1000000000000</v>
      </c>
      <c r="DC198" s="172" cm="1">
        <f t="array" aca="1" ref="DC198" ca="1">IF(OR($D198&lt;&gt;"Serviço",AND(AUTOEVENTO="Manual",$M198=$A$15),$M198&gt;(ROW(PLE.lastrow)-ROW(PLE.firstrow))),0,
           IF(OFFSET(PLE!$G$15,$M198-$A$15,DC$13)="",10^12,OFFSET(PLE!$G$15,$M198-$A$15,DC$13)))</f>
        <v>1000000000000</v>
      </c>
      <c r="DD198" s="172" cm="1">
        <f t="array" aca="1" ref="DD198" ca="1">IF(OR($D198&lt;&gt;"Serviço",AND(AUTOEVENTO="Manual",$M198=$A$15),$M198&gt;(ROW(PLE.lastrow)-ROW(PLE.firstrow))),0,
           IF(OFFSET(PLE!$G$15,$M198-$A$15,DD$13)="",10^12,OFFSET(PLE!$G$15,$M198-$A$15,DD$13)))</f>
        <v>1000000000000</v>
      </c>
      <c r="DE198" s="172" cm="1">
        <f t="array" aca="1" ref="DE198" ca="1">IF(OR($D198&lt;&gt;"Serviço",AND(AUTOEVENTO="Manual",$M198=$A$15),$M198&gt;(ROW(PLE.lastrow)-ROW(PLE.firstrow))),0,
           IF(OFFSET(PLE!$G$15,$M198-$A$15,DE$13)="",10^12,OFFSET(PLE!$G$15,$M198-$A$15,DE$13)))</f>
        <v>1000000000000</v>
      </c>
      <c r="DF198" s="172" cm="1">
        <f t="array" aca="1" ref="DF198" ca="1">IF(OR($D198&lt;&gt;"Serviço",AND(AUTOEVENTO="Manual",$M198=$A$15),$M198&gt;(ROW(PLE.lastrow)-ROW(PLE.firstrow))),0,
           IF(OFFSET(PLE!$G$15,$M198-$A$15,DF$13)="",10^12,OFFSET(PLE!$G$15,$M198-$A$15,DF$13)))</f>
        <v>1000000000000</v>
      </c>
      <c r="DG198" s="172" cm="1">
        <f t="array" aca="1" ref="DG198" ca="1">IF(OR($D198&lt;&gt;"Serviço",AND(AUTOEVENTO="Manual",$M198=$A$15),$M198&gt;(ROW(PLE.lastrow)-ROW(PLE.firstrow))),0,
           IF(OFFSET(PLE!$G$15,$M198-$A$15,DG$13)="",10^12,OFFSET(PLE!$G$15,$M198-$A$15,DG$13)))</f>
        <v>1000000000000</v>
      </c>
      <c r="DH198" s="172" cm="1">
        <f t="array" aca="1" ref="DH198" ca="1">IF(OR($D198&lt;&gt;"Serviço",AND(AUTOEVENTO="Manual",$M198=$A$15),$M198&gt;(ROW(PLE.lastrow)-ROW(PLE.firstrow))),0,
           IF(OFFSET(PLE!$G$15,$M198-$A$15,DH$13)="",10^12,OFFSET(PLE!$G$15,$M198-$A$15,DH$13)))</f>
        <v>1000000000000</v>
      </c>
      <c r="DI198" s="172" cm="1">
        <f t="array" aca="1" ref="DI198" ca="1">IF(OR($D198&lt;&gt;"Serviço",AND(AUTOEVENTO="Manual",$M198=$A$15),$M198&gt;(ROW(PLE.lastrow)-ROW(PLE.firstrow))),0,
           IF(OFFSET(PLE!$G$15,$M198-$A$15,DI$13)="",10^12,OFFSET(PLE!$G$15,$M198-$A$15,DI$13)))</f>
        <v>1000000000000</v>
      </c>
      <c r="DJ198" s="172" cm="1">
        <f t="array" aca="1" ref="DJ198" ca="1">IF(OR($D198&lt;&gt;"Serviço",AND(AUTOEVENTO="Manual",$M198=$A$15),$M198&gt;(ROW(PLE.lastrow)-ROW(PLE.firstrow))),0,
           IF(OFFSET(PLE!$G$15,$M198-$A$15,DJ$13)="",10^12,OFFSET(PLE!$G$15,$M198-$A$15,DJ$13)))</f>
        <v>1000000000000</v>
      </c>
      <c r="DK198" s="172" cm="1">
        <f t="array" aca="1" ref="DK198" ca="1">IF(OR($D198&lt;&gt;"Serviço",AND(AUTOEVENTO="Manual",$M198=$A$15),$M198&gt;(ROW(PLE.lastrow)-ROW(PLE.firstrow))),0,
           IF(OFFSET(PLE!$G$15,$M198-$A$15,DK$13)="",10^12,OFFSET(PLE!$G$15,$M198-$A$15,DK$13)))</f>
        <v>1000000000000</v>
      </c>
      <c r="DL198" s="172" cm="1">
        <f t="array" aca="1" ref="DL198" ca="1">IF(OR($D198&lt;&gt;"Serviço",AND(AUTOEVENTO="Manual",$M198=$A$15),$M198&gt;(ROW(PLE.lastrow)-ROW(PLE.firstrow))),0,
           IF(OFFSET(PLE!$G$15,$M198-$A$15,DL$13)="",10^12,OFFSET(PLE!$G$15,$M198-$A$15,DL$13)))</f>
        <v>1000000000000</v>
      </c>
      <c r="DM198" s="172" cm="1">
        <f t="array" aca="1" ref="DM198" ca="1">IF(OR($D198&lt;&gt;"Serviço",AND(AUTOEVENTO="Manual",$M198=$A$15),$M198&gt;(ROW(PLE.lastrow)-ROW(PLE.firstrow))),0,
           IF(OFFSET(PLE!$G$15,$M198-$A$15,DM$13)="",10^12,OFFSET(PLE!$G$15,$M198-$A$15,DM$13)))</f>
        <v>1000000000000</v>
      </c>
      <c r="DN198" s="172" cm="1">
        <f t="array" aca="1" ref="DN198" ca="1">IF(OR($D198&lt;&gt;"Serviço",AND(AUTOEVENTO="Manual",$M198=$A$15),$M198&gt;(ROW(PLE.lastrow)-ROW(PLE.firstrow))),0,
           IF(OFFSET(PLE!$G$15,$M198-$A$15,DN$13)="",10^12,OFFSET(PLE!$G$15,$M198-$A$15,DN$13)))</f>
        <v>1000000000000</v>
      </c>
      <c r="DO198" s="172" cm="1">
        <f t="array" aca="1" ref="DO198" ca="1">IF(OR($D198&lt;&gt;"Serviço",AND(AUTOEVENTO="Manual",$M198=$A$15),$M198&gt;(ROW(PLE.lastrow)-ROW(PLE.firstrow))),0,
           IF(OFFSET(PLE!$G$15,$M198-$A$15,DO$13)="",10^12,OFFSET(PLE!$G$15,$M198-$A$15,DO$13)))</f>
        <v>1000000000000</v>
      </c>
      <c r="DP198" s="172" cm="1">
        <f t="array" aca="1" ref="DP198" ca="1">IF(OR($D198&lt;&gt;"Serviço",AND(AUTOEVENTO="Manual",$M198=$A$15),$M198&gt;(ROW(PLE.lastrow)-ROW(PLE.firstrow))),0,
           IF(OFFSET(PLE!$G$15,$M198-$A$15,DP$13)="",10^12,OFFSET(PLE!$G$15,$M198-$A$15,DP$13)))</f>
        <v>1000000000000</v>
      </c>
      <c r="DQ198" s="172" cm="1">
        <f t="array" aca="1" ref="DQ198" ca="1">IF(OR($D198&lt;&gt;"Serviço",AND(AUTOEVENTO="Manual",$M198=$A$15),$M198&gt;(ROW(PLE.lastrow)-ROW(PLE.firstrow))),0,
           IF(OFFSET(PLE!$G$15,$M198-$A$15,DQ$13)="",10^12,OFFSET(PLE!$G$15,$M198-$A$15,DQ$13)))</f>
        <v>1000000000000</v>
      </c>
      <c r="DR198" s="172" cm="1">
        <f t="array" aca="1" ref="DR198" ca="1">IF(OR($D198&lt;&gt;"Serviço",AND(AUTOEVENTO="Manual",$M198=$A$15),$M198&gt;(ROW(PLE.lastrow)-ROW(PLE.firstrow))),0,
           IF(OFFSET(PLE!$G$15,$M198-$A$15,DR$13)="",10^12,OFFSET(PLE!$G$15,$M198-$A$15,DR$13)))</f>
        <v>1000000000000</v>
      </c>
      <c r="DS198" s="172" cm="1">
        <f t="array" aca="1" ref="DS198" ca="1">IF(OR($D198&lt;&gt;"Serviço",AND(AUTOEVENTO="Manual",$M198=$A$15),$M198&gt;(ROW(PLE.lastrow)-ROW(PLE.firstrow))),0,
           IF(OFFSET(PLE!$G$15,$M198-$A$15,DS$13)="",10^12,OFFSET(PLE!$G$15,$M198-$A$15,DS$13)))</f>
        <v>1000000000000</v>
      </c>
    </row>
    <row r="199" spans="1:123" ht="38.25" x14ac:dyDescent="0.2">
      <c r="A199" s="7">
        <f t="shared" ca="1" si="18"/>
        <v>9</v>
      </c>
      <c r="B199" s="7" t="str">
        <f ca="1">OFFSET(ORÇAMENTO!C$15,$L199,0)</f>
        <v>S</v>
      </c>
      <c r="C199" s="7" t="str">
        <f ca="1">OFFSET(ORÇAMENTO!L$15,$L199,0)</f>
        <v/>
      </c>
      <c r="D199" s="116" t="str">
        <f ca="1">OFFSET(ORÇAMENTO!N$15,$L199,0)</f>
        <v>Serviço</v>
      </c>
      <c r="E199" s="117" t="str">
        <f ca="1">OFFSET(ORÇAMENTO!O$15,$L199,0)</f>
        <v>-</v>
      </c>
      <c r="F199" s="163" t="str">
        <f ca="1">OFFSET(ORÇAMENTO!R$15,$L199,0)</f>
        <v>(Código não identificado nas referências)</v>
      </c>
      <c r="G199" s="164" t="str">
        <f ca="1">IF($D199&lt;&gt;"Serviço","",OFFSET(ORÇAMENTO!S$15,$L199,0))</f>
        <v>-</v>
      </c>
      <c r="H199" s="122" cm="1">
        <f t="array" aca="1" ref="H199" ca="1">IF($D199&lt;&gt;"Serviço",0,IF(ACOMPANHAMENTO="BM",ROUND(OFFSET(ORÇAMENTO!AJ$15,$L199,0),15-13*ORÇAMENTO!$AF$7),IF(IFERROR(CÁLCULO.FrentesPreenchidas,0)=0,0,SUM(ROUND(OFFSET($P199,0,1,1,CÁLCULO.FrentesPreenchidas),15-13*ORÇAMENTO!$AF$7)))))</f>
        <v>60</v>
      </c>
      <c r="I199" s="468" t="s">
        <v>1235</v>
      </c>
      <c r="J199" s="651" t="str" cm="1">
        <f t="array" aca="1" ref="J199" ca="1">IF(OR(B199&lt;&gt;"S",CÁLCULO.FrentesPreenchidas=0),"",IF(AND(ACOMPANHAMENTO="PLE",AUTOEVENTO="Manual",OR(H199&gt;0,ORÇAMENTO!AC199="QUANT."),OR(K199="",M199=0,N199="")),"►E",IF(AND(ACOMPANHAMENTO="PLE",ORÇAMENTO!AC199="QUANT."),"►Q",IF(AND(ACOMPANHAMENTO="PLE",H199&lt;&gt;SUMPRODUCT(($Q$1:$AQ$1=1)*ROUND(Q199:AQ199,15))),"►S",IF(AND(COUNTIF($P$11:$AQ$11,"▼")=0,H199&gt;0,I199=""),"◄M","")))))</f>
        <v/>
      </c>
      <c r="K199" s="652" t="s">
        <v>1257</v>
      </c>
      <c r="L199" s="165">
        <f t="shared" ca="1" si="17"/>
        <v>184</v>
      </c>
      <c r="M199" s="166">
        <f ca="1">IF($D199&lt;&gt;"Serviço","",
          IF(AUTOEVENTO="manual",$A199,
                IF(ISERROR(MATCH($A199,$A$15:OFFSET($A199,-1,0),0)),MAX($M$15:OFFSET(M199,-1,0))+1,
                      INDEX($M$15:OFFSET(M199,-1,0),MATCH($A199,$A$15:OFFSET($A199,-1,0),0)))))</f>
        <v>9</v>
      </c>
      <c r="N199" s="167" t="str">
        <f ca="1">IF($D199&lt;&gt;"Serviço","",
         IF(AUTOEVENTO="Manual",
                IF($A199=0,"&lt;-- defina o número do agrupador",
                       OFFSET(EVENTOS!$D$15,$A199-$A$15,0)),
                OFFSET($F$15,$A199,0)))</f>
        <v>INSTALAÇÕES</v>
      </c>
      <c r="O199" s="168"/>
      <c r="Q199" s="168">
        <v>3</v>
      </c>
      <c r="R199" s="169">
        <v>3</v>
      </c>
      <c r="S199" s="169">
        <v>3</v>
      </c>
      <c r="T199" s="169">
        <v>3</v>
      </c>
      <c r="U199" s="169">
        <v>3</v>
      </c>
      <c r="V199" s="169">
        <v>3</v>
      </c>
      <c r="W199" s="169">
        <v>3</v>
      </c>
      <c r="X199" s="169">
        <v>3</v>
      </c>
      <c r="Y199" s="169">
        <v>3</v>
      </c>
      <c r="Z199" s="170">
        <v>3</v>
      </c>
      <c r="AA199" s="169">
        <v>3</v>
      </c>
      <c r="AB199" s="169">
        <v>3</v>
      </c>
      <c r="AC199" s="169">
        <v>3</v>
      </c>
      <c r="AD199" s="169">
        <v>3</v>
      </c>
      <c r="AE199" s="169">
        <v>3</v>
      </c>
      <c r="AF199" s="169">
        <v>3</v>
      </c>
      <c r="AG199" s="169">
        <v>3</v>
      </c>
      <c r="AH199" s="170">
        <v>3</v>
      </c>
      <c r="AI199" s="169">
        <v>3</v>
      </c>
      <c r="AJ199" s="169">
        <v>3</v>
      </c>
      <c r="AK199" s="169"/>
      <c r="AL199" s="169"/>
      <c r="AM199" s="169"/>
      <c r="AN199" s="169"/>
      <c r="AO199" s="169"/>
      <c r="AP199" s="170"/>
      <c r="AR199" s="453">
        <f ca="1">IF(AND($D199="Serviço",AR$12&lt;&gt;0,$H199&gt;0,OR(AUTOEVENTO&lt;&gt;"manual",$M199&lt;&gt;$A$15)),
        IF(Import.TipoArredondamento&lt;&gt;"TransfereGOV",
              ROUND(OFFSET($P199,0,AR$13),15-13*ORÇAMENTO!$AF$7)/$H199*OFFSET(ORÇAMENTO!$X$15,ROW(AR199)-ROW(AR$15),0),
              ROUND(ROUND(OFFSET($P199,0,AR$13),15-13*ORÇAMENTO!$AF$7)*OFFSET(ORÇAMENTO!$W$15,ROW(AR199)-ROW(AR$15),0),15-13*ORÇAMENTO!$AF$11)),
         0)</f>
        <v>0</v>
      </c>
      <c r="AS199" s="453">
        <f ca="1">IF(AND($D199="Serviço",AS$12&lt;&gt;0,$H199&gt;0,OR(AUTOEVENTO&lt;&gt;"manual",$M199&lt;&gt;$A$15)),
        IF(Import.TipoArredondamento&lt;&gt;"TransfereGOV",
              ROUND(OFFSET($P199,0,AS$13),15-13*ORÇAMENTO!$AF$7)/$H199*OFFSET(ORÇAMENTO!$X$15,ROW(AS199)-ROW(AS$15),0),
              ROUND(ROUND(OFFSET($P199,0,AS$13),15-13*ORÇAMENTO!$AF$7)*OFFSET(ORÇAMENTO!$W$15,ROW(AS199)-ROW(AS$15),0),15-13*ORÇAMENTO!$AF$11)),
         0)</f>
        <v>0</v>
      </c>
      <c r="AT199" s="453">
        <f ca="1">IF(AND($D199="Serviço",AT$12&lt;&gt;0,$H199&gt;0,OR(AUTOEVENTO&lt;&gt;"manual",$M199&lt;&gt;$A$15)),
        IF(Import.TipoArredondamento&lt;&gt;"TransfereGOV",
              ROUND(OFFSET($P199,0,AT$13),15-13*ORÇAMENTO!$AF$7)/$H199*OFFSET(ORÇAMENTO!$X$15,ROW(AT199)-ROW(AT$15),0),
              ROUND(ROUND(OFFSET($P199,0,AT$13),15-13*ORÇAMENTO!$AF$7)*OFFSET(ORÇAMENTO!$W$15,ROW(AT199)-ROW(AT$15),0),15-13*ORÇAMENTO!$AF$11)),
         0)</f>
        <v>0</v>
      </c>
      <c r="AU199" s="453">
        <f ca="1">IF(AND($D199="Serviço",AU$12&lt;&gt;0,$H199&gt;0,OR(AUTOEVENTO&lt;&gt;"manual",$M199&lt;&gt;$A$15)),
        IF(Import.TipoArredondamento&lt;&gt;"TransfereGOV",
              ROUND(OFFSET($P199,0,AU$13),15-13*ORÇAMENTO!$AF$7)/$H199*OFFSET(ORÇAMENTO!$X$15,ROW(AU199)-ROW(AU$15),0),
              ROUND(ROUND(OFFSET($P199,0,AU$13),15-13*ORÇAMENTO!$AF$7)*OFFSET(ORÇAMENTO!$W$15,ROW(AU199)-ROW(AU$15),0),15-13*ORÇAMENTO!$AF$11)),
         0)</f>
        <v>0</v>
      </c>
      <c r="AV199" s="453">
        <f ca="1">IF(AND($D199="Serviço",AV$12&lt;&gt;0,$H199&gt;0,OR(AUTOEVENTO&lt;&gt;"manual",$M199&lt;&gt;$A$15)),
        IF(Import.TipoArredondamento&lt;&gt;"TransfereGOV",
              ROUND(OFFSET($P199,0,AV$13),15-13*ORÇAMENTO!$AF$7)/$H199*OFFSET(ORÇAMENTO!$X$15,ROW(AV199)-ROW(AV$15),0),
              ROUND(ROUND(OFFSET($P199,0,AV$13),15-13*ORÇAMENTO!$AF$7)*OFFSET(ORÇAMENTO!$W$15,ROW(AV199)-ROW(AV$15),0),15-13*ORÇAMENTO!$AF$11)),
         0)</f>
        <v>0</v>
      </c>
      <c r="AW199" s="453">
        <f ca="1">IF(AND($D199="Serviço",AW$12&lt;&gt;0,$H199&gt;0,OR(AUTOEVENTO&lt;&gt;"manual",$M199&lt;&gt;$A$15)),
        IF(Import.TipoArredondamento&lt;&gt;"TransfereGOV",
              ROUND(OFFSET($P199,0,AW$13),15-13*ORÇAMENTO!$AF$7)/$H199*OFFSET(ORÇAMENTO!$X$15,ROW(AW199)-ROW(AW$15),0),
              ROUND(ROUND(OFFSET($P199,0,AW$13),15-13*ORÇAMENTO!$AF$7)*OFFSET(ORÇAMENTO!$W$15,ROW(AW199)-ROW(AW$15),0),15-13*ORÇAMENTO!$AF$11)),
         0)</f>
        <v>0</v>
      </c>
      <c r="AX199" s="453">
        <f ca="1">IF(AND($D199="Serviço",AX$12&lt;&gt;0,$H199&gt;0,OR(AUTOEVENTO&lt;&gt;"manual",$M199&lt;&gt;$A$15)),
        IF(Import.TipoArredondamento&lt;&gt;"TransfereGOV",
              ROUND(OFFSET($P199,0,AX$13),15-13*ORÇAMENTO!$AF$7)/$H199*OFFSET(ORÇAMENTO!$X$15,ROW(AX199)-ROW(AX$15),0),
              ROUND(ROUND(OFFSET($P199,0,AX$13),15-13*ORÇAMENTO!$AF$7)*OFFSET(ORÇAMENTO!$W$15,ROW(AX199)-ROW(AX$15),0),15-13*ORÇAMENTO!$AF$11)),
         0)</f>
        <v>0</v>
      </c>
      <c r="AY199" s="453">
        <f ca="1">IF(AND($D199="Serviço",AY$12&lt;&gt;0,$H199&gt;0,OR(AUTOEVENTO&lt;&gt;"manual",$M199&lt;&gt;$A$15)),
        IF(Import.TipoArredondamento&lt;&gt;"TransfereGOV",
              ROUND(OFFSET($P199,0,AY$13),15-13*ORÇAMENTO!$AF$7)/$H199*OFFSET(ORÇAMENTO!$X$15,ROW(AY199)-ROW(AY$15),0),
              ROUND(ROUND(OFFSET($P199,0,AY$13),15-13*ORÇAMENTO!$AF$7)*OFFSET(ORÇAMENTO!$W$15,ROW(AY199)-ROW(AY$15),0),15-13*ORÇAMENTO!$AF$11)),
         0)</f>
        <v>0</v>
      </c>
      <c r="AZ199" s="453">
        <f ca="1">IF(AND($D199="Serviço",AZ$12&lt;&gt;0,$H199&gt;0,OR(AUTOEVENTO&lt;&gt;"manual",$M199&lt;&gt;$A$15)),
        IF(Import.TipoArredondamento&lt;&gt;"TransfereGOV",
              ROUND(OFFSET($P199,0,AZ$13),15-13*ORÇAMENTO!$AF$7)/$H199*OFFSET(ORÇAMENTO!$X$15,ROW(AZ199)-ROW(AZ$15),0),
              ROUND(ROUND(OFFSET($P199,0,AZ$13),15-13*ORÇAMENTO!$AF$7)*OFFSET(ORÇAMENTO!$W$15,ROW(AZ199)-ROW(AZ$15),0),15-13*ORÇAMENTO!$AF$11)),
         0)</f>
        <v>0</v>
      </c>
      <c r="BA199" s="453">
        <f ca="1">IF(AND($D199="Serviço",BA$12&lt;&gt;0,$H199&gt;0,OR(AUTOEVENTO&lt;&gt;"manual",$M199&lt;&gt;$A$15)),
        IF(Import.TipoArredondamento&lt;&gt;"TransfereGOV",
              ROUND(OFFSET($P199,0,BA$13),15-13*ORÇAMENTO!$AF$7)/$H199*OFFSET(ORÇAMENTO!$X$15,ROW(BA199)-ROW(BA$15),0),
              ROUND(ROUND(OFFSET($P199,0,BA$13),15-13*ORÇAMENTO!$AF$7)*OFFSET(ORÇAMENTO!$W$15,ROW(BA199)-ROW(BA$15),0),15-13*ORÇAMENTO!$AF$11)),
         0)</f>
        <v>0</v>
      </c>
      <c r="BB199" s="453">
        <f ca="1">IF(AND($D199="Serviço",BB$12&lt;&gt;0,$H199&gt;0,OR(AUTOEVENTO&lt;&gt;"manual",$M199&lt;&gt;$A$15)),
        IF(Import.TipoArredondamento&lt;&gt;"TransfereGOV",
              ROUND(OFFSET($P199,0,BB$13),15-13*ORÇAMENTO!$AF$7)/$H199*OFFSET(ORÇAMENTO!$X$15,ROW(BB199)-ROW(BB$15),0),
              ROUND(ROUND(OFFSET($P199,0,BB$13),15-13*ORÇAMENTO!$AF$7)*OFFSET(ORÇAMENTO!$W$15,ROW(BB199)-ROW(BB$15),0),15-13*ORÇAMENTO!$AF$11)),
         0)</f>
        <v>0</v>
      </c>
      <c r="BC199" s="453">
        <f ca="1">IF(AND($D199="Serviço",BC$12&lt;&gt;0,$H199&gt;0,OR(AUTOEVENTO&lt;&gt;"manual",$M199&lt;&gt;$A$15)),
        IF(Import.TipoArredondamento&lt;&gt;"TransfereGOV",
              ROUND(OFFSET($P199,0,BC$13),15-13*ORÇAMENTO!$AF$7)/$H199*OFFSET(ORÇAMENTO!$X$15,ROW(BC199)-ROW(BC$15),0),
              ROUND(ROUND(OFFSET($P199,0,BC$13),15-13*ORÇAMENTO!$AF$7)*OFFSET(ORÇAMENTO!$W$15,ROW(BC199)-ROW(BC$15),0),15-13*ORÇAMENTO!$AF$11)),
         0)</f>
        <v>0</v>
      </c>
      <c r="BD199" s="453">
        <f ca="1">IF(AND($D199="Serviço",BD$12&lt;&gt;0,$H199&gt;0,OR(AUTOEVENTO&lt;&gt;"manual",$M199&lt;&gt;$A$15)),
        IF(Import.TipoArredondamento&lt;&gt;"TransfereGOV",
              ROUND(OFFSET($P199,0,BD$13),15-13*ORÇAMENTO!$AF$7)/$H199*OFFSET(ORÇAMENTO!$X$15,ROW(BD199)-ROW(BD$15),0),
              ROUND(ROUND(OFFSET($P199,0,BD$13),15-13*ORÇAMENTO!$AF$7)*OFFSET(ORÇAMENTO!$W$15,ROW(BD199)-ROW(BD$15),0),15-13*ORÇAMENTO!$AF$11)),
         0)</f>
        <v>0</v>
      </c>
      <c r="BE199" s="453">
        <f ca="1">IF(AND($D199="Serviço",BE$12&lt;&gt;0,$H199&gt;0,OR(AUTOEVENTO&lt;&gt;"manual",$M199&lt;&gt;$A$15)),
        IF(Import.TipoArredondamento&lt;&gt;"TransfereGOV",
              ROUND(OFFSET($P199,0,BE$13),15-13*ORÇAMENTO!$AF$7)/$H199*OFFSET(ORÇAMENTO!$X$15,ROW(BE199)-ROW(BE$15),0),
              ROUND(ROUND(OFFSET($P199,0,BE$13),15-13*ORÇAMENTO!$AF$7)*OFFSET(ORÇAMENTO!$W$15,ROW(BE199)-ROW(BE$15),0),15-13*ORÇAMENTO!$AF$11)),
         0)</f>
        <v>0</v>
      </c>
      <c r="BF199" s="453">
        <f ca="1">IF(AND($D199="Serviço",BF$12&lt;&gt;0,$H199&gt;0,OR(AUTOEVENTO&lt;&gt;"manual",$M199&lt;&gt;$A$15)),
        IF(Import.TipoArredondamento&lt;&gt;"TransfereGOV",
              ROUND(OFFSET($P199,0,BF$13),15-13*ORÇAMENTO!$AF$7)/$H199*OFFSET(ORÇAMENTO!$X$15,ROW(BF199)-ROW(BF$15),0),
              ROUND(ROUND(OFFSET($P199,0,BF$13),15-13*ORÇAMENTO!$AF$7)*OFFSET(ORÇAMENTO!$W$15,ROW(BF199)-ROW(BF$15),0),15-13*ORÇAMENTO!$AF$11)),
         0)</f>
        <v>0</v>
      </c>
      <c r="BG199" s="453">
        <f ca="1">IF(AND($D199="Serviço",BG$12&lt;&gt;0,$H199&gt;0,OR(AUTOEVENTO&lt;&gt;"manual",$M199&lt;&gt;$A$15)),
        IF(Import.TipoArredondamento&lt;&gt;"TransfereGOV",
              ROUND(OFFSET($P199,0,BG$13),15-13*ORÇAMENTO!$AF$7)/$H199*OFFSET(ORÇAMENTO!$X$15,ROW(BG199)-ROW(BG$15),0),
              ROUND(ROUND(OFFSET($P199,0,BG$13),15-13*ORÇAMENTO!$AF$7)*OFFSET(ORÇAMENTO!$W$15,ROW(BG199)-ROW(BG$15),0),15-13*ORÇAMENTO!$AF$11)),
         0)</f>
        <v>0</v>
      </c>
      <c r="BH199" s="453">
        <f ca="1">IF(AND($D199="Serviço",BH$12&lt;&gt;0,$H199&gt;0,OR(AUTOEVENTO&lt;&gt;"manual",$M199&lt;&gt;$A$15)),
        IF(Import.TipoArredondamento&lt;&gt;"TransfereGOV",
              ROUND(OFFSET($P199,0,BH$13),15-13*ORÇAMENTO!$AF$7)/$H199*OFFSET(ORÇAMENTO!$X$15,ROW(BH199)-ROW(BH$15),0),
              ROUND(ROUND(OFFSET($P199,0,BH$13),15-13*ORÇAMENTO!$AF$7)*OFFSET(ORÇAMENTO!$W$15,ROW(BH199)-ROW(BH$15),0),15-13*ORÇAMENTO!$AF$11)),
         0)</f>
        <v>0</v>
      </c>
      <c r="BI199" s="453">
        <f ca="1">IF(AND($D199="Serviço",BI$12&lt;&gt;0,$H199&gt;0,OR(AUTOEVENTO&lt;&gt;"manual",$M199&lt;&gt;$A$15)),
        IF(Import.TipoArredondamento&lt;&gt;"TransfereGOV",
              ROUND(OFFSET($P199,0,BI$13),15-13*ORÇAMENTO!$AF$7)/$H199*OFFSET(ORÇAMENTO!$X$15,ROW(BI199)-ROW(BI$15),0),
              ROUND(ROUND(OFFSET($P199,0,BI$13),15-13*ORÇAMENTO!$AF$7)*OFFSET(ORÇAMENTO!$W$15,ROW(BI199)-ROW(BI$15),0),15-13*ORÇAMENTO!$AF$11)),
         0)</f>
        <v>0</v>
      </c>
      <c r="BJ199" s="453">
        <f ca="1">IF(AND($D199="Serviço",BJ$12&lt;&gt;0,$H199&gt;0,OR(AUTOEVENTO&lt;&gt;"manual",$M199&lt;&gt;$A$15)),
        IF(Import.TipoArredondamento&lt;&gt;"TransfereGOV",
              ROUND(OFFSET($P199,0,BJ$13),15-13*ORÇAMENTO!$AF$7)/$H199*OFFSET(ORÇAMENTO!$X$15,ROW(BJ199)-ROW(BJ$15),0),
              ROUND(ROUND(OFFSET($P199,0,BJ$13),15-13*ORÇAMENTO!$AF$7)*OFFSET(ORÇAMENTO!$W$15,ROW(BJ199)-ROW(BJ$15),0),15-13*ORÇAMENTO!$AF$11)),
         0)</f>
        <v>0</v>
      </c>
      <c r="BK199" s="453">
        <f ca="1">IF(AND($D199="Serviço",BK$12&lt;&gt;0,$H199&gt;0,OR(AUTOEVENTO&lt;&gt;"manual",$M199&lt;&gt;$A$15)),
        IF(Import.TipoArredondamento&lt;&gt;"TransfereGOV",
              ROUND(OFFSET($P199,0,BK$13),15-13*ORÇAMENTO!$AF$7)/$H199*OFFSET(ORÇAMENTO!$X$15,ROW(BK199)-ROW(BK$15),0),
              ROUND(ROUND(OFFSET($P199,0,BK$13),15-13*ORÇAMENTO!$AF$7)*OFFSET(ORÇAMENTO!$W$15,ROW(BK199)-ROW(BK$15),0),15-13*ORÇAMENTO!$AF$11)),
         0)</f>
        <v>0</v>
      </c>
      <c r="BL199" s="453">
        <f ca="1">IF(AND($D199="Serviço",BL$12&lt;&gt;0,$H199&gt;0,OR(AUTOEVENTO&lt;&gt;"manual",$M199&lt;&gt;$A$15)),
        IF(Import.TipoArredondamento&lt;&gt;"TransfereGOV",
              ROUND(OFFSET($P199,0,BL$13),15-13*ORÇAMENTO!$AF$7)/$H199*OFFSET(ORÇAMENTO!$X$15,ROW(BL199)-ROW(BL$15),0),
              ROUND(ROUND(OFFSET($P199,0,BL$13),15-13*ORÇAMENTO!$AF$7)*OFFSET(ORÇAMENTO!$W$15,ROW(BL199)-ROW(BL$15),0),15-13*ORÇAMENTO!$AF$11)),
         0)</f>
        <v>0</v>
      </c>
      <c r="BM199" s="453">
        <f ca="1">IF(AND($D199="Serviço",BM$12&lt;&gt;0,$H199&gt;0,OR(AUTOEVENTO&lt;&gt;"manual",$M199&lt;&gt;$A$15)),
        IF(Import.TipoArredondamento&lt;&gt;"TransfereGOV",
              ROUND(OFFSET($P199,0,BM$13),15-13*ORÇAMENTO!$AF$7)/$H199*OFFSET(ORÇAMENTO!$X$15,ROW(BM199)-ROW(BM$15),0),
              ROUND(ROUND(OFFSET($P199,0,BM$13),15-13*ORÇAMENTO!$AF$7)*OFFSET(ORÇAMENTO!$W$15,ROW(BM199)-ROW(BM$15),0),15-13*ORÇAMENTO!$AF$11)),
         0)</f>
        <v>0</v>
      </c>
      <c r="BN199" s="453">
        <f ca="1">IF(AND($D199="Serviço",BN$12&lt;&gt;0,$H199&gt;0,OR(AUTOEVENTO&lt;&gt;"manual",$M199&lt;&gt;$A$15)),
        IF(Import.TipoArredondamento&lt;&gt;"TransfereGOV",
              ROUND(OFFSET($P199,0,BN$13),15-13*ORÇAMENTO!$AF$7)/$H199*OFFSET(ORÇAMENTO!$X$15,ROW(BN199)-ROW(BN$15),0),
              ROUND(ROUND(OFFSET($P199,0,BN$13),15-13*ORÇAMENTO!$AF$7)*OFFSET(ORÇAMENTO!$W$15,ROW(BN199)-ROW(BN$15),0),15-13*ORÇAMENTO!$AF$11)),
         0)</f>
        <v>0</v>
      </c>
      <c r="BO199" s="453">
        <f ca="1">IF(AND($D199="Serviço",BO$12&lt;&gt;0,$H199&gt;0,OR(AUTOEVENTO&lt;&gt;"manual",$M199&lt;&gt;$A$15)),
        IF(Import.TipoArredondamento&lt;&gt;"TransfereGOV",
              ROUND(OFFSET($P199,0,BO$13),15-13*ORÇAMENTO!$AF$7)/$H199*OFFSET(ORÇAMENTO!$X$15,ROW(BO199)-ROW(BO$15),0),
              ROUND(ROUND(OFFSET($P199,0,BO$13),15-13*ORÇAMENTO!$AF$7)*OFFSET(ORÇAMENTO!$W$15,ROW(BO199)-ROW(BO$15),0),15-13*ORÇAMENTO!$AF$11)),
         0)</f>
        <v>0</v>
      </c>
      <c r="BP199" s="453">
        <f ca="1">IF(AND($D199="Serviço",BP$12&lt;&gt;0,$H199&gt;0,OR(AUTOEVENTO&lt;&gt;"manual",$M199&lt;&gt;$A$15)),
        IF(Import.TipoArredondamento&lt;&gt;"TransfereGOV",
              ROUND(OFFSET($P199,0,BP$13),15-13*ORÇAMENTO!$AF$7)/$H199*OFFSET(ORÇAMENTO!$X$15,ROW(BP199)-ROW(BP$15),0),
              ROUND(ROUND(OFFSET($P199,0,BP$13),15-13*ORÇAMENTO!$AF$7)*OFFSET(ORÇAMENTO!$W$15,ROW(BP199)-ROW(BP$15),0),15-13*ORÇAMENTO!$AF$11)),
         0)</f>
        <v>0</v>
      </c>
      <c r="BQ199" s="453">
        <f ca="1">IF(AND($D199="Serviço",BQ$12&lt;&gt;0,$H199&gt;0,OR(AUTOEVENTO&lt;&gt;"manual",$M199&lt;&gt;$A$15)),
        IF(Import.TipoArredondamento&lt;&gt;"TransfereGOV",
              ROUND(OFFSET($P199,0,BQ$13),15-13*ORÇAMENTO!$AF$7)/$H199*OFFSET(ORÇAMENTO!$X$15,ROW(BQ199)-ROW(BQ$15),0),
              ROUND(ROUND(OFFSET($P199,0,BQ$13),15-13*ORÇAMENTO!$AF$7)*OFFSET(ORÇAMENTO!$W$15,ROW(BQ199)-ROW(BQ$15),0),15-13*ORÇAMENTO!$AF$11)),
         0)</f>
        <v>0</v>
      </c>
      <c r="BS199" s="171">
        <f ca="1">IF(OR($D199&lt;&gt;"Serviço",AND(AUTOEVENTO="Manual",$M199=$A$15)),0,
         IF(OFFSET(CRONOPLE!$F$15,$M199-$A$15,BS$13)=0,10^12,OFFSET(CRONOPLE!$F$15,$M199-$A$15,BS$13)))</f>
        <v>1</v>
      </c>
      <c r="BT199" s="171">
        <f ca="1">IF(OR($D199&lt;&gt;"Serviço",AND(AUTOEVENTO="Manual",$M199=$A$15)),0,
         IF(OFFSET(CRONOPLE!$F$15,$M199-$A$15,BT$13)=0,10^12,OFFSET(CRONOPLE!$F$15,$M199-$A$15,BT$13)))</f>
        <v>2</v>
      </c>
      <c r="BU199" s="171">
        <f ca="1">IF(OR($D199&lt;&gt;"Serviço",AND(AUTOEVENTO="Manual",$M199=$A$15)),0,
         IF(OFFSET(CRONOPLE!$F$15,$M199-$A$15,BU$13)=0,10^12,OFFSET(CRONOPLE!$F$15,$M199-$A$15,BU$13)))</f>
        <v>3</v>
      </c>
      <c r="BV199" s="171">
        <f ca="1">IF(OR($D199&lt;&gt;"Serviço",AND(AUTOEVENTO="Manual",$M199=$A$15)),0,
         IF(OFFSET(CRONOPLE!$F$15,$M199-$A$15,BV$13)=0,10^12,OFFSET(CRONOPLE!$F$15,$M199-$A$15,BV$13)))</f>
        <v>4</v>
      </c>
      <c r="BW199" s="171">
        <f ca="1">IF(OR($D199&lt;&gt;"Serviço",AND(AUTOEVENTO="Manual",$M199=$A$15)),0,
         IF(OFFSET(CRONOPLE!$F$15,$M199-$A$15,BW$13)=0,10^12,OFFSET(CRONOPLE!$F$15,$M199-$A$15,BW$13)))</f>
        <v>5</v>
      </c>
      <c r="BX199" s="171">
        <f ca="1">IF(OR($D199&lt;&gt;"Serviço",AND(AUTOEVENTO="Manual",$M199=$A$15)),0,
         IF(OFFSET(CRONOPLE!$F$15,$M199-$A$15,BX$13)=0,10^12,OFFSET(CRONOPLE!$F$15,$M199-$A$15,BX$13)))</f>
        <v>6</v>
      </c>
      <c r="BY199" s="171">
        <f ca="1">IF(OR($D199&lt;&gt;"Serviço",AND(AUTOEVENTO="Manual",$M199=$A$15)),0,
         IF(OFFSET(CRONOPLE!$F$15,$M199-$A$15,BY$13)=0,10^12,OFFSET(CRONOPLE!$F$15,$M199-$A$15,BY$13)))</f>
        <v>7</v>
      </c>
      <c r="BZ199" s="171">
        <f ca="1">IF(OR($D199&lt;&gt;"Serviço",AND(AUTOEVENTO="Manual",$M199=$A$15)),0,
         IF(OFFSET(CRONOPLE!$F$15,$M199-$A$15,BZ$13)=0,10^12,OFFSET(CRONOPLE!$F$15,$M199-$A$15,BZ$13)))</f>
        <v>8</v>
      </c>
      <c r="CA199" s="171">
        <f ca="1">IF(OR($D199&lt;&gt;"Serviço",AND(AUTOEVENTO="Manual",$M199=$A$15)),0,
         IF(OFFSET(CRONOPLE!$F$15,$M199-$A$15,CA$13)=0,10^12,OFFSET(CRONOPLE!$F$15,$M199-$A$15,CA$13)))</f>
        <v>9</v>
      </c>
      <c r="CB199" s="171">
        <f ca="1">IF(OR($D199&lt;&gt;"Serviço",AND(AUTOEVENTO="Manual",$M199=$A$15)),0,
         IF(OFFSET(CRONOPLE!$F$15,$M199-$A$15,CB$13)=0,10^12,OFFSET(CRONOPLE!$F$15,$M199-$A$15,CB$13)))</f>
        <v>10</v>
      </c>
      <c r="CC199" s="171">
        <f ca="1">IF(OR($D199&lt;&gt;"Serviço",AND(AUTOEVENTO="Manual",$M199=$A$15)),0,
         IF(OFFSET(CRONOPLE!$F$15,$M199-$A$15,CC$13)=0,10^12,OFFSET(CRONOPLE!$F$15,$M199-$A$15,CC$13)))</f>
        <v>11</v>
      </c>
      <c r="CD199" s="171">
        <f ca="1">IF(OR($D199&lt;&gt;"Serviço",AND(AUTOEVENTO="Manual",$M199=$A$15)),0,
         IF(OFFSET(CRONOPLE!$F$15,$M199-$A$15,CD$13)=0,10^12,OFFSET(CRONOPLE!$F$15,$M199-$A$15,CD$13)))</f>
        <v>12</v>
      </c>
      <c r="CE199" s="171">
        <f ca="1">IF(OR($D199&lt;&gt;"Serviço",AND(AUTOEVENTO="Manual",$M199=$A$15)),0,
         IF(OFFSET(CRONOPLE!$F$15,$M199-$A$15,CE$13)=0,10^12,OFFSET(CRONOPLE!$F$15,$M199-$A$15,CE$13)))</f>
        <v>13</v>
      </c>
      <c r="CF199" s="171">
        <f ca="1">IF(OR($D199&lt;&gt;"Serviço",AND(AUTOEVENTO="Manual",$M199=$A$15)),0,
         IF(OFFSET(CRONOPLE!$F$15,$M199-$A$15,CF$13)=0,10^12,OFFSET(CRONOPLE!$F$15,$M199-$A$15,CF$13)))</f>
        <v>14</v>
      </c>
      <c r="CG199" s="171">
        <f ca="1">IF(OR($D199&lt;&gt;"Serviço",AND(AUTOEVENTO="Manual",$M199=$A$15)),0,
         IF(OFFSET(CRONOPLE!$F$15,$M199-$A$15,CG$13)=0,10^12,OFFSET(CRONOPLE!$F$15,$M199-$A$15,CG$13)))</f>
        <v>15</v>
      </c>
      <c r="CH199" s="171">
        <f ca="1">IF(OR($D199&lt;&gt;"Serviço",AND(AUTOEVENTO="Manual",$M199=$A$15)),0,
         IF(OFFSET(CRONOPLE!$F$15,$M199-$A$15,CH$13)=0,10^12,OFFSET(CRONOPLE!$F$15,$M199-$A$15,CH$13)))</f>
        <v>16</v>
      </c>
      <c r="CI199" s="171">
        <f ca="1">IF(OR($D199&lt;&gt;"Serviço",AND(AUTOEVENTO="Manual",$M199=$A$15)),0,
         IF(OFFSET(CRONOPLE!$F$15,$M199-$A$15,CI$13)=0,10^12,OFFSET(CRONOPLE!$F$15,$M199-$A$15,CI$13)))</f>
        <v>17</v>
      </c>
      <c r="CJ199" s="171">
        <f ca="1">IF(OR($D199&lt;&gt;"Serviço",AND(AUTOEVENTO="Manual",$M199=$A$15)),0,
         IF(OFFSET(CRONOPLE!$F$15,$M199-$A$15,CJ$13)=0,10^12,OFFSET(CRONOPLE!$F$15,$M199-$A$15,CJ$13)))</f>
        <v>18</v>
      </c>
      <c r="CK199" s="171">
        <f ca="1">IF(OR($D199&lt;&gt;"Serviço",AND(AUTOEVENTO="Manual",$M199=$A$15)),0,
         IF(OFFSET(CRONOPLE!$F$15,$M199-$A$15,CK$13)=0,10^12,OFFSET(CRONOPLE!$F$15,$M199-$A$15,CK$13)))</f>
        <v>19</v>
      </c>
      <c r="CL199" s="171">
        <f ca="1">IF(OR($D199&lt;&gt;"Serviço",AND(AUTOEVENTO="Manual",$M199=$A$15)),0,
         IF(OFFSET(CRONOPLE!$F$15,$M199-$A$15,CL$13)=0,10^12,OFFSET(CRONOPLE!$F$15,$M199-$A$15,CL$13)))</f>
        <v>20</v>
      </c>
      <c r="CM199" s="171">
        <f ca="1">IF(OR($D199&lt;&gt;"Serviço",AND(AUTOEVENTO="Manual",$M199=$A$15)),0,
         IF(OFFSET(CRONOPLE!$F$15,$M199-$A$15,CM$13)=0,10^12,OFFSET(CRONOPLE!$F$15,$M199-$A$15,CM$13)))</f>
        <v>1000000000000</v>
      </c>
      <c r="CN199" s="171">
        <f ca="1">IF(OR($D199&lt;&gt;"Serviço",AND(AUTOEVENTO="Manual",$M199=$A$15)),0,
         IF(OFFSET(CRONOPLE!$F$15,$M199-$A$15,CN$13)=0,10^12,OFFSET(CRONOPLE!$F$15,$M199-$A$15,CN$13)))</f>
        <v>1000000000000</v>
      </c>
      <c r="CO199" s="171">
        <f ca="1">IF(OR($D199&lt;&gt;"Serviço",AND(AUTOEVENTO="Manual",$M199=$A$15)),0,
         IF(OFFSET(CRONOPLE!$F$15,$M199-$A$15,CO$13)=0,10^12,OFFSET(CRONOPLE!$F$15,$M199-$A$15,CO$13)))</f>
        <v>1000000000000</v>
      </c>
      <c r="CP199" s="171">
        <f ca="1">IF(OR($D199&lt;&gt;"Serviço",AND(AUTOEVENTO="Manual",$M199=$A$15)),0,
         IF(OFFSET(CRONOPLE!$F$15,$M199-$A$15,CP$13)=0,10^12,OFFSET(CRONOPLE!$F$15,$M199-$A$15,CP$13)))</f>
        <v>1000000000000</v>
      </c>
      <c r="CQ199" s="171">
        <f ca="1">IF(OR($D199&lt;&gt;"Serviço",AND(AUTOEVENTO="Manual",$M199=$A$15)),0,
         IF(OFFSET(CRONOPLE!$F$15,$M199-$A$15,CQ$13)=0,10^12,OFFSET(CRONOPLE!$F$15,$M199-$A$15,CQ$13)))</f>
        <v>1000000000000</v>
      </c>
      <c r="CR199" s="171">
        <f ca="1">IF(OR($D199&lt;&gt;"Serviço",AND(AUTOEVENTO="Manual",$M199=$A$15)),0,
         IF(OFFSET(CRONOPLE!$F$15,$M199-$A$15,CR$13)=0,10^12,OFFSET(CRONOPLE!$F$15,$M199-$A$15,CR$13)))</f>
        <v>1000000000000</v>
      </c>
      <c r="CT199" s="172" cm="1">
        <f t="array" aca="1" ref="CT199" ca="1">IF(OR($D199&lt;&gt;"Serviço",AND(AUTOEVENTO="Manual",$M199=$A$15),$M199&gt;(ROW(PLE.lastrow)-ROW(PLE.firstrow))),0,
           IF(OFFSET(PLE!$G$15,$M199-$A$15,CT$13)="",10^12,OFFSET(PLE!$G$15,$M199-$A$15,CT$13)))</f>
        <v>1000000000000</v>
      </c>
      <c r="CU199" s="172" cm="1">
        <f t="array" aca="1" ref="CU199" ca="1">IF(OR($D199&lt;&gt;"Serviço",AND(AUTOEVENTO="Manual",$M199=$A$15),$M199&gt;(ROW(PLE.lastrow)-ROW(PLE.firstrow))),0,
           IF(OFFSET(PLE!$G$15,$M199-$A$15,CU$13)="",10^12,OFFSET(PLE!$G$15,$M199-$A$15,CU$13)))</f>
        <v>1000000000000</v>
      </c>
      <c r="CV199" s="172" cm="1">
        <f t="array" aca="1" ref="CV199" ca="1">IF(OR($D199&lt;&gt;"Serviço",AND(AUTOEVENTO="Manual",$M199=$A$15),$M199&gt;(ROW(PLE.lastrow)-ROW(PLE.firstrow))),0,
           IF(OFFSET(PLE!$G$15,$M199-$A$15,CV$13)="",10^12,OFFSET(PLE!$G$15,$M199-$A$15,CV$13)))</f>
        <v>1000000000000</v>
      </c>
      <c r="CW199" s="172" cm="1">
        <f t="array" aca="1" ref="CW199" ca="1">IF(OR($D199&lt;&gt;"Serviço",AND(AUTOEVENTO="Manual",$M199=$A$15),$M199&gt;(ROW(PLE.lastrow)-ROW(PLE.firstrow))),0,
           IF(OFFSET(PLE!$G$15,$M199-$A$15,CW$13)="",10^12,OFFSET(PLE!$G$15,$M199-$A$15,CW$13)))</f>
        <v>1000000000000</v>
      </c>
      <c r="CX199" s="172" cm="1">
        <f t="array" aca="1" ref="CX199" ca="1">IF(OR($D199&lt;&gt;"Serviço",AND(AUTOEVENTO="Manual",$M199=$A$15),$M199&gt;(ROW(PLE.lastrow)-ROW(PLE.firstrow))),0,
           IF(OFFSET(PLE!$G$15,$M199-$A$15,CX$13)="",10^12,OFFSET(PLE!$G$15,$M199-$A$15,CX$13)))</f>
        <v>1000000000000</v>
      </c>
      <c r="CY199" s="172" cm="1">
        <f t="array" aca="1" ref="CY199" ca="1">IF(OR($D199&lt;&gt;"Serviço",AND(AUTOEVENTO="Manual",$M199=$A$15),$M199&gt;(ROW(PLE.lastrow)-ROW(PLE.firstrow))),0,
           IF(OFFSET(PLE!$G$15,$M199-$A$15,CY$13)="",10^12,OFFSET(PLE!$G$15,$M199-$A$15,CY$13)))</f>
        <v>1000000000000</v>
      </c>
      <c r="CZ199" s="172" cm="1">
        <f t="array" aca="1" ref="CZ199" ca="1">IF(OR($D199&lt;&gt;"Serviço",AND(AUTOEVENTO="Manual",$M199=$A$15),$M199&gt;(ROW(PLE.lastrow)-ROW(PLE.firstrow))),0,
           IF(OFFSET(PLE!$G$15,$M199-$A$15,CZ$13)="",10^12,OFFSET(PLE!$G$15,$M199-$A$15,CZ$13)))</f>
        <v>1000000000000</v>
      </c>
      <c r="DA199" s="172" cm="1">
        <f t="array" aca="1" ref="DA199" ca="1">IF(OR($D199&lt;&gt;"Serviço",AND(AUTOEVENTO="Manual",$M199=$A$15),$M199&gt;(ROW(PLE.lastrow)-ROW(PLE.firstrow))),0,
           IF(OFFSET(PLE!$G$15,$M199-$A$15,DA$13)="",10^12,OFFSET(PLE!$G$15,$M199-$A$15,DA$13)))</f>
        <v>1000000000000</v>
      </c>
      <c r="DB199" s="172" cm="1">
        <f t="array" aca="1" ref="DB199" ca="1">IF(OR($D199&lt;&gt;"Serviço",AND(AUTOEVENTO="Manual",$M199=$A$15),$M199&gt;(ROW(PLE.lastrow)-ROW(PLE.firstrow))),0,
           IF(OFFSET(PLE!$G$15,$M199-$A$15,DB$13)="",10^12,OFFSET(PLE!$G$15,$M199-$A$15,DB$13)))</f>
        <v>1000000000000</v>
      </c>
      <c r="DC199" s="172" cm="1">
        <f t="array" aca="1" ref="DC199" ca="1">IF(OR($D199&lt;&gt;"Serviço",AND(AUTOEVENTO="Manual",$M199=$A$15),$M199&gt;(ROW(PLE.lastrow)-ROW(PLE.firstrow))),0,
           IF(OFFSET(PLE!$G$15,$M199-$A$15,DC$13)="",10^12,OFFSET(PLE!$G$15,$M199-$A$15,DC$13)))</f>
        <v>1000000000000</v>
      </c>
      <c r="DD199" s="172" cm="1">
        <f t="array" aca="1" ref="DD199" ca="1">IF(OR($D199&lt;&gt;"Serviço",AND(AUTOEVENTO="Manual",$M199=$A$15),$M199&gt;(ROW(PLE.lastrow)-ROW(PLE.firstrow))),0,
           IF(OFFSET(PLE!$G$15,$M199-$A$15,DD$13)="",10^12,OFFSET(PLE!$G$15,$M199-$A$15,DD$13)))</f>
        <v>1000000000000</v>
      </c>
      <c r="DE199" s="172" cm="1">
        <f t="array" aca="1" ref="DE199" ca="1">IF(OR($D199&lt;&gt;"Serviço",AND(AUTOEVENTO="Manual",$M199=$A$15),$M199&gt;(ROW(PLE.lastrow)-ROW(PLE.firstrow))),0,
           IF(OFFSET(PLE!$G$15,$M199-$A$15,DE$13)="",10^12,OFFSET(PLE!$G$15,$M199-$A$15,DE$13)))</f>
        <v>1000000000000</v>
      </c>
      <c r="DF199" s="172" cm="1">
        <f t="array" aca="1" ref="DF199" ca="1">IF(OR($D199&lt;&gt;"Serviço",AND(AUTOEVENTO="Manual",$M199=$A$15),$M199&gt;(ROW(PLE.lastrow)-ROW(PLE.firstrow))),0,
           IF(OFFSET(PLE!$G$15,$M199-$A$15,DF$13)="",10^12,OFFSET(PLE!$G$15,$M199-$A$15,DF$13)))</f>
        <v>1000000000000</v>
      </c>
      <c r="DG199" s="172" cm="1">
        <f t="array" aca="1" ref="DG199" ca="1">IF(OR($D199&lt;&gt;"Serviço",AND(AUTOEVENTO="Manual",$M199=$A$15),$M199&gt;(ROW(PLE.lastrow)-ROW(PLE.firstrow))),0,
           IF(OFFSET(PLE!$G$15,$M199-$A$15,DG$13)="",10^12,OFFSET(PLE!$G$15,$M199-$A$15,DG$13)))</f>
        <v>1000000000000</v>
      </c>
      <c r="DH199" s="172" cm="1">
        <f t="array" aca="1" ref="DH199" ca="1">IF(OR($D199&lt;&gt;"Serviço",AND(AUTOEVENTO="Manual",$M199=$A$15),$M199&gt;(ROW(PLE.lastrow)-ROW(PLE.firstrow))),0,
           IF(OFFSET(PLE!$G$15,$M199-$A$15,DH$13)="",10^12,OFFSET(PLE!$G$15,$M199-$A$15,DH$13)))</f>
        <v>1000000000000</v>
      </c>
      <c r="DI199" s="172" cm="1">
        <f t="array" aca="1" ref="DI199" ca="1">IF(OR($D199&lt;&gt;"Serviço",AND(AUTOEVENTO="Manual",$M199=$A$15),$M199&gt;(ROW(PLE.lastrow)-ROW(PLE.firstrow))),0,
           IF(OFFSET(PLE!$G$15,$M199-$A$15,DI$13)="",10^12,OFFSET(PLE!$G$15,$M199-$A$15,DI$13)))</f>
        <v>1000000000000</v>
      </c>
      <c r="DJ199" s="172" cm="1">
        <f t="array" aca="1" ref="DJ199" ca="1">IF(OR($D199&lt;&gt;"Serviço",AND(AUTOEVENTO="Manual",$M199=$A$15),$M199&gt;(ROW(PLE.lastrow)-ROW(PLE.firstrow))),0,
           IF(OFFSET(PLE!$G$15,$M199-$A$15,DJ$13)="",10^12,OFFSET(PLE!$G$15,$M199-$A$15,DJ$13)))</f>
        <v>1000000000000</v>
      </c>
      <c r="DK199" s="172" cm="1">
        <f t="array" aca="1" ref="DK199" ca="1">IF(OR($D199&lt;&gt;"Serviço",AND(AUTOEVENTO="Manual",$M199=$A$15),$M199&gt;(ROW(PLE.lastrow)-ROW(PLE.firstrow))),0,
           IF(OFFSET(PLE!$G$15,$M199-$A$15,DK$13)="",10^12,OFFSET(PLE!$G$15,$M199-$A$15,DK$13)))</f>
        <v>1000000000000</v>
      </c>
      <c r="DL199" s="172" cm="1">
        <f t="array" aca="1" ref="DL199" ca="1">IF(OR($D199&lt;&gt;"Serviço",AND(AUTOEVENTO="Manual",$M199=$A$15),$M199&gt;(ROW(PLE.lastrow)-ROW(PLE.firstrow))),0,
           IF(OFFSET(PLE!$G$15,$M199-$A$15,DL$13)="",10^12,OFFSET(PLE!$G$15,$M199-$A$15,DL$13)))</f>
        <v>1000000000000</v>
      </c>
      <c r="DM199" s="172" cm="1">
        <f t="array" aca="1" ref="DM199" ca="1">IF(OR($D199&lt;&gt;"Serviço",AND(AUTOEVENTO="Manual",$M199=$A$15),$M199&gt;(ROW(PLE.lastrow)-ROW(PLE.firstrow))),0,
           IF(OFFSET(PLE!$G$15,$M199-$A$15,DM$13)="",10^12,OFFSET(PLE!$G$15,$M199-$A$15,DM$13)))</f>
        <v>1000000000000</v>
      </c>
      <c r="DN199" s="172" cm="1">
        <f t="array" aca="1" ref="DN199" ca="1">IF(OR($D199&lt;&gt;"Serviço",AND(AUTOEVENTO="Manual",$M199=$A$15),$M199&gt;(ROW(PLE.lastrow)-ROW(PLE.firstrow))),0,
           IF(OFFSET(PLE!$G$15,$M199-$A$15,DN$13)="",10^12,OFFSET(PLE!$G$15,$M199-$A$15,DN$13)))</f>
        <v>1000000000000</v>
      </c>
      <c r="DO199" s="172" cm="1">
        <f t="array" aca="1" ref="DO199" ca="1">IF(OR($D199&lt;&gt;"Serviço",AND(AUTOEVENTO="Manual",$M199=$A$15),$M199&gt;(ROW(PLE.lastrow)-ROW(PLE.firstrow))),0,
           IF(OFFSET(PLE!$G$15,$M199-$A$15,DO$13)="",10^12,OFFSET(PLE!$G$15,$M199-$A$15,DO$13)))</f>
        <v>1000000000000</v>
      </c>
      <c r="DP199" s="172" cm="1">
        <f t="array" aca="1" ref="DP199" ca="1">IF(OR($D199&lt;&gt;"Serviço",AND(AUTOEVENTO="Manual",$M199=$A$15),$M199&gt;(ROW(PLE.lastrow)-ROW(PLE.firstrow))),0,
           IF(OFFSET(PLE!$G$15,$M199-$A$15,DP$13)="",10^12,OFFSET(PLE!$G$15,$M199-$A$15,DP$13)))</f>
        <v>1000000000000</v>
      </c>
      <c r="DQ199" s="172" cm="1">
        <f t="array" aca="1" ref="DQ199" ca="1">IF(OR($D199&lt;&gt;"Serviço",AND(AUTOEVENTO="Manual",$M199=$A$15),$M199&gt;(ROW(PLE.lastrow)-ROW(PLE.firstrow))),0,
           IF(OFFSET(PLE!$G$15,$M199-$A$15,DQ$13)="",10^12,OFFSET(PLE!$G$15,$M199-$A$15,DQ$13)))</f>
        <v>1000000000000</v>
      </c>
      <c r="DR199" s="172" cm="1">
        <f t="array" aca="1" ref="DR199" ca="1">IF(OR($D199&lt;&gt;"Serviço",AND(AUTOEVENTO="Manual",$M199=$A$15),$M199&gt;(ROW(PLE.lastrow)-ROW(PLE.firstrow))),0,
           IF(OFFSET(PLE!$G$15,$M199-$A$15,DR$13)="",10^12,OFFSET(PLE!$G$15,$M199-$A$15,DR$13)))</f>
        <v>1000000000000</v>
      </c>
      <c r="DS199" s="172" cm="1">
        <f t="array" aca="1" ref="DS199" ca="1">IF(OR($D199&lt;&gt;"Serviço",AND(AUTOEVENTO="Manual",$M199=$A$15),$M199&gt;(ROW(PLE.lastrow)-ROW(PLE.firstrow))),0,
           IF(OFFSET(PLE!$G$15,$M199-$A$15,DS$13)="",10^12,OFFSET(PLE!$G$15,$M199-$A$15,DS$13)))</f>
        <v>1000000000000</v>
      </c>
    </row>
    <row r="200" spans="1:123" ht="38.25" x14ac:dyDescent="0.2">
      <c r="A200" s="7">
        <f t="shared" ca="1" si="18"/>
        <v>9</v>
      </c>
      <c r="B200" s="7" t="str">
        <f ca="1">OFFSET(ORÇAMENTO!C$15,$L200,0)</f>
        <v>S</v>
      </c>
      <c r="C200" s="7" t="str">
        <f ca="1">OFFSET(ORÇAMENTO!L$15,$L200,0)</f>
        <v/>
      </c>
      <c r="D200" s="116" t="str">
        <f ca="1">OFFSET(ORÇAMENTO!N$15,$L200,0)</f>
        <v>Serviço</v>
      </c>
      <c r="E200" s="117" t="str">
        <f ca="1">OFFSET(ORÇAMENTO!O$15,$L200,0)</f>
        <v>-</v>
      </c>
      <c r="F200" s="163" t="str">
        <f ca="1">OFFSET(ORÇAMENTO!R$15,$L200,0)</f>
        <v>(Código não identificado nas referências)</v>
      </c>
      <c r="G200" s="164" t="str">
        <f ca="1">IF($D200&lt;&gt;"Serviço","",OFFSET(ORÇAMENTO!S$15,$L200,0))</f>
        <v>-</v>
      </c>
      <c r="H200" s="122" cm="1">
        <f t="array" aca="1" ref="H200" ca="1">IF($D200&lt;&gt;"Serviço",0,IF(ACOMPANHAMENTO="BM",ROUND(OFFSET(ORÇAMENTO!AJ$15,$L200,0),15-13*ORÇAMENTO!$AF$7),IF(IFERROR(CÁLCULO.FrentesPreenchidas,0)=0,0,SUM(ROUND(OFFSET($P200,0,1,1,CÁLCULO.FrentesPreenchidas),15-13*ORÇAMENTO!$AF$7)))))</f>
        <v>20</v>
      </c>
      <c r="I200" s="468" t="s">
        <v>1235</v>
      </c>
      <c r="J200" s="651" t="str" cm="1">
        <f t="array" aca="1" ref="J200" ca="1">IF(OR(B200&lt;&gt;"S",CÁLCULO.FrentesPreenchidas=0),"",IF(AND(ACOMPANHAMENTO="PLE",AUTOEVENTO="Manual",OR(H200&gt;0,ORÇAMENTO!AC200="QUANT."),OR(K200="",M200=0,N200="")),"►E",IF(AND(ACOMPANHAMENTO="PLE",ORÇAMENTO!AC200="QUANT."),"►Q",IF(AND(ACOMPANHAMENTO="PLE",H200&lt;&gt;SUMPRODUCT(($Q$1:$AQ$1=1)*ROUND(Q200:AQ200,15))),"►S",IF(AND(COUNTIF($P$11:$AQ$11,"▼")=0,H200&gt;0,I200=""),"◄M","")))))</f>
        <v/>
      </c>
      <c r="K200" s="652" t="s">
        <v>1257</v>
      </c>
      <c r="L200" s="165">
        <f t="shared" ca="1" si="17"/>
        <v>185</v>
      </c>
      <c r="M200" s="166">
        <f ca="1">IF($D200&lt;&gt;"Serviço","",
          IF(AUTOEVENTO="manual",$A200,
                IF(ISERROR(MATCH($A200,$A$15:OFFSET($A200,-1,0),0)),MAX($M$15:OFFSET(M200,-1,0))+1,
                      INDEX($M$15:OFFSET(M200,-1,0),MATCH($A200,$A$15:OFFSET($A200,-1,0),0)))))</f>
        <v>9</v>
      </c>
      <c r="N200" s="167" t="str">
        <f ca="1">IF($D200&lt;&gt;"Serviço","",
         IF(AUTOEVENTO="Manual",
                IF($A200=0,"&lt;-- defina o número do agrupador",
                       OFFSET(EVENTOS!$D$15,$A200-$A$15,0)),
                OFFSET($F$15,$A200,0)))</f>
        <v>INSTALAÇÕES</v>
      </c>
      <c r="O200" s="168"/>
      <c r="Q200" s="168">
        <v>1</v>
      </c>
      <c r="R200" s="169">
        <v>1</v>
      </c>
      <c r="S200" s="169">
        <v>1</v>
      </c>
      <c r="T200" s="169">
        <v>1</v>
      </c>
      <c r="U200" s="169">
        <v>1</v>
      </c>
      <c r="V200" s="169">
        <v>1</v>
      </c>
      <c r="W200" s="169">
        <v>1</v>
      </c>
      <c r="X200" s="169">
        <v>1</v>
      </c>
      <c r="Y200" s="169">
        <v>1</v>
      </c>
      <c r="Z200" s="170">
        <v>1</v>
      </c>
      <c r="AA200" s="169">
        <v>1</v>
      </c>
      <c r="AB200" s="169">
        <v>1</v>
      </c>
      <c r="AC200" s="169">
        <v>1</v>
      </c>
      <c r="AD200" s="169">
        <v>1</v>
      </c>
      <c r="AE200" s="169">
        <v>1</v>
      </c>
      <c r="AF200" s="169">
        <v>1</v>
      </c>
      <c r="AG200" s="169">
        <v>1</v>
      </c>
      <c r="AH200" s="170">
        <v>1</v>
      </c>
      <c r="AI200" s="169">
        <v>1</v>
      </c>
      <c r="AJ200" s="169">
        <v>1</v>
      </c>
      <c r="AK200" s="169"/>
      <c r="AL200" s="169"/>
      <c r="AM200" s="169"/>
      <c r="AN200" s="169"/>
      <c r="AO200" s="169"/>
      <c r="AP200" s="170"/>
      <c r="AR200" s="453">
        <f ca="1">IF(AND($D200="Serviço",AR$12&lt;&gt;0,$H200&gt;0,OR(AUTOEVENTO&lt;&gt;"manual",$M200&lt;&gt;$A$15)),
        IF(Import.TipoArredondamento&lt;&gt;"TransfereGOV",
              ROUND(OFFSET($P200,0,AR$13),15-13*ORÇAMENTO!$AF$7)/$H200*OFFSET(ORÇAMENTO!$X$15,ROW(AR200)-ROW(AR$15),0),
              ROUND(ROUND(OFFSET($P200,0,AR$13),15-13*ORÇAMENTO!$AF$7)*OFFSET(ORÇAMENTO!$W$15,ROW(AR200)-ROW(AR$15),0),15-13*ORÇAMENTO!$AF$11)),
         0)</f>
        <v>0</v>
      </c>
      <c r="AS200" s="453">
        <f ca="1">IF(AND($D200="Serviço",AS$12&lt;&gt;0,$H200&gt;0,OR(AUTOEVENTO&lt;&gt;"manual",$M200&lt;&gt;$A$15)),
        IF(Import.TipoArredondamento&lt;&gt;"TransfereGOV",
              ROUND(OFFSET($P200,0,AS$13),15-13*ORÇAMENTO!$AF$7)/$H200*OFFSET(ORÇAMENTO!$X$15,ROW(AS200)-ROW(AS$15),0),
              ROUND(ROUND(OFFSET($P200,0,AS$13),15-13*ORÇAMENTO!$AF$7)*OFFSET(ORÇAMENTO!$W$15,ROW(AS200)-ROW(AS$15),0),15-13*ORÇAMENTO!$AF$11)),
         0)</f>
        <v>0</v>
      </c>
      <c r="AT200" s="453">
        <f ca="1">IF(AND($D200="Serviço",AT$12&lt;&gt;0,$H200&gt;0,OR(AUTOEVENTO&lt;&gt;"manual",$M200&lt;&gt;$A$15)),
        IF(Import.TipoArredondamento&lt;&gt;"TransfereGOV",
              ROUND(OFFSET($P200,0,AT$13),15-13*ORÇAMENTO!$AF$7)/$H200*OFFSET(ORÇAMENTO!$X$15,ROW(AT200)-ROW(AT$15),0),
              ROUND(ROUND(OFFSET($P200,0,AT$13),15-13*ORÇAMENTO!$AF$7)*OFFSET(ORÇAMENTO!$W$15,ROW(AT200)-ROW(AT$15),0),15-13*ORÇAMENTO!$AF$11)),
         0)</f>
        <v>0</v>
      </c>
      <c r="AU200" s="453">
        <f ca="1">IF(AND($D200="Serviço",AU$12&lt;&gt;0,$H200&gt;0,OR(AUTOEVENTO&lt;&gt;"manual",$M200&lt;&gt;$A$15)),
        IF(Import.TipoArredondamento&lt;&gt;"TransfereGOV",
              ROUND(OFFSET($P200,0,AU$13),15-13*ORÇAMENTO!$AF$7)/$H200*OFFSET(ORÇAMENTO!$X$15,ROW(AU200)-ROW(AU$15),0),
              ROUND(ROUND(OFFSET($P200,0,AU$13),15-13*ORÇAMENTO!$AF$7)*OFFSET(ORÇAMENTO!$W$15,ROW(AU200)-ROW(AU$15),0),15-13*ORÇAMENTO!$AF$11)),
         0)</f>
        <v>0</v>
      </c>
      <c r="AV200" s="453">
        <f ca="1">IF(AND($D200="Serviço",AV$12&lt;&gt;0,$H200&gt;0,OR(AUTOEVENTO&lt;&gt;"manual",$M200&lt;&gt;$A$15)),
        IF(Import.TipoArredondamento&lt;&gt;"TransfereGOV",
              ROUND(OFFSET($P200,0,AV$13),15-13*ORÇAMENTO!$AF$7)/$H200*OFFSET(ORÇAMENTO!$X$15,ROW(AV200)-ROW(AV$15),0),
              ROUND(ROUND(OFFSET($P200,0,AV$13),15-13*ORÇAMENTO!$AF$7)*OFFSET(ORÇAMENTO!$W$15,ROW(AV200)-ROW(AV$15),0),15-13*ORÇAMENTO!$AF$11)),
         0)</f>
        <v>0</v>
      </c>
      <c r="AW200" s="453">
        <f ca="1">IF(AND($D200="Serviço",AW$12&lt;&gt;0,$H200&gt;0,OR(AUTOEVENTO&lt;&gt;"manual",$M200&lt;&gt;$A$15)),
        IF(Import.TipoArredondamento&lt;&gt;"TransfereGOV",
              ROUND(OFFSET($P200,0,AW$13),15-13*ORÇAMENTO!$AF$7)/$H200*OFFSET(ORÇAMENTO!$X$15,ROW(AW200)-ROW(AW$15),0),
              ROUND(ROUND(OFFSET($P200,0,AW$13),15-13*ORÇAMENTO!$AF$7)*OFFSET(ORÇAMENTO!$W$15,ROW(AW200)-ROW(AW$15),0),15-13*ORÇAMENTO!$AF$11)),
         0)</f>
        <v>0</v>
      </c>
      <c r="AX200" s="453">
        <f ca="1">IF(AND($D200="Serviço",AX$12&lt;&gt;0,$H200&gt;0,OR(AUTOEVENTO&lt;&gt;"manual",$M200&lt;&gt;$A$15)),
        IF(Import.TipoArredondamento&lt;&gt;"TransfereGOV",
              ROUND(OFFSET($P200,0,AX$13),15-13*ORÇAMENTO!$AF$7)/$H200*OFFSET(ORÇAMENTO!$X$15,ROW(AX200)-ROW(AX$15),0),
              ROUND(ROUND(OFFSET($P200,0,AX$13),15-13*ORÇAMENTO!$AF$7)*OFFSET(ORÇAMENTO!$W$15,ROW(AX200)-ROW(AX$15),0),15-13*ORÇAMENTO!$AF$11)),
         0)</f>
        <v>0</v>
      </c>
      <c r="AY200" s="453">
        <f ca="1">IF(AND($D200="Serviço",AY$12&lt;&gt;0,$H200&gt;0,OR(AUTOEVENTO&lt;&gt;"manual",$M200&lt;&gt;$A$15)),
        IF(Import.TipoArredondamento&lt;&gt;"TransfereGOV",
              ROUND(OFFSET($P200,0,AY$13),15-13*ORÇAMENTO!$AF$7)/$H200*OFFSET(ORÇAMENTO!$X$15,ROW(AY200)-ROW(AY$15),0),
              ROUND(ROUND(OFFSET($P200,0,AY$13),15-13*ORÇAMENTO!$AF$7)*OFFSET(ORÇAMENTO!$W$15,ROW(AY200)-ROW(AY$15),0),15-13*ORÇAMENTO!$AF$11)),
         0)</f>
        <v>0</v>
      </c>
      <c r="AZ200" s="453">
        <f ca="1">IF(AND($D200="Serviço",AZ$12&lt;&gt;0,$H200&gt;0,OR(AUTOEVENTO&lt;&gt;"manual",$M200&lt;&gt;$A$15)),
        IF(Import.TipoArredondamento&lt;&gt;"TransfereGOV",
              ROUND(OFFSET($P200,0,AZ$13),15-13*ORÇAMENTO!$AF$7)/$H200*OFFSET(ORÇAMENTO!$X$15,ROW(AZ200)-ROW(AZ$15),0),
              ROUND(ROUND(OFFSET($P200,0,AZ$13),15-13*ORÇAMENTO!$AF$7)*OFFSET(ORÇAMENTO!$W$15,ROW(AZ200)-ROW(AZ$15),0),15-13*ORÇAMENTO!$AF$11)),
         0)</f>
        <v>0</v>
      </c>
      <c r="BA200" s="453">
        <f ca="1">IF(AND($D200="Serviço",BA$12&lt;&gt;0,$H200&gt;0,OR(AUTOEVENTO&lt;&gt;"manual",$M200&lt;&gt;$A$15)),
        IF(Import.TipoArredondamento&lt;&gt;"TransfereGOV",
              ROUND(OFFSET($P200,0,BA$13),15-13*ORÇAMENTO!$AF$7)/$H200*OFFSET(ORÇAMENTO!$X$15,ROW(BA200)-ROW(BA$15),0),
              ROUND(ROUND(OFFSET($P200,0,BA$13),15-13*ORÇAMENTO!$AF$7)*OFFSET(ORÇAMENTO!$W$15,ROW(BA200)-ROW(BA$15),0),15-13*ORÇAMENTO!$AF$11)),
         0)</f>
        <v>0</v>
      </c>
      <c r="BB200" s="453">
        <f ca="1">IF(AND($D200="Serviço",BB$12&lt;&gt;0,$H200&gt;0,OR(AUTOEVENTO&lt;&gt;"manual",$M200&lt;&gt;$A$15)),
        IF(Import.TipoArredondamento&lt;&gt;"TransfereGOV",
              ROUND(OFFSET($P200,0,BB$13),15-13*ORÇAMENTO!$AF$7)/$H200*OFFSET(ORÇAMENTO!$X$15,ROW(BB200)-ROW(BB$15),0),
              ROUND(ROUND(OFFSET($P200,0,BB$13),15-13*ORÇAMENTO!$AF$7)*OFFSET(ORÇAMENTO!$W$15,ROW(BB200)-ROW(BB$15),0),15-13*ORÇAMENTO!$AF$11)),
         0)</f>
        <v>0</v>
      </c>
      <c r="BC200" s="453">
        <f ca="1">IF(AND($D200="Serviço",BC$12&lt;&gt;0,$H200&gt;0,OR(AUTOEVENTO&lt;&gt;"manual",$M200&lt;&gt;$A$15)),
        IF(Import.TipoArredondamento&lt;&gt;"TransfereGOV",
              ROUND(OFFSET($P200,0,BC$13),15-13*ORÇAMENTO!$AF$7)/$H200*OFFSET(ORÇAMENTO!$X$15,ROW(BC200)-ROW(BC$15),0),
              ROUND(ROUND(OFFSET($P200,0,BC$13),15-13*ORÇAMENTO!$AF$7)*OFFSET(ORÇAMENTO!$W$15,ROW(BC200)-ROW(BC$15),0),15-13*ORÇAMENTO!$AF$11)),
         0)</f>
        <v>0</v>
      </c>
      <c r="BD200" s="453">
        <f ca="1">IF(AND($D200="Serviço",BD$12&lt;&gt;0,$H200&gt;0,OR(AUTOEVENTO&lt;&gt;"manual",$M200&lt;&gt;$A$15)),
        IF(Import.TipoArredondamento&lt;&gt;"TransfereGOV",
              ROUND(OFFSET($P200,0,BD$13),15-13*ORÇAMENTO!$AF$7)/$H200*OFFSET(ORÇAMENTO!$X$15,ROW(BD200)-ROW(BD$15),0),
              ROUND(ROUND(OFFSET($P200,0,BD$13),15-13*ORÇAMENTO!$AF$7)*OFFSET(ORÇAMENTO!$W$15,ROW(BD200)-ROW(BD$15),0),15-13*ORÇAMENTO!$AF$11)),
         0)</f>
        <v>0</v>
      </c>
      <c r="BE200" s="453">
        <f ca="1">IF(AND($D200="Serviço",BE$12&lt;&gt;0,$H200&gt;0,OR(AUTOEVENTO&lt;&gt;"manual",$M200&lt;&gt;$A$15)),
        IF(Import.TipoArredondamento&lt;&gt;"TransfereGOV",
              ROUND(OFFSET($P200,0,BE$13),15-13*ORÇAMENTO!$AF$7)/$H200*OFFSET(ORÇAMENTO!$X$15,ROW(BE200)-ROW(BE$15),0),
              ROUND(ROUND(OFFSET($P200,0,BE$13),15-13*ORÇAMENTO!$AF$7)*OFFSET(ORÇAMENTO!$W$15,ROW(BE200)-ROW(BE$15),0),15-13*ORÇAMENTO!$AF$11)),
         0)</f>
        <v>0</v>
      </c>
      <c r="BF200" s="453">
        <f ca="1">IF(AND($D200="Serviço",BF$12&lt;&gt;0,$H200&gt;0,OR(AUTOEVENTO&lt;&gt;"manual",$M200&lt;&gt;$A$15)),
        IF(Import.TipoArredondamento&lt;&gt;"TransfereGOV",
              ROUND(OFFSET($P200,0,BF$13),15-13*ORÇAMENTO!$AF$7)/$H200*OFFSET(ORÇAMENTO!$X$15,ROW(BF200)-ROW(BF$15),0),
              ROUND(ROUND(OFFSET($P200,0,BF$13),15-13*ORÇAMENTO!$AF$7)*OFFSET(ORÇAMENTO!$W$15,ROW(BF200)-ROW(BF$15),0),15-13*ORÇAMENTO!$AF$11)),
         0)</f>
        <v>0</v>
      </c>
      <c r="BG200" s="453">
        <f ca="1">IF(AND($D200="Serviço",BG$12&lt;&gt;0,$H200&gt;0,OR(AUTOEVENTO&lt;&gt;"manual",$M200&lt;&gt;$A$15)),
        IF(Import.TipoArredondamento&lt;&gt;"TransfereGOV",
              ROUND(OFFSET($P200,0,BG$13),15-13*ORÇAMENTO!$AF$7)/$H200*OFFSET(ORÇAMENTO!$X$15,ROW(BG200)-ROW(BG$15),0),
              ROUND(ROUND(OFFSET($P200,0,BG$13),15-13*ORÇAMENTO!$AF$7)*OFFSET(ORÇAMENTO!$W$15,ROW(BG200)-ROW(BG$15),0),15-13*ORÇAMENTO!$AF$11)),
         0)</f>
        <v>0</v>
      </c>
      <c r="BH200" s="453">
        <f ca="1">IF(AND($D200="Serviço",BH$12&lt;&gt;0,$H200&gt;0,OR(AUTOEVENTO&lt;&gt;"manual",$M200&lt;&gt;$A$15)),
        IF(Import.TipoArredondamento&lt;&gt;"TransfereGOV",
              ROUND(OFFSET($P200,0,BH$13),15-13*ORÇAMENTO!$AF$7)/$H200*OFFSET(ORÇAMENTO!$X$15,ROW(BH200)-ROW(BH$15),0),
              ROUND(ROUND(OFFSET($P200,0,BH$13),15-13*ORÇAMENTO!$AF$7)*OFFSET(ORÇAMENTO!$W$15,ROW(BH200)-ROW(BH$15),0),15-13*ORÇAMENTO!$AF$11)),
         0)</f>
        <v>0</v>
      </c>
      <c r="BI200" s="453">
        <f ca="1">IF(AND($D200="Serviço",BI$12&lt;&gt;0,$H200&gt;0,OR(AUTOEVENTO&lt;&gt;"manual",$M200&lt;&gt;$A$15)),
        IF(Import.TipoArredondamento&lt;&gt;"TransfereGOV",
              ROUND(OFFSET($P200,0,BI$13),15-13*ORÇAMENTO!$AF$7)/$H200*OFFSET(ORÇAMENTO!$X$15,ROW(BI200)-ROW(BI$15),0),
              ROUND(ROUND(OFFSET($P200,0,BI$13),15-13*ORÇAMENTO!$AF$7)*OFFSET(ORÇAMENTO!$W$15,ROW(BI200)-ROW(BI$15),0),15-13*ORÇAMENTO!$AF$11)),
         0)</f>
        <v>0</v>
      </c>
      <c r="BJ200" s="453">
        <f ca="1">IF(AND($D200="Serviço",BJ$12&lt;&gt;0,$H200&gt;0,OR(AUTOEVENTO&lt;&gt;"manual",$M200&lt;&gt;$A$15)),
        IF(Import.TipoArredondamento&lt;&gt;"TransfereGOV",
              ROUND(OFFSET($P200,0,BJ$13),15-13*ORÇAMENTO!$AF$7)/$H200*OFFSET(ORÇAMENTO!$X$15,ROW(BJ200)-ROW(BJ$15),0),
              ROUND(ROUND(OFFSET($P200,0,BJ$13),15-13*ORÇAMENTO!$AF$7)*OFFSET(ORÇAMENTO!$W$15,ROW(BJ200)-ROW(BJ$15),0),15-13*ORÇAMENTO!$AF$11)),
         0)</f>
        <v>0</v>
      </c>
      <c r="BK200" s="453">
        <f ca="1">IF(AND($D200="Serviço",BK$12&lt;&gt;0,$H200&gt;0,OR(AUTOEVENTO&lt;&gt;"manual",$M200&lt;&gt;$A$15)),
        IF(Import.TipoArredondamento&lt;&gt;"TransfereGOV",
              ROUND(OFFSET($P200,0,BK$13),15-13*ORÇAMENTO!$AF$7)/$H200*OFFSET(ORÇAMENTO!$X$15,ROW(BK200)-ROW(BK$15),0),
              ROUND(ROUND(OFFSET($P200,0,BK$13),15-13*ORÇAMENTO!$AF$7)*OFFSET(ORÇAMENTO!$W$15,ROW(BK200)-ROW(BK$15),0),15-13*ORÇAMENTO!$AF$11)),
         0)</f>
        <v>0</v>
      </c>
      <c r="BL200" s="453">
        <f ca="1">IF(AND($D200="Serviço",BL$12&lt;&gt;0,$H200&gt;0,OR(AUTOEVENTO&lt;&gt;"manual",$M200&lt;&gt;$A$15)),
        IF(Import.TipoArredondamento&lt;&gt;"TransfereGOV",
              ROUND(OFFSET($P200,0,BL$13),15-13*ORÇAMENTO!$AF$7)/$H200*OFFSET(ORÇAMENTO!$X$15,ROW(BL200)-ROW(BL$15),0),
              ROUND(ROUND(OFFSET($P200,0,BL$13),15-13*ORÇAMENTO!$AF$7)*OFFSET(ORÇAMENTO!$W$15,ROW(BL200)-ROW(BL$15),0),15-13*ORÇAMENTO!$AF$11)),
         0)</f>
        <v>0</v>
      </c>
      <c r="BM200" s="453">
        <f ca="1">IF(AND($D200="Serviço",BM$12&lt;&gt;0,$H200&gt;0,OR(AUTOEVENTO&lt;&gt;"manual",$M200&lt;&gt;$A$15)),
        IF(Import.TipoArredondamento&lt;&gt;"TransfereGOV",
              ROUND(OFFSET($P200,0,BM$13),15-13*ORÇAMENTO!$AF$7)/$H200*OFFSET(ORÇAMENTO!$X$15,ROW(BM200)-ROW(BM$15),0),
              ROUND(ROUND(OFFSET($P200,0,BM$13),15-13*ORÇAMENTO!$AF$7)*OFFSET(ORÇAMENTO!$W$15,ROW(BM200)-ROW(BM$15),0),15-13*ORÇAMENTO!$AF$11)),
         0)</f>
        <v>0</v>
      </c>
      <c r="BN200" s="453">
        <f ca="1">IF(AND($D200="Serviço",BN$12&lt;&gt;0,$H200&gt;0,OR(AUTOEVENTO&lt;&gt;"manual",$M200&lt;&gt;$A$15)),
        IF(Import.TipoArredondamento&lt;&gt;"TransfereGOV",
              ROUND(OFFSET($P200,0,BN$13),15-13*ORÇAMENTO!$AF$7)/$H200*OFFSET(ORÇAMENTO!$X$15,ROW(BN200)-ROW(BN$15),0),
              ROUND(ROUND(OFFSET($P200,0,BN$13),15-13*ORÇAMENTO!$AF$7)*OFFSET(ORÇAMENTO!$W$15,ROW(BN200)-ROW(BN$15),0),15-13*ORÇAMENTO!$AF$11)),
         0)</f>
        <v>0</v>
      </c>
      <c r="BO200" s="453">
        <f ca="1">IF(AND($D200="Serviço",BO$12&lt;&gt;0,$H200&gt;0,OR(AUTOEVENTO&lt;&gt;"manual",$M200&lt;&gt;$A$15)),
        IF(Import.TipoArredondamento&lt;&gt;"TransfereGOV",
              ROUND(OFFSET($P200,0,BO$13),15-13*ORÇAMENTO!$AF$7)/$H200*OFFSET(ORÇAMENTO!$X$15,ROW(BO200)-ROW(BO$15),0),
              ROUND(ROUND(OFFSET($P200,0,BO$13),15-13*ORÇAMENTO!$AF$7)*OFFSET(ORÇAMENTO!$W$15,ROW(BO200)-ROW(BO$15),0),15-13*ORÇAMENTO!$AF$11)),
         0)</f>
        <v>0</v>
      </c>
      <c r="BP200" s="453">
        <f ca="1">IF(AND($D200="Serviço",BP$12&lt;&gt;0,$H200&gt;0,OR(AUTOEVENTO&lt;&gt;"manual",$M200&lt;&gt;$A$15)),
        IF(Import.TipoArredondamento&lt;&gt;"TransfereGOV",
              ROUND(OFFSET($P200,0,BP$13),15-13*ORÇAMENTO!$AF$7)/$H200*OFFSET(ORÇAMENTO!$X$15,ROW(BP200)-ROW(BP$15),0),
              ROUND(ROUND(OFFSET($P200,0,BP$13),15-13*ORÇAMENTO!$AF$7)*OFFSET(ORÇAMENTO!$W$15,ROW(BP200)-ROW(BP$15),0),15-13*ORÇAMENTO!$AF$11)),
         0)</f>
        <v>0</v>
      </c>
      <c r="BQ200" s="453">
        <f ca="1">IF(AND($D200="Serviço",BQ$12&lt;&gt;0,$H200&gt;0,OR(AUTOEVENTO&lt;&gt;"manual",$M200&lt;&gt;$A$15)),
        IF(Import.TipoArredondamento&lt;&gt;"TransfereGOV",
              ROUND(OFFSET($P200,0,BQ$13),15-13*ORÇAMENTO!$AF$7)/$H200*OFFSET(ORÇAMENTO!$X$15,ROW(BQ200)-ROW(BQ$15),0),
              ROUND(ROUND(OFFSET($P200,0,BQ$13),15-13*ORÇAMENTO!$AF$7)*OFFSET(ORÇAMENTO!$W$15,ROW(BQ200)-ROW(BQ$15),0),15-13*ORÇAMENTO!$AF$11)),
         0)</f>
        <v>0</v>
      </c>
      <c r="BS200" s="171">
        <f ca="1">IF(OR($D200&lt;&gt;"Serviço",AND(AUTOEVENTO="Manual",$M200=$A$15)),0,
         IF(OFFSET(CRONOPLE!$F$15,$M200-$A$15,BS$13)=0,10^12,OFFSET(CRONOPLE!$F$15,$M200-$A$15,BS$13)))</f>
        <v>1</v>
      </c>
      <c r="BT200" s="171">
        <f ca="1">IF(OR($D200&lt;&gt;"Serviço",AND(AUTOEVENTO="Manual",$M200=$A$15)),0,
         IF(OFFSET(CRONOPLE!$F$15,$M200-$A$15,BT$13)=0,10^12,OFFSET(CRONOPLE!$F$15,$M200-$A$15,BT$13)))</f>
        <v>2</v>
      </c>
      <c r="BU200" s="171">
        <f ca="1">IF(OR($D200&lt;&gt;"Serviço",AND(AUTOEVENTO="Manual",$M200=$A$15)),0,
         IF(OFFSET(CRONOPLE!$F$15,$M200-$A$15,BU$13)=0,10^12,OFFSET(CRONOPLE!$F$15,$M200-$A$15,BU$13)))</f>
        <v>3</v>
      </c>
      <c r="BV200" s="171">
        <f ca="1">IF(OR($D200&lt;&gt;"Serviço",AND(AUTOEVENTO="Manual",$M200=$A$15)),0,
         IF(OFFSET(CRONOPLE!$F$15,$M200-$A$15,BV$13)=0,10^12,OFFSET(CRONOPLE!$F$15,$M200-$A$15,BV$13)))</f>
        <v>4</v>
      </c>
      <c r="BW200" s="171">
        <f ca="1">IF(OR($D200&lt;&gt;"Serviço",AND(AUTOEVENTO="Manual",$M200=$A$15)),0,
         IF(OFFSET(CRONOPLE!$F$15,$M200-$A$15,BW$13)=0,10^12,OFFSET(CRONOPLE!$F$15,$M200-$A$15,BW$13)))</f>
        <v>5</v>
      </c>
      <c r="BX200" s="171">
        <f ca="1">IF(OR($D200&lt;&gt;"Serviço",AND(AUTOEVENTO="Manual",$M200=$A$15)),0,
         IF(OFFSET(CRONOPLE!$F$15,$M200-$A$15,BX$13)=0,10^12,OFFSET(CRONOPLE!$F$15,$M200-$A$15,BX$13)))</f>
        <v>6</v>
      </c>
      <c r="BY200" s="171">
        <f ca="1">IF(OR($D200&lt;&gt;"Serviço",AND(AUTOEVENTO="Manual",$M200=$A$15)),0,
         IF(OFFSET(CRONOPLE!$F$15,$M200-$A$15,BY$13)=0,10^12,OFFSET(CRONOPLE!$F$15,$M200-$A$15,BY$13)))</f>
        <v>7</v>
      </c>
      <c r="BZ200" s="171">
        <f ca="1">IF(OR($D200&lt;&gt;"Serviço",AND(AUTOEVENTO="Manual",$M200=$A$15)),0,
         IF(OFFSET(CRONOPLE!$F$15,$M200-$A$15,BZ$13)=0,10^12,OFFSET(CRONOPLE!$F$15,$M200-$A$15,BZ$13)))</f>
        <v>8</v>
      </c>
      <c r="CA200" s="171">
        <f ca="1">IF(OR($D200&lt;&gt;"Serviço",AND(AUTOEVENTO="Manual",$M200=$A$15)),0,
         IF(OFFSET(CRONOPLE!$F$15,$M200-$A$15,CA$13)=0,10^12,OFFSET(CRONOPLE!$F$15,$M200-$A$15,CA$13)))</f>
        <v>9</v>
      </c>
      <c r="CB200" s="171">
        <f ca="1">IF(OR($D200&lt;&gt;"Serviço",AND(AUTOEVENTO="Manual",$M200=$A$15)),0,
         IF(OFFSET(CRONOPLE!$F$15,$M200-$A$15,CB$13)=0,10^12,OFFSET(CRONOPLE!$F$15,$M200-$A$15,CB$13)))</f>
        <v>10</v>
      </c>
      <c r="CC200" s="171">
        <f ca="1">IF(OR($D200&lt;&gt;"Serviço",AND(AUTOEVENTO="Manual",$M200=$A$15)),0,
         IF(OFFSET(CRONOPLE!$F$15,$M200-$A$15,CC$13)=0,10^12,OFFSET(CRONOPLE!$F$15,$M200-$A$15,CC$13)))</f>
        <v>11</v>
      </c>
      <c r="CD200" s="171">
        <f ca="1">IF(OR($D200&lt;&gt;"Serviço",AND(AUTOEVENTO="Manual",$M200=$A$15)),0,
         IF(OFFSET(CRONOPLE!$F$15,$M200-$A$15,CD$13)=0,10^12,OFFSET(CRONOPLE!$F$15,$M200-$A$15,CD$13)))</f>
        <v>12</v>
      </c>
      <c r="CE200" s="171">
        <f ca="1">IF(OR($D200&lt;&gt;"Serviço",AND(AUTOEVENTO="Manual",$M200=$A$15)),0,
         IF(OFFSET(CRONOPLE!$F$15,$M200-$A$15,CE$13)=0,10^12,OFFSET(CRONOPLE!$F$15,$M200-$A$15,CE$13)))</f>
        <v>13</v>
      </c>
      <c r="CF200" s="171">
        <f ca="1">IF(OR($D200&lt;&gt;"Serviço",AND(AUTOEVENTO="Manual",$M200=$A$15)),0,
         IF(OFFSET(CRONOPLE!$F$15,$M200-$A$15,CF$13)=0,10^12,OFFSET(CRONOPLE!$F$15,$M200-$A$15,CF$13)))</f>
        <v>14</v>
      </c>
      <c r="CG200" s="171">
        <f ca="1">IF(OR($D200&lt;&gt;"Serviço",AND(AUTOEVENTO="Manual",$M200=$A$15)),0,
         IF(OFFSET(CRONOPLE!$F$15,$M200-$A$15,CG$13)=0,10^12,OFFSET(CRONOPLE!$F$15,$M200-$A$15,CG$13)))</f>
        <v>15</v>
      </c>
      <c r="CH200" s="171">
        <f ca="1">IF(OR($D200&lt;&gt;"Serviço",AND(AUTOEVENTO="Manual",$M200=$A$15)),0,
         IF(OFFSET(CRONOPLE!$F$15,$M200-$A$15,CH$13)=0,10^12,OFFSET(CRONOPLE!$F$15,$M200-$A$15,CH$13)))</f>
        <v>16</v>
      </c>
      <c r="CI200" s="171">
        <f ca="1">IF(OR($D200&lt;&gt;"Serviço",AND(AUTOEVENTO="Manual",$M200=$A$15)),0,
         IF(OFFSET(CRONOPLE!$F$15,$M200-$A$15,CI$13)=0,10^12,OFFSET(CRONOPLE!$F$15,$M200-$A$15,CI$13)))</f>
        <v>17</v>
      </c>
      <c r="CJ200" s="171">
        <f ca="1">IF(OR($D200&lt;&gt;"Serviço",AND(AUTOEVENTO="Manual",$M200=$A$15)),0,
         IF(OFFSET(CRONOPLE!$F$15,$M200-$A$15,CJ$13)=0,10^12,OFFSET(CRONOPLE!$F$15,$M200-$A$15,CJ$13)))</f>
        <v>18</v>
      </c>
      <c r="CK200" s="171">
        <f ca="1">IF(OR($D200&lt;&gt;"Serviço",AND(AUTOEVENTO="Manual",$M200=$A$15)),0,
         IF(OFFSET(CRONOPLE!$F$15,$M200-$A$15,CK$13)=0,10^12,OFFSET(CRONOPLE!$F$15,$M200-$A$15,CK$13)))</f>
        <v>19</v>
      </c>
      <c r="CL200" s="171">
        <f ca="1">IF(OR($D200&lt;&gt;"Serviço",AND(AUTOEVENTO="Manual",$M200=$A$15)),0,
         IF(OFFSET(CRONOPLE!$F$15,$M200-$A$15,CL$13)=0,10^12,OFFSET(CRONOPLE!$F$15,$M200-$A$15,CL$13)))</f>
        <v>20</v>
      </c>
      <c r="CM200" s="171">
        <f ca="1">IF(OR($D200&lt;&gt;"Serviço",AND(AUTOEVENTO="Manual",$M200=$A$15)),0,
         IF(OFFSET(CRONOPLE!$F$15,$M200-$A$15,CM$13)=0,10^12,OFFSET(CRONOPLE!$F$15,$M200-$A$15,CM$13)))</f>
        <v>1000000000000</v>
      </c>
      <c r="CN200" s="171">
        <f ca="1">IF(OR($D200&lt;&gt;"Serviço",AND(AUTOEVENTO="Manual",$M200=$A$15)),0,
         IF(OFFSET(CRONOPLE!$F$15,$M200-$A$15,CN$13)=0,10^12,OFFSET(CRONOPLE!$F$15,$M200-$A$15,CN$13)))</f>
        <v>1000000000000</v>
      </c>
      <c r="CO200" s="171">
        <f ca="1">IF(OR($D200&lt;&gt;"Serviço",AND(AUTOEVENTO="Manual",$M200=$A$15)),0,
         IF(OFFSET(CRONOPLE!$F$15,$M200-$A$15,CO$13)=0,10^12,OFFSET(CRONOPLE!$F$15,$M200-$A$15,CO$13)))</f>
        <v>1000000000000</v>
      </c>
      <c r="CP200" s="171">
        <f ca="1">IF(OR($D200&lt;&gt;"Serviço",AND(AUTOEVENTO="Manual",$M200=$A$15)),0,
         IF(OFFSET(CRONOPLE!$F$15,$M200-$A$15,CP$13)=0,10^12,OFFSET(CRONOPLE!$F$15,$M200-$A$15,CP$13)))</f>
        <v>1000000000000</v>
      </c>
      <c r="CQ200" s="171">
        <f ca="1">IF(OR($D200&lt;&gt;"Serviço",AND(AUTOEVENTO="Manual",$M200=$A$15)),0,
         IF(OFFSET(CRONOPLE!$F$15,$M200-$A$15,CQ$13)=0,10^12,OFFSET(CRONOPLE!$F$15,$M200-$A$15,CQ$13)))</f>
        <v>1000000000000</v>
      </c>
      <c r="CR200" s="171">
        <f ca="1">IF(OR($D200&lt;&gt;"Serviço",AND(AUTOEVENTO="Manual",$M200=$A$15)),0,
         IF(OFFSET(CRONOPLE!$F$15,$M200-$A$15,CR$13)=0,10^12,OFFSET(CRONOPLE!$F$15,$M200-$A$15,CR$13)))</f>
        <v>1000000000000</v>
      </c>
      <c r="CT200" s="172" cm="1">
        <f t="array" aca="1" ref="CT200" ca="1">IF(OR($D200&lt;&gt;"Serviço",AND(AUTOEVENTO="Manual",$M200=$A$15),$M200&gt;(ROW(PLE.lastrow)-ROW(PLE.firstrow))),0,
           IF(OFFSET(PLE!$G$15,$M200-$A$15,CT$13)="",10^12,OFFSET(PLE!$G$15,$M200-$A$15,CT$13)))</f>
        <v>1000000000000</v>
      </c>
      <c r="CU200" s="172" cm="1">
        <f t="array" aca="1" ref="CU200" ca="1">IF(OR($D200&lt;&gt;"Serviço",AND(AUTOEVENTO="Manual",$M200=$A$15),$M200&gt;(ROW(PLE.lastrow)-ROW(PLE.firstrow))),0,
           IF(OFFSET(PLE!$G$15,$M200-$A$15,CU$13)="",10^12,OFFSET(PLE!$G$15,$M200-$A$15,CU$13)))</f>
        <v>1000000000000</v>
      </c>
      <c r="CV200" s="172" cm="1">
        <f t="array" aca="1" ref="CV200" ca="1">IF(OR($D200&lt;&gt;"Serviço",AND(AUTOEVENTO="Manual",$M200=$A$15),$M200&gt;(ROW(PLE.lastrow)-ROW(PLE.firstrow))),0,
           IF(OFFSET(PLE!$G$15,$M200-$A$15,CV$13)="",10^12,OFFSET(PLE!$G$15,$M200-$A$15,CV$13)))</f>
        <v>1000000000000</v>
      </c>
      <c r="CW200" s="172" cm="1">
        <f t="array" aca="1" ref="CW200" ca="1">IF(OR($D200&lt;&gt;"Serviço",AND(AUTOEVENTO="Manual",$M200=$A$15),$M200&gt;(ROW(PLE.lastrow)-ROW(PLE.firstrow))),0,
           IF(OFFSET(PLE!$G$15,$M200-$A$15,CW$13)="",10^12,OFFSET(PLE!$G$15,$M200-$A$15,CW$13)))</f>
        <v>1000000000000</v>
      </c>
      <c r="CX200" s="172" cm="1">
        <f t="array" aca="1" ref="CX200" ca="1">IF(OR($D200&lt;&gt;"Serviço",AND(AUTOEVENTO="Manual",$M200=$A$15),$M200&gt;(ROW(PLE.lastrow)-ROW(PLE.firstrow))),0,
           IF(OFFSET(PLE!$G$15,$M200-$A$15,CX$13)="",10^12,OFFSET(PLE!$G$15,$M200-$A$15,CX$13)))</f>
        <v>1000000000000</v>
      </c>
      <c r="CY200" s="172" cm="1">
        <f t="array" aca="1" ref="CY200" ca="1">IF(OR($D200&lt;&gt;"Serviço",AND(AUTOEVENTO="Manual",$M200=$A$15),$M200&gt;(ROW(PLE.lastrow)-ROW(PLE.firstrow))),0,
           IF(OFFSET(PLE!$G$15,$M200-$A$15,CY$13)="",10^12,OFFSET(PLE!$G$15,$M200-$A$15,CY$13)))</f>
        <v>1000000000000</v>
      </c>
      <c r="CZ200" s="172" cm="1">
        <f t="array" aca="1" ref="CZ200" ca="1">IF(OR($D200&lt;&gt;"Serviço",AND(AUTOEVENTO="Manual",$M200=$A$15),$M200&gt;(ROW(PLE.lastrow)-ROW(PLE.firstrow))),0,
           IF(OFFSET(PLE!$G$15,$M200-$A$15,CZ$13)="",10^12,OFFSET(PLE!$G$15,$M200-$A$15,CZ$13)))</f>
        <v>1000000000000</v>
      </c>
      <c r="DA200" s="172" cm="1">
        <f t="array" aca="1" ref="DA200" ca="1">IF(OR($D200&lt;&gt;"Serviço",AND(AUTOEVENTO="Manual",$M200=$A$15),$M200&gt;(ROW(PLE.lastrow)-ROW(PLE.firstrow))),0,
           IF(OFFSET(PLE!$G$15,$M200-$A$15,DA$13)="",10^12,OFFSET(PLE!$G$15,$M200-$A$15,DA$13)))</f>
        <v>1000000000000</v>
      </c>
      <c r="DB200" s="172" cm="1">
        <f t="array" aca="1" ref="DB200" ca="1">IF(OR($D200&lt;&gt;"Serviço",AND(AUTOEVENTO="Manual",$M200=$A$15),$M200&gt;(ROW(PLE.lastrow)-ROW(PLE.firstrow))),0,
           IF(OFFSET(PLE!$G$15,$M200-$A$15,DB$13)="",10^12,OFFSET(PLE!$G$15,$M200-$A$15,DB$13)))</f>
        <v>1000000000000</v>
      </c>
      <c r="DC200" s="172" cm="1">
        <f t="array" aca="1" ref="DC200" ca="1">IF(OR($D200&lt;&gt;"Serviço",AND(AUTOEVENTO="Manual",$M200=$A$15),$M200&gt;(ROW(PLE.lastrow)-ROW(PLE.firstrow))),0,
           IF(OFFSET(PLE!$G$15,$M200-$A$15,DC$13)="",10^12,OFFSET(PLE!$G$15,$M200-$A$15,DC$13)))</f>
        <v>1000000000000</v>
      </c>
      <c r="DD200" s="172" cm="1">
        <f t="array" aca="1" ref="DD200" ca="1">IF(OR($D200&lt;&gt;"Serviço",AND(AUTOEVENTO="Manual",$M200=$A$15),$M200&gt;(ROW(PLE.lastrow)-ROW(PLE.firstrow))),0,
           IF(OFFSET(PLE!$G$15,$M200-$A$15,DD$13)="",10^12,OFFSET(PLE!$G$15,$M200-$A$15,DD$13)))</f>
        <v>1000000000000</v>
      </c>
      <c r="DE200" s="172" cm="1">
        <f t="array" aca="1" ref="DE200" ca="1">IF(OR($D200&lt;&gt;"Serviço",AND(AUTOEVENTO="Manual",$M200=$A$15),$M200&gt;(ROW(PLE.lastrow)-ROW(PLE.firstrow))),0,
           IF(OFFSET(PLE!$G$15,$M200-$A$15,DE$13)="",10^12,OFFSET(PLE!$G$15,$M200-$A$15,DE$13)))</f>
        <v>1000000000000</v>
      </c>
      <c r="DF200" s="172" cm="1">
        <f t="array" aca="1" ref="DF200" ca="1">IF(OR($D200&lt;&gt;"Serviço",AND(AUTOEVENTO="Manual",$M200=$A$15),$M200&gt;(ROW(PLE.lastrow)-ROW(PLE.firstrow))),0,
           IF(OFFSET(PLE!$G$15,$M200-$A$15,DF$13)="",10^12,OFFSET(PLE!$G$15,$M200-$A$15,DF$13)))</f>
        <v>1000000000000</v>
      </c>
      <c r="DG200" s="172" cm="1">
        <f t="array" aca="1" ref="DG200" ca="1">IF(OR($D200&lt;&gt;"Serviço",AND(AUTOEVENTO="Manual",$M200=$A$15),$M200&gt;(ROW(PLE.lastrow)-ROW(PLE.firstrow))),0,
           IF(OFFSET(PLE!$G$15,$M200-$A$15,DG$13)="",10^12,OFFSET(PLE!$G$15,$M200-$A$15,DG$13)))</f>
        <v>1000000000000</v>
      </c>
      <c r="DH200" s="172" cm="1">
        <f t="array" aca="1" ref="DH200" ca="1">IF(OR($D200&lt;&gt;"Serviço",AND(AUTOEVENTO="Manual",$M200=$A$15),$M200&gt;(ROW(PLE.lastrow)-ROW(PLE.firstrow))),0,
           IF(OFFSET(PLE!$G$15,$M200-$A$15,DH$13)="",10^12,OFFSET(PLE!$G$15,$M200-$A$15,DH$13)))</f>
        <v>1000000000000</v>
      </c>
      <c r="DI200" s="172" cm="1">
        <f t="array" aca="1" ref="DI200" ca="1">IF(OR($D200&lt;&gt;"Serviço",AND(AUTOEVENTO="Manual",$M200=$A$15),$M200&gt;(ROW(PLE.lastrow)-ROW(PLE.firstrow))),0,
           IF(OFFSET(PLE!$G$15,$M200-$A$15,DI$13)="",10^12,OFFSET(PLE!$G$15,$M200-$A$15,DI$13)))</f>
        <v>1000000000000</v>
      </c>
      <c r="DJ200" s="172" cm="1">
        <f t="array" aca="1" ref="DJ200" ca="1">IF(OR($D200&lt;&gt;"Serviço",AND(AUTOEVENTO="Manual",$M200=$A$15),$M200&gt;(ROW(PLE.lastrow)-ROW(PLE.firstrow))),0,
           IF(OFFSET(PLE!$G$15,$M200-$A$15,DJ$13)="",10^12,OFFSET(PLE!$G$15,$M200-$A$15,DJ$13)))</f>
        <v>1000000000000</v>
      </c>
      <c r="DK200" s="172" cm="1">
        <f t="array" aca="1" ref="DK200" ca="1">IF(OR($D200&lt;&gt;"Serviço",AND(AUTOEVENTO="Manual",$M200=$A$15),$M200&gt;(ROW(PLE.lastrow)-ROW(PLE.firstrow))),0,
           IF(OFFSET(PLE!$G$15,$M200-$A$15,DK$13)="",10^12,OFFSET(PLE!$G$15,$M200-$A$15,DK$13)))</f>
        <v>1000000000000</v>
      </c>
      <c r="DL200" s="172" cm="1">
        <f t="array" aca="1" ref="DL200" ca="1">IF(OR($D200&lt;&gt;"Serviço",AND(AUTOEVENTO="Manual",$M200=$A$15),$M200&gt;(ROW(PLE.lastrow)-ROW(PLE.firstrow))),0,
           IF(OFFSET(PLE!$G$15,$M200-$A$15,DL$13)="",10^12,OFFSET(PLE!$G$15,$M200-$A$15,DL$13)))</f>
        <v>1000000000000</v>
      </c>
      <c r="DM200" s="172" cm="1">
        <f t="array" aca="1" ref="DM200" ca="1">IF(OR($D200&lt;&gt;"Serviço",AND(AUTOEVENTO="Manual",$M200=$A$15),$M200&gt;(ROW(PLE.lastrow)-ROW(PLE.firstrow))),0,
           IF(OFFSET(PLE!$G$15,$M200-$A$15,DM$13)="",10^12,OFFSET(PLE!$G$15,$M200-$A$15,DM$13)))</f>
        <v>1000000000000</v>
      </c>
      <c r="DN200" s="172" cm="1">
        <f t="array" aca="1" ref="DN200" ca="1">IF(OR($D200&lt;&gt;"Serviço",AND(AUTOEVENTO="Manual",$M200=$A$15),$M200&gt;(ROW(PLE.lastrow)-ROW(PLE.firstrow))),0,
           IF(OFFSET(PLE!$G$15,$M200-$A$15,DN$13)="",10^12,OFFSET(PLE!$G$15,$M200-$A$15,DN$13)))</f>
        <v>1000000000000</v>
      </c>
      <c r="DO200" s="172" cm="1">
        <f t="array" aca="1" ref="DO200" ca="1">IF(OR($D200&lt;&gt;"Serviço",AND(AUTOEVENTO="Manual",$M200=$A$15),$M200&gt;(ROW(PLE.lastrow)-ROW(PLE.firstrow))),0,
           IF(OFFSET(PLE!$G$15,$M200-$A$15,DO$13)="",10^12,OFFSET(PLE!$G$15,$M200-$A$15,DO$13)))</f>
        <v>1000000000000</v>
      </c>
      <c r="DP200" s="172" cm="1">
        <f t="array" aca="1" ref="DP200" ca="1">IF(OR($D200&lt;&gt;"Serviço",AND(AUTOEVENTO="Manual",$M200=$A$15),$M200&gt;(ROW(PLE.lastrow)-ROW(PLE.firstrow))),0,
           IF(OFFSET(PLE!$G$15,$M200-$A$15,DP$13)="",10^12,OFFSET(PLE!$G$15,$M200-$A$15,DP$13)))</f>
        <v>1000000000000</v>
      </c>
      <c r="DQ200" s="172" cm="1">
        <f t="array" aca="1" ref="DQ200" ca="1">IF(OR($D200&lt;&gt;"Serviço",AND(AUTOEVENTO="Manual",$M200=$A$15),$M200&gt;(ROW(PLE.lastrow)-ROW(PLE.firstrow))),0,
           IF(OFFSET(PLE!$G$15,$M200-$A$15,DQ$13)="",10^12,OFFSET(PLE!$G$15,$M200-$A$15,DQ$13)))</f>
        <v>1000000000000</v>
      </c>
      <c r="DR200" s="172" cm="1">
        <f t="array" aca="1" ref="DR200" ca="1">IF(OR($D200&lt;&gt;"Serviço",AND(AUTOEVENTO="Manual",$M200=$A$15),$M200&gt;(ROW(PLE.lastrow)-ROW(PLE.firstrow))),0,
           IF(OFFSET(PLE!$G$15,$M200-$A$15,DR$13)="",10^12,OFFSET(PLE!$G$15,$M200-$A$15,DR$13)))</f>
        <v>1000000000000</v>
      </c>
      <c r="DS200" s="172" cm="1">
        <f t="array" aca="1" ref="DS200" ca="1">IF(OR($D200&lt;&gt;"Serviço",AND(AUTOEVENTO="Manual",$M200=$A$15),$M200&gt;(ROW(PLE.lastrow)-ROW(PLE.firstrow))),0,
           IF(OFFSET(PLE!$G$15,$M200-$A$15,DS$13)="",10^12,OFFSET(PLE!$G$15,$M200-$A$15,DS$13)))</f>
        <v>1000000000000</v>
      </c>
    </row>
    <row r="201" spans="1:123" ht="38.25" x14ac:dyDescent="0.2">
      <c r="A201" s="7">
        <f t="shared" ca="1" si="18"/>
        <v>9</v>
      </c>
      <c r="B201" s="7" t="str">
        <f ca="1">OFFSET(ORÇAMENTO!C$15,$L201,0)</f>
        <v>S</v>
      </c>
      <c r="C201" s="7" t="str">
        <f ca="1">OFFSET(ORÇAMENTO!L$15,$L201,0)</f>
        <v/>
      </c>
      <c r="D201" s="116" t="str">
        <f ca="1">OFFSET(ORÇAMENTO!N$15,$L201,0)</f>
        <v>Serviço</v>
      </c>
      <c r="E201" s="117" t="str">
        <f ca="1">OFFSET(ORÇAMENTO!O$15,$L201,0)</f>
        <v>-</v>
      </c>
      <c r="F201" s="163" t="str">
        <f ca="1">OFFSET(ORÇAMENTO!R$15,$L201,0)</f>
        <v>(Código não identificado nas referências)</v>
      </c>
      <c r="G201" s="164" t="str">
        <f ca="1">IF($D201&lt;&gt;"Serviço","",OFFSET(ORÇAMENTO!S$15,$L201,0))</f>
        <v>-</v>
      </c>
      <c r="H201" s="122" cm="1">
        <f t="array" aca="1" ref="H201" ca="1">IF($D201&lt;&gt;"Serviço",0,IF(ACOMPANHAMENTO="BM",ROUND(OFFSET(ORÇAMENTO!AJ$15,$L201,0),15-13*ORÇAMENTO!$AF$7),IF(IFERROR(CÁLCULO.FrentesPreenchidas,0)=0,0,SUM(ROUND(OFFSET($P201,0,1,1,CÁLCULO.FrentesPreenchidas),15-13*ORÇAMENTO!$AF$7)))))</f>
        <v>88.000000000000014</v>
      </c>
      <c r="I201" s="468" t="s">
        <v>1235</v>
      </c>
      <c r="J201" s="651" t="str" cm="1">
        <f t="array" aca="1" ref="J201" ca="1">IF(OR(B201&lt;&gt;"S",CÁLCULO.FrentesPreenchidas=0),"",IF(AND(ACOMPANHAMENTO="PLE",AUTOEVENTO="Manual",OR(H201&gt;0,ORÇAMENTO!AC201="QUANT."),OR(K201="",M201=0,N201="")),"►E",IF(AND(ACOMPANHAMENTO="PLE",ORÇAMENTO!AC201="QUANT."),"►Q",IF(AND(ACOMPANHAMENTO="PLE",H201&lt;&gt;SUMPRODUCT(($Q$1:$AQ$1=1)*ROUND(Q201:AQ201,15))),"►S",IF(AND(COUNTIF($P$11:$AQ$11,"▼")=0,H201&gt;0,I201=""),"◄M","")))))</f>
        <v/>
      </c>
      <c r="K201" s="652" t="s">
        <v>1257</v>
      </c>
      <c r="L201" s="165">
        <f t="shared" ca="1" si="17"/>
        <v>186</v>
      </c>
      <c r="M201" s="166">
        <f ca="1">IF($D201&lt;&gt;"Serviço","",
          IF(AUTOEVENTO="manual",$A201,
                IF(ISERROR(MATCH($A201,$A$15:OFFSET($A201,-1,0),0)),MAX($M$15:OFFSET(M201,-1,0))+1,
                      INDEX($M$15:OFFSET(M201,-1,0),MATCH($A201,$A$15:OFFSET($A201,-1,0),0)))))</f>
        <v>9</v>
      </c>
      <c r="N201" s="167" t="str">
        <f ca="1">IF($D201&lt;&gt;"Serviço","",
         IF(AUTOEVENTO="Manual",
                IF($A201=0,"&lt;-- defina o número do agrupador",
                       OFFSET(EVENTOS!$D$15,$A201-$A$15,0)),
                OFFSET($F$15,$A201,0)))</f>
        <v>INSTALAÇÕES</v>
      </c>
      <c r="O201" s="168"/>
      <c r="Q201" s="168">
        <v>4.4000000000000004</v>
      </c>
      <c r="R201" s="169">
        <v>4.4000000000000004</v>
      </c>
      <c r="S201" s="169">
        <v>4.4000000000000004</v>
      </c>
      <c r="T201" s="169">
        <v>4.4000000000000004</v>
      </c>
      <c r="U201" s="169">
        <v>4.4000000000000004</v>
      </c>
      <c r="V201" s="169">
        <v>4.4000000000000004</v>
      </c>
      <c r="W201" s="169">
        <v>4.4000000000000004</v>
      </c>
      <c r="X201" s="169">
        <v>4.4000000000000004</v>
      </c>
      <c r="Y201" s="169">
        <v>4.4000000000000004</v>
      </c>
      <c r="Z201" s="170">
        <v>4.4000000000000004</v>
      </c>
      <c r="AA201" s="169">
        <v>4.4000000000000004</v>
      </c>
      <c r="AB201" s="169">
        <v>4.4000000000000004</v>
      </c>
      <c r="AC201" s="169">
        <v>4.4000000000000004</v>
      </c>
      <c r="AD201" s="169">
        <v>4.4000000000000004</v>
      </c>
      <c r="AE201" s="169">
        <v>4.4000000000000004</v>
      </c>
      <c r="AF201" s="169">
        <v>4.4000000000000004</v>
      </c>
      <c r="AG201" s="169">
        <v>4.4000000000000004</v>
      </c>
      <c r="AH201" s="170">
        <v>4.4000000000000004</v>
      </c>
      <c r="AI201" s="169">
        <v>4.4000000000000004</v>
      </c>
      <c r="AJ201" s="169">
        <v>4.4000000000000004</v>
      </c>
      <c r="AK201" s="169"/>
      <c r="AL201" s="169"/>
      <c r="AM201" s="169"/>
      <c r="AN201" s="169"/>
      <c r="AO201" s="169"/>
      <c r="AP201" s="170"/>
      <c r="AR201" s="453">
        <f ca="1">IF(AND($D201="Serviço",AR$12&lt;&gt;0,$H201&gt;0,OR(AUTOEVENTO&lt;&gt;"manual",$M201&lt;&gt;$A$15)),
        IF(Import.TipoArredondamento&lt;&gt;"TransfereGOV",
              ROUND(OFFSET($P201,0,AR$13),15-13*ORÇAMENTO!$AF$7)/$H201*OFFSET(ORÇAMENTO!$X$15,ROW(AR201)-ROW(AR$15),0),
              ROUND(ROUND(OFFSET($P201,0,AR$13),15-13*ORÇAMENTO!$AF$7)*OFFSET(ORÇAMENTO!$W$15,ROW(AR201)-ROW(AR$15),0),15-13*ORÇAMENTO!$AF$11)),
         0)</f>
        <v>0</v>
      </c>
      <c r="AS201" s="453">
        <f ca="1">IF(AND($D201="Serviço",AS$12&lt;&gt;0,$H201&gt;0,OR(AUTOEVENTO&lt;&gt;"manual",$M201&lt;&gt;$A$15)),
        IF(Import.TipoArredondamento&lt;&gt;"TransfereGOV",
              ROUND(OFFSET($P201,0,AS$13),15-13*ORÇAMENTO!$AF$7)/$H201*OFFSET(ORÇAMENTO!$X$15,ROW(AS201)-ROW(AS$15),0),
              ROUND(ROUND(OFFSET($P201,0,AS$13),15-13*ORÇAMENTO!$AF$7)*OFFSET(ORÇAMENTO!$W$15,ROW(AS201)-ROW(AS$15),0),15-13*ORÇAMENTO!$AF$11)),
         0)</f>
        <v>0</v>
      </c>
      <c r="AT201" s="453">
        <f ca="1">IF(AND($D201="Serviço",AT$12&lt;&gt;0,$H201&gt;0,OR(AUTOEVENTO&lt;&gt;"manual",$M201&lt;&gt;$A$15)),
        IF(Import.TipoArredondamento&lt;&gt;"TransfereGOV",
              ROUND(OFFSET($P201,0,AT$13),15-13*ORÇAMENTO!$AF$7)/$H201*OFFSET(ORÇAMENTO!$X$15,ROW(AT201)-ROW(AT$15),0),
              ROUND(ROUND(OFFSET($P201,0,AT$13),15-13*ORÇAMENTO!$AF$7)*OFFSET(ORÇAMENTO!$W$15,ROW(AT201)-ROW(AT$15),0),15-13*ORÇAMENTO!$AF$11)),
         0)</f>
        <v>0</v>
      </c>
      <c r="AU201" s="453">
        <f ca="1">IF(AND($D201="Serviço",AU$12&lt;&gt;0,$H201&gt;0,OR(AUTOEVENTO&lt;&gt;"manual",$M201&lt;&gt;$A$15)),
        IF(Import.TipoArredondamento&lt;&gt;"TransfereGOV",
              ROUND(OFFSET($P201,0,AU$13),15-13*ORÇAMENTO!$AF$7)/$H201*OFFSET(ORÇAMENTO!$X$15,ROW(AU201)-ROW(AU$15),0),
              ROUND(ROUND(OFFSET($P201,0,AU$13),15-13*ORÇAMENTO!$AF$7)*OFFSET(ORÇAMENTO!$W$15,ROW(AU201)-ROW(AU$15),0),15-13*ORÇAMENTO!$AF$11)),
         0)</f>
        <v>0</v>
      </c>
      <c r="AV201" s="453">
        <f ca="1">IF(AND($D201="Serviço",AV$12&lt;&gt;0,$H201&gt;0,OR(AUTOEVENTO&lt;&gt;"manual",$M201&lt;&gt;$A$15)),
        IF(Import.TipoArredondamento&lt;&gt;"TransfereGOV",
              ROUND(OFFSET($P201,0,AV$13),15-13*ORÇAMENTO!$AF$7)/$H201*OFFSET(ORÇAMENTO!$X$15,ROW(AV201)-ROW(AV$15),0),
              ROUND(ROUND(OFFSET($P201,0,AV$13),15-13*ORÇAMENTO!$AF$7)*OFFSET(ORÇAMENTO!$W$15,ROW(AV201)-ROW(AV$15),0),15-13*ORÇAMENTO!$AF$11)),
         0)</f>
        <v>0</v>
      </c>
      <c r="AW201" s="453">
        <f ca="1">IF(AND($D201="Serviço",AW$12&lt;&gt;0,$H201&gt;0,OR(AUTOEVENTO&lt;&gt;"manual",$M201&lt;&gt;$A$15)),
        IF(Import.TipoArredondamento&lt;&gt;"TransfereGOV",
              ROUND(OFFSET($P201,0,AW$13),15-13*ORÇAMENTO!$AF$7)/$H201*OFFSET(ORÇAMENTO!$X$15,ROW(AW201)-ROW(AW$15),0),
              ROUND(ROUND(OFFSET($P201,0,AW$13),15-13*ORÇAMENTO!$AF$7)*OFFSET(ORÇAMENTO!$W$15,ROW(AW201)-ROW(AW$15),0),15-13*ORÇAMENTO!$AF$11)),
         0)</f>
        <v>0</v>
      </c>
      <c r="AX201" s="453">
        <f ca="1">IF(AND($D201="Serviço",AX$12&lt;&gt;0,$H201&gt;0,OR(AUTOEVENTO&lt;&gt;"manual",$M201&lt;&gt;$A$15)),
        IF(Import.TipoArredondamento&lt;&gt;"TransfereGOV",
              ROUND(OFFSET($P201,0,AX$13),15-13*ORÇAMENTO!$AF$7)/$H201*OFFSET(ORÇAMENTO!$X$15,ROW(AX201)-ROW(AX$15),0),
              ROUND(ROUND(OFFSET($P201,0,AX$13),15-13*ORÇAMENTO!$AF$7)*OFFSET(ORÇAMENTO!$W$15,ROW(AX201)-ROW(AX$15),0),15-13*ORÇAMENTO!$AF$11)),
         0)</f>
        <v>0</v>
      </c>
      <c r="AY201" s="453">
        <f ca="1">IF(AND($D201="Serviço",AY$12&lt;&gt;0,$H201&gt;0,OR(AUTOEVENTO&lt;&gt;"manual",$M201&lt;&gt;$A$15)),
        IF(Import.TipoArredondamento&lt;&gt;"TransfereGOV",
              ROUND(OFFSET($P201,0,AY$13),15-13*ORÇAMENTO!$AF$7)/$H201*OFFSET(ORÇAMENTO!$X$15,ROW(AY201)-ROW(AY$15),0),
              ROUND(ROUND(OFFSET($P201,0,AY$13),15-13*ORÇAMENTO!$AF$7)*OFFSET(ORÇAMENTO!$W$15,ROW(AY201)-ROW(AY$15),0),15-13*ORÇAMENTO!$AF$11)),
         0)</f>
        <v>0</v>
      </c>
      <c r="AZ201" s="453">
        <f ca="1">IF(AND($D201="Serviço",AZ$12&lt;&gt;0,$H201&gt;0,OR(AUTOEVENTO&lt;&gt;"manual",$M201&lt;&gt;$A$15)),
        IF(Import.TipoArredondamento&lt;&gt;"TransfereGOV",
              ROUND(OFFSET($P201,0,AZ$13),15-13*ORÇAMENTO!$AF$7)/$H201*OFFSET(ORÇAMENTO!$X$15,ROW(AZ201)-ROW(AZ$15),0),
              ROUND(ROUND(OFFSET($P201,0,AZ$13),15-13*ORÇAMENTO!$AF$7)*OFFSET(ORÇAMENTO!$W$15,ROW(AZ201)-ROW(AZ$15),0),15-13*ORÇAMENTO!$AF$11)),
         0)</f>
        <v>0</v>
      </c>
      <c r="BA201" s="453">
        <f ca="1">IF(AND($D201="Serviço",BA$12&lt;&gt;0,$H201&gt;0,OR(AUTOEVENTO&lt;&gt;"manual",$M201&lt;&gt;$A$15)),
        IF(Import.TipoArredondamento&lt;&gt;"TransfereGOV",
              ROUND(OFFSET($P201,0,BA$13),15-13*ORÇAMENTO!$AF$7)/$H201*OFFSET(ORÇAMENTO!$X$15,ROW(BA201)-ROW(BA$15),0),
              ROUND(ROUND(OFFSET($P201,0,BA$13),15-13*ORÇAMENTO!$AF$7)*OFFSET(ORÇAMENTO!$W$15,ROW(BA201)-ROW(BA$15),0),15-13*ORÇAMENTO!$AF$11)),
         0)</f>
        <v>0</v>
      </c>
      <c r="BB201" s="453">
        <f ca="1">IF(AND($D201="Serviço",BB$12&lt;&gt;0,$H201&gt;0,OR(AUTOEVENTO&lt;&gt;"manual",$M201&lt;&gt;$A$15)),
        IF(Import.TipoArredondamento&lt;&gt;"TransfereGOV",
              ROUND(OFFSET($P201,0,BB$13),15-13*ORÇAMENTO!$AF$7)/$H201*OFFSET(ORÇAMENTO!$X$15,ROW(BB201)-ROW(BB$15),0),
              ROUND(ROUND(OFFSET($P201,0,BB$13),15-13*ORÇAMENTO!$AF$7)*OFFSET(ORÇAMENTO!$W$15,ROW(BB201)-ROW(BB$15),0),15-13*ORÇAMENTO!$AF$11)),
         0)</f>
        <v>0</v>
      </c>
      <c r="BC201" s="453">
        <f ca="1">IF(AND($D201="Serviço",BC$12&lt;&gt;0,$H201&gt;0,OR(AUTOEVENTO&lt;&gt;"manual",$M201&lt;&gt;$A$15)),
        IF(Import.TipoArredondamento&lt;&gt;"TransfereGOV",
              ROUND(OFFSET($P201,0,BC$13),15-13*ORÇAMENTO!$AF$7)/$H201*OFFSET(ORÇAMENTO!$X$15,ROW(BC201)-ROW(BC$15),0),
              ROUND(ROUND(OFFSET($P201,0,BC$13),15-13*ORÇAMENTO!$AF$7)*OFFSET(ORÇAMENTO!$W$15,ROW(BC201)-ROW(BC$15),0),15-13*ORÇAMENTO!$AF$11)),
         0)</f>
        <v>0</v>
      </c>
      <c r="BD201" s="453">
        <f ca="1">IF(AND($D201="Serviço",BD$12&lt;&gt;0,$H201&gt;0,OR(AUTOEVENTO&lt;&gt;"manual",$M201&lt;&gt;$A$15)),
        IF(Import.TipoArredondamento&lt;&gt;"TransfereGOV",
              ROUND(OFFSET($P201,0,BD$13),15-13*ORÇAMENTO!$AF$7)/$H201*OFFSET(ORÇAMENTO!$X$15,ROW(BD201)-ROW(BD$15),0),
              ROUND(ROUND(OFFSET($P201,0,BD$13),15-13*ORÇAMENTO!$AF$7)*OFFSET(ORÇAMENTO!$W$15,ROW(BD201)-ROW(BD$15),0),15-13*ORÇAMENTO!$AF$11)),
         0)</f>
        <v>0</v>
      </c>
      <c r="BE201" s="453">
        <f ca="1">IF(AND($D201="Serviço",BE$12&lt;&gt;0,$H201&gt;0,OR(AUTOEVENTO&lt;&gt;"manual",$M201&lt;&gt;$A$15)),
        IF(Import.TipoArredondamento&lt;&gt;"TransfereGOV",
              ROUND(OFFSET($P201,0,BE$13),15-13*ORÇAMENTO!$AF$7)/$H201*OFFSET(ORÇAMENTO!$X$15,ROW(BE201)-ROW(BE$15),0),
              ROUND(ROUND(OFFSET($P201,0,BE$13),15-13*ORÇAMENTO!$AF$7)*OFFSET(ORÇAMENTO!$W$15,ROW(BE201)-ROW(BE$15),0),15-13*ORÇAMENTO!$AF$11)),
         0)</f>
        <v>0</v>
      </c>
      <c r="BF201" s="453">
        <f ca="1">IF(AND($D201="Serviço",BF$12&lt;&gt;0,$H201&gt;0,OR(AUTOEVENTO&lt;&gt;"manual",$M201&lt;&gt;$A$15)),
        IF(Import.TipoArredondamento&lt;&gt;"TransfereGOV",
              ROUND(OFFSET($P201,0,BF$13),15-13*ORÇAMENTO!$AF$7)/$H201*OFFSET(ORÇAMENTO!$X$15,ROW(BF201)-ROW(BF$15),0),
              ROUND(ROUND(OFFSET($P201,0,BF$13),15-13*ORÇAMENTO!$AF$7)*OFFSET(ORÇAMENTO!$W$15,ROW(BF201)-ROW(BF$15),0),15-13*ORÇAMENTO!$AF$11)),
         0)</f>
        <v>0</v>
      </c>
      <c r="BG201" s="453">
        <f ca="1">IF(AND($D201="Serviço",BG$12&lt;&gt;0,$H201&gt;0,OR(AUTOEVENTO&lt;&gt;"manual",$M201&lt;&gt;$A$15)),
        IF(Import.TipoArredondamento&lt;&gt;"TransfereGOV",
              ROUND(OFFSET($P201,0,BG$13),15-13*ORÇAMENTO!$AF$7)/$H201*OFFSET(ORÇAMENTO!$X$15,ROW(BG201)-ROW(BG$15),0),
              ROUND(ROUND(OFFSET($P201,0,BG$13),15-13*ORÇAMENTO!$AF$7)*OFFSET(ORÇAMENTO!$W$15,ROW(BG201)-ROW(BG$15),0),15-13*ORÇAMENTO!$AF$11)),
         0)</f>
        <v>0</v>
      </c>
      <c r="BH201" s="453">
        <f ca="1">IF(AND($D201="Serviço",BH$12&lt;&gt;0,$H201&gt;0,OR(AUTOEVENTO&lt;&gt;"manual",$M201&lt;&gt;$A$15)),
        IF(Import.TipoArredondamento&lt;&gt;"TransfereGOV",
              ROUND(OFFSET($P201,0,BH$13),15-13*ORÇAMENTO!$AF$7)/$H201*OFFSET(ORÇAMENTO!$X$15,ROW(BH201)-ROW(BH$15),0),
              ROUND(ROUND(OFFSET($P201,0,BH$13),15-13*ORÇAMENTO!$AF$7)*OFFSET(ORÇAMENTO!$W$15,ROW(BH201)-ROW(BH$15),0),15-13*ORÇAMENTO!$AF$11)),
         0)</f>
        <v>0</v>
      </c>
      <c r="BI201" s="453">
        <f ca="1">IF(AND($D201="Serviço",BI$12&lt;&gt;0,$H201&gt;0,OR(AUTOEVENTO&lt;&gt;"manual",$M201&lt;&gt;$A$15)),
        IF(Import.TipoArredondamento&lt;&gt;"TransfereGOV",
              ROUND(OFFSET($P201,0,BI$13),15-13*ORÇAMENTO!$AF$7)/$H201*OFFSET(ORÇAMENTO!$X$15,ROW(BI201)-ROW(BI$15),0),
              ROUND(ROUND(OFFSET($P201,0,BI$13),15-13*ORÇAMENTO!$AF$7)*OFFSET(ORÇAMENTO!$W$15,ROW(BI201)-ROW(BI$15),0),15-13*ORÇAMENTO!$AF$11)),
         0)</f>
        <v>0</v>
      </c>
      <c r="BJ201" s="453">
        <f ca="1">IF(AND($D201="Serviço",BJ$12&lt;&gt;0,$H201&gt;0,OR(AUTOEVENTO&lt;&gt;"manual",$M201&lt;&gt;$A$15)),
        IF(Import.TipoArredondamento&lt;&gt;"TransfereGOV",
              ROUND(OFFSET($P201,0,BJ$13),15-13*ORÇAMENTO!$AF$7)/$H201*OFFSET(ORÇAMENTO!$X$15,ROW(BJ201)-ROW(BJ$15),0),
              ROUND(ROUND(OFFSET($P201,0,BJ$13),15-13*ORÇAMENTO!$AF$7)*OFFSET(ORÇAMENTO!$W$15,ROW(BJ201)-ROW(BJ$15),0),15-13*ORÇAMENTO!$AF$11)),
         0)</f>
        <v>0</v>
      </c>
      <c r="BK201" s="453">
        <f ca="1">IF(AND($D201="Serviço",BK$12&lt;&gt;0,$H201&gt;0,OR(AUTOEVENTO&lt;&gt;"manual",$M201&lt;&gt;$A$15)),
        IF(Import.TipoArredondamento&lt;&gt;"TransfereGOV",
              ROUND(OFFSET($P201,0,BK$13),15-13*ORÇAMENTO!$AF$7)/$H201*OFFSET(ORÇAMENTO!$X$15,ROW(BK201)-ROW(BK$15),0),
              ROUND(ROUND(OFFSET($P201,0,BK$13),15-13*ORÇAMENTO!$AF$7)*OFFSET(ORÇAMENTO!$W$15,ROW(BK201)-ROW(BK$15),0),15-13*ORÇAMENTO!$AF$11)),
         0)</f>
        <v>0</v>
      </c>
      <c r="BL201" s="453">
        <f ca="1">IF(AND($D201="Serviço",BL$12&lt;&gt;0,$H201&gt;0,OR(AUTOEVENTO&lt;&gt;"manual",$M201&lt;&gt;$A$15)),
        IF(Import.TipoArredondamento&lt;&gt;"TransfereGOV",
              ROUND(OFFSET($P201,0,BL$13),15-13*ORÇAMENTO!$AF$7)/$H201*OFFSET(ORÇAMENTO!$X$15,ROW(BL201)-ROW(BL$15),0),
              ROUND(ROUND(OFFSET($P201,0,BL$13),15-13*ORÇAMENTO!$AF$7)*OFFSET(ORÇAMENTO!$W$15,ROW(BL201)-ROW(BL$15),0),15-13*ORÇAMENTO!$AF$11)),
         0)</f>
        <v>0</v>
      </c>
      <c r="BM201" s="453">
        <f ca="1">IF(AND($D201="Serviço",BM$12&lt;&gt;0,$H201&gt;0,OR(AUTOEVENTO&lt;&gt;"manual",$M201&lt;&gt;$A$15)),
        IF(Import.TipoArredondamento&lt;&gt;"TransfereGOV",
              ROUND(OFFSET($P201,0,BM$13),15-13*ORÇAMENTO!$AF$7)/$H201*OFFSET(ORÇAMENTO!$X$15,ROW(BM201)-ROW(BM$15),0),
              ROUND(ROUND(OFFSET($P201,0,BM$13),15-13*ORÇAMENTO!$AF$7)*OFFSET(ORÇAMENTO!$W$15,ROW(BM201)-ROW(BM$15),0),15-13*ORÇAMENTO!$AF$11)),
         0)</f>
        <v>0</v>
      </c>
      <c r="BN201" s="453">
        <f ca="1">IF(AND($D201="Serviço",BN$12&lt;&gt;0,$H201&gt;0,OR(AUTOEVENTO&lt;&gt;"manual",$M201&lt;&gt;$A$15)),
        IF(Import.TipoArredondamento&lt;&gt;"TransfereGOV",
              ROUND(OFFSET($P201,0,BN$13),15-13*ORÇAMENTO!$AF$7)/$H201*OFFSET(ORÇAMENTO!$X$15,ROW(BN201)-ROW(BN$15),0),
              ROUND(ROUND(OFFSET($P201,0,BN$13),15-13*ORÇAMENTO!$AF$7)*OFFSET(ORÇAMENTO!$W$15,ROW(BN201)-ROW(BN$15),0),15-13*ORÇAMENTO!$AF$11)),
         0)</f>
        <v>0</v>
      </c>
      <c r="BO201" s="453">
        <f ca="1">IF(AND($D201="Serviço",BO$12&lt;&gt;0,$H201&gt;0,OR(AUTOEVENTO&lt;&gt;"manual",$M201&lt;&gt;$A$15)),
        IF(Import.TipoArredondamento&lt;&gt;"TransfereGOV",
              ROUND(OFFSET($P201,0,BO$13),15-13*ORÇAMENTO!$AF$7)/$H201*OFFSET(ORÇAMENTO!$X$15,ROW(BO201)-ROW(BO$15),0),
              ROUND(ROUND(OFFSET($P201,0,BO$13),15-13*ORÇAMENTO!$AF$7)*OFFSET(ORÇAMENTO!$W$15,ROW(BO201)-ROW(BO$15),0),15-13*ORÇAMENTO!$AF$11)),
         0)</f>
        <v>0</v>
      </c>
      <c r="BP201" s="453">
        <f ca="1">IF(AND($D201="Serviço",BP$12&lt;&gt;0,$H201&gt;0,OR(AUTOEVENTO&lt;&gt;"manual",$M201&lt;&gt;$A$15)),
        IF(Import.TipoArredondamento&lt;&gt;"TransfereGOV",
              ROUND(OFFSET($P201,0,BP$13),15-13*ORÇAMENTO!$AF$7)/$H201*OFFSET(ORÇAMENTO!$X$15,ROW(BP201)-ROW(BP$15),0),
              ROUND(ROUND(OFFSET($P201,0,BP$13),15-13*ORÇAMENTO!$AF$7)*OFFSET(ORÇAMENTO!$W$15,ROW(BP201)-ROW(BP$15),0),15-13*ORÇAMENTO!$AF$11)),
         0)</f>
        <v>0</v>
      </c>
      <c r="BQ201" s="453">
        <f ca="1">IF(AND($D201="Serviço",BQ$12&lt;&gt;0,$H201&gt;0,OR(AUTOEVENTO&lt;&gt;"manual",$M201&lt;&gt;$A$15)),
        IF(Import.TipoArredondamento&lt;&gt;"TransfereGOV",
              ROUND(OFFSET($P201,0,BQ$13),15-13*ORÇAMENTO!$AF$7)/$H201*OFFSET(ORÇAMENTO!$X$15,ROW(BQ201)-ROW(BQ$15),0),
              ROUND(ROUND(OFFSET($P201,0,BQ$13),15-13*ORÇAMENTO!$AF$7)*OFFSET(ORÇAMENTO!$W$15,ROW(BQ201)-ROW(BQ$15),0),15-13*ORÇAMENTO!$AF$11)),
         0)</f>
        <v>0</v>
      </c>
      <c r="BS201" s="171">
        <f ca="1">IF(OR($D201&lt;&gt;"Serviço",AND(AUTOEVENTO="Manual",$M201=$A$15)),0,
         IF(OFFSET(CRONOPLE!$F$15,$M201-$A$15,BS$13)=0,10^12,OFFSET(CRONOPLE!$F$15,$M201-$A$15,BS$13)))</f>
        <v>1</v>
      </c>
      <c r="BT201" s="171">
        <f ca="1">IF(OR($D201&lt;&gt;"Serviço",AND(AUTOEVENTO="Manual",$M201=$A$15)),0,
         IF(OFFSET(CRONOPLE!$F$15,$M201-$A$15,BT$13)=0,10^12,OFFSET(CRONOPLE!$F$15,$M201-$A$15,BT$13)))</f>
        <v>2</v>
      </c>
      <c r="BU201" s="171">
        <f ca="1">IF(OR($D201&lt;&gt;"Serviço",AND(AUTOEVENTO="Manual",$M201=$A$15)),0,
         IF(OFFSET(CRONOPLE!$F$15,$M201-$A$15,BU$13)=0,10^12,OFFSET(CRONOPLE!$F$15,$M201-$A$15,BU$13)))</f>
        <v>3</v>
      </c>
      <c r="BV201" s="171">
        <f ca="1">IF(OR($D201&lt;&gt;"Serviço",AND(AUTOEVENTO="Manual",$M201=$A$15)),0,
         IF(OFFSET(CRONOPLE!$F$15,$M201-$A$15,BV$13)=0,10^12,OFFSET(CRONOPLE!$F$15,$M201-$A$15,BV$13)))</f>
        <v>4</v>
      </c>
      <c r="BW201" s="171">
        <f ca="1">IF(OR($D201&lt;&gt;"Serviço",AND(AUTOEVENTO="Manual",$M201=$A$15)),0,
         IF(OFFSET(CRONOPLE!$F$15,$M201-$A$15,BW$13)=0,10^12,OFFSET(CRONOPLE!$F$15,$M201-$A$15,BW$13)))</f>
        <v>5</v>
      </c>
      <c r="BX201" s="171">
        <f ca="1">IF(OR($D201&lt;&gt;"Serviço",AND(AUTOEVENTO="Manual",$M201=$A$15)),0,
         IF(OFFSET(CRONOPLE!$F$15,$M201-$A$15,BX$13)=0,10^12,OFFSET(CRONOPLE!$F$15,$M201-$A$15,BX$13)))</f>
        <v>6</v>
      </c>
      <c r="BY201" s="171">
        <f ca="1">IF(OR($D201&lt;&gt;"Serviço",AND(AUTOEVENTO="Manual",$M201=$A$15)),0,
         IF(OFFSET(CRONOPLE!$F$15,$M201-$A$15,BY$13)=0,10^12,OFFSET(CRONOPLE!$F$15,$M201-$A$15,BY$13)))</f>
        <v>7</v>
      </c>
      <c r="BZ201" s="171">
        <f ca="1">IF(OR($D201&lt;&gt;"Serviço",AND(AUTOEVENTO="Manual",$M201=$A$15)),0,
         IF(OFFSET(CRONOPLE!$F$15,$M201-$A$15,BZ$13)=0,10^12,OFFSET(CRONOPLE!$F$15,$M201-$A$15,BZ$13)))</f>
        <v>8</v>
      </c>
      <c r="CA201" s="171">
        <f ca="1">IF(OR($D201&lt;&gt;"Serviço",AND(AUTOEVENTO="Manual",$M201=$A$15)),0,
         IF(OFFSET(CRONOPLE!$F$15,$M201-$A$15,CA$13)=0,10^12,OFFSET(CRONOPLE!$F$15,$M201-$A$15,CA$13)))</f>
        <v>9</v>
      </c>
      <c r="CB201" s="171">
        <f ca="1">IF(OR($D201&lt;&gt;"Serviço",AND(AUTOEVENTO="Manual",$M201=$A$15)),0,
         IF(OFFSET(CRONOPLE!$F$15,$M201-$A$15,CB$13)=0,10^12,OFFSET(CRONOPLE!$F$15,$M201-$A$15,CB$13)))</f>
        <v>10</v>
      </c>
      <c r="CC201" s="171">
        <f ca="1">IF(OR($D201&lt;&gt;"Serviço",AND(AUTOEVENTO="Manual",$M201=$A$15)),0,
         IF(OFFSET(CRONOPLE!$F$15,$M201-$A$15,CC$13)=0,10^12,OFFSET(CRONOPLE!$F$15,$M201-$A$15,CC$13)))</f>
        <v>11</v>
      </c>
      <c r="CD201" s="171">
        <f ca="1">IF(OR($D201&lt;&gt;"Serviço",AND(AUTOEVENTO="Manual",$M201=$A$15)),0,
         IF(OFFSET(CRONOPLE!$F$15,$M201-$A$15,CD$13)=0,10^12,OFFSET(CRONOPLE!$F$15,$M201-$A$15,CD$13)))</f>
        <v>12</v>
      </c>
      <c r="CE201" s="171">
        <f ca="1">IF(OR($D201&lt;&gt;"Serviço",AND(AUTOEVENTO="Manual",$M201=$A$15)),0,
         IF(OFFSET(CRONOPLE!$F$15,$M201-$A$15,CE$13)=0,10^12,OFFSET(CRONOPLE!$F$15,$M201-$A$15,CE$13)))</f>
        <v>13</v>
      </c>
      <c r="CF201" s="171">
        <f ca="1">IF(OR($D201&lt;&gt;"Serviço",AND(AUTOEVENTO="Manual",$M201=$A$15)),0,
         IF(OFFSET(CRONOPLE!$F$15,$M201-$A$15,CF$13)=0,10^12,OFFSET(CRONOPLE!$F$15,$M201-$A$15,CF$13)))</f>
        <v>14</v>
      </c>
      <c r="CG201" s="171">
        <f ca="1">IF(OR($D201&lt;&gt;"Serviço",AND(AUTOEVENTO="Manual",$M201=$A$15)),0,
         IF(OFFSET(CRONOPLE!$F$15,$M201-$A$15,CG$13)=0,10^12,OFFSET(CRONOPLE!$F$15,$M201-$A$15,CG$13)))</f>
        <v>15</v>
      </c>
      <c r="CH201" s="171">
        <f ca="1">IF(OR($D201&lt;&gt;"Serviço",AND(AUTOEVENTO="Manual",$M201=$A$15)),0,
         IF(OFFSET(CRONOPLE!$F$15,$M201-$A$15,CH$13)=0,10^12,OFFSET(CRONOPLE!$F$15,$M201-$A$15,CH$13)))</f>
        <v>16</v>
      </c>
      <c r="CI201" s="171">
        <f ca="1">IF(OR($D201&lt;&gt;"Serviço",AND(AUTOEVENTO="Manual",$M201=$A$15)),0,
         IF(OFFSET(CRONOPLE!$F$15,$M201-$A$15,CI$13)=0,10^12,OFFSET(CRONOPLE!$F$15,$M201-$A$15,CI$13)))</f>
        <v>17</v>
      </c>
      <c r="CJ201" s="171">
        <f ca="1">IF(OR($D201&lt;&gt;"Serviço",AND(AUTOEVENTO="Manual",$M201=$A$15)),0,
         IF(OFFSET(CRONOPLE!$F$15,$M201-$A$15,CJ$13)=0,10^12,OFFSET(CRONOPLE!$F$15,$M201-$A$15,CJ$13)))</f>
        <v>18</v>
      </c>
      <c r="CK201" s="171">
        <f ca="1">IF(OR($D201&lt;&gt;"Serviço",AND(AUTOEVENTO="Manual",$M201=$A$15)),0,
         IF(OFFSET(CRONOPLE!$F$15,$M201-$A$15,CK$13)=0,10^12,OFFSET(CRONOPLE!$F$15,$M201-$A$15,CK$13)))</f>
        <v>19</v>
      </c>
      <c r="CL201" s="171">
        <f ca="1">IF(OR($D201&lt;&gt;"Serviço",AND(AUTOEVENTO="Manual",$M201=$A$15)),0,
         IF(OFFSET(CRONOPLE!$F$15,$M201-$A$15,CL$13)=0,10^12,OFFSET(CRONOPLE!$F$15,$M201-$A$15,CL$13)))</f>
        <v>20</v>
      </c>
      <c r="CM201" s="171">
        <f ca="1">IF(OR($D201&lt;&gt;"Serviço",AND(AUTOEVENTO="Manual",$M201=$A$15)),0,
         IF(OFFSET(CRONOPLE!$F$15,$M201-$A$15,CM$13)=0,10^12,OFFSET(CRONOPLE!$F$15,$M201-$A$15,CM$13)))</f>
        <v>1000000000000</v>
      </c>
      <c r="CN201" s="171">
        <f ca="1">IF(OR($D201&lt;&gt;"Serviço",AND(AUTOEVENTO="Manual",$M201=$A$15)),0,
         IF(OFFSET(CRONOPLE!$F$15,$M201-$A$15,CN$13)=0,10^12,OFFSET(CRONOPLE!$F$15,$M201-$A$15,CN$13)))</f>
        <v>1000000000000</v>
      </c>
      <c r="CO201" s="171">
        <f ca="1">IF(OR($D201&lt;&gt;"Serviço",AND(AUTOEVENTO="Manual",$M201=$A$15)),0,
         IF(OFFSET(CRONOPLE!$F$15,$M201-$A$15,CO$13)=0,10^12,OFFSET(CRONOPLE!$F$15,$M201-$A$15,CO$13)))</f>
        <v>1000000000000</v>
      </c>
      <c r="CP201" s="171">
        <f ca="1">IF(OR($D201&lt;&gt;"Serviço",AND(AUTOEVENTO="Manual",$M201=$A$15)),0,
         IF(OFFSET(CRONOPLE!$F$15,$M201-$A$15,CP$13)=0,10^12,OFFSET(CRONOPLE!$F$15,$M201-$A$15,CP$13)))</f>
        <v>1000000000000</v>
      </c>
      <c r="CQ201" s="171">
        <f ca="1">IF(OR($D201&lt;&gt;"Serviço",AND(AUTOEVENTO="Manual",$M201=$A$15)),0,
         IF(OFFSET(CRONOPLE!$F$15,$M201-$A$15,CQ$13)=0,10^12,OFFSET(CRONOPLE!$F$15,$M201-$A$15,CQ$13)))</f>
        <v>1000000000000</v>
      </c>
      <c r="CR201" s="171">
        <f ca="1">IF(OR($D201&lt;&gt;"Serviço",AND(AUTOEVENTO="Manual",$M201=$A$15)),0,
         IF(OFFSET(CRONOPLE!$F$15,$M201-$A$15,CR$13)=0,10^12,OFFSET(CRONOPLE!$F$15,$M201-$A$15,CR$13)))</f>
        <v>1000000000000</v>
      </c>
      <c r="CT201" s="172" cm="1">
        <f t="array" aca="1" ref="CT201" ca="1">IF(OR($D201&lt;&gt;"Serviço",AND(AUTOEVENTO="Manual",$M201=$A$15),$M201&gt;(ROW(PLE.lastrow)-ROW(PLE.firstrow))),0,
           IF(OFFSET(PLE!$G$15,$M201-$A$15,CT$13)="",10^12,OFFSET(PLE!$G$15,$M201-$A$15,CT$13)))</f>
        <v>1000000000000</v>
      </c>
      <c r="CU201" s="172" cm="1">
        <f t="array" aca="1" ref="CU201" ca="1">IF(OR($D201&lt;&gt;"Serviço",AND(AUTOEVENTO="Manual",$M201=$A$15),$M201&gt;(ROW(PLE.lastrow)-ROW(PLE.firstrow))),0,
           IF(OFFSET(PLE!$G$15,$M201-$A$15,CU$13)="",10^12,OFFSET(PLE!$G$15,$M201-$A$15,CU$13)))</f>
        <v>1000000000000</v>
      </c>
      <c r="CV201" s="172" cm="1">
        <f t="array" aca="1" ref="CV201" ca="1">IF(OR($D201&lt;&gt;"Serviço",AND(AUTOEVENTO="Manual",$M201=$A$15),$M201&gt;(ROW(PLE.lastrow)-ROW(PLE.firstrow))),0,
           IF(OFFSET(PLE!$G$15,$M201-$A$15,CV$13)="",10^12,OFFSET(PLE!$G$15,$M201-$A$15,CV$13)))</f>
        <v>1000000000000</v>
      </c>
      <c r="CW201" s="172" cm="1">
        <f t="array" aca="1" ref="CW201" ca="1">IF(OR($D201&lt;&gt;"Serviço",AND(AUTOEVENTO="Manual",$M201=$A$15),$M201&gt;(ROW(PLE.lastrow)-ROW(PLE.firstrow))),0,
           IF(OFFSET(PLE!$G$15,$M201-$A$15,CW$13)="",10^12,OFFSET(PLE!$G$15,$M201-$A$15,CW$13)))</f>
        <v>1000000000000</v>
      </c>
      <c r="CX201" s="172" cm="1">
        <f t="array" aca="1" ref="CX201" ca="1">IF(OR($D201&lt;&gt;"Serviço",AND(AUTOEVENTO="Manual",$M201=$A$15),$M201&gt;(ROW(PLE.lastrow)-ROW(PLE.firstrow))),0,
           IF(OFFSET(PLE!$G$15,$M201-$A$15,CX$13)="",10^12,OFFSET(PLE!$G$15,$M201-$A$15,CX$13)))</f>
        <v>1000000000000</v>
      </c>
      <c r="CY201" s="172" cm="1">
        <f t="array" aca="1" ref="CY201" ca="1">IF(OR($D201&lt;&gt;"Serviço",AND(AUTOEVENTO="Manual",$M201=$A$15),$M201&gt;(ROW(PLE.lastrow)-ROW(PLE.firstrow))),0,
           IF(OFFSET(PLE!$G$15,$M201-$A$15,CY$13)="",10^12,OFFSET(PLE!$G$15,$M201-$A$15,CY$13)))</f>
        <v>1000000000000</v>
      </c>
      <c r="CZ201" s="172" cm="1">
        <f t="array" aca="1" ref="CZ201" ca="1">IF(OR($D201&lt;&gt;"Serviço",AND(AUTOEVENTO="Manual",$M201=$A$15),$M201&gt;(ROW(PLE.lastrow)-ROW(PLE.firstrow))),0,
           IF(OFFSET(PLE!$G$15,$M201-$A$15,CZ$13)="",10^12,OFFSET(PLE!$G$15,$M201-$A$15,CZ$13)))</f>
        <v>1000000000000</v>
      </c>
      <c r="DA201" s="172" cm="1">
        <f t="array" aca="1" ref="DA201" ca="1">IF(OR($D201&lt;&gt;"Serviço",AND(AUTOEVENTO="Manual",$M201=$A$15),$M201&gt;(ROW(PLE.lastrow)-ROW(PLE.firstrow))),0,
           IF(OFFSET(PLE!$G$15,$M201-$A$15,DA$13)="",10^12,OFFSET(PLE!$G$15,$M201-$A$15,DA$13)))</f>
        <v>1000000000000</v>
      </c>
      <c r="DB201" s="172" cm="1">
        <f t="array" aca="1" ref="DB201" ca="1">IF(OR($D201&lt;&gt;"Serviço",AND(AUTOEVENTO="Manual",$M201=$A$15),$M201&gt;(ROW(PLE.lastrow)-ROW(PLE.firstrow))),0,
           IF(OFFSET(PLE!$G$15,$M201-$A$15,DB$13)="",10^12,OFFSET(PLE!$G$15,$M201-$A$15,DB$13)))</f>
        <v>1000000000000</v>
      </c>
      <c r="DC201" s="172" cm="1">
        <f t="array" aca="1" ref="DC201" ca="1">IF(OR($D201&lt;&gt;"Serviço",AND(AUTOEVENTO="Manual",$M201=$A$15),$M201&gt;(ROW(PLE.lastrow)-ROW(PLE.firstrow))),0,
           IF(OFFSET(PLE!$G$15,$M201-$A$15,DC$13)="",10^12,OFFSET(PLE!$G$15,$M201-$A$15,DC$13)))</f>
        <v>1000000000000</v>
      </c>
      <c r="DD201" s="172" cm="1">
        <f t="array" aca="1" ref="DD201" ca="1">IF(OR($D201&lt;&gt;"Serviço",AND(AUTOEVENTO="Manual",$M201=$A$15),$M201&gt;(ROW(PLE.lastrow)-ROW(PLE.firstrow))),0,
           IF(OFFSET(PLE!$G$15,$M201-$A$15,DD$13)="",10^12,OFFSET(PLE!$G$15,$M201-$A$15,DD$13)))</f>
        <v>1000000000000</v>
      </c>
      <c r="DE201" s="172" cm="1">
        <f t="array" aca="1" ref="DE201" ca="1">IF(OR($D201&lt;&gt;"Serviço",AND(AUTOEVENTO="Manual",$M201=$A$15),$M201&gt;(ROW(PLE.lastrow)-ROW(PLE.firstrow))),0,
           IF(OFFSET(PLE!$G$15,$M201-$A$15,DE$13)="",10^12,OFFSET(PLE!$G$15,$M201-$A$15,DE$13)))</f>
        <v>1000000000000</v>
      </c>
      <c r="DF201" s="172" cm="1">
        <f t="array" aca="1" ref="DF201" ca="1">IF(OR($D201&lt;&gt;"Serviço",AND(AUTOEVENTO="Manual",$M201=$A$15),$M201&gt;(ROW(PLE.lastrow)-ROW(PLE.firstrow))),0,
           IF(OFFSET(PLE!$G$15,$M201-$A$15,DF$13)="",10^12,OFFSET(PLE!$G$15,$M201-$A$15,DF$13)))</f>
        <v>1000000000000</v>
      </c>
      <c r="DG201" s="172" cm="1">
        <f t="array" aca="1" ref="DG201" ca="1">IF(OR($D201&lt;&gt;"Serviço",AND(AUTOEVENTO="Manual",$M201=$A$15),$M201&gt;(ROW(PLE.lastrow)-ROW(PLE.firstrow))),0,
           IF(OFFSET(PLE!$G$15,$M201-$A$15,DG$13)="",10^12,OFFSET(PLE!$G$15,$M201-$A$15,DG$13)))</f>
        <v>1000000000000</v>
      </c>
      <c r="DH201" s="172" cm="1">
        <f t="array" aca="1" ref="DH201" ca="1">IF(OR($D201&lt;&gt;"Serviço",AND(AUTOEVENTO="Manual",$M201=$A$15),$M201&gt;(ROW(PLE.lastrow)-ROW(PLE.firstrow))),0,
           IF(OFFSET(PLE!$G$15,$M201-$A$15,DH$13)="",10^12,OFFSET(PLE!$G$15,$M201-$A$15,DH$13)))</f>
        <v>1000000000000</v>
      </c>
      <c r="DI201" s="172" cm="1">
        <f t="array" aca="1" ref="DI201" ca="1">IF(OR($D201&lt;&gt;"Serviço",AND(AUTOEVENTO="Manual",$M201=$A$15),$M201&gt;(ROW(PLE.lastrow)-ROW(PLE.firstrow))),0,
           IF(OFFSET(PLE!$G$15,$M201-$A$15,DI$13)="",10^12,OFFSET(PLE!$G$15,$M201-$A$15,DI$13)))</f>
        <v>1000000000000</v>
      </c>
      <c r="DJ201" s="172" cm="1">
        <f t="array" aca="1" ref="DJ201" ca="1">IF(OR($D201&lt;&gt;"Serviço",AND(AUTOEVENTO="Manual",$M201=$A$15),$M201&gt;(ROW(PLE.lastrow)-ROW(PLE.firstrow))),0,
           IF(OFFSET(PLE!$G$15,$M201-$A$15,DJ$13)="",10^12,OFFSET(PLE!$G$15,$M201-$A$15,DJ$13)))</f>
        <v>1000000000000</v>
      </c>
      <c r="DK201" s="172" cm="1">
        <f t="array" aca="1" ref="DK201" ca="1">IF(OR($D201&lt;&gt;"Serviço",AND(AUTOEVENTO="Manual",$M201=$A$15),$M201&gt;(ROW(PLE.lastrow)-ROW(PLE.firstrow))),0,
           IF(OFFSET(PLE!$G$15,$M201-$A$15,DK$13)="",10^12,OFFSET(PLE!$G$15,$M201-$A$15,DK$13)))</f>
        <v>1000000000000</v>
      </c>
      <c r="DL201" s="172" cm="1">
        <f t="array" aca="1" ref="DL201" ca="1">IF(OR($D201&lt;&gt;"Serviço",AND(AUTOEVENTO="Manual",$M201=$A$15),$M201&gt;(ROW(PLE.lastrow)-ROW(PLE.firstrow))),0,
           IF(OFFSET(PLE!$G$15,$M201-$A$15,DL$13)="",10^12,OFFSET(PLE!$G$15,$M201-$A$15,DL$13)))</f>
        <v>1000000000000</v>
      </c>
      <c r="DM201" s="172" cm="1">
        <f t="array" aca="1" ref="DM201" ca="1">IF(OR($D201&lt;&gt;"Serviço",AND(AUTOEVENTO="Manual",$M201=$A$15),$M201&gt;(ROW(PLE.lastrow)-ROW(PLE.firstrow))),0,
           IF(OFFSET(PLE!$G$15,$M201-$A$15,DM$13)="",10^12,OFFSET(PLE!$G$15,$M201-$A$15,DM$13)))</f>
        <v>1000000000000</v>
      </c>
      <c r="DN201" s="172" cm="1">
        <f t="array" aca="1" ref="DN201" ca="1">IF(OR($D201&lt;&gt;"Serviço",AND(AUTOEVENTO="Manual",$M201=$A$15),$M201&gt;(ROW(PLE.lastrow)-ROW(PLE.firstrow))),0,
           IF(OFFSET(PLE!$G$15,$M201-$A$15,DN$13)="",10^12,OFFSET(PLE!$G$15,$M201-$A$15,DN$13)))</f>
        <v>1000000000000</v>
      </c>
      <c r="DO201" s="172" cm="1">
        <f t="array" aca="1" ref="DO201" ca="1">IF(OR($D201&lt;&gt;"Serviço",AND(AUTOEVENTO="Manual",$M201=$A$15),$M201&gt;(ROW(PLE.lastrow)-ROW(PLE.firstrow))),0,
           IF(OFFSET(PLE!$G$15,$M201-$A$15,DO$13)="",10^12,OFFSET(PLE!$G$15,$M201-$A$15,DO$13)))</f>
        <v>1000000000000</v>
      </c>
      <c r="DP201" s="172" cm="1">
        <f t="array" aca="1" ref="DP201" ca="1">IF(OR($D201&lt;&gt;"Serviço",AND(AUTOEVENTO="Manual",$M201=$A$15),$M201&gt;(ROW(PLE.lastrow)-ROW(PLE.firstrow))),0,
           IF(OFFSET(PLE!$G$15,$M201-$A$15,DP$13)="",10^12,OFFSET(PLE!$G$15,$M201-$A$15,DP$13)))</f>
        <v>1000000000000</v>
      </c>
      <c r="DQ201" s="172" cm="1">
        <f t="array" aca="1" ref="DQ201" ca="1">IF(OR($D201&lt;&gt;"Serviço",AND(AUTOEVENTO="Manual",$M201=$A$15),$M201&gt;(ROW(PLE.lastrow)-ROW(PLE.firstrow))),0,
           IF(OFFSET(PLE!$G$15,$M201-$A$15,DQ$13)="",10^12,OFFSET(PLE!$G$15,$M201-$A$15,DQ$13)))</f>
        <v>1000000000000</v>
      </c>
      <c r="DR201" s="172" cm="1">
        <f t="array" aca="1" ref="DR201" ca="1">IF(OR($D201&lt;&gt;"Serviço",AND(AUTOEVENTO="Manual",$M201=$A$15),$M201&gt;(ROW(PLE.lastrow)-ROW(PLE.firstrow))),0,
           IF(OFFSET(PLE!$G$15,$M201-$A$15,DR$13)="",10^12,OFFSET(PLE!$G$15,$M201-$A$15,DR$13)))</f>
        <v>1000000000000</v>
      </c>
      <c r="DS201" s="172" cm="1">
        <f t="array" aca="1" ref="DS201" ca="1">IF(OR($D201&lt;&gt;"Serviço",AND(AUTOEVENTO="Manual",$M201=$A$15),$M201&gt;(ROW(PLE.lastrow)-ROW(PLE.firstrow))),0,
           IF(OFFSET(PLE!$G$15,$M201-$A$15,DS$13)="",10^12,OFFSET(PLE!$G$15,$M201-$A$15,DS$13)))</f>
        <v>1000000000000</v>
      </c>
    </row>
    <row r="202" spans="1:123" ht="38.25" x14ac:dyDescent="0.2">
      <c r="A202" s="7">
        <f t="shared" ca="1" si="18"/>
        <v>9</v>
      </c>
      <c r="B202" s="7" t="str">
        <f ca="1">OFFSET(ORÇAMENTO!C$15,$L202,0)</f>
        <v>S</v>
      </c>
      <c r="C202" s="7" t="str">
        <f ca="1">OFFSET(ORÇAMENTO!L$15,$L202,0)</f>
        <v/>
      </c>
      <c r="D202" s="116" t="str">
        <f ca="1">OFFSET(ORÇAMENTO!N$15,$L202,0)</f>
        <v>Serviço</v>
      </c>
      <c r="E202" s="117" t="str">
        <f ca="1">OFFSET(ORÇAMENTO!O$15,$L202,0)</f>
        <v>-</v>
      </c>
      <c r="F202" s="163" t="str">
        <f ca="1">OFFSET(ORÇAMENTO!R$15,$L202,0)</f>
        <v>(Código não identificado nas referências)</v>
      </c>
      <c r="G202" s="164" t="str">
        <f ca="1">IF($D202&lt;&gt;"Serviço","",OFFSET(ORÇAMENTO!S$15,$L202,0))</f>
        <v>-</v>
      </c>
      <c r="H202" s="122" cm="1">
        <f t="array" aca="1" ref="H202" ca="1">IF($D202&lt;&gt;"Serviço",0,IF(ACOMPANHAMENTO="BM",ROUND(OFFSET(ORÇAMENTO!AJ$15,$L202,0),15-13*ORÇAMENTO!$AF$7),IF(IFERROR(CÁLCULO.FrentesPreenchidas,0)=0,0,SUM(ROUND(OFFSET($P202,0,1,1,CÁLCULO.FrentesPreenchidas),15-13*ORÇAMENTO!$AF$7)))))</f>
        <v>211.00000000000006</v>
      </c>
      <c r="I202" s="468" t="s">
        <v>1235</v>
      </c>
      <c r="J202" s="651" t="str" cm="1">
        <f t="array" aca="1" ref="J202" ca="1">IF(OR(B202&lt;&gt;"S",CÁLCULO.FrentesPreenchidas=0),"",IF(AND(ACOMPANHAMENTO="PLE",AUTOEVENTO="Manual",OR(H202&gt;0,ORÇAMENTO!AC202="QUANT."),OR(K202="",M202=0,N202="")),"►E",IF(AND(ACOMPANHAMENTO="PLE",ORÇAMENTO!AC202="QUANT."),"►Q",IF(AND(ACOMPANHAMENTO="PLE",H202&lt;&gt;SUMPRODUCT(($Q$1:$AQ$1=1)*ROUND(Q202:AQ202,15))),"►S",IF(AND(COUNTIF($P$11:$AQ$11,"▼")=0,H202&gt;0,I202=""),"◄M","")))))</f>
        <v/>
      </c>
      <c r="K202" s="652" t="s">
        <v>1257</v>
      </c>
      <c r="L202" s="165">
        <f t="shared" ca="1" si="17"/>
        <v>187</v>
      </c>
      <c r="M202" s="166">
        <f ca="1">IF($D202&lt;&gt;"Serviço","",
          IF(AUTOEVENTO="manual",$A202,
                IF(ISERROR(MATCH($A202,$A$15:OFFSET($A202,-1,0),0)),MAX($M$15:OFFSET(M202,-1,0))+1,
                      INDEX($M$15:OFFSET(M202,-1,0),MATCH($A202,$A$15:OFFSET($A202,-1,0),0)))))</f>
        <v>9</v>
      </c>
      <c r="N202" s="167" t="str">
        <f ca="1">IF($D202&lt;&gt;"Serviço","",
         IF(AUTOEVENTO="Manual",
                IF($A202=0,"&lt;-- defina o número do agrupador",
                       OFFSET(EVENTOS!$D$15,$A202-$A$15,0)),
                OFFSET($F$15,$A202,0)))</f>
        <v>INSTALAÇÕES</v>
      </c>
      <c r="O202" s="168"/>
      <c r="Q202" s="168">
        <v>10.55</v>
      </c>
      <c r="R202" s="169">
        <v>10.55</v>
      </c>
      <c r="S202" s="169">
        <v>10.55</v>
      </c>
      <c r="T202" s="169">
        <v>10.55</v>
      </c>
      <c r="U202" s="169">
        <v>10.55</v>
      </c>
      <c r="V202" s="169">
        <v>10.55</v>
      </c>
      <c r="W202" s="169">
        <v>10.55</v>
      </c>
      <c r="X202" s="169">
        <v>10.55</v>
      </c>
      <c r="Y202" s="169">
        <v>10.55</v>
      </c>
      <c r="Z202" s="170">
        <v>10.55</v>
      </c>
      <c r="AA202" s="169">
        <v>10.55</v>
      </c>
      <c r="AB202" s="169">
        <v>10.55</v>
      </c>
      <c r="AC202" s="169">
        <v>10.55</v>
      </c>
      <c r="AD202" s="169">
        <v>10.55</v>
      </c>
      <c r="AE202" s="169">
        <v>10.55</v>
      </c>
      <c r="AF202" s="169">
        <v>10.55</v>
      </c>
      <c r="AG202" s="169">
        <v>10.55</v>
      </c>
      <c r="AH202" s="170">
        <v>10.55</v>
      </c>
      <c r="AI202" s="169">
        <v>10.55</v>
      </c>
      <c r="AJ202" s="169">
        <v>10.55</v>
      </c>
      <c r="AK202" s="169"/>
      <c r="AL202" s="169"/>
      <c r="AM202" s="169"/>
      <c r="AN202" s="169"/>
      <c r="AO202" s="169"/>
      <c r="AP202" s="170"/>
      <c r="AR202" s="453">
        <f ca="1">IF(AND($D202="Serviço",AR$12&lt;&gt;0,$H202&gt;0,OR(AUTOEVENTO&lt;&gt;"manual",$M202&lt;&gt;$A$15)),
        IF(Import.TipoArredondamento&lt;&gt;"TransfereGOV",
              ROUND(OFFSET($P202,0,AR$13),15-13*ORÇAMENTO!$AF$7)/$H202*OFFSET(ORÇAMENTO!$X$15,ROW(AR202)-ROW(AR$15),0),
              ROUND(ROUND(OFFSET($P202,0,AR$13),15-13*ORÇAMENTO!$AF$7)*OFFSET(ORÇAMENTO!$W$15,ROW(AR202)-ROW(AR$15),0),15-13*ORÇAMENTO!$AF$11)),
         0)</f>
        <v>0</v>
      </c>
      <c r="AS202" s="453">
        <f ca="1">IF(AND($D202="Serviço",AS$12&lt;&gt;0,$H202&gt;0,OR(AUTOEVENTO&lt;&gt;"manual",$M202&lt;&gt;$A$15)),
        IF(Import.TipoArredondamento&lt;&gt;"TransfereGOV",
              ROUND(OFFSET($P202,0,AS$13),15-13*ORÇAMENTO!$AF$7)/$H202*OFFSET(ORÇAMENTO!$X$15,ROW(AS202)-ROW(AS$15),0),
              ROUND(ROUND(OFFSET($P202,0,AS$13),15-13*ORÇAMENTO!$AF$7)*OFFSET(ORÇAMENTO!$W$15,ROW(AS202)-ROW(AS$15),0),15-13*ORÇAMENTO!$AF$11)),
         0)</f>
        <v>0</v>
      </c>
      <c r="AT202" s="453">
        <f ca="1">IF(AND($D202="Serviço",AT$12&lt;&gt;0,$H202&gt;0,OR(AUTOEVENTO&lt;&gt;"manual",$M202&lt;&gt;$A$15)),
        IF(Import.TipoArredondamento&lt;&gt;"TransfereGOV",
              ROUND(OFFSET($P202,0,AT$13),15-13*ORÇAMENTO!$AF$7)/$H202*OFFSET(ORÇAMENTO!$X$15,ROW(AT202)-ROW(AT$15),0),
              ROUND(ROUND(OFFSET($P202,0,AT$13),15-13*ORÇAMENTO!$AF$7)*OFFSET(ORÇAMENTO!$W$15,ROW(AT202)-ROW(AT$15),0),15-13*ORÇAMENTO!$AF$11)),
         0)</f>
        <v>0</v>
      </c>
      <c r="AU202" s="453">
        <f ca="1">IF(AND($D202="Serviço",AU$12&lt;&gt;0,$H202&gt;0,OR(AUTOEVENTO&lt;&gt;"manual",$M202&lt;&gt;$A$15)),
        IF(Import.TipoArredondamento&lt;&gt;"TransfereGOV",
              ROUND(OFFSET($P202,0,AU$13),15-13*ORÇAMENTO!$AF$7)/$H202*OFFSET(ORÇAMENTO!$X$15,ROW(AU202)-ROW(AU$15),0),
              ROUND(ROUND(OFFSET($P202,0,AU$13),15-13*ORÇAMENTO!$AF$7)*OFFSET(ORÇAMENTO!$W$15,ROW(AU202)-ROW(AU$15),0),15-13*ORÇAMENTO!$AF$11)),
         0)</f>
        <v>0</v>
      </c>
      <c r="AV202" s="453">
        <f ca="1">IF(AND($D202="Serviço",AV$12&lt;&gt;0,$H202&gt;0,OR(AUTOEVENTO&lt;&gt;"manual",$M202&lt;&gt;$A$15)),
        IF(Import.TipoArredondamento&lt;&gt;"TransfereGOV",
              ROUND(OFFSET($P202,0,AV$13),15-13*ORÇAMENTO!$AF$7)/$H202*OFFSET(ORÇAMENTO!$X$15,ROW(AV202)-ROW(AV$15),0),
              ROUND(ROUND(OFFSET($P202,0,AV$13),15-13*ORÇAMENTO!$AF$7)*OFFSET(ORÇAMENTO!$W$15,ROW(AV202)-ROW(AV$15),0),15-13*ORÇAMENTO!$AF$11)),
         0)</f>
        <v>0</v>
      </c>
      <c r="AW202" s="453">
        <f ca="1">IF(AND($D202="Serviço",AW$12&lt;&gt;0,$H202&gt;0,OR(AUTOEVENTO&lt;&gt;"manual",$M202&lt;&gt;$A$15)),
        IF(Import.TipoArredondamento&lt;&gt;"TransfereGOV",
              ROUND(OFFSET($P202,0,AW$13),15-13*ORÇAMENTO!$AF$7)/$H202*OFFSET(ORÇAMENTO!$X$15,ROW(AW202)-ROW(AW$15),0),
              ROUND(ROUND(OFFSET($P202,0,AW$13),15-13*ORÇAMENTO!$AF$7)*OFFSET(ORÇAMENTO!$W$15,ROW(AW202)-ROW(AW$15),0),15-13*ORÇAMENTO!$AF$11)),
         0)</f>
        <v>0</v>
      </c>
      <c r="AX202" s="453">
        <f ca="1">IF(AND($D202="Serviço",AX$12&lt;&gt;0,$H202&gt;0,OR(AUTOEVENTO&lt;&gt;"manual",$M202&lt;&gt;$A$15)),
        IF(Import.TipoArredondamento&lt;&gt;"TransfereGOV",
              ROUND(OFFSET($P202,0,AX$13),15-13*ORÇAMENTO!$AF$7)/$H202*OFFSET(ORÇAMENTO!$X$15,ROW(AX202)-ROW(AX$15),0),
              ROUND(ROUND(OFFSET($P202,0,AX$13),15-13*ORÇAMENTO!$AF$7)*OFFSET(ORÇAMENTO!$W$15,ROW(AX202)-ROW(AX$15),0),15-13*ORÇAMENTO!$AF$11)),
         0)</f>
        <v>0</v>
      </c>
      <c r="AY202" s="453">
        <f ca="1">IF(AND($D202="Serviço",AY$12&lt;&gt;0,$H202&gt;0,OR(AUTOEVENTO&lt;&gt;"manual",$M202&lt;&gt;$A$15)),
        IF(Import.TipoArredondamento&lt;&gt;"TransfereGOV",
              ROUND(OFFSET($P202,0,AY$13),15-13*ORÇAMENTO!$AF$7)/$H202*OFFSET(ORÇAMENTO!$X$15,ROW(AY202)-ROW(AY$15),0),
              ROUND(ROUND(OFFSET($P202,0,AY$13),15-13*ORÇAMENTO!$AF$7)*OFFSET(ORÇAMENTO!$W$15,ROW(AY202)-ROW(AY$15),0),15-13*ORÇAMENTO!$AF$11)),
         0)</f>
        <v>0</v>
      </c>
      <c r="AZ202" s="453">
        <f ca="1">IF(AND($D202="Serviço",AZ$12&lt;&gt;0,$H202&gt;0,OR(AUTOEVENTO&lt;&gt;"manual",$M202&lt;&gt;$A$15)),
        IF(Import.TipoArredondamento&lt;&gt;"TransfereGOV",
              ROUND(OFFSET($P202,0,AZ$13),15-13*ORÇAMENTO!$AF$7)/$H202*OFFSET(ORÇAMENTO!$X$15,ROW(AZ202)-ROW(AZ$15),0),
              ROUND(ROUND(OFFSET($P202,0,AZ$13),15-13*ORÇAMENTO!$AF$7)*OFFSET(ORÇAMENTO!$W$15,ROW(AZ202)-ROW(AZ$15),0),15-13*ORÇAMENTO!$AF$11)),
         0)</f>
        <v>0</v>
      </c>
      <c r="BA202" s="453">
        <f ca="1">IF(AND($D202="Serviço",BA$12&lt;&gt;0,$H202&gt;0,OR(AUTOEVENTO&lt;&gt;"manual",$M202&lt;&gt;$A$15)),
        IF(Import.TipoArredondamento&lt;&gt;"TransfereGOV",
              ROUND(OFFSET($P202,0,BA$13),15-13*ORÇAMENTO!$AF$7)/$H202*OFFSET(ORÇAMENTO!$X$15,ROW(BA202)-ROW(BA$15),0),
              ROUND(ROUND(OFFSET($P202,0,BA$13),15-13*ORÇAMENTO!$AF$7)*OFFSET(ORÇAMENTO!$W$15,ROW(BA202)-ROW(BA$15),0),15-13*ORÇAMENTO!$AF$11)),
         0)</f>
        <v>0</v>
      </c>
      <c r="BB202" s="453">
        <f ca="1">IF(AND($D202="Serviço",BB$12&lt;&gt;0,$H202&gt;0,OR(AUTOEVENTO&lt;&gt;"manual",$M202&lt;&gt;$A$15)),
        IF(Import.TipoArredondamento&lt;&gt;"TransfereGOV",
              ROUND(OFFSET($P202,0,BB$13),15-13*ORÇAMENTO!$AF$7)/$H202*OFFSET(ORÇAMENTO!$X$15,ROW(BB202)-ROW(BB$15),0),
              ROUND(ROUND(OFFSET($P202,0,BB$13),15-13*ORÇAMENTO!$AF$7)*OFFSET(ORÇAMENTO!$W$15,ROW(BB202)-ROW(BB$15),0),15-13*ORÇAMENTO!$AF$11)),
         0)</f>
        <v>0</v>
      </c>
      <c r="BC202" s="453">
        <f ca="1">IF(AND($D202="Serviço",BC$12&lt;&gt;0,$H202&gt;0,OR(AUTOEVENTO&lt;&gt;"manual",$M202&lt;&gt;$A$15)),
        IF(Import.TipoArredondamento&lt;&gt;"TransfereGOV",
              ROUND(OFFSET($P202,0,BC$13),15-13*ORÇAMENTO!$AF$7)/$H202*OFFSET(ORÇAMENTO!$X$15,ROW(BC202)-ROW(BC$15),0),
              ROUND(ROUND(OFFSET($P202,0,BC$13),15-13*ORÇAMENTO!$AF$7)*OFFSET(ORÇAMENTO!$W$15,ROW(BC202)-ROW(BC$15),0),15-13*ORÇAMENTO!$AF$11)),
         0)</f>
        <v>0</v>
      </c>
      <c r="BD202" s="453">
        <f ca="1">IF(AND($D202="Serviço",BD$12&lt;&gt;0,$H202&gt;0,OR(AUTOEVENTO&lt;&gt;"manual",$M202&lt;&gt;$A$15)),
        IF(Import.TipoArredondamento&lt;&gt;"TransfereGOV",
              ROUND(OFFSET($P202,0,BD$13),15-13*ORÇAMENTO!$AF$7)/$H202*OFFSET(ORÇAMENTO!$X$15,ROW(BD202)-ROW(BD$15),0),
              ROUND(ROUND(OFFSET($P202,0,BD$13),15-13*ORÇAMENTO!$AF$7)*OFFSET(ORÇAMENTO!$W$15,ROW(BD202)-ROW(BD$15),0),15-13*ORÇAMENTO!$AF$11)),
         0)</f>
        <v>0</v>
      </c>
      <c r="BE202" s="453">
        <f ca="1">IF(AND($D202="Serviço",BE$12&lt;&gt;0,$H202&gt;0,OR(AUTOEVENTO&lt;&gt;"manual",$M202&lt;&gt;$A$15)),
        IF(Import.TipoArredondamento&lt;&gt;"TransfereGOV",
              ROUND(OFFSET($P202,0,BE$13),15-13*ORÇAMENTO!$AF$7)/$H202*OFFSET(ORÇAMENTO!$X$15,ROW(BE202)-ROW(BE$15),0),
              ROUND(ROUND(OFFSET($P202,0,BE$13),15-13*ORÇAMENTO!$AF$7)*OFFSET(ORÇAMENTO!$W$15,ROW(BE202)-ROW(BE$15),0),15-13*ORÇAMENTO!$AF$11)),
         0)</f>
        <v>0</v>
      </c>
      <c r="BF202" s="453">
        <f ca="1">IF(AND($D202="Serviço",BF$12&lt;&gt;0,$H202&gt;0,OR(AUTOEVENTO&lt;&gt;"manual",$M202&lt;&gt;$A$15)),
        IF(Import.TipoArredondamento&lt;&gt;"TransfereGOV",
              ROUND(OFFSET($P202,0,BF$13),15-13*ORÇAMENTO!$AF$7)/$H202*OFFSET(ORÇAMENTO!$X$15,ROW(BF202)-ROW(BF$15),0),
              ROUND(ROUND(OFFSET($P202,0,BF$13),15-13*ORÇAMENTO!$AF$7)*OFFSET(ORÇAMENTO!$W$15,ROW(BF202)-ROW(BF$15),0),15-13*ORÇAMENTO!$AF$11)),
         0)</f>
        <v>0</v>
      </c>
      <c r="BG202" s="453">
        <f ca="1">IF(AND($D202="Serviço",BG$12&lt;&gt;0,$H202&gt;0,OR(AUTOEVENTO&lt;&gt;"manual",$M202&lt;&gt;$A$15)),
        IF(Import.TipoArredondamento&lt;&gt;"TransfereGOV",
              ROUND(OFFSET($P202,0,BG$13),15-13*ORÇAMENTO!$AF$7)/$H202*OFFSET(ORÇAMENTO!$X$15,ROW(BG202)-ROW(BG$15),0),
              ROUND(ROUND(OFFSET($P202,0,BG$13),15-13*ORÇAMENTO!$AF$7)*OFFSET(ORÇAMENTO!$W$15,ROW(BG202)-ROW(BG$15),0),15-13*ORÇAMENTO!$AF$11)),
         0)</f>
        <v>0</v>
      </c>
      <c r="BH202" s="453">
        <f ca="1">IF(AND($D202="Serviço",BH$12&lt;&gt;0,$H202&gt;0,OR(AUTOEVENTO&lt;&gt;"manual",$M202&lt;&gt;$A$15)),
        IF(Import.TipoArredondamento&lt;&gt;"TransfereGOV",
              ROUND(OFFSET($P202,0,BH$13),15-13*ORÇAMENTO!$AF$7)/$H202*OFFSET(ORÇAMENTO!$X$15,ROW(BH202)-ROW(BH$15),0),
              ROUND(ROUND(OFFSET($P202,0,BH$13),15-13*ORÇAMENTO!$AF$7)*OFFSET(ORÇAMENTO!$W$15,ROW(BH202)-ROW(BH$15),0),15-13*ORÇAMENTO!$AF$11)),
         0)</f>
        <v>0</v>
      </c>
      <c r="BI202" s="453">
        <f ca="1">IF(AND($D202="Serviço",BI$12&lt;&gt;0,$H202&gt;0,OR(AUTOEVENTO&lt;&gt;"manual",$M202&lt;&gt;$A$15)),
        IF(Import.TipoArredondamento&lt;&gt;"TransfereGOV",
              ROUND(OFFSET($P202,0,BI$13),15-13*ORÇAMENTO!$AF$7)/$H202*OFFSET(ORÇAMENTO!$X$15,ROW(BI202)-ROW(BI$15),0),
              ROUND(ROUND(OFFSET($P202,0,BI$13),15-13*ORÇAMENTO!$AF$7)*OFFSET(ORÇAMENTO!$W$15,ROW(BI202)-ROW(BI$15),0),15-13*ORÇAMENTO!$AF$11)),
         0)</f>
        <v>0</v>
      </c>
      <c r="BJ202" s="453">
        <f ca="1">IF(AND($D202="Serviço",BJ$12&lt;&gt;0,$H202&gt;0,OR(AUTOEVENTO&lt;&gt;"manual",$M202&lt;&gt;$A$15)),
        IF(Import.TipoArredondamento&lt;&gt;"TransfereGOV",
              ROUND(OFFSET($P202,0,BJ$13),15-13*ORÇAMENTO!$AF$7)/$H202*OFFSET(ORÇAMENTO!$X$15,ROW(BJ202)-ROW(BJ$15),0),
              ROUND(ROUND(OFFSET($P202,0,BJ$13),15-13*ORÇAMENTO!$AF$7)*OFFSET(ORÇAMENTO!$W$15,ROW(BJ202)-ROW(BJ$15),0),15-13*ORÇAMENTO!$AF$11)),
         0)</f>
        <v>0</v>
      </c>
      <c r="BK202" s="453">
        <f ca="1">IF(AND($D202="Serviço",BK$12&lt;&gt;0,$H202&gt;0,OR(AUTOEVENTO&lt;&gt;"manual",$M202&lt;&gt;$A$15)),
        IF(Import.TipoArredondamento&lt;&gt;"TransfereGOV",
              ROUND(OFFSET($P202,0,BK$13),15-13*ORÇAMENTO!$AF$7)/$H202*OFFSET(ORÇAMENTO!$X$15,ROW(BK202)-ROW(BK$15),0),
              ROUND(ROUND(OFFSET($P202,0,BK$13),15-13*ORÇAMENTO!$AF$7)*OFFSET(ORÇAMENTO!$W$15,ROW(BK202)-ROW(BK$15),0),15-13*ORÇAMENTO!$AF$11)),
         0)</f>
        <v>0</v>
      </c>
      <c r="BL202" s="453">
        <f ca="1">IF(AND($D202="Serviço",BL$12&lt;&gt;0,$H202&gt;0,OR(AUTOEVENTO&lt;&gt;"manual",$M202&lt;&gt;$A$15)),
        IF(Import.TipoArredondamento&lt;&gt;"TransfereGOV",
              ROUND(OFFSET($P202,0,BL$13),15-13*ORÇAMENTO!$AF$7)/$H202*OFFSET(ORÇAMENTO!$X$15,ROW(BL202)-ROW(BL$15),0),
              ROUND(ROUND(OFFSET($P202,0,BL$13),15-13*ORÇAMENTO!$AF$7)*OFFSET(ORÇAMENTO!$W$15,ROW(BL202)-ROW(BL$15),0),15-13*ORÇAMENTO!$AF$11)),
         0)</f>
        <v>0</v>
      </c>
      <c r="BM202" s="453">
        <f ca="1">IF(AND($D202="Serviço",BM$12&lt;&gt;0,$H202&gt;0,OR(AUTOEVENTO&lt;&gt;"manual",$M202&lt;&gt;$A$15)),
        IF(Import.TipoArredondamento&lt;&gt;"TransfereGOV",
              ROUND(OFFSET($P202,0,BM$13),15-13*ORÇAMENTO!$AF$7)/$H202*OFFSET(ORÇAMENTO!$X$15,ROW(BM202)-ROW(BM$15),0),
              ROUND(ROUND(OFFSET($P202,0,BM$13),15-13*ORÇAMENTO!$AF$7)*OFFSET(ORÇAMENTO!$W$15,ROW(BM202)-ROW(BM$15),0),15-13*ORÇAMENTO!$AF$11)),
         0)</f>
        <v>0</v>
      </c>
      <c r="BN202" s="453">
        <f ca="1">IF(AND($D202="Serviço",BN$12&lt;&gt;0,$H202&gt;0,OR(AUTOEVENTO&lt;&gt;"manual",$M202&lt;&gt;$A$15)),
        IF(Import.TipoArredondamento&lt;&gt;"TransfereGOV",
              ROUND(OFFSET($P202,0,BN$13),15-13*ORÇAMENTO!$AF$7)/$H202*OFFSET(ORÇAMENTO!$X$15,ROW(BN202)-ROW(BN$15),0),
              ROUND(ROUND(OFFSET($P202,0,BN$13),15-13*ORÇAMENTO!$AF$7)*OFFSET(ORÇAMENTO!$W$15,ROW(BN202)-ROW(BN$15),0),15-13*ORÇAMENTO!$AF$11)),
         0)</f>
        <v>0</v>
      </c>
      <c r="BO202" s="453">
        <f ca="1">IF(AND($D202="Serviço",BO$12&lt;&gt;0,$H202&gt;0,OR(AUTOEVENTO&lt;&gt;"manual",$M202&lt;&gt;$A$15)),
        IF(Import.TipoArredondamento&lt;&gt;"TransfereGOV",
              ROUND(OFFSET($P202,0,BO$13),15-13*ORÇAMENTO!$AF$7)/$H202*OFFSET(ORÇAMENTO!$X$15,ROW(BO202)-ROW(BO$15),0),
              ROUND(ROUND(OFFSET($P202,0,BO$13),15-13*ORÇAMENTO!$AF$7)*OFFSET(ORÇAMENTO!$W$15,ROW(BO202)-ROW(BO$15),0),15-13*ORÇAMENTO!$AF$11)),
         0)</f>
        <v>0</v>
      </c>
      <c r="BP202" s="453">
        <f ca="1">IF(AND($D202="Serviço",BP$12&lt;&gt;0,$H202&gt;0,OR(AUTOEVENTO&lt;&gt;"manual",$M202&lt;&gt;$A$15)),
        IF(Import.TipoArredondamento&lt;&gt;"TransfereGOV",
              ROUND(OFFSET($P202,0,BP$13),15-13*ORÇAMENTO!$AF$7)/$H202*OFFSET(ORÇAMENTO!$X$15,ROW(BP202)-ROW(BP$15),0),
              ROUND(ROUND(OFFSET($P202,0,BP$13),15-13*ORÇAMENTO!$AF$7)*OFFSET(ORÇAMENTO!$W$15,ROW(BP202)-ROW(BP$15),0),15-13*ORÇAMENTO!$AF$11)),
         0)</f>
        <v>0</v>
      </c>
      <c r="BQ202" s="453">
        <f ca="1">IF(AND($D202="Serviço",BQ$12&lt;&gt;0,$H202&gt;0,OR(AUTOEVENTO&lt;&gt;"manual",$M202&lt;&gt;$A$15)),
        IF(Import.TipoArredondamento&lt;&gt;"TransfereGOV",
              ROUND(OFFSET($P202,0,BQ$13),15-13*ORÇAMENTO!$AF$7)/$H202*OFFSET(ORÇAMENTO!$X$15,ROW(BQ202)-ROW(BQ$15),0),
              ROUND(ROUND(OFFSET($P202,0,BQ$13),15-13*ORÇAMENTO!$AF$7)*OFFSET(ORÇAMENTO!$W$15,ROW(BQ202)-ROW(BQ$15),0),15-13*ORÇAMENTO!$AF$11)),
         0)</f>
        <v>0</v>
      </c>
      <c r="BS202" s="171">
        <f ca="1">IF(OR($D202&lt;&gt;"Serviço",AND(AUTOEVENTO="Manual",$M202=$A$15)),0,
         IF(OFFSET(CRONOPLE!$F$15,$M202-$A$15,BS$13)=0,10^12,OFFSET(CRONOPLE!$F$15,$M202-$A$15,BS$13)))</f>
        <v>1</v>
      </c>
      <c r="BT202" s="171">
        <f ca="1">IF(OR($D202&lt;&gt;"Serviço",AND(AUTOEVENTO="Manual",$M202=$A$15)),0,
         IF(OFFSET(CRONOPLE!$F$15,$M202-$A$15,BT$13)=0,10^12,OFFSET(CRONOPLE!$F$15,$M202-$A$15,BT$13)))</f>
        <v>2</v>
      </c>
      <c r="BU202" s="171">
        <f ca="1">IF(OR($D202&lt;&gt;"Serviço",AND(AUTOEVENTO="Manual",$M202=$A$15)),0,
         IF(OFFSET(CRONOPLE!$F$15,$M202-$A$15,BU$13)=0,10^12,OFFSET(CRONOPLE!$F$15,$M202-$A$15,BU$13)))</f>
        <v>3</v>
      </c>
      <c r="BV202" s="171">
        <f ca="1">IF(OR($D202&lt;&gt;"Serviço",AND(AUTOEVENTO="Manual",$M202=$A$15)),0,
         IF(OFFSET(CRONOPLE!$F$15,$M202-$A$15,BV$13)=0,10^12,OFFSET(CRONOPLE!$F$15,$M202-$A$15,BV$13)))</f>
        <v>4</v>
      </c>
      <c r="BW202" s="171">
        <f ca="1">IF(OR($D202&lt;&gt;"Serviço",AND(AUTOEVENTO="Manual",$M202=$A$15)),0,
         IF(OFFSET(CRONOPLE!$F$15,$M202-$A$15,BW$13)=0,10^12,OFFSET(CRONOPLE!$F$15,$M202-$A$15,BW$13)))</f>
        <v>5</v>
      </c>
      <c r="BX202" s="171">
        <f ca="1">IF(OR($D202&lt;&gt;"Serviço",AND(AUTOEVENTO="Manual",$M202=$A$15)),0,
         IF(OFFSET(CRONOPLE!$F$15,$M202-$A$15,BX$13)=0,10^12,OFFSET(CRONOPLE!$F$15,$M202-$A$15,BX$13)))</f>
        <v>6</v>
      </c>
      <c r="BY202" s="171">
        <f ca="1">IF(OR($D202&lt;&gt;"Serviço",AND(AUTOEVENTO="Manual",$M202=$A$15)),0,
         IF(OFFSET(CRONOPLE!$F$15,$M202-$A$15,BY$13)=0,10^12,OFFSET(CRONOPLE!$F$15,$M202-$A$15,BY$13)))</f>
        <v>7</v>
      </c>
      <c r="BZ202" s="171">
        <f ca="1">IF(OR($D202&lt;&gt;"Serviço",AND(AUTOEVENTO="Manual",$M202=$A$15)),0,
         IF(OFFSET(CRONOPLE!$F$15,$M202-$A$15,BZ$13)=0,10^12,OFFSET(CRONOPLE!$F$15,$M202-$A$15,BZ$13)))</f>
        <v>8</v>
      </c>
      <c r="CA202" s="171">
        <f ca="1">IF(OR($D202&lt;&gt;"Serviço",AND(AUTOEVENTO="Manual",$M202=$A$15)),0,
         IF(OFFSET(CRONOPLE!$F$15,$M202-$A$15,CA$13)=0,10^12,OFFSET(CRONOPLE!$F$15,$M202-$A$15,CA$13)))</f>
        <v>9</v>
      </c>
      <c r="CB202" s="171">
        <f ca="1">IF(OR($D202&lt;&gt;"Serviço",AND(AUTOEVENTO="Manual",$M202=$A$15)),0,
         IF(OFFSET(CRONOPLE!$F$15,$M202-$A$15,CB$13)=0,10^12,OFFSET(CRONOPLE!$F$15,$M202-$A$15,CB$13)))</f>
        <v>10</v>
      </c>
      <c r="CC202" s="171">
        <f ca="1">IF(OR($D202&lt;&gt;"Serviço",AND(AUTOEVENTO="Manual",$M202=$A$15)),0,
         IF(OFFSET(CRONOPLE!$F$15,$M202-$A$15,CC$13)=0,10^12,OFFSET(CRONOPLE!$F$15,$M202-$A$15,CC$13)))</f>
        <v>11</v>
      </c>
      <c r="CD202" s="171">
        <f ca="1">IF(OR($D202&lt;&gt;"Serviço",AND(AUTOEVENTO="Manual",$M202=$A$15)),0,
         IF(OFFSET(CRONOPLE!$F$15,$M202-$A$15,CD$13)=0,10^12,OFFSET(CRONOPLE!$F$15,$M202-$A$15,CD$13)))</f>
        <v>12</v>
      </c>
      <c r="CE202" s="171">
        <f ca="1">IF(OR($D202&lt;&gt;"Serviço",AND(AUTOEVENTO="Manual",$M202=$A$15)),0,
         IF(OFFSET(CRONOPLE!$F$15,$M202-$A$15,CE$13)=0,10^12,OFFSET(CRONOPLE!$F$15,$M202-$A$15,CE$13)))</f>
        <v>13</v>
      </c>
      <c r="CF202" s="171">
        <f ca="1">IF(OR($D202&lt;&gt;"Serviço",AND(AUTOEVENTO="Manual",$M202=$A$15)),0,
         IF(OFFSET(CRONOPLE!$F$15,$M202-$A$15,CF$13)=0,10^12,OFFSET(CRONOPLE!$F$15,$M202-$A$15,CF$13)))</f>
        <v>14</v>
      </c>
      <c r="CG202" s="171">
        <f ca="1">IF(OR($D202&lt;&gt;"Serviço",AND(AUTOEVENTO="Manual",$M202=$A$15)),0,
         IF(OFFSET(CRONOPLE!$F$15,$M202-$A$15,CG$13)=0,10^12,OFFSET(CRONOPLE!$F$15,$M202-$A$15,CG$13)))</f>
        <v>15</v>
      </c>
      <c r="CH202" s="171">
        <f ca="1">IF(OR($D202&lt;&gt;"Serviço",AND(AUTOEVENTO="Manual",$M202=$A$15)),0,
         IF(OFFSET(CRONOPLE!$F$15,$M202-$A$15,CH$13)=0,10^12,OFFSET(CRONOPLE!$F$15,$M202-$A$15,CH$13)))</f>
        <v>16</v>
      </c>
      <c r="CI202" s="171">
        <f ca="1">IF(OR($D202&lt;&gt;"Serviço",AND(AUTOEVENTO="Manual",$M202=$A$15)),0,
         IF(OFFSET(CRONOPLE!$F$15,$M202-$A$15,CI$13)=0,10^12,OFFSET(CRONOPLE!$F$15,$M202-$A$15,CI$13)))</f>
        <v>17</v>
      </c>
      <c r="CJ202" s="171">
        <f ca="1">IF(OR($D202&lt;&gt;"Serviço",AND(AUTOEVENTO="Manual",$M202=$A$15)),0,
         IF(OFFSET(CRONOPLE!$F$15,$M202-$A$15,CJ$13)=0,10^12,OFFSET(CRONOPLE!$F$15,$M202-$A$15,CJ$13)))</f>
        <v>18</v>
      </c>
      <c r="CK202" s="171">
        <f ca="1">IF(OR($D202&lt;&gt;"Serviço",AND(AUTOEVENTO="Manual",$M202=$A$15)),0,
         IF(OFFSET(CRONOPLE!$F$15,$M202-$A$15,CK$13)=0,10^12,OFFSET(CRONOPLE!$F$15,$M202-$A$15,CK$13)))</f>
        <v>19</v>
      </c>
      <c r="CL202" s="171">
        <f ca="1">IF(OR($D202&lt;&gt;"Serviço",AND(AUTOEVENTO="Manual",$M202=$A$15)),0,
         IF(OFFSET(CRONOPLE!$F$15,$M202-$A$15,CL$13)=0,10^12,OFFSET(CRONOPLE!$F$15,$M202-$A$15,CL$13)))</f>
        <v>20</v>
      </c>
      <c r="CM202" s="171">
        <f ca="1">IF(OR($D202&lt;&gt;"Serviço",AND(AUTOEVENTO="Manual",$M202=$A$15)),0,
         IF(OFFSET(CRONOPLE!$F$15,$M202-$A$15,CM$13)=0,10^12,OFFSET(CRONOPLE!$F$15,$M202-$A$15,CM$13)))</f>
        <v>1000000000000</v>
      </c>
      <c r="CN202" s="171">
        <f ca="1">IF(OR($D202&lt;&gt;"Serviço",AND(AUTOEVENTO="Manual",$M202=$A$15)),0,
         IF(OFFSET(CRONOPLE!$F$15,$M202-$A$15,CN$13)=0,10^12,OFFSET(CRONOPLE!$F$15,$M202-$A$15,CN$13)))</f>
        <v>1000000000000</v>
      </c>
      <c r="CO202" s="171">
        <f ca="1">IF(OR($D202&lt;&gt;"Serviço",AND(AUTOEVENTO="Manual",$M202=$A$15)),0,
         IF(OFFSET(CRONOPLE!$F$15,$M202-$A$15,CO$13)=0,10^12,OFFSET(CRONOPLE!$F$15,$M202-$A$15,CO$13)))</f>
        <v>1000000000000</v>
      </c>
      <c r="CP202" s="171">
        <f ca="1">IF(OR($D202&lt;&gt;"Serviço",AND(AUTOEVENTO="Manual",$M202=$A$15)),0,
         IF(OFFSET(CRONOPLE!$F$15,$M202-$A$15,CP$13)=0,10^12,OFFSET(CRONOPLE!$F$15,$M202-$A$15,CP$13)))</f>
        <v>1000000000000</v>
      </c>
      <c r="CQ202" s="171">
        <f ca="1">IF(OR($D202&lt;&gt;"Serviço",AND(AUTOEVENTO="Manual",$M202=$A$15)),0,
         IF(OFFSET(CRONOPLE!$F$15,$M202-$A$15,CQ$13)=0,10^12,OFFSET(CRONOPLE!$F$15,$M202-$A$15,CQ$13)))</f>
        <v>1000000000000</v>
      </c>
      <c r="CR202" s="171">
        <f ca="1">IF(OR($D202&lt;&gt;"Serviço",AND(AUTOEVENTO="Manual",$M202=$A$15)),0,
         IF(OFFSET(CRONOPLE!$F$15,$M202-$A$15,CR$13)=0,10^12,OFFSET(CRONOPLE!$F$15,$M202-$A$15,CR$13)))</f>
        <v>1000000000000</v>
      </c>
      <c r="CT202" s="172" cm="1">
        <f t="array" aca="1" ref="CT202" ca="1">IF(OR($D202&lt;&gt;"Serviço",AND(AUTOEVENTO="Manual",$M202=$A$15),$M202&gt;(ROW(PLE.lastrow)-ROW(PLE.firstrow))),0,
           IF(OFFSET(PLE!$G$15,$M202-$A$15,CT$13)="",10^12,OFFSET(PLE!$G$15,$M202-$A$15,CT$13)))</f>
        <v>1000000000000</v>
      </c>
      <c r="CU202" s="172" cm="1">
        <f t="array" aca="1" ref="CU202" ca="1">IF(OR($D202&lt;&gt;"Serviço",AND(AUTOEVENTO="Manual",$M202=$A$15),$M202&gt;(ROW(PLE.lastrow)-ROW(PLE.firstrow))),0,
           IF(OFFSET(PLE!$G$15,$M202-$A$15,CU$13)="",10^12,OFFSET(PLE!$G$15,$M202-$A$15,CU$13)))</f>
        <v>1000000000000</v>
      </c>
      <c r="CV202" s="172" cm="1">
        <f t="array" aca="1" ref="CV202" ca="1">IF(OR($D202&lt;&gt;"Serviço",AND(AUTOEVENTO="Manual",$M202=$A$15),$M202&gt;(ROW(PLE.lastrow)-ROW(PLE.firstrow))),0,
           IF(OFFSET(PLE!$G$15,$M202-$A$15,CV$13)="",10^12,OFFSET(PLE!$G$15,$M202-$A$15,CV$13)))</f>
        <v>1000000000000</v>
      </c>
      <c r="CW202" s="172" cm="1">
        <f t="array" aca="1" ref="CW202" ca="1">IF(OR($D202&lt;&gt;"Serviço",AND(AUTOEVENTO="Manual",$M202=$A$15),$M202&gt;(ROW(PLE.lastrow)-ROW(PLE.firstrow))),0,
           IF(OFFSET(PLE!$G$15,$M202-$A$15,CW$13)="",10^12,OFFSET(PLE!$G$15,$M202-$A$15,CW$13)))</f>
        <v>1000000000000</v>
      </c>
      <c r="CX202" s="172" cm="1">
        <f t="array" aca="1" ref="CX202" ca="1">IF(OR($D202&lt;&gt;"Serviço",AND(AUTOEVENTO="Manual",$M202=$A$15),$M202&gt;(ROW(PLE.lastrow)-ROW(PLE.firstrow))),0,
           IF(OFFSET(PLE!$G$15,$M202-$A$15,CX$13)="",10^12,OFFSET(PLE!$G$15,$M202-$A$15,CX$13)))</f>
        <v>1000000000000</v>
      </c>
      <c r="CY202" s="172" cm="1">
        <f t="array" aca="1" ref="CY202" ca="1">IF(OR($D202&lt;&gt;"Serviço",AND(AUTOEVENTO="Manual",$M202=$A$15),$M202&gt;(ROW(PLE.lastrow)-ROW(PLE.firstrow))),0,
           IF(OFFSET(PLE!$G$15,$M202-$A$15,CY$13)="",10^12,OFFSET(PLE!$G$15,$M202-$A$15,CY$13)))</f>
        <v>1000000000000</v>
      </c>
      <c r="CZ202" s="172" cm="1">
        <f t="array" aca="1" ref="CZ202" ca="1">IF(OR($D202&lt;&gt;"Serviço",AND(AUTOEVENTO="Manual",$M202=$A$15),$M202&gt;(ROW(PLE.lastrow)-ROW(PLE.firstrow))),0,
           IF(OFFSET(PLE!$G$15,$M202-$A$15,CZ$13)="",10^12,OFFSET(PLE!$G$15,$M202-$A$15,CZ$13)))</f>
        <v>1000000000000</v>
      </c>
      <c r="DA202" s="172" cm="1">
        <f t="array" aca="1" ref="DA202" ca="1">IF(OR($D202&lt;&gt;"Serviço",AND(AUTOEVENTO="Manual",$M202=$A$15),$M202&gt;(ROW(PLE.lastrow)-ROW(PLE.firstrow))),0,
           IF(OFFSET(PLE!$G$15,$M202-$A$15,DA$13)="",10^12,OFFSET(PLE!$G$15,$M202-$A$15,DA$13)))</f>
        <v>1000000000000</v>
      </c>
      <c r="DB202" s="172" cm="1">
        <f t="array" aca="1" ref="DB202" ca="1">IF(OR($D202&lt;&gt;"Serviço",AND(AUTOEVENTO="Manual",$M202=$A$15),$M202&gt;(ROW(PLE.lastrow)-ROW(PLE.firstrow))),0,
           IF(OFFSET(PLE!$G$15,$M202-$A$15,DB$13)="",10^12,OFFSET(PLE!$G$15,$M202-$A$15,DB$13)))</f>
        <v>1000000000000</v>
      </c>
      <c r="DC202" s="172" cm="1">
        <f t="array" aca="1" ref="DC202" ca="1">IF(OR($D202&lt;&gt;"Serviço",AND(AUTOEVENTO="Manual",$M202=$A$15),$M202&gt;(ROW(PLE.lastrow)-ROW(PLE.firstrow))),0,
           IF(OFFSET(PLE!$G$15,$M202-$A$15,DC$13)="",10^12,OFFSET(PLE!$G$15,$M202-$A$15,DC$13)))</f>
        <v>1000000000000</v>
      </c>
      <c r="DD202" s="172" cm="1">
        <f t="array" aca="1" ref="DD202" ca="1">IF(OR($D202&lt;&gt;"Serviço",AND(AUTOEVENTO="Manual",$M202=$A$15),$M202&gt;(ROW(PLE.lastrow)-ROW(PLE.firstrow))),0,
           IF(OFFSET(PLE!$G$15,$M202-$A$15,DD$13)="",10^12,OFFSET(PLE!$G$15,$M202-$A$15,DD$13)))</f>
        <v>1000000000000</v>
      </c>
      <c r="DE202" s="172" cm="1">
        <f t="array" aca="1" ref="DE202" ca="1">IF(OR($D202&lt;&gt;"Serviço",AND(AUTOEVENTO="Manual",$M202=$A$15),$M202&gt;(ROW(PLE.lastrow)-ROW(PLE.firstrow))),0,
           IF(OFFSET(PLE!$G$15,$M202-$A$15,DE$13)="",10^12,OFFSET(PLE!$G$15,$M202-$A$15,DE$13)))</f>
        <v>1000000000000</v>
      </c>
      <c r="DF202" s="172" cm="1">
        <f t="array" aca="1" ref="DF202" ca="1">IF(OR($D202&lt;&gt;"Serviço",AND(AUTOEVENTO="Manual",$M202=$A$15),$M202&gt;(ROW(PLE.lastrow)-ROW(PLE.firstrow))),0,
           IF(OFFSET(PLE!$G$15,$M202-$A$15,DF$13)="",10^12,OFFSET(PLE!$G$15,$M202-$A$15,DF$13)))</f>
        <v>1000000000000</v>
      </c>
      <c r="DG202" s="172" cm="1">
        <f t="array" aca="1" ref="DG202" ca="1">IF(OR($D202&lt;&gt;"Serviço",AND(AUTOEVENTO="Manual",$M202=$A$15),$M202&gt;(ROW(PLE.lastrow)-ROW(PLE.firstrow))),0,
           IF(OFFSET(PLE!$G$15,$M202-$A$15,DG$13)="",10^12,OFFSET(PLE!$G$15,$M202-$A$15,DG$13)))</f>
        <v>1000000000000</v>
      </c>
      <c r="DH202" s="172" cm="1">
        <f t="array" aca="1" ref="DH202" ca="1">IF(OR($D202&lt;&gt;"Serviço",AND(AUTOEVENTO="Manual",$M202=$A$15),$M202&gt;(ROW(PLE.lastrow)-ROW(PLE.firstrow))),0,
           IF(OFFSET(PLE!$G$15,$M202-$A$15,DH$13)="",10^12,OFFSET(PLE!$G$15,$M202-$A$15,DH$13)))</f>
        <v>1000000000000</v>
      </c>
      <c r="DI202" s="172" cm="1">
        <f t="array" aca="1" ref="DI202" ca="1">IF(OR($D202&lt;&gt;"Serviço",AND(AUTOEVENTO="Manual",$M202=$A$15),$M202&gt;(ROW(PLE.lastrow)-ROW(PLE.firstrow))),0,
           IF(OFFSET(PLE!$G$15,$M202-$A$15,DI$13)="",10^12,OFFSET(PLE!$G$15,$M202-$A$15,DI$13)))</f>
        <v>1000000000000</v>
      </c>
      <c r="DJ202" s="172" cm="1">
        <f t="array" aca="1" ref="DJ202" ca="1">IF(OR($D202&lt;&gt;"Serviço",AND(AUTOEVENTO="Manual",$M202=$A$15),$M202&gt;(ROW(PLE.lastrow)-ROW(PLE.firstrow))),0,
           IF(OFFSET(PLE!$G$15,$M202-$A$15,DJ$13)="",10^12,OFFSET(PLE!$G$15,$M202-$A$15,DJ$13)))</f>
        <v>1000000000000</v>
      </c>
      <c r="DK202" s="172" cm="1">
        <f t="array" aca="1" ref="DK202" ca="1">IF(OR($D202&lt;&gt;"Serviço",AND(AUTOEVENTO="Manual",$M202=$A$15),$M202&gt;(ROW(PLE.lastrow)-ROW(PLE.firstrow))),0,
           IF(OFFSET(PLE!$G$15,$M202-$A$15,DK$13)="",10^12,OFFSET(PLE!$G$15,$M202-$A$15,DK$13)))</f>
        <v>1000000000000</v>
      </c>
      <c r="DL202" s="172" cm="1">
        <f t="array" aca="1" ref="DL202" ca="1">IF(OR($D202&lt;&gt;"Serviço",AND(AUTOEVENTO="Manual",$M202=$A$15),$M202&gt;(ROW(PLE.lastrow)-ROW(PLE.firstrow))),0,
           IF(OFFSET(PLE!$G$15,$M202-$A$15,DL$13)="",10^12,OFFSET(PLE!$G$15,$M202-$A$15,DL$13)))</f>
        <v>1000000000000</v>
      </c>
      <c r="DM202" s="172" cm="1">
        <f t="array" aca="1" ref="DM202" ca="1">IF(OR($D202&lt;&gt;"Serviço",AND(AUTOEVENTO="Manual",$M202=$A$15),$M202&gt;(ROW(PLE.lastrow)-ROW(PLE.firstrow))),0,
           IF(OFFSET(PLE!$G$15,$M202-$A$15,DM$13)="",10^12,OFFSET(PLE!$G$15,$M202-$A$15,DM$13)))</f>
        <v>1000000000000</v>
      </c>
      <c r="DN202" s="172" cm="1">
        <f t="array" aca="1" ref="DN202" ca="1">IF(OR($D202&lt;&gt;"Serviço",AND(AUTOEVENTO="Manual",$M202=$A$15),$M202&gt;(ROW(PLE.lastrow)-ROW(PLE.firstrow))),0,
           IF(OFFSET(PLE!$G$15,$M202-$A$15,DN$13)="",10^12,OFFSET(PLE!$G$15,$M202-$A$15,DN$13)))</f>
        <v>1000000000000</v>
      </c>
      <c r="DO202" s="172" cm="1">
        <f t="array" aca="1" ref="DO202" ca="1">IF(OR($D202&lt;&gt;"Serviço",AND(AUTOEVENTO="Manual",$M202=$A$15),$M202&gt;(ROW(PLE.lastrow)-ROW(PLE.firstrow))),0,
           IF(OFFSET(PLE!$G$15,$M202-$A$15,DO$13)="",10^12,OFFSET(PLE!$G$15,$M202-$A$15,DO$13)))</f>
        <v>1000000000000</v>
      </c>
      <c r="DP202" s="172" cm="1">
        <f t="array" aca="1" ref="DP202" ca="1">IF(OR($D202&lt;&gt;"Serviço",AND(AUTOEVENTO="Manual",$M202=$A$15),$M202&gt;(ROW(PLE.lastrow)-ROW(PLE.firstrow))),0,
           IF(OFFSET(PLE!$G$15,$M202-$A$15,DP$13)="",10^12,OFFSET(PLE!$G$15,$M202-$A$15,DP$13)))</f>
        <v>1000000000000</v>
      </c>
      <c r="DQ202" s="172" cm="1">
        <f t="array" aca="1" ref="DQ202" ca="1">IF(OR($D202&lt;&gt;"Serviço",AND(AUTOEVENTO="Manual",$M202=$A$15),$M202&gt;(ROW(PLE.lastrow)-ROW(PLE.firstrow))),0,
           IF(OFFSET(PLE!$G$15,$M202-$A$15,DQ$13)="",10^12,OFFSET(PLE!$G$15,$M202-$A$15,DQ$13)))</f>
        <v>1000000000000</v>
      </c>
      <c r="DR202" s="172" cm="1">
        <f t="array" aca="1" ref="DR202" ca="1">IF(OR($D202&lt;&gt;"Serviço",AND(AUTOEVENTO="Manual",$M202=$A$15),$M202&gt;(ROW(PLE.lastrow)-ROW(PLE.firstrow))),0,
           IF(OFFSET(PLE!$G$15,$M202-$A$15,DR$13)="",10^12,OFFSET(PLE!$G$15,$M202-$A$15,DR$13)))</f>
        <v>1000000000000</v>
      </c>
      <c r="DS202" s="172" cm="1">
        <f t="array" aca="1" ref="DS202" ca="1">IF(OR($D202&lt;&gt;"Serviço",AND(AUTOEVENTO="Manual",$M202=$A$15),$M202&gt;(ROW(PLE.lastrow)-ROW(PLE.firstrow))),0,
           IF(OFFSET(PLE!$G$15,$M202-$A$15,DS$13)="",10^12,OFFSET(PLE!$G$15,$M202-$A$15,DS$13)))</f>
        <v>1000000000000</v>
      </c>
    </row>
    <row r="203" spans="1:123" ht="12.75" x14ac:dyDescent="0.2">
      <c r="A203" s="7">
        <f t="shared" ca="1" si="18"/>
        <v>0</v>
      </c>
      <c r="B203" s="7">
        <f ca="1">OFFSET(ORÇAMENTO!C$15,$L203,0)</f>
        <v>2</v>
      </c>
      <c r="C203" s="7" t="str">
        <f ca="1">OFFSET(ORÇAMENTO!L$15,$L203,0)</f>
        <v>F</v>
      </c>
      <c r="D203" s="116" t="str">
        <f ca="1">OFFSET(ORÇAMENTO!N$15,$L203,0)</f>
        <v>Nível 2</v>
      </c>
      <c r="E203" s="117" t="str">
        <f ca="1">OFFSET(ORÇAMENTO!O$15,$L203,0)</f>
        <v>9.3.</v>
      </c>
      <c r="F203" s="163" t="str">
        <f ca="1">OFFSET(ORÇAMENTO!R$15,$L203,0)</f>
        <v>SANITÁRIAS / PLUVIAL</v>
      </c>
      <c r="G203" s="164" t="str">
        <f ca="1">IF($D203&lt;&gt;"Serviço","",OFFSET(ORÇAMENTO!S$15,$L203,0))</f>
        <v/>
      </c>
      <c r="H203" s="122" cm="1">
        <f t="array" aca="1" ref="H203" ca="1">IF($D203&lt;&gt;"Serviço",0,IF(ACOMPANHAMENTO="BM",ROUND(OFFSET(ORÇAMENTO!AJ$15,$L203,0),15-13*ORÇAMENTO!$AF$7),IF(IFERROR(CÁLCULO.FrentesPreenchidas,0)=0,0,SUM(ROUND(OFFSET($P203,0,1,1,CÁLCULO.FrentesPreenchidas),15-13*ORÇAMENTO!$AF$7)))))</f>
        <v>0</v>
      </c>
      <c r="I203" s="468"/>
      <c r="J203" s="651" t="str" cm="1">
        <f t="array" aca="1" ref="J203" ca="1">IF(OR(B203&lt;&gt;"S",CÁLCULO.FrentesPreenchidas=0),"",IF(AND(ACOMPANHAMENTO="PLE",AUTOEVENTO="Manual",OR(H203&gt;0,ORÇAMENTO!AC203="QUANT."),OR(K203="",M203=0,N203="")),"►E",IF(AND(ACOMPANHAMENTO="PLE",ORÇAMENTO!AC203="QUANT."),"►Q",IF(AND(ACOMPANHAMENTO="PLE",H203&lt;&gt;SUMPRODUCT(($Q$1:$AQ$1=1)*ROUND(Q203:AQ203,15))),"►S",IF(AND(COUNTIF($P$11:$AQ$11,"▼")=0,H203&gt;0,I203=""),"◄M","")))))</f>
        <v/>
      </c>
      <c r="K203" s="652"/>
      <c r="L203" s="165">
        <f t="shared" ca="1" si="17"/>
        <v>188</v>
      </c>
      <c r="M203" s="166" t="str">
        <f ca="1">IF($D203&lt;&gt;"Serviço","",
          IF(AUTOEVENTO="manual",$A203,
                IF(ISERROR(MATCH($A203,$A$15:OFFSET($A203,-1,0),0)),MAX($M$15:OFFSET(M203,-1,0))+1,
                      INDEX($M$15:OFFSET(M203,-1,0),MATCH($A203,$A$15:OFFSET($A203,-1,0),0)))))</f>
        <v/>
      </c>
      <c r="N203" s="167" t="str">
        <f ca="1">IF($D203&lt;&gt;"Serviço","",
         IF(AUTOEVENTO="Manual",
                IF($A203=0,"&lt;-- defina o número do agrupador",
                       OFFSET(EVENTOS!$D$15,$A203-$A$15,0)),
                OFFSET($F$15,$A203,0)))</f>
        <v/>
      </c>
      <c r="O203" s="168"/>
      <c r="Q203" s="168"/>
      <c r="R203" s="169"/>
      <c r="S203" s="169"/>
      <c r="T203" s="169"/>
      <c r="U203" s="169"/>
      <c r="V203" s="169"/>
      <c r="W203" s="169"/>
      <c r="X203" s="169"/>
      <c r="Y203" s="169"/>
      <c r="Z203" s="170"/>
      <c r="AA203" s="169"/>
      <c r="AB203" s="169"/>
      <c r="AC203" s="169"/>
      <c r="AD203" s="169"/>
      <c r="AE203" s="169"/>
      <c r="AF203" s="169"/>
      <c r="AG203" s="169"/>
      <c r="AH203" s="170"/>
      <c r="AI203" s="169"/>
      <c r="AJ203" s="169"/>
      <c r="AK203" s="169"/>
      <c r="AL203" s="169"/>
      <c r="AM203" s="169"/>
      <c r="AN203" s="169"/>
      <c r="AO203" s="169"/>
      <c r="AP203" s="170"/>
      <c r="AR203" s="453">
        <f ca="1">IF(AND($D203="Serviço",AR$12&lt;&gt;0,$H203&gt;0,OR(AUTOEVENTO&lt;&gt;"manual",$M203&lt;&gt;$A$15)),
        IF(Import.TipoArredondamento&lt;&gt;"TransfereGOV",
              ROUND(OFFSET($P203,0,AR$13),15-13*ORÇAMENTO!$AF$7)/$H203*OFFSET(ORÇAMENTO!$X$15,ROW(AR203)-ROW(AR$15),0),
              ROUND(ROUND(OFFSET($P203,0,AR$13),15-13*ORÇAMENTO!$AF$7)*OFFSET(ORÇAMENTO!$W$15,ROW(AR203)-ROW(AR$15),0),15-13*ORÇAMENTO!$AF$11)),
         0)</f>
        <v>0</v>
      </c>
      <c r="AS203" s="453">
        <f ca="1">IF(AND($D203="Serviço",AS$12&lt;&gt;0,$H203&gt;0,OR(AUTOEVENTO&lt;&gt;"manual",$M203&lt;&gt;$A$15)),
        IF(Import.TipoArredondamento&lt;&gt;"TransfereGOV",
              ROUND(OFFSET($P203,0,AS$13),15-13*ORÇAMENTO!$AF$7)/$H203*OFFSET(ORÇAMENTO!$X$15,ROW(AS203)-ROW(AS$15),0),
              ROUND(ROUND(OFFSET($P203,0,AS$13),15-13*ORÇAMENTO!$AF$7)*OFFSET(ORÇAMENTO!$W$15,ROW(AS203)-ROW(AS$15),0),15-13*ORÇAMENTO!$AF$11)),
         0)</f>
        <v>0</v>
      </c>
      <c r="AT203" s="453">
        <f ca="1">IF(AND($D203="Serviço",AT$12&lt;&gt;0,$H203&gt;0,OR(AUTOEVENTO&lt;&gt;"manual",$M203&lt;&gt;$A$15)),
        IF(Import.TipoArredondamento&lt;&gt;"TransfereGOV",
              ROUND(OFFSET($P203,0,AT$13),15-13*ORÇAMENTO!$AF$7)/$H203*OFFSET(ORÇAMENTO!$X$15,ROW(AT203)-ROW(AT$15),0),
              ROUND(ROUND(OFFSET($P203,0,AT$13),15-13*ORÇAMENTO!$AF$7)*OFFSET(ORÇAMENTO!$W$15,ROW(AT203)-ROW(AT$15),0),15-13*ORÇAMENTO!$AF$11)),
         0)</f>
        <v>0</v>
      </c>
      <c r="AU203" s="453">
        <f ca="1">IF(AND($D203="Serviço",AU$12&lt;&gt;0,$H203&gt;0,OR(AUTOEVENTO&lt;&gt;"manual",$M203&lt;&gt;$A$15)),
        IF(Import.TipoArredondamento&lt;&gt;"TransfereGOV",
              ROUND(OFFSET($P203,0,AU$13),15-13*ORÇAMENTO!$AF$7)/$H203*OFFSET(ORÇAMENTO!$X$15,ROW(AU203)-ROW(AU$15),0),
              ROUND(ROUND(OFFSET($P203,0,AU$13),15-13*ORÇAMENTO!$AF$7)*OFFSET(ORÇAMENTO!$W$15,ROW(AU203)-ROW(AU$15),0),15-13*ORÇAMENTO!$AF$11)),
         0)</f>
        <v>0</v>
      </c>
      <c r="AV203" s="453">
        <f ca="1">IF(AND($D203="Serviço",AV$12&lt;&gt;0,$H203&gt;0,OR(AUTOEVENTO&lt;&gt;"manual",$M203&lt;&gt;$A$15)),
        IF(Import.TipoArredondamento&lt;&gt;"TransfereGOV",
              ROUND(OFFSET($P203,0,AV$13),15-13*ORÇAMENTO!$AF$7)/$H203*OFFSET(ORÇAMENTO!$X$15,ROW(AV203)-ROW(AV$15),0),
              ROUND(ROUND(OFFSET($P203,0,AV$13),15-13*ORÇAMENTO!$AF$7)*OFFSET(ORÇAMENTO!$W$15,ROW(AV203)-ROW(AV$15),0),15-13*ORÇAMENTO!$AF$11)),
         0)</f>
        <v>0</v>
      </c>
      <c r="AW203" s="453">
        <f ca="1">IF(AND($D203="Serviço",AW$12&lt;&gt;0,$H203&gt;0,OR(AUTOEVENTO&lt;&gt;"manual",$M203&lt;&gt;$A$15)),
        IF(Import.TipoArredondamento&lt;&gt;"TransfereGOV",
              ROUND(OFFSET($P203,0,AW$13),15-13*ORÇAMENTO!$AF$7)/$H203*OFFSET(ORÇAMENTO!$X$15,ROW(AW203)-ROW(AW$15),0),
              ROUND(ROUND(OFFSET($P203,0,AW$13),15-13*ORÇAMENTO!$AF$7)*OFFSET(ORÇAMENTO!$W$15,ROW(AW203)-ROW(AW$15),0),15-13*ORÇAMENTO!$AF$11)),
         0)</f>
        <v>0</v>
      </c>
      <c r="AX203" s="453">
        <f ca="1">IF(AND($D203="Serviço",AX$12&lt;&gt;0,$H203&gt;0,OR(AUTOEVENTO&lt;&gt;"manual",$M203&lt;&gt;$A$15)),
        IF(Import.TipoArredondamento&lt;&gt;"TransfereGOV",
              ROUND(OFFSET($P203,0,AX$13),15-13*ORÇAMENTO!$AF$7)/$H203*OFFSET(ORÇAMENTO!$X$15,ROW(AX203)-ROW(AX$15),0),
              ROUND(ROUND(OFFSET($P203,0,AX$13),15-13*ORÇAMENTO!$AF$7)*OFFSET(ORÇAMENTO!$W$15,ROW(AX203)-ROW(AX$15),0),15-13*ORÇAMENTO!$AF$11)),
         0)</f>
        <v>0</v>
      </c>
      <c r="AY203" s="453">
        <f ca="1">IF(AND($D203="Serviço",AY$12&lt;&gt;0,$H203&gt;0,OR(AUTOEVENTO&lt;&gt;"manual",$M203&lt;&gt;$A$15)),
        IF(Import.TipoArredondamento&lt;&gt;"TransfereGOV",
              ROUND(OFFSET($P203,0,AY$13),15-13*ORÇAMENTO!$AF$7)/$H203*OFFSET(ORÇAMENTO!$X$15,ROW(AY203)-ROW(AY$15),0),
              ROUND(ROUND(OFFSET($P203,0,AY$13),15-13*ORÇAMENTO!$AF$7)*OFFSET(ORÇAMENTO!$W$15,ROW(AY203)-ROW(AY$15),0),15-13*ORÇAMENTO!$AF$11)),
         0)</f>
        <v>0</v>
      </c>
      <c r="AZ203" s="453">
        <f ca="1">IF(AND($D203="Serviço",AZ$12&lt;&gt;0,$H203&gt;0,OR(AUTOEVENTO&lt;&gt;"manual",$M203&lt;&gt;$A$15)),
        IF(Import.TipoArredondamento&lt;&gt;"TransfereGOV",
              ROUND(OFFSET($P203,0,AZ$13),15-13*ORÇAMENTO!$AF$7)/$H203*OFFSET(ORÇAMENTO!$X$15,ROW(AZ203)-ROW(AZ$15),0),
              ROUND(ROUND(OFFSET($P203,0,AZ$13),15-13*ORÇAMENTO!$AF$7)*OFFSET(ORÇAMENTO!$W$15,ROW(AZ203)-ROW(AZ$15),0),15-13*ORÇAMENTO!$AF$11)),
         0)</f>
        <v>0</v>
      </c>
      <c r="BA203" s="453">
        <f ca="1">IF(AND($D203="Serviço",BA$12&lt;&gt;0,$H203&gt;0,OR(AUTOEVENTO&lt;&gt;"manual",$M203&lt;&gt;$A$15)),
        IF(Import.TipoArredondamento&lt;&gt;"TransfereGOV",
              ROUND(OFFSET($P203,0,BA$13),15-13*ORÇAMENTO!$AF$7)/$H203*OFFSET(ORÇAMENTO!$X$15,ROW(BA203)-ROW(BA$15),0),
              ROUND(ROUND(OFFSET($P203,0,BA$13),15-13*ORÇAMENTO!$AF$7)*OFFSET(ORÇAMENTO!$W$15,ROW(BA203)-ROW(BA$15),0),15-13*ORÇAMENTO!$AF$11)),
         0)</f>
        <v>0</v>
      </c>
      <c r="BB203" s="453">
        <f ca="1">IF(AND($D203="Serviço",BB$12&lt;&gt;0,$H203&gt;0,OR(AUTOEVENTO&lt;&gt;"manual",$M203&lt;&gt;$A$15)),
        IF(Import.TipoArredondamento&lt;&gt;"TransfereGOV",
              ROUND(OFFSET($P203,0,BB$13),15-13*ORÇAMENTO!$AF$7)/$H203*OFFSET(ORÇAMENTO!$X$15,ROW(BB203)-ROW(BB$15),0),
              ROUND(ROUND(OFFSET($P203,0,BB$13),15-13*ORÇAMENTO!$AF$7)*OFFSET(ORÇAMENTO!$W$15,ROW(BB203)-ROW(BB$15),0),15-13*ORÇAMENTO!$AF$11)),
         0)</f>
        <v>0</v>
      </c>
      <c r="BC203" s="453">
        <f ca="1">IF(AND($D203="Serviço",BC$12&lt;&gt;0,$H203&gt;0,OR(AUTOEVENTO&lt;&gt;"manual",$M203&lt;&gt;$A$15)),
        IF(Import.TipoArredondamento&lt;&gt;"TransfereGOV",
              ROUND(OFFSET($P203,0,BC$13),15-13*ORÇAMENTO!$AF$7)/$H203*OFFSET(ORÇAMENTO!$X$15,ROW(BC203)-ROW(BC$15),0),
              ROUND(ROUND(OFFSET($P203,0,BC$13),15-13*ORÇAMENTO!$AF$7)*OFFSET(ORÇAMENTO!$W$15,ROW(BC203)-ROW(BC$15),0),15-13*ORÇAMENTO!$AF$11)),
         0)</f>
        <v>0</v>
      </c>
      <c r="BD203" s="453">
        <f ca="1">IF(AND($D203="Serviço",BD$12&lt;&gt;0,$H203&gt;0,OR(AUTOEVENTO&lt;&gt;"manual",$M203&lt;&gt;$A$15)),
        IF(Import.TipoArredondamento&lt;&gt;"TransfereGOV",
              ROUND(OFFSET($P203,0,BD$13),15-13*ORÇAMENTO!$AF$7)/$H203*OFFSET(ORÇAMENTO!$X$15,ROW(BD203)-ROW(BD$15),0),
              ROUND(ROUND(OFFSET($P203,0,BD$13),15-13*ORÇAMENTO!$AF$7)*OFFSET(ORÇAMENTO!$W$15,ROW(BD203)-ROW(BD$15),0),15-13*ORÇAMENTO!$AF$11)),
         0)</f>
        <v>0</v>
      </c>
      <c r="BE203" s="453">
        <f ca="1">IF(AND($D203="Serviço",BE$12&lt;&gt;0,$H203&gt;0,OR(AUTOEVENTO&lt;&gt;"manual",$M203&lt;&gt;$A$15)),
        IF(Import.TipoArredondamento&lt;&gt;"TransfereGOV",
              ROUND(OFFSET($P203,0,BE$13),15-13*ORÇAMENTO!$AF$7)/$H203*OFFSET(ORÇAMENTO!$X$15,ROW(BE203)-ROW(BE$15),0),
              ROUND(ROUND(OFFSET($P203,0,BE$13),15-13*ORÇAMENTO!$AF$7)*OFFSET(ORÇAMENTO!$W$15,ROW(BE203)-ROW(BE$15),0),15-13*ORÇAMENTO!$AF$11)),
         0)</f>
        <v>0</v>
      </c>
      <c r="BF203" s="453">
        <f ca="1">IF(AND($D203="Serviço",BF$12&lt;&gt;0,$H203&gt;0,OR(AUTOEVENTO&lt;&gt;"manual",$M203&lt;&gt;$A$15)),
        IF(Import.TipoArredondamento&lt;&gt;"TransfereGOV",
              ROUND(OFFSET($P203,0,BF$13),15-13*ORÇAMENTO!$AF$7)/$H203*OFFSET(ORÇAMENTO!$X$15,ROW(BF203)-ROW(BF$15),0),
              ROUND(ROUND(OFFSET($P203,0,BF$13),15-13*ORÇAMENTO!$AF$7)*OFFSET(ORÇAMENTO!$W$15,ROW(BF203)-ROW(BF$15),0),15-13*ORÇAMENTO!$AF$11)),
         0)</f>
        <v>0</v>
      </c>
      <c r="BG203" s="453">
        <f ca="1">IF(AND($D203="Serviço",BG$12&lt;&gt;0,$H203&gt;0,OR(AUTOEVENTO&lt;&gt;"manual",$M203&lt;&gt;$A$15)),
        IF(Import.TipoArredondamento&lt;&gt;"TransfereGOV",
              ROUND(OFFSET($P203,0,BG$13),15-13*ORÇAMENTO!$AF$7)/$H203*OFFSET(ORÇAMENTO!$X$15,ROW(BG203)-ROW(BG$15),0),
              ROUND(ROUND(OFFSET($P203,0,BG$13),15-13*ORÇAMENTO!$AF$7)*OFFSET(ORÇAMENTO!$W$15,ROW(BG203)-ROW(BG$15),0),15-13*ORÇAMENTO!$AF$11)),
         0)</f>
        <v>0</v>
      </c>
      <c r="BH203" s="453">
        <f ca="1">IF(AND($D203="Serviço",BH$12&lt;&gt;0,$H203&gt;0,OR(AUTOEVENTO&lt;&gt;"manual",$M203&lt;&gt;$A$15)),
        IF(Import.TipoArredondamento&lt;&gt;"TransfereGOV",
              ROUND(OFFSET($P203,0,BH$13),15-13*ORÇAMENTO!$AF$7)/$H203*OFFSET(ORÇAMENTO!$X$15,ROW(BH203)-ROW(BH$15),0),
              ROUND(ROUND(OFFSET($P203,0,BH$13),15-13*ORÇAMENTO!$AF$7)*OFFSET(ORÇAMENTO!$W$15,ROW(BH203)-ROW(BH$15),0),15-13*ORÇAMENTO!$AF$11)),
         0)</f>
        <v>0</v>
      </c>
      <c r="BI203" s="453">
        <f ca="1">IF(AND($D203="Serviço",BI$12&lt;&gt;0,$H203&gt;0,OR(AUTOEVENTO&lt;&gt;"manual",$M203&lt;&gt;$A$15)),
        IF(Import.TipoArredondamento&lt;&gt;"TransfereGOV",
              ROUND(OFFSET($P203,0,BI$13),15-13*ORÇAMENTO!$AF$7)/$H203*OFFSET(ORÇAMENTO!$X$15,ROW(BI203)-ROW(BI$15),0),
              ROUND(ROUND(OFFSET($P203,0,BI$13),15-13*ORÇAMENTO!$AF$7)*OFFSET(ORÇAMENTO!$W$15,ROW(BI203)-ROW(BI$15),0),15-13*ORÇAMENTO!$AF$11)),
         0)</f>
        <v>0</v>
      </c>
      <c r="BJ203" s="453">
        <f ca="1">IF(AND($D203="Serviço",BJ$12&lt;&gt;0,$H203&gt;0,OR(AUTOEVENTO&lt;&gt;"manual",$M203&lt;&gt;$A$15)),
        IF(Import.TipoArredondamento&lt;&gt;"TransfereGOV",
              ROUND(OFFSET($P203,0,BJ$13),15-13*ORÇAMENTO!$AF$7)/$H203*OFFSET(ORÇAMENTO!$X$15,ROW(BJ203)-ROW(BJ$15),0),
              ROUND(ROUND(OFFSET($P203,0,BJ$13),15-13*ORÇAMENTO!$AF$7)*OFFSET(ORÇAMENTO!$W$15,ROW(BJ203)-ROW(BJ$15),0),15-13*ORÇAMENTO!$AF$11)),
         0)</f>
        <v>0</v>
      </c>
      <c r="BK203" s="453">
        <f ca="1">IF(AND($D203="Serviço",BK$12&lt;&gt;0,$H203&gt;0,OR(AUTOEVENTO&lt;&gt;"manual",$M203&lt;&gt;$A$15)),
        IF(Import.TipoArredondamento&lt;&gt;"TransfereGOV",
              ROUND(OFFSET($P203,0,BK$13),15-13*ORÇAMENTO!$AF$7)/$H203*OFFSET(ORÇAMENTO!$X$15,ROW(BK203)-ROW(BK$15),0),
              ROUND(ROUND(OFFSET($P203,0,BK$13),15-13*ORÇAMENTO!$AF$7)*OFFSET(ORÇAMENTO!$W$15,ROW(BK203)-ROW(BK$15),0),15-13*ORÇAMENTO!$AF$11)),
         0)</f>
        <v>0</v>
      </c>
      <c r="BL203" s="453">
        <f ca="1">IF(AND($D203="Serviço",BL$12&lt;&gt;0,$H203&gt;0,OR(AUTOEVENTO&lt;&gt;"manual",$M203&lt;&gt;$A$15)),
        IF(Import.TipoArredondamento&lt;&gt;"TransfereGOV",
              ROUND(OFFSET($P203,0,BL$13),15-13*ORÇAMENTO!$AF$7)/$H203*OFFSET(ORÇAMENTO!$X$15,ROW(BL203)-ROW(BL$15),0),
              ROUND(ROUND(OFFSET($P203,0,BL$13),15-13*ORÇAMENTO!$AF$7)*OFFSET(ORÇAMENTO!$W$15,ROW(BL203)-ROW(BL$15),0),15-13*ORÇAMENTO!$AF$11)),
         0)</f>
        <v>0</v>
      </c>
      <c r="BM203" s="453">
        <f ca="1">IF(AND($D203="Serviço",BM$12&lt;&gt;0,$H203&gt;0,OR(AUTOEVENTO&lt;&gt;"manual",$M203&lt;&gt;$A$15)),
        IF(Import.TipoArredondamento&lt;&gt;"TransfereGOV",
              ROUND(OFFSET($P203,0,BM$13),15-13*ORÇAMENTO!$AF$7)/$H203*OFFSET(ORÇAMENTO!$X$15,ROW(BM203)-ROW(BM$15),0),
              ROUND(ROUND(OFFSET($P203,0,BM$13),15-13*ORÇAMENTO!$AF$7)*OFFSET(ORÇAMENTO!$W$15,ROW(BM203)-ROW(BM$15),0),15-13*ORÇAMENTO!$AF$11)),
         0)</f>
        <v>0</v>
      </c>
      <c r="BN203" s="453">
        <f ca="1">IF(AND($D203="Serviço",BN$12&lt;&gt;0,$H203&gt;0,OR(AUTOEVENTO&lt;&gt;"manual",$M203&lt;&gt;$A$15)),
        IF(Import.TipoArredondamento&lt;&gt;"TransfereGOV",
              ROUND(OFFSET($P203,0,BN$13),15-13*ORÇAMENTO!$AF$7)/$H203*OFFSET(ORÇAMENTO!$X$15,ROW(BN203)-ROW(BN$15),0),
              ROUND(ROUND(OFFSET($P203,0,BN$13),15-13*ORÇAMENTO!$AF$7)*OFFSET(ORÇAMENTO!$W$15,ROW(BN203)-ROW(BN$15),0),15-13*ORÇAMENTO!$AF$11)),
         0)</f>
        <v>0</v>
      </c>
      <c r="BO203" s="453">
        <f ca="1">IF(AND($D203="Serviço",BO$12&lt;&gt;0,$H203&gt;0,OR(AUTOEVENTO&lt;&gt;"manual",$M203&lt;&gt;$A$15)),
        IF(Import.TipoArredondamento&lt;&gt;"TransfereGOV",
              ROUND(OFFSET($P203,0,BO$13),15-13*ORÇAMENTO!$AF$7)/$H203*OFFSET(ORÇAMENTO!$X$15,ROW(BO203)-ROW(BO$15),0),
              ROUND(ROUND(OFFSET($P203,0,BO$13),15-13*ORÇAMENTO!$AF$7)*OFFSET(ORÇAMENTO!$W$15,ROW(BO203)-ROW(BO$15),0),15-13*ORÇAMENTO!$AF$11)),
         0)</f>
        <v>0</v>
      </c>
      <c r="BP203" s="453">
        <f ca="1">IF(AND($D203="Serviço",BP$12&lt;&gt;0,$H203&gt;0,OR(AUTOEVENTO&lt;&gt;"manual",$M203&lt;&gt;$A$15)),
        IF(Import.TipoArredondamento&lt;&gt;"TransfereGOV",
              ROUND(OFFSET($P203,0,BP$13),15-13*ORÇAMENTO!$AF$7)/$H203*OFFSET(ORÇAMENTO!$X$15,ROW(BP203)-ROW(BP$15),0),
              ROUND(ROUND(OFFSET($P203,0,BP$13),15-13*ORÇAMENTO!$AF$7)*OFFSET(ORÇAMENTO!$W$15,ROW(BP203)-ROW(BP$15),0),15-13*ORÇAMENTO!$AF$11)),
         0)</f>
        <v>0</v>
      </c>
      <c r="BQ203" s="453">
        <f ca="1">IF(AND($D203="Serviço",BQ$12&lt;&gt;0,$H203&gt;0,OR(AUTOEVENTO&lt;&gt;"manual",$M203&lt;&gt;$A$15)),
        IF(Import.TipoArredondamento&lt;&gt;"TransfereGOV",
              ROUND(OFFSET($P203,0,BQ$13),15-13*ORÇAMENTO!$AF$7)/$H203*OFFSET(ORÇAMENTO!$X$15,ROW(BQ203)-ROW(BQ$15),0),
              ROUND(ROUND(OFFSET($P203,0,BQ$13),15-13*ORÇAMENTO!$AF$7)*OFFSET(ORÇAMENTO!$W$15,ROW(BQ203)-ROW(BQ$15),0),15-13*ORÇAMENTO!$AF$11)),
         0)</f>
        <v>0</v>
      </c>
      <c r="BS203" s="171">
        <f ca="1">IF(OR($D203&lt;&gt;"Serviço",AND(AUTOEVENTO="Manual",$M203=$A$15)),0,
         IF(OFFSET(CRONOPLE!$F$15,$M203-$A$15,BS$13)=0,10^12,OFFSET(CRONOPLE!$F$15,$M203-$A$15,BS$13)))</f>
        <v>0</v>
      </c>
      <c r="BT203" s="171">
        <f ca="1">IF(OR($D203&lt;&gt;"Serviço",AND(AUTOEVENTO="Manual",$M203=$A$15)),0,
         IF(OFFSET(CRONOPLE!$F$15,$M203-$A$15,BT$13)=0,10^12,OFFSET(CRONOPLE!$F$15,$M203-$A$15,BT$13)))</f>
        <v>0</v>
      </c>
      <c r="BU203" s="171">
        <f ca="1">IF(OR($D203&lt;&gt;"Serviço",AND(AUTOEVENTO="Manual",$M203=$A$15)),0,
         IF(OFFSET(CRONOPLE!$F$15,$M203-$A$15,BU$13)=0,10^12,OFFSET(CRONOPLE!$F$15,$M203-$A$15,BU$13)))</f>
        <v>0</v>
      </c>
      <c r="BV203" s="171">
        <f ca="1">IF(OR($D203&lt;&gt;"Serviço",AND(AUTOEVENTO="Manual",$M203=$A$15)),0,
         IF(OFFSET(CRONOPLE!$F$15,$M203-$A$15,BV$13)=0,10^12,OFFSET(CRONOPLE!$F$15,$M203-$A$15,BV$13)))</f>
        <v>0</v>
      </c>
      <c r="BW203" s="171">
        <f ca="1">IF(OR($D203&lt;&gt;"Serviço",AND(AUTOEVENTO="Manual",$M203=$A$15)),0,
         IF(OFFSET(CRONOPLE!$F$15,$M203-$A$15,BW$13)=0,10^12,OFFSET(CRONOPLE!$F$15,$M203-$A$15,BW$13)))</f>
        <v>0</v>
      </c>
      <c r="BX203" s="171">
        <f ca="1">IF(OR($D203&lt;&gt;"Serviço",AND(AUTOEVENTO="Manual",$M203=$A$15)),0,
         IF(OFFSET(CRONOPLE!$F$15,$M203-$A$15,BX$13)=0,10^12,OFFSET(CRONOPLE!$F$15,$M203-$A$15,BX$13)))</f>
        <v>0</v>
      </c>
      <c r="BY203" s="171">
        <f ca="1">IF(OR($D203&lt;&gt;"Serviço",AND(AUTOEVENTO="Manual",$M203=$A$15)),0,
         IF(OFFSET(CRONOPLE!$F$15,$M203-$A$15,BY$13)=0,10^12,OFFSET(CRONOPLE!$F$15,$M203-$A$15,BY$13)))</f>
        <v>0</v>
      </c>
      <c r="BZ203" s="171">
        <f ca="1">IF(OR($D203&lt;&gt;"Serviço",AND(AUTOEVENTO="Manual",$M203=$A$15)),0,
         IF(OFFSET(CRONOPLE!$F$15,$M203-$A$15,BZ$13)=0,10^12,OFFSET(CRONOPLE!$F$15,$M203-$A$15,BZ$13)))</f>
        <v>0</v>
      </c>
      <c r="CA203" s="171">
        <f ca="1">IF(OR($D203&lt;&gt;"Serviço",AND(AUTOEVENTO="Manual",$M203=$A$15)),0,
         IF(OFFSET(CRONOPLE!$F$15,$M203-$A$15,CA$13)=0,10^12,OFFSET(CRONOPLE!$F$15,$M203-$A$15,CA$13)))</f>
        <v>0</v>
      </c>
      <c r="CB203" s="171">
        <f ca="1">IF(OR($D203&lt;&gt;"Serviço",AND(AUTOEVENTO="Manual",$M203=$A$15)),0,
         IF(OFFSET(CRONOPLE!$F$15,$M203-$A$15,CB$13)=0,10^12,OFFSET(CRONOPLE!$F$15,$M203-$A$15,CB$13)))</f>
        <v>0</v>
      </c>
      <c r="CC203" s="171">
        <f ca="1">IF(OR($D203&lt;&gt;"Serviço",AND(AUTOEVENTO="Manual",$M203=$A$15)),0,
         IF(OFFSET(CRONOPLE!$F$15,$M203-$A$15,CC$13)=0,10^12,OFFSET(CRONOPLE!$F$15,$M203-$A$15,CC$13)))</f>
        <v>0</v>
      </c>
      <c r="CD203" s="171">
        <f ca="1">IF(OR($D203&lt;&gt;"Serviço",AND(AUTOEVENTO="Manual",$M203=$A$15)),0,
         IF(OFFSET(CRONOPLE!$F$15,$M203-$A$15,CD$13)=0,10^12,OFFSET(CRONOPLE!$F$15,$M203-$A$15,CD$13)))</f>
        <v>0</v>
      </c>
      <c r="CE203" s="171">
        <f ca="1">IF(OR($D203&lt;&gt;"Serviço",AND(AUTOEVENTO="Manual",$M203=$A$15)),0,
         IF(OFFSET(CRONOPLE!$F$15,$M203-$A$15,CE$13)=0,10^12,OFFSET(CRONOPLE!$F$15,$M203-$A$15,CE$13)))</f>
        <v>0</v>
      </c>
      <c r="CF203" s="171">
        <f ca="1">IF(OR($D203&lt;&gt;"Serviço",AND(AUTOEVENTO="Manual",$M203=$A$15)),0,
         IF(OFFSET(CRONOPLE!$F$15,$M203-$A$15,CF$13)=0,10^12,OFFSET(CRONOPLE!$F$15,$M203-$A$15,CF$13)))</f>
        <v>0</v>
      </c>
      <c r="CG203" s="171">
        <f ca="1">IF(OR($D203&lt;&gt;"Serviço",AND(AUTOEVENTO="Manual",$M203=$A$15)),0,
         IF(OFFSET(CRONOPLE!$F$15,$M203-$A$15,CG$13)=0,10^12,OFFSET(CRONOPLE!$F$15,$M203-$A$15,CG$13)))</f>
        <v>0</v>
      </c>
      <c r="CH203" s="171">
        <f ca="1">IF(OR($D203&lt;&gt;"Serviço",AND(AUTOEVENTO="Manual",$M203=$A$15)),0,
         IF(OFFSET(CRONOPLE!$F$15,$M203-$A$15,CH$13)=0,10^12,OFFSET(CRONOPLE!$F$15,$M203-$A$15,CH$13)))</f>
        <v>0</v>
      </c>
      <c r="CI203" s="171">
        <f ca="1">IF(OR($D203&lt;&gt;"Serviço",AND(AUTOEVENTO="Manual",$M203=$A$15)),0,
         IF(OFFSET(CRONOPLE!$F$15,$M203-$A$15,CI$13)=0,10^12,OFFSET(CRONOPLE!$F$15,$M203-$A$15,CI$13)))</f>
        <v>0</v>
      </c>
      <c r="CJ203" s="171">
        <f ca="1">IF(OR($D203&lt;&gt;"Serviço",AND(AUTOEVENTO="Manual",$M203=$A$15)),0,
         IF(OFFSET(CRONOPLE!$F$15,$M203-$A$15,CJ$13)=0,10^12,OFFSET(CRONOPLE!$F$15,$M203-$A$15,CJ$13)))</f>
        <v>0</v>
      </c>
      <c r="CK203" s="171">
        <f ca="1">IF(OR($D203&lt;&gt;"Serviço",AND(AUTOEVENTO="Manual",$M203=$A$15)),0,
         IF(OFFSET(CRONOPLE!$F$15,$M203-$A$15,CK$13)=0,10^12,OFFSET(CRONOPLE!$F$15,$M203-$A$15,CK$13)))</f>
        <v>0</v>
      </c>
      <c r="CL203" s="171">
        <f ca="1">IF(OR($D203&lt;&gt;"Serviço",AND(AUTOEVENTO="Manual",$M203=$A$15)),0,
         IF(OFFSET(CRONOPLE!$F$15,$M203-$A$15,CL$13)=0,10^12,OFFSET(CRONOPLE!$F$15,$M203-$A$15,CL$13)))</f>
        <v>0</v>
      </c>
      <c r="CM203" s="171">
        <f ca="1">IF(OR($D203&lt;&gt;"Serviço",AND(AUTOEVENTO="Manual",$M203=$A$15)),0,
         IF(OFFSET(CRONOPLE!$F$15,$M203-$A$15,CM$13)=0,10^12,OFFSET(CRONOPLE!$F$15,$M203-$A$15,CM$13)))</f>
        <v>0</v>
      </c>
      <c r="CN203" s="171">
        <f ca="1">IF(OR($D203&lt;&gt;"Serviço",AND(AUTOEVENTO="Manual",$M203=$A$15)),0,
         IF(OFFSET(CRONOPLE!$F$15,$M203-$A$15,CN$13)=0,10^12,OFFSET(CRONOPLE!$F$15,$M203-$A$15,CN$13)))</f>
        <v>0</v>
      </c>
      <c r="CO203" s="171">
        <f ca="1">IF(OR($D203&lt;&gt;"Serviço",AND(AUTOEVENTO="Manual",$M203=$A$15)),0,
         IF(OFFSET(CRONOPLE!$F$15,$M203-$A$15,CO$13)=0,10^12,OFFSET(CRONOPLE!$F$15,$M203-$A$15,CO$13)))</f>
        <v>0</v>
      </c>
      <c r="CP203" s="171">
        <f ca="1">IF(OR($D203&lt;&gt;"Serviço",AND(AUTOEVENTO="Manual",$M203=$A$15)),0,
         IF(OFFSET(CRONOPLE!$F$15,$M203-$A$15,CP$13)=0,10^12,OFFSET(CRONOPLE!$F$15,$M203-$A$15,CP$13)))</f>
        <v>0</v>
      </c>
      <c r="CQ203" s="171">
        <f ca="1">IF(OR($D203&lt;&gt;"Serviço",AND(AUTOEVENTO="Manual",$M203=$A$15)),0,
         IF(OFFSET(CRONOPLE!$F$15,$M203-$A$15,CQ$13)=0,10^12,OFFSET(CRONOPLE!$F$15,$M203-$A$15,CQ$13)))</f>
        <v>0</v>
      </c>
      <c r="CR203" s="171">
        <f ca="1">IF(OR($D203&lt;&gt;"Serviço",AND(AUTOEVENTO="Manual",$M203=$A$15)),0,
         IF(OFFSET(CRONOPLE!$F$15,$M203-$A$15,CR$13)=0,10^12,OFFSET(CRONOPLE!$F$15,$M203-$A$15,CR$13)))</f>
        <v>0</v>
      </c>
      <c r="CT203" s="172" cm="1">
        <f t="array" aca="1" ref="CT203" ca="1">IF(OR($D203&lt;&gt;"Serviço",AND(AUTOEVENTO="Manual",$M203=$A$15),$M203&gt;(ROW(PLE.lastrow)-ROW(PLE.firstrow))),0,
           IF(OFFSET(PLE!$G$15,$M203-$A$15,CT$13)="",10^12,OFFSET(PLE!$G$15,$M203-$A$15,CT$13)))</f>
        <v>0</v>
      </c>
      <c r="CU203" s="172" cm="1">
        <f t="array" aca="1" ref="CU203" ca="1">IF(OR($D203&lt;&gt;"Serviço",AND(AUTOEVENTO="Manual",$M203=$A$15),$M203&gt;(ROW(PLE.lastrow)-ROW(PLE.firstrow))),0,
           IF(OFFSET(PLE!$G$15,$M203-$A$15,CU$13)="",10^12,OFFSET(PLE!$G$15,$M203-$A$15,CU$13)))</f>
        <v>0</v>
      </c>
      <c r="CV203" s="172" cm="1">
        <f t="array" aca="1" ref="CV203" ca="1">IF(OR($D203&lt;&gt;"Serviço",AND(AUTOEVENTO="Manual",$M203=$A$15),$M203&gt;(ROW(PLE.lastrow)-ROW(PLE.firstrow))),0,
           IF(OFFSET(PLE!$G$15,$M203-$A$15,CV$13)="",10^12,OFFSET(PLE!$G$15,$M203-$A$15,CV$13)))</f>
        <v>0</v>
      </c>
      <c r="CW203" s="172" cm="1">
        <f t="array" aca="1" ref="CW203" ca="1">IF(OR($D203&lt;&gt;"Serviço",AND(AUTOEVENTO="Manual",$M203=$A$15),$M203&gt;(ROW(PLE.lastrow)-ROW(PLE.firstrow))),0,
           IF(OFFSET(PLE!$G$15,$M203-$A$15,CW$13)="",10^12,OFFSET(PLE!$G$15,$M203-$A$15,CW$13)))</f>
        <v>0</v>
      </c>
      <c r="CX203" s="172" cm="1">
        <f t="array" aca="1" ref="CX203" ca="1">IF(OR($D203&lt;&gt;"Serviço",AND(AUTOEVENTO="Manual",$M203=$A$15),$M203&gt;(ROW(PLE.lastrow)-ROW(PLE.firstrow))),0,
           IF(OFFSET(PLE!$G$15,$M203-$A$15,CX$13)="",10^12,OFFSET(PLE!$G$15,$M203-$A$15,CX$13)))</f>
        <v>0</v>
      </c>
      <c r="CY203" s="172" cm="1">
        <f t="array" aca="1" ref="CY203" ca="1">IF(OR($D203&lt;&gt;"Serviço",AND(AUTOEVENTO="Manual",$M203=$A$15),$M203&gt;(ROW(PLE.lastrow)-ROW(PLE.firstrow))),0,
           IF(OFFSET(PLE!$G$15,$M203-$A$15,CY$13)="",10^12,OFFSET(PLE!$G$15,$M203-$A$15,CY$13)))</f>
        <v>0</v>
      </c>
      <c r="CZ203" s="172" cm="1">
        <f t="array" aca="1" ref="CZ203" ca="1">IF(OR($D203&lt;&gt;"Serviço",AND(AUTOEVENTO="Manual",$M203=$A$15),$M203&gt;(ROW(PLE.lastrow)-ROW(PLE.firstrow))),0,
           IF(OFFSET(PLE!$G$15,$M203-$A$15,CZ$13)="",10^12,OFFSET(PLE!$G$15,$M203-$A$15,CZ$13)))</f>
        <v>0</v>
      </c>
      <c r="DA203" s="172" cm="1">
        <f t="array" aca="1" ref="DA203" ca="1">IF(OR($D203&lt;&gt;"Serviço",AND(AUTOEVENTO="Manual",$M203=$A$15),$M203&gt;(ROW(PLE.lastrow)-ROW(PLE.firstrow))),0,
           IF(OFFSET(PLE!$G$15,$M203-$A$15,DA$13)="",10^12,OFFSET(PLE!$G$15,$M203-$A$15,DA$13)))</f>
        <v>0</v>
      </c>
      <c r="DB203" s="172" cm="1">
        <f t="array" aca="1" ref="DB203" ca="1">IF(OR($D203&lt;&gt;"Serviço",AND(AUTOEVENTO="Manual",$M203=$A$15),$M203&gt;(ROW(PLE.lastrow)-ROW(PLE.firstrow))),0,
           IF(OFFSET(PLE!$G$15,$M203-$A$15,DB$13)="",10^12,OFFSET(PLE!$G$15,$M203-$A$15,DB$13)))</f>
        <v>0</v>
      </c>
      <c r="DC203" s="172" cm="1">
        <f t="array" aca="1" ref="DC203" ca="1">IF(OR($D203&lt;&gt;"Serviço",AND(AUTOEVENTO="Manual",$M203=$A$15),$M203&gt;(ROW(PLE.lastrow)-ROW(PLE.firstrow))),0,
           IF(OFFSET(PLE!$G$15,$M203-$A$15,DC$13)="",10^12,OFFSET(PLE!$G$15,$M203-$A$15,DC$13)))</f>
        <v>0</v>
      </c>
      <c r="DD203" s="172" cm="1">
        <f t="array" aca="1" ref="DD203" ca="1">IF(OR($D203&lt;&gt;"Serviço",AND(AUTOEVENTO="Manual",$M203=$A$15),$M203&gt;(ROW(PLE.lastrow)-ROW(PLE.firstrow))),0,
           IF(OFFSET(PLE!$G$15,$M203-$A$15,DD$13)="",10^12,OFFSET(PLE!$G$15,$M203-$A$15,DD$13)))</f>
        <v>0</v>
      </c>
      <c r="DE203" s="172" cm="1">
        <f t="array" aca="1" ref="DE203" ca="1">IF(OR($D203&lt;&gt;"Serviço",AND(AUTOEVENTO="Manual",$M203=$A$15),$M203&gt;(ROW(PLE.lastrow)-ROW(PLE.firstrow))),0,
           IF(OFFSET(PLE!$G$15,$M203-$A$15,DE$13)="",10^12,OFFSET(PLE!$G$15,$M203-$A$15,DE$13)))</f>
        <v>0</v>
      </c>
      <c r="DF203" s="172" cm="1">
        <f t="array" aca="1" ref="DF203" ca="1">IF(OR($D203&lt;&gt;"Serviço",AND(AUTOEVENTO="Manual",$M203=$A$15),$M203&gt;(ROW(PLE.lastrow)-ROW(PLE.firstrow))),0,
           IF(OFFSET(PLE!$G$15,$M203-$A$15,DF$13)="",10^12,OFFSET(PLE!$G$15,$M203-$A$15,DF$13)))</f>
        <v>0</v>
      </c>
      <c r="DG203" s="172" cm="1">
        <f t="array" aca="1" ref="DG203" ca="1">IF(OR($D203&lt;&gt;"Serviço",AND(AUTOEVENTO="Manual",$M203=$A$15),$M203&gt;(ROW(PLE.lastrow)-ROW(PLE.firstrow))),0,
           IF(OFFSET(PLE!$G$15,$M203-$A$15,DG$13)="",10^12,OFFSET(PLE!$G$15,$M203-$A$15,DG$13)))</f>
        <v>0</v>
      </c>
      <c r="DH203" s="172" cm="1">
        <f t="array" aca="1" ref="DH203" ca="1">IF(OR($D203&lt;&gt;"Serviço",AND(AUTOEVENTO="Manual",$M203=$A$15),$M203&gt;(ROW(PLE.lastrow)-ROW(PLE.firstrow))),0,
           IF(OFFSET(PLE!$G$15,$M203-$A$15,DH$13)="",10^12,OFFSET(PLE!$G$15,$M203-$A$15,DH$13)))</f>
        <v>0</v>
      </c>
      <c r="DI203" s="172" cm="1">
        <f t="array" aca="1" ref="DI203" ca="1">IF(OR($D203&lt;&gt;"Serviço",AND(AUTOEVENTO="Manual",$M203=$A$15),$M203&gt;(ROW(PLE.lastrow)-ROW(PLE.firstrow))),0,
           IF(OFFSET(PLE!$G$15,$M203-$A$15,DI$13)="",10^12,OFFSET(PLE!$G$15,$M203-$A$15,DI$13)))</f>
        <v>0</v>
      </c>
      <c r="DJ203" s="172" cm="1">
        <f t="array" aca="1" ref="DJ203" ca="1">IF(OR($D203&lt;&gt;"Serviço",AND(AUTOEVENTO="Manual",$M203=$A$15),$M203&gt;(ROW(PLE.lastrow)-ROW(PLE.firstrow))),0,
           IF(OFFSET(PLE!$G$15,$M203-$A$15,DJ$13)="",10^12,OFFSET(PLE!$G$15,$M203-$A$15,DJ$13)))</f>
        <v>0</v>
      </c>
      <c r="DK203" s="172" cm="1">
        <f t="array" aca="1" ref="DK203" ca="1">IF(OR($D203&lt;&gt;"Serviço",AND(AUTOEVENTO="Manual",$M203=$A$15),$M203&gt;(ROW(PLE.lastrow)-ROW(PLE.firstrow))),0,
           IF(OFFSET(PLE!$G$15,$M203-$A$15,DK$13)="",10^12,OFFSET(PLE!$G$15,$M203-$A$15,DK$13)))</f>
        <v>0</v>
      </c>
      <c r="DL203" s="172" cm="1">
        <f t="array" aca="1" ref="DL203" ca="1">IF(OR($D203&lt;&gt;"Serviço",AND(AUTOEVENTO="Manual",$M203=$A$15),$M203&gt;(ROW(PLE.lastrow)-ROW(PLE.firstrow))),0,
           IF(OFFSET(PLE!$G$15,$M203-$A$15,DL$13)="",10^12,OFFSET(PLE!$G$15,$M203-$A$15,DL$13)))</f>
        <v>0</v>
      </c>
      <c r="DM203" s="172" cm="1">
        <f t="array" aca="1" ref="DM203" ca="1">IF(OR($D203&lt;&gt;"Serviço",AND(AUTOEVENTO="Manual",$M203=$A$15),$M203&gt;(ROW(PLE.lastrow)-ROW(PLE.firstrow))),0,
           IF(OFFSET(PLE!$G$15,$M203-$A$15,DM$13)="",10^12,OFFSET(PLE!$G$15,$M203-$A$15,DM$13)))</f>
        <v>0</v>
      </c>
      <c r="DN203" s="172" cm="1">
        <f t="array" aca="1" ref="DN203" ca="1">IF(OR($D203&lt;&gt;"Serviço",AND(AUTOEVENTO="Manual",$M203=$A$15),$M203&gt;(ROW(PLE.lastrow)-ROW(PLE.firstrow))),0,
           IF(OFFSET(PLE!$G$15,$M203-$A$15,DN$13)="",10^12,OFFSET(PLE!$G$15,$M203-$A$15,DN$13)))</f>
        <v>0</v>
      </c>
      <c r="DO203" s="172" cm="1">
        <f t="array" aca="1" ref="DO203" ca="1">IF(OR($D203&lt;&gt;"Serviço",AND(AUTOEVENTO="Manual",$M203=$A$15),$M203&gt;(ROW(PLE.lastrow)-ROW(PLE.firstrow))),0,
           IF(OFFSET(PLE!$G$15,$M203-$A$15,DO$13)="",10^12,OFFSET(PLE!$G$15,$M203-$A$15,DO$13)))</f>
        <v>0</v>
      </c>
      <c r="DP203" s="172" cm="1">
        <f t="array" aca="1" ref="DP203" ca="1">IF(OR($D203&lt;&gt;"Serviço",AND(AUTOEVENTO="Manual",$M203=$A$15),$M203&gt;(ROW(PLE.lastrow)-ROW(PLE.firstrow))),0,
           IF(OFFSET(PLE!$G$15,$M203-$A$15,DP$13)="",10^12,OFFSET(PLE!$G$15,$M203-$A$15,DP$13)))</f>
        <v>0</v>
      </c>
      <c r="DQ203" s="172" cm="1">
        <f t="array" aca="1" ref="DQ203" ca="1">IF(OR($D203&lt;&gt;"Serviço",AND(AUTOEVENTO="Manual",$M203=$A$15),$M203&gt;(ROW(PLE.lastrow)-ROW(PLE.firstrow))),0,
           IF(OFFSET(PLE!$G$15,$M203-$A$15,DQ$13)="",10^12,OFFSET(PLE!$G$15,$M203-$A$15,DQ$13)))</f>
        <v>0</v>
      </c>
      <c r="DR203" s="172" cm="1">
        <f t="array" aca="1" ref="DR203" ca="1">IF(OR($D203&lt;&gt;"Serviço",AND(AUTOEVENTO="Manual",$M203=$A$15),$M203&gt;(ROW(PLE.lastrow)-ROW(PLE.firstrow))),0,
           IF(OFFSET(PLE!$G$15,$M203-$A$15,DR$13)="",10^12,OFFSET(PLE!$G$15,$M203-$A$15,DR$13)))</f>
        <v>0</v>
      </c>
      <c r="DS203" s="172" cm="1">
        <f t="array" aca="1" ref="DS203" ca="1">IF(OR($D203&lt;&gt;"Serviço",AND(AUTOEVENTO="Manual",$M203=$A$15),$M203&gt;(ROW(PLE.lastrow)-ROW(PLE.firstrow))),0,
           IF(OFFSET(PLE!$G$15,$M203-$A$15,DS$13)="",10^12,OFFSET(PLE!$G$15,$M203-$A$15,DS$13)))</f>
        <v>0</v>
      </c>
    </row>
    <row r="204" spans="1:123" ht="12.75" x14ac:dyDescent="0.2">
      <c r="A204" s="7">
        <f t="shared" ca="1" si="18"/>
        <v>0</v>
      </c>
      <c r="B204" s="7">
        <f ca="1">OFFSET(ORÇAMENTO!C$15,$L204,0)</f>
        <v>3</v>
      </c>
      <c r="C204" s="7" t="str">
        <f ca="1">OFFSET(ORÇAMENTO!L$15,$L204,0)</f>
        <v>F</v>
      </c>
      <c r="D204" s="116" t="str">
        <f ca="1">OFFSET(ORÇAMENTO!N$15,$L204,0)</f>
        <v>Nível 3</v>
      </c>
      <c r="E204" s="117" t="str">
        <f ca="1">OFFSET(ORÇAMENTO!O$15,$L204,0)</f>
        <v>9.3.1.</v>
      </c>
      <c r="F204" s="163" t="str">
        <f ca="1">OFFSET(ORÇAMENTO!R$15,$L204,0)</f>
        <v>TUBULAÇÕES E CONEXÕES SANITÁRIAS</v>
      </c>
      <c r="G204" s="164" t="str">
        <f ca="1">IF($D204&lt;&gt;"Serviço","",OFFSET(ORÇAMENTO!S$15,$L204,0))</f>
        <v/>
      </c>
      <c r="H204" s="122" cm="1">
        <f t="array" aca="1" ref="H204" ca="1">IF($D204&lt;&gt;"Serviço",0,IF(ACOMPANHAMENTO="BM",ROUND(OFFSET(ORÇAMENTO!AJ$15,$L204,0),15-13*ORÇAMENTO!$AF$7),IF(IFERROR(CÁLCULO.FrentesPreenchidas,0)=0,0,SUM(ROUND(OFFSET($P204,0,1,1,CÁLCULO.FrentesPreenchidas),15-13*ORÇAMENTO!$AF$7)))))</f>
        <v>0</v>
      </c>
      <c r="I204" s="468"/>
      <c r="J204" s="651" t="str" cm="1">
        <f t="array" aca="1" ref="J204" ca="1">IF(OR(B204&lt;&gt;"S",CÁLCULO.FrentesPreenchidas=0),"",IF(AND(ACOMPANHAMENTO="PLE",AUTOEVENTO="Manual",OR(H204&gt;0,ORÇAMENTO!AC204="QUANT."),OR(K204="",M204=0,N204="")),"►E",IF(AND(ACOMPANHAMENTO="PLE",ORÇAMENTO!AC204="QUANT."),"►Q",IF(AND(ACOMPANHAMENTO="PLE",H204&lt;&gt;SUMPRODUCT(($Q$1:$AQ$1=1)*ROUND(Q204:AQ204,15))),"►S",IF(AND(COUNTIF($P$11:$AQ$11,"▼")=0,H204&gt;0,I204=""),"◄M","")))))</f>
        <v/>
      </c>
      <c r="K204" s="652"/>
      <c r="L204" s="165">
        <f t="shared" ca="1" si="17"/>
        <v>189</v>
      </c>
      <c r="M204" s="166" t="str">
        <f ca="1">IF($D204&lt;&gt;"Serviço","",
          IF(AUTOEVENTO="manual",$A204,
                IF(ISERROR(MATCH($A204,$A$15:OFFSET($A204,-1,0),0)),MAX($M$15:OFFSET(M204,-1,0))+1,
                      INDEX($M$15:OFFSET(M204,-1,0),MATCH($A204,$A$15:OFFSET($A204,-1,0),0)))))</f>
        <v/>
      </c>
      <c r="N204" s="167" t="str">
        <f ca="1">IF($D204&lt;&gt;"Serviço","",
         IF(AUTOEVENTO="Manual",
                IF($A204=0,"&lt;-- defina o número do agrupador",
                       OFFSET(EVENTOS!$D$15,$A204-$A$15,0)),
                OFFSET($F$15,$A204,0)))</f>
        <v/>
      </c>
      <c r="O204" s="168"/>
      <c r="Q204" s="168"/>
      <c r="R204" s="169"/>
      <c r="S204" s="169"/>
      <c r="T204" s="169"/>
      <c r="U204" s="169"/>
      <c r="V204" s="169"/>
      <c r="W204" s="169"/>
      <c r="X204" s="169"/>
      <c r="Y204" s="169"/>
      <c r="Z204" s="170"/>
      <c r="AA204" s="169"/>
      <c r="AB204" s="169"/>
      <c r="AC204" s="169"/>
      <c r="AD204" s="169"/>
      <c r="AE204" s="169"/>
      <c r="AF204" s="169"/>
      <c r="AG204" s="169"/>
      <c r="AH204" s="170"/>
      <c r="AI204" s="169"/>
      <c r="AJ204" s="169"/>
      <c r="AK204" s="169"/>
      <c r="AL204" s="169"/>
      <c r="AM204" s="169"/>
      <c r="AN204" s="169"/>
      <c r="AO204" s="169"/>
      <c r="AP204" s="170"/>
      <c r="AR204" s="453">
        <f ca="1">IF(AND($D204="Serviço",AR$12&lt;&gt;0,$H204&gt;0,OR(AUTOEVENTO&lt;&gt;"manual",$M204&lt;&gt;$A$15)),
        IF(Import.TipoArredondamento&lt;&gt;"TransfereGOV",
              ROUND(OFFSET($P204,0,AR$13),15-13*ORÇAMENTO!$AF$7)/$H204*OFFSET(ORÇAMENTO!$X$15,ROW(AR204)-ROW(AR$15),0),
              ROUND(ROUND(OFFSET($P204,0,AR$13),15-13*ORÇAMENTO!$AF$7)*OFFSET(ORÇAMENTO!$W$15,ROW(AR204)-ROW(AR$15),0),15-13*ORÇAMENTO!$AF$11)),
         0)</f>
        <v>0</v>
      </c>
      <c r="AS204" s="453">
        <f ca="1">IF(AND($D204="Serviço",AS$12&lt;&gt;0,$H204&gt;0,OR(AUTOEVENTO&lt;&gt;"manual",$M204&lt;&gt;$A$15)),
        IF(Import.TipoArredondamento&lt;&gt;"TransfereGOV",
              ROUND(OFFSET($P204,0,AS$13),15-13*ORÇAMENTO!$AF$7)/$H204*OFFSET(ORÇAMENTO!$X$15,ROW(AS204)-ROW(AS$15),0),
              ROUND(ROUND(OFFSET($P204,0,AS$13),15-13*ORÇAMENTO!$AF$7)*OFFSET(ORÇAMENTO!$W$15,ROW(AS204)-ROW(AS$15),0),15-13*ORÇAMENTO!$AF$11)),
         0)</f>
        <v>0</v>
      </c>
      <c r="AT204" s="453">
        <f ca="1">IF(AND($D204="Serviço",AT$12&lt;&gt;0,$H204&gt;0,OR(AUTOEVENTO&lt;&gt;"manual",$M204&lt;&gt;$A$15)),
        IF(Import.TipoArredondamento&lt;&gt;"TransfereGOV",
              ROUND(OFFSET($P204,0,AT$13),15-13*ORÇAMENTO!$AF$7)/$H204*OFFSET(ORÇAMENTO!$X$15,ROW(AT204)-ROW(AT$15),0),
              ROUND(ROUND(OFFSET($P204,0,AT$13),15-13*ORÇAMENTO!$AF$7)*OFFSET(ORÇAMENTO!$W$15,ROW(AT204)-ROW(AT$15),0),15-13*ORÇAMENTO!$AF$11)),
         0)</f>
        <v>0</v>
      </c>
      <c r="AU204" s="453">
        <f ca="1">IF(AND($D204="Serviço",AU$12&lt;&gt;0,$H204&gt;0,OR(AUTOEVENTO&lt;&gt;"manual",$M204&lt;&gt;$A$15)),
        IF(Import.TipoArredondamento&lt;&gt;"TransfereGOV",
              ROUND(OFFSET($P204,0,AU$13),15-13*ORÇAMENTO!$AF$7)/$H204*OFFSET(ORÇAMENTO!$X$15,ROW(AU204)-ROW(AU$15),0),
              ROUND(ROUND(OFFSET($P204,0,AU$13),15-13*ORÇAMENTO!$AF$7)*OFFSET(ORÇAMENTO!$W$15,ROW(AU204)-ROW(AU$15),0),15-13*ORÇAMENTO!$AF$11)),
         0)</f>
        <v>0</v>
      </c>
      <c r="AV204" s="453">
        <f ca="1">IF(AND($D204="Serviço",AV$12&lt;&gt;0,$H204&gt;0,OR(AUTOEVENTO&lt;&gt;"manual",$M204&lt;&gt;$A$15)),
        IF(Import.TipoArredondamento&lt;&gt;"TransfereGOV",
              ROUND(OFFSET($P204,0,AV$13),15-13*ORÇAMENTO!$AF$7)/$H204*OFFSET(ORÇAMENTO!$X$15,ROW(AV204)-ROW(AV$15),0),
              ROUND(ROUND(OFFSET($P204,0,AV$13),15-13*ORÇAMENTO!$AF$7)*OFFSET(ORÇAMENTO!$W$15,ROW(AV204)-ROW(AV$15),0),15-13*ORÇAMENTO!$AF$11)),
         0)</f>
        <v>0</v>
      </c>
      <c r="AW204" s="453">
        <f ca="1">IF(AND($D204="Serviço",AW$12&lt;&gt;0,$H204&gt;0,OR(AUTOEVENTO&lt;&gt;"manual",$M204&lt;&gt;$A$15)),
        IF(Import.TipoArredondamento&lt;&gt;"TransfereGOV",
              ROUND(OFFSET($P204,0,AW$13),15-13*ORÇAMENTO!$AF$7)/$H204*OFFSET(ORÇAMENTO!$X$15,ROW(AW204)-ROW(AW$15),0),
              ROUND(ROUND(OFFSET($P204,0,AW$13),15-13*ORÇAMENTO!$AF$7)*OFFSET(ORÇAMENTO!$W$15,ROW(AW204)-ROW(AW$15),0),15-13*ORÇAMENTO!$AF$11)),
         0)</f>
        <v>0</v>
      </c>
      <c r="AX204" s="453">
        <f ca="1">IF(AND($D204="Serviço",AX$12&lt;&gt;0,$H204&gt;0,OR(AUTOEVENTO&lt;&gt;"manual",$M204&lt;&gt;$A$15)),
        IF(Import.TipoArredondamento&lt;&gt;"TransfereGOV",
              ROUND(OFFSET($P204,0,AX$13),15-13*ORÇAMENTO!$AF$7)/$H204*OFFSET(ORÇAMENTO!$X$15,ROW(AX204)-ROW(AX$15),0),
              ROUND(ROUND(OFFSET($P204,0,AX$13),15-13*ORÇAMENTO!$AF$7)*OFFSET(ORÇAMENTO!$W$15,ROW(AX204)-ROW(AX$15),0),15-13*ORÇAMENTO!$AF$11)),
         0)</f>
        <v>0</v>
      </c>
      <c r="AY204" s="453">
        <f ca="1">IF(AND($D204="Serviço",AY$12&lt;&gt;0,$H204&gt;0,OR(AUTOEVENTO&lt;&gt;"manual",$M204&lt;&gt;$A$15)),
        IF(Import.TipoArredondamento&lt;&gt;"TransfereGOV",
              ROUND(OFFSET($P204,0,AY$13),15-13*ORÇAMENTO!$AF$7)/$H204*OFFSET(ORÇAMENTO!$X$15,ROW(AY204)-ROW(AY$15),0),
              ROUND(ROUND(OFFSET($P204,0,AY$13),15-13*ORÇAMENTO!$AF$7)*OFFSET(ORÇAMENTO!$W$15,ROW(AY204)-ROW(AY$15),0),15-13*ORÇAMENTO!$AF$11)),
         0)</f>
        <v>0</v>
      </c>
      <c r="AZ204" s="453">
        <f ca="1">IF(AND($D204="Serviço",AZ$12&lt;&gt;0,$H204&gt;0,OR(AUTOEVENTO&lt;&gt;"manual",$M204&lt;&gt;$A$15)),
        IF(Import.TipoArredondamento&lt;&gt;"TransfereGOV",
              ROUND(OFFSET($P204,0,AZ$13),15-13*ORÇAMENTO!$AF$7)/$H204*OFFSET(ORÇAMENTO!$X$15,ROW(AZ204)-ROW(AZ$15),0),
              ROUND(ROUND(OFFSET($P204,0,AZ$13),15-13*ORÇAMENTO!$AF$7)*OFFSET(ORÇAMENTO!$W$15,ROW(AZ204)-ROW(AZ$15),0),15-13*ORÇAMENTO!$AF$11)),
         0)</f>
        <v>0</v>
      </c>
      <c r="BA204" s="453">
        <f ca="1">IF(AND($D204="Serviço",BA$12&lt;&gt;0,$H204&gt;0,OR(AUTOEVENTO&lt;&gt;"manual",$M204&lt;&gt;$A$15)),
        IF(Import.TipoArredondamento&lt;&gt;"TransfereGOV",
              ROUND(OFFSET($P204,0,BA$13),15-13*ORÇAMENTO!$AF$7)/$H204*OFFSET(ORÇAMENTO!$X$15,ROW(BA204)-ROW(BA$15),0),
              ROUND(ROUND(OFFSET($P204,0,BA$13),15-13*ORÇAMENTO!$AF$7)*OFFSET(ORÇAMENTO!$W$15,ROW(BA204)-ROW(BA$15),0),15-13*ORÇAMENTO!$AF$11)),
         0)</f>
        <v>0</v>
      </c>
      <c r="BB204" s="453">
        <f ca="1">IF(AND($D204="Serviço",BB$12&lt;&gt;0,$H204&gt;0,OR(AUTOEVENTO&lt;&gt;"manual",$M204&lt;&gt;$A$15)),
        IF(Import.TipoArredondamento&lt;&gt;"TransfereGOV",
              ROUND(OFFSET($P204,0,BB$13),15-13*ORÇAMENTO!$AF$7)/$H204*OFFSET(ORÇAMENTO!$X$15,ROW(BB204)-ROW(BB$15),0),
              ROUND(ROUND(OFFSET($P204,0,BB$13),15-13*ORÇAMENTO!$AF$7)*OFFSET(ORÇAMENTO!$W$15,ROW(BB204)-ROW(BB$15),0),15-13*ORÇAMENTO!$AF$11)),
         0)</f>
        <v>0</v>
      </c>
      <c r="BC204" s="453">
        <f ca="1">IF(AND($D204="Serviço",BC$12&lt;&gt;0,$H204&gt;0,OR(AUTOEVENTO&lt;&gt;"manual",$M204&lt;&gt;$A$15)),
        IF(Import.TipoArredondamento&lt;&gt;"TransfereGOV",
              ROUND(OFFSET($P204,0,BC$13),15-13*ORÇAMENTO!$AF$7)/$H204*OFFSET(ORÇAMENTO!$X$15,ROW(BC204)-ROW(BC$15),0),
              ROUND(ROUND(OFFSET($P204,0,BC$13),15-13*ORÇAMENTO!$AF$7)*OFFSET(ORÇAMENTO!$W$15,ROW(BC204)-ROW(BC$15),0),15-13*ORÇAMENTO!$AF$11)),
         0)</f>
        <v>0</v>
      </c>
      <c r="BD204" s="453">
        <f ca="1">IF(AND($D204="Serviço",BD$12&lt;&gt;0,$H204&gt;0,OR(AUTOEVENTO&lt;&gt;"manual",$M204&lt;&gt;$A$15)),
        IF(Import.TipoArredondamento&lt;&gt;"TransfereGOV",
              ROUND(OFFSET($P204,0,BD$13),15-13*ORÇAMENTO!$AF$7)/$H204*OFFSET(ORÇAMENTO!$X$15,ROW(BD204)-ROW(BD$15),0),
              ROUND(ROUND(OFFSET($P204,0,BD$13),15-13*ORÇAMENTO!$AF$7)*OFFSET(ORÇAMENTO!$W$15,ROW(BD204)-ROW(BD$15),0),15-13*ORÇAMENTO!$AF$11)),
         0)</f>
        <v>0</v>
      </c>
      <c r="BE204" s="453">
        <f ca="1">IF(AND($D204="Serviço",BE$12&lt;&gt;0,$H204&gt;0,OR(AUTOEVENTO&lt;&gt;"manual",$M204&lt;&gt;$A$15)),
        IF(Import.TipoArredondamento&lt;&gt;"TransfereGOV",
              ROUND(OFFSET($P204,0,BE$13),15-13*ORÇAMENTO!$AF$7)/$H204*OFFSET(ORÇAMENTO!$X$15,ROW(BE204)-ROW(BE$15),0),
              ROUND(ROUND(OFFSET($P204,0,BE$13),15-13*ORÇAMENTO!$AF$7)*OFFSET(ORÇAMENTO!$W$15,ROW(BE204)-ROW(BE$15),0),15-13*ORÇAMENTO!$AF$11)),
         0)</f>
        <v>0</v>
      </c>
      <c r="BF204" s="453">
        <f ca="1">IF(AND($D204="Serviço",BF$12&lt;&gt;0,$H204&gt;0,OR(AUTOEVENTO&lt;&gt;"manual",$M204&lt;&gt;$A$15)),
        IF(Import.TipoArredondamento&lt;&gt;"TransfereGOV",
              ROUND(OFFSET($P204,0,BF$13),15-13*ORÇAMENTO!$AF$7)/$H204*OFFSET(ORÇAMENTO!$X$15,ROW(BF204)-ROW(BF$15),0),
              ROUND(ROUND(OFFSET($P204,0,BF$13),15-13*ORÇAMENTO!$AF$7)*OFFSET(ORÇAMENTO!$W$15,ROW(BF204)-ROW(BF$15),0),15-13*ORÇAMENTO!$AF$11)),
         0)</f>
        <v>0</v>
      </c>
      <c r="BG204" s="453">
        <f ca="1">IF(AND($D204="Serviço",BG$12&lt;&gt;0,$H204&gt;0,OR(AUTOEVENTO&lt;&gt;"manual",$M204&lt;&gt;$A$15)),
        IF(Import.TipoArredondamento&lt;&gt;"TransfereGOV",
              ROUND(OFFSET($P204,0,BG$13),15-13*ORÇAMENTO!$AF$7)/$H204*OFFSET(ORÇAMENTO!$X$15,ROW(BG204)-ROW(BG$15),0),
              ROUND(ROUND(OFFSET($P204,0,BG$13),15-13*ORÇAMENTO!$AF$7)*OFFSET(ORÇAMENTO!$W$15,ROW(BG204)-ROW(BG$15),0),15-13*ORÇAMENTO!$AF$11)),
         0)</f>
        <v>0</v>
      </c>
      <c r="BH204" s="453">
        <f ca="1">IF(AND($D204="Serviço",BH$12&lt;&gt;0,$H204&gt;0,OR(AUTOEVENTO&lt;&gt;"manual",$M204&lt;&gt;$A$15)),
        IF(Import.TipoArredondamento&lt;&gt;"TransfereGOV",
              ROUND(OFFSET($P204,0,BH$13),15-13*ORÇAMENTO!$AF$7)/$H204*OFFSET(ORÇAMENTO!$X$15,ROW(BH204)-ROW(BH$15),0),
              ROUND(ROUND(OFFSET($P204,0,BH$13),15-13*ORÇAMENTO!$AF$7)*OFFSET(ORÇAMENTO!$W$15,ROW(BH204)-ROW(BH$15),0),15-13*ORÇAMENTO!$AF$11)),
         0)</f>
        <v>0</v>
      </c>
      <c r="BI204" s="453">
        <f ca="1">IF(AND($D204="Serviço",BI$12&lt;&gt;0,$H204&gt;0,OR(AUTOEVENTO&lt;&gt;"manual",$M204&lt;&gt;$A$15)),
        IF(Import.TipoArredondamento&lt;&gt;"TransfereGOV",
              ROUND(OFFSET($P204,0,BI$13),15-13*ORÇAMENTO!$AF$7)/$H204*OFFSET(ORÇAMENTO!$X$15,ROW(BI204)-ROW(BI$15),0),
              ROUND(ROUND(OFFSET($P204,0,BI$13),15-13*ORÇAMENTO!$AF$7)*OFFSET(ORÇAMENTO!$W$15,ROW(BI204)-ROW(BI$15),0),15-13*ORÇAMENTO!$AF$11)),
         0)</f>
        <v>0</v>
      </c>
      <c r="BJ204" s="453">
        <f ca="1">IF(AND($D204="Serviço",BJ$12&lt;&gt;0,$H204&gt;0,OR(AUTOEVENTO&lt;&gt;"manual",$M204&lt;&gt;$A$15)),
        IF(Import.TipoArredondamento&lt;&gt;"TransfereGOV",
              ROUND(OFFSET($P204,0,BJ$13),15-13*ORÇAMENTO!$AF$7)/$H204*OFFSET(ORÇAMENTO!$X$15,ROW(BJ204)-ROW(BJ$15),0),
              ROUND(ROUND(OFFSET($P204,0,BJ$13),15-13*ORÇAMENTO!$AF$7)*OFFSET(ORÇAMENTO!$W$15,ROW(BJ204)-ROW(BJ$15),0),15-13*ORÇAMENTO!$AF$11)),
         0)</f>
        <v>0</v>
      </c>
      <c r="BK204" s="453">
        <f ca="1">IF(AND($D204="Serviço",BK$12&lt;&gt;0,$H204&gt;0,OR(AUTOEVENTO&lt;&gt;"manual",$M204&lt;&gt;$A$15)),
        IF(Import.TipoArredondamento&lt;&gt;"TransfereGOV",
              ROUND(OFFSET($P204,0,BK$13),15-13*ORÇAMENTO!$AF$7)/$H204*OFFSET(ORÇAMENTO!$X$15,ROW(BK204)-ROW(BK$15),0),
              ROUND(ROUND(OFFSET($P204,0,BK$13),15-13*ORÇAMENTO!$AF$7)*OFFSET(ORÇAMENTO!$W$15,ROW(BK204)-ROW(BK$15),0),15-13*ORÇAMENTO!$AF$11)),
         0)</f>
        <v>0</v>
      </c>
      <c r="BL204" s="453">
        <f ca="1">IF(AND($D204="Serviço",BL$12&lt;&gt;0,$H204&gt;0,OR(AUTOEVENTO&lt;&gt;"manual",$M204&lt;&gt;$A$15)),
        IF(Import.TipoArredondamento&lt;&gt;"TransfereGOV",
              ROUND(OFFSET($P204,0,BL$13),15-13*ORÇAMENTO!$AF$7)/$H204*OFFSET(ORÇAMENTO!$X$15,ROW(BL204)-ROW(BL$15),0),
              ROUND(ROUND(OFFSET($P204,0,BL$13),15-13*ORÇAMENTO!$AF$7)*OFFSET(ORÇAMENTO!$W$15,ROW(BL204)-ROW(BL$15),0),15-13*ORÇAMENTO!$AF$11)),
         0)</f>
        <v>0</v>
      </c>
      <c r="BM204" s="453">
        <f ca="1">IF(AND($D204="Serviço",BM$12&lt;&gt;0,$H204&gt;0,OR(AUTOEVENTO&lt;&gt;"manual",$M204&lt;&gt;$A$15)),
        IF(Import.TipoArredondamento&lt;&gt;"TransfereGOV",
              ROUND(OFFSET($P204,0,BM$13),15-13*ORÇAMENTO!$AF$7)/$H204*OFFSET(ORÇAMENTO!$X$15,ROW(BM204)-ROW(BM$15),0),
              ROUND(ROUND(OFFSET($P204,0,BM$13),15-13*ORÇAMENTO!$AF$7)*OFFSET(ORÇAMENTO!$W$15,ROW(BM204)-ROW(BM$15),0),15-13*ORÇAMENTO!$AF$11)),
         0)</f>
        <v>0</v>
      </c>
      <c r="BN204" s="453">
        <f ca="1">IF(AND($D204="Serviço",BN$12&lt;&gt;0,$H204&gt;0,OR(AUTOEVENTO&lt;&gt;"manual",$M204&lt;&gt;$A$15)),
        IF(Import.TipoArredondamento&lt;&gt;"TransfereGOV",
              ROUND(OFFSET($P204,0,BN$13),15-13*ORÇAMENTO!$AF$7)/$H204*OFFSET(ORÇAMENTO!$X$15,ROW(BN204)-ROW(BN$15),0),
              ROUND(ROUND(OFFSET($P204,0,BN$13),15-13*ORÇAMENTO!$AF$7)*OFFSET(ORÇAMENTO!$W$15,ROW(BN204)-ROW(BN$15),0),15-13*ORÇAMENTO!$AF$11)),
         0)</f>
        <v>0</v>
      </c>
      <c r="BO204" s="453">
        <f ca="1">IF(AND($D204="Serviço",BO$12&lt;&gt;0,$H204&gt;0,OR(AUTOEVENTO&lt;&gt;"manual",$M204&lt;&gt;$A$15)),
        IF(Import.TipoArredondamento&lt;&gt;"TransfereGOV",
              ROUND(OFFSET($P204,0,BO$13),15-13*ORÇAMENTO!$AF$7)/$H204*OFFSET(ORÇAMENTO!$X$15,ROW(BO204)-ROW(BO$15),0),
              ROUND(ROUND(OFFSET($P204,0,BO$13),15-13*ORÇAMENTO!$AF$7)*OFFSET(ORÇAMENTO!$W$15,ROW(BO204)-ROW(BO$15),0),15-13*ORÇAMENTO!$AF$11)),
         0)</f>
        <v>0</v>
      </c>
      <c r="BP204" s="453">
        <f ca="1">IF(AND($D204="Serviço",BP$12&lt;&gt;0,$H204&gt;0,OR(AUTOEVENTO&lt;&gt;"manual",$M204&lt;&gt;$A$15)),
        IF(Import.TipoArredondamento&lt;&gt;"TransfereGOV",
              ROUND(OFFSET($P204,0,BP$13),15-13*ORÇAMENTO!$AF$7)/$H204*OFFSET(ORÇAMENTO!$X$15,ROW(BP204)-ROW(BP$15),0),
              ROUND(ROUND(OFFSET($P204,0,BP$13),15-13*ORÇAMENTO!$AF$7)*OFFSET(ORÇAMENTO!$W$15,ROW(BP204)-ROW(BP$15),0),15-13*ORÇAMENTO!$AF$11)),
         0)</f>
        <v>0</v>
      </c>
      <c r="BQ204" s="453">
        <f ca="1">IF(AND($D204="Serviço",BQ$12&lt;&gt;0,$H204&gt;0,OR(AUTOEVENTO&lt;&gt;"manual",$M204&lt;&gt;$A$15)),
        IF(Import.TipoArredondamento&lt;&gt;"TransfereGOV",
              ROUND(OFFSET($P204,0,BQ$13),15-13*ORÇAMENTO!$AF$7)/$H204*OFFSET(ORÇAMENTO!$X$15,ROW(BQ204)-ROW(BQ$15),0),
              ROUND(ROUND(OFFSET($P204,0,BQ$13),15-13*ORÇAMENTO!$AF$7)*OFFSET(ORÇAMENTO!$W$15,ROW(BQ204)-ROW(BQ$15),0),15-13*ORÇAMENTO!$AF$11)),
         0)</f>
        <v>0</v>
      </c>
      <c r="BS204" s="171">
        <f ca="1">IF(OR($D204&lt;&gt;"Serviço",AND(AUTOEVENTO="Manual",$M204=$A$15)),0,
         IF(OFFSET(CRONOPLE!$F$15,$M204-$A$15,BS$13)=0,10^12,OFFSET(CRONOPLE!$F$15,$M204-$A$15,BS$13)))</f>
        <v>0</v>
      </c>
      <c r="BT204" s="171">
        <f ca="1">IF(OR($D204&lt;&gt;"Serviço",AND(AUTOEVENTO="Manual",$M204=$A$15)),0,
         IF(OFFSET(CRONOPLE!$F$15,$M204-$A$15,BT$13)=0,10^12,OFFSET(CRONOPLE!$F$15,$M204-$A$15,BT$13)))</f>
        <v>0</v>
      </c>
      <c r="BU204" s="171">
        <f ca="1">IF(OR($D204&lt;&gt;"Serviço",AND(AUTOEVENTO="Manual",$M204=$A$15)),0,
         IF(OFFSET(CRONOPLE!$F$15,$M204-$A$15,BU$13)=0,10^12,OFFSET(CRONOPLE!$F$15,$M204-$A$15,BU$13)))</f>
        <v>0</v>
      </c>
      <c r="BV204" s="171">
        <f ca="1">IF(OR($D204&lt;&gt;"Serviço",AND(AUTOEVENTO="Manual",$M204=$A$15)),0,
         IF(OFFSET(CRONOPLE!$F$15,$M204-$A$15,BV$13)=0,10^12,OFFSET(CRONOPLE!$F$15,$M204-$A$15,BV$13)))</f>
        <v>0</v>
      </c>
      <c r="BW204" s="171">
        <f ca="1">IF(OR($D204&lt;&gt;"Serviço",AND(AUTOEVENTO="Manual",$M204=$A$15)),0,
         IF(OFFSET(CRONOPLE!$F$15,$M204-$A$15,BW$13)=0,10^12,OFFSET(CRONOPLE!$F$15,$M204-$A$15,BW$13)))</f>
        <v>0</v>
      </c>
      <c r="BX204" s="171">
        <f ca="1">IF(OR($D204&lt;&gt;"Serviço",AND(AUTOEVENTO="Manual",$M204=$A$15)),0,
         IF(OFFSET(CRONOPLE!$F$15,$M204-$A$15,BX$13)=0,10^12,OFFSET(CRONOPLE!$F$15,$M204-$A$15,BX$13)))</f>
        <v>0</v>
      </c>
      <c r="BY204" s="171">
        <f ca="1">IF(OR($D204&lt;&gt;"Serviço",AND(AUTOEVENTO="Manual",$M204=$A$15)),0,
         IF(OFFSET(CRONOPLE!$F$15,$M204-$A$15,BY$13)=0,10^12,OFFSET(CRONOPLE!$F$15,$M204-$A$15,BY$13)))</f>
        <v>0</v>
      </c>
      <c r="BZ204" s="171">
        <f ca="1">IF(OR($D204&lt;&gt;"Serviço",AND(AUTOEVENTO="Manual",$M204=$A$15)),0,
         IF(OFFSET(CRONOPLE!$F$15,$M204-$A$15,BZ$13)=0,10^12,OFFSET(CRONOPLE!$F$15,$M204-$A$15,BZ$13)))</f>
        <v>0</v>
      </c>
      <c r="CA204" s="171">
        <f ca="1">IF(OR($D204&lt;&gt;"Serviço",AND(AUTOEVENTO="Manual",$M204=$A$15)),0,
         IF(OFFSET(CRONOPLE!$F$15,$M204-$A$15,CA$13)=0,10^12,OFFSET(CRONOPLE!$F$15,$M204-$A$15,CA$13)))</f>
        <v>0</v>
      </c>
      <c r="CB204" s="171">
        <f ca="1">IF(OR($D204&lt;&gt;"Serviço",AND(AUTOEVENTO="Manual",$M204=$A$15)),0,
         IF(OFFSET(CRONOPLE!$F$15,$M204-$A$15,CB$13)=0,10^12,OFFSET(CRONOPLE!$F$15,$M204-$A$15,CB$13)))</f>
        <v>0</v>
      </c>
      <c r="CC204" s="171">
        <f ca="1">IF(OR($D204&lt;&gt;"Serviço",AND(AUTOEVENTO="Manual",$M204=$A$15)),0,
         IF(OFFSET(CRONOPLE!$F$15,$M204-$A$15,CC$13)=0,10^12,OFFSET(CRONOPLE!$F$15,$M204-$A$15,CC$13)))</f>
        <v>0</v>
      </c>
      <c r="CD204" s="171">
        <f ca="1">IF(OR($D204&lt;&gt;"Serviço",AND(AUTOEVENTO="Manual",$M204=$A$15)),0,
         IF(OFFSET(CRONOPLE!$F$15,$M204-$A$15,CD$13)=0,10^12,OFFSET(CRONOPLE!$F$15,$M204-$A$15,CD$13)))</f>
        <v>0</v>
      </c>
      <c r="CE204" s="171">
        <f ca="1">IF(OR($D204&lt;&gt;"Serviço",AND(AUTOEVENTO="Manual",$M204=$A$15)),0,
         IF(OFFSET(CRONOPLE!$F$15,$M204-$A$15,CE$13)=0,10^12,OFFSET(CRONOPLE!$F$15,$M204-$A$15,CE$13)))</f>
        <v>0</v>
      </c>
      <c r="CF204" s="171">
        <f ca="1">IF(OR($D204&lt;&gt;"Serviço",AND(AUTOEVENTO="Manual",$M204=$A$15)),0,
         IF(OFFSET(CRONOPLE!$F$15,$M204-$A$15,CF$13)=0,10^12,OFFSET(CRONOPLE!$F$15,$M204-$A$15,CF$13)))</f>
        <v>0</v>
      </c>
      <c r="CG204" s="171">
        <f ca="1">IF(OR($D204&lt;&gt;"Serviço",AND(AUTOEVENTO="Manual",$M204=$A$15)),0,
         IF(OFFSET(CRONOPLE!$F$15,$M204-$A$15,CG$13)=0,10^12,OFFSET(CRONOPLE!$F$15,$M204-$A$15,CG$13)))</f>
        <v>0</v>
      </c>
      <c r="CH204" s="171">
        <f ca="1">IF(OR($D204&lt;&gt;"Serviço",AND(AUTOEVENTO="Manual",$M204=$A$15)),0,
         IF(OFFSET(CRONOPLE!$F$15,$M204-$A$15,CH$13)=0,10^12,OFFSET(CRONOPLE!$F$15,$M204-$A$15,CH$13)))</f>
        <v>0</v>
      </c>
      <c r="CI204" s="171">
        <f ca="1">IF(OR($D204&lt;&gt;"Serviço",AND(AUTOEVENTO="Manual",$M204=$A$15)),0,
         IF(OFFSET(CRONOPLE!$F$15,$M204-$A$15,CI$13)=0,10^12,OFFSET(CRONOPLE!$F$15,$M204-$A$15,CI$13)))</f>
        <v>0</v>
      </c>
      <c r="CJ204" s="171">
        <f ca="1">IF(OR($D204&lt;&gt;"Serviço",AND(AUTOEVENTO="Manual",$M204=$A$15)),0,
         IF(OFFSET(CRONOPLE!$F$15,$M204-$A$15,CJ$13)=0,10^12,OFFSET(CRONOPLE!$F$15,$M204-$A$15,CJ$13)))</f>
        <v>0</v>
      </c>
      <c r="CK204" s="171">
        <f ca="1">IF(OR($D204&lt;&gt;"Serviço",AND(AUTOEVENTO="Manual",$M204=$A$15)),0,
         IF(OFFSET(CRONOPLE!$F$15,$M204-$A$15,CK$13)=0,10^12,OFFSET(CRONOPLE!$F$15,$M204-$A$15,CK$13)))</f>
        <v>0</v>
      </c>
      <c r="CL204" s="171">
        <f ca="1">IF(OR($D204&lt;&gt;"Serviço",AND(AUTOEVENTO="Manual",$M204=$A$15)),0,
         IF(OFFSET(CRONOPLE!$F$15,$M204-$A$15,CL$13)=0,10^12,OFFSET(CRONOPLE!$F$15,$M204-$A$15,CL$13)))</f>
        <v>0</v>
      </c>
      <c r="CM204" s="171">
        <f ca="1">IF(OR($D204&lt;&gt;"Serviço",AND(AUTOEVENTO="Manual",$M204=$A$15)),0,
         IF(OFFSET(CRONOPLE!$F$15,$M204-$A$15,CM$13)=0,10^12,OFFSET(CRONOPLE!$F$15,$M204-$A$15,CM$13)))</f>
        <v>0</v>
      </c>
      <c r="CN204" s="171">
        <f ca="1">IF(OR($D204&lt;&gt;"Serviço",AND(AUTOEVENTO="Manual",$M204=$A$15)),0,
         IF(OFFSET(CRONOPLE!$F$15,$M204-$A$15,CN$13)=0,10^12,OFFSET(CRONOPLE!$F$15,$M204-$A$15,CN$13)))</f>
        <v>0</v>
      </c>
      <c r="CO204" s="171">
        <f ca="1">IF(OR($D204&lt;&gt;"Serviço",AND(AUTOEVENTO="Manual",$M204=$A$15)),0,
         IF(OFFSET(CRONOPLE!$F$15,$M204-$A$15,CO$13)=0,10^12,OFFSET(CRONOPLE!$F$15,$M204-$A$15,CO$13)))</f>
        <v>0</v>
      </c>
      <c r="CP204" s="171">
        <f ca="1">IF(OR($D204&lt;&gt;"Serviço",AND(AUTOEVENTO="Manual",$M204=$A$15)),0,
         IF(OFFSET(CRONOPLE!$F$15,$M204-$A$15,CP$13)=0,10^12,OFFSET(CRONOPLE!$F$15,$M204-$A$15,CP$13)))</f>
        <v>0</v>
      </c>
      <c r="CQ204" s="171">
        <f ca="1">IF(OR($D204&lt;&gt;"Serviço",AND(AUTOEVENTO="Manual",$M204=$A$15)),0,
         IF(OFFSET(CRONOPLE!$F$15,$M204-$A$15,CQ$13)=0,10^12,OFFSET(CRONOPLE!$F$15,$M204-$A$15,CQ$13)))</f>
        <v>0</v>
      </c>
      <c r="CR204" s="171">
        <f ca="1">IF(OR($D204&lt;&gt;"Serviço",AND(AUTOEVENTO="Manual",$M204=$A$15)),0,
         IF(OFFSET(CRONOPLE!$F$15,$M204-$A$15,CR$13)=0,10^12,OFFSET(CRONOPLE!$F$15,$M204-$A$15,CR$13)))</f>
        <v>0</v>
      </c>
      <c r="CT204" s="172" cm="1">
        <f t="array" aca="1" ref="CT204" ca="1">IF(OR($D204&lt;&gt;"Serviço",AND(AUTOEVENTO="Manual",$M204=$A$15),$M204&gt;(ROW(PLE.lastrow)-ROW(PLE.firstrow))),0,
           IF(OFFSET(PLE!$G$15,$M204-$A$15,CT$13)="",10^12,OFFSET(PLE!$G$15,$M204-$A$15,CT$13)))</f>
        <v>0</v>
      </c>
      <c r="CU204" s="172" cm="1">
        <f t="array" aca="1" ref="CU204" ca="1">IF(OR($D204&lt;&gt;"Serviço",AND(AUTOEVENTO="Manual",$M204=$A$15),$M204&gt;(ROW(PLE.lastrow)-ROW(PLE.firstrow))),0,
           IF(OFFSET(PLE!$G$15,$M204-$A$15,CU$13)="",10^12,OFFSET(PLE!$G$15,$M204-$A$15,CU$13)))</f>
        <v>0</v>
      </c>
      <c r="CV204" s="172" cm="1">
        <f t="array" aca="1" ref="CV204" ca="1">IF(OR($D204&lt;&gt;"Serviço",AND(AUTOEVENTO="Manual",$M204=$A$15),$M204&gt;(ROW(PLE.lastrow)-ROW(PLE.firstrow))),0,
           IF(OFFSET(PLE!$G$15,$M204-$A$15,CV$13)="",10^12,OFFSET(PLE!$G$15,$M204-$A$15,CV$13)))</f>
        <v>0</v>
      </c>
      <c r="CW204" s="172" cm="1">
        <f t="array" aca="1" ref="CW204" ca="1">IF(OR($D204&lt;&gt;"Serviço",AND(AUTOEVENTO="Manual",$M204=$A$15),$M204&gt;(ROW(PLE.lastrow)-ROW(PLE.firstrow))),0,
           IF(OFFSET(PLE!$G$15,$M204-$A$15,CW$13)="",10^12,OFFSET(PLE!$G$15,$M204-$A$15,CW$13)))</f>
        <v>0</v>
      </c>
      <c r="CX204" s="172" cm="1">
        <f t="array" aca="1" ref="CX204" ca="1">IF(OR($D204&lt;&gt;"Serviço",AND(AUTOEVENTO="Manual",$M204=$A$15),$M204&gt;(ROW(PLE.lastrow)-ROW(PLE.firstrow))),0,
           IF(OFFSET(PLE!$G$15,$M204-$A$15,CX$13)="",10^12,OFFSET(PLE!$G$15,$M204-$A$15,CX$13)))</f>
        <v>0</v>
      </c>
      <c r="CY204" s="172" cm="1">
        <f t="array" aca="1" ref="CY204" ca="1">IF(OR($D204&lt;&gt;"Serviço",AND(AUTOEVENTO="Manual",$M204=$A$15),$M204&gt;(ROW(PLE.lastrow)-ROW(PLE.firstrow))),0,
           IF(OFFSET(PLE!$G$15,$M204-$A$15,CY$13)="",10^12,OFFSET(PLE!$G$15,$M204-$A$15,CY$13)))</f>
        <v>0</v>
      </c>
      <c r="CZ204" s="172" cm="1">
        <f t="array" aca="1" ref="CZ204" ca="1">IF(OR($D204&lt;&gt;"Serviço",AND(AUTOEVENTO="Manual",$M204=$A$15),$M204&gt;(ROW(PLE.lastrow)-ROW(PLE.firstrow))),0,
           IF(OFFSET(PLE!$G$15,$M204-$A$15,CZ$13)="",10^12,OFFSET(PLE!$G$15,$M204-$A$15,CZ$13)))</f>
        <v>0</v>
      </c>
      <c r="DA204" s="172" cm="1">
        <f t="array" aca="1" ref="DA204" ca="1">IF(OR($D204&lt;&gt;"Serviço",AND(AUTOEVENTO="Manual",$M204=$A$15),$M204&gt;(ROW(PLE.lastrow)-ROW(PLE.firstrow))),0,
           IF(OFFSET(PLE!$G$15,$M204-$A$15,DA$13)="",10^12,OFFSET(PLE!$G$15,$M204-$A$15,DA$13)))</f>
        <v>0</v>
      </c>
      <c r="DB204" s="172" cm="1">
        <f t="array" aca="1" ref="DB204" ca="1">IF(OR($D204&lt;&gt;"Serviço",AND(AUTOEVENTO="Manual",$M204=$A$15),$M204&gt;(ROW(PLE.lastrow)-ROW(PLE.firstrow))),0,
           IF(OFFSET(PLE!$G$15,$M204-$A$15,DB$13)="",10^12,OFFSET(PLE!$G$15,$M204-$A$15,DB$13)))</f>
        <v>0</v>
      </c>
      <c r="DC204" s="172" cm="1">
        <f t="array" aca="1" ref="DC204" ca="1">IF(OR($D204&lt;&gt;"Serviço",AND(AUTOEVENTO="Manual",$M204=$A$15),$M204&gt;(ROW(PLE.lastrow)-ROW(PLE.firstrow))),0,
           IF(OFFSET(PLE!$G$15,$M204-$A$15,DC$13)="",10^12,OFFSET(PLE!$G$15,$M204-$A$15,DC$13)))</f>
        <v>0</v>
      </c>
      <c r="DD204" s="172" cm="1">
        <f t="array" aca="1" ref="DD204" ca="1">IF(OR($D204&lt;&gt;"Serviço",AND(AUTOEVENTO="Manual",$M204=$A$15),$M204&gt;(ROW(PLE.lastrow)-ROW(PLE.firstrow))),0,
           IF(OFFSET(PLE!$G$15,$M204-$A$15,DD$13)="",10^12,OFFSET(PLE!$G$15,$M204-$A$15,DD$13)))</f>
        <v>0</v>
      </c>
      <c r="DE204" s="172" cm="1">
        <f t="array" aca="1" ref="DE204" ca="1">IF(OR($D204&lt;&gt;"Serviço",AND(AUTOEVENTO="Manual",$M204=$A$15),$M204&gt;(ROW(PLE.lastrow)-ROW(PLE.firstrow))),0,
           IF(OFFSET(PLE!$G$15,$M204-$A$15,DE$13)="",10^12,OFFSET(PLE!$G$15,$M204-$A$15,DE$13)))</f>
        <v>0</v>
      </c>
      <c r="DF204" s="172" cm="1">
        <f t="array" aca="1" ref="DF204" ca="1">IF(OR($D204&lt;&gt;"Serviço",AND(AUTOEVENTO="Manual",$M204=$A$15),$M204&gt;(ROW(PLE.lastrow)-ROW(PLE.firstrow))),0,
           IF(OFFSET(PLE!$G$15,$M204-$A$15,DF$13)="",10^12,OFFSET(PLE!$G$15,$M204-$A$15,DF$13)))</f>
        <v>0</v>
      </c>
      <c r="DG204" s="172" cm="1">
        <f t="array" aca="1" ref="DG204" ca="1">IF(OR($D204&lt;&gt;"Serviço",AND(AUTOEVENTO="Manual",$M204=$A$15),$M204&gt;(ROW(PLE.lastrow)-ROW(PLE.firstrow))),0,
           IF(OFFSET(PLE!$G$15,$M204-$A$15,DG$13)="",10^12,OFFSET(PLE!$G$15,$M204-$A$15,DG$13)))</f>
        <v>0</v>
      </c>
      <c r="DH204" s="172" cm="1">
        <f t="array" aca="1" ref="DH204" ca="1">IF(OR($D204&lt;&gt;"Serviço",AND(AUTOEVENTO="Manual",$M204=$A$15),$M204&gt;(ROW(PLE.lastrow)-ROW(PLE.firstrow))),0,
           IF(OFFSET(PLE!$G$15,$M204-$A$15,DH$13)="",10^12,OFFSET(PLE!$G$15,$M204-$A$15,DH$13)))</f>
        <v>0</v>
      </c>
      <c r="DI204" s="172" cm="1">
        <f t="array" aca="1" ref="DI204" ca="1">IF(OR($D204&lt;&gt;"Serviço",AND(AUTOEVENTO="Manual",$M204=$A$15),$M204&gt;(ROW(PLE.lastrow)-ROW(PLE.firstrow))),0,
           IF(OFFSET(PLE!$G$15,$M204-$A$15,DI$13)="",10^12,OFFSET(PLE!$G$15,$M204-$A$15,DI$13)))</f>
        <v>0</v>
      </c>
      <c r="DJ204" s="172" cm="1">
        <f t="array" aca="1" ref="DJ204" ca="1">IF(OR($D204&lt;&gt;"Serviço",AND(AUTOEVENTO="Manual",$M204=$A$15),$M204&gt;(ROW(PLE.lastrow)-ROW(PLE.firstrow))),0,
           IF(OFFSET(PLE!$G$15,$M204-$A$15,DJ$13)="",10^12,OFFSET(PLE!$G$15,$M204-$A$15,DJ$13)))</f>
        <v>0</v>
      </c>
      <c r="DK204" s="172" cm="1">
        <f t="array" aca="1" ref="DK204" ca="1">IF(OR($D204&lt;&gt;"Serviço",AND(AUTOEVENTO="Manual",$M204=$A$15),$M204&gt;(ROW(PLE.lastrow)-ROW(PLE.firstrow))),0,
           IF(OFFSET(PLE!$G$15,$M204-$A$15,DK$13)="",10^12,OFFSET(PLE!$G$15,$M204-$A$15,DK$13)))</f>
        <v>0</v>
      </c>
      <c r="DL204" s="172" cm="1">
        <f t="array" aca="1" ref="DL204" ca="1">IF(OR($D204&lt;&gt;"Serviço",AND(AUTOEVENTO="Manual",$M204=$A$15),$M204&gt;(ROW(PLE.lastrow)-ROW(PLE.firstrow))),0,
           IF(OFFSET(PLE!$G$15,$M204-$A$15,DL$13)="",10^12,OFFSET(PLE!$G$15,$M204-$A$15,DL$13)))</f>
        <v>0</v>
      </c>
      <c r="DM204" s="172" cm="1">
        <f t="array" aca="1" ref="DM204" ca="1">IF(OR($D204&lt;&gt;"Serviço",AND(AUTOEVENTO="Manual",$M204=$A$15),$M204&gt;(ROW(PLE.lastrow)-ROW(PLE.firstrow))),0,
           IF(OFFSET(PLE!$G$15,$M204-$A$15,DM$13)="",10^12,OFFSET(PLE!$G$15,$M204-$A$15,DM$13)))</f>
        <v>0</v>
      </c>
      <c r="DN204" s="172" cm="1">
        <f t="array" aca="1" ref="DN204" ca="1">IF(OR($D204&lt;&gt;"Serviço",AND(AUTOEVENTO="Manual",$M204=$A$15),$M204&gt;(ROW(PLE.lastrow)-ROW(PLE.firstrow))),0,
           IF(OFFSET(PLE!$G$15,$M204-$A$15,DN$13)="",10^12,OFFSET(PLE!$G$15,$M204-$A$15,DN$13)))</f>
        <v>0</v>
      </c>
      <c r="DO204" s="172" cm="1">
        <f t="array" aca="1" ref="DO204" ca="1">IF(OR($D204&lt;&gt;"Serviço",AND(AUTOEVENTO="Manual",$M204=$A$15),$M204&gt;(ROW(PLE.lastrow)-ROW(PLE.firstrow))),0,
           IF(OFFSET(PLE!$G$15,$M204-$A$15,DO$13)="",10^12,OFFSET(PLE!$G$15,$M204-$A$15,DO$13)))</f>
        <v>0</v>
      </c>
      <c r="DP204" s="172" cm="1">
        <f t="array" aca="1" ref="DP204" ca="1">IF(OR($D204&lt;&gt;"Serviço",AND(AUTOEVENTO="Manual",$M204=$A$15),$M204&gt;(ROW(PLE.lastrow)-ROW(PLE.firstrow))),0,
           IF(OFFSET(PLE!$G$15,$M204-$A$15,DP$13)="",10^12,OFFSET(PLE!$G$15,$M204-$A$15,DP$13)))</f>
        <v>0</v>
      </c>
      <c r="DQ204" s="172" cm="1">
        <f t="array" aca="1" ref="DQ204" ca="1">IF(OR($D204&lt;&gt;"Serviço",AND(AUTOEVENTO="Manual",$M204=$A$15),$M204&gt;(ROW(PLE.lastrow)-ROW(PLE.firstrow))),0,
           IF(OFFSET(PLE!$G$15,$M204-$A$15,DQ$13)="",10^12,OFFSET(PLE!$G$15,$M204-$A$15,DQ$13)))</f>
        <v>0</v>
      </c>
      <c r="DR204" s="172" cm="1">
        <f t="array" aca="1" ref="DR204" ca="1">IF(OR($D204&lt;&gt;"Serviço",AND(AUTOEVENTO="Manual",$M204=$A$15),$M204&gt;(ROW(PLE.lastrow)-ROW(PLE.firstrow))),0,
           IF(OFFSET(PLE!$G$15,$M204-$A$15,DR$13)="",10^12,OFFSET(PLE!$G$15,$M204-$A$15,DR$13)))</f>
        <v>0</v>
      </c>
      <c r="DS204" s="172" cm="1">
        <f t="array" aca="1" ref="DS204" ca="1">IF(OR($D204&lt;&gt;"Serviço",AND(AUTOEVENTO="Manual",$M204=$A$15),$M204&gt;(ROW(PLE.lastrow)-ROW(PLE.firstrow))),0,
           IF(OFFSET(PLE!$G$15,$M204-$A$15,DS$13)="",10^12,OFFSET(PLE!$G$15,$M204-$A$15,DS$13)))</f>
        <v>0</v>
      </c>
    </row>
    <row r="205" spans="1:123" ht="38.25" x14ac:dyDescent="0.2">
      <c r="A205" s="7">
        <f t="shared" ca="1" si="18"/>
        <v>9</v>
      </c>
      <c r="B205" s="7" t="str">
        <f ca="1">OFFSET(ORÇAMENTO!C$15,$L205,0)</f>
        <v>S</v>
      </c>
      <c r="C205" s="7" t="str">
        <f ca="1">OFFSET(ORÇAMENTO!L$15,$L205,0)</f>
        <v/>
      </c>
      <c r="D205" s="116" t="str">
        <f ca="1">OFFSET(ORÇAMENTO!N$15,$L205,0)</f>
        <v>Serviço</v>
      </c>
      <c r="E205" s="117" t="str">
        <f ca="1">OFFSET(ORÇAMENTO!O$15,$L205,0)</f>
        <v>-</v>
      </c>
      <c r="F205" s="163" t="str">
        <f ca="1">OFFSET(ORÇAMENTO!R$15,$L205,0)</f>
        <v>(Código não identificado nas referências)</v>
      </c>
      <c r="G205" s="164" t="str">
        <f ca="1">IF($D205&lt;&gt;"Serviço","",OFFSET(ORÇAMENTO!S$15,$L205,0))</f>
        <v>-</v>
      </c>
      <c r="H205" s="122" cm="1">
        <f t="array" aca="1" ref="H205" ca="1">IF($D205&lt;&gt;"Serviço",0,IF(ACOMPANHAMENTO="BM",ROUND(OFFSET(ORÇAMENTO!AJ$15,$L205,0),15-13*ORÇAMENTO!$AF$7),IF(IFERROR(CÁLCULO.FrentesPreenchidas,0)=0,0,SUM(ROUND(OFFSET($P205,0,1,1,CÁLCULO.FrentesPreenchidas),15-13*ORÇAMENTO!$AF$7)))))</f>
        <v>60</v>
      </c>
      <c r="I205" s="468" t="s">
        <v>1235</v>
      </c>
      <c r="J205" s="651" t="str" cm="1">
        <f t="array" aca="1" ref="J205" ca="1">IF(OR(B205&lt;&gt;"S",CÁLCULO.FrentesPreenchidas=0),"",IF(AND(ACOMPANHAMENTO="PLE",AUTOEVENTO="Manual",OR(H205&gt;0,ORÇAMENTO!AC205="QUANT."),OR(K205="",M205=0,N205="")),"►E",IF(AND(ACOMPANHAMENTO="PLE",ORÇAMENTO!AC205="QUANT."),"►Q",IF(AND(ACOMPANHAMENTO="PLE",H205&lt;&gt;SUMPRODUCT(($Q$1:$AQ$1=1)*ROUND(Q205:AQ205,15))),"►S",IF(AND(COUNTIF($P$11:$AQ$11,"▼")=0,H205&gt;0,I205=""),"◄M","")))))</f>
        <v/>
      </c>
      <c r="K205" s="652" t="s">
        <v>1257</v>
      </c>
      <c r="L205" s="165">
        <f t="shared" ca="1" si="17"/>
        <v>190</v>
      </c>
      <c r="M205" s="166">
        <f ca="1">IF($D205&lt;&gt;"Serviço","",
          IF(AUTOEVENTO="manual",$A205,
                IF(ISERROR(MATCH($A205,$A$15:OFFSET($A205,-1,0),0)),MAX($M$15:OFFSET(M205,-1,0))+1,
                      INDEX($M$15:OFFSET(M205,-1,0),MATCH($A205,$A$15:OFFSET($A205,-1,0),0)))))</f>
        <v>9</v>
      </c>
      <c r="N205" s="167" t="str">
        <f ca="1">IF($D205&lt;&gt;"Serviço","",
         IF(AUTOEVENTO="Manual",
                IF($A205=0,"&lt;-- defina o número do agrupador",
                       OFFSET(EVENTOS!$D$15,$A205-$A$15,0)),
                OFFSET($F$15,$A205,0)))</f>
        <v>INSTALAÇÕES</v>
      </c>
      <c r="O205" s="168"/>
      <c r="Q205" s="168">
        <v>3</v>
      </c>
      <c r="R205" s="169">
        <v>3</v>
      </c>
      <c r="S205" s="169">
        <v>3</v>
      </c>
      <c r="T205" s="169">
        <v>3</v>
      </c>
      <c r="U205" s="169">
        <v>3</v>
      </c>
      <c r="V205" s="169">
        <v>3</v>
      </c>
      <c r="W205" s="169">
        <v>3</v>
      </c>
      <c r="X205" s="169">
        <v>3</v>
      </c>
      <c r="Y205" s="169">
        <v>3</v>
      </c>
      <c r="Z205" s="170">
        <v>3</v>
      </c>
      <c r="AA205" s="169">
        <v>3</v>
      </c>
      <c r="AB205" s="169">
        <v>3</v>
      </c>
      <c r="AC205" s="169">
        <v>3</v>
      </c>
      <c r="AD205" s="169">
        <v>3</v>
      </c>
      <c r="AE205" s="169">
        <v>3</v>
      </c>
      <c r="AF205" s="169">
        <v>3</v>
      </c>
      <c r="AG205" s="169">
        <v>3</v>
      </c>
      <c r="AH205" s="170">
        <v>3</v>
      </c>
      <c r="AI205" s="169">
        <v>3</v>
      </c>
      <c r="AJ205" s="169">
        <v>3</v>
      </c>
      <c r="AK205" s="169"/>
      <c r="AL205" s="169"/>
      <c r="AM205" s="169"/>
      <c r="AN205" s="169"/>
      <c r="AO205" s="169"/>
      <c r="AP205" s="170"/>
      <c r="AR205" s="453">
        <f ca="1">IF(AND($D205="Serviço",AR$12&lt;&gt;0,$H205&gt;0,OR(AUTOEVENTO&lt;&gt;"manual",$M205&lt;&gt;$A$15)),
        IF(Import.TipoArredondamento&lt;&gt;"TransfereGOV",
              ROUND(OFFSET($P205,0,AR$13),15-13*ORÇAMENTO!$AF$7)/$H205*OFFSET(ORÇAMENTO!$X$15,ROW(AR205)-ROW(AR$15),0),
              ROUND(ROUND(OFFSET($P205,0,AR$13),15-13*ORÇAMENTO!$AF$7)*OFFSET(ORÇAMENTO!$W$15,ROW(AR205)-ROW(AR$15),0),15-13*ORÇAMENTO!$AF$11)),
         0)</f>
        <v>0</v>
      </c>
      <c r="AS205" s="453">
        <f ca="1">IF(AND($D205="Serviço",AS$12&lt;&gt;0,$H205&gt;0,OR(AUTOEVENTO&lt;&gt;"manual",$M205&lt;&gt;$A$15)),
        IF(Import.TipoArredondamento&lt;&gt;"TransfereGOV",
              ROUND(OFFSET($P205,0,AS$13),15-13*ORÇAMENTO!$AF$7)/$H205*OFFSET(ORÇAMENTO!$X$15,ROW(AS205)-ROW(AS$15),0),
              ROUND(ROUND(OFFSET($P205,0,AS$13),15-13*ORÇAMENTO!$AF$7)*OFFSET(ORÇAMENTO!$W$15,ROW(AS205)-ROW(AS$15),0),15-13*ORÇAMENTO!$AF$11)),
         0)</f>
        <v>0</v>
      </c>
      <c r="AT205" s="453">
        <f ca="1">IF(AND($D205="Serviço",AT$12&lt;&gt;0,$H205&gt;0,OR(AUTOEVENTO&lt;&gt;"manual",$M205&lt;&gt;$A$15)),
        IF(Import.TipoArredondamento&lt;&gt;"TransfereGOV",
              ROUND(OFFSET($P205,0,AT$13),15-13*ORÇAMENTO!$AF$7)/$H205*OFFSET(ORÇAMENTO!$X$15,ROW(AT205)-ROW(AT$15),0),
              ROUND(ROUND(OFFSET($P205,0,AT$13),15-13*ORÇAMENTO!$AF$7)*OFFSET(ORÇAMENTO!$W$15,ROW(AT205)-ROW(AT$15),0),15-13*ORÇAMENTO!$AF$11)),
         0)</f>
        <v>0</v>
      </c>
      <c r="AU205" s="453">
        <f ca="1">IF(AND($D205="Serviço",AU$12&lt;&gt;0,$H205&gt;0,OR(AUTOEVENTO&lt;&gt;"manual",$M205&lt;&gt;$A$15)),
        IF(Import.TipoArredondamento&lt;&gt;"TransfereGOV",
              ROUND(OFFSET($P205,0,AU$13),15-13*ORÇAMENTO!$AF$7)/$H205*OFFSET(ORÇAMENTO!$X$15,ROW(AU205)-ROW(AU$15),0),
              ROUND(ROUND(OFFSET($P205,0,AU$13),15-13*ORÇAMENTO!$AF$7)*OFFSET(ORÇAMENTO!$W$15,ROW(AU205)-ROW(AU$15),0),15-13*ORÇAMENTO!$AF$11)),
         0)</f>
        <v>0</v>
      </c>
      <c r="AV205" s="453">
        <f ca="1">IF(AND($D205="Serviço",AV$12&lt;&gt;0,$H205&gt;0,OR(AUTOEVENTO&lt;&gt;"manual",$M205&lt;&gt;$A$15)),
        IF(Import.TipoArredondamento&lt;&gt;"TransfereGOV",
              ROUND(OFFSET($P205,0,AV$13),15-13*ORÇAMENTO!$AF$7)/$H205*OFFSET(ORÇAMENTO!$X$15,ROW(AV205)-ROW(AV$15),0),
              ROUND(ROUND(OFFSET($P205,0,AV$13),15-13*ORÇAMENTO!$AF$7)*OFFSET(ORÇAMENTO!$W$15,ROW(AV205)-ROW(AV$15),0),15-13*ORÇAMENTO!$AF$11)),
         0)</f>
        <v>0</v>
      </c>
      <c r="AW205" s="453">
        <f ca="1">IF(AND($D205="Serviço",AW$12&lt;&gt;0,$H205&gt;0,OR(AUTOEVENTO&lt;&gt;"manual",$M205&lt;&gt;$A$15)),
        IF(Import.TipoArredondamento&lt;&gt;"TransfereGOV",
              ROUND(OFFSET($P205,0,AW$13),15-13*ORÇAMENTO!$AF$7)/$H205*OFFSET(ORÇAMENTO!$X$15,ROW(AW205)-ROW(AW$15),0),
              ROUND(ROUND(OFFSET($P205,0,AW$13),15-13*ORÇAMENTO!$AF$7)*OFFSET(ORÇAMENTO!$W$15,ROW(AW205)-ROW(AW$15),0),15-13*ORÇAMENTO!$AF$11)),
         0)</f>
        <v>0</v>
      </c>
      <c r="AX205" s="453">
        <f ca="1">IF(AND($D205="Serviço",AX$12&lt;&gt;0,$H205&gt;0,OR(AUTOEVENTO&lt;&gt;"manual",$M205&lt;&gt;$A$15)),
        IF(Import.TipoArredondamento&lt;&gt;"TransfereGOV",
              ROUND(OFFSET($P205,0,AX$13),15-13*ORÇAMENTO!$AF$7)/$H205*OFFSET(ORÇAMENTO!$X$15,ROW(AX205)-ROW(AX$15),0),
              ROUND(ROUND(OFFSET($P205,0,AX$13),15-13*ORÇAMENTO!$AF$7)*OFFSET(ORÇAMENTO!$W$15,ROW(AX205)-ROW(AX$15),0),15-13*ORÇAMENTO!$AF$11)),
         0)</f>
        <v>0</v>
      </c>
      <c r="AY205" s="453">
        <f ca="1">IF(AND($D205="Serviço",AY$12&lt;&gt;0,$H205&gt;0,OR(AUTOEVENTO&lt;&gt;"manual",$M205&lt;&gt;$A$15)),
        IF(Import.TipoArredondamento&lt;&gt;"TransfereGOV",
              ROUND(OFFSET($P205,0,AY$13),15-13*ORÇAMENTO!$AF$7)/$H205*OFFSET(ORÇAMENTO!$X$15,ROW(AY205)-ROW(AY$15),0),
              ROUND(ROUND(OFFSET($P205,0,AY$13),15-13*ORÇAMENTO!$AF$7)*OFFSET(ORÇAMENTO!$W$15,ROW(AY205)-ROW(AY$15),0),15-13*ORÇAMENTO!$AF$11)),
         0)</f>
        <v>0</v>
      </c>
      <c r="AZ205" s="453">
        <f ca="1">IF(AND($D205="Serviço",AZ$12&lt;&gt;0,$H205&gt;0,OR(AUTOEVENTO&lt;&gt;"manual",$M205&lt;&gt;$A$15)),
        IF(Import.TipoArredondamento&lt;&gt;"TransfereGOV",
              ROUND(OFFSET($P205,0,AZ$13),15-13*ORÇAMENTO!$AF$7)/$H205*OFFSET(ORÇAMENTO!$X$15,ROW(AZ205)-ROW(AZ$15),0),
              ROUND(ROUND(OFFSET($P205,0,AZ$13),15-13*ORÇAMENTO!$AF$7)*OFFSET(ORÇAMENTO!$W$15,ROW(AZ205)-ROW(AZ$15),0),15-13*ORÇAMENTO!$AF$11)),
         0)</f>
        <v>0</v>
      </c>
      <c r="BA205" s="453">
        <f ca="1">IF(AND($D205="Serviço",BA$12&lt;&gt;0,$H205&gt;0,OR(AUTOEVENTO&lt;&gt;"manual",$M205&lt;&gt;$A$15)),
        IF(Import.TipoArredondamento&lt;&gt;"TransfereGOV",
              ROUND(OFFSET($P205,0,BA$13),15-13*ORÇAMENTO!$AF$7)/$H205*OFFSET(ORÇAMENTO!$X$15,ROW(BA205)-ROW(BA$15),0),
              ROUND(ROUND(OFFSET($P205,0,BA$13),15-13*ORÇAMENTO!$AF$7)*OFFSET(ORÇAMENTO!$W$15,ROW(BA205)-ROW(BA$15),0),15-13*ORÇAMENTO!$AF$11)),
         0)</f>
        <v>0</v>
      </c>
      <c r="BB205" s="453">
        <f ca="1">IF(AND($D205="Serviço",BB$12&lt;&gt;0,$H205&gt;0,OR(AUTOEVENTO&lt;&gt;"manual",$M205&lt;&gt;$A$15)),
        IF(Import.TipoArredondamento&lt;&gt;"TransfereGOV",
              ROUND(OFFSET($P205,0,BB$13),15-13*ORÇAMENTO!$AF$7)/$H205*OFFSET(ORÇAMENTO!$X$15,ROW(BB205)-ROW(BB$15),0),
              ROUND(ROUND(OFFSET($P205,0,BB$13),15-13*ORÇAMENTO!$AF$7)*OFFSET(ORÇAMENTO!$W$15,ROW(BB205)-ROW(BB$15),0),15-13*ORÇAMENTO!$AF$11)),
         0)</f>
        <v>0</v>
      </c>
      <c r="BC205" s="453">
        <f ca="1">IF(AND($D205="Serviço",BC$12&lt;&gt;0,$H205&gt;0,OR(AUTOEVENTO&lt;&gt;"manual",$M205&lt;&gt;$A$15)),
        IF(Import.TipoArredondamento&lt;&gt;"TransfereGOV",
              ROUND(OFFSET($P205,0,BC$13),15-13*ORÇAMENTO!$AF$7)/$H205*OFFSET(ORÇAMENTO!$X$15,ROW(BC205)-ROW(BC$15),0),
              ROUND(ROUND(OFFSET($P205,0,BC$13),15-13*ORÇAMENTO!$AF$7)*OFFSET(ORÇAMENTO!$W$15,ROW(BC205)-ROW(BC$15),0),15-13*ORÇAMENTO!$AF$11)),
         0)</f>
        <v>0</v>
      </c>
      <c r="BD205" s="453">
        <f ca="1">IF(AND($D205="Serviço",BD$12&lt;&gt;0,$H205&gt;0,OR(AUTOEVENTO&lt;&gt;"manual",$M205&lt;&gt;$A$15)),
        IF(Import.TipoArredondamento&lt;&gt;"TransfereGOV",
              ROUND(OFFSET($P205,0,BD$13),15-13*ORÇAMENTO!$AF$7)/$H205*OFFSET(ORÇAMENTO!$X$15,ROW(BD205)-ROW(BD$15),0),
              ROUND(ROUND(OFFSET($P205,0,BD$13),15-13*ORÇAMENTO!$AF$7)*OFFSET(ORÇAMENTO!$W$15,ROW(BD205)-ROW(BD$15),0),15-13*ORÇAMENTO!$AF$11)),
         0)</f>
        <v>0</v>
      </c>
      <c r="BE205" s="453">
        <f ca="1">IF(AND($D205="Serviço",BE$12&lt;&gt;0,$H205&gt;0,OR(AUTOEVENTO&lt;&gt;"manual",$M205&lt;&gt;$A$15)),
        IF(Import.TipoArredondamento&lt;&gt;"TransfereGOV",
              ROUND(OFFSET($P205,0,BE$13),15-13*ORÇAMENTO!$AF$7)/$H205*OFFSET(ORÇAMENTO!$X$15,ROW(BE205)-ROW(BE$15),0),
              ROUND(ROUND(OFFSET($P205,0,BE$13),15-13*ORÇAMENTO!$AF$7)*OFFSET(ORÇAMENTO!$W$15,ROW(BE205)-ROW(BE$15),0),15-13*ORÇAMENTO!$AF$11)),
         0)</f>
        <v>0</v>
      </c>
      <c r="BF205" s="453">
        <f ca="1">IF(AND($D205="Serviço",BF$12&lt;&gt;0,$H205&gt;0,OR(AUTOEVENTO&lt;&gt;"manual",$M205&lt;&gt;$A$15)),
        IF(Import.TipoArredondamento&lt;&gt;"TransfereGOV",
              ROUND(OFFSET($P205,0,BF$13),15-13*ORÇAMENTO!$AF$7)/$H205*OFFSET(ORÇAMENTO!$X$15,ROW(BF205)-ROW(BF$15),0),
              ROUND(ROUND(OFFSET($P205,0,BF$13),15-13*ORÇAMENTO!$AF$7)*OFFSET(ORÇAMENTO!$W$15,ROW(BF205)-ROW(BF$15),0),15-13*ORÇAMENTO!$AF$11)),
         0)</f>
        <v>0</v>
      </c>
      <c r="BG205" s="453">
        <f ca="1">IF(AND($D205="Serviço",BG$12&lt;&gt;0,$H205&gt;0,OR(AUTOEVENTO&lt;&gt;"manual",$M205&lt;&gt;$A$15)),
        IF(Import.TipoArredondamento&lt;&gt;"TransfereGOV",
              ROUND(OFFSET($P205,0,BG$13),15-13*ORÇAMENTO!$AF$7)/$H205*OFFSET(ORÇAMENTO!$X$15,ROW(BG205)-ROW(BG$15),0),
              ROUND(ROUND(OFFSET($P205,0,BG$13),15-13*ORÇAMENTO!$AF$7)*OFFSET(ORÇAMENTO!$W$15,ROW(BG205)-ROW(BG$15),0),15-13*ORÇAMENTO!$AF$11)),
         0)</f>
        <v>0</v>
      </c>
      <c r="BH205" s="453">
        <f ca="1">IF(AND($D205="Serviço",BH$12&lt;&gt;0,$H205&gt;0,OR(AUTOEVENTO&lt;&gt;"manual",$M205&lt;&gt;$A$15)),
        IF(Import.TipoArredondamento&lt;&gt;"TransfereGOV",
              ROUND(OFFSET($P205,0,BH$13),15-13*ORÇAMENTO!$AF$7)/$H205*OFFSET(ORÇAMENTO!$X$15,ROW(BH205)-ROW(BH$15),0),
              ROUND(ROUND(OFFSET($P205,0,BH$13),15-13*ORÇAMENTO!$AF$7)*OFFSET(ORÇAMENTO!$W$15,ROW(BH205)-ROW(BH$15),0),15-13*ORÇAMENTO!$AF$11)),
         0)</f>
        <v>0</v>
      </c>
      <c r="BI205" s="453">
        <f ca="1">IF(AND($D205="Serviço",BI$12&lt;&gt;0,$H205&gt;0,OR(AUTOEVENTO&lt;&gt;"manual",$M205&lt;&gt;$A$15)),
        IF(Import.TipoArredondamento&lt;&gt;"TransfereGOV",
              ROUND(OFFSET($P205,0,BI$13),15-13*ORÇAMENTO!$AF$7)/$H205*OFFSET(ORÇAMENTO!$X$15,ROW(BI205)-ROW(BI$15),0),
              ROUND(ROUND(OFFSET($P205,0,BI$13),15-13*ORÇAMENTO!$AF$7)*OFFSET(ORÇAMENTO!$W$15,ROW(BI205)-ROW(BI$15),0),15-13*ORÇAMENTO!$AF$11)),
         0)</f>
        <v>0</v>
      </c>
      <c r="BJ205" s="453">
        <f ca="1">IF(AND($D205="Serviço",BJ$12&lt;&gt;0,$H205&gt;0,OR(AUTOEVENTO&lt;&gt;"manual",$M205&lt;&gt;$A$15)),
        IF(Import.TipoArredondamento&lt;&gt;"TransfereGOV",
              ROUND(OFFSET($P205,0,BJ$13),15-13*ORÇAMENTO!$AF$7)/$H205*OFFSET(ORÇAMENTO!$X$15,ROW(BJ205)-ROW(BJ$15),0),
              ROUND(ROUND(OFFSET($P205,0,BJ$13),15-13*ORÇAMENTO!$AF$7)*OFFSET(ORÇAMENTO!$W$15,ROW(BJ205)-ROW(BJ$15),0),15-13*ORÇAMENTO!$AF$11)),
         0)</f>
        <v>0</v>
      </c>
      <c r="BK205" s="453">
        <f ca="1">IF(AND($D205="Serviço",BK$12&lt;&gt;0,$H205&gt;0,OR(AUTOEVENTO&lt;&gt;"manual",$M205&lt;&gt;$A$15)),
        IF(Import.TipoArredondamento&lt;&gt;"TransfereGOV",
              ROUND(OFFSET($P205,0,BK$13),15-13*ORÇAMENTO!$AF$7)/$H205*OFFSET(ORÇAMENTO!$X$15,ROW(BK205)-ROW(BK$15),0),
              ROUND(ROUND(OFFSET($P205,0,BK$13),15-13*ORÇAMENTO!$AF$7)*OFFSET(ORÇAMENTO!$W$15,ROW(BK205)-ROW(BK$15),0),15-13*ORÇAMENTO!$AF$11)),
         0)</f>
        <v>0</v>
      </c>
      <c r="BL205" s="453">
        <f ca="1">IF(AND($D205="Serviço",BL$12&lt;&gt;0,$H205&gt;0,OR(AUTOEVENTO&lt;&gt;"manual",$M205&lt;&gt;$A$15)),
        IF(Import.TipoArredondamento&lt;&gt;"TransfereGOV",
              ROUND(OFFSET($P205,0,BL$13),15-13*ORÇAMENTO!$AF$7)/$H205*OFFSET(ORÇAMENTO!$X$15,ROW(BL205)-ROW(BL$15),0),
              ROUND(ROUND(OFFSET($P205,0,BL$13),15-13*ORÇAMENTO!$AF$7)*OFFSET(ORÇAMENTO!$W$15,ROW(BL205)-ROW(BL$15),0),15-13*ORÇAMENTO!$AF$11)),
         0)</f>
        <v>0</v>
      </c>
      <c r="BM205" s="453">
        <f ca="1">IF(AND($D205="Serviço",BM$12&lt;&gt;0,$H205&gt;0,OR(AUTOEVENTO&lt;&gt;"manual",$M205&lt;&gt;$A$15)),
        IF(Import.TipoArredondamento&lt;&gt;"TransfereGOV",
              ROUND(OFFSET($P205,0,BM$13),15-13*ORÇAMENTO!$AF$7)/$H205*OFFSET(ORÇAMENTO!$X$15,ROW(BM205)-ROW(BM$15),0),
              ROUND(ROUND(OFFSET($P205,0,BM$13),15-13*ORÇAMENTO!$AF$7)*OFFSET(ORÇAMENTO!$W$15,ROW(BM205)-ROW(BM$15),0),15-13*ORÇAMENTO!$AF$11)),
         0)</f>
        <v>0</v>
      </c>
      <c r="BN205" s="453">
        <f ca="1">IF(AND($D205="Serviço",BN$12&lt;&gt;0,$H205&gt;0,OR(AUTOEVENTO&lt;&gt;"manual",$M205&lt;&gt;$A$15)),
        IF(Import.TipoArredondamento&lt;&gt;"TransfereGOV",
              ROUND(OFFSET($P205,0,BN$13),15-13*ORÇAMENTO!$AF$7)/$H205*OFFSET(ORÇAMENTO!$X$15,ROW(BN205)-ROW(BN$15),0),
              ROUND(ROUND(OFFSET($P205,0,BN$13),15-13*ORÇAMENTO!$AF$7)*OFFSET(ORÇAMENTO!$W$15,ROW(BN205)-ROW(BN$15),0),15-13*ORÇAMENTO!$AF$11)),
         0)</f>
        <v>0</v>
      </c>
      <c r="BO205" s="453">
        <f ca="1">IF(AND($D205="Serviço",BO$12&lt;&gt;0,$H205&gt;0,OR(AUTOEVENTO&lt;&gt;"manual",$M205&lt;&gt;$A$15)),
        IF(Import.TipoArredondamento&lt;&gt;"TransfereGOV",
              ROUND(OFFSET($P205,0,BO$13),15-13*ORÇAMENTO!$AF$7)/$H205*OFFSET(ORÇAMENTO!$X$15,ROW(BO205)-ROW(BO$15),0),
              ROUND(ROUND(OFFSET($P205,0,BO$13),15-13*ORÇAMENTO!$AF$7)*OFFSET(ORÇAMENTO!$W$15,ROW(BO205)-ROW(BO$15),0),15-13*ORÇAMENTO!$AF$11)),
         0)</f>
        <v>0</v>
      </c>
      <c r="BP205" s="453">
        <f ca="1">IF(AND($D205="Serviço",BP$12&lt;&gt;0,$H205&gt;0,OR(AUTOEVENTO&lt;&gt;"manual",$M205&lt;&gt;$A$15)),
        IF(Import.TipoArredondamento&lt;&gt;"TransfereGOV",
              ROUND(OFFSET($P205,0,BP$13),15-13*ORÇAMENTO!$AF$7)/$H205*OFFSET(ORÇAMENTO!$X$15,ROW(BP205)-ROW(BP$15),0),
              ROUND(ROUND(OFFSET($P205,0,BP$13),15-13*ORÇAMENTO!$AF$7)*OFFSET(ORÇAMENTO!$W$15,ROW(BP205)-ROW(BP$15),0),15-13*ORÇAMENTO!$AF$11)),
         0)</f>
        <v>0</v>
      </c>
      <c r="BQ205" s="453">
        <f ca="1">IF(AND($D205="Serviço",BQ$12&lt;&gt;0,$H205&gt;0,OR(AUTOEVENTO&lt;&gt;"manual",$M205&lt;&gt;$A$15)),
        IF(Import.TipoArredondamento&lt;&gt;"TransfereGOV",
              ROUND(OFFSET($P205,0,BQ$13),15-13*ORÇAMENTO!$AF$7)/$H205*OFFSET(ORÇAMENTO!$X$15,ROW(BQ205)-ROW(BQ$15),0),
              ROUND(ROUND(OFFSET($P205,0,BQ$13),15-13*ORÇAMENTO!$AF$7)*OFFSET(ORÇAMENTO!$W$15,ROW(BQ205)-ROW(BQ$15),0),15-13*ORÇAMENTO!$AF$11)),
         0)</f>
        <v>0</v>
      </c>
      <c r="BS205" s="171">
        <f ca="1">IF(OR($D205&lt;&gt;"Serviço",AND(AUTOEVENTO="Manual",$M205=$A$15)),0,
         IF(OFFSET(CRONOPLE!$F$15,$M205-$A$15,BS$13)=0,10^12,OFFSET(CRONOPLE!$F$15,$M205-$A$15,BS$13)))</f>
        <v>1</v>
      </c>
      <c r="BT205" s="171">
        <f ca="1">IF(OR($D205&lt;&gt;"Serviço",AND(AUTOEVENTO="Manual",$M205=$A$15)),0,
         IF(OFFSET(CRONOPLE!$F$15,$M205-$A$15,BT$13)=0,10^12,OFFSET(CRONOPLE!$F$15,$M205-$A$15,BT$13)))</f>
        <v>2</v>
      </c>
      <c r="BU205" s="171">
        <f ca="1">IF(OR($D205&lt;&gt;"Serviço",AND(AUTOEVENTO="Manual",$M205=$A$15)),0,
         IF(OFFSET(CRONOPLE!$F$15,$M205-$A$15,BU$13)=0,10^12,OFFSET(CRONOPLE!$F$15,$M205-$A$15,BU$13)))</f>
        <v>3</v>
      </c>
      <c r="BV205" s="171">
        <f ca="1">IF(OR($D205&lt;&gt;"Serviço",AND(AUTOEVENTO="Manual",$M205=$A$15)),0,
         IF(OFFSET(CRONOPLE!$F$15,$M205-$A$15,BV$13)=0,10^12,OFFSET(CRONOPLE!$F$15,$M205-$A$15,BV$13)))</f>
        <v>4</v>
      </c>
      <c r="BW205" s="171">
        <f ca="1">IF(OR($D205&lt;&gt;"Serviço",AND(AUTOEVENTO="Manual",$M205=$A$15)),0,
         IF(OFFSET(CRONOPLE!$F$15,$M205-$A$15,BW$13)=0,10^12,OFFSET(CRONOPLE!$F$15,$M205-$A$15,BW$13)))</f>
        <v>5</v>
      </c>
      <c r="BX205" s="171">
        <f ca="1">IF(OR($D205&lt;&gt;"Serviço",AND(AUTOEVENTO="Manual",$M205=$A$15)),0,
         IF(OFFSET(CRONOPLE!$F$15,$M205-$A$15,BX$13)=0,10^12,OFFSET(CRONOPLE!$F$15,$M205-$A$15,BX$13)))</f>
        <v>6</v>
      </c>
      <c r="BY205" s="171">
        <f ca="1">IF(OR($D205&lt;&gt;"Serviço",AND(AUTOEVENTO="Manual",$M205=$A$15)),0,
         IF(OFFSET(CRONOPLE!$F$15,$M205-$A$15,BY$13)=0,10^12,OFFSET(CRONOPLE!$F$15,$M205-$A$15,BY$13)))</f>
        <v>7</v>
      </c>
      <c r="BZ205" s="171">
        <f ca="1">IF(OR($D205&lt;&gt;"Serviço",AND(AUTOEVENTO="Manual",$M205=$A$15)),0,
         IF(OFFSET(CRONOPLE!$F$15,$M205-$A$15,BZ$13)=0,10^12,OFFSET(CRONOPLE!$F$15,$M205-$A$15,BZ$13)))</f>
        <v>8</v>
      </c>
      <c r="CA205" s="171">
        <f ca="1">IF(OR($D205&lt;&gt;"Serviço",AND(AUTOEVENTO="Manual",$M205=$A$15)),0,
         IF(OFFSET(CRONOPLE!$F$15,$M205-$A$15,CA$13)=0,10^12,OFFSET(CRONOPLE!$F$15,$M205-$A$15,CA$13)))</f>
        <v>9</v>
      </c>
      <c r="CB205" s="171">
        <f ca="1">IF(OR($D205&lt;&gt;"Serviço",AND(AUTOEVENTO="Manual",$M205=$A$15)),0,
         IF(OFFSET(CRONOPLE!$F$15,$M205-$A$15,CB$13)=0,10^12,OFFSET(CRONOPLE!$F$15,$M205-$A$15,CB$13)))</f>
        <v>10</v>
      </c>
      <c r="CC205" s="171">
        <f ca="1">IF(OR($D205&lt;&gt;"Serviço",AND(AUTOEVENTO="Manual",$M205=$A$15)),0,
         IF(OFFSET(CRONOPLE!$F$15,$M205-$A$15,CC$13)=0,10^12,OFFSET(CRONOPLE!$F$15,$M205-$A$15,CC$13)))</f>
        <v>11</v>
      </c>
      <c r="CD205" s="171">
        <f ca="1">IF(OR($D205&lt;&gt;"Serviço",AND(AUTOEVENTO="Manual",$M205=$A$15)),0,
         IF(OFFSET(CRONOPLE!$F$15,$M205-$A$15,CD$13)=0,10^12,OFFSET(CRONOPLE!$F$15,$M205-$A$15,CD$13)))</f>
        <v>12</v>
      </c>
      <c r="CE205" s="171">
        <f ca="1">IF(OR($D205&lt;&gt;"Serviço",AND(AUTOEVENTO="Manual",$M205=$A$15)),0,
         IF(OFFSET(CRONOPLE!$F$15,$M205-$A$15,CE$13)=0,10^12,OFFSET(CRONOPLE!$F$15,$M205-$A$15,CE$13)))</f>
        <v>13</v>
      </c>
      <c r="CF205" s="171">
        <f ca="1">IF(OR($D205&lt;&gt;"Serviço",AND(AUTOEVENTO="Manual",$M205=$A$15)),0,
         IF(OFFSET(CRONOPLE!$F$15,$M205-$A$15,CF$13)=0,10^12,OFFSET(CRONOPLE!$F$15,$M205-$A$15,CF$13)))</f>
        <v>14</v>
      </c>
      <c r="CG205" s="171">
        <f ca="1">IF(OR($D205&lt;&gt;"Serviço",AND(AUTOEVENTO="Manual",$M205=$A$15)),0,
         IF(OFFSET(CRONOPLE!$F$15,$M205-$A$15,CG$13)=0,10^12,OFFSET(CRONOPLE!$F$15,$M205-$A$15,CG$13)))</f>
        <v>15</v>
      </c>
      <c r="CH205" s="171">
        <f ca="1">IF(OR($D205&lt;&gt;"Serviço",AND(AUTOEVENTO="Manual",$M205=$A$15)),0,
         IF(OFFSET(CRONOPLE!$F$15,$M205-$A$15,CH$13)=0,10^12,OFFSET(CRONOPLE!$F$15,$M205-$A$15,CH$13)))</f>
        <v>16</v>
      </c>
      <c r="CI205" s="171">
        <f ca="1">IF(OR($D205&lt;&gt;"Serviço",AND(AUTOEVENTO="Manual",$M205=$A$15)),0,
         IF(OFFSET(CRONOPLE!$F$15,$M205-$A$15,CI$13)=0,10^12,OFFSET(CRONOPLE!$F$15,$M205-$A$15,CI$13)))</f>
        <v>17</v>
      </c>
      <c r="CJ205" s="171">
        <f ca="1">IF(OR($D205&lt;&gt;"Serviço",AND(AUTOEVENTO="Manual",$M205=$A$15)),0,
         IF(OFFSET(CRONOPLE!$F$15,$M205-$A$15,CJ$13)=0,10^12,OFFSET(CRONOPLE!$F$15,$M205-$A$15,CJ$13)))</f>
        <v>18</v>
      </c>
      <c r="CK205" s="171">
        <f ca="1">IF(OR($D205&lt;&gt;"Serviço",AND(AUTOEVENTO="Manual",$M205=$A$15)),0,
         IF(OFFSET(CRONOPLE!$F$15,$M205-$A$15,CK$13)=0,10^12,OFFSET(CRONOPLE!$F$15,$M205-$A$15,CK$13)))</f>
        <v>19</v>
      </c>
      <c r="CL205" s="171">
        <f ca="1">IF(OR($D205&lt;&gt;"Serviço",AND(AUTOEVENTO="Manual",$M205=$A$15)),0,
         IF(OFFSET(CRONOPLE!$F$15,$M205-$A$15,CL$13)=0,10^12,OFFSET(CRONOPLE!$F$15,$M205-$A$15,CL$13)))</f>
        <v>20</v>
      </c>
      <c r="CM205" s="171">
        <f ca="1">IF(OR($D205&lt;&gt;"Serviço",AND(AUTOEVENTO="Manual",$M205=$A$15)),0,
         IF(OFFSET(CRONOPLE!$F$15,$M205-$A$15,CM$13)=0,10^12,OFFSET(CRONOPLE!$F$15,$M205-$A$15,CM$13)))</f>
        <v>1000000000000</v>
      </c>
      <c r="CN205" s="171">
        <f ca="1">IF(OR($D205&lt;&gt;"Serviço",AND(AUTOEVENTO="Manual",$M205=$A$15)),0,
         IF(OFFSET(CRONOPLE!$F$15,$M205-$A$15,CN$13)=0,10^12,OFFSET(CRONOPLE!$F$15,$M205-$A$15,CN$13)))</f>
        <v>1000000000000</v>
      </c>
      <c r="CO205" s="171">
        <f ca="1">IF(OR($D205&lt;&gt;"Serviço",AND(AUTOEVENTO="Manual",$M205=$A$15)),0,
         IF(OFFSET(CRONOPLE!$F$15,$M205-$A$15,CO$13)=0,10^12,OFFSET(CRONOPLE!$F$15,$M205-$A$15,CO$13)))</f>
        <v>1000000000000</v>
      </c>
      <c r="CP205" s="171">
        <f ca="1">IF(OR($D205&lt;&gt;"Serviço",AND(AUTOEVENTO="Manual",$M205=$A$15)),0,
         IF(OFFSET(CRONOPLE!$F$15,$M205-$A$15,CP$13)=0,10^12,OFFSET(CRONOPLE!$F$15,$M205-$A$15,CP$13)))</f>
        <v>1000000000000</v>
      </c>
      <c r="CQ205" s="171">
        <f ca="1">IF(OR($D205&lt;&gt;"Serviço",AND(AUTOEVENTO="Manual",$M205=$A$15)),0,
         IF(OFFSET(CRONOPLE!$F$15,$M205-$A$15,CQ$13)=0,10^12,OFFSET(CRONOPLE!$F$15,$M205-$A$15,CQ$13)))</f>
        <v>1000000000000</v>
      </c>
      <c r="CR205" s="171">
        <f ca="1">IF(OR($D205&lt;&gt;"Serviço",AND(AUTOEVENTO="Manual",$M205=$A$15)),0,
         IF(OFFSET(CRONOPLE!$F$15,$M205-$A$15,CR$13)=0,10^12,OFFSET(CRONOPLE!$F$15,$M205-$A$15,CR$13)))</f>
        <v>1000000000000</v>
      </c>
      <c r="CT205" s="172" cm="1">
        <f t="array" aca="1" ref="CT205" ca="1">IF(OR($D205&lt;&gt;"Serviço",AND(AUTOEVENTO="Manual",$M205=$A$15),$M205&gt;(ROW(PLE.lastrow)-ROW(PLE.firstrow))),0,
           IF(OFFSET(PLE!$G$15,$M205-$A$15,CT$13)="",10^12,OFFSET(PLE!$G$15,$M205-$A$15,CT$13)))</f>
        <v>1000000000000</v>
      </c>
      <c r="CU205" s="172" cm="1">
        <f t="array" aca="1" ref="CU205" ca="1">IF(OR($D205&lt;&gt;"Serviço",AND(AUTOEVENTO="Manual",$M205=$A$15),$M205&gt;(ROW(PLE.lastrow)-ROW(PLE.firstrow))),0,
           IF(OFFSET(PLE!$G$15,$M205-$A$15,CU$13)="",10^12,OFFSET(PLE!$G$15,$M205-$A$15,CU$13)))</f>
        <v>1000000000000</v>
      </c>
      <c r="CV205" s="172" cm="1">
        <f t="array" aca="1" ref="CV205" ca="1">IF(OR($D205&lt;&gt;"Serviço",AND(AUTOEVENTO="Manual",$M205=$A$15),$M205&gt;(ROW(PLE.lastrow)-ROW(PLE.firstrow))),0,
           IF(OFFSET(PLE!$G$15,$M205-$A$15,CV$13)="",10^12,OFFSET(PLE!$G$15,$M205-$A$15,CV$13)))</f>
        <v>1000000000000</v>
      </c>
      <c r="CW205" s="172" cm="1">
        <f t="array" aca="1" ref="CW205" ca="1">IF(OR($D205&lt;&gt;"Serviço",AND(AUTOEVENTO="Manual",$M205=$A$15),$M205&gt;(ROW(PLE.lastrow)-ROW(PLE.firstrow))),0,
           IF(OFFSET(PLE!$G$15,$M205-$A$15,CW$13)="",10^12,OFFSET(PLE!$G$15,$M205-$A$15,CW$13)))</f>
        <v>1000000000000</v>
      </c>
      <c r="CX205" s="172" cm="1">
        <f t="array" aca="1" ref="CX205" ca="1">IF(OR($D205&lt;&gt;"Serviço",AND(AUTOEVENTO="Manual",$M205=$A$15),$M205&gt;(ROW(PLE.lastrow)-ROW(PLE.firstrow))),0,
           IF(OFFSET(PLE!$G$15,$M205-$A$15,CX$13)="",10^12,OFFSET(PLE!$G$15,$M205-$A$15,CX$13)))</f>
        <v>1000000000000</v>
      </c>
      <c r="CY205" s="172" cm="1">
        <f t="array" aca="1" ref="CY205" ca="1">IF(OR($D205&lt;&gt;"Serviço",AND(AUTOEVENTO="Manual",$M205=$A$15),$M205&gt;(ROW(PLE.lastrow)-ROW(PLE.firstrow))),0,
           IF(OFFSET(PLE!$G$15,$M205-$A$15,CY$13)="",10^12,OFFSET(PLE!$G$15,$M205-$A$15,CY$13)))</f>
        <v>1000000000000</v>
      </c>
      <c r="CZ205" s="172" cm="1">
        <f t="array" aca="1" ref="CZ205" ca="1">IF(OR($D205&lt;&gt;"Serviço",AND(AUTOEVENTO="Manual",$M205=$A$15),$M205&gt;(ROW(PLE.lastrow)-ROW(PLE.firstrow))),0,
           IF(OFFSET(PLE!$G$15,$M205-$A$15,CZ$13)="",10^12,OFFSET(PLE!$G$15,$M205-$A$15,CZ$13)))</f>
        <v>1000000000000</v>
      </c>
      <c r="DA205" s="172" cm="1">
        <f t="array" aca="1" ref="DA205" ca="1">IF(OR($D205&lt;&gt;"Serviço",AND(AUTOEVENTO="Manual",$M205=$A$15),$M205&gt;(ROW(PLE.lastrow)-ROW(PLE.firstrow))),0,
           IF(OFFSET(PLE!$G$15,$M205-$A$15,DA$13)="",10^12,OFFSET(PLE!$G$15,$M205-$A$15,DA$13)))</f>
        <v>1000000000000</v>
      </c>
      <c r="DB205" s="172" cm="1">
        <f t="array" aca="1" ref="DB205" ca="1">IF(OR($D205&lt;&gt;"Serviço",AND(AUTOEVENTO="Manual",$M205=$A$15),$M205&gt;(ROW(PLE.lastrow)-ROW(PLE.firstrow))),0,
           IF(OFFSET(PLE!$G$15,$M205-$A$15,DB$13)="",10^12,OFFSET(PLE!$G$15,$M205-$A$15,DB$13)))</f>
        <v>1000000000000</v>
      </c>
      <c r="DC205" s="172" cm="1">
        <f t="array" aca="1" ref="DC205" ca="1">IF(OR($D205&lt;&gt;"Serviço",AND(AUTOEVENTO="Manual",$M205=$A$15),$M205&gt;(ROW(PLE.lastrow)-ROW(PLE.firstrow))),0,
           IF(OFFSET(PLE!$G$15,$M205-$A$15,DC$13)="",10^12,OFFSET(PLE!$G$15,$M205-$A$15,DC$13)))</f>
        <v>1000000000000</v>
      </c>
      <c r="DD205" s="172" cm="1">
        <f t="array" aca="1" ref="DD205" ca="1">IF(OR($D205&lt;&gt;"Serviço",AND(AUTOEVENTO="Manual",$M205=$A$15),$M205&gt;(ROW(PLE.lastrow)-ROW(PLE.firstrow))),0,
           IF(OFFSET(PLE!$G$15,$M205-$A$15,DD$13)="",10^12,OFFSET(PLE!$G$15,$M205-$A$15,DD$13)))</f>
        <v>1000000000000</v>
      </c>
      <c r="DE205" s="172" cm="1">
        <f t="array" aca="1" ref="DE205" ca="1">IF(OR($D205&lt;&gt;"Serviço",AND(AUTOEVENTO="Manual",$M205=$A$15),$M205&gt;(ROW(PLE.lastrow)-ROW(PLE.firstrow))),0,
           IF(OFFSET(PLE!$G$15,$M205-$A$15,DE$13)="",10^12,OFFSET(PLE!$G$15,$M205-$A$15,DE$13)))</f>
        <v>1000000000000</v>
      </c>
      <c r="DF205" s="172" cm="1">
        <f t="array" aca="1" ref="DF205" ca="1">IF(OR($D205&lt;&gt;"Serviço",AND(AUTOEVENTO="Manual",$M205=$A$15),$M205&gt;(ROW(PLE.lastrow)-ROW(PLE.firstrow))),0,
           IF(OFFSET(PLE!$G$15,$M205-$A$15,DF$13)="",10^12,OFFSET(PLE!$G$15,$M205-$A$15,DF$13)))</f>
        <v>1000000000000</v>
      </c>
      <c r="DG205" s="172" cm="1">
        <f t="array" aca="1" ref="DG205" ca="1">IF(OR($D205&lt;&gt;"Serviço",AND(AUTOEVENTO="Manual",$M205=$A$15),$M205&gt;(ROW(PLE.lastrow)-ROW(PLE.firstrow))),0,
           IF(OFFSET(PLE!$G$15,$M205-$A$15,DG$13)="",10^12,OFFSET(PLE!$G$15,$M205-$A$15,DG$13)))</f>
        <v>1000000000000</v>
      </c>
      <c r="DH205" s="172" cm="1">
        <f t="array" aca="1" ref="DH205" ca="1">IF(OR($D205&lt;&gt;"Serviço",AND(AUTOEVENTO="Manual",$M205=$A$15),$M205&gt;(ROW(PLE.lastrow)-ROW(PLE.firstrow))),0,
           IF(OFFSET(PLE!$G$15,$M205-$A$15,DH$13)="",10^12,OFFSET(PLE!$G$15,$M205-$A$15,DH$13)))</f>
        <v>1000000000000</v>
      </c>
      <c r="DI205" s="172" cm="1">
        <f t="array" aca="1" ref="DI205" ca="1">IF(OR($D205&lt;&gt;"Serviço",AND(AUTOEVENTO="Manual",$M205=$A$15),$M205&gt;(ROW(PLE.lastrow)-ROW(PLE.firstrow))),0,
           IF(OFFSET(PLE!$G$15,$M205-$A$15,DI$13)="",10^12,OFFSET(PLE!$G$15,$M205-$A$15,DI$13)))</f>
        <v>1000000000000</v>
      </c>
      <c r="DJ205" s="172" cm="1">
        <f t="array" aca="1" ref="DJ205" ca="1">IF(OR($D205&lt;&gt;"Serviço",AND(AUTOEVENTO="Manual",$M205=$A$15),$M205&gt;(ROW(PLE.lastrow)-ROW(PLE.firstrow))),0,
           IF(OFFSET(PLE!$G$15,$M205-$A$15,DJ$13)="",10^12,OFFSET(PLE!$G$15,$M205-$A$15,DJ$13)))</f>
        <v>1000000000000</v>
      </c>
      <c r="DK205" s="172" cm="1">
        <f t="array" aca="1" ref="DK205" ca="1">IF(OR($D205&lt;&gt;"Serviço",AND(AUTOEVENTO="Manual",$M205=$A$15),$M205&gt;(ROW(PLE.lastrow)-ROW(PLE.firstrow))),0,
           IF(OFFSET(PLE!$G$15,$M205-$A$15,DK$13)="",10^12,OFFSET(PLE!$G$15,$M205-$A$15,DK$13)))</f>
        <v>1000000000000</v>
      </c>
      <c r="DL205" s="172" cm="1">
        <f t="array" aca="1" ref="DL205" ca="1">IF(OR($D205&lt;&gt;"Serviço",AND(AUTOEVENTO="Manual",$M205=$A$15),$M205&gt;(ROW(PLE.lastrow)-ROW(PLE.firstrow))),0,
           IF(OFFSET(PLE!$G$15,$M205-$A$15,DL$13)="",10^12,OFFSET(PLE!$G$15,$M205-$A$15,DL$13)))</f>
        <v>1000000000000</v>
      </c>
      <c r="DM205" s="172" cm="1">
        <f t="array" aca="1" ref="DM205" ca="1">IF(OR($D205&lt;&gt;"Serviço",AND(AUTOEVENTO="Manual",$M205=$A$15),$M205&gt;(ROW(PLE.lastrow)-ROW(PLE.firstrow))),0,
           IF(OFFSET(PLE!$G$15,$M205-$A$15,DM$13)="",10^12,OFFSET(PLE!$G$15,$M205-$A$15,DM$13)))</f>
        <v>1000000000000</v>
      </c>
      <c r="DN205" s="172" cm="1">
        <f t="array" aca="1" ref="DN205" ca="1">IF(OR($D205&lt;&gt;"Serviço",AND(AUTOEVENTO="Manual",$M205=$A$15),$M205&gt;(ROW(PLE.lastrow)-ROW(PLE.firstrow))),0,
           IF(OFFSET(PLE!$G$15,$M205-$A$15,DN$13)="",10^12,OFFSET(PLE!$G$15,$M205-$A$15,DN$13)))</f>
        <v>1000000000000</v>
      </c>
      <c r="DO205" s="172" cm="1">
        <f t="array" aca="1" ref="DO205" ca="1">IF(OR($D205&lt;&gt;"Serviço",AND(AUTOEVENTO="Manual",$M205=$A$15),$M205&gt;(ROW(PLE.lastrow)-ROW(PLE.firstrow))),0,
           IF(OFFSET(PLE!$G$15,$M205-$A$15,DO$13)="",10^12,OFFSET(PLE!$G$15,$M205-$A$15,DO$13)))</f>
        <v>1000000000000</v>
      </c>
      <c r="DP205" s="172" cm="1">
        <f t="array" aca="1" ref="DP205" ca="1">IF(OR($D205&lt;&gt;"Serviço",AND(AUTOEVENTO="Manual",$M205=$A$15),$M205&gt;(ROW(PLE.lastrow)-ROW(PLE.firstrow))),0,
           IF(OFFSET(PLE!$G$15,$M205-$A$15,DP$13)="",10^12,OFFSET(PLE!$G$15,$M205-$A$15,DP$13)))</f>
        <v>1000000000000</v>
      </c>
      <c r="DQ205" s="172" cm="1">
        <f t="array" aca="1" ref="DQ205" ca="1">IF(OR($D205&lt;&gt;"Serviço",AND(AUTOEVENTO="Manual",$M205=$A$15),$M205&gt;(ROW(PLE.lastrow)-ROW(PLE.firstrow))),0,
           IF(OFFSET(PLE!$G$15,$M205-$A$15,DQ$13)="",10^12,OFFSET(PLE!$G$15,$M205-$A$15,DQ$13)))</f>
        <v>1000000000000</v>
      </c>
      <c r="DR205" s="172" cm="1">
        <f t="array" aca="1" ref="DR205" ca="1">IF(OR($D205&lt;&gt;"Serviço",AND(AUTOEVENTO="Manual",$M205=$A$15),$M205&gt;(ROW(PLE.lastrow)-ROW(PLE.firstrow))),0,
           IF(OFFSET(PLE!$G$15,$M205-$A$15,DR$13)="",10^12,OFFSET(PLE!$G$15,$M205-$A$15,DR$13)))</f>
        <v>1000000000000</v>
      </c>
      <c r="DS205" s="172" cm="1">
        <f t="array" aca="1" ref="DS205" ca="1">IF(OR($D205&lt;&gt;"Serviço",AND(AUTOEVENTO="Manual",$M205=$A$15),$M205&gt;(ROW(PLE.lastrow)-ROW(PLE.firstrow))),0,
           IF(OFFSET(PLE!$G$15,$M205-$A$15,DS$13)="",10^12,OFFSET(PLE!$G$15,$M205-$A$15,DS$13)))</f>
        <v>1000000000000</v>
      </c>
    </row>
    <row r="206" spans="1:123" ht="38.25" x14ac:dyDescent="0.2">
      <c r="A206" s="7">
        <f t="shared" ca="1" si="18"/>
        <v>9</v>
      </c>
      <c r="B206" s="7" t="str">
        <f ca="1">OFFSET(ORÇAMENTO!C$15,$L206,0)</f>
        <v>S</v>
      </c>
      <c r="C206" s="7" t="str">
        <f ca="1">OFFSET(ORÇAMENTO!L$15,$L206,0)</f>
        <v/>
      </c>
      <c r="D206" s="116" t="str">
        <f ca="1">OFFSET(ORÇAMENTO!N$15,$L206,0)</f>
        <v>Serviço</v>
      </c>
      <c r="E206" s="117" t="str">
        <f ca="1">OFFSET(ORÇAMENTO!O$15,$L206,0)</f>
        <v>-</v>
      </c>
      <c r="F206" s="163" t="str">
        <f ca="1">OFFSET(ORÇAMENTO!R$15,$L206,0)</f>
        <v>(Código não identificado nas referências)</v>
      </c>
      <c r="G206" s="164" t="str">
        <f ca="1">IF($D206&lt;&gt;"Serviço","",OFFSET(ORÇAMENTO!S$15,$L206,0))</f>
        <v>-</v>
      </c>
      <c r="H206" s="122" cm="1">
        <f t="array" aca="1" ref="H206" ca="1">IF($D206&lt;&gt;"Serviço",0,IF(ACOMPANHAMENTO="BM",ROUND(OFFSET(ORÇAMENTO!AJ$15,$L206,0),15-13*ORÇAMENTO!$AF$7),IF(IFERROR(CÁLCULO.FrentesPreenchidas,0)=0,0,SUM(ROUND(OFFSET($P206,0,1,1,CÁLCULO.FrentesPreenchidas),15-13*ORÇAMENTO!$AF$7)))))</f>
        <v>40</v>
      </c>
      <c r="I206" s="468" t="s">
        <v>1235</v>
      </c>
      <c r="J206" s="651" t="str" cm="1">
        <f t="array" aca="1" ref="J206" ca="1">IF(OR(B206&lt;&gt;"S",CÁLCULO.FrentesPreenchidas=0),"",IF(AND(ACOMPANHAMENTO="PLE",AUTOEVENTO="Manual",OR(H206&gt;0,ORÇAMENTO!AC206="QUANT."),OR(K206="",M206=0,N206="")),"►E",IF(AND(ACOMPANHAMENTO="PLE",ORÇAMENTO!AC206="QUANT."),"►Q",IF(AND(ACOMPANHAMENTO="PLE",H206&lt;&gt;SUMPRODUCT(($Q$1:$AQ$1=1)*ROUND(Q206:AQ206,15))),"►S",IF(AND(COUNTIF($P$11:$AQ$11,"▼")=0,H206&gt;0,I206=""),"◄M","")))))</f>
        <v/>
      </c>
      <c r="K206" s="652" t="s">
        <v>1257</v>
      </c>
      <c r="L206" s="165">
        <f t="shared" ca="1" si="17"/>
        <v>191</v>
      </c>
      <c r="M206" s="166">
        <f ca="1">IF($D206&lt;&gt;"Serviço","",
          IF(AUTOEVENTO="manual",$A206,
                IF(ISERROR(MATCH($A206,$A$15:OFFSET($A206,-1,0),0)),MAX($M$15:OFFSET(M206,-1,0))+1,
                      INDEX($M$15:OFFSET(M206,-1,0),MATCH($A206,$A$15:OFFSET($A206,-1,0),0)))))</f>
        <v>9</v>
      </c>
      <c r="N206" s="167" t="str">
        <f ca="1">IF($D206&lt;&gt;"Serviço","",
         IF(AUTOEVENTO="Manual",
                IF($A206=0,"&lt;-- defina o número do agrupador",
                       OFFSET(EVENTOS!$D$15,$A206-$A$15,0)),
                OFFSET($F$15,$A206,0)))</f>
        <v>INSTALAÇÕES</v>
      </c>
      <c r="O206" s="168"/>
      <c r="Q206" s="168">
        <v>2</v>
      </c>
      <c r="R206" s="169">
        <v>2</v>
      </c>
      <c r="S206" s="169">
        <v>2</v>
      </c>
      <c r="T206" s="169">
        <v>2</v>
      </c>
      <c r="U206" s="169">
        <v>2</v>
      </c>
      <c r="V206" s="169">
        <v>2</v>
      </c>
      <c r="W206" s="169">
        <v>2</v>
      </c>
      <c r="X206" s="169">
        <v>2</v>
      </c>
      <c r="Y206" s="169">
        <v>2</v>
      </c>
      <c r="Z206" s="170">
        <v>2</v>
      </c>
      <c r="AA206" s="169">
        <v>2</v>
      </c>
      <c r="AB206" s="169">
        <v>2</v>
      </c>
      <c r="AC206" s="169">
        <v>2</v>
      </c>
      <c r="AD206" s="169">
        <v>2</v>
      </c>
      <c r="AE206" s="169">
        <v>2</v>
      </c>
      <c r="AF206" s="169">
        <v>2</v>
      </c>
      <c r="AG206" s="169">
        <v>2</v>
      </c>
      <c r="AH206" s="170">
        <v>2</v>
      </c>
      <c r="AI206" s="169">
        <v>2</v>
      </c>
      <c r="AJ206" s="169">
        <v>2</v>
      </c>
      <c r="AK206" s="169"/>
      <c r="AL206" s="169"/>
      <c r="AM206" s="169"/>
      <c r="AN206" s="169"/>
      <c r="AO206" s="169"/>
      <c r="AP206" s="170"/>
      <c r="AR206" s="453">
        <f ca="1">IF(AND($D206="Serviço",AR$12&lt;&gt;0,$H206&gt;0,OR(AUTOEVENTO&lt;&gt;"manual",$M206&lt;&gt;$A$15)),
        IF(Import.TipoArredondamento&lt;&gt;"TransfereGOV",
              ROUND(OFFSET($P206,0,AR$13),15-13*ORÇAMENTO!$AF$7)/$H206*OFFSET(ORÇAMENTO!$X$15,ROW(AR206)-ROW(AR$15),0),
              ROUND(ROUND(OFFSET($P206,0,AR$13),15-13*ORÇAMENTO!$AF$7)*OFFSET(ORÇAMENTO!$W$15,ROW(AR206)-ROW(AR$15),0),15-13*ORÇAMENTO!$AF$11)),
         0)</f>
        <v>0</v>
      </c>
      <c r="AS206" s="453">
        <f ca="1">IF(AND($D206="Serviço",AS$12&lt;&gt;0,$H206&gt;0,OR(AUTOEVENTO&lt;&gt;"manual",$M206&lt;&gt;$A$15)),
        IF(Import.TipoArredondamento&lt;&gt;"TransfereGOV",
              ROUND(OFFSET($P206,0,AS$13),15-13*ORÇAMENTO!$AF$7)/$H206*OFFSET(ORÇAMENTO!$X$15,ROW(AS206)-ROW(AS$15),0),
              ROUND(ROUND(OFFSET($P206,0,AS$13),15-13*ORÇAMENTO!$AF$7)*OFFSET(ORÇAMENTO!$W$15,ROW(AS206)-ROW(AS$15),0),15-13*ORÇAMENTO!$AF$11)),
         0)</f>
        <v>0</v>
      </c>
      <c r="AT206" s="453">
        <f ca="1">IF(AND($D206="Serviço",AT$12&lt;&gt;0,$H206&gt;0,OR(AUTOEVENTO&lt;&gt;"manual",$M206&lt;&gt;$A$15)),
        IF(Import.TipoArredondamento&lt;&gt;"TransfereGOV",
              ROUND(OFFSET($P206,0,AT$13),15-13*ORÇAMENTO!$AF$7)/$H206*OFFSET(ORÇAMENTO!$X$15,ROW(AT206)-ROW(AT$15),0),
              ROUND(ROUND(OFFSET($P206,0,AT$13),15-13*ORÇAMENTO!$AF$7)*OFFSET(ORÇAMENTO!$W$15,ROW(AT206)-ROW(AT$15),0),15-13*ORÇAMENTO!$AF$11)),
         0)</f>
        <v>0</v>
      </c>
      <c r="AU206" s="453">
        <f ca="1">IF(AND($D206="Serviço",AU$12&lt;&gt;0,$H206&gt;0,OR(AUTOEVENTO&lt;&gt;"manual",$M206&lt;&gt;$A$15)),
        IF(Import.TipoArredondamento&lt;&gt;"TransfereGOV",
              ROUND(OFFSET($P206,0,AU$13),15-13*ORÇAMENTO!$AF$7)/$H206*OFFSET(ORÇAMENTO!$X$15,ROW(AU206)-ROW(AU$15),0),
              ROUND(ROUND(OFFSET($P206,0,AU$13),15-13*ORÇAMENTO!$AF$7)*OFFSET(ORÇAMENTO!$W$15,ROW(AU206)-ROW(AU$15),0),15-13*ORÇAMENTO!$AF$11)),
         0)</f>
        <v>0</v>
      </c>
      <c r="AV206" s="453">
        <f ca="1">IF(AND($D206="Serviço",AV$12&lt;&gt;0,$H206&gt;0,OR(AUTOEVENTO&lt;&gt;"manual",$M206&lt;&gt;$A$15)),
        IF(Import.TipoArredondamento&lt;&gt;"TransfereGOV",
              ROUND(OFFSET($P206,0,AV$13),15-13*ORÇAMENTO!$AF$7)/$H206*OFFSET(ORÇAMENTO!$X$15,ROW(AV206)-ROW(AV$15),0),
              ROUND(ROUND(OFFSET($P206,0,AV$13),15-13*ORÇAMENTO!$AF$7)*OFFSET(ORÇAMENTO!$W$15,ROW(AV206)-ROW(AV$15),0),15-13*ORÇAMENTO!$AF$11)),
         0)</f>
        <v>0</v>
      </c>
      <c r="AW206" s="453">
        <f ca="1">IF(AND($D206="Serviço",AW$12&lt;&gt;0,$H206&gt;0,OR(AUTOEVENTO&lt;&gt;"manual",$M206&lt;&gt;$A$15)),
        IF(Import.TipoArredondamento&lt;&gt;"TransfereGOV",
              ROUND(OFFSET($P206,0,AW$13),15-13*ORÇAMENTO!$AF$7)/$H206*OFFSET(ORÇAMENTO!$X$15,ROW(AW206)-ROW(AW$15),0),
              ROUND(ROUND(OFFSET($P206,0,AW$13),15-13*ORÇAMENTO!$AF$7)*OFFSET(ORÇAMENTO!$W$15,ROW(AW206)-ROW(AW$15),0),15-13*ORÇAMENTO!$AF$11)),
         0)</f>
        <v>0</v>
      </c>
      <c r="AX206" s="453">
        <f ca="1">IF(AND($D206="Serviço",AX$12&lt;&gt;0,$H206&gt;0,OR(AUTOEVENTO&lt;&gt;"manual",$M206&lt;&gt;$A$15)),
        IF(Import.TipoArredondamento&lt;&gt;"TransfereGOV",
              ROUND(OFFSET($P206,0,AX$13),15-13*ORÇAMENTO!$AF$7)/$H206*OFFSET(ORÇAMENTO!$X$15,ROW(AX206)-ROW(AX$15),0),
              ROUND(ROUND(OFFSET($P206,0,AX$13),15-13*ORÇAMENTO!$AF$7)*OFFSET(ORÇAMENTO!$W$15,ROW(AX206)-ROW(AX$15),0),15-13*ORÇAMENTO!$AF$11)),
         0)</f>
        <v>0</v>
      </c>
      <c r="AY206" s="453">
        <f ca="1">IF(AND($D206="Serviço",AY$12&lt;&gt;0,$H206&gt;0,OR(AUTOEVENTO&lt;&gt;"manual",$M206&lt;&gt;$A$15)),
        IF(Import.TipoArredondamento&lt;&gt;"TransfereGOV",
              ROUND(OFFSET($P206,0,AY$13),15-13*ORÇAMENTO!$AF$7)/$H206*OFFSET(ORÇAMENTO!$X$15,ROW(AY206)-ROW(AY$15),0),
              ROUND(ROUND(OFFSET($P206,0,AY$13),15-13*ORÇAMENTO!$AF$7)*OFFSET(ORÇAMENTO!$W$15,ROW(AY206)-ROW(AY$15),0),15-13*ORÇAMENTO!$AF$11)),
         0)</f>
        <v>0</v>
      </c>
      <c r="AZ206" s="453">
        <f ca="1">IF(AND($D206="Serviço",AZ$12&lt;&gt;0,$H206&gt;0,OR(AUTOEVENTO&lt;&gt;"manual",$M206&lt;&gt;$A$15)),
        IF(Import.TipoArredondamento&lt;&gt;"TransfereGOV",
              ROUND(OFFSET($P206,0,AZ$13),15-13*ORÇAMENTO!$AF$7)/$H206*OFFSET(ORÇAMENTO!$X$15,ROW(AZ206)-ROW(AZ$15),0),
              ROUND(ROUND(OFFSET($P206,0,AZ$13),15-13*ORÇAMENTO!$AF$7)*OFFSET(ORÇAMENTO!$W$15,ROW(AZ206)-ROW(AZ$15),0),15-13*ORÇAMENTO!$AF$11)),
         0)</f>
        <v>0</v>
      </c>
      <c r="BA206" s="453">
        <f ca="1">IF(AND($D206="Serviço",BA$12&lt;&gt;0,$H206&gt;0,OR(AUTOEVENTO&lt;&gt;"manual",$M206&lt;&gt;$A$15)),
        IF(Import.TipoArredondamento&lt;&gt;"TransfereGOV",
              ROUND(OFFSET($P206,0,BA$13),15-13*ORÇAMENTO!$AF$7)/$H206*OFFSET(ORÇAMENTO!$X$15,ROW(BA206)-ROW(BA$15),0),
              ROUND(ROUND(OFFSET($P206,0,BA$13),15-13*ORÇAMENTO!$AF$7)*OFFSET(ORÇAMENTO!$W$15,ROW(BA206)-ROW(BA$15),0),15-13*ORÇAMENTO!$AF$11)),
         0)</f>
        <v>0</v>
      </c>
      <c r="BB206" s="453">
        <f ca="1">IF(AND($D206="Serviço",BB$12&lt;&gt;0,$H206&gt;0,OR(AUTOEVENTO&lt;&gt;"manual",$M206&lt;&gt;$A$15)),
        IF(Import.TipoArredondamento&lt;&gt;"TransfereGOV",
              ROUND(OFFSET($P206,0,BB$13),15-13*ORÇAMENTO!$AF$7)/$H206*OFFSET(ORÇAMENTO!$X$15,ROW(BB206)-ROW(BB$15),0),
              ROUND(ROUND(OFFSET($P206,0,BB$13),15-13*ORÇAMENTO!$AF$7)*OFFSET(ORÇAMENTO!$W$15,ROW(BB206)-ROW(BB$15),0),15-13*ORÇAMENTO!$AF$11)),
         0)</f>
        <v>0</v>
      </c>
      <c r="BC206" s="453">
        <f ca="1">IF(AND($D206="Serviço",BC$12&lt;&gt;0,$H206&gt;0,OR(AUTOEVENTO&lt;&gt;"manual",$M206&lt;&gt;$A$15)),
        IF(Import.TipoArredondamento&lt;&gt;"TransfereGOV",
              ROUND(OFFSET($P206,0,BC$13),15-13*ORÇAMENTO!$AF$7)/$H206*OFFSET(ORÇAMENTO!$X$15,ROW(BC206)-ROW(BC$15),0),
              ROUND(ROUND(OFFSET($P206,0,BC$13),15-13*ORÇAMENTO!$AF$7)*OFFSET(ORÇAMENTO!$W$15,ROW(BC206)-ROW(BC$15),0),15-13*ORÇAMENTO!$AF$11)),
         0)</f>
        <v>0</v>
      </c>
      <c r="BD206" s="453">
        <f ca="1">IF(AND($D206="Serviço",BD$12&lt;&gt;0,$H206&gt;0,OR(AUTOEVENTO&lt;&gt;"manual",$M206&lt;&gt;$A$15)),
        IF(Import.TipoArredondamento&lt;&gt;"TransfereGOV",
              ROUND(OFFSET($P206,0,BD$13),15-13*ORÇAMENTO!$AF$7)/$H206*OFFSET(ORÇAMENTO!$X$15,ROW(BD206)-ROW(BD$15),0),
              ROUND(ROUND(OFFSET($P206,0,BD$13),15-13*ORÇAMENTO!$AF$7)*OFFSET(ORÇAMENTO!$W$15,ROW(BD206)-ROW(BD$15),0),15-13*ORÇAMENTO!$AF$11)),
         0)</f>
        <v>0</v>
      </c>
      <c r="BE206" s="453">
        <f ca="1">IF(AND($D206="Serviço",BE$12&lt;&gt;0,$H206&gt;0,OR(AUTOEVENTO&lt;&gt;"manual",$M206&lt;&gt;$A$15)),
        IF(Import.TipoArredondamento&lt;&gt;"TransfereGOV",
              ROUND(OFFSET($P206,0,BE$13),15-13*ORÇAMENTO!$AF$7)/$H206*OFFSET(ORÇAMENTO!$X$15,ROW(BE206)-ROW(BE$15),0),
              ROUND(ROUND(OFFSET($P206,0,BE$13),15-13*ORÇAMENTO!$AF$7)*OFFSET(ORÇAMENTO!$W$15,ROW(BE206)-ROW(BE$15),0),15-13*ORÇAMENTO!$AF$11)),
         0)</f>
        <v>0</v>
      </c>
      <c r="BF206" s="453">
        <f ca="1">IF(AND($D206="Serviço",BF$12&lt;&gt;0,$H206&gt;0,OR(AUTOEVENTO&lt;&gt;"manual",$M206&lt;&gt;$A$15)),
        IF(Import.TipoArredondamento&lt;&gt;"TransfereGOV",
              ROUND(OFFSET($P206,0,BF$13),15-13*ORÇAMENTO!$AF$7)/$H206*OFFSET(ORÇAMENTO!$X$15,ROW(BF206)-ROW(BF$15),0),
              ROUND(ROUND(OFFSET($P206,0,BF$13),15-13*ORÇAMENTO!$AF$7)*OFFSET(ORÇAMENTO!$W$15,ROW(BF206)-ROW(BF$15),0),15-13*ORÇAMENTO!$AF$11)),
         0)</f>
        <v>0</v>
      </c>
      <c r="BG206" s="453">
        <f ca="1">IF(AND($D206="Serviço",BG$12&lt;&gt;0,$H206&gt;0,OR(AUTOEVENTO&lt;&gt;"manual",$M206&lt;&gt;$A$15)),
        IF(Import.TipoArredondamento&lt;&gt;"TransfereGOV",
              ROUND(OFFSET($P206,0,BG$13),15-13*ORÇAMENTO!$AF$7)/$H206*OFFSET(ORÇAMENTO!$X$15,ROW(BG206)-ROW(BG$15),0),
              ROUND(ROUND(OFFSET($P206,0,BG$13),15-13*ORÇAMENTO!$AF$7)*OFFSET(ORÇAMENTO!$W$15,ROW(BG206)-ROW(BG$15),0),15-13*ORÇAMENTO!$AF$11)),
         0)</f>
        <v>0</v>
      </c>
      <c r="BH206" s="453">
        <f ca="1">IF(AND($D206="Serviço",BH$12&lt;&gt;0,$H206&gt;0,OR(AUTOEVENTO&lt;&gt;"manual",$M206&lt;&gt;$A$15)),
        IF(Import.TipoArredondamento&lt;&gt;"TransfereGOV",
              ROUND(OFFSET($P206,0,BH$13),15-13*ORÇAMENTO!$AF$7)/$H206*OFFSET(ORÇAMENTO!$X$15,ROW(BH206)-ROW(BH$15),0),
              ROUND(ROUND(OFFSET($P206,0,BH$13),15-13*ORÇAMENTO!$AF$7)*OFFSET(ORÇAMENTO!$W$15,ROW(BH206)-ROW(BH$15),0),15-13*ORÇAMENTO!$AF$11)),
         0)</f>
        <v>0</v>
      </c>
      <c r="BI206" s="453">
        <f ca="1">IF(AND($D206="Serviço",BI$12&lt;&gt;0,$H206&gt;0,OR(AUTOEVENTO&lt;&gt;"manual",$M206&lt;&gt;$A$15)),
        IF(Import.TipoArredondamento&lt;&gt;"TransfereGOV",
              ROUND(OFFSET($P206,0,BI$13),15-13*ORÇAMENTO!$AF$7)/$H206*OFFSET(ORÇAMENTO!$X$15,ROW(BI206)-ROW(BI$15),0),
              ROUND(ROUND(OFFSET($P206,0,BI$13),15-13*ORÇAMENTO!$AF$7)*OFFSET(ORÇAMENTO!$W$15,ROW(BI206)-ROW(BI$15),0),15-13*ORÇAMENTO!$AF$11)),
         0)</f>
        <v>0</v>
      </c>
      <c r="BJ206" s="453">
        <f ca="1">IF(AND($D206="Serviço",BJ$12&lt;&gt;0,$H206&gt;0,OR(AUTOEVENTO&lt;&gt;"manual",$M206&lt;&gt;$A$15)),
        IF(Import.TipoArredondamento&lt;&gt;"TransfereGOV",
              ROUND(OFFSET($P206,0,BJ$13),15-13*ORÇAMENTO!$AF$7)/$H206*OFFSET(ORÇAMENTO!$X$15,ROW(BJ206)-ROW(BJ$15),0),
              ROUND(ROUND(OFFSET($P206,0,BJ$13),15-13*ORÇAMENTO!$AF$7)*OFFSET(ORÇAMENTO!$W$15,ROW(BJ206)-ROW(BJ$15),0),15-13*ORÇAMENTO!$AF$11)),
         0)</f>
        <v>0</v>
      </c>
      <c r="BK206" s="453">
        <f ca="1">IF(AND($D206="Serviço",BK$12&lt;&gt;0,$H206&gt;0,OR(AUTOEVENTO&lt;&gt;"manual",$M206&lt;&gt;$A$15)),
        IF(Import.TipoArredondamento&lt;&gt;"TransfereGOV",
              ROUND(OFFSET($P206,0,BK$13),15-13*ORÇAMENTO!$AF$7)/$H206*OFFSET(ORÇAMENTO!$X$15,ROW(BK206)-ROW(BK$15),0),
              ROUND(ROUND(OFFSET($P206,0,BK$13),15-13*ORÇAMENTO!$AF$7)*OFFSET(ORÇAMENTO!$W$15,ROW(BK206)-ROW(BK$15),0),15-13*ORÇAMENTO!$AF$11)),
         0)</f>
        <v>0</v>
      </c>
      <c r="BL206" s="453">
        <f ca="1">IF(AND($D206="Serviço",BL$12&lt;&gt;0,$H206&gt;0,OR(AUTOEVENTO&lt;&gt;"manual",$M206&lt;&gt;$A$15)),
        IF(Import.TipoArredondamento&lt;&gt;"TransfereGOV",
              ROUND(OFFSET($P206,0,BL$13),15-13*ORÇAMENTO!$AF$7)/$H206*OFFSET(ORÇAMENTO!$X$15,ROW(BL206)-ROW(BL$15),0),
              ROUND(ROUND(OFFSET($P206,0,BL$13),15-13*ORÇAMENTO!$AF$7)*OFFSET(ORÇAMENTO!$W$15,ROW(BL206)-ROW(BL$15),0),15-13*ORÇAMENTO!$AF$11)),
         0)</f>
        <v>0</v>
      </c>
      <c r="BM206" s="453">
        <f ca="1">IF(AND($D206="Serviço",BM$12&lt;&gt;0,$H206&gt;0,OR(AUTOEVENTO&lt;&gt;"manual",$M206&lt;&gt;$A$15)),
        IF(Import.TipoArredondamento&lt;&gt;"TransfereGOV",
              ROUND(OFFSET($P206,0,BM$13),15-13*ORÇAMENTO!$AF$7)/$H206*OFFSET(ORÇAMENTO!$X$15,ROW(BM206)-ROW(BM$15),0),
              ROUND(ROUND(OFFSET($P206,0,BM$13),15-13*ORÇAMENTO!$AF$7)*OFFSET(ORÇAMENTO!$W$15,ROW(BM206)-ROW(BM$15),0),15-13*ORÇAMENTO!$AF$11)),
         0)</f>
        <v>0</v>
      </c>
      <c r="BN206" s="453">
        <f ca="1">IF(AND($D206="Serviço",BN$12&lt;&gt;0,$H206&gt;0,OR(AUTOEVENTO&lt;&gt;"manual",$M206&lt;&gt;$A$15)),
        IF(Import.TipoArredondamento&lt;&gt;"TransfereGOV",
              ROUND(OFFSET($P206,0,BN$13),15-13*ORÇAMENTO!$AF$7)/$H206*OFFSET(ORÇAMENTO!$X$15,ROW(BN206)-ROW(BN$15),0),
              ROUND(ROUND(OFFSET($P206,0,BN$13),15-13*ORÇAMENTO!$AF$7)*OFFSET(ORÇAMENTO!$W$15,ROW(BN206)-ROW(BN$15),0),15-13*ORÇAMENTO!$AF$11)),
         0)</f>
        <v>0</v>
      </c>
      <c r="BO206" s="453">
        <f ca="1">IF(AND($D206="Serviço",BO$12&lt;&gt;0,$H206&gt;0,OR(AUTOEVENTO&lt;&gt;"manual",$M206&lt;&gt;$A$15)),
        IF(Import.TipoArredondamento&lt;&gt;"TransfereGOV",
              ROUND(OFFSET($P206,0,BO$13),15-13*ORÇAMENTO!$AF$7)/$H206*OFFSET(ORÇAMENTO!$X$15,ROW(BO206)-ROW(BO$15),0),
              ROUND(ROUND(OFFSET($P206,0,BO$13),15-13*ORÇAMENTO!$AF$7)*OFFSET(ORÇAMENTO!$W$15,ROW(BO206)-ROW(BO$15),0),15-13*ORÇAMENTO!$AF$11)),
         0)</f>
        <v>0</v>
      </c>
      <c r="BP206" s="453">
        <f ca="1">IF(AND($D206="Serviço",BP$12&lt;&gt;0,$H206&gt;0,OR(AUTOEVENTO&lt;&gt;"manual",$M206&lt;&gt;$A$15)),
        IF(Import.TipoArredondamento&lt;&gt;"TransfereGOV",
              ROUND(OFFSET($P206,0,BP$13),15-13*ORÇAMENTO!$AF$7)/$H206*OFFSET(ORÇAMENTO!$X$15,ROW(BP206)-ROW(BP$15),0),
              ROUND(ROUND(OFFSET($P206,0,BP$13),15-13*ORÇAMENTO!$AF$7)*OFFSET(ORÇAMENTO!$W$15,ROW(BP206)-ROW(BP$15),0),15-13*ORÇAMENTO!$AF$11)),
         0)</f>
        <v>0</v>
      </c>
      <c r="BQ206" s="453">
        <f ca="1">IF(AND($D206="Serviço",BQ$12&lt;&gt;0,$H206&gt;0,OR(AUTOEVENTO&lt;&gt;"manual",$M206&lt;&gt;$A$15)),
        IF(Import.TipoArredondamento&lt;&gt;"TransfereGOV",
              ROUND(OFFSET($P206,0,BQ$13),15-13*ORÇAMENTO!$AF$7)/$H206*OFFSET(ORÇAMENTO!$X$15,ROW(BQ206)-ROW(BQ$15),0),
              ROUND(ROUND(OFFSET($P206,0,BQ$13),15-13*ORÇAMENTO!$AF$7)*OFFSET(ORÇAMENTO!$W$15,ROW(BQ206)-ROW(BQ$15),0),15-13*ORÇAMENTO!$AF$11)),
         0)</f>
        <v>0</v>
      </c>
      <c r="BS206" s="171">
        <f ca="1">IF(OR($D206&lt;&gt;"Serviço",AND(AUTOEVENTO="Manual",$M206=$A$15)),0,
         IF(OFFSET(CRONOPLE!$F$15,$M206-$A$15,BS$13)=0,10^12,OFFSET(CRONOPLE!$F$15,$M206-$A$15,BS$13)))</f>
        <v>1</v>
      </c>
      <c r="BT206" s="171">
        <f ca="1">IF(OR($D206&lt;&gt;"Serviço",AND(AUTOEVENTO="Manual",$M206=$A$15)),0,
         IF(OFFSET(CRONOPLE!$F$15,$M206-$A$15,BT$13)=0,10^12,OFFSET(CRONOPLE!$F$15,$M206-$A$15,BT$13)))</f>
        <v>2</v>
      </c>
      <c r="BU206" s="171">
        <f ca="1">IF(OR($D206&lt;&gt;"Serviço",AND(AUTOEVENTO="Manual",$M206=$A$15)),0,
         IF(OFFSET(CRONOPLE!$F$15,$M206-$A$15,BU$13)=0,10^12,OFFSET(CRONOPLE!$F$15,$M206-$A$15,BU$13)))</f>
        <v>3</v>
      </c>
      <c r="BV206" s="171">
        <f ca="1">IF(OR($D206&lt;&gt;"Serviço",AND(AUTOEVENTO="Manual",$M206=$A$15)),0,
         IF(OFFSET(CRONOPLE!$F$15,$M206-$A$15,BV$13)=0,10^12,OFFSET(CRONOPLE!$F$15,$M206-$A$15,BV$13)))</f>
        <v>4</v>
      </c>
      <c r="BW206" s="171">
        <f ca="1">IF(OR($D206&lt;&gt;"Serviço",AND(AUTOEVENTO="Manual",$M206=$A$15)),0,
         IF(OFFSET(CRONOPLE!$F$15,$M206-$A$15,BW$13)=0,10^12,OFFSET(CRONOPLE!$F$15,$M206-$A$15,BW$13)))</f>
        <v>5</v>
      </c>
      <c r="BX206" s="171">
        <f ca="1">IF(OR($D206&lt;&gt;"Serviço",AND(AUTOEVENTO="Manual",$M206=$A$15)),0,
         IF(OFFSET(CRONOPLE!$F$15,$M206-$A$15,BX$13)=0,10^12,OFFSET(CRONOPLE!$F$15,$M206-$A$15,BX$13)))</f>
        <v>6</v>
      </c>
      <c r="BY206" s="171">
        <f ca="1">IF(OR($D206&lt;&gt;"Serviço",AND(AUTOEVENTO="Manual",$M206=$A$15)),0,
         IF(OFFSET(CRONOPLE!$F$15,$M206-$A$15,BY$13)=0,10^12,OFFSET(CRONOPLE!$F$15,$M206-$A$15,BY$13)))</f>
        <v>7</v>
      </c>
      <c r="BZ206" s="171">
        <f ca="1">IF(OR($D206&lt;&gt;"Serviço",AND(AUTOEVENTO="Manual",$M206=$A$15)),0,
         IF(OFFSET(CRONOPLE!$F$15,$M206-$A$15,BZ$13)=0,10^12,OFFSET(CRONOPLE!$F$15,$M206-$A$15,BZ$13)))</f>
        <v>8</v>
      </c>
      <c r="CA206" s="171">
        <f ca="1">IF(OR($D206&lt;&gt;"Serviço",AND(AUTOEVENTO="Manual",$M206=$A$15)),0,
         IF(OFFSET(CRONOPLE!$F$15,$M206-$A$15,CA$13)=0,10^12,OFFSET(CRONOPLE!$F$15,$M206-$A$15,CA$13)))</f>
        <v>9</v>
      </c>
      <c r="CB206" s="171">
        <f ca="1">IF(OR($D206&lt;&gt;"Serviço",AND(AUTOEVENTO="Manual",$M206=$A$15)),0,
         IF(OFFSET(CRONOPLE!$F$15,$M206-$A$15,CB$13)=0,10^12,OFFSET(CRONOPLE!$F$15,$M206-$A$15,CB$13)))</f>
        <v>10</v>
      </c>
      <c r="CC206" s="171">
        <f ca="1">IF(OR($D206&lt;&gt;"Serviço",AND(AUTOEVENTO="Manual",$M206=$A$15)),0,
         IF(OFFSET(CRONOPLE!$F$15,$M206-$A$15,CC$13)=0,10^12,OFFSET(CRONOPLE!$F$15,$M206-$A$15,CC$13)))</f>
        <v>11</v>
      </c>
      <c r="CD206" s="171">
        <f ca="1">IF(OR($D206&lt;&gt;"Serviço",AND(AUTOEVENTO="Manual",$M206=$A$15)),0,
         IF(OFFSET(CRONOPLE!$F$15,$M206-$A$15,CD$13)=0,10^12,OFFSET(CRONOPLE!$F$15,$M206-$A$15,CD$13)))</f>
        <v>12</v>
      </c>
      <c r="CE206" s="171">
        <f ca="1">IF(OR($D206&lt;&gt;"Serviço",AND(AUTOEVENTO="Manual",$M206=$A$15)),0,
         IF(OFFSET(CRONOPLE!$F$15,$M206-$A$15,CE$13)=0,10^12,OFFSET(CRONOPLE!$F$15,$M206-$A$15,CE$13)))</f>
        <v>13</v>
      </c>
      <c r="CF206" s="171">
        <f ca="1">IF(OR($D206&lt;&gt;"Serviço",AND(AUTOEVENTO="Manual",$M206=$A$15)),0,
         IF(OFFSET(CRONOPLE!$F$15,$M206-$A$15,CF$13)=0,10^12,OFFSET(CRONOPLE!$F$15,$M206-$A$15,CF$13)))</f>
        <v>14</v>
      </c>
      <c r="CG206" s="171">
        <f ca="1">IF(OR($D206&lt;&gt;"Serviço",AND(AUTOEVENTO="Manual",$M206=$A$15)),0,
         IF(OFFSET(CRONOPLE!$F$15,$M206-$A$15,CG$13)=0,10^12,OFFSET(CRONOPLE!$F$15,$M206-$A$15,CG$13)))</f>
        <v>15</v>
      </c>
      <c r="CH206" s="171">
        <f ca="1">IF(OR($D206&lt;&gt;"Serviço",AND(AUTOEVENTO="Manual",$M206=$A$15)),0,
         IF(OFFSET(CRONOPLE!$F$15,$M206-$A$15,CH$13)=0,10^12,OFFSET(CRONOPLE!$F$15,$M206-$A$15,CH$13)))</f>
        <v>16</v>
      </c>
      <c r="CI206" s="171">
        <f ca="1">IF(OR($D206&lt;&gt;"Serviço",AND(AUTOEVENTO="Manual",$M206=$A$15)),0,
         IF(OFFSET(CRONOPLE!$F$15,$M206-$A$15,CI$13)=0,10^12,OFFSET(CRONOPLE!$F$15,$M206-$A$15,CI$13)))</f>
        <v>17</v>
      </c>
      <c r="CJ206" s="171">
        <f ca="1">IF(OR($D206&lt;&gt;"Serviço",AND(AUTOEVENTO="Manual",$M206=$A$15)),0,
         IF(OFFSET(CRONOPLE!$F$15,$M206-$A$15,CJ$13)=0,10^12,OFFSET(CRONOPLE!$F$15,$M206-$A$15,CJ$13)))</f>
        <v>18</v>
      </c>
      <c r="CK206" s="171">
        <f ca="1">IF(OR($D206&lt;&gt;"Serviço",AND(AUTOEVENTO="Manual",$M206=$A$15)),0,
         IF(OFFSET(CRONOPLE!$F$15,$M206-$A$15,CK$13)=0,10^12,OFFSET(CRONOPLE!$F$15,$M206-$A$15,CK$13)))</f>
        <v>19</v>
      </c>
      <c r="CL206" s="171">
        <f ca="1">IF(OR($D206&lt;&gt;"Serviço",AND(AUTOEVENTO="Manual",$M206=$A$15)),0,
         IF(OFFSET(CRONOPLE!$F$15,$M206-$A$15,CL$13)=0,10^12,OFFSET(CRONOPLE!$F$15,$M206-$A$15,CL$13)))</f>
        <v>20</v>
      </c>
      <c r="CM206" s="171">
        <f ca="1">IF(OR($D206&lt;&gt;"Serviço",AND(AUTOEVENTO="Manual",$M206=$A$15)),0,
         IF(OFFSET(CRONOPLE!$F$15,$M206-$A$15,CM$13)=0,10^12,OFFSET(CRONOPLE!$F$15,$M206-$A$15,CM$13)))</f>
        <v>1000000000000</v>
      </c>
      <c r="CN206" s="171">
        <f ca="1">IF(OR($D206&lt;&gt;"Serviço",AND(AUTOEVENTO="Manual",$M206=$A$15)),0,
         IF(OFFSET(CRONOPLE!$F$15,$M206-$A$15,CN$13)=0,10^12,OFFSET(CRONOPLE!$F$15,$M206-$A$15,CN$13)))</f>
        <v>1000000000000</v>
      </c>
      <c r="CO206" s="171">
        <f ca="1">IF(OR($D206&lt;&gt;"Serviço",AND(AUTOEVENTO="Manual",$M206=$A$15)),0,
         IF(OFFSET(CRONOPLE!$F$15,$M206-$A$15,CO$13)=0,10^12,OFFSET(CRONOPLE!$F$15,$M206-$A$15,CO$13)))</f>
        <v>1000000000000</v>
      </c>
      <c r="CP206" s="171">
        <f ca="1">IF(OR($D206&lt;&gt;"Serviço",AND(AUTOEVENTO="Manual",$M206=$A$15)),0,
         IF(OFFSET(CRONOPLE!$F$15,$M206-$A$15,CP$13)=0,10^12,OFFSET(CRONOPLE!$F$15,$M206-$A$15,CP$13)))</f>
        <v>1000000000000</v>
      </c>
      <c r="CQ206" s="171">
        <f ca="1">IF(OR($D206&lt;&gt;"Serviço",AND(AUTOEVENTO="Manual",$M206=$A$15)),0,
         IF(OFFSET(CRONOPLE!$F$15,$M206-$A$15,CQ$13)=0,10^12,OFFSET(CRONOPLE!$F$15,$M206-$A$15,CQ$13)))</f>
        <v>1000000000000</v>
      </c>
      <c r="CR206" s="171">
        <f ca="1">IF(OR($D206&lt;&gt;"Serviço",AND(AUTOEVENTO="Manual",$M206=$A$15)),0,
         IF(OFFSET(CRONOPLE!$F$15,$M206-$A$15,CR$13)=0,10^12,OFFSET(CRONOPLE!$F$15,$M206-$A$15,CR$13)))</f>
        <v>1000000000000</v>
      </c>
      <c r="CT206" s="172" cm="1">
        <f t="array" aca="1" ref="CT206" ca="1">IF(OR($D206&lt;&gt;"Serviço",AND(AUTOEVENTO="Manual",$M206=$A$15),$M206&gt;(ROW(PLE.lastrow)-ROW(PLE.firstrow))),0,
           IF(OFFSET(PLE!$G$15,$M206-$A$15,CT$13)="",10^12,OFFSET(PLE!$G$15,$M206-$A$15,CT$13)))</f>
        <v>1000000000000</v>
      </c>
      <c r="CU206" s="172" cm="1">
        <f t="array" aca="1" ref="CU206" ca="1">IF(OR($D206&lt;&gt;"Serviço",AND(AUTOEVENTO="Manual",$M206=$A$15),$M206&gt;(ROW(PLE.lastrow)-ROW(PLE.firstrow))),0,
           IF(OFFSET(PLE!$G$15,$M206-$A$15,CU$13)="",10^12,OFFSET(PLE!$G$15,$M206-$A$15,CU$13)))</f>
        <v>1000000000000</v>
      </c>
      <c r="CV206" s="172" cm="1">
        <f t="array" aca="1" ref="CV206" ca="1">IF(OR($D206&lt;&gt;"Serviço",AND(AUTOEVENTO="Manual",$M206=$A$15),$M206&gt;(ROW(PLE.lastrow)-ROW(PLE.firstrow))),0,
           IF(OFFSET(PLE!$G$15,$M206-$A$15,CV$13)="",10^12,OFFSET(PLE!$G$15,$M206-$A$15,CV$13)))</f>
        <v>1000000000000</v>
      </c>
      <c r="CW206" s="172" cm="1">
        <f t="array" aca="1" ref="CW206" ca="1">IF(OR($D206&lt;&gt;"Serviço",AND(AUTOEVENTO="Manual",$M206=$A$15),$M206&gt;(ROW(PLE.lastrow)-ROW(PLE.firstrow))),0,
           IF(OFFSET(PLE!$G$15,$M206-$A$15,CW$13)="",10^12,OFFSET(PLE!$G$15,$M206-$A$15,CW$13)))</f>
        <v>1000000000000</v>
      </c>
      <c r="CX206" s="172" cm="1">
        <f t="array" aca="1" ref="CX206" ca="1">IF(OR($D206&lt;&gt;"Serviço",AND(AUTOEVENTO="Manual",$M206=$A$15),$M206&gt;(ROW(PLE.lastrow)-ROW(PLE.firstrow))),0,
           IF(OFFSET(PLE!$G$15,$M206-$A$15,CX$13)="",10^12,OFFSET(PLE!$G$15,$M206-$A$15,CX$13)))</f>
        <v>1000000000000</v>
      </c>
      <c r="CY206" s="172" cm="1">
        <f t="array" aca="1" ref="CY206" ca="1">IF(OR($D206&lt;&gt;"Serviço",AND(AUTOEVENTO="Manual",$M206=$A$15),$M206&gt;(ROW(PLE.lastrow)-ROW(PLE.firstrow))),0,
           IF(OFFSET(PLE!$G$15,$M206-$A$15,CY$13)="",10^12,OFFSET(PLE!$G$15,$M206-$A$15,CY$13)))</f>
        <v>1000000000000</v>
      </c>
      <c r="CZ206" s="172" cm="1">
        <f t="array" aca="1" ref="CZ206" ca="1">IF(OR($D206&lt;&gt;"Serviço",AND(AUTOEVENTO="Manual",$M206=$A$15),$M206&gt;(ROW(PLE.lastrow)-ROW(PLE.firstrow))),0,
           IF(OFFSET(PLE!$G$15,$M206-$A$15,CZ$13)="",10^12,OFFSET(PLE!$G$15,$M206-$A$15,CZ$13)))</f>
        <v>1000000000000</v>
      </c>
      <c r="DA206" s="172" cm="1">
        <f t="array" aca="1" ref="DA206" ca="1">IF(OR($D206&lt;&gt;"Serviço",AND(AUTOEVENTO="Manual",$M206=$A$15),$M206&gt;(ROW(PLE.lastrow)-ROW(PLE.firstrow))),0,
           IF(OFFSET(PLE!$G$15,$M206-$A$15,DA$13)="",10^12,OFFSET(PLE!$G$15,$M206-$A$15,DA$13)))</f>
        <v>1000000000000</v>
      </c>
      <c r="DB206" s="172" cm="1">
        <f t="array" aca="1" ref="DB206" ca="1">IF(OR($D206&lt;&gt;"Serviço",AND(AUTOEVENTO="Manual",$M206=$A$15),$M206&gt;(ROW(PLE.lastrow)-ROW(PLE.firstrow))),0,
           IF(OFFSET(PLE!$G$15,$M206-$A$15,DB$13)="",10^12,OFFSET(PLE!$G$15,$M206-$A$15,DB$13)))</f>
        <v>1000000000000</v>
      </c>
      <c r="DC206" s="172" cm="1">
        <f t="array" aca="1" ref="DC206" ca="1">IF(OR($D206&lt;&gt;"Serviço",AND(AUTOEVENTO="Manual",$M206=$A$15),$M206&gt;(ROW(PLE.lastrow)-ROW(PLE.firstrow))),0,
           IF(OFFSET(PLE!$G$15,$M206-$A$15,DC$13)="",10^12,OFFSET(PLE!$G$15,$M206-$A$15,DC$13)))</f>
        <v>1000000000000</v>
      </c>
      <c r="DD206" s="172" cm="1">
        <f t="array" aca="1" ref="DD206" ca="1">IF(OR($D206&lt;&gt;"Serviço",AND(AUTOEVENTO="Manual",$M206=$A$15),$M206&gt;(ROW(PLE.lastrow)-ROW(PLE.firstrow))),0,
           IF(OFFSET(PLE!$G$15,$M206-$A$15,DD$13)="",10^12,OFFSET(PLE!$G$15,$M206-$A$15,DD$13)))</f>
        <v>1000000000000</v>
      </c>
      <c r="DE206" s="172" cm="1">
        <f t="array" aca="1" ref="DE206" ca="1">IF(OR($D206&lt;&gt;"Serviço",AND(AUTOEVENTO="Manual",$M206=$A$15),$M206&gt;(ROW(PLE.lastrow)-ROW(PLE.firstrow))),0,
           IF(OFFSET(PLE!$G$15,$M206-$A$15,DE$13)="",10^12,OFFSET(PLE!$G$15,$M206-$A$15,DE$13)))</f>
        <v>1000000000000</v>
      </c>
      <c r="DF206" s="172" cm="1">
        <f t="array" aca="1" ref="DF206" ca="1">IF(OR($D206&lt;&gt;"Serviço",AND(AUTOEVENTO="Manual",$M206=$A$15),$M206&gt;(ROW(PLE.lastrow)-ROW(PLE.firstrow))),0,
           IF(OFFSET(PLE!$G$15,$M206-$A$15,DF$13)="",10^12,OFFSET(PLE!$G$15,$M206-$A$15,DF$13)))</f>
        <v>1000000000000</v>
      </c>
      <c r="DG206" s="172" cm="1">
        <f t="array" aca="1" ref="DG206" ca="1">IF(OR($D206&lt;&gt;"Serviço",AND(AUTOEVENTO="Manual",$M206=$A$15),$M206&gt;(ROW(PLE.lastrow)-ROW(PLE.firstrow))),0,
           IF(OFFSET(PLE!$G$15,$M206-$A$15,DG$13)="",10^12,OFFSET(PLE!$G$15,$M206-$A$15,DG$13)))</f>
        <v>1000000000000</v>
      </c>
      <c r="DH206" s="172" cm="1">
        <f t="array" aca="1" ref="DH206" ca="1">IF(OR($D206&lt;&gt;"Serviço",AND(AUTOEVENTO="Manual",$M206=$A$15),$M206&gt;(ROW(PLE.lastrow)-ROW(PLE.firstrow))),0,
           IF(OFFSET(PLE!$G$15,$M206-$A$15,DH$13)="",10^12,OFFSET(PLE!$G$15,$M206-$A$15,DH$13)))</f>
        <v>1000000000000</v>
      </c>
      <c r="DI206" s="172" cm="1">
        <f t="array" aca="1" ref="DI206" ca="1">IF(OR($D206&lt;&gt;"Serviço",AND(AUTOEVENTO="Manual",$M206=$A$15),$M206&gt;(ROW(PLE.lastrow)-ROW(PLE.firstrow))),0,
           IF(OFFSET(PLE!$G$15,$M206-$A$15,DI$13)="",10^12,OFFSET(PLE!$G$15,$M206-$A$15,DI$13)))</f>
        <v>1000000000000</v>
      </c>
      <c r="DJ206" s="172" cm="1">
        <f t="array" aca="1" ref="DJ206" ca="1">IF(OR($D206&lt;&gt;"Serviço",AND(AUTOEVENTO="Manual",$M206=$A$15),$M206&gt;(ROW(PLE.lastrow)-ROW(PLE.firstrow))),0,
           IF(OFFSET(PLE!$G$15,$M206-$A$15,DJ$13)="",10^12,OFFSET(PLE!$G$15,$M206-$A$15,DJ$13)))</f>
        <v>1000000000000</v>
      </c>
      <c r="DK206" s="172" cm="1">
        <f t="array" aca="1" ref="DK206" ca="1">IF(OR($D206&lt;&gt;"Serviço",AND(AUTOEVENTO="Manual",$M206=$A$15),$M206&gt;(ROW(PLE.lastrow)-ROW(PLE.firstrow))),0,
           IF(OFFSET(PLE!$G$15,$M206-$A$15,DK$13)="",10^12,OFFSET(PLE!$G$15,$M206-$A$15,DK$13)))</f>
        <v>1000000000000</v>
      </c>
      <c r="DL206" s="172" cm="1">
        <f t="array" aca="1" ref="DL206" ca="1">IF(OR($D206&lt;&gt;"Serviço",AND(AUTOEVENTO="Manual",$M206=$A$15),$M206&gt;(ROW(PLE.lastrow)-ROW(PLE.firstrow))),0,
           IF(OFFSET(PLE!$G$15,$M206-$A$15,DL$13)="",10^12,OFFSET(PLE!$G$15,$M206-$A$15,DL$13)))</f>
        <v>1000000000000</v>
      </c>
      <c r="DM206" s="172" cm="1">
        <f t="array" aca="1" ref="DM206" ca="1">IF(OR($D206&lt;&gt;"Serviço",AND(AUTOEVENTO="Manual",$M206=$A$15),$M206&gt;(ROW(PLE.lastrow)-ROW(PLE.firstrow))),0,
           IF(OFFSET(PLE!$G$15,$M206-$A$15,DM$13)="",10^12,OFFSET(PLE!$G$15,$M206-$A$15,DM$13)))</f>
        <v>1000000000000</v>
      </c>
      <c r="DN206" s="172" cm="1">
        <f t="array" aca="1" ref="DN206" ca="1">IF(OR($D206&lt;&gt;"Serviço",AND(AUTOEVENTO="Manual",$M206=$A$15),$M206&gt;(ROW(PLE.lastrow)-ROW(PLE.firstrow))),0,
           IF(OFFSET(PLE!$G$15,$M206-$A$15,DN$13)="",10^12,OFFSET(PLE!$G$15,$M206-$A$15,DN$13)))</f>
        <v>1000000000000</v>
      </c>
      <c r="DO206" s="172" cm="1">
        <f t="array" aca="1" ref="DO206" ca="1">IF(OR($D206&lt;&gt;"Serviço",AND(AUTOEVENTO="Manual",$M206=$A$15),$M206&gt;(ROW(PLE.lastrow)-ROW(PLE.firstrow))),0,
           IF(OFFSET(PLE!$G$15,$M206-$A$15,DO$13)="",10^12,OFFSET(PLE!$G$15,$M206-$A$15,DO$13)))</f>
        <v>1000000000000</v>
      </c>
      <c r="DP206" s="172" cm="1">
        <f t="array" aca="1" ref="DP206" ca="1">IF(OR($D206&lt;&gt;"Serviço",AND(AUTOEVENTO="Manual",$M206=$A$15),$M206&gt;(ROW(PLE.lastrow)-ROW(PLE.firstrow))),0,
           IF(OFFSET(PLE!$G$15,$M206-$A$15,DP$13)="",10^12,OFFSET(PLE!$G$15,$M206-$A$15,DP$13)))</f>
        <v>1000000000000</v>
      </c>
      <c r="DQ206" s="172" cm="1">
        <f t="array" aca="1" ref="DQ206" ca="1">IF(OR($D206&lt;&gt;"Serviço",AND(AUTOEVENTO="Manual",$M206=$A$15),$M206&gt;(ROW(PLE.lastrow)-ROW(PLE.firstrow))),0,
           IF(OFFSET(PLE!$G$15,$M206-$A$15,DQ$13)="",10^12,OFFSET(PLE!$G$15,$M206-$A$15,DQ$13)))</f>
        <v>1000000000000</v>
      </c>
      <c r="DR206" s="172" cm="1">
        <f t="array" aca="1" ref="DR206" ca="1">IF(OR($D206&lt;&gt;"Serviço",AND(AUTOEVENTO="Manual",$M206=$A$15),$M206&gt;(ROW(PLE.lastrow)-ROW(PLE.firstrow))),0,
           IF(OFFSET(PLE!$G$15,$M206-$A$15,DR$13)="",10^12,OFFSET(PLE!$G$15,$M206-$A$15,DR$13)))</f>
        <v>1000000000000</v>
      </c>
      <c r="DS206" s="172" cm="1">
        <f t="array" aca="1" ref="DS206" ca="1">IF(OR($D206&lt;&gt;"Serviço",AND(AUTOEVENTO="Manual",$M206=$A$15),$M206&gt;(ROW(PLE.lastrow)-ROW(PLE.firstrow))),0,
           IF(OFFSET(PLE!$G$15,$M206-$A$15,DS$13)="",10^12,OFFSET(PLE!$G$15,$M206-$A$15,DS$13)))</f>
        <v>1000000000000</v>
      </c>
    </row>
    <row r="207" spans="1:123" ht="38.25" x14ac:dyDescent="0.2">
      <c r="A207" s="7">
        <f t="shared" ca="1" si="18"/>
        <v>9</v>
      </c>
      <c r="B207" s="7" t="str">
        <f ca="1">OFFSET(ORÇAMENTO!C$15,$L207,0)</f>
        <v>S</v>
      </c>
      <c r="C207" s="7" t="str">
        <f ca="1">OFFSET(ORÇAMENTO!L$15,$L207,0)</f>
        <v/>
      </c>
      <c r="D207" s="116" t="str">
        <f ca="1">OFFSET(ORÇAMENTO!N$15,$L207,0)</f>
        <v>Serviço</v>
      </c>
      <c r="E207" s="117" t="str">
        <f ca="1">OFFSET(ORÇAMENTO!O$15,$L207,0)</f>
        <v>-</v>
      </c>
      <c r="F207" s="163" t="str">
        <f ca="1">OFFSET(ORÇAMENTO!R$15,$L207,0)</f>
        <v>(Código não identificado nas referências)</v>
      </c>
      <c r="G207" s="164" t="str">
        <f ca="1">IF($D207&lt;&gt;"Serviço","",OFFSET(ORÇAMENTO!S$15,$L207,0))</f>
        <v>-</v>
      </c>
      <c r="H207" s="122" cm="1">
        <f t="array" aca="1" ref="H207" ca="1">IF($D207&lt;&gt;"Serviço",0,IF(ACOMPANHAMENTO="BM",ROUND(OFFSET(ORÇAMENTO!AJ$15,$L207,0),15-13*ORÇAMENTO!$AF$7),IF(IFERROR(CÁLCULO.FrentesPreenchidas,0)=0,0,SUM(ROUND(OFFSET($P207,0,1,1,CÁLCULO.FrentesPreenchidas),15-13*ORÇAMENTO!$AF$7)))))</f>
        <v>40</v>
      </c>
      <c r="I207" s="468" t="s">
        <v>1235</v>
      </c>
      <c r="J207" s="651" t="str" cm="1">
        <f t="array" aca="1" ref="J207" ca="1">IF(OR(B207&lt;&gt;"S",CÁLCULO.FrentesPreenchidas=0),"",IF(AND(ACOMPANHAMENTO="PLE",AUTOEVENTO="Manual",OR(H207&gt;0,ORÇAMENTO!AC207="QUANT."),OR(K207="",M207=0,N207="")),"►E",IF(AND(ACOMPANHAMENTO="PLE",ORÇAMENTO!AC207="QUANT."),"►Q",IF(AND(ACOMPANHAMENTO="PLE",H207&lt;&gt;SUMPRODUCT(($Q$1:$AQ$1=1)*ROUND(Q207:AQ207,15))),"►S",IF(AND(COUNTIF($P$11:$AQ$11,"▼")=0,H207&gt;0,I207=""),"◄M","")))))</f>
        <v/>
      </c>
      <c r="K207" s="652" t="s">
        <v>1257</v>
      </c>
      <c r="L207" s="165">
        <f t="shared" ca="1" si="17"/>
        <v>192</v>
      </c>
      <c r="M207" s="166">
        <f ca="1">IF($D207&lt;&gt;"Serviço","",
          IF(AUTOEVENTO="manual",$A207,
                IF(ISERROR(MATCH($A207,$A$15:OFFSET($A207,-1,0),0)),MAX($M$15:OFFSET(M207,-1,0))+1,
                      INDEX($M$15:OFFSET(M207,-1,0),MATCH($A207,$A$15:OFFSET($A207,-1,0),0)))))</f>
        <v>9</v>
      </c>
      <c r="N207" s="167" t="str">
        <f ca="1">IF($D207&lt;&gt;"Serviço","",
         IF(AUTOEVENTO="Manual",
                IF($A207=0,"&lt;-- defina o número do agrupador",
                       OFFSET(EVENTOS!$D$15,$A207-$A$15,0)),
                OFFSET($F$15,$A207,0)))</f>
        <v>INSTALAÇÕES</v>
      </c>
      <c r="O207" s="168"/>
      <c r="Q207" s="168">
        <v>2</v>
      </c>
      <c r="R207" s="169">
        <v>2</v>
      </c>
      <c r="S207" s="169">
        <v>2</v>
      </c>
      <c r="T207" s="169">
        <v>2</v>
      </c>
      <c r="U207" s="169">
        <v>2</v>
      </c>
      <c r="V207" s="169">
        <v>2</v>
      </c>
      <c r="W207" s="169">
        <v>2</v>
      </c>
      <c r="X207" s="169">
        <v>2</v>
      </c>
      <c r="Y207" s="169">
        <v>2</v>
      </c>
      <c r="Z207" s="170">
        <v>2</v>
      </c>
      <c r="AA207" s="169">
        <v>2</v>
      </c>
      <c r="AB207" s="169">
        <v>2</v>
      </c>
      <c r="AC207" s="169">
        <v>2</v>
      </c>
      <c r="AD207" s="169">
        <v>2</v>
      </c>
      <c r="AE207" s="169">
        <v>2</v>
      </c>
      <c r="AF207" s="169">
        <v>2</v>
      </c>
      <c r="AG207" s="169">
        <v>2</v>
      </c>
      <c r="AH207" s="170">
        <v>2</v>
      </c>
      <c r="AI207" s="169">
        <v>2</v>
      </c>
      <c r="AJ207" s="169">
        <v>2</v>
      </c>
      <c r="AK207" s="169"/>
      <c r="AL207" s="169"/>
      <c r="AM207" s="169"/>
      <c r="AN207" s="169"/>
      <c r="AO207" s="169"/>
      <c r="AP207" s="170"/>
      <c r="AR207" s="453">
        <f ca="1">IF(AND($D207="Serviço",AR$12&lt;&gt;0,$H207&gt;0,OR(AUTOEVENTO&lt;&gt;"manual",$M207&lt;&gt;$A$15)),
        IF(Import.TipoArredondamento&lt;&gt;"TransfereGOV",
              ROUND(OFFSET($P207,0,AR$13),15-13*ORÇAMENTO!$AF$7)/$H207*OFFSET(ORÇAMENTO!$X$15,ROW(AR207)-ROW(AR$15),0),
              ROUND(ROUND(OFFSET($P207,0,AR$13),15-13*ORÇAMENTO!$AF$7)*OFFSET(ORÇAMENTO!$W$15,ROW(AR207)-ROW(AR$15),0),15-13*ORÇAMENTO!$AF$11)),
         0)</f>
        <v>0</v>
      </c>
      <c r="AS207" s="453">
        <f ca="1">IF(AND($D207="Serviço",AS$12&lt;&gt;0,$H207&gt;0,OR(AUTOEVENTO&lt;&gt;"manual",$M207&lt;&gt;$A$15)),
        IF(Import.TipoArredondamento&lt;&gt;"TransfereGOV",
              ROUND(OFFSET($P207,0,AS$13),15-13*ORÇAMENTO!$AF$7)/$H207*OFFSET(ORÇAMENTO!$X$15,ROW(AS207)-ROW(AS$15),0),
              ROUND(ROUND(OFFSET($P207,0,AS$13),15-13*ORÇAMENTO!$AF$7)*OFFSET(ORÇAMENTO!$W$15,ROW(AS207)-ROW(AS$15),0),15-13*ORÇAMENTO!$AF$11)),
         0)</f>
        <v>0</v>
      </c>
      <c r="AT207" s="453">
        <f ca="1">IF(AND($D207="Serviço",AT$12&lt;&gt;0,$H207&gt;0,OR(AUTOEVENTO&lt;&gt;"manual",$M207&lt;&gt;$A$15)),
        IF(Import.TipoArredondamento&lt;&gt;"TransfereGOV",
              ROUND(OFFSET($P207,0,AT$13),15-13*ORÇAMENTO!$AF$7)/$H207*OFFSET(ORÇAMENTO!$X$15,ROW(AT207)-ROW(AT$15),0),
              ROUND(ROUND(OFFSET($P207,0,AT$13),15-13*ORÇAMENTO!$AF$7)*OFFSET(ORÇAMENTO!$W$15,ROW(AT207)-ROW(AT$15),0),15-13*ORÇAMENTO!$AF$11)),
         0)</f>
        <v>0</v>
      </c>
      <c r="AU207" s="453">
        <f ca="1">IF(AND($D207="Serviço",AU$12&lt;&gt;0,$H207&gt;0,OR(AUTOEVENTO&lt;&gt;"manual",$M207&lt;&gt;$A$15)),
        IF(Import.TipoArredondamento&lt;&gt;"TransfereGOV",
              ROUND(OFFSET($P207,0,AU$13),15-13*ORÇAMENTO!$AF$7)/$H207*OFFSET(ORÇAMENTO!$X$15,ROW(AU207)-ROW(AU$15),0),
              ROUND(ROUND(OFFSET($P207,0,AU$13),15-13*ORÇAMENTO!$AF$7)*OFFSET(ORÇAMENTO!$W$15,ROW(AU207)-ROW(AU$15),0),15-13*ORÇAMENTO!$AF$11)),
         0)</f>
        <v>0</v>
      </c>
      <c r="AV207" s="453">
        <f ca="1">IF(AND($D207="Serviço",AV$12&lt;&gt;0,$H207&gt;0,OR(AUTOEVENTO&lt;&gt;"manual",$M207&lt;&gt;$A$15)),
        IF(Import.TipoArredondamento&lt;&gt;"TransfereGOV",
              ROUND(OFFSET($P207,0,AV$13),15-13*ORÇAMENTO!$AF$7)/$H207*OFFSET(ORÇAMENTO!$X$15,ROW(AV207)-ROW(AV$15),0),
              ROUND(ROUND(OFFSET($P207,0,AV$13),15-13*ORÇAMENTO!$AF$7)*OFFSET(ORÇAMENTO!$W$15,ROW(AV207)-ROW(AV$15),0),15-13*ORÇAMENTO!$AF$11)),
         0)</f>
        <v>0</v>
      </c>
      <c r="AW207" s="453">
        <f ca="1">IF(AND($D207="Serviço",AW$12&lt;&gt;0,$H207&gt;0,OR(AUTOEVENTO&lt;&gt;"manual",$M207&lt;&gt;$A$15)),
        IF(Import.TipoArredondamento&lt;&gt;"TransfereGOV",
              ROUND(OFFSET($P207,0,AW$13),15-13*ORÇAMENTO!$AF$7)/$H207*OFFSET(ORÇAMENTO!$X$15,ROW(AW207)-ROW(AW$15),0),
              ROUND(ROUND(OFFSET($P207,0,AW$13),15-13*ORÇAMENTO!$AF$7)*OFFSET(ORÇAMENTO!$W$15,ROW(AW207)-ROW(AW$15),0),15-13*ORÇAMENTO!$AF$11)),
         0)</f>
        <v>0</v>
      </c>
      <c r="AX207" s="453">
        <f ca="1">IF(AND($D207="Serviço",AX$12&lt;&gt;0,$H207&gt;0,OR(AUTOEVENTO&lt;&gt;"manual",$M207&lt;&gt;$A$15)),
        IF(Import.TipoArredondamento&lt;&gt;"TransfereGOV",
              ROUND(OFFSET($P207,0,AX$13),15-13*ORÇAMENTO!$AF$7)/$H207*OFFSET(ORÇAMENTO!$X$15,ROW(AX207)-ROW(AX$15),0),
              ROUND(ROUND(OFFSET($P207,0,AX$13),15-13*ORÇAMENTO!$AF$7)*OFFSET(ORÇAMENTO!$W$15,ROW(AX207)-ROW(AX$15),0),15-13*ORÇAMENTO!$AF$11)),
         0)</f>
        <v>0</v>
      </c>
      <c r="AY207" s="453">
        <f ca="1">IF(AND($D207="Serviço",AY$12&lt;&gt;0,$H207&gt;0,OR(AUTOEVENTO&lt;&gt;"manual",$M207&lt;&gt;$A$15)),
        IF(Import.TipoArredondamento&lt;&gt;"TransfereGOV",
              ROUND(OFFSET($P207,0,AY$13),15-13*ORÇAMENTO!$AF$7)/$H207*OFFSET(ORÇAMENTO!$X$15,ROW(AY207)-ROW(AY$15),0),
              ROUND(ROUND(OFFSET($P207,0,AY$13),15-13*ORÇAMENTO!$AF$7)*OFFSET(ORÇAMENTO!$W$15,ROW(AY207)-ROW(AY$15),0),15-13*ORÇAMENTO!$AF$11)),
         0)</f>
        <v>0</v>
      </c>
      <c r="AZ207" s="453">
        <f ca="1">IF(AND($D207="Serviço",AZ$12&lt;&gt;0,$H207&gt;0,OR(AUTOEVENTO&lt;&gt;"manual",$M207&lt;&gt;$A$15)),
        IF(Import.TipoArredondamento&lt;&gt;"TransfereGOV",
              ROUND(OFFSET($P207,0,AZ$13),15-13*ORÇAMENTO!$AF$7)/$H207*OFFSET(ORÇAMENTO!$X$15,ROW(AZ207)-ROW(AZ$15),0),
              ROUND(ROUND(OFFSET($P207,0,AZ$13),15-13*ORÇAMENTO!$AF$7)*OFFSET(ORÇAMENTO!$W$15,ROW(AZ207)-ROW(AZ$15),0),15-13*ORÇAMENTO!$AF$11)),
         0)</f>
        <v>0</v>
      </c>
      <c r="BA207" s="453">
        <f ca="1">IF(AND($D207="Serviço",BA$12&lt;&gt;0,$H207&gt;0,OR(AUTOEVENTO&lt;&gt;"manual",$M207&lt;&gt;$A$15)),
        IF(Import.TipoArredondamento&lt;&gt;"TransfereGOV",
              ROUND(OFFSET($P207,0,BA$13),15-13*ORÇAMENTO!$AF$7)/$H207*OFFSET(ORÇAMENTO!$X$15,ROW(BA207)-ROW(BA$15),0),
              ROUND(ROUND(OFFSET($P207,0,BA$13),15-13*ORÇAMENTO!$AF$7)*OFFSET(ORÇAMENTO!$W$15,ROW(BA207)-ROW(BA$15),0),15-13*ORÇAMENTO!$AF$11)),
         0)</f>
        <v>0</v>
      </c>
      <c r="BB207" s="453">
        <f ca="1">IF(AND($D207="Serviço",BB$12&lt;&gt;0,$H207&gt;0,OR(AUTOEVENTO&lt;&gt;"manual",$M207&lt;&gt;$A$15)),
        IF(Import.TipoArredondamento&lt;&gt;"TransfereGOV",
              ROUND(OFFSET($P207,0,BB$13),15-13*ORÇAMENTO!$AF$7)/$H207*OFFSET(ORÇAMENTO!$X$15,ROW(BB207)-ROW(BB$15),0),
              ROUND(ROUND(OFFSET($P207,0,BB$13),15-13*ORÇAMENTO!$AF$7)*OFFSET(ORÇAMENTO!$W$15,ROW(BB207)-ROW(BB$15),0),15-13*ORÇAMENTO!$AF$11)),
         0)</f>
        <v>0</v>
      </c>
      <c r="BC207" s="453">
        <f ca="1">IF(AND($D207="Serviço",BC$12&lt;&gt;0,$H207&gt;0,OR(AUTOEVENTO&lt;&gt;"manual",$M207&lt;&gt;$A$15)),
        IF(Import.TipoArredondamento&lt;&gt;"TransfereGOV",
              ROUND(OFFSET($P207,0,BC$13),15-13*ORÇAMENTO!$AF$7)/$H207*OFFSET(ORÇAMENTO!$X$15,ROW(BC207)-ROW(BC$15),0),
              ROUND(ROUND(OFFSET($P207,0,BC$13),15-13*ORÇAMENTO!$AF$7)*OFFSET(ORÇAMENTO!$W$15,ROW(BC207)-ROW(BC$15),0),15-13*ORÇAMENTO!$AF$11)),
         0)</f>
        <v>0</v>
      </c>
      <c r="BD207" s="453">
        <f ca="1">IF(AND($D207="Serviço",BD$12&lt;&gt;0,$H207&gt;0,OR(AUTOEVENTO&lt;&gt;"manual",$M207&lt;&gt;$A$15)),
        IF(Import.TipoArredondamento&lt;&gt;"TransfereGOV",
              ROUND(OFFSET($P207,0,BD$13),15-13*ORÇAMENTO!$AF$7)/$H207*OFFSET(ORÇAMENTO!$X$15,ROW(BD207)-ROW(BD$15),0),
              ROUND(ROUND(OFFSET($P207,0,BD$13),15-13*ORÇAMENTO!$AF$7)*OFFSET(ORÇAMENTO!$W$15,ROW(BD207)-ROW(BD$15),0),15-13*ORÇAMENTO!$AF$11)),
         0)</f>
        <v>0</v>
      </c>
      <c r="BE207" s="453">
        <f ca="1">IF(AND($D207="Serviço",BE$12&lt;&gt;0,$H207&gt;0,OR(AUTOEVENTO&lt;&gt;"manual",$M207&lt;&gt;$A$15)),
        IF(Import.TipoArredondamento&lt;&gt;"TransfereGOV",
              ROUND(OFFSET($P207,0,BE$13),15-13*ORÇAMENTO!$AF$7)/$H207*OFFSET(ORÇAMENTO!$X$15,ROW(BE207)-ROW(BE$15),0),
              ROUND(ROUND(OFFSET($P207,0,BE$13),15-13*ORÇAMENTO!$AF$7)*OFFSET(ORÇAMENTO!$W$15,ROW(BE207)-ROW(BE$15),0),15-13*ORÇAMENTO!$AF$11)),
         0)</f>
        <v>0</v>
      </c>
      <c r="BF207" s="453">
        <f ca="1">IF(AND($D207="Serviço",BF$12&lt;&gt;0,$H207&gt;0,OR(AUTOEVENTO&lt;&gt;"manual",$M207&lt;&gt;$A$15)),
        IF(Import.TipoArredondamento&lt;&gt;"TransfereGOV",
              ROUND(OFFSET($P207,0,BF$13),15-13*ORÇAMENTO!$AF$7)/$H207*OFFSET(ORÇAMENTO!$X$15,ROW(BF207)-ROW(BF$15),0),
              ROUND(ROUND(OFFSET($P207,0,BF$13),15-13*ORÇAMENTO!$AF$7)*OFFSET(ORÇAMENTO!$W$15,ROW(BF207)-ROW(BF$15),0),15-13*ORÇAMENTO!$AF$11)),
         0)</f>
        <v>0</v>
      </c>
      <c r="BG207" s="453">
        <f ca="1">IF(AND($D207="Serviço",BG$12&lt;&gt;0,$H207&gt;0,OR(AUTOEVENTO&lt;&gt;"manual",$M207&lt;&gt;$A$15)),
        IF(Import.TipoArredondamento&lt;&gt;"TransfereGOV",
              ROUND(OFFSET($P207,0,BG$13),15-13*ORÇAMENTO!$AF$7)/$H207*OFFSET(ORÇAMENTO!$X$15,ROW(BG207)-ROW(BG$15),0),
              ROUND(ROUND(OFFSET($P207,0,BG$13),15-13*ORÇAMENTO!$AF$7)*OFFSET(ORÇAMENTO!$W$15,ROW(BG207)-ROW(BG$15),0),15-13*ORÇAMENTO!$AF$11)),
         0)</f>
        <v>0</v>
      </c>
      <c r="BH207" s="453">
        <f ca="1">IF(AND($D207="Serviço",BH$12&lt;&gt;0,$H207&gt;0,OR(AUTOEVENTO&lt;&gt;"manual",$M207&lt;&gt;$A$15)),
        IF(Import.TipoArredondamento&lt;&gt;"TransfereGOV",
              ROUND(OFFSET($P207,0,BH$13),15-13*ORÇAMENTO!$AF$7)/$H207*OFFSET(ORÇAMENTO!$X$15,ROW(BH207)-ROW(BH$15),0),
              ROUND(ROUND(OFFSET($P207,0,BH$13),15-13*ORÇAMENTO!$AF$7)*OFFSET(ORÇAMENTO!$W$15,ROW(BH207)-ROW(BH$15),0),15-13*ORÇAMENTO!$AF$11)),
         0)</f>
        <v>0</v>
      </c>
      <c r="BI207" s="453">
        <f ca="1">IF(AND($D207="Serviço",BI$12&lt;&gt;0,$H207&gt;0,OR(AUTOEVENTO&lt;&gt;"manual",$M207&lt;&gt;$A$15)),
        IF(Import.TipoArredondamento&lt;&gt;"TransfereGOV",
              ROUND(OFFSET($P207,0,BI$13),15-13*ORÇAMENTO!$AF$7)/$H207*OFFSET(ORÇAMENTO!$X$15,ROW(BI207)-ROW(BI$15),0),
              ROUND(ROUND(OFFSET($P207,0,BI$13),15-13*ORÇAMENTO!$AF$7)*OFFSET(ORÇAMENTO!$W$15,ROW(BI207)-ROW(BI$15),0),15-13*ORÇAMENTO!$AF$11)),
         0)</f>
        <v>0</v>
      </c>
      <c r="BJ207" s="453">
        <f ca="1">IF(AND($D207="Serviço",BJ$12&lt;&gt;0,$H207&gt;0,OR(AUTOEVENTO&lt;&gt;"manual",$M207&lt;&gt;$A$15)),
        IF(Import.TipoArredondamento&lt;&gt;"TransfereGOV",
              ROUND(OFFSET($P207,0,BJ$13),15-13*ORÇAMENTO!$AF$7)/$H207*OFFSET(ORÇAMENTO!$X$15,ROW(BJ207)-ROW(BJ$15),0),
              ROUND(ROUND(OFFSET($P207,0,BJ$13),15-13*ORÇAMENTO!$AF$7)*OFFSET(ORÇAMENTO!$W$15,ROW(BJ207)-ROW(BJ$15),0),15-13*ORÇAMENTO!$AF$11)),
         0)</f>
        <v>0</v>
      </c>
      <c r="BK207" s="453">
        <f ca="1">IF(AND($D207="Serviço",BK$12&lt;&gt;0,$H207&gt;0,OR(AUTOEVENTO&lt;&gt;"manual",$M207&lt;&gt;$A$15)),
        IF(Import.TipoArredondamento&lt;&gt;"TransfereGOV",
              ROUND(OFFSET($P207,0,BK$13),15-13*ORÇAMENTO!$AF$7)/$H207*OFFSET(ORÇAMENTO!$X$15,ROW(BK207)-ROW(BK$15),0),
              ROUND(ROUND(OFFSET($P207,0,BK$13),15-13*ORÇAMENTO!$AF$7)*OFFSET(ORÇAMENTO!$W$15,ROW(BK207)-ROW(BK$15),0),15-13*ORÇAMENTO!$AF$11)),
         0)</f>
        <v>0</v>
      </c>
      <c r="BL207" s="453">
        <f ca="1">IF(AND($D207="Serviço",BL$12&lt;&gt;0,$H207&gt;0,OR(AUTOEVENTO&lt;&gt;"manual",$M207&lt;&gt;$A$15)),
        IF(Import.TipoArredondamento&lt;&gt;"TransfereGOV",
              ROUND(OFFSET($P207,0,BL$13),15-13*ORÇAMENTO!$AF$7)/$H207*OFFSET(ORÇAMENTO!$X$15,ROW(BL207)-ROW(BL$15),0),
              ROUND(ROUND(OFFSET($P207,0,BL$13),15-13*ORÇAMENTO!$AF$7)*OFFSET(ORÇAMENTO!$W$15,ROW(BL207)-ROW(BL$15),0),15-13*ORÇAMENTO!$AF$11)),
         0)</f>
        <v>0</v>
      </c>
      <c r="BM207" s="453">
        <f ca="1">IF(AND($D207="Serviço",BM$12&lt;&gt;0,$H207&gt;0,OR(AUTOEVENTO&lt;&gt;"manual",$M207&lt;&gt;$A$15)),
        IF(Import.TipoArredondamento&lt;&gt;"TransfereGOV",
              ROUND(OFFSET($P207,0,BM$13),15-13*ORÇAMENTO!$AF$7)/$H207*OFFSET(ORÇAMENTO!$X$15,ROW(BM207)-ROW(BM$15),0),
              ROUND(ROUND(OFFSET($P207,0,BM$13),15-13*ORÇAMENTO!$AF$7)*OFFSET(ORÇAMENTO!$W$15,ROW(BM207)-ROW(BM$15),0),15-13*ORÇAMENTO!$AF$11)),
         0)</f>
        <v>0</v>
      </c>
      <c r="BN207" s="453">
        <f ca="1">IF(AND($D207="Serviço",BN$12&lt;&gt;0,$H207&gt;0,OR(AUTOEVENTO&lt;&gt;"manual",$M207&lt;&gt;$A$15)),
        IF(Import.TipoArredondamento&lt;&gt;"TransfereGOV",
              ROUND(OFFSET($P207,0,BN$13),15-13*ORÇAMENTO!$AF$7)/$H207*OFFSET(ORÇAMENTO!$X$15,ROW(BN207)-ROW(BN$15),0),
              ROUND(ROUND(OFFSET($P207,0,BN$13),15-13*ORÇAMENTO!$AF$7)*OFFSET(ORÇAMENTO!$W$15,ROW(BN207)-ROW(BN$15),0),15-13*ORÇAMENTO!$AF$11)),
         0)</f>
        <v>0</v>
      </c>
      <c r="BO207" s="453">
        <f ca="1">IF(AND($D207="Serviço",BO$12&lt;&gt;0,$H207&gt;0,OR(AUTOEVENTO&lt;&gt;"manual",$M207&lt;&gt;$A$15)),
        IF(Import.TipoArredondamento&lt;&gt;"TransfereGOV",
              ROUND(OFFSET($P207,0,BO$13),15-13*ORÇAMENTO!$AF$7)/$H207*OFFSET(ORÇAMENTO!$X$15,ROW(BO207)-ROW(BO$15),0),
              ROUND(ROUND(OFFSET($P207,0,BO$13),15-13*ORÇAMENTO!$AF$7)*OFFSET(ORÇAMENTO!$W$15,ROW(BO207)-ROW(BO$15),0),15-13*ORÇAMENTO!$AF$11)),
         0)</f>
        <v>0</v>
      </c>
      <c r="BP207" s="453">
        <f ca="1">IF(AND($D207="Serviço",BP$12&lt;&gt;0,$H207&gt;0,OR(AUTOEVENTO&lt;&gt;"manual",$M207&lt;&gt;$A$15)),
        IF(Import.TipoArredondamento&lt;&gt;"TransfereGOV",
              ROUND(OFFSET($P207,0,BP$13),15-13*ORÇAMENTO!$AF$7)/$H207*OFFSET(ORÇAMENTO!$X$15,ROW(BP207)-ROW(BP$15),0),
              ROUND(ROUND(OFFSET($P207,0,BP$13),15-13*ORÇAMENTO!$AF$7)*OFFSET(ORÇAMENTO!$W$15,ROW(BP207)-ROW(BP$15),0),15-13*ORÇAMENTO!$AF$11)),
         0)</f>
        <v>0</v>
      </c>
      <c r="BQ207" s="453">
        <f ca="1">IF(AND($D207="Serviço",BQ$12&lt;&gt;0,$H207&gt;0,OR(AUTOEVENTO&lt;&gt;"manual",$M207&lt;&gt;$A$15)),
        IF(Import.TipoArredondamento&lt;&gt;"TransfereGOV",
              ROUND(OFFSET($P207,0,BQ$13),15-13*ORÇAMENTO!$AF$7)/$H207*OFFSET(ORÇAMENTO!$X$15,ROW(BQ207)-ROW(BQ$15),0),
              ROUND(ROUND(OFFSET($P207,0,BQ$13),15-13*ORÇAMENTO!$AF$7)*OFFSET(ORÇAMENTO!$W$15,ROW(BQ207)-ROW(BQ$15),0),15-13*ORÇAMENTO!$AF$11)),
         0)</f>
        <v>0</v>
      </c>
      <c r="BS207" s="171">
        <f ca="1">IF(OR($D207&lt;&gt;"Serviço",AND(AUTOEVENTO="Manual",$M207=$A$15)),0,
         IF(OFFSET(CRONOPLE!$F$15,$M207-$A$15,BS$13)=0,10^12,OFFSET(CRONOPLE!$F$15,$M207-$A$15,BS$13)))</f>
        <v>1</v>
      </c>
      <c r="BT207" s="171">
        <f ca="1">IF(OR($D207&lt;&gt;"Serviço",AND(AUTOEVENTO="Manual",$M207=$A$15)),0,
         IF(OFFSET(CRONOPLE!$F$15,$M207-$A$15,BT$13)=0,10^12,OFFSET(CRONOPLE!$F$15,$M207-$A$15,BT$13)))</f>
        <v>2</v>
      </c>
      <c r="BU207" s="171">
        <f ca="1">IF(OR($D207&lt;&gt;"Serviço",AND(AUTOEVENTO="Manual",$M207=$A$15)),0,
         IF(OFFSET(CRONOPLE!$F$15,$M207-$A$15,BU$13)=0,10^12,OFFSET(CRONOPLE!$F$15,$M207-$A$15,BU$13)))</f>
        <v>3</v>
      </c>
      <c r="BV207" s="171">
        <f ca="1">IF(OR($D207&lt;&gt;"Serviço",AND(AUTOEVENTO="Manual",$M207=$A$15)),0,
         IF(OFFSET(CRONOPLE!$F$15,$M207-$A$15,BV$13)=0,10^12,OFFSET(CRONOPLE!$F$15,$M207-$A$15,BV$13)))</f>
        <v>4</v>
      </c>
      <c r="BW207" s="171">
        <f ca="1">IF(OR($D207&lt;&gt;"Serviço",AND(AUTOEVENTO="Manual",$M207=$A$15)),0,
         IF(OFFSET(CRONOPLE!$F$15,$M207-$A$15,BW$13)=0,10^12,OFFSET(CRONOPLE!$F$15,$M207-$A$15,BW$13)))</f>
        <v>5</v>
      </c>
      <c r="BX207" s="171">
        <f ca="1">IF(OR($D207&lt;&gt;"Serviço",AND(AUTOEVENTO="Manual",$M207=$A$15)),0,
         IF(OFFSET(CRONOPLE!$F$15,$M207-$A$15,BX$13)=0,10^12,OFFSET(CRONOPLE!$F$15,$M207-$A$15,BX$13)))</f>
        <v>6</v>
      </c>
      <c r="BY207" s="171">
        <f ca="1">IF(OR($D207&lt;&gt;"Serviço",AND(AUTOEVENTO="Manual",$M207=$A$15)),0,
         IF(OFFSET(CRONOPLE!$F$15,$M207-$A$15,BY$13)=0,10^12,OFFSET(CRONOPLE!$F$15,$M207-$A$15,BY$13)))</f>
        <v>7</v>
      </c>
      <c r="BZ207" s="171">
        <f ca="1">IF(OR($D207&lt;&gt;"Serviço",AND(AUTOEVENTO="Manual",$M207=$A$15)),0,
         IF(OFFSET(CRONOPLE!$F$15,$M207-$A$15,BZ$13)=0,10^12,OFFSET(CRONOPLE!$F$15,$M207-$A$15,BZ$13)))</f>
        <v>8</v>
      </c>
      <c r="CA207" s="171">
        <f ca="1">IF(OR($D207&lt;&gt;"Serviço",AND(AUTOEVENTO="Manual",$M207=$A$15)),0,
         IF(OFFSET(CRONOPLE!$F$15,$M207-$A$15,CA$13)=0,10^12,OFFSET(CRONOPLE!$F$15,$M207-$A$15,CA$13)))</f>
        <v>9</v>
      </c>
      <c r="CB207" s="171">
        <f ca="1">IF(OR($D207&lt;&gt;"Serviço",AND(AUTOEVENTO="Manual",$M207=$A$15)),0,
         IF(OFFSET(CRONOPLE!$F$15,$M207-$A$15,CB$13)=0,10^12,OFFSET(CRONOPLE!$F$15,$M207-$A$15,CB$13)))</f>
        <v>10</v>
      </c>
      <c r="CC207" s="171">
        <f ca="1">IF(OR($D207&lt;&gt;"Serviço",AND(AUTOEVENTO="Manual",$M207=$A$15)),0,
         IF(OFFSET(CRONOPLE!$F$15,$M207-$A$15,CC$13)=0,10^12,OFFSET(CRONOPLE!$F$15,$M207-$A$15,CC$13)))</f>
        <v>11</v>
      </c>
      <c r="CD207" s="171">
        <f ca="1">IF(OR($D207&lt;&gt;"Serviço",AND(AUTOEVENTO="Manual",$M207=$A$15)),0,
         IF(OFFSET(CRONOPLE!$F$15,$M207-$A$15,CD$13)=0,10^12,OFFSET(CRONOPLE!$F$15,$M207-$A$15,CD$13)))</f>
        <v>12</v>
      </c>
      <c r="CE207" s="171">
        <f ca="1">IF(OR($D207&lt;&gt;"Serviço",AND(AUTOEVENTO="Manual",$M207=$A$15)),0,
         IF(OFFSET(CRONOPLE!$F$15,$M207-$A$15,CE$13)=0,10^12,OFFSET(CRONOPLE!$F$15,$M207-$A$15,CE$13)))</f>
        <v>13</v>
      </c>
      <c r="CF207" s="171">
        <f ca="1">IF(OR($D207&lt;&gt;"Serviço",AND(AUTOEVENTO="Manual",$M207=$A$15)),0,
         IF(OFFSET(CRONOPLE!$F$15,$M207-$A$15,CF$13)=0,10^12,OFFSET(CRONOPLE!$F$15,$M207-$A$15,CF$13)))</f>
        <v>14</v>
      </c>
      <c r="CG207" s="171">
        <f ca="1">IF(OR($D207&lt;&gt;"Serviço",AND(AUTOEVENTO="Manual",$M207=$A$15)),0,
         IF(OFFSET(CRONOPLE!$F$15,$M207-$A$15,CG$13)=0,10^12,OFFSET(CRONOPLE!$F$15,$M207-$A$15,CG$13)))</f>
        <v>15</v>
      </c>
      <c r="CH207" s="171">
        <f ca="1">IF(OR($D207&lt;&gt;"Serviço",AND(AUTOEVENTO="Manual",$M207=$A$15)),0,
         IF(OFFSET(CRONOPLE!$F$15,$M207-$A$15,CH$13)=0,10^12,OFFSET(CRONOPLE!$F$15,$M207-$A$15,CH$13)))</f>
        <v>16</v>
      </c>
      <c r="CI207" s="171">
        <f ca="1">IF(OR($D207&lt;&gt;"Serviço",AND(AUTOEVENTO="Manual",$M207=$A$15)),0,
         IF(OFFSET(CRONOPLE!$F$15,$M207-$A$15,CI$13)=0,10^12,OFFSET(CRONOPLE!$F$15,$M207-$A$15,CI$13)))</f>
        <v>17</v>
      </c>
      <c r="CJ207" s="171">
        <f ca="1">IF(OR($D207&lt;&gt;"Serviço",AND(AUTOEVENTO="Manual",$M207=$A$15)),0,
         IF(OFFSET(CRONOPLE!$F$15,$M207-$A$15,CJ$13)=0,10^12,OFFSET(CRONOPLE!$F$15,$M207-$A$15,CJ$13)))</f>
        <v>18</v>
      </c>
      <c r="CK207" s="171">
        <f ca="1">IF(OR($D207&lt;&gt;"Serviço",AND(AUTOEVENTO="Manual",$M207=$A$15)),0,
         IF(OFFSET(CRONOPLE!$F$15,$M207-$A$15,CK$13)=0,10^12,OFFSET(CRONOPLE!$F$15,$M207-$A$15,CK$13)))</f>
        <v>19</v>
      </c>
      <c r="CL207" s="171">
        <f ca="1">IF(OR($D207&lt;&gt;"Serviço",AND(AUTOEVENTO="Manual",$M207=$A$15)),0,
         IF(OFFSET(CRONOPLE!$F$15,$M207-$A$15,CL$13)=0,10^12,OFFSET(CRONOPLE!$F$15,$M207-$A$15,CL$13)))</f>
        <v>20</v>
      </c>
      <c r="CM207" s="171">
        <f ca="1">IF(OR($D207&lt;&gt;"Serviço",AND(AUTOEVENTO="Manual",$M207=$A$15)),0,
         IF(OFFSET(CRONOPLE!$F$15,$M207-$A$15,CM$13)=0,10^12,OFFSET(CRONOPLE!$F$15,$M207-$A$15,CM$13)))</f>
        <v>1000000000000</v>
      </c>
      <c r="CN207" s="171">
        <f ca="1">IF(OR($D207&lt;&gt;"Serviço",AND(AUTOEVENTO="Manual",$M207=$A$15)),0,
         IF(OFFSET(CRONOPLE!$F$15,$M207-$A$15,CN$13)=0,10^12,OFFSET(CRONOPLE!$F$15,$M207-$A$15,CN$13)))</f>
        <v>1000000000000</v>
      </c>
      <c r="CO207" s="171">
        <f ca="1">IF(OR($D207&lt;&gt;"Serviço",AND(AUTOEVENTO="Manual",$M207=$A$15)),0,
         IF(OFFSET(CRONOPLE!$F$15,$M207-$A$15,CO$13)=0,10^12,OFFSET(CRONOPLE!$F$15,$M207-$A$15,CO$13)))</f>
        <v>1000000000000</v>
      </c>
      <c r="CP207" s="171">
        <f ca="1">IF(OR($D207&lt;&gt;"Serviço",AND(AUTOEVENTO="Manual",$M207=$A$15)),0,
         IF(OFFSET(CRONOPLE!$F$15,$M207-$A$15,CP$13)=0,10^12,OFFSET(CRONOPLE!$F$15,$M207-$A$15,CP$13)))</f>
        <v>1000000000000</v>
      </c>
      <c r="CQ207" s="171">
        <f ca="1">IF(OR($D207&lt;&gt;"Serviço",AND(AUTOEVENTO="Manual",$M207=$A$15)),0,
         IF(OFFSET(CRONOPLE!$F$15,$M207-$A$15,CQ$13)=0,10^12,OFFSET(CRONOPLE!$F$15,$M207-$A$15,CQ$13)))</f>
        <v>1000000000000</v>
      </c>
      <c r="CR207" s="171">
        <f ca="1">IF(OR($D207&lt;&gt;"Serviço",AND(AUTOEVENTO="Manual",$M207=$A$15)),0,
         IF(OFFSET(CRONOPLE!$F$15,$M207-$A$15,CR$13)=0,10^12,OFFSET(CRONOPLE!$F$15,$M207-$A$15,CR$13)))</f>
        <v>1000000000000</v>
      </c>
      <c r="CT207" s="172" cm="1">
        <f t="array" aca="1" ref="CT207" ca="1">IF(OR($D207&lt;&gt;"Serviço",AND(AUTOEVENTO="Manual",$M207=$A$15),$M207&gt;(ROW(PLE.lastrow)-ROW(PLE.firstrow))),0,
           IF(OFFSET(PLE!$G$15,$M207-$A$15,CT$13)="",10^12,OFFSET(PLE!$G$15,$M207-$A$15,CT$13)))</f>
        <v>1000000000000</v>
      </c>
      <c r="CU207" s="172" cm="1">
        <f t="array" aca="1" ref="CU207" ca="1">IF(OR($D207&lt;&gt;"Serviço",AND(AUTOEVENTO="Manual",$M207=$A$15),$M207&gt;(ROW(PLE.lastrow)-ROW(PLE.firstrow))),0,
           IF(OFFSET(PLE!$G$15,$M207-$A$15,CU$13)="",10^12,OFFSET(PLE!$G$15,$M207-$A$15,CU$13)))</f>
        <v>1000000000000</v>
      </c>
      <c r="CV207" s="172" cm="1">
        <f t="array" aca="1" ref="CV207" ca="1">IF(OR($D207&lt;&gt;"Serviço",AND(AUTOEVENTO="Manual",$M207=$A$15),$M207&gt;(ROW(PLE.lastrow)-ROW(PLE.firstrow))),0,
           IF(OFFSET(PLE!$G$15,$M207-$A$15,CV$13)="",10^12,OFFSET(PLE!$G$15,$M207-$A$15,CV$13)))</f>
        <v>1000000000000</v>
      </c>
      <c r="CW207" s="172" cm="1">
        <f t="array" aca="1" ref="CW207" ca="1">IF(OR($D207&lt;&gt;"Serviço",AND(AUTOEVENTO="Manual",$M207=$A$15),$M207&gt;(ROW(PLE.lastrow)-ROW(PLE.firstrow))),0,
           IF(OFFSET(PLE!$G$15,$M207-$A$15,CW$13)="",10^12,OFFSET(PLE!$G$15,$M207-$A$15,CW$13)))</f>
        <v>1000000000000</v>
      </c>
      <c r="CX207" s="172" cm="1">
        <f t="array" aca="1" ref="CX207" ca="1">IF(OR($D207&lt;&gt;"Serviço",AND(AUTOEVENTO="Manual",$M207=$A$15),$M207&gt;(ROW(PLE.lastrow)-ROW(PLE.firstrow))),0,
           IF(OFFSET(PLE!$G$15,$M207-$A$15,CX$13)="",10^12,OFFSET(PLE!$G$15,$M207-$A$15,CX$13)))</f>
        <v>1000000000000</v>
      </c>
      <c r="CY207" s="172" cm="1">
        <f t="array" aca="1" ref="CY207" ca="1">IF(OR($D207&lt;&gt;"Serviço",AND(AUTOEVENTO="Manual",$M207=$A$15),$M207&gt;(ROW(PLE.lastrow)-ROW(PLE.firstrow))),0,
           IF(OFFSET(PLE!$G$15,$M207-$A$15,CY$13)="",10^12,OFFSET(PLE!$G$15,$M207-$A$15,CY$13)))</f>
        <v>1000000000000</v>
      </c>
      <c r="CZ207" s="172" cm="1">
        <f t="array" aca="1" ref="CZ207" ca="1">IF(OR($D207&lt;&gt;"Serviço",AND(AUTOEVENTO="Manual",$M207=$A$15),$M207&gt;(ROW(PLE.lastrow)-ROW(PLE.firstrow))),0,
           IF(OFFSET(PLE!$G$15,$M207-$A$15,CZ$13)="",10^12,OFFSET(PLE!$G$15,$M207-$A$15,CZ$13)))</f>
        <v>1000000000000</v>
      </c>
      <c r="DA207" s="172" cm="1">
        <f t="array" aca="1" ref="DA207" ca="1">IF(OR($D207&lt;&gt;"Serviço",AND(AUTOEVENTO="Manual",$M207=$A$15),$M207&gt;(ROW(PLE.lastrow)-ROW(PLE.firstrow))),0,
           IF(OFFSET(PLE!$G$15,$M207-$A$15,DA$13)="",10^12,OFFSET(PLE!$G$15,$M207-$A$15,DA$13)))</f>
        <v>1000000000000</v>
      </c>
      <c r="DB207" s="172" cm="1">
        <f t="array" aca="1" ref="DB207" ca="1">IF(OR($D207&lt;&gt;"Serviço",AND(AUTOEVENTO="Manual",$M207=$A$15),$M207&gt;(ROW(PLE.lastrow)-ROW(PLE.firstrow))),0,
           IF(OFFSET(PLE!$G$15,$M207-$A$15,DB$13)="",10^12,OFFSET(PLE!$G$15,$M207-$A$15,DB$13)))</f>
        <v>1000000000000</v>
      </c>
      <c r="DC207" s="172" cm="1">
        <f t="array" aca="1" ref="DC207" ca="1">IF(OR($D207&lt;&gt;"Serviço",AND(AUTOEVENTO="Manual",$M207=$A$15),$M207&gt;(ROW(PLE.lastrow)-ROW(PLE.firstrow))),0,
           IF(OFFSET(PLE!$G$15,$M207-$A$15,DC$13)="",10^12,OFFSET(PLE!$G$15,$M207-$A$15,DC$13)))</f>
        <v>1000000000000</v>
      </c>
      <c r="DD207" s="172" cm="1">
        <f t="array" aca="1" ref="DD207" ca="1">IF(OR($D207&lt;&gt;"Serviço",AND(AUTOEVENTO="Manual",$M207=$A$15),$M207&gt;(ROW(PLE.lastrow)-ROW(PLE.firstrow))),0,
           IF(OFFSET(PLE!$G$15,$M207-$A$15,DD$13)="",10^12,OFFSET(PLE!$G$15,$M207-$A$15,DD$13)))</f>
        <v>1000000000000</v>
      </c>
      <c r="DE207" s="172" cm="1">
        <f t="array" aca="1" ref="DE207" ca="1">IF(OR($D207&lt;&gt;"Serviço",AND(AUTOEVENTO="Manual",$M207=$A$15),$M207&gt;(ROW(PLE.lastrow)-ROW(PLE.firstrow))),0,
           IF(OFFSET(PLE!$G$15,$M207-$A$15,DE$13)="",10^12,OFFSET(PLE!$G$15,$M207-$A$15,DE$13)))</f>
        <v>1000000000000</v>
      </c>
      <c r="DF207" s="172" cm="1">
        <f t="array" aca="1" ref="DF207" ca="1">IF(OR($D207&lt;&gt;"Serviço",AND(AUTOEVENTO="Manual",$M207=$A$15),$M207&gt;(ROW(PLE.lastrow)-ROW(PLE.firstrow))),0,
           IF(OFFSET(PLE!$G$15,$M207-$A$15,DF$13)="",10^12,OFFSET(PLE!$G$15,$M207-$A$15,DF$13)))</f>
        <v>1000000000000</v>
      </c>
      <c r="DG207" s="172" cm="1">
        <f t="array" aca="1" ref="DG207" ca="1">IF(OR($D207&lt;&gt;"Serviço",AND(AUTOEVENTO="Manual",$M207=$A$15),$M207&gt;(ROW(PLE.lastrow)-ROW(PLE.firstrow))),0,
           IF(OFFSET(PLE!$G$15,$M207-$A$15,DG$13)="",10^12,OFFSET(PLE!$G$15,$M207-$A$15,DG$13)))</f>
        <v>1000000000000</v>
      </c>
      <c r="DH207" s="172" cm="1">
        <f t="array" aca="1" ref="DH207" ca="1">IF(OR($D207&lt;&gt;"Serviço",AND(AUTOEVENTO="Manual",$M207=$A$15),$M207&gt;(ROW(PLE.lastrow)-ROW(PLE.firstrow))),0,
           IF(OFFSET(PLE!$G$15,$M207-$A$15,DH$13)="",10^12,OFFSET(PLE!$G$15,$M207-$A$15,DH$13)))</f>
        <v>1000000000000</v>
      </c>
      <c r="DI207" s="172" cm="1">
        <f t="array" aca="1" ref="DI207" ca="1">IF(OR($D207&lt;&gt;"Serviço",AND(AUTOEVENTO="Manual",$M207=$A$15),$M207&gt;(ROW(PLE.lastrow)-ROW(PLE.firstrow))),0,
           IF(OFFSET(PLE!$G$15,$M207-$A$15,DI$13)="",10^12,OFFSET(PLE!$G$15,$M207-$A$15,DI$13)))</f>
        <v>1000000000000</v>
      </c>
      <c r="DJ207" s="172" cm="1">
        <f t="array" aca="1" ref="DJ207" ca="1">IF(OR($D207&lt;&gt;"Serviço",AND(AUTOEVENTO="Manual",$M207=$A$15),$M207&gt;(ROW(PLE.lastrow)-ROW(PLE.firstrow))),0,
           IF(OFFSET(PLE!$G$15,$M207-$A$15,DJ$13)="",10^12,OFFSET(PLE!$G$15,$M207-$A$15,DJ$13)))</f>
        <v>1000000000000</v>
      </c>
      <c r="DK207" s="172" cm="1">
        <f t="array" aca="1" ref="DK207" ca="1">IF(OR($D207&lt;&gt;"Serviço",AND(AUTOEVENTO="Manual",$M207=$A$15),$M207&gt;(ROW(PLE.lastrow)-ROW(PLE.firstrow))),0,
           IF(OFFSET(PLE!$G$15,$M207-$A$15,DK$13)="",10^12,OFFSET(PLE!$G$15,$M207-$A$15,DK$13)))</f>
        <v>1000000000000</v>
      </c>
      <c r="DL207" s="172" cm="1">
        <f t="array" aca="1" ref="DL207" ca="1">IF(OR($D207&lt;&gt;"Serviço",AND(AUTOEVENTO="Manual",$M207=$A$15),$M207&gt;(ROW(PLE.lastrow)-ROW(PLE.firstrow))),0,
           IF(OFFSET(PLE!$G$15,$M207-$A$15,DL$13)="",10^12,OFFSET(PLE!$G$15,$M207-$A$15,DL$13)))</f>
        <v>1000000000000</v>
      </c>
      <c r="DM207" s="172" cm="1">
        <f t="array" aca="1" ref="DM207" ca="1">IF(OR($D207&lt;&gt;"Serviço",AND(AUTOEVENTO="Manual",$M207=$A$15),$M207&gt;(ROW(PLE.lastrow)-ROW(PLE.firstrow))),0,
           IF(OFFSET(PLE!$G$15,$M207-$A$15,DM$13)="",10^12,OFFSET(PLE!$G$15,$M207-$A$15,DM$13)))</f>
        <v>1000000000000</v>
      </c>
      <c r="DN207" s="172" cm="1">
        <f t="array" aca="1" ref="DN207" ca="1">IF(OR($D207&lt;&gt;"Serviço",AND(AUTOEVENTO="Manual",$M207=$A$15),$M207&gt;(ROW(PLE.lastrow)-ROW(PLE.firstrow))),0,
           IF(OFFSET(PLE!$G$15,$M207-$A$15,DN$13)="",10^12,OFFSET(PLE!$G$15,$M207-$A$15,DN$13)))</f>
        <v>1000000000000</v>
      </c>
      <c r="DO207" s="172" cm="1">
        <f t="array" aca="1" ref="DO207" ca="1">IF(OR($D207&lt;&gt;"Serviço",AND(AUTOEVENTO="Manual",$M207=$A$15),$M207&gt;(ROW(PLE.lastrow)-ROW(PLE.firstrow))),0,
           IF(OFFSET(PLE!$G$15,$M207-$A$15,DO$13)="",10^12,OFFSET(PLE!$G$15,$M207-$A$15,DO$13)))</f>
        <v>1000000000000</v>
      </c>
      <c r="DP207" s="172" cm="1">
        <f t="array" aca="1" ref="DP207" ca="1">IF(OR($D207&lt;&gt;"Serviço",AND(AUTOEVENTO="Manual",$M207=$A$15),$M207&gt;(ROW(PLE.lastrow)-ROW(PLE.firstrow))),0,
           IF(OFFSET(PLE!$G$15,$M207-$A$15,DP$13)="",10^12,OFFSET(PLE!$G$15,$M207-$A$15,DP$13)))</f>
        <v>1000000000000</v>
      </c>
      <c r="DQ207" s="172" cm="1">
        <f t="array" aca="1" ref="DQ207" ca="1">IF(OR($D207&lt;&gt;"Serviço",AND(AUTOEVENTO="Manual",$M207=$A$15),$M207&gt;(ROW(PLE.lastrow)-ROW(PLE.firstrow))),0,
           IF(OFFSET(PLE!$G$15,$M207-$A$15,DQ$13)="",10^12,OFFSET(PLE!$G$15,$M207-$A$15,DQ$13)))</f>
        <v>1000000000000</v>
      </c>
      <c r="DR207" s="172" cm="1">
        <f t="array" aca="1" ref="DR207" ca="1">IF(OR($D207&lt;&gt;"Serviço",AND(AUTOEVENTO="Manual",$M207=$A$15),$M207&gt;(ROW(PLE.lastrow)-ROW(PLE.firstrow))),0,
           IF(OFFSET(PLE!$G$15,$M207-$A$15,DR$13)="",10^12,OFFSET(PLE!$G$15,$M207-$A$15,DR$13)))</f>
        <v>1000000000000</v>
      </c>
      <c r="DS207" s="172" cm="1">
        <f t="array" aca="1" ref="DS207" ca="1">IF(OR($D207&lt;&gt;"Serviço",AND(AUTOEVENTO="Manual",$M207=$A$15),$M207&gt;(ROW(PLE.lastrow)-ROW(PLE.firstrow))),0,
           IF(OFFSET(PLE!$G$15,$M207-$A$15,DS$13)="",10^12,OFFSET(PLE!$G$15,$M207-$A$15,DS$13)))</f>
        <v>1000000000000</v>
      </c>
    </row>
    <row r="208" spans="1:123" ht="38.25" x14ac:dyDescent="0.2">
      <c r="A208" s="7">
        <f t="shared" ca="1" si="18"/>
        <v>9</v>
      </c>
      <c r="B208" s="7" t="str">
        <f ca="1">OFFSET(ORÇAMENTO!C$15,$L208,0)</f>
        <v>S</v>
      </c>
      <c r="C208" s="7" t="str">
        <f ca="1">OFFSET(ORÇAMENTO!L$15,$L208,0)</f>
        <v/>
      </c>
      <c r="D208" s="116" t="str">
        <f ca="1">OFFSET(ORÇAMENTO!N$15,$L208,0)</f>
        <v>Serviço</v>
      </c>
      <c r="E208" s="117" t="str">
        <f ca="1">OFFSET(ORÇAMENTO!O$15,$L208,0)</f>
        <v>-</v>
      </c>
      <c r="F208" s="163" t="str">
        <f ca="1">OFFSET(ORÇAMENTO!R$15,$L208,0)</f>
        <v>(Código não identificado nas referências)</v>
      </c>
      <c r="G208" s="164" t="str">
        <f ca="1">IF($D208&lt;&gt;"Serviço","",OFFSET(ORÇAMENTO!S$15,$L208,0))</f>
        <v>-</v>
      </c>
      <c r="H208" s="122" cm="1">
        <f t="array" aca="1" ref="H208" ca="1">IF($D208&lt;&gt;"Serviço",0,IF(ACOMPANHAMENTO="BM",ROUND(OFFSET(ORÇAMENTO!AJ$15,$L208,0),15-13*ORÇAMENTO!$AF$7),IF(IFERROR(CÁLCULO.FrentesPreenchidas,0)=0,0,SUM(ROUND(OFFSET($P208,0,1,1,CÁLCULO.FrentesPreenchidas),15-13*ORÇAMENTO!$AF$7)))))</f>
        <v>180</v>
      </c>
      <c r="I208" s="468" t="s">
        <v>1235</v>
      </c>
      <c r="J208" s="651" t="str" cm="1">
        <f t="array" aca="1" ref="J208" ca="1">IF(OR(B208&lt;&gt;"S",CÁLCULO.FrentesPreenchidas=0),"",IF(AND(ACOMPANHAMENTO="PLE",AUTOEVENTO="Manual",OR(H208&gt;0,ORÇAMENTO!AC208="QUANT."),OR(K208="",M208=0,N208="")),"►E",IF(AND(ACOMPANHAMENTO="PLE",ORÇAMENTO!AC208="QUANT."),"►Q",IF(AND(ACOMPANHAMENTO="PLE",H208&lt;&gt;SUMPRODUCT(($Q$1:$AQ$1=1)*ROUND(Q208:AQ208,15))),"►S",IF(AND(COUNTIF($P$11:$AQ$11,"▼")=0,H208&gt;0,I208=""),"◄M","")))))</f>
        <v/>
      </c>
      <c r="K208" s="652" t="s">
        <v>1257</v>
      </c>
      <c r="L208" s="165">
        <f t="shared" ca="1" si="17"/>
        <v>193</v>
      </c>
      <c r="M208" s="166">
        <f ca="1">IF($D208&lt;&gt;"Serviço","",
          IF(AUTOEVENTO="manual",$A208,
                IF(ISERROR(MATCH($A208,$A$15:OFFSET($A208,-1,0),0)),MAX($M$15:OFFSET(M208,-1,0))+1,
                      INDEX($M$15:OFFSET(M208,-1,0),MATCH($A208,$A$15:OFFSET($A208,-1,0),0)))))</f>
        <v>9</v>
      </c>
      <c r="N208" s="167" t="str">
        <f ca="1">IF($D208&lt;&gt;"Serviço","",
         IF(AUTOEVENTO="Manual",
                IF($A208=0,"&lt;-- defina o número do agrupador",
                       OFFSET(EVENTOS!$D$15,$A208-$A$15,0)),
                OFFSET($F$15,$A208,0)))</f>
        <v>INSTALAÇÕES</v>
      </c>
      <c r="O208" s="168"/>
      <c r="Q208" s="168">
        <v>9</v>
      </c>
      <c r="R208" s="169">
        <v>9</v>
      </c>
      <c r="S208" s="169">
        <v>9</v>
      </c>
      <c r="T208" s="169">
        <v>9</v>
      </c>
      <c r="U208" s="169">
        <v>9</v>
      </c>
      <c r="V208" s="169">
        <v>9</v>
      </c>
      <c r="W208" s="169">
        <v>9</v>
      </c>
      <c r="X208" s="169">
        <v>9</v>
      </c>
      <c r="Y208" s="169">
        <v>9</v>
      </c>
      <c r="Z208" s="170">
        <v>9</v>
      </c>
      <c r="AA208" s="169">
        <v>9</v>
      </c>
      <c r="AB208" s="169">
        <v>9</v>
      </c>
      <c r="AC208" s="169">
        <v>9</v>
      </c>
      <c r="AD208" s="169">
        <v>9</v>
      </c>
      <c r="AE208" s="169">
        <v>9</v>
      </c>
      <c r="AF208" s="169">
        <v>9</v>
      </c>
      <c r="AG208" s="169">
        <v>9</v>
      </c>
      <c r="AH208" s="170">
        <v>9</v>
      </c>
      <c r="AI208" s="169">
        <v>9</v>
      </c>
      <c r="AJ208" s="169">
        <v>9</v>
      </c>
      <c r="AK208" s="169"/>
      <c r="AL208" s="169"/>
      <c r="AM208" s="169"/>
      <c r="AN208" s="169"/>
      <c r="AO208" s="169"/>
      <c r="AP208" s="170"/>
      <c r="AR208" s="453">
        <f ca="1">IF(AND($D208="Serviço",AR$12&lt;&gt;0,$H208&gt;0,OR(AUTOEVENTO&lt;&gt;"manual",$M208&lt;&gt;$A$15)),
        IF(Import.TipoArredondamento&lt;&gt;"TransfereGOV",
              ROUND(OFFSET($P208,0,AR$13),15-13*ORÇAMENTO!$AF$7)/$H208*OFFSET(ORÇAMENTO!$X$15,ROW(AR208)-ROW(AR$15),0),
              ROUND(ROUND(OFFSET($P208,0,AR$13),15-13*ORÇAMENTO!$AF$7)*OFFSET(ORÇAMENTO!$W$15,ROW(AR208)-ROW(AR$15),0),15-13*ORÇAMENTO!$AF$11)),
         0)</f>
        <v>0</v>
      </c>
      <c r="AS208" s="453">
        <f ca="1">IF(AND($D208="Serviço",AS$12&lt;&gt;0,$H208&gt;0,OR(AUTOEVENTO&lt;&gt;"manual",$M208&lt;&gt;$A$15)),
        IF(Import.TipoArredondamento&lt;&gt;"TransfereGOV",
              ROUND(OFFSET($P208,0,AS$13),15-13*ORÇAMENTO!$AF$7)/$H208*OFFSET(ORÇAMENTO!$X$15,ROW(AS208)-ROW(AS$15),0),
              ROUND(ROUND(OFFSET($P208,0,AS$13),15-13*ORÇAMENTO!$AF$7)*OFFSET(ORÇAMENTO!$W$15,ROW(AS208)-ROW(AS$15),0),15-13*ORÇAMENTO!$AF$11)),
         0)</f>
        <v>0</v>
      </c>
      <c r="AT208" s="453">
        <f ca="1">IF(AND($D208="Serviço",AT$12&lt;&gt;0,$H208&gt;0,OR(AUTOEVENTO&lt;&gt;"manual",$M208&lt;&gt;$A$15)),
        IF(Import.TipoArredondamento&lt;&gt;"TransfereGOV",
              ROUND(OFFSET($P208,0,AT$13),15-13*ORÇAMENTO!$AF$7)/$H208*OFFSET(ORÇAMENTO!$X$15,ROW(AT208)-ROW(AT$15),0),
              ROUND(ROUND(OFFSET($P208,0,AT$13),15-13*ORÇAMENTO!$AF$7)*OFFSET(ORÇAMENTO!$W$15,ROW(AT208)-ROW(AT$15),0),15-13*ORÇAMENTO!$AF$11)),
         0)</f>
        <v>0</v>
      </c>
      <c r="AU208" s="453">
        <f ca="1">IF(AND($D208="Serviço",AU$12&lt;&gt;0,$H208&gt;0,OR(AUTOEVENTO&lt;&gt;"manual",$M208&lt;&gt;$A$15)),
        IF(Import.TipoArredondamento&lt;&gt;"TransfereGOV",
              ROUND(OFFSET($P208,0,AU$13),15-13*ORÇAMENTO!$AF$7)/$H208*OFFSET(ORÇAMENTO!$X$15,ROW(AU208)-ROW(AU$15),0),
              ROUND(ROUND(OFFSET($P208,0,AU$13),15-13*ORÇAMENTO!$AF$7)*OFFSET(ORÇAMENTO!$W$15,ROW(AU208)-ROW(AU$15),0),15-13*ORÇAMENTO!$AF$11)),
         0)</f>
        <v>0</v>
      </c>
      <c r="AV208" s="453">
        <f ca="1">IF(AND($D208="Serviço",AV$12&lt;&gt;0,$H208&gt;0,OR(AUTOEVENTO&lt;&gt;"manual",$M208&lt;&gt;$A$15)),
        IF(Import.TipoArredondamento&lt;&gt;"TransfereGOV",
              ROUND(OFFSET($P208,0,AV$13),15-13*ORÇAMENTO!$AF$7)/$H208*OFFSET(ORÇAMENTO!$X$15,ROW(AV208)-ROW(AV$15),0),
              ROUND(ROUND(OFFSET($P208,0,AV$13),15-13*ORÇAMENTO!$AF$7)*OFFSET(ORÇAMENTO!$W$15,ROW(AV208)-ROW(AV$15),0),15-13*ORÇAMENTO!$AF$11)),
         0)</f>
        <v>0</v>
      </c>
      <c r="AW208" s="453">
        <f ca="1">IF(AND($D208="Serviço",AW$12&lt;&gt;0,$H208&gt;0,OR(AUTOEVENTO&lt;&gt;"manual",$M208&lt;&gt;$A$15)),
        IF(Import.TipoArredondamento&lt;&gt;"TransfereGOV",
              ROUND(OFFSET($P208,0,AW$13),15-13*ORÇAMENTO!$AF$7)/$H208*OFFSET(ORÇAMENTO!$X$15,ROW(AW208)-ROW(AW$15),0),
              ROUND(ROUND(OFFSET($P208,0,AW$13),15-13*ORÇAMENTO!$AF$7)*OFFSET(ORÇAMENTO!$W$15,ROW(AW208)-ROW(AW$15),0),15-13*ORÇAMENTO!$AF$11)),
         0)</f>
        <v>0</v>
      </c>
      <c r="AX208" s="453">
        <f ca="1">IF(AND($D208="Serviço",AX$12&lt;&gt;0,$H208&gt;0,OR(AUTOEVENTO&lt;&gt;"manual",$M208&lt;&gt;$A$15)),
        IF(Import.TipoArredondamento&lt;&gt;"TransfereGOV",
              ROUND(OFFSET($P208,0,AX$13),15-13*ORÇAMENTO!$AF$7)/$H208*OFFSET(ORÇAMENTO!$X$15,ROW(AX208)-ROW(AX$15),0),
              ROUND(ROUND(OFFSET($P208,0,AX$13),15-13*ORÇAMENTO!$AF$7)*OFFSET(ORÇAMENTO!$W$15,ROW(AX208)-ROW(AX$15),0),15-13*ORÇAMENTO!$AF$11)),
         0)</f>
        <v>0</v>
      </c>
      <c r="AY208" s="453">
        <f ca="1">IF(AND($D208="Serviço",AY$12&lt;&gt;0,$H208&gt;0,OR(AUTOEVENTO&lt;&gt;"manual",$M208&lt;&gt;$A$15)),
        IF(Import.TipoArredondamento&lt;&gt;"TransfereGOV",
              ROUND(OFFSET($P208,0,AY$13),15-13*ORÇAMENTO!$AF$7)/$H208*OFFSET(ORÇAMENTO!$X$15,ROW(AY208)-ROW(AY$15),0),
              ROUND(ROUND(OFFSET($P208,0,AY$13),15-13*ORÇAMENTO!$AF$7)*OFFSET(ORÇAMENTO!$W$15,ROW(AY208)-ROW(AY$15),0),15-13*ORÇAMENTO!$AF$11)),
         0)</f>
        <v>0</v>
      </c>
      <c r="AZ208" s="453">
        <f ca="1">IF(AND($D208="Serviço",AZ$12&lt;&gt;0,$H208&gt;0,OR(AUTOEVENTO&lt;&gt;"manual",$M208&lt;&gt;$A$15)),
        IF(Import.TipoArredondamento&lt;&gt;"TransfereGOV",
              ROUND(OFFSET($P208,0,AZ$13),15-13*ORÇAMENTO!$AF$7)/$H208*OFFSET(ORÇAMENTO!$X$15,ROW(AZ208)-ROW(AZ$15),0),
              ROUND(ROUND(OFFSET($P208,0,AZ$13),15-13*ORÇAMENTO!$AF$7)*OFFSET(ORÇAMENTO!$W$15,ROW(AZ208)-ROW(AZ$15),0),15-13*ORÇAMENTO!$AF$11)),
         0)</f>
        <v>0</v>
      </c>
      <c r="BA208" s="453">
        <f ca="1">IF(AND($D208="Serviço",BA$12&lt;&gt;0,$H208&gt;0,OR(AUTOEVENTO&lt;&gt;"manual",$M208&lt;&gt;$A$15)),
        IF(Import.TipoArredondamento&lt;&gt;"TransfereGOV",
              ROUND(OFFSET($P208,0,BA$13),15-13*ORÇAMENTO!$AF$7)/$H208*OFFSET(ORÇAMENTO!$X$15,ROW(BA208)-ROW(BA$15),0),
              ROUND(ROUND(OFFSET($P208,0,BA$13),15-13*ORÇAMENTO!$AF$7)*OFFSET(ORÇAMENTO!$W$15,ROW(BA208)-ROW(BA$15),0),15-13*ORÇAMENTO!$AF$11)),
         0)</f>
        <v>0</v>
      </c>
      <c r="BB208" s="453">
        <f ca="1">IF(AND($D208="Serviço",BB$12&lt;&gt;0,$H208&gt;0,OR(AUTOEVENTO&lt;&gt;"manual",$M208&lt;&gt;$A$15)),
        IF(Import.TipoArredondamento&lt;&gt;"TransfereGOV",
              ROUND(OFFSET($P208,0,BB$13),15-13*ORÇAMENTO!$AF$7)/$H208*OFFSET(ORÇAMENTO!$X$15,ROW(BB208)-ROW(BB$15),0),
              ROUND(ROUND(OFFSET($P208,0,BB$13),15-13*ORÇAMENTO!$AF$7)*OFFSET(ORÇAMENTO!$W$15,ROW(BB208)-ROW(BB$15),0),15-13*ORÇAMENTO!$AF$11)),
         0)</f>
        <v>0</v>
      </c>
      <c r="BC208" s="453">
        <f ca="1">IF(AND($D208="Serviço",BC$12&lt;&gt;0,$H208&gt;0,OR(AUTOEVENTO&lt;&gt;"manual",$M208&lt;&gt;$A$15)),
        IF(Import.TipoArredondamento&lt;&gt;"TransfereGOV",
              ROUND(OFFSET($P208,0,BC$13),15-13*ORÇAMENTO!$AF$7)/$H208*OFFSET(ORÇAMENTO!$X$15,ROW(BC208)-ROW(BC$15),0),
              ROUND(ROUND(OFFSET($P208,0,BC$13),15-13*ORÇAMENTO!$AF$7)*OFFSET(ORÇAMENTO!$W$15,ROW(BC208)-ROW(BC$15),0),15-13*ORÇAMENTO!$AF$11)),
         0)</f>
        <v>0</v>
      </c>
      <c r="BD208" s="453">
        <f ca="1">IF(AND($D208="Serviço",BD$12&lt;&gt;0,$H208&gt;0,OR(AUTOEVENTO&lt;&gt;"manual",$M208&lt;&gt;$A$15)),
        IF(Import.TipoArredondamento&lt;&gt;"TransfereGOV",
              ROUND(OFFSET($P208,0,BD$13),15-13*ORÇAMENTO!$AF$7)/$H208*OFFSET(ORÇAMENTO!$X$15,ROW(BD208)-ROW(BD$15),0),
              ROUND(ROUND(OFFSET($P208,0,BD$13),15-13*ORÇAMENTO!$AF$7)*OFFSET(ORÇAMENTO!$W$15,ROW(BD208)-ROW(BD$15),0),15-13*ORÇAMENTO!$AF$11)),
         0)</f>
        <v>0</v>
      </c>
      <c r="BE208" s="453">
        <f ca="1">IF(AND($D208="Serviço",BE$12&lt;&gt;0,$H208&gt;0,OR(AUTOEVENTO&lt;&gt;"manual",$M208&lt;&gt;$A$15)),
        IF(Import.TipoArredondamento&lt;&gt;"TransfereGOV",
              ROUND(OFFSET($P208,0,BE$13),15-13*ORÇAMENTO!$AF$7)/$H208*OFFSET(ORÇAMENTO!$X$15,ROW(BE208)-ROW(BE$15),0),
              ROUND(ROUND(OFFSET($P208,0,BE$13),15-13*ORÇAMENTO!$AF$7)*OFFSET(ORÇAMENTO!$W$15,ROW(BE208)-ROW(BE$15),0),15-13*ORÇAMENTO!$AF$11)),
         0)</f>
        <v>0</v>
      </c>
      <c r="BF208" s="453">
        <f ca="1">IF(AND($D208="Serviço",BF$12&lt;&gt;0,$H208&gt;0,OR(AUTOEVENTO&lt;&gt;"manual",$M208&lt;&gt;$A$15)),
        IF(Import.TipoArredondamento&lt;&gt;"TransfereGOV",
              ROUND(OFFSET($P208,0,BF$13),15-13*ORÇAMENTO!$AF$7)/$H208*OFFSET(ORÇAMENTO!$X$15,ROW(BF208)-ROW(BF$15),0),
              ROUND(ROUND(OFFSET($P208,0,BF$13),15-13*ORÇAMENTO!$AF$7)*OFFSET(ORÇAMENTO!$W$15,ROW(BF208)-ROW(BF$15),0),15-13*ORÇAMENTO!$AF$11)),
         0)</f>
        <v>0</v>
      </c>
      <c r="BG208" s="453">
        <f ca="1">IF(AND($D208="Serviço",BG$12&lt;&gt;0,$H208&gt;0,OR(AUTOEVENTO&lt;&gt;"manual",$M208&lt;&gt;$A$15)),
        IF(Import.TipoArredondamento&lt;&gt;"TransfereGOV",
              ROUND(OFFSET($P208,0,BG$13),15-13*ORÇAMENTO!$AF$7)/$H208*OFFSET(ORÇAMENTO!$X$15,ROW(BG208)-ROW(BG$15),0),
              ROUND(ROUND(OFFSET($P208,0,BG$13),15-13*ORÇAMENTO!$AF$7)*OFFSET(ORÇAMENTO!$W$15,ROW(BG208)-ROW(BG$15),0),15-13*ORÇAMENTO!$AF$11)),
         0)</f>
        <v>0</v>
      </c>
      <c r="BH208" s="453">
        <f ca="1">IF(AND($D208="Serviço",BH$12&lt;&gt;0,$H208&gt;0,OR(AUTOEVENTO&lt;&gt;"manual",$M208&lt;&gt;$A$15)),
        IF(Import.TipoArredondamento&lt;&gt;"TransfereGOV",
              ROUND(OFFSET($P208,0,BH$13),15-13*ORÇAMENTO!$AF$7)/$H208*OFFSET(ORÇAMENTO!$X$15,ROW(BH208)-ROW(BH$15),0),
              ROUND(ROUND(OFFSET($P208,0,BH$13),15-13*ORÇAMENTO!$AF$7)*OFFSET(ORÇAMENTO!$W$15,ROW(BH208)-ROW(BH$15),0),15-13*ORÇAMENTO!$AF$11)),
         0)</f>
        <v>0</v>
      </c>
      <c r="BI208" s="453">
        <f ca="1">IF(AND($D208="Serviço",BI$12&lt;&gt;0,$H208&gt;0,OR(AUTOEVENTO&lt;&gt;"manual",$M208&lt;&gt;$A$15)),
        IF(Import.TipoArredondamento&lt;&gt;"TransfereGOV",
              ROUND(OFFSET($P208,0,BI$13),15-13*ORÇAMENTO!$AF$7)/$H208*OFFSET(ORÇAMENTO!$X$15,ROW(BI208)-ROW(BI$15),0),
              ROUND(ROUND(OFFSET($P208,0,BI$13),15-13*ORÇAMENTO!$AF$7)*OFFSET(ORÇAMENTO!$W$15,ROW(BI208)-ROW(BI$15),0),15-13*ORÇAMENTO!$AF$11)),
         0)</f>
        <v>0</v>
      </c>
      <c r="BJ208" s="453">
        <f ca="1">IF(AND($D208="Serviço",BJ$12&lt;&gt;0,$H208&gt;0,OR(AUTOEVENTO&lt;&gt;"manual",$M208&lt;&gt;$A$15)),
        IF(Import.TipoArredondamento&lt;&gt;"TransfereGOV",
              ROUND(OFFSET($P208,0,BJ$13),15-13*ORÇAMENTO!$AF$7)/$H208*OFFSET(ORÇAMENTO!$X$15,ROW(BJ208)-ROW(BJ$15),0),
              ROUND(ROUND(OFFSET($P208,0,BJ$13),15-13*ORÇAMENTO!$AF$7)*OFFSET(ORÇAMENTO!$W$15,ROW(BJ208)-ROW(BJ$15),0),15-13*ORÇAMENTO!$AF$11)),
         0)</f>
        <v>0</v>
      </c>
      <c r="BK208" s="453">
        <f ca="1">IF(AND($D208="Serviço",BK$12&lt;&gt;0,$H208&gt;0,OR(AUTOEVENTO&lt;&gt;"manual",$M208&lt;&gt;$A$15)),
        IF(Import.TipoArredondamento&lt;&gt;"TransfereGOV",
              ROUND(OFFSET($P208,0,BK$13),15-13*ORÇAMENTO!$AF$7)/$H208*OFFSET(ORÇAMENTO!$X$15,ROW(BK208)-ROW(BK$15),0),
              ROUND(ROUND(OFFSET($P208,0,BK$13),15-13*ORÇAMENTO!$AF$7)*OFFSET(ORÇAMENTO!$W$15,ROW(BK208)-ROW(BK$15),0),15-13*ORÇAMENTO!$AF$11)),
         0)</f>
        <v>0</v>
      </c>
      <c r="BL208" s="453">
        <f ca="1">IF(AND($D208="Serviço",BL$12&lt;&gt;0,$H208&gt;0,OR(AUTOEVENTO&lt;&gt;"manual",$M208&lt;&gt;$A$15)),
        IF(Import.TipoArredondamento&lt;&gt;"TransfereGOV",
              ROUND(OFFSET($P208,0,BL$13),15-13*ORÇAMENTO!$AF$7)/$H208*OFFSET(ORÇAMENTO!$X$15,ROW(BL208)-ROW(BL$15),0),
              ROUND(ROUND(OFFSET($P208,0,BL$13),15-13*ORÇAMENTO!$AF$7)*OFFSET(ORÇAMENTO!$W$15,ROW(BL208)-ROW(BL$15),0),15-13*ORÇAMENTO!$AF$11)),
         0)</f>
        <v>0</v>
      </c>
      <c r="BM208" s="453">
        <f ca="1">IF(AND($D208="Serviço",BM$12&lt;&gt;0,$H208&gt;0,OR(AUTOEVENTO&lt;&gt;"manual",$M208&lt;&gt;$A$15)),
        IF(Import.TipoArredondamento&lt;&gt;"TransfereGOV",
              ROUND(OFFSET($P208,0,BM$13),15-13*ORÇAMENTO!$AF$7)/$H208*OFFSET(ORÇAMENTO!$X$15,ROW(BM208)-ROW(BM$15),0),
              ROUND(ROUND(OFFSET($P208,0,BM$13),15-13*ORÇAMENTO!$AF$7)*OFFSET(ORÇAMENTO!$W$15,ROW(BM208)-ROW(BM$15),0),15-13*ORÇAMENTO!$AF$11)),
         0)</f>
        <v>0</v>
      </c>
      <c r="BN208" s="453">
        <f ca="1">IF(AND($D208="Serviço",BN$12&lt;&gt;0,$H208&gt;0,OR(AUTOEVENTO&lt;&gt;"manual",$M208&lt;&gt;$A$15)),
        IF(Import.TipoArredondamento&lt;&gt;"TransfereGOV",
              ROUND(OFFSET($P208,0,BN$13),15-13*ORÇAMENTO!$AF$7)/$H208*OFFSET(ORÇAMENTO!$X$15,ROW(BN208)-ROW(BN$15),0),
              ROUND(ROUND(OFFSET($P208,0,BN$13),15-13*ORÇAMENTO!$AF$7)*OFFSET(ORÇAMENTO!$W$15,ROW(BN208)-ROW(BN$15),0),15-13*ORÇAMENTO!$AF$11)),
         0)</f>
        <v>0</v>
      </c>
      <c r="BO208" s="453">
        <f ca="1">IF(AND($D208="Serviço",BO$12&lt;&gt;0,$H208&gt;0,OR(AUTOEVENTO&lt;&gt;"manual",$M208&lt;&gt;$A$15)),
        IF(Import.TipoArredondamento&lt;&gt;"TransfereGOV",
              ROUND(OFFSET($P208,0,BO$13),15-13*ORÇAMENTO!$AF$7)/$H208*OFFSET(ORÇAMENTO!$X$15,ROW(BO208)-ROW(BO$15),0),
              ROUND(ROUND(OFFSET($P208,0,BO$13),15-13*ORÇAMENTO!$AF$7)*OFFSET(ORÇAMENTO!$W$15,ROW(BO208)-ROW(BO$15),0),15-13*ORÇAMENTO!$AF$11)),
         0)</f>
        <v>0</v>
      </c>
      <c r="BP208" s="453">
        <f ca="1">IF(AND($D208="Serviço",BP$12&lt;&gt;0,$H208&gt;0,OR(AUTOEVENTO&lt;&gt;"manual",$M208&lt;&gt;$A$15)),
        IF(Import.TipoArredondamento&lt;&gt;"TransfereGOV",
              ROUND(OFFSET($P208,0,BP$13),15-13*ORÇAMENTO!$AF$7)/$H208*OFFSET(ORÇAMENTO!$X$15,ROW(BP208)-ROW(BP$15),0),
              ROUND(ROUND(OFFSET($P208,0,BP$13),15-13*ORÇAMENTO!$AF$7)*OFFSET(ORÇAMENTO!$W$15,ROW(BP208)-ROW(BP$15),0),15-13*ORÇAMENTO!$AF$11)),
         0)</f>
        <v>0</v>
      </c>
      <c r="BQ208" s="453">
        <f ca="1">IF(AND($D208="Serviço",BQ$12&lt;&gt;0,$H208&gt;0,OR(AUTOEVENTO&lt;&gt;"manual",$M208&lt;&gt;$A$15)),
        IF(Import.TipoArredondamento&lt;&gt;"TransfereGOV",
              ROUND(OFFSET($P208,0,BQ$13),15-13*ORÇAMENTO!$AF$7)/$H208*OFFSET(ORÇAMENTO!$X$15,ROW(BQ208)-ROW(BQ$15),0),
              ROUND(ROUND(OFFSET($P208,0,BQ$13),15-13*ORÇAMENTO!$AF$7)*OFFSET(ORÇAMENTO!$W$15,ROW(BQ208)-ROW(BQ$15),0),15-13*ORÇAMENTO!$AF$11)),
         0)</f>
        <v>0</v>
      </c>
      <c r="BS208" s="171">
        <f ca="1">IF(OR($D208&lt;&gt;"Serviço",AND(AUTOEVENTO="Manual",$M208=$A$15)),0,
         IF(OFFSET(CRONOPLE!$F$15,$M208-$A$15,BS$13)=0,10^12,OFFSET(CRONOPLE!$F$15,$M208-$A$15,BS$13)))</f>
        <v>1</v>
      </c>
      <c r="BT208" s="171">
        <f ca="1">IF(OR($D208&lt;&gt;"Serviço",AND(AUTOEVENTO="Manual",$M208=$A$15)),0,
         IF(OFFSET(CRONOPLE!$F$15,$M208-$A$15,BT$13)=0,10^12,OFFSET(CRONOPLE!$F$15,$M208-$A$15,BT$13)))</f>
        <v>2</v>
      </c>
      <c r="BU208" s="171">
        <f ca="1">IF(OR($D208&lt;&gt;"Serviço",AND(AUTOEVENTO="Manual",$M208=$A$15)),0,
         IF(OFFSET(CRONOPLE!$F$15,$M208-$A$15,BU$13)=0,10^12,OFFSET(CRONOPLE!$F$15,$M208-$A$15,BU$13)))</f>
        <v>3</v>
      </c>
      <c r="BV208" s="171">
        <f ca="1">IF(OR($D208&lt;&gt;"Serviço",AND(AUTOEVENTO="Manual",$M208=$A$15)),0,
         IF(OFFSET(CRONOPLE!$F$15,$M208-$A$15,BV$13)=0,10^12,OFFSET(CRONOPLE!$F$15,$M208-$A$15,BV$13)))</f>
        <v>4</v>
      </c>
      <c r="BW208" s="171">
        <f ca="1">IF(OR($D208&lt;&gt;"Serviço",AND(AUTOEVENTO="Manual",$M208=$A$15)),0,
         IF(OFFSET(CRONOPLE!$F$15,$M208-$A$15,BW$13)=0,10^12,OFFSET(CRONOPLE!$F$15,$M208-$A$15,BW$13)))</f>
        <v>5</v>
      </c>
      <c r="BX208" s="171">
        <f ca="1">IF(OR($D208&lt;&gt;"Serviço",AND(AUTOEVENTO="Manual",$M208=$A$15)),0,
         IF(OFFSET(CRONOPLE!$F$15,$M208-$A$15,BX$13)=0,10^12,OFFSET(CRONOPLE!$F$15,$M208-$A$15,BX$13)))</f>
        <v>6</v>
      </c>
      <c r="BY208" s="171">
        <f ca="1">IF(OR($D208&lt;&gt;"Serviço",AND(AUTOEVENTO="Manual",$M208=$A$15)),0,
         IF(OFFSET(CRONOPLE!$F$15,$M208-$A$15,BY$13)=0,10^12,OFFSET(CRONOPLE!$F$15,$M208-$A$15,BY$13)))</f>
        <v>7</v>
      </c>
      <c r="BZ208" s="171">
        <f ca="1">IF(OR($D208&lt;&gt;"Serviço",AND(AUTOEVENTO="Manual",$M208=$A$15)),0,
         IF(OFFSET(CRONOPLE!$F$15,$M208-$A$15,BZ$13)=0,10^12,OFFSET(CRONOPLE!$F$15,$M208-$A$15,BZ$13)))</f>
        <v>8</v>
      </c>
      <c r="CA208" s="171">
        <f ca="1">IF(OR($D208&lt;&gt;"Serviço",AND(AUTOEVENTO="Manual",$M208=$A$15)),0,
         IF(OFFSET(CRONOPLE!$F$15,$M208-$A$15,CA$13)=0,10^12,OFFSET(CRONOPLE!$F$15,$M208-$A$15,CA$13)))</f>
        <v>9</v>
      </c>
      <c r="CB208" s="171">
        <f ca="1">IF(OR($D208&lt;&gt;"Serviço",AND(AUTOEVENTO="Manual",$M208=$A$15)),0,
         IF(OFFSET(CRONOPLE!$F$15,$M208-$A$15,CB$13)=0,10^12,OFFSET(CRONOPLE!$F$15,$M208-$A$15,CB$13)))</f>
        <v>10</v>
      </c>
      <c r="CC208" s="171">
        <f ca="1">IF(OR($D208&lt;&gt;"Serviço",AND(AUTOEVENTO="Manual",$M208=$A$15)),0,
         IF(OFFSET(CRONOPLE!$F$15,$M208-$A$15,CC$13)=0,10^12,OFFSET(CRONOPLE!$F$15,$M208-$A$15,CC$13)))</f>
        <v>11</v>
      </c>
      <c r="CD208" s="171">
        <f ca="1">IF(OR($D208&lt;&gt;"Serviço",AND(AUTOEVENTO="Manual",$M208=$A$15)),0,
         IF(OFFSET(CRONOPLE!$F$15,$M208-$A$15,CD$13)=0,10^12,OFFSET(CRONOPLE!$F$15,$M208-$A$15,CD$13)))</f>
        <v>12</v>
      </c>
      <c r="CE208" s="171">
        <f ca="1">IF(OR($D208&lt;&gt;"Serviço",AND(AUTOEVENTO="Manual",$M208=$A$15)),0,
         IF(OFFSET(CRONOPLE!$F$15,$M208-$A$15,CE$13)=0,10^12,OFFSET(CRONOPLE!$F$15,$M208-$A$15,CE$13)))</f>
        <v>13</v>
      </c>
      <c r="CF208" s="171">
        <f ca="1">IF(OR($D208&lt;&gt;"Serviço",AND(AUTOEVENTO="Manual",$M208=$A$15)),0,
         IF(OFFSET(CRONOPLE!$F$15,$M208-$A$15,CF$13)=0,10^12,OFFSET(CRONOPLE!$F$15,$M208-$A$15,CF$13)))</f>
        <v>14</v>
      </c>
      <c r="CG208" s="171">
        <f ca="1">IF(OR($D208&lt;&gt;"Serviço",AND(AUTOEVENTO="Manual",$M208=$A$15)),0,
         IF(OFFSET(CRONOPLE!$F$15,$M208-$A$15,CG$13)=0,10^12,OFFSET(CRONOPLE!$F$15,$M208-$A$15,CG$13)))</f>
        <v>15</v>
      </c>
      <c r="CH208" s="171">
        <f ca="1">IF(OR($D208&lt;&gt;"Serviço",AND(AUTOEVENTO="Manual",$M208=$A$15)),0,
         IF(OFFSET(CRONOPLE!$F$15,$M208-$A$15,CH$13)=0,10^12,OFFSET(CRONOPLE!$F$15,$M208-$A$15,CH$13)))</f>
        <v>16</v>
      </c>
      <c r="CI208" s="171">
        <f ca="1">IF(OR($D208&lt;&gt;"Serviço",AND(AUTOEVENTO="Manual",$M208=$A$15)),0,
         IF(OFFSET(CRONOPLE!$F$15,$M208-$A$15,CI$13)=0,10^12,OFFSET(CRONOPLE!$F$15,$M208-$A$15,CI$13)))</f>
        <v>17</v>
      </c>
      <c r="CJ208" s="171">
        <f ca="1">IF(OR($D208&lt;&gt;"Serviço",AND(AUTOEVENTO="Manual",$M208=$A$15)),0,
         IF(OFFSET(CRONOPLE!$F$15,$M208-$A$15,CJ$13)=0,10^12,OFFSET(CRONOPLE!$F$15,$M208-$A$15,CJ$13)))</f>
        <v>18</v>
      </c>
      <c r="CK208" s="171">
        <f ca="1">IF(OR($D208&lt;&gt;"Serviço",AND(AUTOEVENTO="Manual",$M208=$A$15)),0,
         IF(OFFSET(CRONOPLE!$F$15,$M208-$A$15,CK$13)=0,10^12,OFFSET(CRONOPLE!$F$15,$M208-$A$15,CK$13)))</f>
        <v>19</v>
      </c>
      <c r="CL208" s="171">
        <f ca="1">IF(OR($D208&lt;&gt;"Serviço",AND(AUTOEVENTO="Manual",$M208=$A$15)),0,
         IF(OFFSET(CRONOPLE!$F$15,$M208-$A$15,CL$13)=0,10^12,OFFSET(CRONOPLE!$F$15,$M208-$A$15,CL$13)))</f>
        <v>20</v>
      </c>
      <c r="CM208" s="171">
        <f ca="1">IF(OR($D208&lt;&gt;"Serviço",AND(AUTOEVENTO="Manual",$M208=$A$15)),0,
         IF(OFFSET(CRONOPLE!$F$15,$M208-$A$15,CM$13)=0,10^12,OFFSET(CRONOPLE!$F$15,$M208-$A$15,CM$13)))</f>
        <v>1000000000000</v>
      </c>
      <c r="CN208" s="171">
        <f ca="1">IF(OR($D208&lt;&gt;"Serviço",AND(AUTOEVENTO="Manual",$M208=$A$15)),0,
         IF(OFFSET(CRONOPLE!$F$15,$M208-$A$15,CN$13)=0,10^12,OFFSET(CRONOPLE!$F$15,$M208-$A$15,CN$13)))</f>
        <v>1000000000000</v>
      </c>
      <c r="CO208" s="171">
        <f ca="1">IF(OR($D208&lt;&gt;"Serviço",AND(AUTOEVENTO="Manual",$M208=$A$15)),0,
         IF(OFFSET(CRONOPLE!$F$15,$M208-$A$15,CO$13)=0,10^12,OFFSET(CRONOPLE!$F$15,$M208-$A$15,CO$13)))</f>
        <v>1000000000000</v>
      </c>
      <c r="CP208" s="171">
        <f ca="1">IF(OR($D208&lt;&gt;"Serviço",AND(AUTOEVENTO="Manual",$M208=$A$15)),0,
         IF(OFFSET(CRONOPLE!$F$15,$M208-$A$15,CP$13)=0,10^12,OFFSET(CRONOPLE!$F$15,$M208-$A$15,CP$13)))</f>
        <v>1000000000000</v>
      </c>
      <c r="CQ208" s="171">
        <f ca="1">IF(OR($D208&lt;&gt;"Serviço",AND(AUTOEVENTO="Manual",$M208=$A$15)),0,
         IF(OFFSET(CRONOPLE!$F$15,$M208-$A$15,CQ$13)=0,10^12,OFFSET(CRONOPLE!$F$15,$M208-$A$15,CQ$13)))</f>
        <v>1000000000000</v>
      </c>
      <c r="CR208" s="171">
        <f ca="1">IF(OR($D208&lt;&gt;"Serviço",AND(AUTOEVENTO="Manual",$M208=$A$15)),0,
         IF(OFFSET(CRONOPLE!$F$15,$M208-$A$15,CR$13)=0,10^12,OFFSET(CRONOPLE!$F$15,$M208-$A$15,CR$13)))</f>
        <v>1000000000000</v>
      </c>
      <c r="CT208" s="172" cm="1">
        <f t="array" aca="1" ref="CT208" ca="1">IF(OR($D208&lt;&gt;"Serviço",AND(AUTOEVENTO="Manual",$M208=$A$15),$M208&gt;(ROW(PLE.lastrow)-ROW(PLE.firstrow))),0,
           IF(OFFSET(PLE!$G$15,$M208-$A$15,CT$13)="",10^12,OFFSET(PLE!$G$15,$M208-$A$15,CT$13)))</f>
        <v>1000000000000</v>
      </c>
      <c r="CU208" s="172" cm="1">
        <f t="array" aca="1" ref="CU208" ca="1">IF(OR($D208&lt;&gt;"Serviço",AND(AUTOEVENTO="Manual",$M208=$A$15),$M208&gt;(ROW(PLE.lastrow)-ROW(PLE.firstrow))),0,
           IF(OFFSET(PLE!$G$15,$M208-$A$15,CU$13)="",10^12,OFFSET(PLE!$G$15,$M208-$A$15,CU$13)))</f>
        <v>1000000000000</v>
      </c>
      <c r="CV208" s="172" cm="1">
        <f t="array" aca="1" ref="CV208" ca="1">IF(OR($D208&lt;&gt;"Serviço",AND(AUTOEVENTO="Manual",$M208=$A$15),$M208&gt;(ROW(PLE.lastrow)-ROW(PLE.firstrow))),0,
           IF(OFFSET(PLE!$G$15,$M208-$A$15,CV$13)="",10^12,OFFSET(PLE!$G$15,$M208-$A$15,CV$13)))</f>
        <v>1000000000000</v>
      </c>
      <c r="CW208" s="172" cm="1">
        <f t="array" aca="1" ref="CW208" ca="1">IF(OR($D208&lt;&gt;"Serviço",AND(AUTOEVENTO="Manual",$M208=$A$15),$M208&gt;(ROW(PLE.lastrow)-ROW(PLE.firstrow))),0,
           IF(OFFSET(PLE!$G$15,$M208-$A$15,CW$13)="",10^12,OFFSET(PLE!$G$15,$M208-$A$15,CW$13)))</f>
        <v>1000000000000</v>
      </c>
      <c r="CX208" s="172" cm="1">
        <f t="array" aca="1" ref="CX208" ca="1">IF(OR($D208&lt;&gt;"Serviço",AND(AUTOEVENTO="Manual",$M208=$A$15),$M208&gt;(ROW(PLE.lastrow)-ROW(PLE.firstrow))),0,
           IF(OFFSET(PLE!$G$15,$M208-$A$15,CX$13)="",10^12,OFFSET(PLE!$G$15,$M208-$A$15,CX$13)))</f>
        <v>1000000000000</v>
      </c>
      <c r="CY208" s="172" cm="1">
        <f t="array" aca="1" ref="CY208" ca="1">IF(OR($D208&lt;&gt;"Serviço",AND(AUTOEVENTO="Manual",$M208=$A$15),$M208&gt;(ROW(PLE.lastrow)-ROW(PLE.firstrow))),0,
           IF(OFFSET(PLE!$G$15,$M208-$A$15,CY$13)="",10^12,OFFSET(PLE!$G$15,$M208-$A$15,CY$13)))</f>
        <v>1000000000000</v>
      </c>
      <c r="CZ208" s="172" cm="1">
        <f t="array" aca="1" ref="CZ208" ca="1">IF(OR($D208&lt;&gt;"Serviço",AND(AUTOEVENTO="Manual",$M208=$A$15),$M208&gt;(ROW(PLE.lastrow)-ROW(PLE.firstrow))),0,
           IF(OFFSET(PLE!$G$15,$M208-$A$15,CZ$13)="",10^12,OFFSET(PLE!$G$15,$M208-$A$15,CZ$13)))</f>
        <v>1000000000000</v>
      </c>
      <c r="DA208" s="172" cm="1">
        <f t="array" aca="1" ref="DA208" ca="1">IF(OR($D208&lt;&gt;"Serviço",AND(AUTOEVENTO="Manual",$M208=$A$15),$M208&gt;(ROW(PLE.lastrow)-ROW(PLE.firstrow))),0,
           IF(OFFSET(PLE!$G$15,$M208-$A$15,DA$13)="",10^12,OFFSET(PLE!$G$15,$M208-$A$15,DA$13)))</f>
        <v>1000000000000</v>
      </c>
      <c r="DB208" s="172" cm="1">
        <f t="array" aca="1" ref="DB208" ca="1">IF(OR($D208&lt;&gt;"Serviço",AND(AUTOEVENTO="Manual",$M208=$A$15),$M208&gt;(ROW(PLE.lastrow)-ROW(PLE.firstrow))),0,
           IF(OFFSET(PLE!$G$15,$M208-$A$15,DB$13)="",10^12,OFFSET(PLE!$G$15,$M208-$A$15,DB$13)))</f>
        <v>1000000000000</v>
      </c>
      <c r="DC208" s="172" cm="1">
        <f t="array" aca="1" ref="DC208" ca="1">IF(OR($D208&lt;&gt;"Serviço",AND(AUTOEVENTO="Manual",$M208=$A$15),$M208&gt;(ROW(PLE.lastrow)-ROW(PLE.firstrow))),0,
           IF(OFFSET(PLE!$G$15,$M208-$A$15,DC$13)="",10^12,OFFSET(PLE!$G$15,$M208-$A$15,DC$13)))</f>
        <v>1000000000000</v>
      </c>
      <c r="DD208" s="172" cm="1">
        <f t="array" aca="1" ref="DD208" ca="1">IF(OR($D208&lt;&gt;"Serviço",AND(AUTOEVENTO="Manual",$M208=$A$15),$M208&gt;(ROW(PLE.lastrow)-ROW(PLE.firstrow))),0,
           IF(OFFSET(PLE!$G$15,$M208-$A$15,DD$13)="",10^12,OFFSET(PLE!$G$15,$M208-$A$15,DD$13)))</f>
        <v>1000000000000</v>
      </c>
      <c r="DE208" s="172" cm="1">
        <f t="array" aca="1" ref="DE208" ca="1">IF(OR($D208&lt;&gt;"Serviço",AND(AUTOEVENTO="Manual",$M208=$A$15),$M208&gt;(ROW(PLE.lastrow)-ROW(PLE.firstrow))),0,
           IF(OFFSET(PLE!$G$15,$M208-$A$15,DE$13)="",10^12,OFFSET(PLE!$G$15,$M208-$A$15,DE$13)))</f>
        <v>1000000000000</v>
      </c>
      <c r="DF208" s="172" cm="1">
        <f t="array" aca="1" ref="DF208" ca="1">IF(OR($D208&lt;&gt;"Serviço",AND(AUTOEVENTO="Manual",$M208=$A$15),$M208&gt;(ROW(PLE.lastrow)-ROW(PLE.firstrow))),0,
           IF(OFFSET(PLE!$G$15,$M208-$A$15,DF$13)="",10^12,OFFSET(PLE!$G$15,$M208-$A$15,DF$13)))</f>
        <v>1000000000000</v>
      </c>
      <c r="DG208" s="172" cm="1">
        <f t="array" aca="1" ref="DG208" ca="1">IF(OR($D208&lt;&gt;"Serviço",AND(AUTOEVENTO="Manual",$M208=$A$15),$M208&gt;(ROW(PLE.lastrow)-ROW(PLE.firstrow))),0,
           IF(OFFSET(PLE!$G$15,$M208-$A$15,DG$13)="",10^12,OFFSET(PLE!$G$15,$M208-$A$15,DG$13)))</f>
        <v>1000000000000</v>
      </c>
      <c r="DH208" s="172" cm="1">
        <f t="array" aca="1" ref="DH208" ca="1">IF(OR($D208&lt;&gt;"Serviço",AND(AUTOEVENTO="Manual",$M208=$A$15),$M208&gt;(ROW(PLE.lastrow)-ROW(PLE.firstrow))),0,
           IF(OFFSET(PLE!$G$15,$M208-$A$15,DH$13)="",10^12,OFFSET(PLE!$G$15,$M208-$A$15,DH$13)))</f>
        <v>1000000000000</v>
      </c>
      <c r="DI208" s="172" cm="1">
        <f t="array" aca="1" ref="DI208" ca="1">IF(OR($D208&lt;&gt;"Serviço",AND(AUTOEVENTO="Manual",$M208=$A$15),$M208&gt;(ROW(PLE.lastrow)-ROW(PLE.firstrow))),0,
           IF(OFFSET(PLE!$G$15,$M208-$A$15,DI$13)="",10^12,OFFSET(PLE!$G$15,$M208-$A$15,DI$13)))</f>
        <v>1000000000000</v>
      </c>
      <c r="DJ208" s="172" cm="1">
        <f t="array" aca="1" ref="DJ208" ca="1">IF(OR($D208&lt;&gt;"Serviço",AND(AUTOEVENTO="Manual",$M208=$A$15),$M208&gt;(ROW(PLE.lastrow)-ROW(PLE.firstrow))),0,
           IF(OFFSET(PLE!$G$15,$M208-$A$15,DJ$13)="",10^12,OFFSET(PLE!$G$15,$M208-$A$15,DJ$13)))</f>
        <v>1000000000000</v>
      </c>
      <c r="DK208" s="172" cm="1">
        <f t="array" aca="1" ref="DK208" ca="1">IF(OR($D208&lt;&gt;"Serviço",AND(AUTOEVENTO="Manual",$M208=$A$15),$M208&gt;(ROW(PLE.lastrow)-ROW(PLE.firstrow))),0,
           IF(OFFSET(PLE!$G$15,$M208-$A$15,DK$13)="",10^12,OFFSET(PLE!$G$15,$M208-$A$15,DK$13)))</f>
        <v>1000000000000</v>
      </c>
      <c r="DL208" s="172" cm="1">
        <f t="array" aca="1" ref="DL208" ca="1">IF(OR($D208&lt;&gt;"Serviço",AND(AUTOEVENTO="Manual",$M208=$A$15),$M208&gt;(ROW(PLE.lastrow)-ROW(PLE.firstrow))),0,
           IF(OFFSET(PLE!$G$15,$M208-$A$15,DL$13)="",10^12,OFFSET(PLE!$G$15,$M208-$A$15,DL$13)))</f>
        <v>1000000000000</v>
      </c>
      <c r="DM208" s="172" cm="1">
        <f t="array" aca="1" ref="DM208" ca="1">IF(OR($D208&lt;&gt;"Serviço",AND(AUTOEVENTO="Manual",$M208=$A$15),$M208&gt;(ROW(PLE.lastrow)-ROW(PLE.firstrow))),0,
           IF(OFFSET(PLE!$G$15,$M208-$A$15,DM$13)="",10^12,OFFSET(PLE!$G$15,$M208-$A$15,DM$13)))</f>
        <v>1000000000000</v>
      </c>
      <c r="DN208" s="172" cm="1">
        <f t="array" aca="1" ref="DN208" ca="1">IF(OR($D208&lt;&gt;"Serviço",AND(AUTOEVENTO="Manual",$M208=$A$15),$M208&gt;(ROW(PLE.lastrow)-ROW(PLE.firstrow))),0,
           IF(OFFSET(PLE!$G$15,$M208-$A$15,DN$13)="",10^12,OFFSET(PLE!$G$15,$M208-$A$15,DN$13)))</f>
        <v>1000000000000</v>
      </c>
      <c r="DO208" s="172" cm="1">
        <f t="array" aca="1" ref="DO208" ca="1">IF(OR($D208&lt;&gt;"Serviço",AND(AUTOEVENTO="Manual",$M208=$A$15),$M208&gt;(ROW(PLE.lastrow)-ROW(PLE.firstrow))),0,
           IF(OFFSET(PLE!$G$15,$M208-$A$15,DO$13)="",10^12,OFFSET(PLE!$G$15,$M208-$A$15,DO$13)))</f>
        <v>1000000000000</v>
      </c>
      <c r="DP208" s="172" cm="1">
        <f t="array" aca="1" ref="DP208" ca="1">IF(OR($D208&lt;&gt;"Serviço",AND(AUTOEVENTO="Manual",$M208=$A$15),$M208&gt;(ROW(PLE.lastrow)-ROW(PLE.firstrow))),0,
           IF(OFFSET(PLE!$G$15,$M208-$A$15,DP$13)="",10^12,OFFSET(PLE!$G$15,$M208-$A$15,DP$13)))</f>
        <v>1000000000000</v>
      </c>
      <c r="DQ208" s="172" cm="1">
        <f t="array" aca="1" ref="DQ208" ca="1">IF(OR($D208&lt;&gt;"Serviço",AND(AUTOEVENTO="Manual",$M208=$A$15),$M208&gt;(ROW(PLE.lastrow)-ROW(PLE.firstrow))),0,
           IF(OFFSET(PLE!$G$15,$M208-$A$15,DQ$13)="",10^12,OFFSET(PLE!$G$15,$M208-$A$15,DQ$13)))</f>
        <v>1000000000000</v>
      </c>
      <c r="DR208" s="172" cm="1">
        <f t="array" aca="1" ref="DR208" ca="1">IF(OR($D208&lt;&gt;"Serviço",AND(AUTOEVENTO="Manual",$M208=$A$15),$M208&gt;(ROW(PLE.lastrow)-ROW(PLE.firstrow))),0,
           IF(OFFSET(PLE!$G$15,$M208-$A$15,DR$13)="",10^12,OFFSET(PLE!$G$15,$M208-$A$15,DR$13)))</f>
        <v>1000000000000</v>
      </c>
      <c r="DS208" s="172" cm="1">
        <f t="array" aca="1" ref="DS208" ca="1">IF(OR($D208&lt;&gt;"Serviço",AND(AUTOEVENTO="Manual",$M208=$A$15),$M208&gt;(ROW(PLE.lastrow)-ROW(PLE.firstrow))),0,
           IF(OFFSET(PLE!$G$15,$M208-$A$15,DS$13)="",10^12,OFFSET(PLE!$G$15,$M208-$A$15,DS$13)))</f>
        <v>1000000000000</v>
      </c>
    </row>
    <row r="209" spans="1:123" ht="38.25" x14ac:dyDescent="0.2">
      <c r="A209" s="7">
        <f t="shared" ca="1" si="18"/>
        <v>9</v>
      </c>
      <c r="B209" s="7" t="str">
        <f ca="1">OFFSET(ORÇAMENTO!C$15,$L209,0)</f>
        <v>S</v>
      </c>
      <c r="C209" s="7" t="str">
        <f ca="1">OFFSET(ORÇAMENTO!L$15,$L209,0)</f>
        <v/>
      </c>
      <c r="D209" s="116" t="str">
        <f ca="1">OFFSET(ORÇAMENTO!N$15,$L209,0)</f>
        <v>Serviço</v>
      </c>
      <c r="E209" s="117" t="str">
        <f ca="1">OFFSET(ORÇAMENTO!O$15,$L209,0)</f>
        <v>-</v>
      </c>
      <c r="F209" s="163" t="str">
        <f ca="1">OFFSET(ORÇAMENTO!R$15,$L209,0)</f>
        <v>(Código não identificado nas referências)</v>
      </c>
      <c r="G209" s="164" t="str">
        <f ca="1">IF($D209&lt;&gt;"Serviço","",OFFSET(ORÇAMENTO!S$15,$L209,0))</f>
        <v>-</v>
      </c>
      <c r="H209" s="122" cm="1">
        <f t="array" aca="1" ref="H209" ca="1">IF($D209&lt;&gt;"Serviço",0,IF(ACOMPANHAMENTO="BM",ROUND(OFFSET(ORÇAMENTO!AJ$15,$L209,0),15-13*ORÇAMENTO!$AF$7),IF(IFERROR(CÁLCULO.FrentesPreenchidas,0)=0,0,SUM(ROUND(OFFSET($P209,0,1,1,CÁLCULO.FrentesPreenchidas),15-13*ORÇAMENTO!$AF$7)))))</f>
        <v>20</v>
      </c>
      <c r="I209" s="468" t="s">
        <v>1235</v>
      </c>
      <c r="J209" s="651" t="str" cm="1">
        <f t="array" aca="1" ref="J209" ca="1">IF(OR(B209&lt;&gt;"S",CÁLCULO.FrentesPreenchidas=0),"",IF(AND(ACOMPANHAMENTO="PLE",AUTOEVENTO="Manual",OR(H209&gt;0,ORÇAMENTO!AC209="QUANT."),OR(K209="",M209=0,N209="")),"►E",IF(AND(ACOMPANHAMENTO="PLE",ORÇAMENTO!AC209="QUANT."),"►Q",IF(AND(ACOMPANHAMENTO="PLE",H209&lt;&gt;SUMPRODUCT(($Q$1:$AQ$1=1)*ROUND(Q209:AQ209,15))),"►S",IF(AND(COUNTIF($P$11:$AQ$11,"▼")=0,H209&gt;0,I209=""),"◄M","")))))</f>
        <v/>
      </c>
      <c r="K209" s="652" t="s">
        <v>1257</v>
      </c>
      <c r="L209" s="165">
        <f t="shared" ca="1" si="17"/>
        <v>194</v>
      </c>
      <c r="M209" s="166">
        <f ca="1">IF($D209&lt;&gt;"Serviço","",
          IF(AUTOEVENTO="manual",$A209,
                IF(ISERROR(MATCH($A209,$A$15:OFFSET($A209,-1,0),0)),MAX($M$15:OFFSET(M209,-1,0))+1,
                      INDEX($M$15:OFFSET(M209,-1,0),MATCH($A209,$A$15:OFFSET($A209,-1,0),0)))))</f>
        <v>9</v>
      </c>
      <c r="N209" s="167" t="str">
        <f ca="1">IF($D209&lt;&gt;"Serviço","",
         IF(AUTOEVENTO="Manual",
                IF($A209=0,"&lt;-- defina o número do agrupador",
                       OFFSET(EVENTOS!$D$15,$A209-$A$15,0)),
                OFFSET($F$15,$A209,0)))</f>
        <v>INSTALAÇÕES</v>
      </c>
      <c r="O209" s="168"/>
      <c r="Q209" s="168">
        <v>1</v>
      </c>
      <c r="R209" s="169">
        <v>1</v>
      </c>
      <c r="S209" s="169">
        <v>1</v>
      </c>
      <c r="T209" s="169">
        <v>1</v>
      </c>
      <c r="U209" s="169">
        <v>1</v>
      </c>
      <c r="V209" s="169">
        <v>1</v>
      </c>
      <c r="W209" s="169">
        <v>1</v>
      </c>
      <c r="X209" s="169">
        <v>1</v>
      </c>
      <c r="Y209" s="169">
        <v>1</v>
      </c>
      <c r="Z209" s="170">
        <v>1</v>
      </c>
      <c r="AA209" s="169">
        <v>1</v>
      </c>
      <c r="AB209" s="169">
        <v>1</v>
      </c>
      <c r="AC209" s="169">
        <v>1</v>
      </c>
      <c r="AD209" s="169">
        <v>1</v>
      </c>
      <c r="AE209" s="169">
        <v>1</v>
      </c>
      <c r="AF209" s="169">
        <v>1</v>
      </c>
      <c r="AG209" s="169">
        <v>1</v>
      </c>
      <c r="AH209" s="170">
        <v>1</v>
      </c>
      <c r="AI209" s="169">
        <v>1</v>
      </c>
      <c r="AJ209" s="169">
        <v>1</v>
      </c>
      <c r="AK209" s="169"/>
      <c r="AL209" s="169"/>
      <c r="AM209" s="169"/>
      <c r="AN209" s="169"/>
      <c r="AO209" s="169"/>
      <c r="AP209" s="170"/>
      <c r="AR209" s="453">
        <f ca="1">IF(AND($D209="Serviço",AR$12&lt;&gt;0,$H209&gt;0,OR(AUTOEVENTO&lt;&gt;"manual",$M209&lt;&gt;$A$15)),
        IF(Import.TipoArredondamento&lt;&gt;"TransfereGOV",
              ROUND(OFFSET($P209,0,AR$13),15-13*ORÇAMENTO!$AF$7)/$H209*OFFSET(ORÇAMENTO!$X$15,ROW(AR209)-ROW(AR$15),0),
              ROUND(ROUND(OFFSET($P209,0,AR$13),15-13*ORÇAMENTO!$AF$7)*OFFSET(ORÇAMENTO!$W$15,ROW(AR209)-ROW(AR$15),0),15-13*ORÇAMENTO!$AF$11)),
         0)</f>
        <v>0</v>
      </c>
      <c r="AS209" s="453">
        <f ca="1">IF(AND($D209="Serviço",AS$12&lt;&gt;0,$H209&gt;0,OR(AUTOEVENTO&lt;&gt;"manual",$M209&lt;&gt;$A$15)),
        IF(Import.TipoArredondamento&lt;&gt;"TransfereGOV",
              ROUND(OFFSET($P209,0,AS$13),15-13*ORÇAMENTO!$AF$7)/$H209*OFFSET(ORÇAMENTO!$X$15,ROW(AS209)-ROW(AS$15),0),
              ROUND(ROUND(OFFSET($P209,0,AS$13),15-13*ORÇAMENTO!$AF$7)*OFFSET(ORÇAMENTO!$W$15,ROW(AS209)-ROW(AS$15),0),15-13*ORÇAMENTO!$AF$11)),
         0)</f>
        <v>0</v>
      </c>
      <c r="AT209" s="453">
        <f ca="1">IF(AND($D209="Serviço",AT$12&lt;&gt;0,$H209&gt;0,OR(AUTOEVENTO&lt;&gt;"manual",$M209&lt;&gt;$A$15)),
        IF(Import.TipoArredondamento&lt;&gt;"TransfereGOV",
              ROUND(OFFSET($P209,0,AT$13),15-13*ORÇAMENTO!$AF$7)/$H209*OFFSET(ORÇAMENTO!$X$15,ROW(AT209)-ROW(AT$15),0),
              ROUND(ROUND(OFFSET($P209,0,AT$13),15-13*ORÇAMENTO!$AF$7)*OFFSET(ORÇAMENTO!$W$15,ROW(AT209)-ROW(AT$15),0),15-13*ORÇAMENTO!$AF$11)),
         0)</f>
        <v>0</v>
      </c>
      <c r="AU209" s="453">
        <f ca="1">IF(AND($D209="Serviço",AU$12&lt;&gt;0,$H209&gt;0,OR(AUTOEVENTO&lt;&gt;"manual",$M209&lt;&gt;$A$15)),
        IF(Import.TipoArredondamento&lt;&gt;"TransfereGOV",
              ROUND(OFFSET($P209,0,AU$13),15-13*ORÇAMENTO!$AF$7)/$H209*OFFSET(ORÇAMENTO!$X$15,ROW(AU209)-ROW(AU$15),0),
              ROUND(ROUND(OFFSET($P209,0,AU$13),15-13*ORÇAMENTO!$AF$7)*OFFSET(ORÇAMENTO!$W$15,ROW(AU209)-ROW(AU$15),0),15-13*ORÇAMENTO!$AF$11)),
         0)</f>
        <v>0</v>
      </c>
      <c r="AV209" s="453">
        <f ca="1">IF(AND($D209="Serviço",AV$12&lt;&gt;0,$H209&gt;0,OR(AUTOEVENTO&lt;&gt;"manual",$M209&lt;&gt;$A$15)),
        IF(Import.TipoArredondamento&lt;&gt;"TransfereGOV",
              ROUND(OFFSET($P209,0,AV$13),15-13*ORÇAMENTO!$AF$7)/$H209*OFFSET(ORÇAMENTO!$X$15,ROW(AV209)-ROW(AV$15),0),
              ROUND(ROUND(OFFSET($P209,0,AV$13),15-13*ORÇAMENTO!$AF$7)*OFFSET(ORÇAMENTO!$W$15,ROW(AV209)-ROW(AV$15),0),15-13*ORÇAMENTO!$AF$11)),
         0)</f>
        <v>0</v>
      </c>
      <c r="AW209" s="453">
        <f ca="1">IF(AND($D209="Serviço",AW$12&lt;&gt;0,$H209&gt;0,OR(AUTOEVENTO&lt;&gt;"manual",$M209&lt;&gt;$A$15)),
        IF(Import.TipoArredondamento&lt;&gt;"TransfereGOV",
              ROUND(OFFSET($P209,0,AW$13),15-13*ORÇAMENTO!$AF$7)/$H209*OFFSET(ORÇAMENTO!$X$15,ROW(AW209)-ROW(AW$15),0),
              ROUND(ROUND(OFFSET($P209,0,AW$13),15-13*ORÇAMENTO!$AF$7)*OFFSET(ORÇAMENTO!$W$15,ROW(AW209)-ROW(AW$15),0),15-13*ORÇAMENTO!$AF$11)),
         0)</f>
        <v>0</v>
      </c>
      <c r="AX209" s="453">
        <f ca="1">IF(AND($D209="Serviço",AX$12&lt;&gt;0,$H209&gt;0,OR(AUTOEVENTO&lt;&gt;"manual",$M209&lt;&gt;$A$15)),
        IF(Import.TipoArredondamento&lt;&gt;"TransfereGOV",
              ROUND(OFFSET($P209,0,AX$13),15-13*ORÇAMENTO!$AF$7)/$H209*OFFSET(ORÇAMENTO!$X$15,ROW(AX209)-ROW(AX$15),0),
              ROUND(ROUND(OFFSET($P209,0,AX$13),15-13*ORÇAMENTO!$AF$7)*OFFSET(ORÇAMENTO!$W$15,ROW(AX209)-ROW(AX$15),0),15-13*ORÇAMENTO!$AF$11)),
         0)</f>
        <v>0</v>
      </c>
      <c r="AY209" s="453">
        <f ca="1">IF(AND($D209="Serviço",AY$12&lt;&gt;0,$H209&gt;0,OR(AUTOEVENTO&lt;&gt;"manual",$M209&lt;&gt;$A$15)),
        IF(Import.TipoArredondamento&lt;&gt;"TransfereGOV",
              ROUND(OFFSET($P209,0,AY$13),15-13*ORÇAMENTO!$AF$7)/$H209*OFFSET(ORÇAMENTO!$X$15,ROW(AY209)-ROW(AY$15),0),
              ROUND(ROUND(OFFSET($P209,0,AY$13),15-13*ORÇAMENTO!$AF$7)*OFFSET(ORÇAMENTO!$W$15,ROW(AY209)-ROW(AY$15),0),15-13*ORÇAMENTO!$AF$11)),
         0)</f>
        <v>0</v>
      </c>
      <c r="AZ209" s="453">
        <f ca="1">IF(AND($D209="Serviço",AZ$12&lt;&gt;0,$H209&gt;0,OR(AUTOEVENTO&lt;&gt;"manual",$M209&lt;&gt;$A$15)),
        IF(Import.TipoArredondamento&lt;&gt;"TransfereGOV",
              ROUND(OFFSET($P209,0,AZ$13),15-13*ORÇAMENTO!$AF$7)/$H209*OFFSET(ORÇAMENTO!$X$15,ROW(AZ209)-ROW(AZ$15),0),
              ROUND(ROUND(OFFSET($P209,0,AZ$13),15-13*ORÇAMENTO!$AF$7)*OFFSET(ORÇAMENTO!$W$15,ROW(AZ209)-ROW(AZ$15),0),15-13*ORÇAMENTO!$AF$11)),
         0)</f>
        <v>0</v>
      </c>
      <c r="BA209" s="453">
        <f ca="1">IF(AND($D209="Serviço",BA$12&lt;&gt;0,$H209&gt;0,OR(AUTOEVENTO&lt;&gt;"manual",$M209&lt;&gt;$A$15)),
        IF(Import.TipoArredondamento&lt;&gt;"TransfereGOV",
              ROUND(OFFSET($P209,0,BA$13),15-13*ORÇAMENTO!$AF$7)/$H209*OFFSET(ORÇAMENTO!$X$15,ROW(BA209)-ROW(BA$15),0),
              ROUND(ROUND(OFFSET($P209,0,BA$13),15-13*ORÇAMENTO!$AF$7)*OFFSET(ORÇAMENTO!$W$15,ROW(BA209)-ROW(BA$15),0),15-13*ORÇAMENTO!$AF$11)),
         0)</f>
        <v>0</v>
      </c>
      <c r="BB209" s="453">
        <f ca="1">IF(AND($D209="Serviço",BB$12&lt;&gt;0,$H209&gt;0,OR(AUTOEVENTO&lt;&gt;"manual",$M209&lt;&gt;$A$15)),
        IF(Import.TipoArredondamento&lt;&gt;"TransfereGOV",
              ROUND(OFFSET($P209,0,BB$13),15-13*ORÇAMENTO!$AF$7)/$H209*OFFSET(ORÇAMENTO!$X$15,ROW(BB209)-ROW(BB$15),0),
              ROUND(ROUND(OFFSET($P209,0,BB$13),15-13*ORÇAMENTO!$AF$7)*OFFSET(ORÇAMENTO!$W$15,ROW(BB209)-ROW(BB$15),0),15-13*ORÇAMENTO!$AF$11)),
         0)</f>
        <v>0</v>
      </c>
      <c r="BC209" s="453">
        <f ca="1">IF(AND($D209="Serviço",BC$12&lt;&gt;0,$H209&gt;0,OR(AUTOEVENTO&lt;&gt;"manual",$M209&lt;&gt;$A$15)),
        IF(Import.TipoArredondamento&lt;&gt;"TransfereGOV",
              ROUND(OFFSET($P209,0,BC$13),15-13*ORÇAMENTO!$AF$7)/$H209*OFFSET(ORÇAMENTO!$X$15,ROW(BC209)-ROW(BC$15),0),
              ROUND(ROUND(OFFSET($P209,0,BC$13),15-13*ORÇAMENTO!$AF$7)*OFFSET(ORÇAMENTO!$W$15,ROW(BC209)-ROW(BC$15),0),15-13*ORÇAMENTO!$AF$11)),
         0)</f>
        <v>0</v>
      </c>
      <c r="BD209" s="453">
        <f ca="1">IF(AND($D209="Serviço",BD$12&lt;&gt;0,$H209&gt;0,OR(AUTOEVENTO&lt;&gt;"manual",$M209&lt;&gt;$A$15)),
        IF(Import.TipoArredondamento&lt;&gt;"TransfereGOV",
              ROUND(OFFSET($P209,0,BD$13),15-13*ORÇAMENTO!$AF$7)/$H209*OFFSET(ORÇAMENTO!$X$15,ROW(BD209)-ROW(BD$15),0),
              ROUND(ROUND(OFFSET($P209,0,BD$13),15-13*ORÇAMENTO!$AF$7)*OFFSET(ORÇAMENTO!$W$15,ROW(BD209)-ROW(BD$15),0),15-13*ORÇAMENTO!$AF$11)),
         0)</f>
        <v>0</v>
      </c>
      <c r="BE209" s="453">
        <f ca="1">IF(AND($D209="Serviço",BE$12&lt;&gt;0,$H209&gt;0,OR(AUTOEVENTO&lt;&gt;"manual",$M209&lt;&gt;$A$15)),
        IF(Import.TipoArredondamento&lt;&gt;"TransfereGOV",
              ROUND(OFFSET($P209,0,BE$13),15-13*ORÇAMENTO!$AF$7)/$H209*OFFSET(ORÇAMENTO!$X$15,ROW(BE209)-ROW(BE$15),0),
              ROUND(ROUND(OFFSET($P209,0,BE$13),15-13*ORÇAMENTO!$AF$7)*OFFSET(ORÇAMENTO!$W$15,ROW(BE209)-ROW(BE$15),0),15-13*ORÇAMENTO!$AF$11)),
         0)</f>
        <v>0</v>
      </c>
      <c r="BF209" s="453">
        <f ca="1">IF(AND($D209="Serviço",BF$12&lt;&gt;0,$H209&gt;0,OR(AUTOEVENTO&lt;&gt;"manual",$M209&lt;&gt;$A$15)),
        IF(Import.TipoArredondamento&lt;&gt;"TransfereGOV",
              ROUND(OFFSET($P209,0,BF$13),15-13*ORÇAMENTO!$AF$7)/$H209*OFFSET(ORÇAMENTO!$X$15,ROW(BF209)-ROW(BF$15),0),
              ROUND(ROUND(OFFSET($P209,0,BF$13),15-13*ORÇAMENTO!$AF$7)*OFFSET(ORÇAMENTO!$W$15,ROW(BF209)-ROW(BF$15),0),15-13*ORÇAMENTO!$AF$11)),
         0)</f>
        <v>0</v>
      </c>
      <c r="BG209" s="453">
        <f ca="1">IF(AND($D209="Serviço",BG$12&lt;&gt;0,$H209&gt;0,OR(AUTOEVENTO&lt;&gt;"manual",$M209&lt;&gt;$A$15)),
        IF(Import.TipoArredondamento&lt;&gt;"TransfereGOV",
              ROUND(OFFSET($P209,0,BG$13),15-13*ORÇAMENTO!$AF$7)/$H209*OFFSET(ORÇAMENTO!$X$15,ROW(BG209)-ROW(BG$15),0),
              ROUND(ROUND(OFFSET($P209,0,BG$13),15-13*ORÇAMENTO!$AF$7)*OFFSET(ORÇAMENTO!$W$15,ROW(BG209)-ROW(BG$15),0),15-13*ORÇAMENTO!$AF$11)),
         0)</f>
        <v>0</v>
      </c>
      <c r="BH209" s="453">
        <f ca="1">IF(AND($D209="Serviço",BH$12&lt;&gt;0,$H209&gt;0,OR(AUTOEVENTO&lt;&gt;"manual",$M209&lt;&gt;$A$15)),
        IF(Import.TipoArredondamento&lt;&gt;"TransfereGOV",
              ROUND(OFFSET($P209,0,BH$13),15-13*ORÇAMENTO!$AF$7)/$H209*OFFSET(ORÇAMENTO!$X$15,ROW(BH209)-ROW(BH$15),0),
              ROUND(ROUND(OFFSET($P209,0,BH$13),15-13*ORÇAMENTO!$AF$7)*OFFSET(ORÇAMENTO!$W$15,ROW(BH209)-ROW(BH$15),0),15-13*ORÇAMENTO!$AF$11)),
         0)</f>
        <v>0</v>
      </c>
      <c r="BI209" s="453">
        <f ca="1">IF(AND($D209="Serviço",BI$12&lt;&gt;0,$H209&gt;0,OR(AUTOEVENTO&lt;&gt;"manual",$M209&lt;&gt;$A$15)),
        IF(Import.TipoArredondamento&lt;&gt;"TransfereGOV",
              ROUND(OFFSET($P209,0,BI$13),15-13*ORÇAMENTO!$AF$7)/$H209*OFFSET(ORÇAMENTO!$X$15,ROW(BI209)-ROW(BI$15),0),
              ROUND(ROUND(OFFSET($P209,0,BI$13),15-13*ORÇAMENTO!$AF$7)*OFFSET(ORÇAMENTO!$W$15,ROW(BI209)-ROW(BI$15),0),15-13*ORÇAMENTO!$AF$11)),
         0)</f>
        <v>0</v>
      </c>
      <c r="BJ209" s="453">
        <f ca="1">IF(AND($D209="Serviço",BJ$12&lt;&gt;0,$H209&gt;0,OR(AUTOEVENTO&lt;&gt;"manual",$M209&lt;&gt;$A$15)),
        IF(Import.TipoArredondamento&lt;&gt;"TransfereGOV",
              ROUND(OFFSET($P209,0,BJ$13),15-13*ORÇAMENTO!$AF$7)/$H209*OFFSET(ORÇAMENTO!$X$15,ROW(BJ209)-ROW(BJ$15),0),
              ROUND(ROUND(OFFSET($P209,0,BJ$13),15-13*ORÇAMENTO!$AF$7)*OFFSET(ORÇAMENTO!$W$15,ROW(BJ209)-ROW(BJ$15),0),15-13*ORÇAMENTO!$AF$11)),
         0)</f>
        <v>0</v>
      </c>
      <c r="BK209" s="453">
        <f ca="1">IF(AND($D209="Serviço",BK$12&lt;&gt;0,$H209&gt;0,OR(AUTOEVENTO&lt;&gt;"manual",$M209&lt;&gt;$A$15)),
        IF(Import.TipoArredondamento&lt;&gt;"TransfereGOV",
              ROUND(OFFSET($P209,0,BK$13),15-13*ORÇAMENTO!$AF$7)/$H209*OFFSET(ORÇAMENTO!$X$15,ROW(BK209)-ROW(BK$15),0),
              ROUND(ROUND(OFFSET($P209,0,BK$13),15-13*ORÇAMENTO!$AF$7)*OFFSET(ORÇAMENTO!$W$15,ROW(BK209)-ROW(BK$15),0),15-13*ORÇAMENTO!$AF$11)),
         0)</f>
        <v>0</v>
      </c>
      <c r="BL209" s="453">
        <f ca="1">IF(AND($D209="Serviço",BL$12&lt;&gt;0,$H209&gt;0,OR(AUTOEVENTO&lt;&gt;"manual",$M209&lt;&gt;$A$15)),
        IF(Import.TipoArredondamento&lt;&gt;"TransfereGOV",
              ROUND(OFFSET($P209,0,BL$13),15-13*ORÇAMENTO!$AF$7)/$H209*OFFSET(ORÇAMENTO!$X$15,ROW(BL209)-ROW(BL$15),0),
              ROUND(ROUND(OFFSET($P209,0,BL$13),15-13*ORÇAMENTO!$AF$7)*OFFSET(ORÇAMENTO!$W$15,ROW(BL209)-ROW(BL$15),0),15-13*ORÇAMENTO!$AF$11)),
         0)</f>
        <v>0</v>
      </c>
      <c r="BM209" s="453">
        <f ca="1">IF(AND($D209="Serviço",BM$12&lt;&gt;0,$H209&gt;0,OR(AUTOEVENTO&lt;&gt;"manual",$M209&lt;&gt;$A$15)),
        IF(Import.TipoArredondamento&lt;&gt;"TransfereGOV",
              ROUND(OFFSET($P209,0,BM$13),15-13*ORÇAMENTO!$AF$7)/$H209*OFFSET(ORÇAMENTO!$X$15,ROW(BM209)-ROW(BM$15),0),
              ROUND(ROUND(OFFSET($P209,0,BM$13),15-13*ORÇAMENTO!$AF$7)*OFFSET(ORÇAMENTO!$W$15,ROW(BM209)-ROW(BM$15),0),15-13*ORÇAMENTO!$AF$11)),
         0)</f>
        <v>0</v>
      </c>
      <c r="BN209" s="453">
        <f ca="1">IF(AND($D209="Serviço",BN$12&lt;&gt;0,$H209&gt;0,OR(AUTOEVENTO&lt;&gt;"manual",$M209&lt;&gt;$A$15)),
        IF(Import.TipoArredondamento&lt;&gt;"TransfereGOV",
              ROUND(OFFSET($P209,0,BN$13),15-13*ORÇAMENTO!$AF$7)/$H209*OFFSET(ORÇAMENTO!$X$15,ROW(BN209)-ROW(BN$15),0),
              ROUND(ROUND(OFFSET($P209,0,BN$13),15-13*ORÇAMENTO!$AF$7)*OFFSET(ORÇAMENTO!$W$15,ROW(BN209)-ROW(BN$15),0),15-13*ORÇAMENTO!$AF$11)),
         0)</f>
        <v>0</v>
      </c>
      <c r="BO209" s="453">
        <f ca="1">IF(AND($D209="Serviço",BO$12&lt;&gt;0,$H209&gt;0,OR(AUTOEVENTO&lt;&gt;"manual",$M209&lt;&gt;$A$15)),
        IF(Import.TipoArredondamento&lt;&gt;"TransfereGOV",
              ROUND(OFFSET($P209,0,BO$13),15-13*ORÇAMENTO!$AF$7)/$H209*OFFSET(ORÇAMENTO!$X$15,ROW(BO209)-ROW(BO$15),0),
              ROUND(ROUND(OFFSET($P209,0,BO$13),15-13*ORÇAMENTO!$AF$7)*OFFSET(ORÇAMENTO!$W$15,ROW(BO209)-ROW(BO$15),0),15-13*ORÇAMENTO!$AF$11)),
         0)</f>
        <v>0</v>
      </c>
      <c r="BP209" s="453">
        <f ca="1">IF(AND($D209="Serviço",BP$12&lt;&gt;0,$H209&gt;0,OR(AUTOEVENTO&lt;&gt;"manual",$M209&lt;&gt;$A$15)),
        IF(Import.TipoArredondamento&lt;&gt;"TransfereGOV",
              ROUND(OFFSET($P209,0,BP$13),15-13*ORÇAMENTO!$AF$7)/$H209*OFFSET(ORÇAMENTO!$X$15,ROW(BP209)-ROW(BP$15),0),
              ROUND(ROUND(OFFSET($P209,0,BP$13),15-13*ORÇAMENTO!$AF$7)*OFFSET(ORÇAMENTO!$W$15,ROW(BP209)-ROW(BP$15),0),15-13*ORÇAMENTO!$AF$11)),
         0)</f>
        <v>0</v>
      </c>
      <c r="BQ209" s="453">
        <f ca="1">IF(AND($D209="Serviço",BQ$12&lt;&gt;0,$H209&gt;0,OR(AUTOEVENTO&lt;&gt;"manual",$M209&lt;&gt;$A$15)),
        IF(Import.TipoArredondamento&lt;&gt;"TransfereGOV",
              ROUND(OFFSET($P209,0,BQ$13),15-13*ORÇAMENTO!$AF$7)/$H209*OFFSET(ORÇAMENTO!$X$15,ROW(BQ209)-ROW(BQ$15),0),
              ROUND(ROUND(OFFSET($P209,0,BQ$13),15-13*ORÇAMENTO!$AF$7)*OFFSET(ORÇAMENTO!$W$15,ROW(BQ209)-ROW(BQ$15),0),15-13*ORÇAMENTO!$AF$11)),
         0)</f>
        <v>0</v>
      </c>
      <c r="BS209" s="171">
        <f ca="1">IF(OR($D209&lt;&gt;"Serviço",AND(AUTOEVENTO="Manual",$M209=$A$15)),0,
         IF(OFFSET(CRONOPLE!$F$15,$M209-$A$15,BS$13)=0,10^12,OFFSET(CRONOPLE!$F$15,$M209-$A$15,BS$13)))</f>
        <v>1</v>
      </c>
      <c r="BT209" s="171">
        <f ca="1">IF(OR($D209&lt;&gt;"Serviço",AND(AUTOEVENTO="Manual",$M209=$A$15)),0,
         IF(OFFSET(CRONOPLE!$F$15,$M209-$A$15,BT$13)=0,10^12,OFFSET(CRONOPLE!$F$15,$M209-$A$15,BT$13)))</f>
        <v>2</v>
      </c>
      <c r="BU209" s="171">
        <f ca="1">IF(OR($D209&lt;&gt;"Serviço",AND(AUTOEVENTO="Manual",$M209=$A$15)),0,
         IF(OFFSET(CRONOPLE!$F$15,$M209-$A$15,BU$13)=0,10^12,OFFSET(CRONOPLE!$F$15,$M209-$A$15,BU$13)))</f>
        <v>3</v>
      </c>
      <c r="BV209" s="171">
        <f ca="1">IF(OR($D209&lt;&gt;"Serviço",AND(AUTOEVENTO="Manual",$M209=$A$15)),0,
         IF(OFFSET(CRONOPLE!$F$15,$M209-$A$15,BV$13)=0,10^12,OFFSET(CRONOPLE!$F$15,$M209-$A$15,BV$13)))</f>
        <v>4</v>
      </c>
      <c r="BW209" s="171">
        <f ca="1">IF(OR($D209&lt;&gt;"Serviço",AND(AUTOEVENTO="Manual",$M209=$A$15)),0,
         IF(OFFSET(CRONOPLE!$F$15,$M209-$A$15,BW$13)=0,10^12,OFFSET(CRONOPLE!$F$15,$M209-$A$15,BW$13)))</f>
        <v>5</v>
      </c>
      <c r="BX209" s="171">
        <f ca="1">IF(OR($D209&lt;&gt;"Serviço",AND(AUTOEVENTO="Manual",$M209=$A$15)),0,
         IF(OFFSET(CRONOPLE!$F$15,$M209-$A$15,BX$13)=0,10^12,OFFSET(CRONOPLE!$F$15,$M209-$A$15,BX$13)))</f>
        <v>6</v>
      </c>
      <c r="BY209" s="171">
        <f ca="1">IF(OR($D209&lt;&gt;"Serviço",AND(AUTOEVENTO="Manual",$M209=$A$15)),0,
         IF(OFFSET(CRONOPLE!$F$15,$M209-$A$15,BY$13)=0,10^12,OFFSET(CRONOPLE!$F$15,$M209-$A$15,BY$13)))</f>
        <v>7</v>
      </c>
      <c r="BZ209" s="171">
        <f ca="1">IF(OR($D209&lt;&gt;"Serviço",AND(AUTOEVENTO="Manual",$M209=$A$15)),0,
         IF(OFFSET(CRONOPLE!$F$15,$M209-$A$15,BZ$13)=0,10^12,OFFSET(CRONOPLE!$F$15,$M209-$A$15,BZ$13)))</f>
        <v>8</v>
      </c>
      <c r="CA209" s="171">
        <f ca="1">IF(OR($D209&lt;&gt;"Serviço",AND(AUTOEVENTO="Manual",$M209=$A$15)),0,
         IF(OFFSET(CRONOPLE!$F$15,$M209-$A$15,CA$13)=0,10^12,OFFSET(CRONOPLE!$F$15,$M209-$A$15,CA$13)))</f>
        <v>9</v>
      </c>
      <c r="CB209" s="171">
        <f ca="1">IF(OR($D209&lt;&gt;"Serviço",AND(AUTOEVENTO="Manual",$M209=$A$15)),0,
         IF(OFFSET(CRONOPLE!$F$15,$M209-$A$15,CB$13)=0,10^12,OFFSET(CRONOPLE!$F$15,$M209-$A$15,CB$13)))</f>
        <v>10</v>
      </c>
      <c r="CC209" s="171">
        <f ca="1">IF(OR($D209&lt;&gt;"Serviço",AND(AUTOEVENTO="Manual",$M209=$A$15)),0,
         IF(OFFSET(CRONOPLE!$F$15,$M209-$A$15,CC$13)=0,10^12,OFFSET(CRONOPLE!$F$15,$M209-$A$15,CC$13)))</f>
        <v>11</v>
      </c>
      <c r="CD209" s="171">
        <f ca="1">IF(OR($D209&lt;&gt;"Serviço",AND(AUTOEVENTO="Manual",$M209=$A$15)),0,
         IF(OFFSET(CRONOPLE!$F$15,$M209-$A$15,CD$13)=0,10^12,OFFSET(CRONOPLE!$F$15,$M209-$A$15,CD$13)))</f>
        <v>12</v>
      </c>
      <c r="CE209" s="171">
        <f ca="1">IF(OR($D209&lt;&gt;"Serviço",AND(AUTOEVENTO="Manual",$M209=$A$15)),0,
         IF(OFFSET(CRONOPLE!$F$15,$M209-$A$15,CE$13)=0,10^12,OFFSET(CRONOPLE!$F$15,$M209-$A$15,CE$13)))</f>
        <v>13</v>
      </c>
      <c r="CF209" s="171">
        <f ca="1">IF(OR($D209&lt;&gt;"Serviço",AND(AUTOEVENTO="Manual",$M209=$A$15)),0,
         IF(OFFSET(CRONOPLE!$F$15,$M209-$A$15,CF$13)=0,10^12,OFFSET(CRONOPLE!$F$15,$M209-$A$15,CF$13)))</f>
        <v>14</v>
      </c>
      <c r="CG209" s="171">
        <f ca="1">IF(OR($D209&lt;&gt;"Serviço",AND(AUTOEVENTO="Manual",$M209=$A$15)),0,
         IF(OFFSET(CRONOPLE!$F$15,$M209-$A$15,CG$13)=0,10^12,OFFSET(CRONOPLE!$F$15,$M209-$A$15,CG$13)))</f>
        <v>15</v>
      </c>
      <c r="CH209" s="171">
        <f ca="1">IF(OR($D209&lt;&gt;"Serviço",AND(AUTOEVENTO="Manual",$M209=$A$15)),0,
         IF(OFFSET(CRONOPLE!$F$15,$M209-$A$15,CH$13)=0,10^12,OFFSET(CRONOPLE!$F$15,$M209-$A$15,CH$13)))</f>
        <v>16</v>
      </c>
      <c r="CI209" s="171">
        <f ca="1">IF(OR($D209&lt;&gt;"Serviço",AND(AUTOEVENTO="Manual",$M209=$A$15)),0,
         IF(OFFSET(CRONOPLE!$F$15,$M209-$A$15,CI$13)=0,10^12,OFFSET(CRONOPLE!$F$15,$M209-$A$15,CI$13)))</f>
        <v>17</v>
      </c>
      <c r="CJ209" s="171">
        <f ca="1">IF(OR($D209&lt;&gt;"Serviço",AND(AUTOEVENTO="Manual",$M209=$A$15)),0,
         IF(OFFSET(CRONOPLE!$F$15,$M209-$A$15,CJ$13)=0,10^12,OFFSET(CRONOPLE!$F$15,$M209-$A$15,CJ$13)))</f>
        <v>18</v>
      </c>
      <c r="CK209" s="171">
        <f ca="1">IF(OR($D209&lt;&gt;"Serviço",AND(AUTOEVENTO="Manual",$M209=$A$15)),0,
         IF(OFFSET(CRONOPLE!$F$15,$M209-$A$15,CK$13)=0,10^12,OFFSET(CRONOPLE!$F$15,$M209-$A$15,CK$13)))</f>
        <v>19</v>
      </c>
      <c r="CL209" s="171">
        <f ca="1">IF(OR($D209&lt;&gt;"Serviço",AND(AUTOEVENTO="Manual",$M209=$A$15)),0,
         IF(OFFSET(CRONOPLE!$F$15,$M209-$A$15,CL$13)=0,10^12,OFFSET(CRONOPLE!$F$15,$M209-$A$15,CL$13)))</f>
        <v>20</v>
      </c>
      <c r="CM209" s="171">
        <f ca="1">IF(OR($D209&lt;&gt;"Serviço",AND(AUTOEVENTO="Manual",$M209=$A$15)),0,
         IF(OFFSET(CRONOPLE!$F$15,$M209-$A$15,CM$13)=0,10^12,OFFSET(CRONOPLE!$F$15,$M209-$A$15,CM$13)))</f>
        <v>1000000000000</v>
      </c>
      <c r="CN209" s="171">
        <f ca="1">IF(OR($D209&lt;&gt;"Serviço",AND(AUTOEVENTO="Manual",$M209=$A$15)),0,
         IF(OFFSET(CRONOPLE!$F$15,$M209-$A$15,CN$13)=0,10^12,OFFSET(CRONOPLE!$F$15,$M209-$A$15,CN$13)))</f>
        <v>1000000000000</v>
      </c>
      <c r="CO209" s="171">
        <f ca="1">IF(OR($D209&lt;&gt;"Serviço",AND(AUTOEVENTO="Manual",$M209=$A$15)),0,
         IF(OFFSET(CRONOPLE!$F$15,$M209-$A$15,CO$13)=0,10^12,OFFSET(CRONOPLE!$F$15,$M209-$A$15,CO$13)))</f>
        <v>1000000000000</v>
      </c>
      <c r="CP209" s="171">
        <f ca="1">IF(OR($D209&lt;&gt;"Serviço",AND(AUTOEVENTO="Manual",$M209=$A$15)),0,
         IF(OFFSET(CRONOPLE!$F$15,$M209-$A$15,CP$13)=0,10^12,OFFSET(CRONOPLE!$F$15,$M209-$A$15,CP$13)))</f>
        <v>1000000000000</v>
      </c>
      <c r="CQ209" s="171">
        <f ca="1">IF(OR($D209&lt;&gt;"Serviço",AND(AUTOEVENTO="Manual",$M209=$A$15)),0,
         IF(OFFSET(CRONOPLE!$F$15,$M209-$A$15,CQ$13)=0,10^12,OFFSET(CRONOPLE!$F$15,$M209-$A$15,CQ$13)))</f>
        <v>1000000000000</v>
      </c>
      <c r="CR209" s="171">
        <f ca="1">IF(OR($D209&lt;&gt;"Serviço",AND(AUTOEVENTO="Manual",$M209=$A$15)),0,
         IF(OFFSET(CRONOPLE!$F$15,$M209-$A$15,CR$13)=0,10^12,OFFSET(CRONOPLE!$F$15,$M209-$A$15,CR$13)))</f>
        <v>1000000000000</v>
      </c>
      <c r="CT209" s="172" cm="1">
        <f t="array" aca="1" ref="CT209" ca="1">IF(OR($D209&lt;&gt;"Serviço",AND(AUTOEVENTO="Manual",$M209=$A$15),$M209&gt;(ROW(PLE.lastrow)-ROW(PLE.firstrow))),0,
           IF(OFFSET(PLE!$G$15,$M209-$A$15,CT$13)="",10^12,OFFSET(PLE!$G$15,$M209-$A$15,CT$13)))</f>
        <v>1000000000000</v>
      </c>
      <c r="CU209" s="172" cm="1">
        <f t="array" aca="1" ref="CU209" ca="1">IF(OR($D209&lt;&gt;"Serviço",AND(AUTOEVENTO="Manual",$M209=$A$15),$M209&gt;(ROW(PLE.lastrow)-ROW(PLE.firstrow))),0,
           IF(OFFSET(PLE!$G$15,$M209-$A$15,CU$13)="",10^12,OFFSET(PLE!$G$15,$M209-$A$15,CU$13)))</f>
        <v>1000000000000</v>
      </c>
      <c r="CV209" s="172" cm="1">
        <f t="array" aca="1" ref="CV209" ca="1">IF(OR($D209&lt;&gt;"Serviço",AND(AUTOEVENTO="Manual",$M209=$A$15),$M209&gt;(ROW(PLE.lastrow)-ROW(PLE.firstrow))),0,
           IF(OFFSET(PLE!$G$15,$M209-$A$15,CV$13)="",10^12,OFFSET(PLE!$G$15,$M209-$A$15,CV$13)))</f>
        <v>1000000000000</v>
      </c>
      <c r="CW209" s="172" cm="1">
        <f t="array" aca="1" ref="CW209" ca="1">IF(OR($D209&lt;&gt;"Serviço",AND(AUTOEVENTO="Manual",$M209=$A$15),$M209&gt;(ROW(PLE.lastrow)-ROW(PLE.firstrow))),0,
           IF(OFFSET(PLE!$G$15,$M209-$A$15,CW$13)="",10^12,OFFSET(PLE!$G$15,$M209-$A$15,CW$13)))</f>
        <v>1000000000000</v>
      </c>
      <c r="CX209" s="172" cm="1">
        <f t="array" aca="1" ref="CX209" ca="1">IF(OR($D209&lt;&gt;"Serviço",AND(AUTOEVENTO="Manual",$M209=$A$15),$M209&gt;(ROW(PLE.lastrow)-ROW(PLE.firstrow))),0,
           IF(OFFSET(PLE!$G$15,$M209-$A$15,CX$13)="",10^12,OFFSET(PLE!$G$15,$M209-$A$15,CX$13)))</f>
        <v>1000000000000</v>
      </c>
      <c r="CY209" s="172" cm="1">
        <f t="array" aca="1" ref="CY209" ca="1">IF(OR($D209&lt;&gt;"Serviço",AND(AUTOEVENTO="Manual",$M209=$A$15),$M209&gt;(ROW(PLE.lastrow)-ROW(PLE.firstrow))),0,
           IF(OFFSET(PLE!$G$15,$M209-$A$15,CY$13)="",10^12,OFFSET(PLE!$G$15,$M209-$A$15,CY$13)))</f>
        <v>1000000000000</v>
      </c>
      <c r="CZ209" s="172" cm="1">
        <f t="array" aca="1" ref="CZ209" ca="1">IF(OR($D209&lt;&gt;"Serviço",AND(AUTOEVENTO="Manual",$M209=$A$15),$M209&gt;(ROW(PLE.lastrow)-ROW(PLE.firstrow))),0,
           IF(OFFSET(PLE!$G$15,$M209-$A$15,CZ$13)="",10^12,OFFSET(PLE!$G$15,$M209-$A$15,CZ$13)))</f>
        <v>1000000000000</v>
      </c>
      <c r="DA209" s="172" cm="1">
        <f t="array" aca="1" ref="DA209" ca="1">IF(OR($D209&lt;&gt;"Serviço",AND(AUTOEVENTO="Manual",$M209=$A$15),$M209&gt;(ROW(PLE.lastrow)-ROW(PLE.firstrow))),0,
           IF(OFFSET(PLE!$G$15,$M209-$A$15,DA$13)="",10^12,OFFSET(PLE!$G$15,$M209-$A$15,DA$13)))</f>
        <v>1000000000000</v>
      </c>
      <c r="DB209" s="172" cm="1">
        <f t="array" aca="1" ref="DB209" ca="1">IF(OR($D209&lt;&gt;"Serviço",AND(AUTOEVENTO="Manual",$M209=$A$15),$M209&gt;(ROW(PLE.lastrow)-ROW(PLE.firstrow))),0,
           IF(OFFSET(PLE!$G$15,$M209-$A$15,DB$13)="",10^12,OFFSET(PLE!$G$15,$M209-$A$15,DB$13)))</f>
        <v>1000000000000</v>
      </c>
      <c r="DC209" s="172" cm="1">
        <f t="array" aca="1" ref="DC209" ca="1">IF(OR($D209&lt;&gt;"Serviço",AND(AUTOEVENTO="Manual",$M209=$A$15),$M209&gt;(ROW(PLE.lastrow)-ROW(PLE.firstrow))),0,
           IF(OFFSET(PLE!$G$15,$M209-$A$15,DC$13)="",10^12,OFFSET(PLE!$G$15,$M209-$A$15,DC$13)))</f>
        <v>1000000000000</v>
      </c>
      <c r="DD209" s="172" cm="1">
        <f t="array" aca="1" ref="DD209" ca="1">IF(OR($D209&lt;&gt;"Serviço",AND(AUTOEVENTO="Manual",$M209=$A$15),$M209&gt;(ROW(PLE.lastrow)-ROW(PLE.firstrow))),0,
           IF(OFFSET(PLE!$G$15,$M209-$A$15,DD$13)="",10^12,OFFSET(PLE!$G$15,$M209-$A$15,DD$13)))</f>
        <v>1000000000000</v>
      </c>
      <c r="DE209" s="172" cm="1">
        <f t="array" aca="1" ref="DE209" ca="1">IF(OR($D209&lt;&gt;"Serviço",AND(AUTOEVENTO="Manual",$M209=$A$15),$M209&gt;(ROW(PLE.lastrow)-ROW(PLE.firstrow))),0,
           IF(OFFSET(PLE!$G$15,$M209-$A$15,DE$13)="",10^12,OFFSET(PLE!$G$15,$M209-$A$15,DE$13)))</f>
        <v>1000000000000</v>
      </c>
      <c r="DF209" s="172" cm="1">
        <f t="array" aca="1" ref="DF209" ca="1">IF(OR($D209&lt;&gt;"Serviço",AND(AUTOEVENTO="Manual",$M209=$A$15),$M209&gt;(ROW(PLE.lastrow)-ROW(PLE.firstrow))),0,
           IF(OFFSET(PLE!$G$15,$M209-$A$15,DF$13)="",10^12,OFFSET(PLE!$G$15,$M209-$A$15,DF$13)))</f>
        <v>1000000000000</v>
      </c>
      <c r="DG209" s="172" cm="1">
        <f t="array" aca="1" ref="DG209" ca="1">IF(OR($D209&lt;&gt;"Serviço",AND(AUTOEVENTO="Manual",$M209=$A$15),$M209&gt;(ROW(PLE.lastrow)-ROW(PLE.firstrow))),0,
           IF(OFFSET(PLE!$G$15,$M209-$A$15,DG$13)="",10^12,OFFSET(PLE!$G$15,$M209-$A$15,DG$13)))</f>
        <v>1000000000000</v>
      </c>
      <c r="DH209" s="172" cm="1">
        <f t="array" aca="1" ref="DH209" ca="1">IF(OR($D209&lt;&gt;"Serviço",AND(AUTOEVENTO="Manual",$M209=$A$15),$M209&gt;(ROW(PLE.lastrow)-ROW(PLE.firstrow))),0,
           IF(OFFSET(PLE!$G$15,$M209-$A$15,DH$13)="",10^12,OFFSET(PLE!$G$15,$M209-$A$15,DH$13)))</f>
        <v>1000000000000</v>
      </c>
      <c r="DI209" s="172" cm="1">
        <f t="array" aca="1" ref="DI209" ca="1">IF(OR($D209&lt;&gt;"Serviço",AND(AUTOEVENTO="Manual",$M209=$A$15),$M209&gt;(ROW(PLE.lastrow)-ROW(PLE.firstrow))),0,
           IF(OFFSET(PLE!$G$15,$M209-$A$15,DI$13)="",10^12,OFFSET(PLE!$G$15,$M209-$A$15,DI$13)))</f>
        <v>1000000000000</v>
      </c>
      <c r="DJ209" s="172" cm="1">
        <f t="array" aca="1" ref="DJ209" ca="1">IF(OR($D209&lt;&gt;"Serviço",AND(AUTOEVENTO="Manual",$M209=$A$15),$M209&gt;(ROW(PLE.lastrow)-ROW(PLE.firstrow))),0,
           IF(OFFSET(PLE!$G$15,$M209-$A$15,DJ$13)="",10^12,OFFSET(PLE!$G$15,$M209-$A$15,DJ$13)))</f>
        <v>1000000000000</v>
      </c>
      <c r="DK209" s="172" cm="1">
        <f t="array" aca="1" ref="DK209" ca="1">IF(OR($D209&lt;&gt;"Serviço",AND(AUTOEVENTO="Manual",$M209=$A$15),$M209&gt;(ROW(PLE.lastrow)-ROW(PLE.firstrow))),0,
           IF(OFFSET(PLE!$G$15,$M209-$A$15,DK$13)="",10^12,OFFSET(PLE!$G$15,$M209-$A$15,DK$13)))</f>
        <v>1000000000000</v>
      </c>
      <c r="DL209" s="172" cm="1">
        <f t="array" aca="1" ref="DL209" ca="1">IF(OR($D209&lt;&gt;"Serviço",AND(AUTOEVENTO="Manual",$M209=$A$15),$M209&gt;(ROW(PLE.lastrow)-ROW(PLE.firstrow))),0,
           IF(OFFSET(PLE!$G$15,$M209-$A$15,DL$13)="",10^12,OFFSET(PLE!$G$15,$M209-$A$15,DL$13)))</f>
        <v>1000000000000</v>
      </c>
      <c r="DM209" s="172" cm="1">
        <f t="array" aca="1" ref="DM209" ca="1">IF(OR($D209&lt;&gt;"Serviço",AND(AUTOEVENTO="Manual",$M209=$A$15),$M209&gt;(ROW(PLE.lastrow)-ROW(PLE.firstrow))),0,
           IF(OFFSET(PLE!$G$15,$M209-$A$15,DM$13)="",10^12,OFFSET(PLE!$G$15,$M209-$A$15,DM$13)))</f>
        <v>1000000000000</v>
      </c>
      <c r="DN209" s="172" cm="1">
        <f t="array" aca="1" ref="DN209" ca="1">IF(OR($D209&lt;&gt;"Serviço",AND(AUTOEVENTO="Manual",$M209=$A$15),$M209&gt;(ROW(PLE.lastrow)-ROW(PLE.firstrow))),0,
           IF(OFFSET(PLE!$G$15,$M209-$A$15,DN$13)="",10^12,OFFSET(PLE!$G$15,$M209-$A$15,DN$13)))</f>
        <v>1000000000000</v>
      </c>
      <c r="DO209" s="172" cm="1">
        <f t="array" aca="1" ref="DO209" ca="1">IF(OR($D209&lt;&gt;"Serviço",AND(AUTOEVENTO="Manual",$M209=$A$15),$M209&gt;(ROW(PLE.lastrow)-ROW(PLE.firstrow))),0,
           IF(OFFSET(PLE!$G$15,$M209-$A$15,DO$13)="",10^12,OFFSET(PLE!$G$15,$M209-$A$15,DO$13)))</f>
        <v>1000000000000</v>
      </c>
      <c r="DP209" s="172" cm="1">
        <f t="array" aca="1" ref="DP209" ca="1">IF(OR($D209&lt;&gt;"Serviço",AND(AUTOEVENTO="Manual",$M209=$A$15),$M209&gt;(ROW(PLE.lastrow)-ROW(PLE.firstrow))),0,
           IF(OFFSET(PLE!$G$15,$M209-$A$15,DP$13)="",10^12,OFFSET(PLE!$G$15,$M209-$A$15,DP$13)))</f>
        <v>1000000000000</v>
      </c>
      <c r="DQ209" s="172" cm="1">
        <f t="array" aca="1" ref="DQ209" ca="1">IF(OR($D209&lt;&gt;"Serviço",AND(AUTOEVENTO="Manual",$M209=$A$15),$M209&gt;(ROW(PLE.lastrow)-ROW(PLE.firstrow))),0,
           IF(OFFSET(PLE!$G$15,$M209-$A$15,DQ$13)="",10^12,OFFSET(PLE!$G$15,$M209-$A$15,DQ$13)))</f>
        <v>1000000000000</v>
      </c>
      <c r="DR209" s="172" cm="1">
        <f t="array" aca="1" ref="DR209" ca="1">IF(OR($D209&lt;&gt;"Serviço",AND(AUTOEVENTO="Manual",$M209=$A$15),$M209&gt;(ROW(PLE.lastrow)-ROW(PLE.firstrow))),0,
           IF(OFFSET(PLE!$G$15,$M209-$A$15,DR$13)="",10^12,OFFSET(PLE!$G$15,$M209-$A$15,DR$13)))</f>
        <v>1000000000000</v>
      </c>
      <c r="DS209" s="172" cm="1">
        <f t="array" aca="1" ref="DS209" ca="1">IF(OR($D209&lt;&gt;"Serviço",AND(AUTOEVENTO="Manual",$M209=$A$15),$M209&gt;(ROW(PLE.lastrow)-ROW(PLE.firstrow))),0,
           IF(OFFSET(PLE!$G$15,$M209-$A$15,DS$13)="",10^12,OFFSET(PLE!$G$15,$M209-$A$15,DS$13)))</f>
        <v>1000000000000</v>
      </c>
    </row>
    <row r="210" spans="1:123" ht="38.25" x14ac:dyDescent="0.2">
      <c r="A210" s="7">
        <f t="shared" ca="1" si="18"/>
        <v>9</v>
      </c>
      <c r="B210" s="7" t="str">
        <f ca="1">OFFSET(ORÇAMENTO!C$15,$L210,0)</f>
        <v>S</v>
      </c>
      <c r="C210" s="7" t="str">
        <f ca="1">OFFSET(ORÇAMENTO!L$15,$L210,0)</f>
        <v/>
      </c>
      <c r="D210" s="116" t="str">
        <f ca="1">OFFSET(ORÇAMENTO!N$15,$L210,0)</f>
        <v>Serviço</v>
      </c>
      <c r="E210" s="117" t="str">
        <f ca="1">OFFSET(ORÇAMENTO!O$15,$L210,0)</f>
        <v>-</v>
      </c>
      <c r="F210" s="163" t="str">
        <f ca="1">OFFSET(ORÇAMENTO!R$15,$L210,0)</f>
        <v>(Código não identificado nas referências)</v>
      </c>
      <c r="G210" s="164" t="str">
        <f ca="1">IF($D210&lt;&gt;"Serviço","",OFFSET(ORÇAMENTO!S$15,$L210,0))</f>
        <v>-</v>
      </c>
      <c r="H210" s="122" cm="1">
        <f t="array" aca="1" ref="H210" ca="1">IF($D210&lt;&gt;"Serviço",0,IF(ACOMPANHAMENTO="BM",ROUND(OFFSET(ORÇAMENTO!AJ$15,$L210,0),15-13*ORÇAMENTO!$AF$7),IF(IFERROR(CÁLCULO.FrentesPreenchidas,0)=0,0,SUM(ROUND(OFFSET($P210,0,1,1,CÁLCULO.FrentesPreenchidas),15-13*ORÇAMENTO!$AF$7)))))</f>
        <v>20</v>
      </c>
      <c r="I210" s="468" t="s">
        <v>1235</v>
      </c>
      <c r="J210" s="651" t="str" cm="1">
        <f t="array" aca="1" ref="J210" ca="1">IF(OR(B210&lt;&gt;"S",CÁLCULO.FrentesPreenchidas=0),"",IF(AND(ACOMPANHAMENTO="PLE",AUTOEVENTO="Manual",OR(H210&gt;0,ORÇAMENTO!AC210="QUANT."),OR(K210="",M210=0,N210="")),"►E",IF(AND(ACOMPANHAMENTO="PLE",ORÇAMENTO!AC210="QUANT."),"►Q",IF(AND(ACOMPANHAMENTO="PLE",H210&lt;&gt;SUMPRODUCT(($Q$1:$AQ$1=1)*ROUND(Q210:AQ210,15))),"►S",IF(AND(COUNTIF($P$11:$AQ$11,"▼")=0,H210&gt;0,I210=""),"◄M","")))))</f>
        <v/>
      </c>
      <c r="K210" s="652" t="s">
        <v>1257</v>
      </c>
      <c r="L210" s="165">
        <f t="shared" ca="1" si="17"/>
        <v>195</v>
      </c>
      <c r="M210" s="166">
        <f ca="1">IF($D210&lt;&gt;"Serviço","",
          IF(AUTOEVENTO="manual",$A210,
                IF(ISERROR(MATCH($A210,$A$15:OFFSET($A210,-1,0),0)),MAX($M$15:OFFSET(M210,-1,0))+1,
                      INDEX($M$15:OFFSET(M210,-1,0),MATCH($A210,$A$15:OFFSET($A210,-1,0),0)))))</f>
        <v>9</v>
      </c>
      <c r="N210" s="167" t="str">
        <f ca="1">IF($D210&lt;&gt;"Serviço","",
         IF(AUTOEVENTO="Manual",
                IF($A210=0,"&lt;-- defina o número do agrupador",
                       OFFSET(EVENTOS!$D$15,$A210-$A$15,0)),
                OFFSET($F$15,$A210,0)))</f>
        <v>INSTALAÇÕES</v>
      </c>
      <c r="O210" s="168"/>
      <c r="Q210" s="168">
        <v>1</v>
      </c>
      <c r="R210" s="169">
        <v>1</v>
      </c>
      <c r="S210" s="169">
        <v>1</v>
      </c>
      <c r="T210" s="169">
        <v>1</v>
      </c>
      <c r="U210" s="169">
        <v>1</v>
      </c>
      <c r="V210" s="169">
        <v>1</v>
      </c>
      <c r="W210" s="169">
        <v>1</v>
      </c>
      <c r="X210" s="169">
        <v>1</v>
      </c>
      <c r="Y210" s="169">
        <v>1</v>
      </c>
      <c r="Z210" s="170">
        <v>1</v>
      </c>
      <c r="AA210" s="169">
        <v>1</v>
      </c>
      <c r="AB210" s="169">
        <v>1</v>
      </c>
      <c r="AC210" s="169">
        <v>1</v>
      </c>
      <c r="AD210" s="169">
        <v>1</v>
      </c>
      <c r="AE210" s="169">
        <v>1</v>
      </c>
      <c r="AF210" s="169">
        <v>1</v>
      </c>
      <c r="AG210" s="169">
        <v>1</v>
      </c>
      <c r="AH210" s="170">
        <v>1</v>
      </c>
      <c r="AI210" s="169">
        <v>1</v>
      </c>
      <c r="AJ210" s="169">
        <v>1</v>
      </c>
      <c r="AK210" s="169"/>
      <c r="AL210" s="169"/>
      <c r="AM210" s="169"/>
      <c r="AN210" s="169"/>
      <c r="AO210" s="169"/>
      <c r="AP210" s="170"/>
      <c r="AR210" s="453">
        <f ca="1">IF(AND($D210="Serviço",AR$12&lt;&gt;0,$H210&gt;0,OR(AUTOEVENTO&lt;&gt;"manual",$M210&lt;&gt;$A$15)),
        IF(Import.TipoArredondamento&lt;&gt;"TransfereGOV",
              ROUND(OFFSET($P210,0,AR$13),15-13*ORÇAMENTO!$AF$7)/$H210*OFFSET(ORÇAMENTO!$X$15,ROW(AR210)-ROW(AR$15),0),
              ROUND(ROUND(OFFSET($P210,0,AR$13),15-13*ORÇAMENTO!$AF$7)*OFFSET(ORÇAMENTO!$W$15,ROW(AR210)-ROW(AR$15),0),15-13*ORÇAMENTO!$AF$11)),
         0)</f>
        <v>0</v>
      </c>
      <c r="AS210" s="453">
        <f ca="1">IF(AND($D210="Serviço",AS$12&lt;&gt;0,$H210&gt;0,OR(AUTOEVENTO&lt;&gt;"manual",$M210&lt;&gt;$A$15)),
        IF(Import.TipoArredondamento&lt;&gt;"TransfereGOV",
              ROUND(OFFSET($P210,0,AS$13),15-13*ORÇAMENTO!$AF$7)/$H210*OFFSET(ORÇAMENTO!$X$15,ROW(AS210)-ROW(AS$15),0),
              ROUND(ROUND(OFFSET($P210,0,AS$13),15-13*ORÇAMENTO!$AF$7)*OFFSET(ORÇAMENTO!$W$15,ROW(AS210)-ROW(AS$15),0),15-13*ORÇAMENTO!$AF$11)),
         0)</f>
        <v>0</v>
      </c>
      <c r="AT210" s="453">
        <f ca="1">IF(AND($D210="Serviço",AT$12&lt;&gt;0,$H210&gt;0,OR(AUTOEVENTO&lt;&gt;"manual",$M210&lt;&gt;$A$15)),
        IF(Import.TipoArredondamento&lt;&gt;"TransfereGOV",
              ROUND(OFFSET($P210,0,AT$13),15-13*ORÇAMENTO!$AF$7)/$H210*OFFSET(ORÇAMENTO!$X$15,ROW(AT210)-ROW(AT$15),0),
              ROUND(ROUND(OFFSET($P210,0,AT$13),15-13*ORÇAMENTO!$AF$7)*OFFSET(ORÇAMENTO!$W$15,ROW(AT210)-ROW(AT$15),0),15-13*ORÇAMENTO!$AF$11)),
         0)</f>
        <v>0</v>
      </c>
      <c r="AU210" s="453">
        <f ca="1">IF(AND($D210="Serviço",AU$12&lt;&gt;0,$H210&gt;0,OR(AUTOEVENTO&lt;&gt;"manual",$M210&lt;&gt;$A$15)),
        IF(Import.TipoArredondamento&lt;&gt;"TransfereGOV",
              ROUND(OFFSET($P210,0,AU$13),15-13*ORÇAMENTO!$AF$7)/$H210*OFFSET(ORÇAMENTO!$X$15,ROW(AU210)-ROW(AU$15),0),
              ROUND(ROUND(OFFSET($P210,0,AU$13),15-13*ORÇAMENTO!$AF$7)*OFFSET(ORÇAMENTO!$W$15,ROW(AU210)-ROW(AU$15),0),15-13*ORÇAMENTO!$AF$11)),
         0)</f>
        <v>0</v>
      </c>
      <c r="AV210" s="453">
        <f ca="1">IF(AND($D210="Serviço",AV$12&lt;&gt;0,$H210&gt;0,OR(AUTOEVENTO&lt;&gt;"manual",$M210&lt;&gt;$A$15)),
        IF(Import.TipoArredondamento&lt;&gt;"TransfereGOV",
              ROUND(OFFSET($P210,0,AV$13),15-13*ORÇAMENTO!$AF$7)/$H210*OFFSET(ORÇAMENTO!$X$15,ROW(AV210)-ROW(AV$15),0),
              ROUND(ROUND(OFFSET($P210,0,AV$13),15-13*ORÇAMENTO!$AF$7)*OFFSET(ORÇAMENTO!$W$15,ROW(AV210)-ROW(AV$15),0),15-13*ORÇAMENTO!$AF$11)),
         0)</f>
        <v>0</v>
      </c>
      <c r="AW210" s="453">
        <f ca="1">IF(AND($D210="Serviço",AW$12&lt;&gt;0,$H210&gt;0,OR(AUTOEVENTO&lt;&gt;"manual",$M210&lt;&gt;$A$15)),
        IF(Import.TipoArredondamento&lt;&gt;"TransfereGOV",
              ROUND(OFFSET($P210,0,AW$13),15-13*ORÇAMENTO!$AF$7)/$H210*OFFSET(ORÇAMENTO!$X$15,ROW(AW210)-ROW(AW$15),0),
              ROUND(ROUND(OFFSET($P210,0,AW$13),15-13*ORÇAMENTO!$AF$7)*OFFSET(ORÇAMENTO!$W$15,ROW(AW210)-ROW(AW$15),0),15-13*ORÇAMENTO!$AF$11)),
         0)</f>
        <v>0</v>
      </c>
      <c r="AX210" s="453">
        <f ca="1">IF(AND($D210="Serviço",AX$12&lt;&gt;0,$H210&gt;0,OR(AUTOEVENTO&lt;&gt;"manual",$M210&lt;&gt;$A$15)),
        IF(Import.TipoArredondamento&lt;&gt;"TransfereGOV",
              ROUND(OFFSET($P210,0,AX$13),15-13*ORÇAMENTO!$AF$7)/$H210*OFFSET(ORÇAMENTO!$X$15,ROW(AX210)-ROW(AX$15),0),
              ROUND(ROUND(OFFSET($P210,0,AX$13),15-13*ORÇAMENTO!$AF$7)*OFFSET(ORÇAMENTO!$W$15,ROW(AX210)-ROW(AX$15),0),15-13*ORÇAMENTO!$AF$11)),
         0)</f>
        <v>0</v>
      </c>
      <c r="AY210" s="453">
        <f ca="1">IF(AND($D210="Serviço",AY$12&lt;&gt;0,$H210&gt;0,OR(AUTOEVENTO&lt;&gt;"manual",$M210&lt;&gt;$A$15)),
        IF(Import.TipoArredondamento&lt;&gt;"TransfereGOV",
              ROUND(OFFSET($P210,0,AY$13),15-13*ORÇAMENTO!$AF$7)/$H210*OFFSET(ORÇAMENTO!$X$15,ROW(AY210)-ROW(AY$15),0),
              ROUND(ROUND(OFFSET($P210,0,AY$13),15-13*ORÇAMENTO!$AF$7)*OFFSET(ORÇAMENTO!$W$15,ROW(AY210)-ROW(AY$15),0),15-13*ORÇAMENTO!$AF$11)),
         0)</f>
        <v>0</v>
      </c>
      <c r="AZ210" s="453">
        <f ca="1">IF(AND($D210="Serviço",AZ$12&lt;&gt;0,$H210&gt;0,OR(AUTOEVENTO&lt;&gt;"manual",$M210&lt;&gt;$A$15)),
        IF(Import.TipoArredondamento&lt;&gt;"TransfereGOV",
              ROUND(OFFSET($P210,0,AZ$13),15-13*ORÇAMENTO!$AF$7)/$H210*OFFSET(ORÇAMENTO!$X$15,ROW(AZ210)-ROW(AZ$15),0),
              ROUND(ROUND(OFFSET($P210,0,AZ$13),15-13*ORÇAMENTO!$AF$7)*OFFSET(ORÇAMENTO!$W$15,ROW(AZ210)-ROW(AZ$15),0),15-13*ORÇAMENTO!$AF$11)),
         0)</f>
        <v>0</v>
      </c>
      <c r="BA210" s="453">
        <f ca="1">IF(AND($D210="Serviço",BA$12&lt;&gt;0,$H210&gt;0,OR(AUTOEVENTO&lt;&gt;"manual",$M210&lt;&gt;$A$15)),
        IF(Import.TipoArredondamento&lt;&gt;"TransfereGOV",
              ROUND(OFFSET($P210,0,BA$13),15-13*ORÇAMENTO!$AF$7)/$H210*OFFSET(ORÇAMENTO!$X$15,ROW(BA210)-ROW(BA$15),0),
              ROUND(ROUND(OFFSET($P210,0,BA$13),15-13*ORÇAMENTO!$AF$7)*OFFSET(ORÇAMENTO!$W$15,ROW(BA210)-ROW(BA$15),0),15-13*ORÇAMENTO!$AF$11)),
         0)</f>
        <v>0</v>
      </c>
      <c r="BB210" s="453">
        <f ca="1">IF(AND($D210="Serviço",BB$12&lt;&gt;0,$H210&gt;0,OR(AUTOEVENTO&lt;&gt;"manual",$M210&lt;&gt;$A$15)),
        IF(Import.TipoArredondamento&lt;&gt;"TransfereGOV",
              ROUND(OFFSET($P210,0,BB$13),15-13*ORÇAMENTO!$AF$7)/$H210*OFFSET(ORÇAMENTO!$X$15,ROW(BB210)-ROW(BB$15),0),
              ROUND(ROUND(OFFSET($P210,0,BB$13),15-13*ORÇAMENTO!$AF$7)*OFFSET(ORÇAMENTO!$W$15,ROW(BB210)-ROW(BB$15),0),15-13*ORÇAMENTO!$AF$11)),
         0)</f>
        <v>0</v>
      </c>
      <c r="BC210" s="453">
        <f ca="1">IF(AND($D210="Serviço",BC$12&lt;&gt;0,$H210&gt;0,OR(AUTOEVENTO&lt;&gt;"manual",$M210&lt;&gt;$A$15)),
        IF(Import.TipoArredondamento&lt;&gt;"TransfereGOV",
              ROUND(OFFSET($P210,0,BC$13),15-13*ORÇAMENTO!$AF$7)/$H210*OFFSET(ORÇAMENTO!$X$15,ROW(BC210)-ROW(BC$15),0),
              ROUND(ROUND(OFFSET($P210,0,BC$13),15-13*ORÇAMENTO!$AF$7)*OFFSET(ORÇAMENTO!$W$15,ROW(BC210)-ROW(BC$15),0),15-13*ORÇAMENTO!$AF$11)),
         0)</f>
        <v>0</v>
      </c>
      <c r="BD210" s="453">
        <f ca="1">IF(AND($D210="Serviço",BD$12&lt;&gt;0,$H210&gt;0,OR(AUTOEVENTO&lt;&gt;"manual",$M210&lt;&gt;$A$15)),
        IF(Import.TipoArredondamento&lt;&gt;"TransfereGOV",
              ROUND(OFFSET($P210,0,BD$13),15-13*ORÇAMENTO!$AF$7)/$H210*OFFSET(ORÇAMENTO!$X$15,ROW(BD210)-ROW(BD$15),0),
              ROUND(ROUND(OFFSET($P210,0,BD$13),15-13*ORÇAMENTO!$AF$7)*OFFSET(ORÇAMENTO!$W$15,ROW(BD210)-ROW(BD$15),0),15-13*ORÇAMENTO!$AF$11)),
         0)</f>
        <v>0</v>
      </c>
      <c r="BE210" s="453">
        <f ca="1">IF(AND($D210="Serviço",BE$12&lt;&gt;0,$H210&gt;0,OR(AUTOEVENTO&lt;&gt;"manual",$M210&lt;&gt;$A$15)),
        IF(Import.TipoArredondamento&lt;&gt;"TransfereGOV",
              ROUND(OFFSET($P210,0,BE$13),15-13*ORÇAMENTO!$AF$7)/$H210*OFFSET(ORÇAMENTO!$X$15,ROW(BE210)-ROW(BE$15),0),
              ROUND(ROUND(OFFSET($P210,0,BE$13),15-13*ORÇAMENTO!$AF$7)*OFFSET(ORÇAMENTO!$W$15,ROW(BE210)-ROW(BE$15),0),15-13*ORÇAMENTO!$AF$11)),
         0)</f>
        <v>0</v>
      </c>
      <c r="BF210" s="453">
        <f ca="1">IF(AND($D210="Serviço",BF$12&lt;&gt;0,$H210&gt;0,OR(AUTOEVENTO&lt;&gt;"manual",$M210&lt;&gt;$A$15)),
        IF(Import.TipoArredondamento&lt;&gt;"TransfereGOV",
              ROUND(OFFSET($P210,0,BF$13),15-13*ORÇAMENTO!$AF$7)/$H210*OFFSET(ORÇAMENTO!$X$15,ROW(BF210)-ROW(BF$15),0),
              ROUND(ROUND(OFFSET($P210,0,BF$13),15-13*ORÇAMENTO!$AF$7)*OFFSET(ORÇAMENTO!$W$15,ROW(BF210)-ROW(BF$15),0),15-13*ORÇAMENTO!$AF$11)),
         0)</f>
        <v>0</v>
      </c>
      <c r="BG210" s="453">
        <f ca="1">IF(AND($D210="Serviço",BG$12&lt;&gt;0,$H210&gt;0,OR(AUTOEVENTO&lt;&gt;"manual",$M210&lt;&gt;$A$15)),
        IF(Import.TipoArredondamento&lt;&gt;"TransfereGOV",
              ROUND(OFFSET($P210,0,BG$13),15-13*ORÇAMENTO!$AF$7)/$H210*OFFSET(ORÇAMENTO!$X$15,ROW(BG210)-ROW(BG$15),0),
              ROUND(ROUND(OFFSET($P210,0,BG$13),15-13*ORÇAMENTO!$AF$7)*OFFSET(ORÇAMENTO!$W$15,ROW(BG210)-ROW(BG$15),0),15-13*ORÇAMENTO!$AF$11)),
         0)</f>
        <v>0</v>
      </c>
      <c r="BH210" s="453">
        <f ca="1">IF(AND($D210="Serviço",BH$12&lt;&gt;0,$H210&gt;0,OR(AUTOEVENTO&lt;&gt;"manual",$M210&lt;&gt;$A$15)),
        IF(Import.TipoArredondamento&lt;&gt;"TransfereGOV",
              ROUND(OFFSET($P210,0,BH$13),15-13*ORÇAMENTO!$AF$7)/$H210*OFFSET(ORÇAMENTO!$X$15,ROW(BH210)-ROW(BH$15),0),
              ROUND(ROUND(OFFSET($P210,0,BH$13),15-13*ORÇAMENTO!$AF$7)*OFFSET(ORÇAMENTO!$W$15,ROW(BH210)-ROW(BH$15),0),15-13*ORÇAMENTO!$AF$11)),
         0)</f>
        <v>0</v>
      </c>
      <c r="BI210" s="453">
        <f ca="1">IF(AND($D210="Serviço",BI$12&lt;&gt;0,$H210&gt;0,OR(AUTOEVENTO&lt;&gt;"manual",$M210&lt;&gt;$A$15)),
        IF(Import.TipoArredondamento&lt;&gt;"TransfereGOV",
              ROUND(OFFSET($P210,0,BI$13),15-13*ORÇAMENTO!$AF$7)/$H210*OFFSET(ORÇAMENTO!$X$15,ROW(BI210)-ROW(BI$15),0),
              ROUND(ROUND(OFFSET($P210,0,BI$13),15-13*ORÇAMENTO!$AF$7)*OFFSET(ORÇAMENTO!$W$15,ROW(BI210)-ROW(BI$15),0),15-13*ORÇAMENTO!$AF$11)),
         0)</f>
        <v>0</v>
      </c>
      <c r="BJ210" s="453">
        <f ca="1">IF(AND($D210="Serviço",BJ$12&lt;&gt;0,$H210&gt;0,OR(AUTOEVENTO&lt;&gt;"manual",$M210&lt;&gt;$A$15)),
        IF(Import.TipoArredondamento&lt;&gt;"TransfereGOV",
              ROUND(OFFSET($P210,0,BJ$13),15-13*ORÇAMENTO!$AF$7)/$H210*OFFSET(ORÇAMENTO!$X$15,ROW(BJ210)-ROW(BJ$15),0),
              ROUND(ROUND(OFFSET($P210,0,BJ$13),15-13*ORÇAMENTO!$AF$7)*OFFSET(ORÇAMENTO!$W$15,ROW(BJ210)-ROW(BJ$15),0),15-13*ORÇAMENTO!$AF$11)),
         0)</f>
        <v>0</v>
      </c>
      <c r="BK210" s="453">
        <f ca="1">IF(AND($D210="Serviço",BK$12&lt;&gt;0,$H210&gt;0,OR(AUTOEVENTO&lt;&gt;"manual",$M210&lt;&gt;$A$15)),
        IF(Import.TipoArredondamento&lt;&gt;"TransfereGOV",
              ROUND(OFFSET($P210,0,BK$13),15-13*ORÇAMENTO!$AF$7)/$H210*OFFSET(ORÇAMENTO!$X$15,ROW(BK210)-ROW(BK$15),0),
              ROUND(ROUND(OFFSET($P210,0,BK$13),15-13*ORÇAMENTO!$AF$7)*OFFSET(ORÇAMENTO!$W$15,ROW(BK210)-ROW(BK$15),0),15-13*ORÇAMENTO!$AF$11)),
         0)</f>
        <v>0</v>
      </c>
      <c r="BL210" s="453">
        <f ca="1">IF(AND($D210="Serviço",BL$12&lt;&gt;0,$H210&gt;0,OR(AUTOEVENTO&lt;&gt;"manual",$M210&lt;&gt;$A$15)),
        IF(Import.TipoArredondamento&lt;&gt;"TransfereGOV",
              ROUND(OFFSET($P210,0,BL$13),15-13*ORÇAMENTO!$AF$7)/$H210*OFFSET(ORÇAMENTO!$X$15,ROW(BL210)-ROW(BL$15),0),
              ROUND(ROUND(OFFSET($P210,0,BL$13),15-13*ORÇAMENTO!$AF$7)*OFFSET(ORÇAMENTO!$W$15,ROW(BL210)-ROW(BL$15),0),15-13*ORÇAMENTO!$AF$11)),
         0)</f>
        <v>0</v>
      </c>
      <c r="BM210" s="453">
        <f ca="1">IF(AND($D210="Serviço",BM$12&lt;&gt;0,$H210&gt;0,OR(AUTOEVENTO&lt;&gt;"manual",$M210&lt;&gt;$A$15)),
        IF(Import.TipoArredondamento&lt;&gt;"TransfereGOV",
              ROUND(OFFSET($P210,0,BM$13),15-13*ORÇAMENTO!$AF$7)/$H210*OFFSET(ORÇAMENTO!$X$15,ROW(BM210)-ROW(BM$15),0),
              ROUND(ROUND(OFFSET($P210,0,BM$13),15-13*ORÇAMENTO!$AF$7)*OFFSET(ORÇAMENTO!$W$15,ROW(BM210)-ROW(BM$15),0),15-13*ORÇAMENTO!$AF$11)),
         0)</f>
        <v>0</v>
      </c>
      <c r="BN210" s="453">
        <f ca="1">IF(AND($D210="Serviço",BN$12&lt;&gt;0,$H210&gt;0,OR(AUTOEVENTO&lt;&gt;"manual",$M210&lt;&gt;$A$15)),
        IF(Import.TipoArredondamento&lt;&gt;"TransfereGOV",
              ROUND(OFFSET($P210,0,BN$13),15-13*ORÇAMENTO!$AF$7)/$H210*OFFSET(ORÇAMENTO!$X$15,ROW(BN210)-ROW(BN$15),0),
              ROUND(ROUND(OFFSET($P210,0,BN$13),15-13*ORÇAMENTO!$AF$7)*OFFSET(ORÇAMENTO!$W$15,ROW(BN210)-ROW(BN$15),0),15-13*ORÇAMENTO!$AF$11)),
         0)</f>
        <v>0</v>
      </c>
      <c r="BO210" s="453">
        <f ca="1">IF(AND($D210="Serviço",BO$12&lt;&gt;0,$H210&gt;0,OR(AUTOEVENTO&lt;&gt;"manual",$M210&lt;&gt;$A$15)),
        IF(Import.TipoArredondamento&lt;&gt;"TransfereGOV",
              ROUND(OFFSET($P210,0,BO$13),15-13*ORÇAMENTO!$AF$7)/$H210*OFFSET(ORÇAMENTO!$X$15,ROW(BO210)-ROW(BO$15),0),
              ROUND(ROUND(OFFSET($P210,0,BO$13),15-13*ORÇAMENTO!$AF$7)*OFFSET(ORÇAMENTO!$W$15,ROW(BO210)-ROW(BO$15),0),15-13*ORÇAMENTO!$AF$11)),
         0)</f>
        <v>0</v>
      </c>
      <c r="BP210" s="453">
        <f ca="1">IF(AND($D210="Serviço",BP$12&lt;&gt;0,$H210&gt;0,OR(AUTOEVENTO&lt;&gt;"manual",$M210&lt;&gt;$A$15)),
        IF(Import.TipoArredondamento&lt;&gt;"TransfereGOV",
              ROUND(OFFSET($P210,0,BP$13),15-13*ORÇAMENTO!$AF$7)/$H210*OFFSET(ORÇAMENTO!$X$15,ROW(BP210)-ROW(BP$15),0),
              ROUND(ROUND(OFFSET($P210,0,BP$13),15-13*ORÇAMENTO!$AF$7)*OFFSET(ORÇAMENTO!$W$15,ROW(BP210)-ROW(BP$15),0),15-13*ORÇAMENTO!$AF$11)),
         0)</f>
        <v>0</v>
      </c>
      <c r="BQ210" s="453">
        <f ca="1">IF(AND($D210="Serviço",BQ$12&lt;&gt;0,$H210&gt;0,OR(AUTOEVENTO&lt;&gt;"manual",$M210&lt;&gt;$A$15)),
        IF(Import.TipoArredondamento&lt;&gt;"TransfereGOV",
              ROUND(OFFSET($P210,0,BQ$13),15-13*ORÇAMENTO!$AF$7)/$H210*OFFSET(ORÇAMENTO!$X$15,ROW(BQ210)-ROW(BQ$15),0),
              ROUND(ROUND(OFFSET($P210,0,BQ$13),15-13*ORÇAMENTO!$AF$7)*OFFSET(ORÇAMENTO!$W$15,ROW(BQ210)-ROW(BQ$15),0),15-13*ORÇAMENTO!$AF$11)),
         0)</f>
        <v>0</v>
      </c>
      <c r="BS210" s="171">
        <f ca="1">IF(OR($D210&lt;&gt;"Serviço",AND(AUTOEVENTO="Manual",$M210=$A$15)),0,
         IF(OFFSET(CRONOPLE!$F$15,$M210-$A$15,BS$13)=0,10^12,OFFSET(CRONOPLE!$F$15,$M210-$A$15,BS$13)))</f>
        <v>1</v>
      </c>
      <c r="BT210" s="171">
        <f ca="1">IF(OR($D210&lt;&gt;"Serviço",AND(AUTOEVENTO="Manual",$M210=$A$15)),0,
         IF(OFFSET(CRONOPLE!$F$15,$M210-$A$15,BT$13)=0,10^12,OFFSET(CRONOPLE!$F$15,$M210-$A$15,BT$13)))</f>
        <v>2</v>
      </c>
      <c r="BU210" s="171">
        <f ca="1">IF(OR($D210&lt;&gt;"Serviço",AND(AUTOEVENTO="Manual",$M210=$A$15)),0,
         IF(OFFSET(CRONOPLE!$F$15,$M210-$A$15,BU$13)=0,10^12,OFFSET(CRONOPLE!$F$15,$M210-$A$15,BU$13)))</f>
        <v>3</v>
      </c>
      <c r="BV210" s="171">
        <f ca="1">IF(OR($D210&lt;&gt;"Serviço",AND(AUTOEVENTO="Manual",$M210=$A$15)),0,
         IF(OFFSET(CRONOPLE!$F$15,$M210-$A$15,BV$13)=0,10^12,OFFSET(CRONOPLE!$F$15,$M210-$A$15,BV$13)))</f>
        <v>4</v>
      </c>
      <c r="BW210" s="171">
        <f ca="1">IF(OR($D210&lt;&gt;"Serviço",AND(AUTOEVENTO="Manual",$M210=$A$15)),0,
         IF(OFFSET(CRONOPLE!$F$15,$M210-$A$15,BW$13)=0,10^12,OFFSET(CRONOPLE!$F$15,$M210-$A$15,BW$13)))</f>
        <v>5</v>
      </c>
      <c r="BX210" s="171">
        <f ca="1">IF(OR($D210&lt;&gt;"Serviço",AND(AUTOEVENTO="Manual",$M210=$A$15)),0,
         IF(OFFSET(CRONOPLE!$F$15,$M210-$A$15,BX$13)=0,10^12,OFFSET(CRONOPLE!$F$15,$M210-$A$15,BX$13)))</f>
        <v>6</v>
      </c>
      <c r="BY210" s="171">
        <f ca="1">IF(OR($D210&lt;&gt;"Serviço",AND(AUTOEVENTO="Manual",$M210=$A$15)),0,
         IF(OFFSET(CRONOPLE!$F$15,$M210-$A$15,BY$13)=0,10^12,OFFSET(CRONOPLE!$F$15,$M210-$A$15,BY$13)))</f>
        <v>7</v>
      </c>
      <c r="BZ210" s="171">
        <f ca="1">IF(OR($D210&lt;&gt;"Serviço",AND(AUTOEVENTO="Manual",$M210=$A$15)),0,
         IF(OFFSET(CRONOPLE!$F$15,$M210-$A$15,BZ$13)=0,10^12,OFFSET(CRONOPLE!$F$15,$M210-$A$15,BZ$13)))</f>
        <v>8</v>
      </c>
      <c r="CA210" s="171">
        <f ca="1">IF(OR($D210&lt;&gt;"Serviço",AND(AUTOEVENTO="Manual",$M210=$A$15)),0,
         IF(OFFSET(CRONOPLE!$F$15,$M210-$A$15,CA$13)=0,10^12,OFFSET(CRONOPLE!$F$15,$M210-$A$15,CA$13)))</f>
        <v>9</v>
      </c>
      <c r="CB210" s="171">
        <f ca="1">IF(OR($D210&lt;&gt;"Serviço",AND(AUTOEVENTO="Manual",$M210=$A$15)),0,
         IF(OFFSET(CRONOPLE!$F$15,$M210-$A$15,CB$13)=0,10^12,OFFSET(CRONOPLE!$F$15,$M210-$A$15,CB$13)))</f>
        <v>10</v>
      </c>
      <c r="CC210" s="171">
        <f ca="1">IF(OR($D210&lt;&gt;"Serviço",AND(AUTOEVENTO="Manual",$M210=$A$15)),0,
         IF(OFFSET(CRONOPLE!$F$15,$M210-$A$15,CC$13)=0,10^12,OFFSET(CRONOPLE!$F$15,$M210-$A$15,CC$13)))</f>
        <v>11</v>
      </c>
      <c r="CD210" s="171">
        <f ca="1">IF(OR($D210&lt;&gt;"Serviço",AND(AUTOEVENTO="Manual",$M210=$A$15)),0,
         IF(OFFSET(CRONOPLE!$F$15,$M210-$A$15,CD$13)=0,10^12,OFFSET(CRONOPLE!$F$15,$M210-$A$15,CD$13)))</f>
        <v>12</v>
      </c>
      <c r="CE210" s="171">
        <f ca="1">IF(OR($D210&lt;&gt;"Serviço",AND(AUTOEVENTO="Manual",$M210=$A$15)),0,
         IF(OFFSET(CRONOPLE!$F$15,$M210-$A$15,CE$13)=0,10^12,OFFSET(CRONOPLE!$F$15,$M210-$A$15,CE$13)))</f>
        <v>13</v>
      </c>
      <c r="CF210" s="171">
        <f ca="1">IF(OR($D210&lt;&gt;"Serviço",AND(AUTOEVENTO="Manual",$M210=$A$15)),0,
         IF(OFFSET(CRONOPLE!$F$15,$M210-$A$15,CF$13)=0,10^12,OFFSET(CRONOPLE!$F$15,$M210-$A$15,CF$13)))</f>
        <v>14</v>
      </c>
      <c r="CG210" s="171">
        <f ca="1">IF(OR($D210&lt;&gt;"Serviço",AND(AUTOEVENTO="Manual",$M210=$A$15)),0,
         IF(OFFSET(CRONOPLE!$F$15,$M210-$A$15,CG$13)=0,10^12,OFFSET(CRONOPLE!$F$15,$M210-$A$15,CG$13)))</f>
        <v>15</v>
      </c>
      <c r="CH210" s="171">
        <f ca="1">IF(OR($D210&lt;&gt;"Serviço",AND(AUTOEVENTO="Manual",$M210=$A$15)),0,
         IF(OFFSET(CRONOPLE!$F$15,$M210-$A$15,CH$13)=0,10^12,OFFSET(CRONOPLE!$F$15,$M210-$A$15,CH$13)))</f>
        <v>16</v>
      </c>
      <c r="CI210" s="171">
        <f ca="1">IF(OR($D210&lt;&gt;"Serviço",AND(AUTOEVENTO="Manual",$M210=$A$15)),0,
         IF(OFFSET(CRONOPLE!$F$15,$M210-$A$15,CI$13)=0,10^12,OFFSET(CRONOPLE!$F$15,$M210-$A$15,CI$13)))</f>
        <v>17</v>
      </c>
      <c r="CJ210" s="171">
        <f ca="1">IF(OR($D210&lt;&gt;"Serviço",AND(AUTOEVENTO="Manual",$M210=$A$15)),0,
         IF(OFFSET(CRONOPLE!$F$15,$M210-$A$15,CJ$13)=0,10^12,OFFSET(CRONOPLE!$F$15,$M210-$A$15,CJ$13)))</f>
        <v>18</v>
      </c>
      <c r="CK210" s="171">
        <f ca="1">IF(OR($D210&lt;&gt;"Serviço",AND(AUTOEVENTO="Manual",$M210=$A$15)),0,
         IF(OFFSET(CRONOPLE!$F$15,$M210-$A$15,CK$13)=0,10^12,OFFSET(CRONOPLE!$F$15,$M210-$A$15,CK$13)))</f>
        <v>19</v>
      </c>
      <c r="CL210" s="171">
        <f ca="1">IF(OR($D210&lt;&gt;"Serviço",AND(AUTOEVENTO="Manual",$M210=$A$15)),0,
         IF(OFFSET(CRONOPLE!$F$15,$M210-$A$15,CL$13)=0,10^12,OFFSET(CRONOPLE!$F$15,$M210-$A$15,CL$13)))</f>
        <v>20</v>
      </c>
      <c r="CM210" s="171">
        <f ca="1">IF(OR($D210&lt;&gt;"Serviço",AND(AUTOEVENTO="Manual",$M210=$A$15)),0,
         IF(OFFSET(CRONOPLE!$F$15,$M210-$A$15,CM$13)=0,10^12,OFFSET(CRONOPLE!$F$15,$M210-$A$15,CM$13)))</f>
        <v>1000000000000</v>
      </c>
      <c r="CN210" s="171">
        <f ca="1">IF(OR($D210&lt;&gt;"Serviço",AND(AUTOEVENTO="Manual",$M210=$A$15)),0,
         IF(OFFSET(CRONOPLE!$F$15,$M210-$A$15,CN$13)=0,10^12,OFFSET(CRONOPLE!$F$15,$M210-$A$15,CN$13)))</f>
        <v>1000000000000</v>
      </c>
      <c r="CO210" s="171">
        <f ca="1">IF(OR($D210&lt;&gt;"Serviço",AND(AUTOEVENTO="Manual",$M210=$A$15)),0,
         IF(OFFSET(CRONOPLE!$F$15,$M210-$A$15,CO$13)=0,10^12,OFFSET(CRONOPLE!$F$15,$M210-$A$15,CO$13)))</f>
        <v>1000000000000</v>
      </c>
      <c r="CP210" s="171">
        <f ca="1">IF(OR($D210&lt;&gt;"Serviço",AND(AUTOEVENTO="Manual",$M210=$A$15)),0,
         IF(OFFSET(CRONOPLE!$F$15,$M210-$A$15,CP$13)=0,10^12,OFFSET(CRONOPLE!$F$15,$M210-$A$15,CP$13)))</f>
        <v>1000000000000</v>
      </c>
      <c r="CQ210" s="171">
        <f ca="1">IF(OR($D210&lt;&gt;"Serviço",AND(AUTOEVENTO="Manual",$M210=$A$15)),0,
         IF(OFFSET(CRONOPLE!$F$15,$M210-$A$15,CQ$13)=0,10^12,OFFSET(CRONOPLE!$F$15,$M210-$A$15,CQ$13)))</f>
        <v>1000000000000</v>
      </c>
      <c r="CR210" s="171">
        <f ca="1">IF(OR($D210&lt;&gt;"Serviço",AND(AUTOEVENTO="Manual",$M210=$A$15)),0,
         IF(OFFSET(CRONOPLE!$F$15,$M210-$A$15,CR$13)=0,10^12,OFFSET(CRONOPLE!$F$15,$M210-$A$15,CR$13)))</f>
        <v>1000000000000</v>
      </c>
      <c r="CT210" s="172" cm="1">
        <f t="array" aca="1" ref="CT210" ca="1">IF(OR($D210&lt;&gt;"Serviço",AND(AUTOEVENTO="Manual",$M210=$A$15),$M210&gt;(ROW(PLE.lastrow)-ROW(PLE.firstrow))),0,
           IF(OFFSET(PLE!$G$15,$M210-$A$15,CT$13)="",10^12,OFFSET(PLE!$G$15,$M210-$A$15,CT$13)))</f>
        <v>1000000000000</v>
      </c>
      <c r="CU210" s="172" cm="1">
        <f t="array" aca="1" ref="CU210" ca="1">IF(OR($D210&lt;&gt;"Serviço",AND(AUTOEVENTO="Manual",$M210=$A$15),$M210&gt;(ROW(PLE.lastrow)-ROW(PLE.firstrow))),0,
           IF(OFFSET(PLE!$G$15,$M210-$A$15,CU$13)="",10^12,OFFSET(PLE!$G$15,$M210-$A$15,CU$13)))</f>
        <v>1000000000000</v>
      </c>
      <c r="CV210" s="172" cm="1">
        <f t="array" aca="1" ref="CV210" ca="1">IF(OR($D210&lt;&gt;"Serviço",AND(AUTOEVENTO="Manual",$M210=$A$15),$M210&gt;(ROW(PLE.lastrow)-ROW(PLE.firstrow))),0,
           IF(OFFSET(PLE!$G$15,$M210-$A$15,CV$13)="",10^12,OFFSET(PLE!$G$15,$M210-$A$15,CV$13)))</f>
        <v>1000000000000</v>
      </c>
      <c r="CW210" s="172" cm="1">
        <f t="array" aca="1" ref="CW210" ca="1">IF(OR($D210&lt;&gt;"Serviço",AND(AUTOEVENTO="Manual",$M210=$A$15),$M210&gt;(ROW(PLE.lastrow)-ROW(PLE.firstrow))),0,
           IF(OFFSET(PLE!$G$15,$M210-$A$15,CW$13)="",10^12,OFFSET(PLE!$G$15,$M210-$A$15,CW$13)))</f>
        <v>1000000000000</v>
      </c>
      <c r="CX210" s="172" cm="1">
        <f t="array" aca="1" ref="CX210" ca="1">IF(OR($D210&lt;&gt;"Serviço",AND(AUTOEVENTO="Manual",$M210=$A$15),$M210&gt;(ROW(PLE.lastrow)-ROW(PLE.firstrow))),0,
           IF(OFFSET(PLE!$G$15,$M210-$A$15,CX$13)="",10^12,OFFSET(PLE!$G$15,$M210-$A$15,CX$13)))</f>
        <v>1000000000000</v>
      </c>
      <c r="CY210" s="172" cm="1">
        <f t="array" aca="1" ref="CY210" ca="1">IF(OR($D210&lt;&gt;"Serviço",AND(AUTOEVENTO="Manual",$M210=$A$15),$M210&gt;(ROW(PLE.lastrow)-ROW(PLE.firstrow))),0,
           IF(OFFSET(PLE!$G$15,$M210-$A$15,CY$13)="",10^12,OFFSET(PLE!$G$15,$M210-$A$15,CY$13)))</f>
        <v>1000000000000</v>
      </c>
      <c r="CZ210" s="172" cm="1">
        <f t="array" aca="1" ref="CZ210" ca="1">IF(OR($D210&lt;&gt;"Serviço",AND(AUTOEVENTO="Manual",$M210=$A$15),$M210&gt;(ROW(PLE.lastrow)-ROW(PLE.firstrow))),0,
           IF(OFFSET(PLE!$G$15,$M210-$A$15,CZ$13)="",10^12,OFFSET(PLE!$G$15,$M210-$A$15,CZ$13)))</f>
        <v>1000000000000</v>
      </c>
      <c r="DA210" s="172" cm="1">
        <f t="array" aca="1" ref="DA210" ca="1">IF(OR($D210&lt;&gt;"Serviço",AND(AUTOEVENTO="Manual",$M210=$A$15),$M210&gt;(ROW(PLE.lastrow)-ROW(PLE.firstrow))),0,
           IF(OFFSET(PLE!$G$15,$M210-$A$15,DA$13)="",10^12,OFFSET(PLE!$G$15,$M210-$A$15,DA$13)))</f>
        <v>1000000000000</v>
      </c>
      <c r="DB210" s="172" cm="1">
        <f t="array" aca="1" ref="DB210" ca="1">IF(OR($D210&lt;&gt;"Serviço",AND(AUTOEVENTO="Manual",$M210=$A$15),$M210&gt;(ROW(PLE.lastrow)-ROW(PLE.firstrow))),0,
           IF(OFFSET(PLE!$G$15,$M210-$A$15,DB$13)="",10^12,OFFSET(PLE!$G$15,$M210-$A$15,DB$13)))</f>
        <v>1000000000000</v>
      </c>
      <c r="DC210" s="172" cm="1">
        <f t="array" aca="1" ref="DC210" ca="1">IF(OR($D210&lt;&gt;"Serviço",AND(AUTOEVENTO="Manual",$M210=$A$15),$M210&gt;(ROW(PLE.lastrow)-ROW(PLE.firstrow))),0,
           IF(OFFSET(PLE!$G$15,$M210-$A$15,DC$13)="",10^12,OFFSET(PLE!$G$15,$M210-$A$15,DC$13)))</f>
        <v>1000000000000</v>
      </c>
      <c r="DD210" s="172" cm="1">
        <f t="array" aca="1" ref="DD210" ca="1">IF(OR($D210&lt;&gt;"Serviço",AND(AUTOEVENTO="Manual",$M210=$A$15),$M210&gt;(ROW(PLE.lastrow)-ROW(PLE.firstrow))),0,
           IF(OFFSET(PLE!$G$15,$M210-$A$15,DD$13)="",10^12,OFFSET(PLE!$G$15,$M210-$A$15,DD$13)))</f>
        <v>1000000000000</v>
      </c>
      <c r="DE210" s="172" cm="1">
        <f t="array" aca="1" ref="DE210" ca="1">IF(OR($D210&lt;&gt;"Serviço",AND(AUTOEVENTO="Manual",$M210=$A$15),$M210&gt;(ROW(PLE.lastrow)-ROW(PLE.firstrow))),0,
           IF(OFFSET(PLE!$G$15,$M210-$A$15,DE$13)="",10^12,OFFSET(PLE!$G$15,$M210-$A$15,DE$13)))</f>
        <v>1000000000000</v>
      </c>
      <c r="DF210" s="172" cm="1">
        <f t="array" aca="1" ref="DF210" ca="1">IF(OR($D210&lt;&gt;"Serviço",AND(AUTOEVENTO="Manual",$M210=$A$15),$M210&gt;(ROW(PLE.lastrow)-ROW(PLE.firstrow))),0,
           IF(OFFSET(PLE!$G$15,$M210-$A$15,DF$13)="",10^12,OFFSET(PLE!$G$15,$M210-$A$15,DF$13)))</f>
        <v>1000000000000</v>
      </c>
      <c r="DG210" s="172" cm="1">
        <f t="array" aca="1" ref="DG210" ca="1">IF(OR($D210&lt;&gt;"Serviço",AND(AUTOEVENTO="Manual",$M210=$A$15),$M210&gt;(ROW(PLE.lastrow)-ROW(PLE.firstrow))),0,
           IF(OFFSET(PLE!$G$15,$M210-$A$15,DG$13)="",10^12,OFFSET(PLE!$G$15,$M210-$A$15,DG$13)))</f>
        <v>1000000000000</v>
      </c>
      <c r="DH210" s="172" cm="1">
        <f t="array" aca="1" ref="DH210" ca="1">IF(OR($D210&lt;&gt;"Serviço",AND(AUTOEVENTO="Manual",$M210=$A$15),$M210&gt;(ROW(PLE.lastrow)-ROW(PLE.firstrow))),0,
           IF(OFFSET(PLE!$G$15,$M210-$A$15,DH$13)="",10^12,OFFSET(PLE!$G$15,$M210-$A$15,DH$13)))</f>
        <v>1000000000000</v>
      </c>
      <c r="DI210" s="172" cm="1">
        <f t="array" aca="1" ref="DI210" ca="1">IF(OR($D210&lt;&gt;"Serviço",AND(AUTOEVENTO="Manual",$M210=$A$15),$M210&gt;(ROW(PLE.lastrow)-ROW(PLE.firstrow))),0,
           IF(OFFSET(PLE!$G$15,$M210-$A$15,DI$13)="",10^12,OFFSET(PLE!$G$15,$M210-$A$15,DI$13)))</f>
        <v>1000000000000</v>
      </c>
      <c r="DJ210" s="172" cm="1">
        <f t="array" aca="1" ref="DJ210" ca="1">IF(OR($D210&lt;&gt;"Serviço",AND(AUTOEVENTO="Manual",$M210=$A$15),$M210&gt;(ROW(PLE.lastrow)-ROW(PLE.firstrow))),0,
           IF(OFFSET(PLE!$G$15,$M210-$A$15,DJ$13)="",10^12,OFFSET(PLE!$G$15,$M210-$A$15,DJ$13)))</f>
        <v>1000000000000</v>
      </c>
      <c r="DK210" s="172" cm="1">
        <f t="array" aca="1" ref="DK210" ca="1">IF(OR($D210&lt;&gt;"Serviço",AND(AUTOEVENTO="Manual",$M210=$A$15),$M210&gt;(ROW(PLE.lastrow)-ROW(PLE.firstrow))),0,
           IF(OFFSET(PLE!$G$15,$M210-$A$15,DK$13)="",10^12,OFFSET(PLE!$G$15,$M210-$A$15,DK$13)))</f>
        <v>1000000000000</v>
      </c>
      <c r="DL210" s="172" cm="1">
        <f t="array" aca="1" ref="DL210" ca="1">IF(OR($D210&lt;&gt;"Serviço",AND(AUTOEVENTO="Manual",$M210=$A$15),$M210&gt;(ROW(PLE.lastrow)-ROW(PLE.firstrow))),0,
           IF(OFFSET(PLE!$G$15,$M210-$A$15,DL$13)="",10^12,OFFSET(PLE!$G$15,$M210-$A$15,DL$13)))</f>
        <v>1000000000000</v>
      </c>
      <c r="DM210" s="172" cm="1">
        <f t="array" aca="1" ref="DM210" ca="1">IF(OR($D210&lt;&gt;"Serviço",AND(AUTOEVENTO="Manual",$M210=$A$15),$M210&gt;(ROW(PLE.lastrow)-ROW(PLE.firstrow))),0,
           IF(OFFSET(PLE!$G$15,$M210-$A$15,DM$13)="",10^12,OFFSET(PLE!$G$15,$M210-$A$15,DM$13)))</f>
        <v>1000000000000</v>
      </c>
      <c r="DN210" s="172" cm="1">
        <f t="array" aca="1" ref="DN210" ca="1">IF(OR($D210&lt;&gt;"Serviço",AND(AUTOEVENTO="Manual",$M210=$A$15),$M210&gt;(ROW(PLE.lastrow)-ROW(PLE.firstrow))),0,
           IF(OFFSET(PLE!$G$15,$M210-$A$15,DN$13)="",10^12,OFFSET(PLE!$G$15,$M210-$A$15,DN$13)))</f>
        <v>1000000000000</v>
      </c>
      <c r="DO210" s="172" cm="1">
        <f t="array" aca="1" ref="DO210" ca="1">IF(OR($D210&lt;&gt;"Serviço",AND(AUTOEVENTO="Manual",$M210=$A$15),$M210&gt;(ROW(PLE.lastrow)-ROW(PLE.firstrow))),0,
           IF(OFFSET(PLE!$G$15,$M210-$A$15,DO$13)="",10^12,OFFSET(PLE!$G$15,$M210-$A$15,DO$13)))</f>
        <v>1000000000000</v>
      </c>
      <c r="DP210" s="172" cm="1">
        <f t="array" aca="1" ref="DP210" ca="1">IF(OR($D210&lt;&gt;"Serviço",AND(AUTOEVENTO="Manual",$M210=$A$15),$M210&gt;(ROW(PLE.lastrow)-ROW(PLE.firstrow))),0,
           IF(OFFSET(PLE!$G$15,$M210-$A$15,DP$13)="",10^12,OFFSET(PLE!$G$15,$M210-$A$15,DP$13)))</f>
        <v>1000000000000</v>
      </c>
      <c r="DQ210" s="172" cm="1">
        <f t="array" aca="1" ref="DQ210" ca="1">IF(OR($D210&lt;&gt;"Serviço",AND(AUTOEVENTO="Manual",$M210=$A$15),$M210&gt;(ROW(PLE.lastrow)-ROW(PLE.firstrow))),0,
           IF(OFFSET(PLE!$G$15,$M210-$A$15,DQ$13)="",10^12,OFFSET(PLE!$G$15,$M210-$A$15,DQ$13)))</f>
        <v>1000000000000</v>
      </c>
      <c r="DR210" s="172" cm="1">
        <f t="array" aca="1" ref="DR210" ca="1">IF(OR($D210&lt;&gt;"Serviço",AND(AUTOEVENTO="Manual",$M210=$A$15),$M210&gt;(ROW(PLE.lastrow)-ROW(PLE.firstrow))),0,
           IF(OFFSET(PLE!$G$15,$M210-$A$15,DR$13)="",10^12,OFFSET(PLE!$G$15,$M210-$A$15,DR$13)))</f>
        <v>1000000000000</v>
      </c>
      <c r="DS210" s="172" cm="1">
        <f t="array" aca="1" ref="DS210" ca="1">IF(OR($D210&lt;&gt;"Serviço",AND(AUTOEVENTO="Manual",$M210=$A$15),$M210&gt;(ROW(PLE.lastrow)-ROW(PLE.firstrow))),0,
           IF(OFFSET(PLE!$G$15,$M210-$A$15,DS$13)="",10^12,OFFSET(PLE!$G$15,$M210-$A$15,DS$13)))</f>
        <v>1000000000000</v>
      </c>
    </row>
    <row r="211" spans="1:123" ht="51" x14ac:dyDescent="0.2">
      <c r="A211" s="7">
        <f t="shared" ca="1" si="18"/>
        <v>9</v>
      </c>
      <c r="B211" s="7" t="str">
        <f ca="1">OFFSET(ORÇAMENTO!C$15,$L211,0)</f>
        <v>S</v>
      </c>
      <c r="C211" s="7" t="str">
        <f ca="1">OFFSET(ORÇAMENTO!L$15,$L211,0)</f>
        <v/>
      </c>
      <c r="D211" s="116" t="str">
        <f ca="1">OFFSET(ORÇAMENTO!N$15,$L211,0)</f>
        <v>Serviço</v>
      </c>
      <c r="E211" s="117" t="str">
        <f ca="1">OFFSET(ORÇAMENTO!O$15,$L211,0)</f>
        <v>-</v>
      </c>
      <c r="F211" s="163" t="str">
        <f ca="1">OFFSET(ORÇAMENTO!R$15,$L211,0)</f>
        <v>(Código não identificado nas referências)</v>
      </c>
      <c r="G211" s="164" t="str">
        <f ca="1">IF($D211&lt;&gt;"Serviço","",OFFSET(ORÇAMENTO!S$15,$L211,0))</f>
        <v>-</v>
      </c>
      <c r="H211" s="122" cm="1">
        <f t="array" aca="1" ref="H211" ca="1">IF($D211&lt;&gt;"Serviço",0,IF(ACOMPANHAMENTO="BM",ROUND(OFFSET(ORÇAMENTO!AJ$15,$L211,0),15-13*ORÇAMENTO!$AF$7),IF(IFERROR(CÁLCULO.FrentesPreenchidas,0)=0,0,SUM(ROUND(OFFSET($P211,0,1,1,CÁLCULO.FrentesPreenchidas),15-13*ORÇAMENTO!$AF$7)))))</f>
        <v>20</v>
      </c>
      <c r="I211" s="468" t="s">
        <v>1235</v>
      </c>
      <c r="J211" s="651" t="str" cm="1">
        <f t="array" aca="1" ref="J211" ca="1">IF(OR(B211&lt;&gt;"S",CÁLCULO.FrentesPreenchidas=0),"",IF(AND(ACOMPANHAMENTO="PLE",AUTOEVENTO="Manual",OR(H211&gt;0,ORÇAMENTO!AC211="QUANT."),OR(K211="",M211=0,N211="")),"►E",IF(AND(ACOMPANHAMENTO="PLE",ORÇAMENTO!AC211="QUANT."),"►Q",IF(AND(ACOMPANHAMENTO="PLE",H211&lt;&gt;SUMPRODUCT(($Q$1:$AQ$1=1)*ROUND(Q211:AQ211,15))),"►S",IF(AND(COUNTIF($P$11:$AQ$11,"▼")=0,H211&gt;0,I211=""),"◄M","")))))</f>
        <v/>
      </c>
      <c r="K211" s="652" t="s">
        <v>1257</v>
      </c>
      <c r="L211" s="165">
        <f t="shared" ca="1" si="17"/>
        <v>196</v>
      </c>
      <c r="M211" s="166">
        <f ca="1">IF($D211&lt;&gt;"Serviço","",
          IF(AUTOEVENTO="manual",$A211,
                IF(ISERROR(MATCH($A211,$A$15:OFFSET($A211,-1,0),0)),MAX($M$15:OFFSET(M211,-1,0))+1,
                      INDEX($M$15:OFFSET(M211,-1,0),MATCH($A211,$A$15:OFFSET($A211,-1,0),0)))))</f>
        <v>9</v>
      </c>
      <c r="N211" s="167" t="str">
        <f ca="1">IF($D211&lt;&gt;"Serviço","",
         IF(AUTOEVENTO="Manual",
                IF($A211=0,"&lt;-- defina o número do agrupador",
                       OFFSET(EVENTOS!$D$15,$A211-$A$15,0)),
                OFFSET($F$15,$A211,0)))</f>
        <v>INSTALAÇÕES</v>
      </c>
      <c r="O211" s="168"/>
      <c r="Q211" s="168">
        <v>1</v>
      </c>
      <c r="R211" s="169">
        <v>1</v>
      </c>
      <c r="S211" s="169">
        <v>1</v>
      </c>
      <c r="T211" s="169">
        <v>1</v>
      </c>
      <c r="U211" s="169">
        <v>1</v>
      </c>
      <c r="V211" s="169">
        <v>1</v>
      </c>
      <c r="W211" s="169">
        <v>1</v>
      </c>
      <c r="X211" s="169">
        <v>1</v>
      </c>
      <c r="Y211" s="169">
        <v>1</v>
      </c>
      <c r="Z211" s="170">
        <v>1</v>
      </c>
      <c r="AA211" s="169">
        <v>1</v>
      </c>
      <c r="AB211" s="169">
        <v>1</v>
      </c>
      <c r="AC211" s="169">
        <v>1</v>
      </c>
      <c r="AD211" s="169">
        <v>1</v>
      </c>
      <c r="AE211" s="169">
        <v>1</v>
      </c>
      <c r="AF211" s="169">
        <v>1</v>
      </c>
      <c r="AG211" s="169">
        <v>1</v>
      </c>
      <c r="AH211" s="170">
        <v>1</v>
      </c>
      <c r="AI211" s="169">
        <v>1</v>
      </c>
      <c r="AJ211" s="169">
        <v>1</v>
      </c>
      <c r="AK211" s="169"/>
      <c r="AL211" s="169"/>
      <c r="AM211" s="169"/>
      <c r="AN211" s="169"/>
      <c r="AO211" s="169"/>
      <c r="AP211" s="170"/>
      <c r="AR211" s="453">
        <f ca="1">IF(AND($D211="Serviço",AR$12&lt;&gt;0,$H211&gt;0,OR(AUTOEVENTO&lt;&gt;"manual",$M211&lt;&gt;$A$15)),
        IF(Import.TipoArredondamento&lt;&gt;"TransfereGOV",
              ROUND(OFFSET($P211,0,AR$13),15-13*ORÇAMENTO!$AF$7)/$H211*OFFSET(ORÇAMENTO!$X$15,ROW(AR211)-ROW(AR$15),0),
              ROUND(ROUND(OFFSET($P211,0,AR$13),15-13*ORÇAMENTO!$AF$7)*OFFSET(ORÇAMENTO!$W$15,ROW(AR211)-ROW(AR$15),0),15-13*ORÇAMENTO!$AF$11)),
         0)</f>
        <v>0</v>
      </c>
      <c r="AS211" s="453">
        <f ca="1">IF(AND($D211="Serviço",AS$12&lt;&gt;0,$H211&gt;0,OR(AUTOEVENTO&lt;&gt;"manual",$M211&lt;&gt;$A$15)),
        IF(Import.TipoArredondamento&lt;&gt;"TransfereGOV",
              ROUND(OFFSET($P211,0,AS$13),15-13*ORÇAMENTO!$AF$7)/$H211*OFFSET(ORÇAMENTO!$X$15,ROW(AS211)-ROW(AS$15),0),
              ROUND(ROUND(OFFSET($P211,0,AS$13),15-13*ORÇAMENTO!$AF$7)*OFFSET(ORÇAMENTO!$W$15,ROW(AS211)-ROW(AS$15),0),15-13*ORÇAMENTO!$AF$11)),
         0)</f>
        <v>0</v>
      </c>
      <c r="AT211" s="453">
        <f ca="1">IF(AND($D211="Serviço",AT$12&lt;&gt;0,$H211&gt;0,OR(AUTOEVENTO&lt;&gt;"manual",$M211&lt;&gt;$A$15)),
        IF(Import.TipoArredondamento&lt;&gt;"TransfereGOV",
              ROUND(OFFSET($P211,0,AT$13),15-13*ORÇAMENTO!$AF$7)/$H211*OFFSET(ORÇAMENTO!$X$15,ROW(AT211)-ROW(AT$15),0),
              ROUND(ROUND(OFFSET($P211,0,AT$13),15-13*ORÇAMENTO!$AF$7)*OFFSET(ORÇAMENTO!$W$15,ROW(AT211)-ROW(AT$15),0),15-13*ORÇAMENTO!$AF$11)),
         0)</f>
        <v>0</v>
      </c>
      <c r="AU211" s="453">
        <f ca="1">IF(AND($D211="Serviço",AU$12&lt;&gt;0,$H211&gt;0,OR(AUTOEVENTO&lt;&gt;"manual",$M211&lt;&gt;$A$15)),
        IF(Import.TipoArredondamento&lt;&gt;"TransfereGOV",
              ROUND(OFFSET($P211,0,AU$13),15-13*ORÇAMENTO!$AF$7)/$H211*OFFSET(ORÇAMENTO!$X$15,ROW(AU211)-ROW(AU$15),0),
              ROUND(ROUND(OFFSET($P211,0,AU$13),15-13*ORÇAMENTO!$AF$7)*OFFSET(ORÇAMENTO!$W$15,ROW(AU211)-ROW(AU$15),0),15-13*ORÇAMENTO!$AF$11)),
         0)</f>
        <v>0</v>
      </c>
      <c r="AV211" s="453">
        <f ca="1">IF(AND($D211="Serviço",AV$12&lt;&gt;0,$H211&gt;0,OR(AUTOEVENTO&lt;&gt;"manual",$M211&lt;&gt;$A$15)),
        IF(Import.TipoArredondamento&lt;&gt;"TransfereGOV",
              ROUND(OFFSET($P211,0,AV$13),15-13*ORÇAMENTO!$AF$7)/$H211*OFFSET(ORÇAMENTO!$X$15,ROW(AV211)-ROW(AV$15),0),
              ROUND(ROUND(OFFSET($P211,0,AV$13),15-13*ORÇAMENTO!$AF$7)*OFFSET(ORÇAMENTO!$W$15,ROW(AV211)-ROW(AV$15),0),15-13*ORÇAMENTO!$AF$11)),
         0)</f>
        <v>0</v>
      </c>
      <c r="AW211" s="453">
        <f ca="1">IF(AND($D211="Serviço",AW$12&lt;&gt;0,$H211&gt;0,OR(AUTOEVENTO&lt;&gt;"manual",$M211&lt;&gt;$A$15)),
        IF(Import.TipoArredondamento&lt;&gt;"TransfereGOV",
              ROUND(OFFSET($P211,0,AW$13),15-13*ORÇAMENTO!$AF$7)/$H211*OFFSET(ORÇAMENTO!$X$15,ROW(AW211)-ROW(AW$15),0),
              ROUND(ROUND(OFFSET($P211,0,AW$13),15-13*ORÇAMENTO!$AF$7)*OFFSET(ORÇAMENTO!$W$15,ROW(AW211)-ROW(AW$15),0),15-13*ORÇAMENTO!$AF$11)),
         0)</f>
        <v>0</v>
      </c>
      <c r="AX211" s="453">
        <f ca="1">IF(AND($D211="Serviço",AX$12&lt;&gt;0,$H211&gt;0,OR(AUTOEVENTO&lt;&gt;"manual",$M211&lt;&gt;$A$15)),
        IF(Import.TipoArredondamento&lt;&gt;"TransfereGOV",
              ROUND(OFFSET($P211,0,AX$13),15-13*ORÇAMENTO!$AF$7)/$H211*OFFSET(ORÇAMENTO!$X$15,ROW(AX211)-ROW(AX$15),0),
              ROUND(ROUND(OFFSET($P211,0,AX$13),15-13*ORÇAMENTO!$AF$7)*OFFSET(ORÇAMENTO!$W$15,ROW(AX211)-ROW(AX$15),0),15-13*ORÇAMENTO!$AF$11)),
         0)</f>
        <v>0</v>
      </c>
      <c r="AY211" s="453">
        <f ca="1">IF(AND($D211="Serviço",AY$12&lt;&gt;0,$H211&gt;0,OR(AUTOEVENTO&lt;&gt;"manual",$M211&lt;&gt;$A$15)),
        IF(Import.TipoArredondamento&lt;&gt;"TransfereGOV",
              ROUND(OFFSET($P211,0,AY$13),15-13*ORÇAMENTO!$AF$7)/$H211*OFFSET(ORÇAMENTO!$X$15,ROW(AY211)-ROW(AY$15),0),
              ROUND(ROUND(OFFSET($P211,0,AY$13),15-13*ORÇAMENTO!$AF$7)*OFFSET(ORÇAMENTO!$W$15,ROW(AY211)-ROW(AY$15),0),15-13*ORÇAMENTO!$AF$11)),
         0)</f>
        <v>0</v>
      </c>
      <c r="AZ211" s="453">
        <f ca="1">IF(AND($D211="Serviço",AZ$12&lt;&gt;0,$H211&gt;0,OR(AUTOEVENTO&lt;&gt;"manual",$M211&lt;&gt;$A$15)),
        IF(Import.TipoArredondamento&lt;&gt;"TransfereGOV",
              ROUND(OFFSET($P211,0,AZ$13),15-13*ORÇAMENTO!$AF$7)/$H211*OFFSET(ORÇAMENTO!$X$15,ROW(AZ211)-ROW(AZ$15),0),
              ROUND(ROUND(OFFSET($P211,0,AZ$13),15-13*ORÇAMENTO!$AF$7)*OFFSET(ORÇAMENTO!$W$15,ROW(AZ211)-ROW(AZ$15),0),15-13*ORÇAMENTO!$AF$11)),
         0)</f>
        <v>0</v>
      </c>
      <c r="BA211" s="453">
        <f ca="1">IF(AND($D211="Serviço",BA$12&lt;&gt;0,$H211&gt;0,OR(AUTOEVENTO&lt;&gt;"manual",$M211&lt;&gt;$A$15)),
        IF(Import.TipoArredondamento&lt;&gt;"TransfereGOV",
              ROUND(OFFSET($P211,0,BA$13),15-13*ORÇAMENTO!$AF$7)/$H211*OFFSET(ORÇAMENTO!$X$15,ROW(BA211)-ROW(BA$15),0),
              ROUND(ROUND(OFFSET($P211,0,BA$13),15-13*ORÇAMENTO!$AF$7)*OFFSET(ORÇAMENTO!$W$15,ROW(BA211)-ROW(BA$15),0),15-13*ORÇAMENTO!$AF$11)),
         0)</f>
        <v>0</v>
      </c>
      <c r="BB211" s="453">
        <f ca="1">IF(AND($D211="Serviço",BB$12&lt;&gt;0,$H211&gt;0,OR(AUTOEVENTO&lt;&gt;"manual",$M211&lt;&gt;$A$15)),
        IF(Import.TipoArredondamento&lt;&gt;"TransfereGOV",
              ROUND(OFFSET($P211,0,BB$13),15-13*ORÇAMENTO!$AF$7)/$H211*OFFSET(ORÇAMENTO!$X$15,ROW(BB211)-ROW(BB$15),0),
              ROUND(ROUND(OFFSET($P211,0,BB$13),15-13*ORÇAMENTO!$AF$7)*OFFSET(ORÇAMENTO!$W$15,ROW(BB211)-ROW(BB$15),0),15-13*ORÇAMENTO!$AF$11)),
         0)</f>
        <v>0</v>
      </c>
      <c r="BC211" s="453">
        <f ca="1">IF(AND($D211="Serviço",BC$12&lt;&gt;0,$H211&gt;0,OR(AUTOEVENTO&lt;&gt;"manual",$M211&lt;&gt;$A$15)),
        IF(Import.TipoArredondamento&lt;&gt;"TransfereGOV",
              ROUND(OFFSET($P211,0,BC$13),15-13*ORÇAMENTO!$AF$7)/$H211*OFFSET(ORÇAMENTO!$X$15,ROW(BC211)-ROW(BC$15),0),
              ROUND(ROUND(OFFSET($P211,0,BC$13),15-13*ORÇAMENTO!$AF$7)*OFFSET(ORÇAMENTO!$W$15,ROW(BC211)-ROW(BC$15),0),15-13*ORÇAMENTO!$AF$11)),
         0)</f>
        <v>0</v>
      </c>
      <c r="BD211" s="453">
        <f ca="1">IF(AND($D211="Serviço",BD$12&lt;&gt;0,$H211&gt;0,OR(AUTOEVENTO&lt;&gt;"manual",$M211&lt;&gt;$A$15)),
        IF(Import.TipoArredondamento&lt;&gt;"TransfereGOV",
              ROUND(OFFSET($P211,0,BD$13),15-13*ORÇAMENTO!$AF$7)/$H211*OFFSET(ORÇAMENTO!$X$15,ROW(BD211)-ROW(BD$15),0),
              ROUND(ROUND(OFFSET($P211,0,BD$13),15-13*ORÇAMENTO!$AF$7)*OFFSET(ORÇAMENTO!$W$15,ROW(BD211)-ROW(BD$15),0),15-13*ORÇAMENTO!$AF$11)),
         0)</f>
        <v>0</v>
      </c>
      <c r="BE211" s="453">
        <f ca="1">IF(AND($D211="Serviço",BE$12&lt;&gt;0,$H211&gt;0,OR(AUTOEVENTO&lt;&gt;"manual",$M211&lt;&gt;$A$15)),
        IF(Import.TipoArredondamento&lt;&gt;"TransfereGOV",
              ROUND(OFFSET($P211,0,BE$13),15-13*ORÇAMENTO!$AF$7)/$H211*OFFSET(ORÇAMENTO!$X$15,ROW(BE211)-ROW(BE$15),0),
              ROUND(ROUND(OFFSET($P211,0,BE$13),15-13*ORÇAMENTO!$AF$7)*OFFSET(ORÇAMENTO!$W$15,ROW(BE211)-ROW(BE$15),0),15-13*ORÇAMENTO!$AF$11)),
         0)</f>
        <v>0</v>
      </c>
      <c r="BF211" s="453">
        <f ca="1">IF(AND($D211="Serviço",BF$12&lt;&gt;0,$H211&gt;0,OR(AUTOEVENTO&lt;&gt;"manual",$M211&lt;&gt;$A$15)),
        IF(Import.TipoArredondamento&lt;&gt;"TransfereGOV",
              ROUND(OFFSET($P211,0,BF$13),15-13*ORÇAMENTO!$AF$7)/$H211*OFFSET(ORÇAMENTO!$X$15,ROW(BF211)-ROW(BF$15),0),
              ROUND(ROUND(OFFSET($P211,0,BF$13),15-13*ORÇAMENTO!$AF$7)*OFFSET(ORÇAMENTO!$W$15,ROW(BF211)-ROW(BF$15),0),15-13*ORÇAMENTO!$AF$11)),
         0)</f>
        <v>0</v>
      </c>
      <c r="BG211" s="453">
        <f ca="1">IF(AND($D211="Serviço",BG$12&lt;&gt;0,$H211&gt;0,OR(AUTOEVENTO&lt;&gt;"manual",$M211&lt;&gt;$A$15)),
        IF(Import.TipoArredondamento&lt;&gt;"TransfereGOV",
              ROUND(OFFSET($P211,0,BG$13),15-13*ORÇAMENTO!$AF$7)/$H211*OFFSET(ORÇAMENTO!$X$15,ROW(BG211)-ROW(BG$15),0),
              ROUND(ROUND(OFFSET($P211,0,BG$13),15-13*ORÇAMENTO!$AF$7)*OFFSET(ORÇAMENTO!$W$15,ROW(BG211)-ROW(BG$15),0),15-13*ORÇAMENTO!$AF$11)),
         0)</f>
        <v>0</v>
      </c>
      <c r="BH211" s="453">
        <f ca="1">IF(AND($D211="Serviço",BH$12&lt;&gt;0,$H211&gt;0,OR(AUTOEVENTO&lt;&gt;"manual",$M211&lt;&gt;$A$15)),
        IF(Import.TipoArredondamento&lt;&gt;"TransfereGOV",
              ROUND(OFFSET($P211,0,BH$13),15-13*ORÇAMENTO!$AF$7)/$H211*OFFSET(ORÇAMENTO!$X$15,ROW(BH211)-ROW(BH$15),0),
              ROUND(ROUND(OFFSET($P211,0,BH$13),15-13*ORÇAMENTO!$AF$7)*OFFSET(ORÇAMENTO!$W$15,ROW(BH211)-ROW(BH$15),0),15-13*ORÇAMENTO!$AF$11)),
         0)</f>
        <v>0</v>
      </c>
      <c r="BI211" s="453">
        <f ca="1">IF(AND($D211="Serviço",BI$12&lt;&gt;0,$H211&gt;0,OR(AUTOEVENTO&lt;&gt;"manual",$M211&lt;&gt;$A$15)),
        IF(Import.TipoArredondamento&lt;&gt;"TransfereGOV",
              ROUND(OFFSET($P211,0,BI$13),15-13*ORÇAMENTO!$AF$7)/$H211*OFFSET(ORÇAMENTO!$X$15,ROW(BI211)-ROW(BI$15),0),
              ROUND(ROUND(OFFSET($P211,0,BI$13),15-13*ORÇAMENTO!$AF$7)*OFFSET(ORÇAMENTO!$W$15,ROW(BI211)-ROW(BI$15),0),15-13*ORÇAMENTO!$AF$11)),
         0)</f>
        <v>0</v>
      </c>
      <c r="BJ211" s="453">
        <f ca="1">IF(AND($D211="Serviço",BJ$12&lt;&gt;0,$H211&gt;0,OR(AUTOEVENTO&lt;&gt;"manual",$M211&lt;&gt;$A$15)),
        IF(Import.TipoArredondamento&lt;&gt;"TransfereGOV",
              ROUND(OFFSET($P211,0,BJ$13),15-13*ORÇAMENTO!$AF$7)/$H211*OFFSET(ORÇAMENTO!$X$15,ROW(BJ211)-ROW(BJ$15),0),
              ROUND(ROUND(OFFSET($P211,0,BJ$13),15-13*ORÇAMENTO!$AF$7)*OFFSET(ORÇAMENTO!$W$15,ROW(BJ211)-ROW(BJ$15),0),15-13*ORÇAMENTO!$AF$11)),
         0)</f>
        <v>0</v>
      </c>
      <c r="BK211" s="453">
        <f ca="1">IF(AND($D211="Serviço",BK$12&lt;&gt;0,$H211&gt;0,OR(AUTOEVENTO&lt;&gt;"manual",$M211&lt;&gt;$A$15)),
        IF(Import.TipoArredondamento&lt;&gt;"TransfereGOV",
              ROUND(OFFSET($P211,0,BK$13),15-13*ORÇAMENTO!$AF$7)/$H211*OFFSET(ORÇAMENTO!$X$15,ROW(BK211)-ROW(BK$15),0),
              ROUND(ROUND(OFFSET($P211,0,BK$13),15-13*ORÇAMENTO!$AF$7)*OFFSET(ORÇAMENTO!$W$15,ROW(BK211)-ROW(BK$15),0),15-13*ORÇAMENTO!$AF$11)),
         0)</f>
        <v>0</v>
      </c>
      <c r="BL211" s="453">
        <f ca="1">IF(AND($D211="Serviço",BL$12&lt;&gt;0,$H211&gt;0,OR(AUTOEVENTO&lt;&gt;"manual",$M211&lt;&gt;$A$15)),
        IF(Import.TipoArredondamento&lt;&gt;"TransfereGOV",
              ROUND(OFFSET($P211,0,BL$13),15-13*ORÇAMENTO!$AF$7)/$H211*OFFSET(ORÇAMENTO!$X$15,ROW(BL211)-ROW(BL$15),0),
              ROUND(ROUND(OFFSET($P211,0,BL$13),15-13*ORÇAMENTO!$AF$7)*OFFSET(ORÇAMENTO!$W$15,ROW(BL211)-ROW(BL$15),0),15-13*ORÇAMENTO!$AF$11)),
         0)</f>
        <v>0</v>
      </c>
      <c r="BM211" s="453">
        <f ca="1">IF(AND($D211="Serviço",BM$12&lt;&gt;0,$H211&gt;0,OR(AUTOEVENTO&lt;&gt;"manual",$M211&lt;&gt;$A$15)),
        IF(Import.TipoArredondamento&lt;&gt;"TransfereGOV",
              ROUND(OFFSET($P211,0,BM$13),15-13*ORÇAMENTO!$AF$7)/$H211*OFFSET(ORÇAMENTO!$X$15,ROW(BM211)-ROW(BM$15),0),
              ROUND(ROUND(OFFSET($P211,0,BM$13),15-13*ORÇAMENTO!$AF$7)*OFFSET(ORÇAMENTO!$W$15,ROW(BM211)-ROW(BM$15),0),15-13*ORÇAMENTO!$AF$11)),
         0)</f>
        <v>0</v>
      </c>
      <c r="BN211" s="453">
        <f ca="1">IF(AND($D211="Serviço",BN$12&lt;&gt;0,$H211&gt;0,OR(AUTOEVENTO&lt;&gt;"manual",$M211&lt;&gt;$A$15)),
        IF(Import.TipoArredondamento&lt;&gt;"TransfereGOV",
              ROUND(OFFSET($P211,0,BN$13),15-13*ORÇAMENTO!$AF$7)/$H211*OFFSET(ORÇAMENTO!$X$15,ROW(BN211)-ROW(BN$15),0),
              ROUND(ROUND(OFFSET($P211,0,BN$13),15-13*ORÇAMENTO!$AF$7)*OFFSET(ORÇAMENTO!$W$15,ROW(BN211)-ROW(BN$15),0),15-13*ORÇAMENTO!$AF$11)),
         0)</f>
        <v>0</v>
      </c>
      <c r="BO211" s="453">
        <f ca="1">IF(AND($D211="Serviço",BO$12&lt;&gt;0,$H211&gt;0,OR(AUTOEVENTO&lt;&gt;"manual",$M211&lt;&gt;$A$15)),
        IF(Import.TipoArredondamento&lt;&gt;"TransfereGOV",
              ROUND(OFFSET($P211,0,BO$13),15-13*ORÇAMENTO!$AF$7)/$H211*OFFSET(ORÇAMENTO!$X$15,ROW(BO211)-ROW(BO$15),0),
              ROUND(ROUND(OFFSET($P211,0,BO$13),15-13*ORÇAMENTO!$AF$7)*OFFSET(ORÇAMENTO!$W$15,ROW(BO211)-ROW(BO$15),0),15-13*ORÇAMENTO!$AF$11)),
         0)</f>
        <v>0</v>
      </c>
      <c r="BP211" s="453">
        <f ca="1">IF(AND($D211="Serviço",BP$12&lt;&gt;0,$H211&gt;0,OR(AUTOEVENTO&lt;&gt;"manual",$M211&lt;&gt;$A$15)),
        IF(Import.TipoArredondamento&lt;&gt;"TransfereGOV",
              ROUND(OFFSET($P211,0,BP$13),15-13*ORÇAMENTO!$AF$7)/$H211*OFFSET(ORÇAMENTO!$X$15,ROW(BP211)-ROW(BP$15),0),
              ROUND(ROUND(OFFSET($P211,0,BP$13),15-13*ORÇAMENTO!$AF$7)*OFFSET(ORÇAMENTO!$W$15,ROW(BP211)-ROW(BP$15),0),15-13*ORÇAMENTO!$AF$11)),
         0)</f>
        <v>0</v>
      </c>
      <c r="BQ211" s="453">
        <f ca="1">IF(AND($D211="Serviço",BQ$12&lt;&gt;0,$H211&gt;0,OR(AUTOEVENTO&lt;&gt;"manual",$M211&lt;&gt;$A$15)),
        IF(Import.TipoArredondamento&lt;&gt;"TransfereGOV",
              ROUND(OFFSET($P211,0,BQ$13),15-13*ORÇAMENTO!$AF$7)/$H211*OFFSET(ORÇAMENTO!$X$15,ROW(BQ211)-ROW(BQ$15),0),
              ROUND(ROUND(OFFSET($P211,0,BQ$13),15-13*ORÇAMENTO!$AF$7)*OFFSET(ORÇAMENTO!$W$15,ROW(BQ211)-ROW(BQ$15),0),15-13*ORÇAMENTO!$AF$11)),
         0)</f>
        <v>0</v>
      </c>
      <c r="BS211" s="171">
        <f ca="1">IF(OR($D211&lt;&gt;"Serviço",AND(AUTOEVENTO="Manual",$M211=$A$15)),0,
         IF(OFFSET(CRONOPLE!$F$15,$M211-$A$15,BS$13)=0,10^12,OFFSET(CRONOPLE!$F$15,$M211-$A$15,BS$13)))</f>
        <v>1</v>
      </c>
      <c r="BT211" s="171">
        <f ca="1">IF(OR($D211&lt;&gt;"Serviço",AND(AUTOEVENTO="Manual",$M211=$A$15)),0,
         IF(OFFSET(CRONOPLE!$F$15,$M211-$A$15,BT$13)=0,10^12,OFFSET(CRONOPLE!$F$15,$M211-$A$15,BT$13)))</f>
        <v>2</v>
      </c>
      <c r="BU211" s="171">
        <f ca="1">IF(OR($D211&lt;&gt;"Serviço",AND(AUTOEVENTO="Manual",$M211=$A$15)),0,
         IF(OFFSET(CRONOPLE!$F$15,$M211-$A$15,BU$13)=0,10^12,OFFSET(CRONOPLE!$F$15,$M211-$A$15,BU$13)))</f>
        <v>3</v>
      </c>
      <c r="BV211" s="171">
        <f ca="1">IF(OR($D211&lt;&gt;"Serviço",AND(AUTOEVENTO="Manual",$M211=$A$15)),0,
         IF(OFFSET(CRONOPLE!$F$15,$M211-$A$15,BV$13)=0,10^12,OFFSET(CRONOPLE!$F$15,$M211-$A$15,BV$13)))</f>
        <v>4</v>
      </c>
      <c r="BW211" s="171">
        <f ca="1">IF(OR($D211&lt;&gt;"Serviço",AND(AUTOEVENTO="Manual",$M211=$A$15)),0,
         IF(OFFSET(CRONOPLE!$F$15,$M211-$A$15,BW$13)=0,10^12,OFFSET(CRONOPLE!$F$15,$M211-$A$15,BW$13)))</f>
        <v>5</v>
      </c>
      <c r="BX211" s="171">
        <f ca="1">IF(OR($D211&lt;&gt;"Serviço",AND(AUTOEVENTO="Manual",$M211=$A$15)),0,
         IF(OFFSET(CRONOPLE!$F$15,$M211-$A$15,BX$13)=0,10^12,OFFSET(CRONOPLE!$F$15,$M211-$A$15,BX$13)))</f>
        <v>6</v>
      </c>
      <c r="BY211" s="171">
        <f ca="1">IF(OR($D211&lt;&gt;"Serviço",AND(AUTOEVENTO="Manual",$M211=$A$15)),0,
         IF(OFFSET(CRONOPLE!$F$15,$M211-$A$15,BY$13)=0,10^12,OFFSET(CRONOPLE!$F$15,$M211-$A$15,BY$13)))</f>
        <v>7</v>
      </c>
      <c r="BZ211" s="171">
        <f ca="1">IF(OR($D211&lt;&gt;"Serviço",AND(AUTOEVENTO="Manual",$M211=$A$15)),0,
         IF(OFFSET(CRONOPLE!$F$15,$M211-$A$15,BZ$13)=0,10^12,OFFSET(CRONOPLE!$F$15,$M211-$A$15,BZ$13)))</f>
        <v>8</v>
      </c>
      <c r="CA211" s="171">
        <f ca="1">IF(OR($D211&lt;&gt;"Serviço",AND(AUTOEVENTO="Manual",$M211=$A$15)),0,
         IF(OFFSET(CRONOPLE!$F$15,$M211-$A$15,CA$13)=0,10^12,OFFSET(CRONOPLE!$F$15,$M211-$A$15,CA$13)))</f>
        <v>9</v>
      </c>
      <c r="CB211" s="171">
        <f ca="1">IF(OR($D211&lt;&gt;"Serviço",AND(AUTOEVENTO="Manual",$M211=$A$15)),0,
         IF(OFFSET(CRONOPLE!$F$15,$M211-$A$15,CB$13)=0,10^12,OFFSET(CRONOPLE!$F$15,$M211-$A$15,CB$13)))</f>
        <v>10</v>
      </c>
      <c r="CC211" s="171">
        <f ca="1">IF(OR($D211&lt;&gt;"Serviço",AND(AUTOEVENTO="Manual",$M211=$A$15)),0,
         IF(OFFSET(CRONOPLE!$F$15,$M211-$A$15,CC$13)=0,10^12,OFFSET(CRONOPLE!$F$15,$M211-$A$15,CC$13)))</f>
        <v>11</v>
      </c>
      <c r="CD211" s="171">
        <f ca="1">IF(OR($D211&lt;&gt;"Serviço",AND(AUTOEVENTO="Manual",$M211=$A$15)),0,
         IF(OFFSET(CRONOPLE!$F$15,$M211-$A$15,CD$13)=0,10^12,OFFSET(CRONOPLE!$F$15,$M211-$A$15,CD$13)))</f>
        <v>12</v>
      </c>
      <c r="CE211" s="171">
        <f ca="1">IF(OR($D211&lt;&gt;"Serviço",AND(AUTOEVENTO="Manual",$M211=$A$15)),0,
         IF(OFFSET(CRONOPLE!$F$15,$M211-$A$15,CE$13)=0,10^12,OFFSET(CRONOPLE!$F$15,$M211-$A$15,CE$13)))</f>
        <v>13</v>
      </c>
      <c r="CF211" s="171">
        <f ca="1">IF(OR($D211&lt;&gt;"Serviço",AND(AUTOEVENTO="Manual",$M211=$A$15)),0,
         IF(OFFSET(CRONOPLE!$F$15,$M211-$A$15,CF$13)=0,10^12,OFFSET(CRONOPLE!$F$15,$M211-$A$15,CF$13)))</f>
        <v>14</v>
      </c>
      <c r="CG211" s="171">
        <f ca="1">IF(OR($D211&lt;&gt;"Serviço",AND(AUTOEVENTO="Manual",$M211=$A$15)),0,
         IF(OFFSET(CRONOPLE!$F$15,$M211-$A$15,CG$13)=0,10^12,OFFSET(CRONOPLE!$F$15,$M211-$A$15,CG$13)))</f>
        <v>15</v>
      </c>
      <c r="CH211" s="171">
        <f ca="1">IF(OR($D211&lt;&gt;"Serviço",AND(AUTOEVENTO="Manual",$M211=$A$15)),0,
         IF(OFFSET(CRONOPLE!$F$15,$M211-$A$15,CH$13)=0,10^12,OFFSET(CRONOPLE!$F$15,$M211-$A$15,CH$13)))</f>
        <v>16</v>
      </c>
      <c r="CI211" s="171">
        <f ca="1">IF(OR($D211&lt;&gt;"Serviço",AND(AUTOEVENTO="Manual",$M211=$A$15)),0,
         IF(OFFSET(CRONOPLE!$F$15,$M211-$A$15,CI$13)=0,10^12,OFFSET(CRONOPLE!$F$15,$M211-$A$15,CI$13)))</f>
        <v>17</v>
      </c>
      <c r="CJ211" s="171">
        <f ca="1">IF(OR($D211&lt;&gt;"Serviço",AND(AUTOEVENTO="Manual",$M211=$A$15)),0,
         IF(OFFSET(CRONOPLE!$F$15,$M211-$A$15,CJ$13)=0,10^12,OFFSET(CRONOPLE!$F$15,$M211-$A$15,CJ$13)))</f>
        <v>18</v>
      </c>
      <c r="CK211" s="171">
        <f ca="1">IF(OR($D211&lt;&gt;"Serviço",AND(AUTOEVENTO="Manual",$M211=$A$15)),0,
         IF(OFFSET(CRONOPLE!$F$15,$M211-$A$15,CK$13)=0,10^12,OFFSET(CRONOPLE!$F$15,$M211-$A$15,CK$13)))</f>
        <v>19</v>
      </c>
      <c r="CL211" s="171">
        <f ca="1">IF(OR($D211&lt;&gt;"Serviço",AND(AUTOEVENTO="Manual",$M211=$A$15)),0,
         IF(OFFSET(CRONOPLE!$F$15,$M211-$A$15,CL$13)=0,10^12,OFFSET(CRONOPLE!$F$15,$M211-$A$15,CL$13)))</f>
        <v>20</v>
      </c>
      <c r="CM211" s="171">
        <f ca="1">IF(OR($D211&lt;&gt;"Serviço",AND(AUTOEVENTO="Manual",$M211=$A$15)),0,
         IF(OFFSET(CRONOPLE!$F$15,$M211-$A$15,CM$13)=0,10^12,OFFSET(CRONOPLE!$F$15,$M211-$A$15,CM$13)))</f>
        <v>1000000000000</v>
      </c>
      <c r="CN211" s="171">
        <f ca="1">IF(OR($D211&lt;&gt;"Serviço",AND(AUTOEVENTO="Manual",$M211=$A$15)),0,
         IF(OFFSET(CRONOPLE!$F$15,$M211-$A$15,CN$13)=0,10^12,OFFSET(CRONOPLE!$F$15,$M211-$A$15,CN$13)))</f>
        <v>1000000000000</v>
      </c>
      <c r="CO211" s="171">
        <f ca="1">IF(OR($D211&lt;&gt;"Serviço",AND(AUTOEVENTO="Manual",$M211=$A$15)),0,
         IF(OFFSET(CRONOPLE!$F$15,$M211-$A$15,CO$13)=0,10^12,OFFSET(CRONOPLE!$F$15,$M211-$A$15,CO$13)))</f>
        <v>1000000000000</v>
      </c>
      <c r="CP211" s="171">
        <f ca="1">IF(OR($D211&lt;&gt;"Serviço",AND(AUTOEVENTO="Manual",$M211=$A$15)),0,
         IF(OFFSET(CRONOPLE!$F$15,$M211-$A$15,CP$13)=0,10^12,OFFSET(CRONOPLE!$F$15,$M211-$A$15,CP$13)))</f>
        <v>1000000000000</v>
      </c>
      <c r="CQ211" s="171">
        <f ca="1">IF(OR($D211&lt;&gt;"Serviço",AND(AUTOEVENTO="Manual",$M211=$A$15)),0,
         IF(OFFSET(CRONOPLE!$F$15,$M211-$A$15,CQ$13)=0,10^12,OFFSET(CRONOPLE!$F$15,$M211-$A$15,CQ$13)))</f>
        <v>1000000000000</v>
      </c>
      <c r="CR211" s="171">
        <f ca="1">IF(OR($D211&lt;&gt;"Serviço",AND(AUTOEVENTO="Manual",$M211=$A$15)),0,
         IF(OFFSET(CRONOPLE!$F$15,$M211-$A$15,CR$13)=0,10^12,OFFSET(CRONOPLE!$F$15,$M211-$A$15,CR$13)))</f>
        <v>1000000000000</v>
      </c>
      <c r="CT211" s="172" cm="1">
        <f t="array" aca="1" ref="CT211" ca="1">IF(OR($D211&lt;&gt;"Serviço",AND(AUTOEVENTO="Manual",$M211=$A$15),$M211&gt;(ROW(PLE.lastrow)-ROW(PLE.firstrow))),0,
           IF(OFFSET(PLE!$G$15,$M211-$A$15,CT$13)="",10^12,OFFSET(PLE!$G$15,$M211-$A$15,CT$13)))</f>
        <v>1000000000000</v>
      </c>
      <c r="CU211" s="172" cm="1">
        <f t="array" aca="1" ref="CU211" ca="1">IF(OR($D211&lt;&gt;"Serviço",AND(AUTOEVENTO="Manual",$M211=$A$15),$M211&gt;(ROW(PLE.lastrow)-ROW(PLE.firstrow))),0,
           IF(OFFSET(PLE!$G$15,$M211-$A$15,CU$13)="",10^12,OFFSET(PLE!$G$15,$M211-$A$15,CU$13)))</f>
        <v>1000000000000</v>
      </c>
      <c r="CV211" s="172" cm="1">
        <f t="array" aca="1" ref="CV211" ca="1">IF(OR($D211&lt;&gt;"Serviço",AND(AUTOEVENTO="Manual",$M211=$A$15),$M211&gt;(ROW(PLE.lastrow)-ROW(PLE.firstrow))),0,
           IF(OFFSET(PLE!$G$15,$M211-$A$15,CV$13)="",10^12,OFFSET(PLE!$G$15,$M211-$A$15,CV$13)))</f>
        <v>1000000000000</v>
      </c>
      <c r="CW211" s="172" cm="1">
        <f t="array" aca="1" ref="CW211" ca="1">IF(OR($D211&lt;&gt;"Serviço",AND(AUTOEVENTO="Manual",$M211=$A$15),$M211&gt;(ROW(PLE.lastrow)-ROW(PLE.firstrow))),0,
           IF(OFFSET(PLE!$G$15,$M211-$A$15,CW$13)="",10^12,OFFSET(PLE!$G$15,$M211-$A$15,CW$13)))</f>
        <v>1000000000000</v>
      </c>
      <c r="CX211" s="172" cm="1">
        <f t="array" aca="1" ref="CX211" ca="1">IF(OR($D211&lt;&gt;"Serviço",AND(AUTOEVENTO="Manual",$M211=$A$15),$M211&gt;(ROW(PLE.lastrow)-ROW(PLE.firstrow))),0,
           IF(OFFSET(PLE!$G$15,$M211-$A$15,CX$13)="",10^12,OFFSET(PLE!$G$15,$M211-$A$15,CX$13)))</f>
        <v>1000000000000</v>
      </c>
      <c r="CY211" s="172" cm="1">
        <f t="array" aca="1" ref="CY211" ca="1">IF(OR($D211&lt;&gt;"Serviço",AND(AUTOEVENTO="Manual",$M211=$A$15),$M211&gt;(ROW(PLE.lastrow)-ROW(PLE.firstrow))),0,
           IF(OFFSET(PLE!$G$15,$M211-$A$15,CY$13)="",10^12,OFFSET(PLE!$G$15,$M211-$A$15,CY$13)))</f>
        <v>1000000000000</v>
      </c>
      <c r="CZ211" s="172" cm="1">
        <f t="array" aca="1" ref="CZ211" ca="1">IF(OR($D211&lt;&gt;"Serviço",AND(AUTOEVENTO="Manual",$M211=$A$15),$M211&gt;(ROW(PLE.lastrow)-ROW(PLE.firstrow))),0,
           IF(OFFSET(PLE!$G$15,$M211-$A$15,CZ$13)="",10^12,OFFSET(PLE!$G$15,$M211-$A$15,CZ$13)))</f>
        <v>1000000000000</v>
      </c>
      <c r="DA211" s="172" cm="1">
        <f t="array" aca="1" ref="DA211" ca="1">IF(OR($D211&lt;&gt;"Serviço",AND(AUTOEVENTO="Manual",$M211=$A$15),$M211&gt;(ROW(PLE.lastrow)-ROW(PLE.firstrow))),0,
           IF(OFFSET(PLE!$G$15,$M211-$A$15,DA$13)="",10^12,OFFSET(PLE!$G$15,$M211-$A$15,DA$13)))</f>
        <v>1000000000000</v>
      </c>
      <c r="DB211" s="172" cm="1">
        <f t="array" aca="1" ref="DB211" ca="1">IF(OR($D211&lt;&gt;"Serviço",AND(AUTOEVENTO="Manual",$M211=$A$15),$M211&gt;(ROW(PLE.lastrow)-ROW(PLE.firstrow))),0,
           IF(OFFSET(PLE!$G$15,$M211-$A$15,DB$13)="",10^12,OFFSET(PLE!$G$15,$M211-$A$15,DB$13)))</f>
        <v>1000000000000</v>
      </c>
      <c r="DC211" s="172" cm="1">
        <f t="array" aca="1" ref="DC211" ca="1">IF(OR($D211&lt;&gt;"Serviço",AND(AUTOEVENTO="Manual",$M211=$A$15),$M211&gt;(ROW(PLE.lastrow)-ROW(PLE.firstrow))),0,
           IF(OFFSET(PLE!$G$15,$M211-$A$15,DC$13)="",10^12,OFFSET(PLE!$G$15,$M211-$A$15,DC$13)))</f>
        <v>1000000000000</v>
      </c>
      <c r="DD211" s="172" cm="1">
        <f t="array" aca="1" ref="DD211" ca="1">IF(OR($D211&lt;&gt;"Serviço",AND(AUTOEVENTO="Manual",$M211=$A$15),$M211&gt;(ROW(PLE.lastrow)-ROW(PLE.firstrow))),0,
           IF(OFFSET(PLE!$G$15,$M211-$A$15,DD$13)="",10^12,OFFSET(PLE!$G$15,$M211-$A$15,DD$13)))</f>
        <v>1000000000000</v>
      </c>
      <c r="DE211" s="172" cm="1">
        <f t="array" aca="1" ref="DE211" ca="1">IF(OR($D211&lt;&gt;"Serviço",AND(AUTOEVENTO="Manual",$M211=$A$15),$M211&gt;(ROW(PLE.lastrow)-ROW(PLE.firstrow))),0,
           IF(OFFSET(PLE!$G$15,$M211-$A$15,DE$13)="",10^12,OFFSET(PLE!$G$15,$M211-$A$15,DE$13)))</f>
        <v>1000000000000</v>
      </c>
      <c r="DF211" s="172" cm="1">
        <f t="array" aca="1" ref="DF211" ca="1">IF(OR($D211&lt;&gt;"Serviço",AND(AUTOEVENTO="Manual",$M211=$A$15),$M211&gt;(ROW(PLE.lastrow)-ROW(PLE.firstrow))),0,
           IF(OFFSET(PLE!$G$15,$M211-$A$15,DF$13)="",10^12,OFFSET(PLE!$G$15,$M211-$A$15,DF$13)))</f>
        <v>1000000000000</v>
      </c>
      <c r="DG211" s="172" cm="1">
        <f t="array" aca="1" ref="DG211" ca="1">IF(OR($D211&lt;&gt;"Serviço",AND(AUTOEVENTO="Manual",$M211=$A$15),$M211&gt;(ROW(PLE.lastrow)-ROW(PLE.firstrow))),0,
           IF(OFFSET(PLE!$G$15,$M211-$A$15,DG$13)="",10^12,OFFSET(PLE!$G$15,$M211-$A$15,DG$13)))</f>
        <v>1000000000000</v>
      </c>
      <c r="DH211" s="172" cm="1">
        <f t="array" aca="1" ref="DH211" ca="1">IF(OR($D211&lt;&gt;"Serviço",AND(AUTOEVENTO="Manual",$M211=$A$15),$M211&gt;(ROW(PLE.lastrow)-ROW(PLE.firstrow))),0,
           IF(OFFSET(PLE!$G$15,$M211-$A$15,DH$13)="",10^12,OFFSET(PLE!$G$15,$M211-$A$15,DH$13)))</f>
        <v>1000000000000</v>
      </c>
      <c r="DI211" s="172" cm="1">
        <f t="array" aca="1" ref="DI211" ca="1">IF(OR($D211&lt;&gt;"Serviço",AND(AUTOEVENTO="Manual",$M211=$A$15),$M211&gt;(ROW(PLE.lastrow)-ROW(PLE.firstrow))),0,
           IF(OFFSET(PLE!$G$15,$M211-$A$15,DI$13)="",10^12,OFFSET(PLE!$G$15,$M211-$A$15,DI$13)))</f>
        <v>1000000000000</v>
      </c>
      <c r="DJ211" s="172" cm="1">
        <f t="array" aca="1" ref="DJ211" ca="1">IF(OR($D211&lt;&gt;"Serviço",AND(AUTOEVENTO="Manual",$M211=$A$15),$M211&gt;(ROW(PLE.lastrow)-ROW(PLE.firstrow))),0,
           IF(OFFSET(PLE!$G$15,$M211-$A$15,DJ$13)="",10^12,OFFSET(PLE!$G$15,$M211-$A$15,DJ$13)))</f>
        <v>1000000000000</v>
      </c>
      <c r="DK211" s="172" cm="1">
        <f t="array" aca="1" ref="DK211" ca="1">IF(OR($D211&lt;&gt;"Serviço",AND(AUTOEVENTO="Manual",$M211=$A$15),$M211&gt;(ROW(PLE.lastrow)-ROW(PLE.firstrow))),0,
           IF(OFFSET(PLE!$G$15,$M211-$A$15,DK$13)="",10^12,OFFSET(PLE!$G$15,$M211-$A$15,DK$13)))</f>
        <v>1000000000000</v>
      </c>
      <c r="DL211" s="172" cm="1">
        <f t="array" aca="1" ref="DL211" ca="1">IF(OR($D211&lt;&gt;"Serviço",AND(AUTOEVENTO="Manual",$M211=$A$15),$M211&gt;(ROW(PLE.lastrow)-ROW(PLE.firstrow))),0,
           IF(OFFSET(PLE!$G$15,$M211-$A$15,DL$13)="",10^12,OFFSET(PLE!$G$15,$M211-$A$15,DL$13)))</f>
        <v>1000000000000</v>
      </c>
      <c r="DM211" s="172" cm="1">
        <f t="array" aca="1" ref="DM211" ca="1">IF(OR($D211&lt;&gt;"Serviço",AND(AUTOEVENTO="Manual",$M211=$A$15),$M211&gt;(ROW(PLE.lastrow)-ROW(PLE.firstrow))),0,
           IF(OFFSET(PLE!$G$15,$M211-$A$15,DM$13)="",10^12,OFFSET(PLE!$G$15,$M211-$A$15,DM$13)))</f>
        <v>1000000000000</v>
      </c>
      <c r="DN211" s="172" cm="1">
        <f t="array" aca="1" ref="DN211" ca="1">IF(OR($D211&lt;&gt;"Serviço",AND(AUTOEVENTO="Manual",$M211=$A$15),$M211&gt;(ROW(PLE.lastrow)-ROW(PLE.firstrow))),0,
           IF(OFFSET(PLE!$G$15,$M211-$A$15,DN$13)="",10^12,OFFSET(PLE!$G$15,$M211-$A$15,DN$13)))</f>
        <v>1000000000000</v>
      </c>
      <c r="DO211" s="172" cm="1">
        <f t="array" aca="1" ref="DO211" ca="1">IF(OR($D211&lt;&gt;"Serviço",AND(AUTOEVENTO="Manual",$M211=$A$15),$M211&gt;(ROW(PLE.lastrow)-ROW(PLE.firstrow))),0,
           IF(OFFSET(PLE!$G$15,$M211-$A$15,DO$13)="",10^12,OFFSET(PLE!$G$15,$M211-$A$15,DO$13)))</f>
        <v>1000000000000</v>
      </c>
      <c r="DP211" s="172" cm="1">
        <f t="array" aca="1" ref="DP211" ca="1">IF(OR($D211&lt;&gt;"Serviço",AND(AUTOEVENTO="Manual",$M211=$A$15),$M211&gt;(ROW(PLE.lastrow)-ROW(PLE.firstrow))),0,
           IF(OFFSET(PLE!$G$15,$M211-$A$15,DP$13)="",10^12,OFFSET(PLE!$G$15,$M211-$A$15,DP$13)))</f>
        <v>1000000000000</v>
      </c>
      <c r="DQ211" s="172" cm="1">
        <f t="array" aca="1" ref="DQ211" ca="1">IF(OR($D211&lt;&gt;"Serviço",AND(AUTOEVENTO="Manual",$M211=$A$15),$M211&gt;(ROW(PLE.lastrow)-ROW(PLE.firstrow))),0,
           IF(OFFSET(PLE!$G$15,$M211-$A$15,DQ$13)="",10^12,OFFSET(PLE!$G$15,$M211-$A$15,DQ$13)))</f>
        <v>1000000000000</v>
      </c>
      <c r="DR211" s="172" cm="1">
        <f t="array" aca="1" ref="DR211" ca="1">IF(OR($D211&lt;&gt;"Serviço",AND(AUTOEVENTO="Manual",$M211=$A$15),$M211&gt;(ROW(PLE.lastrow)-ROW(PLE.firstrow))),0,
           IF(OFFSET(PLE!$G$15,$M211-$A$15,DR$13)="",10^12,OFFSET(PLE!$G$15,$M211-$A$15,DR$13)))</f>
        <v>1000000000000</v>
      </c>
      <c r="DS211" s="172" cm="1">
        <f t="array" aca="1" ref="DS211" ca="1">IF(OR($D211&lt;&gt;"Serviço",AND(AUTOEVENTO="Manual",$M211=$A$15),$M211&gt;(ROW(PLE.lastrow)-ROW(PLE.firstrow))),0,
           IF(OFFSET(PLE!$G$15,$M211-$A$15,DS$13)="",10^12,OFFSET(PLE!$G$15,$M211-$A$15,DS$13)))</f>
        <v>1000000000000</v>
      </c>
    </row>
    <row r="212" spans="1:123" ht="38.25" x14ac:dyDescent="0.2">
      <c r="A212" s="7">
        <f t="shared" ca="1" si="18"/>
        <v>9</v>
      </c>
      <c r="B212" s="7" t="str">
        <f ca="1">OFFSET(ORÇAMENTO!C$15,$L212,0)</f>
        <v>S</v>
      </c>
      <c r="C212" s="7" t="str">
        <f ca="1">OFFSET(ORÇAMENTO!L$15,$L212,0)</f>
        <v/>
      </c>
      <c r="D212" s="116" t="str">
        <f ca="1">OFFSET(ORÇAMENTO!N$15,$L212,0)</f>
        <v>Serviço</v>
      </c>
      <c r="E212" s="117" t="str">
        <f ca="1">OFFSET(ORÇAMENTO!O$15,$L212,0)</f>
        <v>-</v>
      </c>
      <c r="F212" s="163" t="str">
        <f ca="1">OFFSET(ORÇAMENTO!R$15,$L212,0)</f>
        <v>(Código não identificado nas referências)</v>
      </c>
      <c r="G212" s="164" t="str">
        <f ca="1">IF($D212&lt;&gt;"Serviço","",OFFSET(ORÇAMENTO!S$15,$L212,0))</f>
        <v>-</v>
      </c>
      <c r="H212" s="122" cm="1">
        <f t="array" aca="1" ref="H212" ca="1">IF($D212&lt;&gt;"Serviço",0,IF(ACOMPANHAMENTO="BM",ROUND(OFFSET(ORÇAMENTO!AJ$15,$L212,0),15-13*ORÇAMENTO!$AF$7),IF(IFERROR(CÁLCULO.FrentesPreenchidas,0)=0,0,SUM(ROUND(OFFSET($P212,0,1,1,CÁLCULO.FrentesPreenchidas),15-13*ORÇAMENTO!$AF$7)))))</f>
        <v>20</v>
      </c>
      <c r="I212" s="468" t="s">
        <v>1235</v>
      </c>
      <c r="J212" s="651" t="str" cm="1">
        <f t="array" aca="1" ref="J212" ca="1">IF(OR(B212&lt;&gt;"S",CÁLCULO.FrentesPreenchidas=0),"",IF(AND(ACOMPANHAMENTO="PLE",AUTOEVENTO="Manual",OR(H212&gt;0,ORÇAMENTO!AC212="QUANT."),OR(K212="",M212=0,N212="")),"►E",IF(AND(ACOMPANHAMENTO="PLE",ORÇAMENTO!AC212="QUANT."),"►Q",IF(AND(ACOMPANHAMENTO="PLE",H212&lt;&gt;SUMPRODUCT(($Q$1:$AQ$1=1)*ROUND(Q212:AQ212,15))),"►S",IF(AND(COUNTIF($P$11:$AQ$11,"▼")=0,H212&gt;0,I212=""),"◄M","")))))</f>
        <v/>
      </c>
      <c r="K212" s="652" t="s">
        <v>1257</v>
      </c>
      <c r="L212" s="165">
        <f t="shared" ca="1" si="17"/>
        <v>197</v>
      </c>
      <c r="M212" s="166">
        <f ca="1">IF($D212&lt;&gt;"Serviço","",
          IF(AUTOEVENTO="manual",$A212,
                IF(ISERROR(MATCH($A212,$A$15:OFFSET($A212,-1,0),0)),MAX($M$15:OFFSET(M212,-1,0))+1,
                      INDEX($M$15:OFFSET(M212,-1,0),MATCH($A212,$A$15:OFFSET($A212,-1,0),0)))))</f>
        <v>9</v>
      </c>
      <c r="N212" s="167" t="str">
        <f ca="1">IF($D212&lt;&gt;"Serviço","",
         IF(AUTOEVENTO="Manual",
                IF($A212=0,"&lt;-- defina o número do agrupador",
                       OFFSET(EVENTOS!$D$15,$A212-$A$15,0)),
                OFFSET($F$15,$A212,0)))</f>
        <v>INSTALAÇÕES</v>
      </c>
      <c r="O212" s="168"/>
      <c r="Q212" s="168">
        <v>1</v>
      </c>
      <c r="R212" s="169">
        <v>1</v>
      </c>
      <c r="S212" s="169">
        <v>1</v>
      </c>
      <c r="T212" s="169">
        <v>1</v>
      </c>
      <c r="U212" s="169">
        <v>1</v>
      </c>
      <c r="V212" s="169">
        <v>1</v>
      </c>
      <c r="W212" s="169">
        <v>1</v>
      </c>
      <c r="X212" s="169">
        <v>1</v>
      </c>
      <c r="Y212" s="169">
        <v>1</v>
      </c>
      <c r="Z212" s="170">
        <v>1</v>
      </c>
      <c r="AA212" s="169">
        <v>1</v>
      </c>
      <c r="AB212" s="169">
        <v>1</v>
      </c>
      <c r="AC212" s="169">
        <v>1</v>
      </c>
      <c r="AD212" s="169">
        <v>1</v>
      </c>
      <c r="AE212" s="169">
        <v>1</v>
      </c>
      <c r="AF212" s="169">
        <v>1</v>
      </c>
      <c r="AG212" s="169">
        <v>1</v>
      </c>
      <c r="AH212" s="170">
        <v>1</v>
      </c>
      <c r="AI212" s="169">
        <v>1</v>
      </c>
      <c r="AJ212" s="169">
        <v>1</v>
      </c>
      <c r="AK212" s="169"/>
      <c r="AL212" s="169"/>
      <c r="AM212" s="169"/>
      <c r="AN212" s="169"/>
      <c r="AO212" s="169"/>
      <c r="AP212" s="170"/>
      <c r="AR212" s="453">
        <f ca="1">IF(AND($D212="Serviço",AR$12&lt;&gt;0,$H212&gt;0,OR(AUTOEVENTO&lt;&gt;"manual",$M212&lt;&gt;$A$15)),
        IF(Import.TipoArredondamento&lt;&gt;"TransfereGOV",
              ROUND(OFFSET($P212,0,AR$13),15-13*ORÇAMENTO!$AF$7)/$H212*OFFSET(ORÇAMENTO!$X$15,ROW(AR212)-ROW(AR$15),0),
              ROUND(ROUND(OFFSET($P212,0,AR$13),15-13*ORÇAMENTO!$AF$7)*OFFSET(ORÇAMENTO!$W$15,ROW(AR212)-ROW(AR$15),0),15-13*ORÇAMENTO!$AF$11)),
         0)</f>
        <v>0</v>
      </c>
      <c r="AS212" s="453">
        <f ca="1">IF(AND($D212="Serviço",AS$12&lt;&gt;0,$H212&gt;0,OR(AUTOEVENTO&lt;&gt;"manual",$M212&lt;&gt;$A$15)),
        IF(Import.TipoArredondamento&lt;&gt;"TransfereGOV",
              ROUND(OFFSET($P212,0,AS$13),15-13*ORÇAMENTO!$AF$7)/$H212*OFFSET(ORÇAMENTO!$X$15,ROW(AS212)-ROW(AS$15),0),
              ROUND(ROUND(OFFSET($P212,0,AS$13),15-13*ORÇAMENTO!$AF$7)*OFFSET(ORÇAMENTO!$W$15,ROW(AS212)-ROW(AS$15),0),15-13*ORÇAMENTO!$AF$11)),
         0)</f>
        <v>0</v>
      </c>
      <c r="AT212" s="453">
        <f ca="1">IF(AND($D212="Serviço",AT$12&lt;&gt;0,$H212&gt;0,OR(AUTOEVENTO&lt;&gt;"manual",$M212&lt;&gt;$A$15)),
        IF(Import.TipoArredondamento&lt;&gt;"TransfereGOV",
              ROUND(OFFSET($P212,0,AT$13),15-13*ORÇAMENTO!$AF$7)/$H212*OFFSET(ORÇAMENTO!$X$15,ROW(AT212)-ROW(AT$15),0),
              ROUND(ROUND(OFFSET($P212,0,AT$13),15-13*ORÇAMENTO!$AF$7)*OFFSET(ORÇAMENTO!$W$15,ROW(AT212)-ROW(AT$15),0),15-13*ORÇAMENTO!$AF$11)),
         0)</f>
        <v>0</v>
      </c>
      <c r="AU212" s="453">
        <f ca="1">IF(AND($D212="Serviço",AU$12&lt;&gt;0,$H212&gt;0,OR(AUTOEVENTO&lt;&gt;"manual",$M212&lt;&gt;$A$15)),
        IF(Import.TipoArredondamento&lt;&gt;"TransfereGOV",
              ROUND(OFFSET($P212,0,AU$13),15-13*ORÇAMENTO!$AF$7)/$H212*OFFSET(ORÇAMENTO!$X$15,ROW(AU212)-ROW(AU$15),0),
              ROUND(ROUND(OFFSET($P212,0,AU$13),15-13*ORÇAMENTO!$AF$7)*OFFSET(ORÇAMENTO!$W$15,ROW(AU212)-ROW(AU$15),0),15-13*ORÇAMENTO!$AF$11)),
         0)</f>
        <v>0</v>
      </c>
      <c r="AV212" s="453">
        <f ca="1">IF(AND($D212="Serviço",AV$12&lt;&gt;0,$H212&gt;0,OR(AUTOEVENTO&lt;&gt;"manual",$M212&lt;&gt;$A$15)),
        IF(Import.TipoArredondamento&lt;&gt;"TransfereGOV",
              ROUND(OFFSET($P212,0,AV$13),15-13*ORÇAMENTO!$AF$7)/$H212*OFFSET(ORÇAMENTO!$X$15,ROW(AV212)-ROW(AV$15),0),
              ROUND(ROUND(OFFSET($P212,0,AV$13),15-13*ORÇAMENTO!$AF$7)*OFFSET(ORÇAMENTO!$W$15,ROW(AV212)-ROW(AV$15),0),15-13*ORÇAMENTO!$AF$11)),
         0)</f>
        <v>0</v>
      </c>
      <c r="AW212" s="453">
        <f ca="1">IF(AND($D212="Serviço",AW$12&lt;&gt;0,$H212&gt;0,OR(AUTOEVENTO&lt;&gt;"manual",$M212&lt;&gt;$A$15)),
        IF(Import.TipoArredondamento&lt;&gt;"TransfereGOV",
              ROUND(OFFSET($P212,0,AW$13),15-13*ORÇAMENTO!$AF$7)/$H212*OFFSET(ORÇAMENTO!$X$15,ROW(AW212)-ROW(AW$15),0),
              ROUND(ROUND(OFFSET($P212,0,AW$13),15-13*ORÇAMENTO!$AF$7)*OFFSET(ORÇAMENTO!$W$15,ROW(AW212)-ROW(AW$15),0),15-13*ORÇAMENTO!$AF$11)),
         0)</f>
        <v>0</v>
      </c>
      <c r="AX212" s="453">
        <f ca="1">IF(AND($D212="Serviço",AX$12&lt;&gt;0,$H212&gt;0,OR(AUTOEVENTO&lt;&gt;"manual",$M212&lt;&gt;$A$15)),
        IF(Import.TipoArredondamento&lt;&gt;"TransfereGOV",
              ROUND(OFFSET($P212,0,AX$13),15-13*ORÇAMENTO!$AF$7)/$H212*OFFSET(ORÇAMENTO!$X$15,ROW(AX212)-ROW(AX$15),0),
              ROUND(ROUND(OFFSET($P212,0,AX$13),15-13*ORÇAMENTO!$AF$7)*OFFSET(ORÇAMENTO!$W$15,ROW(AX212)-ROW(AX$15),0),15-13*ORÇAMENTO!$AF$11)),
         0)</f>
        <v>0</v>
      </c>
      <c r="AY212" s="453">
        <f ca="1">IF(AND($D212="Serviço",AY$12&lt;&gt;0,$H212&gt;0,OR(AUTOEVENTO&lt;&gt;"manual",$M212&lt;&gt;$A$15)),
        IF(Import.TipoArredondamento&lt;&gt;"TransfereGOV",
              ROUND(OFFSET($P212,0,AY$13),15-13*ORÇAMENTO!$AF$7)/$H212*OFFSET(ORÇAMENTO!$X$15,ROW(AY212)-ROW(AY$15),0),
              ROUND(ROUND(OFFSET($P212,0,AY$13),15-13*ORÇAMENTO!$AF$7)*OFFSET(ORÇAMENTO!$W$15,ROW(AY212)-ROW(AY$15),0),15-13*ORÇAMENTO!$AF$11)),
         0)</f>
        <v>0</v>
      </c>
      <c r="AZ212" s="453">
        <f ca="1">IF(AND($D212="Serviço",AZ$12&lt;&gt;0,$H212&gt;0,OR(AUTOEVENTO&lt;&gt;"manual",$M212&lt;&gt;$A$15)),
        IF(Import.TipoArredondamento&lt;&gt;"TransfereGOV",
              ROUND(OFFSET($P212,0,AZ$13),15-13*ORÇAMENTO!$AF$7)/$H212*OFFSET(ORÇAMENTO!$X$15,ROW(AZ212)-ROW(AZ$15),0),
              ROUND(ROUND(OFFSET($P212,0,AZ$13),15-13*ORÇAMENTO!$AF$7)*OFFSET(ORÇAMENTO!$W$15,ROW(AZ212)-ROW(AZ$15),0),15-13*ORÇAMENTO!$AF$11)),
         0)</f>
        <v>0</v>
      </c>
      <c r="BA212" s="453">
        <f ca="1">IF(AND($D212="Serviço",BA$12&lt;&gt;0,$H212&gt;0,OR(AUTOEVENTO&lt;&gt;"manual",$M212&lt;&gt;$A$15)),
        IF(Import.TipoArredondamento&lt;&gt;"TransfereGOV",
              ROUND(OFFSET($P212,0,BA$13),15-13*ORÇAMENTO!$AF$7)/$H212*OFFSET(ORÇAMENTO!$X$15,ROW(BA212)-ROW(BA$15),0),
              ROUND(ROUND(OFFSET($P212,0,BA$13),15-13*ORÇAMENTO!$AF$7)*OFFSET(ORÇAMENTO!$W$15,ROW(BA212)-ROW(BA$15),0),15-13*ORÇAMENTO!$AF$11)),
         0)</f>
        <v>0</v>
      </c>
      <c r="BB212" s="453">
        <f ca="1">IF(AND($D212="Serviço",BB$12&lt;&gt;0,$H212&gt;0,OR(AUTOEVENTO&lt;&gt;"manual",$M212&lt;&gt;$A$15)),
        IF(Import.TipoArredondamento&lt;&gt;"TransfereGOV",
              ROUND(OFFSET($P212,0,BB$13),15-13*ORÇAMENTO!$AF$7)/$H212*OFFSET(ORÇAMENTO!$X$15,ROW(BB212)-ROW(BB$15),0),
              ROUND(ROUND(OFFSET($P212,0,BB$13),15-13*ORÇAMENTO!$AF$7)*OFFSET(ORÇAMENTO!$W$15,ROW(BB212)-ROW(BB$15),0),15-13*ORÇAMENTO!$AF$11)),
         0)</f>
        <v>0</v>
      </c>
      <c r="BC212" s="453">
        <f ca="1">IF(AND($D212="Serviço",BC$12&lt;&gt;0,$H212&gt;0,OR(AUTOEVENTO&lt;&gt;"manual",$M212&lt;&gt;$A$15)),
        IF(Import.TipoArredondamento&lt;&gt;"TransfereGOV",
              ROUND(OFFSET($P212,0,BC$13),15-13*ORÇAMENTO!$AF$7)/$H212*OFFSET(ORÇAMENTO!$X$15,ROW(BC212)-ROW(BC$15),0),
              ROUND(ROUND(OFFSET($P212,0,BC$13),15-13*ORÇAMENTO!$AF$7)*OFFSET(ORÇAMENTO!$W$15,ROW(BC212)-ROW(BC$15),0),15-13*ORÇAMENTO!$AF$11)),
         0)</f>
        <v>0</v>
      </c>
      <c r="BD212" s="453">
        <f ca="1">IF(AND($D212="Serviço",BD$12&lt;&gt;0,$H212&gt;0,OR(AUTOEVENTO&lt;&gt;"manual",$M212&lt;&gt;$A$15)),
        IF(Import.TipoArredondamento&lt;&gt;"TransfereGOV",
              ROUND(OFFSET($P212,0,BD$13),15-13*ORÇAMENTO!$AF$7)/$H212*OFFSET(ORÇAMENTO!$X$15,ROW(BD212)-ROW(BD$15),0),
              ROUND(ROUND(OFFSET($P212,0,BD$13),15-13*ORÇAMENTO!$AF$7)*OFFSET(ORÇAMENTO!$W$15,ROW(BD212)-ROW(BD$15),0),15-13*ORÇAMENTO!$AF$11)),
         0)</f>
        <v>0</v>
      </c>
      <c r="BE212" s="453">
        <f ca="1">IF(AND($D212="Serviço",BE$12&lt;&gt;0,$H212&gt;0,OR(AUTOEVENTO&lt;&gt;"manual",$M212&lt;&gt;$A$15)),
        IF(Import.TipoArredondamento&lt;&gt;"TransfereGOV",
              ROUND(OFFSET($P212,0,BE$13),15-13*ORÇAMENTO!$AF$7)/$H212*OFFSET(ORÇAMENTO!$X$15,ROW(BE212)-ROW(BE$15),0),
              ROUND(ROUND(OFFSET($P212,0,BE$13),15-13*ORÇAMENTO!$AF$7)*OFFSET(ORÇAMENTO!$W$15,ROW(BE212)-ROW(BE$15),0),15-13*ORÇAMENTO!$AF$11)),
         0)</f>
        <v>0</v>
      </c>
      <c r="BF212" s="453">
        <f ca="1">IF(AND($D212="Serviço",BF$12&lt;&gt;0,$H212&gt;0,OR(AUTOEVENTO&lt;&gt;"manual",$M212&lt;&gt;$A$15)),
        IF(Import.TipoArredondamento&lt;&gt;"TransfereGOV",
              ROUND(OFFSET($P212,0,BF$13),15-13*ORÇAMENTO!$AF$7)/$H212*OFFSET(ORÇAMENTO!$X$15,ROW(BF212)-ROW(BF$15),0),
              ROUND(ROUND(OFFSET($P212,0,BF$13),15-13*ORÇAMENTO!$AF$7)*OFFSET(ORÇAMENTO!$W$15,ROW(BF212)-ROW(BF$15),0),15-13*ORÇAMENTO!$AF$11)),
         0)</f>
        <v>0</v>
      </c>
      <c r="BG212" s="453">
        <f ca="1">IF(AND($D212="Serviço",BG$12&lt;&gt;0,$H212&gt;0,OR(AUTOEVENTO&lt;&gt;"manual",$M212&lt;&gt;$A$15)),
        IF(Import.TipoArredondamento&lt;&gt;"TransfereGOV",
              ROUND(OFFSET($P212,0,BG$13),15-13*ORÇAMENTO!$AF$7)/$H212*OFFSET(ORÇAMENTO!$X$15,ROW(BG212)-ROW(BG$15),0),
              ROUND(ROUND(OFFSET($P212,0,BG$13),15-13*ORÇAMENTO!$AF$7)*OFFSET(ORÇAMENTO!$W$15,ROW(BG212)-ROW(BG$15),0),15-13*ORÇAMENTO!$AF$11)),
         0)</f>
        <v>0</v>
      </c>
      <c r="BH212" s="453">
        <f ca="1">IF(AND($D212="Serviço",BH$12&lt;&gt;0,$H212&gt;0,OR(AUTOEVENTO&lt;&gt;"manual",$M212&lt;&gt;$A$15)),
        IF(Import.TipoArredondamento&lt;&gt;"TransfereGOV",
              ROUND(OFFSET($P212,0,BH$13),15-13*ORÇAMENTO!$AF$7)/$H212*OFFSET(ORÇAMENTO!$X$15,ROW(BH212)-ROW(BH$15),0),
              ROUND(ROUND(OFFSET($P212,0,BH$13),15-13*ORÇAMENTO!$AF$7)*OFFSET(ORÇAMENTO!$W$15,ROW(BH212)-ROW(BH$15),0),15-13*ORÇAMENTO!$AF$11)),
         0)</f>
        <v>0</v>
      </c>
      <c r="BI212" s="453">
        <f ca="1">IF(AND($D212="Serviço",BI$12&lt;&gt;0,$H212&gt;0,OR(AUTOEVENTO&lt;&gt;"manual",$M212&lt;&gt;$A$15)),
        IF(Import.TipoArredondamento&lt;&gt;"TransfereGOV",
              ROUND(OFFSET($P212,0,BI$13),15-13*ORÇAMENTO!$AF$7)/$H212*OFFSET(ORÇAMENTO!$X$15,ROW(BI212)-ROW(BI$15),0),
              ROUND(ROUND(OFFSET($P212,0,BI$13),15-13*ORÇAMENTO!$AF$7)*OFFSET(ORÇAMENTO!$W$15,ROW(BI212)-ROW(BI$15),0),15-13*ORÇAMENTO!$AF$11)),
         0)</f>
        <v>0</v>
      </c>
      <c r="BJ212" s="453">
        <f ca="1">IF(AND($D212="Serviço",BJ$12&lt;&gt;0,$H212&gt;0,OR(AUTOEVENTO&lt;&gt;"manual",$M212&lt;&gt;$A$15)),
        IF(Import.TipoArredondamento&lt;&gt;"TransfereGOV",
              ROUND(OFFSET($P212,0,BJ$13),15-13*ORÇAMENTO!$AF$7)/$H212*OFFSET(ORÇAMENTO!$X$15,ROW(BJ212)-ROW(BJ$15),0),
              ROUND(ROUND(OFFSET($P212,0,BJ$13),15-13*ORÇAMENTO!$AF$7)*OFFSET(ORÇAMENTO!$W$15,ROW(BJ212)-ROW(BJ$15),0),15-13*ORÇAMENTO!$AF$11)),
         0)</f>
        <v>0</v>
      </c>
      <c r="BK212" s="453">
        <f ca="1">IF(AND($D212="Serviço",BK$12&lt;&gt;0,$H212&gt;0,OR(AUTOEVENTO&lt;&gt;"manual",$M212&lt;&gt;$A$15)),
        IF(Import.TipoArredondamento&lt;&gt;"TransfereGOV",
              ROUND(OFFSET($P212,0,BK$13),15-13*ORÇAMENTO!$AF$7)/$H212*OFFSET(ORÇAMENTO!$X$15,ROW(BK212)-ROW(BK$15),0),
              ROUND(ROUND(OFFSET($P212,0,BK$13),15-13*ORÇAMENTO!$AF$7)*OFFSET(ORÇAMENTO!$W$15,ROW(BK212)-ROW(BK$15),0),15-13*ORÇAMENTO!$AF$11)),
         0)</f>
        <v>0</v>
      </c>
      <c r="BL212" s="453">
        <f ca="1">IF(AND($D212="Serviço",BL$12&lt;&gt;0,$H212&gt;0,OR(AUTOEVENTO&lt;&gt;"manual",$M212&lt;&gt;$A$15)),
        IF(Import.TipoArredondamento&lt;&gt;"TransfereGOV",
              ROUND(OFFSET($P212,0,BL$13),15-13*ORÇAMENTO!$AF$7)/$H212*OFFSET(ORÇAMENTO!$X$15,ROW(BL212)-ROW(BL$15),0),
              ROUND(ROUND(OFFSET($P212,0,BL$13),15-13*ORÇAMENTO!$AF$7)*OFFSET(ORÇAMENTO!$W$15,ROW(BL212)-ROW(BL$15),0),15-13*ORÇAMENTO!$AF$11)),
         0)</f>
        <v>0</v>
      </c>
      <c r="BM212" s="453">
        <f ca="1">IF(AND($D212="Serviço",BM$12&lt;&gt;0,$H212&gt;0,OR(AUTOEVENTO&lt;&gt;"manual",$M212&lt;&gt;$A$15)),
        IF(Import.TipoArredondamento&lt;&gt;"TransfereGOV",
              ROUND(OFFSET($P212,0,BM$13),15-13*ORÇAMENTO!$AF$7)/$H212*OFFSET(ORÇAMENTO!$X$15,ROW(BM212)-ROW(BM$15),0),
              ROUND(ROUND(OFFSET($P212,0,BM$13),15-13*ORÇAMENTO!$AF$7)*OFFSET(ORÇAMENTO!$W$15,ROW(BM212)-ROW(BM$15),0),15-13*ORÇAMENTO!$AF$11)),
         0)</f>
        <v>0</v>
      </c>
      <c r="BN212" s="453">
        <f ca="1">IF(AND($D212="Serviço",BN$12&lt;&gt;0,$H212&gt;0,OR(AUTOEVENTO&lt;&gt;"manual",$M212&lt;&gt;$A$15)),
        IF(Import.TipoArredondamento&lt;&gt;"TransfereGOV",
              ROUND(OFFSET($P212,0,BN$13),15-13*ORÇAMENTO!$AF$7)/$H212*OFFSET(ORÇAMENTO!$X$15,ROW(BN212)-ROW(BN$15),0),
              ROUND(ROUND(OFFSET($P212,0,BN$13),15-13*ORÇAMENTO!$AF$7)*OFFSET(ORÇAMENTO!$W$15,ROW(BN212)-ROW(BN$15),0),15-13*ORÇAMENTO!$AF$11)),
         0)</f>
        <v>0</v>
      </c>
      <c r="BO212" s="453">
        <f ca="1">IF(AND($D212="Serviço",BO$12&lt;&gt;0,$H212&gt;0,OR(AUTOEVENTO&lt;&gt;"manual",$M212&lt;&gt;$A$15)),
        IF(Import.TipoArredondamento&lt;&gt;"TransfereGOV",
              ROUND(OFFSET($P212,0,BO$13),15-13*ORÇAMENTO!$AF$7)/$H212*OFFSET(ORÇAMENTO!$X$15,ROW(BO212)-ROW(BO$15),0),
              ROUND(ROUND(OFFSET($P212,0,BO$13),15-13*ORÇAMENTO!$AF$7)*OFFSET(ORÇAMENTO!$W$15,ROW(BO212)-ROW(BO$15),0),15-13*ORÇAMENTO!$AF$11)),
         0)</f>
        <v>0</v>
      </c>
      <c r="BP212" s="453">
        <f ca="1">IF(AND($D212="Serviço",BP$12&lt;&gt;0,$H212&gt;0,OR(AUTOEVENTO&lt;&gt;"manual",$M212&lt;&gt;$A$15)),
        IF(Import.TipoArredondamento&lt;&gt;"TransfereGOV",
              ROUND(OFFSET($P212,0,BP$13),15-13*ORÇAMENTO!$AF$7)/$H212*OFFSET(ORÇAMENTO!$X$15,ROW(BP212)-ROW(BP$15),0),
              ROUND(ROUND(OFFSET($P212,0,BP$13),15-13*ORÇAMENTO!$AF$7)*OFFSET(ORÇAMENTO!$W$15,ROW(BP212)-ROW(BP$15),0),15-13*ORÇAMENTO!$AF$11)),
         0)</f>
        <v>0</v>
      </c>
      <c r="BQ212" s="453">
        <f ca="1">IF(AND($D212="Serviço",BQ$12&lt;&gt;0,$H212&gt;0,OR(AUTOEVENTO&lt;&gt;"manual",$M212&lt;&gt;$A$15)),
        IF(Import.TipoArredondamento&lt;&gt;"TransfereGOV",
              ROUND(OFFSET($P212,0,BQ$13),15-13*ORÇAMENTO!$AF$7)/$H212*OFFSET(ORÇAMENTO!$X$15,ROW(BQ212)-ROW(BQ$15),0),
              ROUND(ROUND(OFFSET($P212,0,BQ$13),15-13*ORÇAMENTO!$AF$7)*OFFSET(ORÇAMENTO!$W$15,ROW(BQ212)-ROW(BQ$15),0),15-13*ORÇAMENTO!$AF$11)),
         0)</f>
        <v>0</v>
      </c>
      <c r="BS212" s="171">
        <f ca="1">IF(OR($D212&lt;&gt;"Serviço",AND(AUTOEVENTO="Manual",$M212=$A$15)),0,
         IF(OFFSET(CRONOPLE!$F$15,$M212-$A$15,BS$13)=0,10^12,OFFSET(CRONOPLE!$F$15,$M212-$A$15,BS$13)))</f>
        <v>1</v>
      </c>
      <c r="BT212" s="171">
        <f ca="1">IF(OR($D212&lt;&gt;"Serviço",AND(AUTOEVENTO="Manual",$M212=$A$15)),0,
         IF(OFFSET(CRONOPLE!$F$15,$M212-$A$15,BT$13)=0,10^12,OFFSET(CRONOPLE!$F$15,$M212-$A$15,BT$13)))</f>
        <v>2</v>
      </c>
      <c r="BU212" s="171">
        <f ca="1">IF(OR($D212&lt;&gt;"Serviço",AND(AUTOEVENTO="Manual",$M212=$A$15)),0,
         IF(OFFSET(CRONOPLE!$F$15,$M212-$A$15,BU$13)=0,10^12,OFFSET(CRONOPLE!$F$15,$M212-$A$15,BU$13)))</f>
        <v>3</v>
      </c>
      <c r="BV212" s="171">
        <f ca="1">IF(OR($D212&lt;&gt;"Serviço",AND(AUTOEVENTO="Manual",$M212=$A$15)),0,
         IF(OFFSET(CRONOPLE!$F$15,$M212-$A$15,BV$13)=0,10^12,OFFSET(CRONOPLE!$F$15,$M212-$A$15,BV$13)))</f>
        <v>4</v>
      </c>
      <c r="BW212" s="171">
        <f ca="1">IF(OR($D212&lt;&gt;"Serviço",AND(AUTOEVENTO="Manual",$M212=$A$15)),0,
         IF(OFFSET(CRONOPLE!$F$15,$M212-$A$15,BW$13)=0,10^12,OFFSET(CRONOPLE!$F$15,$M212-$A$15,BW$13)))</f>
        <v>5</v>
      </c>
      <c r="BX212" s="171">
        <f ca="1">IF(OR($D212&lt;&gt;"Serviço",AND(AUTOEVENTO="Manual",$M212=$A$15)),0,
         IF(OFFSET(CRONOPLE!$F$15,$M212-$A$15,BX$13)=0,10^12,OFFSET(CRONOPLE!$F$15,$M212-$A$15,BX$13)))</f>
        <v>6</v>
      </c>
      <c r="BY212" s="171">
        <f ca="1">IF(OR($D212&lt;&gt;"Serviço",AND(AUTOEVENTO="Manual",$M212=$A$15)),0,
         IF(OFFSET(CRONOPLE!$F$15,$M212-$A$15,BY$13)=0,10^12,OFFSET(CRONOPLE!$F$15,$M212-$A$15,BY$13)))</f>
        <v>7</v>
      </c>
      <c r="BZ212" s="171">
        <f ca="1">IF(OR($D212&lt;&gt;"Serviço",AND(AUTOEVENTO="Manual",$M212=$A$15)),0,
         IF(OFFSET(CRONOPLE!$F$15,$M212-$A$15,BZ$13)=0,10^12,OFFSET(CRONOPLE!$F$15,$M212-$A$15,BZ$13)))</f>
        <v>8</v>
      </c>
      <c r="CA212" s="171">
        <f ca="1">IF(OR($D212&lt;&gt;"Serviço",AND(AUTOEVENTO="Manual",$M212=$A$15)),0,
         IF(OFFSET(CRONOPLE!$F$15,$M212-$A$15,CA$13)=0,10^12,OFFSET(CRONOPLE!$F$15,$M212-$A$15,CA$13)))</f>
        <v>9</v>
      </c>
      <c r="CB212" s="171">
        <f ca="1">IF(OR($D212&lt;&gt;"Serviço",AND(AUTOEVENTO="Manual",$M212=$A$15)),0,
         IF(OFFSET(CRONOPLE!$F$15,$M212-$A$15,CB$13)=0,10^12,OFFSET(CRONOPLE!$F$15,$M212-$A$15,CB$13)))</f>
        <v>10</v>
      </c>
      <c r="CC212" s="171">
        <f ca="1">IF(OR($D212&lt;&gt;"Serviço",AND(AUTOEVENTO="Manual",$M212=$A$15)),0,
         IF(OFFSET(CRONOPLE!$F$15,$M212-$A$15,CC$13)=0,10^12,OFFSET(CRONOPLE!$F$15,$M212-$A$15,CC$13)))</f>
        <v>11</v>
      </c>
      <c r="CD212" s="171">
        <f ca="1">IF(OR($D212&lt;&gt;"Serviço",AND(AUTOEVENTO="Manual",$M212=$A$15)),0,
         IF(OFFSET(CRONOPLE!$F$15,$M212-$A$15,CD$13)=0,10^12,OFFSET(CRONOPLE!$F$15,$M212-$A$15,CD$13)))</f>
        <v>12</v>
      </c>
      <c r="CE212" s="171">
        <f ca="1">IF(OR($D212&lt;&gt;"Serviço",AND(AUTOEVENTO="Manual",$M212=$A$15)),0,
         IF(OFFSET(CRONOPLE!$F$15,$M212-$A$15,CE$13)=0,10^12,OFFSET(CRONOPLE!$F$15,$M212-$A$15,CE$13)))</f>
        <v>13</v>
      </c>
      <c r="CF212" s="171">
        <f ca="1">IF(OR($D212&lt;&gt;"Serviço",AND(AUTOEVENTO="Manual",$M212=$A$15)),0,
         IF(OFFSET(CRONOPLE!$F$15,$M212-$A$15,CF$13)=0,10^12,OFFSET(CRONOPLE!$F$15,$M212-$A$15,CF$13)))</f>
        <v>14</v>
      </c>
      <c r="CG212" s="171">
        <f ca="1">IF(OR($D212&lt;&gt;"Serviço",AND(AUTOEVENTO="Manual",$M212=$A$15)),0,
         IF(OFFSET(CRONOPLE!$F$15,$M212-$A$15,CG$13)=0,10^12,OFFSET(CRONOPLE!$F$15,$M212-$A$15,CG$13)))</f>
        <v>15</v>
      </c>
      <c r="CH212" s="171">
        <f ca="1">IF(OR($D212&lt;&gt;"Serviço",AND(AUTOEVENTO="Manual",$M212=$A$15)),0,
         IF(OFFSET(CRONOPLE!$F$15,$M212-$A$15,CH$13)=0,10^12,OFFSET(CRONOPLE!$F$15,$M212-$A$15,CH$13)))</f>
        <v>16</v>
      </c>
      <c r="CI212" s="171">
        <f ca="1">IF(OR($D212&lt;&gt;"Serviço",AND(AUTOEVENTO="Manual",$M212=$A$15)),0,
         IF(OFFSET(CRONOPLE!$F$15,$M212-$A$15,CI$13)=0,10^12,OFFSET(CRONOPLE!$F$15,$M212-$A$15,CI$13)))</f>
        <v>17</v>
      </c>
      <c r="CJ212" s="171">
        <f ca="1">IF(OR($D212&lt;&gt;"Serviço",AND(AUTOEVENTO="Manual",$M212=$A$15)),0,
         IF(OFFSET(CRONOPLE!$F$15,$M212-$A$15,CJ$13)=0,10^12,OFFSET(CRONOPLE!$F$15,$M212-$A$15,CJ$13)))</f>
        <v>18</v>
      </c>
      <c r="CK212" s="171">
        <f ca="1">IF(OR($D212&lt;&gt;"Serviço",AND(AUTOEVENTO="Manual",$M212=$A$15)),0,
         IF(OFFSET(CRONOPLE!$F$15,$M212-$A$15,CK$13)=0,10^12,OFFSET(CRONOPLE!$F$15,$M212-$A$15,CK$13)))</f>
        <v>19</v>
      </c>
      <c r="CL212" s="171">
        <f ca="1">IF(OR($D212&lt;&gt;"Serviço",AND(AUTOEVENTO="Manual",$M212=$A$15)),0,
         IF(OFFSET(CRONOPLE!$F$15,$M212-$A$15,CL$13)=0,10^12,OFFSET(CRONOPLE!$F$15,$M212-$A$15,CL$13)))</f>
        <v>20</v>
      </c>
      <c r="CM212" s="171">
        <f ca="1">IF(OR($D212&lt;&gt;"Serviço",AND(AUTOEVENTO="Manual",$M212=$A$15)),0,
         IF(OFFSET(CRONOPLE!$F$15,$M212-$A$15,CM$13)=0,10^12,OFFSET(CRONOPLE!$F$15,$M212-$A$15,CM$13)))</f>
        <v>1000000000000</v>
      </c>
      <c r="CN212" s="171">
        <f ca="1">IF(OR($D212&lt;&gt;"Serviço",AND(AUTOEVENTO="Manual",$M212=$A$15)),0,
         IF(OFFSET(CRONOPLE!$F$15,$M212-$A$15,CN$13)=0,10^12,OFFSET(CRONOPLE!$F$15,$M212-$A$15,CN$13)))</f>
        <v>1000000000000</v>
      </c>
      <c r="CO212" s="171">
        <f ca="1">IF(OR($D212&lt;&gt;"Serviço",AND(AUTOEVENTO="Manual",$M212=$A$15)),0,
         IF(OFFSET(CRONOPLE!$F$15,$M212-$A$15,CO$13)=0,10^12,OFFSET(CRONOPLE!$F$15,$M212-$A$15,CO$13)))</f>
        <v>1000000000000</v>
      </c>
      <c r="CP212" s="171">
        <f ca="1">IF(OR($D212&lt;&gt;"Serviço",AND(AUTOEVENTO="Manual",$M212=$A$15)),0,
         IF(OFFSET(CRONOPLE!$F$15,$M212-$A$15,CP$13)=0,10^12,OFFSET(CRONOPLE!$F$15,$M212-$A$15,CP$13)))</f>
        <v>1000000000000</v>
      </c>
      <c r="CQ212" s="171">
        <f ca="1">IF(OR($D212&lt;&gt;"Serviço",AND(AUTOEVENTO="Manual",$M212=$A$15)),0,
         IF(OFFSET(CRONOPLE!$F$15,$M212-$A$15,CQ$13)=0,10^12,OFFSET(CRONOPLE!$F$15,$M212-$A$15,CQ$13)))</f>
        <v>1000000000000</v>
      </c>
      <c r="CR212" s="171">
        <f ca="1">IF(OR($D212&lt;&gt;"Serviço",AND(AUTOEVENTO="Manual",$M212=$A$15)),0,
         IF(OFFSET(CRONOPLE!$F$15,$M212-$A$15,CR$13)=0,10^12,OFFSET(CRONOPLE!$F$15,$M212-$A$15,CR$13)))</f>
        <v>1000000000000</v>
      </c>
      <c r="CT212" s="172" cm="1">
        <f t="array" aca="1" ref="CT212" ca="1">IF(OR($D212&lt;&gt;"Serviço",AND(AUTOEVENTO="Manual",$M212=$A$15),$M212&gt;(ROW(PLE.lastrow)-ROW(PLE.firstrow))),0,
           IF(OFFSET(PLE!$G$15,$M212-$A$15,CT$13)="",10^12,OFFSET(PLE!$G$15,$M212-$A$15,CT$13)))</f>
        <v>1000000000000</v>
      </c>
      <c r="CU212" s="172" cm="1">
        <f t="array" aca="1" ref="CU212" ca="1">IF(OR($D212&lt;&gt;"Serviço",AND(AUTOEVENTO="Manual",$M212=$A$15),$M212&gt;(ROW(PLE.lastrow)-ROW(PLE.firstrow))),0,
           IF(OFFSET(PLE!$G$15,$M212-$A$15,CU$13)="",10^12,OFFSET(PLE!$G$15,$M212-$A$15,CU$13)))</f>
        <v>1000000000000</v>
      </c>
      <c r="CV212" s="172" cm="1">
        <f t="array" aca="1" ref="CV212" ca="1">IF(OR($D212&lt;&gt;"Serviço",AND(AUTOEVENTO="Manual",$M212=$A$15),$M212&gt;(ROW(PLE.lastrow)-ROW(PLE.firstrow))),0,
           IF(OFFSET(PLE!$G$15,$M212-$A$15,CV$13)="",10^12,OFFSET(PLE!$G$15,$M212-$A$15,CV$13)))</f>
        <v>1000000000000</v>
      </c>
      <c r="CW212" s="172" cm="1">
        <f t="array" aca="1" ref="CW212" ca="1">IF(OR($D212&lt;&gt;"Serviço",AND(AUTOEVENTO="Manual",$M212=$A$15),$M212&gt;(ROW(PLE.lastrow)-ROW(PLE.firstrow))),0,
           IF(OFFSET(PLE!$G$15,$M212-$A$15,CW$13)="",10^12,OFFSET(PLE!$G$15,$M212-$A$15,CW$13)))</f>
        <v>1000000000000</v>
      </c>
      <c r="CX212" s="172" cm="1">
        <f t="array" aca="1" ref="CX212" ca="1">IF(OR($D212&lt;&gt;"Serviço",AND(AUTOEVENTO="Manual",$M212=$A$15),$M212&gt;(ROW(PLE.lastrow)-ROW(PLE.firstrow))),0,
           IF(OFFSET(PLE!$G$15,$M212-$A$15,CX$13)="",10^12,OFFSET(PLE!$G$15,$M212-$A$15,CX$13)))</f>
        <v>1000000000000</v>
      </c>
      <c r="CY212" s="172" cm="1">
        <f t="array" aca="1" ref="CY212" ca="1">IF(OR($D212&lt;&gt;"Serviço",AND(AUTOEVENTO="Manual",$M212=$A$15),$M212&gt;(ROW(PLE.lastrow)-ROW(PLE.firstrow))),0,
           IF(OFFSET(PLE!$G$15,$M212-$A$15,CY$13)="",10^12,OFFSET(PLE!$G$15,$M212-$A$15,CY$13)))</f>
        <v>1000000000000</v>
      </c>
      <c r="CZ212" s="172" cm="1">
        <f t="array" aca="1" ref="CZ212" ca="1">IF(OR($D212&lt;&gt;"Serviço",AND(AUTOEVENTO="Manual",$M212=$A$15),$M212&gt;(ROW(PLE.lastrow)-ROW(PLE.firstrow))),0,
           IF(OFFSET(PLE!$G$15,$M212-$A$15,CZ$13)="",10^12,OFFSET(PLE!$G$15,$M212-$A$15,CZ$13)))</f>
        <v>1000000000000</v>
      </c>
      <c r="DA212" s="172" cm="1">
        <f t="array" aca="1" ref="DA212" ca="1">IF(OR($D212&lt;&gt;"Serviço",AND(AUTOEVENTO="Manual",$M212=$A$15),$M212&gt;(ROW(PLE.lastrow)-ROW(PLE.firstrow))),0,
           IF(OFFSET(PLE!$G$15,$M212-$A$15,DA$13)="",10^12,OFFSET(PLE!$G$15,$M212-$A$15,DA$13)))</f>
        <v>1000000000000</v>
      </c>
      <c r="DB212" s="172" cm="1">
        <f t="array" aca="1" ref="DB212" ca="1">IF(OR($D212&lt;&gt;"Serviço",AND(AUTOEVENTO="Manual",$M212=$A$15),$M212&gt;(ROW(PLE.lastrow)-ROW(PLE.firstrow))),0,
           IF(OFFSET(PLE!$G$15,$M212-$A$15,DB$13)="",10^12,OFFSET(PLE!$G$15,$M212-$A$15,DB$13)))</f>
        <v>1000000000000</v>
      </c>
      <c r="DC212" s="172" cm="1">
        <f t="array" aca="1" ref="DC212" ca="1">IF(OR($D212&lt;&gt;"Serviço",AND(AUTOEVENTO="Manual",$M212=$A$15),$M212&gt;(ROW(PLE.lastrow)-ROW(PLE.firstrow))),0,
           IF(OFFSET(PLE!$G$15,$M212-$A$15,DC$13)="",10^12,OFFSET(PLE!$G$15,$M212-$A$15,DC$13)))</f>
        <v>1000000000000</v>
      </c>
      <c r="DD212" s="172" cm="1">
        <f t="array" aca="1" ref="DD212" ca="1">IF(OR($D212&lt;&gt;"Serviço",AND(AUTOEVENTO="Manual",$M212=$A$15),$M212&gt;(ROW(PLE.lastrow)-ROW(PLE.firstrow))),0,
           IF(OFFSET(PLE!$G$15,$M212-$A$15,DD$13)="",10^12,OFFSET(PLE!$G$15,$M212-$A$15,DD$13)))</f>
        <v>1000000000000</v>
      </c>
      <c r="DE212" s="172" cm="1">
        <f t="array" aca="1" ref="DE212" ca="1">IF(OR($D212&lt;&gt;"Serviço",AND(AUTOEVENTO="Manual",$M212=$A$15),$M212&gt;(ROW(PLE.lastrow)-ROW(PLE.firstrow))),0,
           IF(OFFSET(PLE!$G$15,$M212-$A$15,DE$13)="",10^12,OFFSET(PLE!$G$15,$M212-$A$15,DE$13)))</f>
        <v>1000000000000</v>
      </c>
      <c r="DF212" s="172" cm="1">
        <f t="array" aca="1" ref="DF212" ca="1">IF(OR($D212&lt;&gt;"Serviço",AND(AUTOEVENTO="Manual",$M212=$A$15),$M212&gt;(ROW(PLE.lastrow)-ROW(PLE.firstrow))),0,
           IF(OFFSET(PLE!$G$15,$M212-$A$15,DF$13)="",10^12,OFFSET(PLE!$G$15,$M212-$A$15,DF$13)))</f>
        <v>1000000000000</v>
      </c>
      <c r="DG212" s="172" cm="1">
        <f t="array" aca="1" ref="DG212" ca="1">IF(OR($D212&lt;&gt;"Serviço",AND(AUTOEVENTO="Manual",$M212=$A$15),$M212&gt;(ROW(PLE.lastrow)-ROW(PLE.firstrow))),0,
           IF(OFFSET(PLE!$G$15,$M212-$A$15,DG$13)="",10^12,OFFSET(PLE!$G$15,$M212-$A$15,DG$13)))</f>
        <v>1000000000000</v>
      </c>
      <c r="DH212" s="172" cm="1">
        <f t="array" aca="1" ref="DH212" ca="1">IF(OR($D212&lt;&gt;"Serviço",AND(AUTOEVENTO="Manual",$M212=$A$15),$M212&gt;(ROW(PLE.lastrow)-ROW(PLE.firstrow))),0,
           IF(OFFSET(PLE!$G$15,$M212-$A$15,DH$13)="",10^12,OFFSET(PLE!$G$15,$M212-$A$15,DH$13)))</f>
        <v>1000000000000</v>
      </c>
      <c r="DI212" s="172" cm="1">
        <f t="array" aca="1" ref="DI212" ca="1">IF(OR($D212&lt;&gt;"Serviço",AND(AUTOEVENTO="Manual",$M212=$A$15),$M212&gt;(ROW(PLE.lastrow)-ROW(PLE.firstrow))),0,
           IF(OFFSET(PLE!$G$15,$M212-$A$15,DI$13)="",10^12,OFFSET(PLE!$G$15,$M212-$A$15,DI$13)))</f>
        <v>1000000000000</v>
      </c>
      <c r="DJ212" s="172" cm="1">
        <f t="array" aca="1" ref="DJ212" ca="1">IF(OR($D212&lt;&gt;"Serviço",AND(AUTOEVENTO="Manual",$M212=$A$15),$M212&gt;(ROW(PLE.lastrow)-ROW(PLE.firstrow))),0,
           IF(OFFSET(PLE!$G$15,$M212-$A$15,DJ$13)="",10^12,OFFSET(PLE!$G$15,$M212-$A$15,DJ$13)))</f>
        <v>1000000000000</v>
      </c>
      <c r="DK212" s="172" cm="1">
        <f t="array" aca="1" ref="DK212" ca="1">IF(OR($D212&lt;&gt;"Serviço",AND(AUTOEVENTO="Manual",$M212=$A$15),$M212&gt;(ROW(PLE.lastrow)-ROW(PLE.firstrow))),0,
           IF(OFFSET(PLE!$G$15,$M212-$A$15,DK$13)="",10^12,OFFSET(PLE!$G$15,$M212-$A$15,DK$13)))</f>
        <v>1000000000000</v>
      </c>
      <c r="DL212" s="172" cm="1">
        <f t="array" aca="1" ref="DL212" ca="1">IF(OR($D212&lt;&gt;"Serviço",AND(AUTOEVENTO="Manual",$M212=$A$15),$M212&gt;(ROW(PLE.lastrow)-ROW(PLE.firstrow))),0,
           IF(OFFSET(PLE!$G$15,$M212-$A$15,DL$13)="",10^12,OFFSET(PLE!$G$15,$M212-$A$15,DL$13)))</f>
        <v>1000000000000</v>
      </c>
      <c r="DM212" s="172" cm="1">
        <f t="array" aca="1" ref="DM212" ca="1">IF(OR($D212&lt;&gt;"Serviço",AND(AUTOEVENTO="Manual",$M212=$A$15),$M212&gt;(ROW(PLE.lastrow)-ROW(PLE.firstrow))),0,
           IF(OFFSET(PLE!$G$15,$M212-$A$15,DM$13)="",10^12,OFFSET(PLE!$G$15,$M212-$A$15,DM$13)))</f>
        <v>1000000000000</v>
      </c>
      <c r="DN212" s="172" cm="1">
        <f t="array" aca="1" ref="DN212" ca="1">IF(OR($D212&lt;&gt;"Serviço",AND(AUTOEVENTO="Manual",$M212=$A$15),$M212&gt;(ROW(PLE.lastrow)-ROW(PLE.firstrow))),0,
           IF(OFFSET(PLE!$G$15,$M212-$A$15,DN$13)="",10^12,OFFSET(PLE!$G$15,$M212-$A$15,DN$13)))</f>
        <v>1000000000000</v>
      </c>
      <c r="DO212" s="172" cm="1">
        <f t="array" aca="1" ref="DO212" ca="1">IF(OR($D212&lt;&gt;"Serviço",AND(AUTOEVENTO="Manual",$M212=$A$15),$M212&gt;(ROW(PLE.lastrow)-ROW(PLE.firstrow))),0,
           IF(OFFSET(PLE!$G$15,$M212-$A$15,DO$13)="",10^12,OFFSET(PLE!$G$15,$M212-$A$15,DO$13)))</f>
        <v>1000000000000</v>
      </c>
      <c r="DP212" s="172" cm="1">
        <f t="array" aca="1" ref="DP212" ca="1">IF(OR($D212&lt;&gt;"Serviço",AND(AUTOEVENTO="Manual",$M212=$A$15),$M212&gt;(ROW(PLE.lastrow)-ROW(PLE.firstrow))),0,
           IF(OFFSET(PLE!$G$15,$M212-$A$15,DP$13)="",10^12,OFFSET(PLE!$G$15,$M212-$A$15,DP$13)))</f>
        <v>1000000000000</v>
      </c>
      <c r="DQ212" s="172" cm="1">
        <f t="array" aca="1" ref="DQ212" ca="1">IF(OR($D212&lt;&gt;"Serviço",AND(AUTOEVENTO="Manual",$M212=$A$15),$M212&gt;(ROW(PLE.lastrow)-ROW(PLE.firstrow))),0,
           IF(OFFSET(PLE!$G$15,$M212-$A$15,DQ$13)="",10^12,OFFSET(PLE!$G$15,$M212-$A$15,DQ$13)))</f>
        <v>1000000000000</v>
      </c>
      <c r="DR212" s="172" cm="1">
        <f t="array" aca="1" ref="DR212" ca="1">IF(OR($D212&lt;&gt;"Serviço",AND(AUTOEVENTO="Manual",$M212=$A$15),$M212&gt;(ROW(PLE.lastrow)-ROW(PLE.firstrow))),0,
           IF(OFFSET(PLE!$G$15,$M212-$A$15,DR$13)="",10^12,OFFSET(PLE!$G$15,$M212-$A$15,DR$13)))</f>
        <v>1000000000000</v>
      </c>
      <c r="DS212" s="172" cm="1">
        <f t="array" aca="1" ref="DS212" ca="1">IF(OR($D212&lt;&gt;"Serviço",AND(AUTOEVENTO="Manual",$M212=$A$15),$M212&gt;(ROW(PLE.lastrow)-ROW(PLE.firstrow))),0,
           IF(OFFSET(PLE!$G$15,$M212-$A$15,DS$13)="",10^12,OFFSET(PLE!$G$15,$M212-$A$15,DS$13)))</f>
        <v>1000000000000</v>
      </c>
    </row>
    <row r="213" spans="1:123" ht="38.25" x14ac:dyDescent="0.2">
      <c r="A213" s="7">
        <f t="shared" ref="A213:A243" ca="1" si="19">IFERROR(IF(AUTOEVENTO="Manual",IF(K213&lt;&gt;"",MIN(VALUE(LEFT(K213,FIND(".",K213)-1)),COUNTA(EVENTOS.Lista)),0),IF(OR($B213&gt;AUTOEVENTO,$B213="S",$B213=0),SUBSTITUTE(OFFSET($A213,-1,0),IF($D213="Serviço",".",""),""),$L213&amp;".")),0)</f>
        <v>9</v>
      </c>
      <c r="B213" s="7" t="str">
        <f ca="1">OFFSET(ORÇAMENTO!C$15,$L213,0)</f>
        <v>S</v>
      </c>
      <c r="C213" s="7" t="str">
        <f ca="1">OFFSET(ORÇAMENTO!L$15,$L213,0)</f>
        <v/>
      </c>
      <c r="D213" s="116" t="str">
        <f ca="1">OFFSET(ORÇAMENTO!N$15,$L213,0)</f>
        <v>Serviço</v>
      </c>
      <c r="E213" s="117" t="str">
        <f ca="1">OFFSET(ORÇAMENTO!O$15,$L213,0)</f>
        <v>-</v>
      </c>
      <c r="F213" s="163" t="str">
        <f ca="1">OFFSET(ORÇAMENTO!R$15,$L213,0)</f>
        <v>(Código não identificado nas referências)</v>
      </c>
      <c r="G213" s="164" t="str">
        <f ca="1">IF($D213&lt;&gt;"Serviço","",OFFSET(ORÇAMENTO!S$15,$L213,0))</f>
        <v>-</v>
      </c>
      <c r="H213" s="122" cm="1">
        <f t="array" aca="1" ref="H213" ca="1">IF($D213&lt;&gt;"Serviço",0,IF(ACOMPANHAMENTO="BM",ROUND(OFFSET(ORÇAMENTO!AJ$15,$L213,0),15-13*ORÇAMENTO!$AF$7),IF(IFERROR(CÁLCULO.FrentesPreenchidas,0)=0,0,SUM(ROUND(OFFSET($P213,0,1,1,CÁLCULO.FrentesPreenchidas),15-13*ORÇAMENTO!$AF$7)))))</f>
        <v>67.000000000000014</v>
      </c>
      <c r="I213" s="468" t="s">
        <v>1235</v>
      </c>
      <c r="J213" s="651" t="str" cm="1">
        <f t="array" aca="1" ref="J213" ca="1">IF(OR(B213&lt;&gt;"S",CÁLCULO.FrentesPreenchidas=0),"",IF(AND(ACOMPANHAMENTO="PLE",AUTOEVENTO="Manual",OR(H213&gt;0,ORÇAMENTO!AC213="QUANT."),OR(K213="",M213=0,N213="")),"►E",IF(AND(ACOMPANHAMENTO="PLE",ORÇAMENTO!AC213="QUANT."),"►Q",IF(AND(ACOMPANHAMENTO="PLE",H213&lt;&gt;SUMPRODUCT(($Q$1:$AQ$1=1)*ROUND(Q213:AQ213,15))),"►S",IF(AND(COUNTIF($P$11:$AQ$11,"▼")=0,H213&gt;0,I213=""),"◄M","")))))</f>
        <v/>
      </c>
      <c r="K213" s="652" t="s">
        <v>1257</v>
      </c>
      <c r="L213" s="165">
        <f t="shared" ref="L213:L243" ca="1" si="20">OFFSET(L213,-1,0)+1</f>
        <v>198</v>
      </c>
      <c r="M213" s="166">
        <f ca="1">IF($D213&lt;&gt;"Serviço","",
          IF(AUTOEVENTO="manual",$A213,
                IF(ISERROR(MATCH($A213,$A$15:OFFSET($A213,-1,0),0)),MAX($M$15:OFFSET(M213,-1,0))+1,
                      INDEX($M$15:OFFSET(M213,-1,0),MATCH($A213,$A$15:OFFSET($A213,-1,0),0)))))</f>
        <v>9</v>
      </c>
      <c r="N213" s="167" t="str">
        <f ca="1">IF($D213&lt;&gt;"Serviço","",
         IF(AUTOEVENTO="Manual",
                IF($A213=0,"&lt;-- defina o número do agrupador",
                       OFFSET(EVENTOS!$D$15,$A213-$A$15,0)),
                OFFSET($F$15,$A213,0)))</f>
        <v>INSTALAÇÕES</v>
      </c>
      <c r="O213" s="168"/>
      <c r="Q213" s="168">
        <v>3.35</v>
      </c>
      <c r="R213" s="169">
        <v>3.35</v>
      </c>
      <c r="S213" s="169">
        <v>3.35</v>
      </c>
      <c r="T213" s="169">
        <v>3.35</v>
      </c>
      <c r="U213" s="169">
        <v>3.35</v>
      </c>
      <c r="V213" s="169">
        <v>3.35</v>
      </c>
      <c r="W213" s="169">
        <v>3.35</v>
      </c>
      <c r="X213" s="169">
        <v>3.35</v>
      </c>
      <c r="Y213" s="169">
        <v>3.35</v>
      </c>
      <c r="Z213" s="170">
        <v>3.35</v>
      </c>
      <c r="AA213" s="169">
        <v>3.35</v>
      </c>
      <c r="AB213" s="169">
        <v>3.35</v>
      </c>
      <c r="AC213" s="169">
        <v>3.35</v>
      </c>
      <c r="AD213" s="169">
        <v>3.35</v>
      </c>
      <c r="AE213" s="169">
        <v>3.35</v>
      </c>
      <c r="AF213" s="169">
        <v>3.35</v>
      </c>
      <c r="AG213" s="169">
        <v>3.35</v>
      </c>
      <c r="AH213" s="170">
        <v>3.35</v>
      </c>
      <c r="AI213" s="169">
        <v>3.35</v>
      </c>
      <c r="AJ213" s="169">
        <v>3.35</v>
      </c>
      <c r="AK213" s="169"/>
      <c r="AL213" s="169"/>
      <c r="AM213" s="169"/>
      <c r="AN213" s="169"/>
      <c r="AO213" s="169"/>
      <c r="AP213" s="170"/>
      <c r="AR213" s="453">
        <f ca="1">IF(AND($D213="Serviço",AR$12&lt;&gt;0,$H213&gt;0,OR(AUTOEVENTO&lt;&gt;"manual",$M213&lt;&gt;$A$15)),
        IF(Import.TipoArredondamento&lt;&gt;"TransfereGOV",
              ROUND(OFFSET($P213,0,AR$13),15-13*ORÇAMENTO!$AF$7)/$H213*OFFSET(ORÇAMENTO!$X$15,ROW(AR213)-ROW(AR$15),0),
              ROUND(ROUND(OFFSET($P213,0,AR$13),15-13*ORÇAMENTO!$AF$7)*OFFSET(ORÇAMENTO!$W$15,ROW(AR213)-ROW(AR$15),0),15-13*ORÇAMENTO!$AF$11)),
         0)</f>
        <v>0</v>
      </c>
      <c r="AS213" s="453">
        <f ca="1">IF(AND($D213="Serviço",AS$12&lt;&gt;0,$H213&gt;0,OR(AUTOEVENTO&lt;&gt;"manual",$M213&lt;&gt;$A$15)),
        IF(Import.TipoArredondamento&lt;&gt;"TransfereGOV",
              ROUND(OFFSET($P213,0,AS$13),15-13*ORÇAMENTO!$AF$7)/$H213*OFFSET(ORÇAMENTO!$X$15,ROW(AS213)-ROW(AS$15),0),
              ROUND(ROUND(OFFSET($P213,0,AS$13),15-13*ORÇAMENTO!$AF$7)*OFFSET(ORÇAMENTO!$W$15,ROW(AS213)-ROW(AS$15),0),15-13*ORÇAMENTO!$AF$11)),
         0)</f>
        <v>0</v>
      </c>
      <c r="AT213" s="453">
        <f ca="1">IF(AND($D213="Serviço",AT$12&lt;&gt;0,$H213&gt;0,OR(AUTOEVENTO&lt;&gt;"manual",$M213&lt;&gt;$A$15)),
        IF(Import.TipoArredondamento&lt;&gt;"TransfereGOV",
              ROUND(OFFSET($P213,0,AT$13),15-13*ORÇAMENTO!$AF$7)/$H213*OFFSET(ORÇAMENTO!$X$15,ROW(AT213)-ROW(AT$15),0),
              ROUND(ROUND(OFFSET($P213,0,AT$13),15-13*ORÇAMENTO!$AF$7)*OFFSET(ORÇAMENTO!$W$15,ROW(AT213)-ROW(AT$15),0),15-13*ORÇAMENTO!$AF$11)),
         0)</f>
        <v>0</v>
      </c>
      <c r="AU213" s="453">
        <f ca="1">IF(AND($D213="Serviço",AU$12&lt;&gt;0,$H213&gt;0,OR(AUTOEVENTO&lt;&gt;"manual",$M213&lt;&gt;$A$15)),
        IF(Import.TipoArredondamento&lt;&gt;"TransfereGOV",
              ROUND(OFFSET($P213,0,AU$13),15-13*ORÇAMENTO!$AF$7)/$H213*OFFSET(ORÇAMENTO!$X$15,ROW(AU213)-ROW(AU$15),0),
              ROUND(ROUND(OFFSET($P213,0,AU$13),15-13*ORÇAMENTO!$AF$7)*OFFSET(ORÇAMENTO!$W$15,ROW(AU213)-ROW(AU$15),0),15-13*ORÇAMENTO!$AF$11)),
         0)</f>
        <v>0</v>
      </c>
      <c r="AV213" s="453">
        <f ca="1">IF(AND($D213="Serviço",AV$12&lt;&gt;0,$H213&gt;0,OR(AUTOEVENTO&lt;&gt;"manual",$M213&lt;&gt;$A$15)),
        IF(Import.TipoArredondamento&lt;&gt;"TransfereGOV",
              ROUND(OFFSET($P213,0,AV$13),15-13*ORÇAMENTO!$AF$7)/$H213*OFFSET(ORÇAMENTO!$X$15,ROW(AV213)-ROW(AV$15),0),
              ROUND(ROUND(OFFSET($P213,0,AV$13),15-13*ORÇAMENTO!$AF$7)*OFFSET(ORÇAMENTO!$W$15,ROW(AV213)-ROW(AV$15),0),15-13*ORÇAMENTO!$AF$11)),
         0)</f>
        <v>0</v>
      </c>
      <c r="AW213" s="453">
        <f ca="1">IF(AND($D213="Serviço",AW$12&lt;&gt;0,$H213&gt;0,OR(AUTOEVENTO&lt;&gt;"manual",$M213&lt;&gt;$A$15)),
        IF(Import.TipoArredondamento&lt;&gt;"TransfereGOV",
              ROUND(OFFSET($P213,0,AW$13),15-13*ORÇAMENTO!$AF$7)/$H213*OFFSET(ORÇAMENTO!$X$15,ROW(AW213)-ROW(AW$15),0),
              ROUND(ROUND(OFFSET($P213,0,AW$13),15-13*ORÇAMENTO!$AF$7)*OFFSET(ORÇAMENTO!$W$15,ROW(AW213)-ROW(AW$15),0),15-13*ORÇAMENTO!$AF$11)),
         0)</f>
        <v>0</v>
      </c>
      <c r="AX213" s="453">
        <f ca="1">IF(AND($D213="Serviço",AX$12&lt;&gt;0,$H213&gt;0,OR(AUTOEVENTO&lt;&gt;"manual",$M213&lt;&gt;$A$15)),
        IF(Import.TipoArredondamento&lt;&gt;"TransfereGOV",
              ROUND(OFFSET($P213,0,AX$13),15-13*ORÇAMENTO!$AF$7)/$H213*OFFSET(ORÇAMENTO!$X$15,ROW(AX213)-ROW(AX$15),0),
              ROUND(ROUND(OFFSET($P213,0,AX$13),15-13*ORÇAMENTO!$AF$7)*OFFSET(ORÇAMENTO!$W$15,ROW(AX213)-ROW(AX$15),0),15-13*ORÇAMENTO!$AF$11)),
         0)</f>
        <v>0</v>
      </c>
      <c r="AY213" s="453">
        <f ca="1">IF(AND($D213="Serviço",AY$12&lt;&gt;0,$H213&gt;0,OR(AUTOEVENTO&lt;&gt;"manual",$M213&lt;&gt;$A$15)),
        IF(Import.TipoArredondamento&lt;&gt;"TransfereGOV",
              ROUND(OFFSET($P213,0,AY$13),15-13*ORÇAMENTO!$AF$7)/$H213*OFFSET(ORÇAMENTO!$X$15,ROW(AY213)-ROW(AY$15),0),
              ROUND(ROUND(OFFSET($P213,0,AY$13),15-13*ORÇAMENTO!$AF$7)*OFFSET(ORÇAMENTO!$W$15,ROW(AY213)-ROW(AY$15),0),15-13*ORÇAMENTO!$AF$11)),
         0)</f>
        <v>0</v>
      </c>
      <c r="AZ213" s="453">
        <f ca="1">IF(AND($D213="Serviço",AZ$12&lt;&gt;0,$H213&gt;0,OR(AUTOEVENTO&lt;&gt;"manual",$M213&lt;&gt;$A$15)),
        IF(Import.TipoArredondamento&lt;&gt;"TransfereGOV",
              ROUND(OFFSET($P213,0,AZ$13),15-13*ORÇAMENTO!$AF$7)/$H213*OFFSET(ORÇAMENTO!$X$15,ROW(AZ213)-ROW(AZ$15),0),
              ROUND(ROUND(OFFSET($P213,0,AZ$13),15-13*ORÇAMENTO!$AF$7)*OFFSET(ORÇAMENTO!$W$15,ROW(AZ213)-ROW(AZ$15),0),15-13*ORÇAMENTO!$AF$11)),
         0)</f>
        <v>0</v>
      </c>
      <c r="BA213" s="453">
        <f ca="1">IF(AND($D213="Serviço",BA$12&lt;&gt;0,$H213&gt;0,OR(AUTOEVENTO&lt;&gt;"manual",$M213&lt;&gt;$A$15)),
        IF(Import.TipoArredondamento&lt;&gt;"TransfereGOV",
              ROUND(OFFSET($P213,0,BA$13),15-13*ORÇAMENTO!$AF$7)/$H213*OFFSET(ORÇAMENTO!$X$15,ROW(BA213)-ROW(BA$15),0),
              ROUND(ROUND(OFFSET($P213,0,BA$13),15-13*ORÇAMENTO!$AF$7)*OFFSET(ORÇAMENTO!$W$15,ROW(BA213)-ROW(BA$15),0),15-13*ORÇAMENTO!$AF$11)),
         0)</f>
        <v>0</v>
      </c>
      <c r="BB213" s="453">
        <f ca="1">IF(AND($D213="Serviço",BB$12&lt;&gt;0,$H213&gt;0,OR(AUTOEVENTO&lt;&gt;"manual",$M213&lt;&gt;$A$15)),
        IF(Import.TipoArredondamento&lt;&gt;"TransfereGOV",
              ROUND(OFFSET($P213,0,BB$13),15-13*ORÇAMENTO!$AF$7)/$H213*OFFSET(ORÇAMENTO!$X$15,ROW(BB213)-ROW(BB$15),0),
              ROUND(ROUND(OFFSET($P213,0,BB$13),15-13*ORÇAMENTO!$AF$7)*OFFSET(ORÇAMENTO!$W$15,ROW(BB213)-ROW(BB$15),0),15-13*ORÇAMENTO!$AF$11)),
         0)</f>
        <v>0</v>
      </c>
      <c r="BC213" s="453">
        <f ca="1">IF(AND($D213="Serviço",BC$12&lt;&gt;0,$H213&gt;0,OR(AUTOEVENTO&lt;&gt;"manual",$M213&lt;&gt;$A$15)),
        IF(Import.TipoArredondamento&lt;&gt;"TransfereGOV",
              ROUND(OFFSET($P213,0,BC$13),15-13*ORÇAMENTO!$AF$7)/$H213*OFFSET(ORÇAMENTO!$X$15,ROW(BC213)-ROW(BC$15),0),
              ROUND(ROUND(OFFSET($P213,0,BC$13),15-13*ORÇAMENTO!$AF$7)*OFFSET(ORÇAMENTO!$W$15,ROW(BC213)-ROW(BC$15),0),15-13*ORÇAMENTO!$AF$11)),
         0)</f>
        <v>0</v>
      </c>
      <c r="BD213" s="453">
        <f ca="1">IF(AND($D213="Serviço",BD$12&lt;&gt;0,$H213&gt;0,OR(AUTOEVENTO&lt;&gt;"manual",$M213&lt;&gt;$A$15)),
        IF(Import.TipoArredondamento&lt;&gt;"TransfereGOV",
              ROUND(OFFSET($P213,0,BD$13),15-13*ORÇAMENTO!$AF$7)/$H213*OFFSET(ORÇAMENTO!$X$15,ROW(BD213)-ROW(BD$15),0),
              ROUND(ROUND(OFFSET($P213,0,BD$13),15-13*ORÇAMENTO!$AF$7)*OFFSET(ORÇAMENTO!$W$15,ROW(BD213)-ROW(BD$15),0),15-13*ORÇAMENTO!$AF$11)),
         0)</f>
        <v>0</v>
      </c>
      <c r="BE213" s="453">
        <f ca="1">IF(AND($D213="Serviço",BE$12&lt;&gt;0,$H213&gt;0,OR(AUTOEVENTO&lt;&gt;"manual",$M213&lt;&gt;$A$15)),
        IF(Import.TipoArredondamento&lt;&gt;"TransfereGOV",
              ROUND(OFFSET($P213,0,BE$13),15-13*ORÇAMENTO!$AF$7)/$H213*OFFSET(ORÇAMENTO!$X$15,ROW(BE213)-ROW(BE$15),0),
              ROUND(ROUND(OFFSET($P213,0,BE$13),15-13*ORÇAMENTO!$AF$7)*OFFSET(ORÇAMENTO!$W$15,ROW(BE213)-ROW(BE$15),0),15-13*ORÇAMENTO!$AF$11)),
         0)</f>
        <v>0</v>
      </c>
      <c r="BF213" s="453">
        <f ca="1">IF(AND($D213="Serviço",BF$12&lt;&gt;0,$H213&gt;0,OR(AUTOEVENTO&lt;&gt;"manual",$M213&lt;&gt;$A$15)),
        IF(Import.TipoArredondamento&lt;&gt;"TransfereGOV",
              ROUND(OFFSET($P213,0,BF$13),15-13*ORÇAMENTO!$AF$7)/$H213*OFFSET(ORÇAMENTO!$X$15,ROW(BF213)-ROW(BF$15),0),
              ROUND(ROUND(OFFSET($P213,0,BF$13),15-13*ORÇAMENTO!$AF$7)*OFFSET(ORÇAMENTO!$W$15,ROW(BF213)-ROW(BF$15),0),15-13*ORÇAMENTO!$AF$11)),
         0)</f>
        <v>0</v>
      </c>
      <c r="BG213" s="453">
        <f ca="1">IF(AND($D213="Serviço",BG$12&lt;&gt;0,$H213&gt;0,OR(AUTOEVENTO&lt;&gt;"manual",$M213&lt;&gt;$A$15)),
        IF(Import.TipoArredondamento&lt;&gt;"TransfereGOV",
              ROUND(OFFSET($P213,0,BG$13),15-13*ORÇAMENTO!$AF$7)/$H213*OFFSET(ORÇAMENTO!$X$15,ROW(BG213)-ROW(BG$15),0),
              ROUND(ROUND(OFFSET($P213,0,BG$13),15-13*ORÇAMENTO!$AF$7)*OFFSET(ORÇAMENTO!$W$15,ROW(BG213)-ROW(BG$15),0),15-13*ORÇAMENTO!$AF$11)),
         0)</f>
        <v>0</v>
      </c>
      <c r="BH213" s="453">
        <f ca="1">IF(AND($D213="Serviço",BH$12&lt;&gt;0,$H213&gt;0,OR(AUTOEVENTO&lt;&gt;"manual",$M213&lt;&gt;$A$15)),
        IF(Import.TipoArredondamento&lt;&gt;"TransfereGOV",
              ROUND(OFFSET($P213,0,BH$13),15-13*ORÇAMENTO!$AF$7)/$H213*OFFSET(ORÇAMENTO!$X$15,ROW(BH213)-ROW(BH$15),0),
              ROUND(ROUND(OFFSET($P213,0,BH$13),15-13*ORÇAMENTO!$AF$7)*OFFSET(ORÇAMENTO!$W$15,ROW(BH213)-ROW(BH$15),0),15-13*ORÇAMENTO!$AF$11)),
         0)</f>
        <v>0</v>
      </c>
      <c r="BI213" s="453">
        <f ca="1">IF(AND($D213="Serviço",BI$12&lt;&gt;0,$H213&gt;0,OR(AUTOEVENTO&lt;&gt;"manual",$M213&lt;&gt;$A$15)),
        IF(Import.TipoArredondamento&lt;&gt;"TransfereGOV",
              ROUND(OFFSET($P213,0,BI$13),15-13*ORÇAMENTO!$AF$7)/$H213*OFFSET(ORÇAMENTO!$X$15,ROW(BI213)-ROW(BI$15),0),
              ROUND(ROUND(OFFSET($P213,0,BI$13),15-13*ORÇAMENTO!$AF$7)*OFFSET(ORÇAMENTO!$W$15,ROW(BI213)-ROW(BI$15),0),15-13*ORÇAMENTO!$AF$11)),
         0)</f>
        <v>0</v>
      </c>
      <c r="BJ213" s="453">
        <f ca="1">IF(AND($D213="Serviço",BJ$12&lt;&gt;0,$H213&gt;0,OR(AUTOEVENTO&lt;&gt;"manual",$M213&lt;&gt;$A$15)),
        IF(Import.TipoArredondamento&lt;&gt;"TransfereGOV",
              ROUND(OFFSET($P213,0,BJ$13),15-13*ORÇAMENTO!$AF$7)/$H213*OFFSET(ORÇAMENTO!$X$15,ROW(BJ213)-ROW(BJ$15),0),
              ROUND(ROUND(OFFSET($P213,0,BJ$13),15-13*ORÇAMENTO!$AF$7)*OFFSET(ORÇAMENTO!$W$15,ROW(BJ213)-ROW(BJ$15),0),15-13*ORÇAMENTO!$AF$11)),
         0)</f>
        <v>0</v>
      </c>
      <c r="BK213" s="453">
        <f ca="1">IF(AND($D213="Serviço",BK$12&lt;&gt;0,$H213&gt;0,OR(AUTOEVENTO&lt;&gt;"manual",$M213&lt;&gt;$A$15)),
        IF(Import.TipoArredondamento&lt;&gt;"TransfereGOV",
              ROUND(OFFSET($P213,0,BK$13),15-13*ORÇAMENTO!$AF$7)/$H213*OFFSET(ORÇAMENTO!$X$15,ROW(BK213)-ROW(BK$15),0),
              ROUND(ROUND(OFFSET($P213,0,BK$13),15-13*ORÇAMENTO!$AF$7)*OFFSET(ORÇAMENTO!$W$15,ROW(BK213)-ROW(BK$15),0),15-13*ORÇAMENTO!$AF$11)),
         0)</f>
        <v>0</v>
      </c>
      <c r="BL213" s="453">
        <f ca="1">IF(AND($D213="Serviço",BL$12&lt;&gt;0,$H213&gt;0,OR(AUTOEVENTO&lt;&gt;"manual",$M213&lt;&gt;$A$15)),
        IF(Import.TipoArredondamento&lt;&gt;"TransfereGOV",
              ROUND(OFFSET($P213,0,BL$13),15-13*ORÇAMENTO!$AF$7)/$H213*OFFSET(ORÇAMENTO!$X$15,ROW(BL213)-ROW(BL$15),0),
              ROUND(ROUND(OFFSET($P213,0,BL$13),15-13*ORÇAMENTO!$AF$7)*OFFSET(ORÇAMENTO!$W$15,ROW(BL213)-ROW(BL$15),0),15-13*ORÇAMENTO!$AF$11)),
         0)</f>
        <v>0</v>
      </c>
      <c r="BM213" s="453">
        <f ca="1">IF(AND($D213="Serviço",BM$12&lt;&gt;0,$H213&gt;0,OR(AUTOEVENTO&lt;&gt;"manual",$M213&lt;&gt;$A$15)),
        IF(Import.TipoArredondamento&lt;&gt;"TransfereGOV",
              ROUND(OFFSET($P213,0,BM$13),15-13*ORÇAMENTO!$AF$7)/$H213*OFFSET(ORÇAMENTO!$X$15,ROW(BM213)-ROW(BM$15),0),
              ROUND(ROUND(OFFSET($P213,0,BM$13),15-13*ORÇAMENTO!$AF$7)*OFFSET(ORÇAMENTO!$W$15,ROW(BM213)-ROW(BM$15),0),15-13*ORÇAMENTO!$AF$11)),
         0)</f>
        <v>0</v>
      </c>
      <c r="BN213" s="453">
        <f ca="1">IF(AND($D213="Serviço",BN$12&lt;&gt;0,$H213&gt;0,OR(AUTOEVENTO&lt;&gt;"manual",$M213&lt;&gt;$A$15)),
        IF(Import.TipoArredondamento&lt;&gt;"TransfereGOV",
              ROUND(OFFSET($P213,0,BN$13),15-13*ORÇAMENTO!$AF$7)/$H213*OFFSET(ORÇAMENTO!$X$15,ROW(BN213)-ROW(BN$15),0),
              ROUND(ROUND(OFFSET($P213,0,BN$13),15-13*ORÇAMENTO!$AF$7)*OFFSET(ORÇAMENTO!$W$15,ROW(BN213)-ROW(BN$15),0),15-13*ORÇAMENTO!$AF$11)),
         0)</f>
        <v>0</v>
      </c>
      <c r="BO213" s="453">
        <f ca="1">IF(AND($D213="Serviço",BO$12&lt;&gt;0,$H213&gt;0,OR(AUTOEVENTO&lt;&gt;"manual",$M213&lt;&gt;$A$15)),
        IF(Import.TipoArredondamento&lt;&gt;"TransfereGOV",
              ROUND(OFFSET($P213,0,BO$13),15-13*ORÇAMENTO!$AF$7)/$H213*OFFSET(ORÇAMENTO!$X$15,ROW(BO213)-ROW(BO$15),0),
              ROUND(ROUND(OFFSET($P213,0,BO$13),15-13*ORÇAMENTO!$AF$7)*OFFSET(ORÇAMENTO!$W$15,ROW(BO213)-ROW(BO$15),0),15-13*ORÇAMENTO!$AF$11)),
         0)</f>
        <v>0</v>
      </c>
      <c r="BP213" s="453">
        <f ca="1">IF(AND($D213="Serviço",BP$12&lt;&gt;0,$H213&gt;0,OR(AUTOEVENTO&lt;&gt;"manual",$M213&lt;&gt;$A$15)),
        IF(Import.TipoArredondamento&lt;&gt;"TransfereGOV",
              ROUND(OFFSET($P213,0,BP$13),15-13*ORÇAMENTO!$AF$7)/$H213*OFFSET(ORÇAMENTO!$X$15,ROW(BP213)-ROW(BP$15),0),
              ROUND(ROUND(OFFSET($P213,0,BP$13),15-13*ORÇAMENTO!$AF$7)*OFFSET(ORÇAMENTO!$W$15,ROW(BP213)-ROW(BP$15),0),15-13*ORÇAMENTO!$AF$11)),
         0)</f>
        <v>0</v>
      </c>
      <c r="BQ213" s="453">
        <f ca="1">IF(AND($D213="Serviço",BQ$12&lt;&gt;0,$H213&gt;0,OR(AUTOEVENTO&lt;&gt;"manual",$M213&lt;&gt;$A$15)),
        IF(Import.TipoArredondamento&lt;&gt;"TransfereGOV",
              ROUND(OFFSET($P213,0,BQ$13),15-13*ORÇAMENTO!$AF$7)/$H213*OFFSET(ORÇAMENTO!$X$15,ROW(BQ213)-ROW(BQ$15),0),
              ROUND(ROUND(OFFSET($P213,0,BQ$13),15-13*ORÇAMENTO!$AF$7)*OFFSET(ORÇAMENTO!$W$15,ROW(BQ213)-ROW(BQ$15),0),15-13*ORÇAMENTO!$AF$11)),
         0)</f>
        <v>0</v>
      </c>
      <c r="BS213" s="171">
        <f ca="1">IF(OR($D213&lt;&gt;"Serviço",AND(AUTOEVENTO="Manual",$M213=$A$15)),0,
         IF(OFFSET(CRONOPLE!$F$15,$M213-$A$15,BS$13)=0,10^12,OFFSET(CRONOPLE!$F$15,$M213-$A$15,BS$13)))</f>
        <v>1</v>
      </c>
      <c r="BT213" s="171">
        <f ca="1">IF(OR($D213&lt;&gt;"Serviço",AND(AUTOEVENTO="Manual",$M213=$A$15)),0,
         IF(OFFSET(CRONOPLE!$F$15,$M213-$A$15,BT$13)=0,10^12,OFFSET(CRONOPLE!$F$15,$M213-$A$15,BT$13)))</f>
        <v>2</v>
      </c>
      <c r="BU213" s="171">
        <f ca="1">IF(OR($D213&lt;&gt;"Serviço",AND(AUTOEVENTO="Manual",$M213=$A$15)),0,
         IF(OFFSET(CRONOPLE!$F$15,$M213-$A$15,BU$13)=0,10^12,OFFSET(CRONOPLE!$F$15,$M213-$A$15,BU$13)))</f>
        <v>3</v>
      </c>
      <c r="BV213" s="171">
        <f ca="1">IF(OR($D213&lt;&gt;"Serviço",AND(AUTOEVENTO="Manual",$M213=$A$15)),0,
         IF(OFFSET(CRONOPLE!$F$15,$M213-$A$15,BV$13)=0,10^12,OFFSET(CRONOPLE!$F$15,$M213-$A$15,BV$13)))</f>
        <v>4</v>
      </c>
      <c r="BW213" s="171">
        <f ca="1">IF(OR($D213&lt;&gt;"Serviço",AND(AUTOEVENTO="Manual",$M213=$A$15)),0,
         IF(OFFSET(CRONOPLE!$F$15,$M213-$A$15,BW$13)=0,10^12,OFFSET(CRONOPLE!$F$15,$M213-$A$15,BW$13)))</f>
        <v>5</v>
      </c>
      <c r="BX213" s="171">
        <f ca="1">IF(OR($D213&lt;&gt;"Serviço",AND(AUTOEVENTO="Manual",$M213=$A$15)),0,
         IF(OFFSET(CRONOPLE!$F$15,$M213-$A$15,BX$13)=0,10^12,OFFSET(CRONOPLE!$F$15,$M213-$A$15,BX$13)))</f>
        <v>6</v>
      </c>
      <c r="BY213" s="171">
        <f ca="1">IF(OR($D213&lt;&gt;"Serviço",AND(AUTOEVENTO="Manual",$M213=$A$15)),0,
         IF(OFFSET(CRONOPLE!$F$15,$M213-$A$15,BY$13)=0,10^12,OFFSET(CRONOPLE!$F$15,$M213-$A$15,BY$13)))</f>
        <v>7</v>
      </c>
      <c r="BZ213" s="171">
        <f ca="1">IF(OR($D213&lt;&gt;"Serviço",AND(AUTOEVENTO="Manual",$M213=$A$15)),0,
         IF(OFFSET(CRONOPLE!$F$15,$M213-$A$15,BZ$13)=0,10^12,OFFSET(CRONOPLE!$F$15,$M213-$A$15,BZ$13)))</f>
        <v>8</v>
      </c>
      <c r="CA213" s="171">
        <f ca="1">IF(OR($D213&lt;&gt;"Serviço",AND(AUTOEVENTO="Manual",$M213=$A$15)),0,
         IF(OFFSET(CRONOPLE!$F$15,$M213-$A$15,CA$13)=0,10^12,OFFSET(CRONOPLE!$F$15,$M213-$A$15,CA$13)))</f>
        <v>9</v>
      </c>
      <c r="CB213" s="171">
        <f ca="1">IF(OR($D213&lt;&gt;"Serviço",AND(AUTOEVENTO="Manual",$M213=$A$15)),0,
         IF(OFFSET(CRONOPLE!$F$15,$M213-$A$15,CB$13)=0,10^12,OFFSET(CRONOPLE!$F$15,$M213-$A$15,CB$13)))</f>
        <v>10</v>
      </c>
      <c r="CC213" s="171">
        <f ca="1">IF(OR($D213&lt;&gt;"Serviço",AND(AUTOEVENTO="Manual",$M213=$A$15)),0,
         IF(OFFSET(CRONOPLE!$F$15,$M213-$A$15,CC$13)=0,10^12,OFFSET(CRONOPLE!$F$15,$M213-$A$15,CC$13)))</f>
        <v>11</v>
      </c>
      <c r="CD213" s="171">
        <f ca="1">IF(OR($D213&lt;&gt;"Serviço",AND(AUTOEVENTO="Manual",$M213=$A$15)),0,
         IF(OFFSET(CRONOPLE!$F$15,$M213-$A$15,CD$13)=0,10^12,OFFSET(CRONOPLE!$F$15,$M213-$A$15,CD$13)))</f>
        <v>12</v>
      </c>
      <c r="CE213" s="171">
        <f ca="1">IF(OR($D213&lt;&gt;"Serviço",AND(AUTOEVENTO="Manual",$M213=$A$15)),0,
         IF(OFFSET(CRONOPLE!$F$15,$M213-$A$15,CE$13)=0,10^12,OFFSET(CRONOPLE!$F$15,$M213-$A$15,CE$13)))</f>
        <v>13</v>
      </c>
      <c r="CF213" s="171">
        <f ca="1">IF(OR($D213&lt;&gt;"Serviço",AND(AUTOEVENTO="Manual",$M213=$A$15)),0,
         IF(OFFSET(CRONOPLE!$F$15,$M213-$A$15,CF$13)=0,10^12,OFFSET(CRONOPLE!$F$15,$M213-$A$15,CF$13)))</f>
        <v>14</v>
      </c>
      <c r="CG213" s="171">
        <f ca="1">IF(OR($D213&lt;&gt;"Serviço",AND(AUTOEVENTO="Manual",$M213=$A$15)),0,
         IF(OFFSET(CRONOPLE!$F$15,$M213-$A$15,CG$13)=0,10^12,OFFSET(CRONOPLE!$F$15,$M213-$A$15,CG$13)))</f>
        <v>15</v>
      </c>
      <c r="CH213" s="171">
        <f ca="1">IF(OR($D213&lt;&gt;"Serviço",AND(AUTOEVENTO="Manual",$M213=$A$15)),0,
         IF(OFFSET(CRONOPLE!$F$15,$M213-$A$15,CH$13)=0,10^12,OFFSET(CRONOPLE!$F$15,$M213-$A$15,CH$13)))</f>
        <v>16</v>
      </c>
      <c r="CI213" s="171">
        <f ca="1">IF(OR($D213&lt;&gt;"Serviço",AND(AUTOEVENTO="Manual",$M213=$A$15)),0,
         IF(OFFSET(CRONOPLE!$F$15,$M213-$A$15,CI$13)=0,10^12,OFFSET(CRONOPLE!$F$15,$M213-$A$15,CI$13)))</f>
        <v>17</v>
      </c>
      <c r="CJ213" s="171">
        <f ca="1">IF(OR($D213&lt;&gt;"Serviço",AND(AUTOEVENTO="Manual",$M213=$A$15)),0,
         IF(OFFSET(CRONOPLE!$F$15,$M213-$A$15,CJ$13)=0,10^12,OFFSET(CRONOPLE!$F$15,$M213-$A$15,CJ$13)))</f>
        <v>18</v>
      </c>
      <c r="CK213" s="171">
        <f ca="1">IF(OR($D213&lt;&gt;"Serviço",AND(AUTOEVENTO="Manual",$M213=$A$15)),0,
         IF(OFFSET(CRONOPLE!$F$15,$M213-$A$15,CK$13)=0,10^12,OFFSET(CRONOPLE!$F$15,$M213-$A$15,CK$13)))</f>
        <v>19</v>
      </c>
      <c r="CL213" s="171">
        <f ca="1">IF(OR($D213&lt;&gt;"Serviço",AND(AUTOEVENTO="Manual",$M213=$A$15)),0,
         IF(OFFSET(CRONOPLE!$F$15,$M213-$A$15,CL$13)=0,10^12,OFFSET(CRONOPLE!$F$15,$M213-$A$15,CL$13)))</f>
        <v>20</v>
      </c>
      <c r="CM213" s="171">
        <f ca="1">IF(OR($D213&lt;&gt;"Serviço",AND(AUTOEVENTO="Manual",$M213=$A$15)),0,
         IF(OFFSET(CRONOPLE!$F$15,$M213-$A$15,CM$13)=0,10^12,OFFSET(CRONOPLE!$F$15,$M213-$A$15,CM$13)))</f>
        <v>1000000000000</v>
      </c>
      <c r="CN213" s="171">
        <f ca="1">IF(OR($D213&lt;&gt;"Serviço",AND(AUTOEVENTO="Manual",$M213=$A$15)),0,
         IF(OFFSET(CRONOPLE!$F$15,$M213-$A$15,CN$13)=0,10^12,OFFSET(CRONOPLE!$F$15,$M213-$A$15,CN$13)))</f>
        <v>1000000000000</v>
      </c>
      <c r="CO213" s="171">
        <f ca="1">IF(OR($D213&lt;&gt;"Serviço",AND(AUTOEVENTO="Manual",$M213=$A$15)),0,
         IF(OFFSET(CRONOPLE!$F$15,$M213-$A$15,CO$13)=0,10^12,OFFSET(CRONOPLE!$F$15,$M213-$A$15,CO$13)))</f>
        <v>1000000000000</v>
      </c>
      <c r="CP213" s="171">
        <f ca="1">IF(OR($D213&lt;&gt;"Serviço",AND(AUTOEVENTO="Manual",$M213=$A$15)),0,
         IF(OFFSET(CRONOPLE!$F$15,$M213-$A$15,CP$13)=0,10^12,OFFSET(CRONOPLE!$F$15,$M213-$A$15,CP$13)))</f>
        <v>1000000000000</v>
      </c>
      <c r="CQ213" s="171">
        <f ca="1">IF(OR($D213&lt;&gt;"Serviço",AND(AUTOEVENTO="Manual",$M213=$A$15)),0,
         IF(OFFSET(CRONOPLE!$F$15,$M213-$A$15,CQ$13)=0,10^12,OFFSET(CRONOPLE!$F$15,$M213-$A$15,CQ$13)))</f>
        <v>1000000000000</v>
      </c>
      <c r="CR213" s="171">
        <f ca="1">IF(OR($D213&lt;&gt;"Serviço",AND(AUTOEVENTO="Manual",$M213=$A$15)),0,
         IF(OFFSET(CRONOPLE!$F$15,$M213-$A$15,CR$13)=0,10^12,OFFSET(CRONOPLE!$F$15,$M213-$A$15,CR$13)))</f>
        <v>1000000000000</v>
      </c>
      <c r="CT213" s="172" cm="1">
        <f t="array" aca="1" ref="CT213" ca="1">IF(OR($D213&lt;&gt;"Serviço",AND(AUTOEVENTO="Manual",$M213=$A$15),$M213&gt;(ROW(PLE.lastrow)-ROW(PLE.firstrow))),0,
           IF(OFFSET(PLE!$G$15,$M213-$A$15,CT$13)="",10^12,OFFSET(PLE!$G$15,$M213-$A$15,CT$13)))</f>
        <v>1000000000000</v>
      </c>
      <c r="CU213" s="172" cm="1">
        <f t="array" aca="1" ref="CU213" ca="1">IF(OR($D213&lt;&gt;"Serviço",AND(AUTOEVENTO="Manual",$M213=$A$15),$M213&gt;(ROW(PLE.lastrow)-ROW(PLE.firstrow))),0,
           IF(OFFSET(PLE!$G$15,$M213-$A$15,CU$13)="",10^12,OFFSET(PLE!$G$15,$M213-$A$15,CU$13)))</f>
        <v>1000000000000</v>
      </c>
      <c r="CV213" s="172" cm="1">
        <f t="array" aca="1" ref="CV213" ca="1">IF(OR($D213&lt;&gt;"Serviço",AND(AUTOEVENTO="Manual",$M213=$A$15),$M213&gt;(ROW(PLE.lastrow)-ROW(PLE.firstrow))),0,
           IF(OFFSET(PLE!$G$15,$M213-$A$15,CV$13)="",10^12,OFFSET(PLE!$G$15,$M213-$A$15,CV$13)))</f>
        <v>1000000000000</v>
      </c>
      <c r="CW213" s="172" cm="1">
        <f t="array" aca="1" ref="CW213" ca="1">IF(OR($D213&lt;&gt;"Serviço",AND(AUTOEVENTO="Manual",$M213=$A$15),$M213&gt;(ROW(PLE.lastrow)-ROW(PLE.firstrow))),0,
           IF(OFFSET(PLE!$G$15,$M213-$A$15,CW$13)="",10^12,OFFSET(PLE!$G$15,$M213-$A$15,CW$13)))</f>
        <v>1000000000000</v>
      </c>
      <c r="CX213" s="172" cm="1">
        <f t="array" aca="1" ref="CX213" ca="1">IF(OR($D213&lt;&gt;"Serviço",AND(AUTOEVENTO="Manual",$M213=$A$15),$M213&gt;(ROW(PLE.lastrow)-ROW(PLE.firstrow))),0,
           IF(OFFSET(PLE!$G$15,$M213-$A$15,CX$13)="",10^12,OFFSET(PLE!$G$15,$M213-$A$15,CX$13)))</f>
        <v>1000000000000</v>
      </c>
      <c r="CY213" s="172" cm="1">
        <f t="array" aca="1" ref="CY213" ca="1">IF(OR($D213&lt;&gt;"Serviço",AND(AUTOEVENTO="Manual",$M213=$A$15),$M213&gt;(ROW(PLE.lastrow)-ROW(PLE.firstrow))),0,
           IF(OFFSET(PLE!$G$15,$M213-$A$15,CY$13)="",10^12,OFFSET(PLE!$G$15,$M213-$A$15,CY$13)))</f>
        <v>1000000000000</v>
      </c>
      <c r="CZ213" s="172" cm="1">
        <f t="array" aca="1" ref="CZ213" ca="1">IF(OR($D213&lt;&gt;"Serviço",AND(AUTOEVENTO="Manual",$M213=$A$15),$M213&gt;(ROW(PLE.lastrow)-ROW(PLE.firstrow))),0,
           IF(OFFSET(PLE!$G$15,$M213-$A$15,CZ$13)="",10^12,OFFSET(PLE!$G$15,$M213-$A$15,CZ$13)))</f>
        <v>1000000000000</v>
      </c>
      <c r="DA213" s="172" cm="1">
        <f t="array" aca="1" ref="DA213" ca="1">IF(OR($D213&lt;&gt;"Serviço",AND(AUTOEVENTO="Manual",$M213=$A$15),$M213&gt;(ROW(PLE.lastrow)-ROW(PLE.firstrow))),0,
           IF(OFFSET(PLE!$G$15,$M213-$A$15,DA$13)="",10^12,OFFSET(PLE!$G$15,$M213-$A$15,DA$13)))</f>
        <v>1000000000000</v>
      </c>
      <c r="DB213" s="172" cm="1">
        <f t="array" aca="1" ref="DB213" ca="1">IF(OR($D213&lt;&gt;"Serviço",AND(AUTOEVENTO="Manual",$M213=$A$15),$M213&gt;(ROW(PLE.lastrow)-ROW(PLE.firstrow))),0,
           IF(OFFSET(PLE!$G$15,$M213-$A$15,DB$13)="",10^12,OFFSET(PLE!$G$15,$M213-$A$15,DB$13)))</f>
        <v>1000000000000</v>
      </c>
      <c r="DC213" s="172" cm="1">
        <f t="array" aca="1" ref="DC213" ca="1">IF(OR($D213&lt;&gt;"Serviço",AND(AUTOEVENTO="Manual",$M213=$A$15),$M213&gt;(ROW(PLE.lastrow)-ROW(PLE.firstrow))),0,
           IF(OFFSET(PLE!$G$15,$M213-$A$15,DC$13)="",10^12,OFFSET(PLE!$G$15,$M213-$A$15,DC$13)))</f>
        <v>1000000000000</v>
      </c>
      <c r="DD213" s="172" cm="1">
        <f t="array" aca="1" ref="DD213" ca="1">IF(OR($D213&lt;&gt;"Serviço",AND(AUTOEVENTO="Manual",$M213=$A$15),$M213&gt;(ROW(PLE.lastrow)-ROW(PLE.firstrow))),0,
           IF(OFFSET(PLE!$G$15,$M213-$A$15,DD$13)="",10^12,OFFSET(PLE!$G$15,$M213-$A$15,DD$13)))</f>
        <v>1000000000000</v>
      </c>
      <c r="DE213" s="172" cm="1">
        <f t="array" aca="1" ref="DE213" ca="1">IF(OR($D213&lt;&gt;"Serviço",AND(AUTOEVENTO="Manual",$M213=$A$15),$M213&gt;(ROW(PLE.lastrow)-ROW(PLE.firstrow))),0,
           IF(OFFSET(PLE!$G$15,$M213-$A$15,DE$13)="",10^12,OFFSET(PLE!$G$15,$M213-$A$15,DE$13)))</f>
        <v>1000000000000</v>
      </c>
      <c r="DF213" s="172" cm="1">
        <f t="array" aca="1" ref="DF213" ca="1">IF(OR($D213&lt;&gt;"Serviço",AND(AUTOEVENTO="Manual",$M213=$A$15),$M213&gt;(ROW(PLE.lastrow)-ROW(PLE.firstrow))),0,
           IF(OFFSET(PLE!$G$15,$M213-$A$15,DF$13)="",10^12,OFFSET(PLE!$G$15,$M213-$A$15,DF$13)))</f>
        <v>1000000000000</v>
      </c>
      <c r="DG213" s="172" cm="1">
        <f t="array" aca="1" ref="DG213" ca="1">IF(OR($D213&lt;&gt;"Serviço",AND(AUTOEVENTO="Manual",$M213=$A$15),$M213&gt;(ROW(PLE.lastrow)-ROW(PLE.firstrow))),0,
           IF(OFFSET(PLE!$G$15,$M213-$A$15,DG$13)="",10^12,OFFSET(PLE!$G$15,$M213-$A$15,DG$13)))</f>
        <v>1000000000000</v>
      </c>
      <c r="DH213" s="172" cm="1">
        <f t="array" aca="1" ref="DH213" ca="1">IF(OR($D213&lt;&gt;"Serviço",AND(AUTOEVENTO="Manual",$M213=$A$15),$M213&gt;(ROW(PLE.lastrow)-ROW(PLE.firstrow))),0,
           IF(OFFSET(PLE!$G$15,$M213-$A$15,DH$13)="",10^12,OFFSET(PLE!$G$15,$M213-$A$15,DH$13)))</f>
        <v>1000000000000</v>
      </c>
      <c r="DI213" s="172" cm="1">
        <f t="array" aca="1" ref="DI213" ca="1">IF(OR($D213&lt;&gt;"Serviço",AND(AUTOEVENTO="Manual",$M213=$A$15),$M213&gt;(ROW(PLE.lastrow)-ROW(PLE.firstrow))),0,
           IF(OFFSET(PLE!$G$15,$M213-$A$15,DI$13)="",10^12,OFFSET(PLE!$G$15,$M213-$A$15,DI$13)))</f>
        <v>1000000000000</v>
      </c>
      <c r="DJ213" s="172" cm="1">
        <f t="array" aca="1" ref="DJ213" ca="1">IF(OR($D213&lt;&gt;"Serviço",AND(AUTOEVENTO="Manual",$M213=$A$15),$M213&gt;(ROW(PLE.lastrow)-ROW(PLE.firstrow))),0,
           IF(OFFSET(PLE!$G$15,$M213-$A$15,DJ$13)="",10^12,OFFSET(PLE!$G$15,$M213-$A$15,DJ$13)))</f>
        <v>1000000000000</v>
      </c>
      <c r="DK213" s="172" cm="1">
        <f t="array" aca="1" ref="DK213" ca="1">IF(OR($D213&lt;&gt;"Serviço",AND(AUTOEVENTO="Manual",$M213=$A$15),$M213&gt;(ROW(PLE.lastrow)-ROW(PLE.firstrow))),0,
           IF(OFFSET(PLE!$G$15,$M213-$A$15,DK$13)="",10^12,OFFSET(PLE!$G$15,$M213-$A$15,DK$13)))</f>
        <v>1000000000000</v>
      </c>
      <c r="DL213" s="172" cm="1">
        <f t="array" aca="1" ref="DL213" ca="1">IF(OR($D213&lt;&gt;"Serviço",AND(AUTOEVENTO="Manual",$M213=$A$15),$M213&gt;(ROW(PLE.lastrow)-ROW(PLE.firstrow))),0,
           IF(OFFSET(PLE!$G$15,$M213-$A$15,DL$13)="",10^12,OFFSET(PLE!$G$15,$M213-$A$15,DL$13)))</f>
        <v>1000000000000</v>
      </c>
      <c r="DM213" s="172" cm="1">
        <f t="array" aca="1" ref="DM213" ca="1">IF(OR($D213&lt;&gt;"Serviço",AND(AUTOEVENTO="Manual",$M213=$A$15),$M213&gt;(ROW(PLE.lastrow)-ROW(PLE.firstrow))),0,
           IF(OFFSET(PLE!$G$15,$M213-$A$15,DM$13)="",10^12,OFFSET(PLE!$G$15,$M213-$A$15,DM$13)))</f>
        <v>1000000000000</v>
      </c>
      <c r="DN213" s="172" cm="1">
        <f t="array" aca="1" ref="DN213" ca="1">IF(OR($D213&lt;&gt;"Serviço",AND(AUTOEVENTO="Manual",$M213=$A$15),$M213&gt;(ROW(PLE.lastrow)-ROW(PLE.firstrow))),0,
           IF(OFFSET(PLE!$G$15,$M213-$A$15,DN$13)="",10^12,OFFSET(PLE!$G$15,$M213-$A$15,DN$13)))</f>
        <v>1000000000000</v>
      </c>
      <c r="DO213" s="172" cm="1">
        <f t="array" aca="1" ref="DO213" ca="1">IF(OR($D213&lt;&gt;"Serviço",AND(AUTOEVENTO="Manual",$M213=$A$15),$M213&gt;(ROW(PLE.lastrow)-ROW(PLE.firstrow))),0,
           IF(OFFSET(PLE!$G$15,$M213-$A$15,DO$13)="",10^12,OFFSET(PLE!$G$15,$M213-$A$15,DO$13)))</f>
        <v>1000000000000</v>
      </c>
      <c r="DP213" s="172" cm="1">
        <f t="array" aca="1" ref="DP213" ca="1">IF(OR($D213&lt;&gt;"Serviço",AND(AUTOEVENTO="Manual",$M213=$A$15),$M213&gt;(ROW(PLE.lastrow)-ROW(PLE.firstrow))),0,
           IF(OFFSET(PLE!$G$15,$M213-$A$15,DP$13)="",10^12,OFFSET(PLE!$G$15,$M213-$A$15,DP$13)))</f>
        <v>1000000000000</v>
      </c>
      <c r="DQ213" s="172" cm="1">
        <f t="array" aca="1" ref="DQ213" ca="1">IF(OR($D213&lt;&gt;"Serviço",AND(AUTOEVENTO="Manual",$M213=$A$15),$M213&gt;(ROW(PLE.lastrow)-ROW(PLE.firstrow))),0,
           IF(OFFSET(PLE!$G$15,$M213-$A$15,DQ$13)="",10^12,OFFSET(PLE!$G$15,$M213-$A$15,DQ$13)))</f>
        <v>1000000000000</v>
      </c>
      <c r="DR213" s="172" cm="1">
        <f t="array" aca="1" ref="DR213" ca="1">IF(OR($D213&lt;&gt;"Serviço",AND(AUTOEVENTO="Manual",$M213=$A$15),$M213&gt;(ROW(PLE.lastrow)-ROW(PLE.firstrow))),0,
           IF(OFFSET(PLE!$G$15,$M213-$A$15,DR$13)="",10^12,OFFSET(PLE!$G$15,$M213-$A$15,DR$13)))</f>
        <v>1000000000000</v>
      </c>
      <c r="DS213" s="172" cm="1">
        <f t="array" aca="1" ref="DS213" ca="1">IF(OR($D213&lt;&gt;"Serviço",AND(AUTOEVENTO="Manual",$M213=$A$15),$M213&gt;(ROW(PLE.lastrow)-ROW(PLE.firstrow))),0,
           IF(OFFSET(PLE!$G$15,$M213-$A$15,DS$13)="",10^12,OFFSET(PLE!$G$15,$M213-$A$15,DS$13)))</f>
        <v>1000000000000</v>
      </c>
    </row>
    <row r="214" spans="1:123" ht="38.25" x14ac:dyDescent="0.2">
      <c r="A214" s="7">
        <f t="shared" ca="1" si="19"/>
        <v>9</v>
      </c>
      <c r="B214" s="7" t="str">
        <f ca="1">OFFSET(ORÇAMENTO!C$15,$L214,0)</f>
        <v>S</v>
      </c>
      <c r="C214" s="7" t="str">
        <f ca="1">OFFSET(ORÇAMENTO!L$15,$L214,0)</f>
        <v/>
      </c>
      <c r="D214" s="116" t="str">
        <f ca="1">OFFSET(ORÇAMENTO!N$15,$L214,0)</f>
        <v>Serviço</v>
      </c>
      <c r="E214" s="117" t="str">
        <f ca="1">OFFSET(ORÇAMENTO!O$15,$L214,0)</f>
        <v>-</v>
      </c>
      <c r="F214" s="163" t="str">
        <f ca="1">OFFSET(ORÇAMENTO!R$15,$L214,0)</f>
        <v>(Código não identificado nas referências)</v>
      </c>
      <c r="G214" s="164" t="str">
        <f ca="1">IF($D214&lt;&gt;"Serviço","",OFFSET(ORÇAMENTO!S$15,$L214,0))</f>
        <v>-</v>
      </c>
      <c r="H214" s="122" cm="1">
        <f t="array" aca="1" ref="H214" ca="1">IF($D214&lt;&gt;"Serviço",0,IF(ACOMPANHAMENTO="BM",ROUND(OFFSET(ORÇAMENTO!AJ$15,$L214,0),15-13*ORÇAMENTO!$AF$7),IF(IFERROR(CÁLCULO.FrentesPreenchidas,0)=0,0,SUM(ROUND(OFFSET($P214,0,1,1,CÁLCULO.FrentesPreenchidas),15-13*ORÇAMENTO!$AF$7)))))</f>
        <v>204.2000000000001</v>
      </c>
      <c r="I214" s="468" t="s">
        <v>1235</v>
      </c>
      <c r="J214" s="651" t="str" cm="1">
        <f t="array" aca="1" ref="J214" ca="1">IF(OR(B214&lt;&gt;"S",CÁLCULO.FrentesPreenchidas=0),"",IF(AND(ACOMPANHAMENTO="PLE",AUTOEVENTO="Manual",OR(H214&gt;0,ORÇAMENTO!AC214="QUANT."),OR(K214="",M214=0,N214="")),"►E",IF(AND(ACOMPANHAMENTO="PLE",ORÇAMENTO!AC214="QUANT."),"►Q",IF(AND(ACOMPANHAMENTO="PLE",H214&lt;&gt;SUMPRODUCT(($Q$1:$AQ$1=1)*ROUND(Q214:AQ214,15))),"►S",IF(AND(COUNTIF($P$11:$AQ$11,"▼")=0,H214&gt;0,I214=""),"◄M","")))))</f>
        <v/>
      </c>
      <c r="K214" s="652" t="s">
        <v>1257</v>
      </c>
      <c r="L214" s="165">
        <f t="shared" ca="1" si="20"/>
        <v>199</v>
      </c>
      <c r="M214" s="166">
        <f ca="1">IF($D214&lt;&gt;"Serviço","",
          IF(AUTOEVENTO="manual",$A214,
                IF(ISERROR(MATCH($A214,$A$15:OFFSET($A214,-1,0),0)),MAX($M$15:OFFSET(M214,-1,0))+1,
                      INDEX($M$15:OFFSET(M214,-1,0),MATCH($A214,$A$15:OFFSET($A214,-1,0),0)))))</f>
        <v>9</v>
      </c>
      <c r="N214" s="167" t="str">
        <f ca="1">IF($D214&lt;&gt;"Serviço","",
         IF(AUTOEVENTO="Manual",
                IF($A214=0,"&lt;-- defina o número do agrupador",
                       OFFSET(EVENTOS!$D$15,$A214-$A$15,0)),
                OFFSET($F$15,$A214,0)))</f>
        <v>INSTALAÇÕES</v>
      </c>
      <c r="O214" s="168"/>
      <c r="Q214" s="168">
        <v>10.210000000000001</v>
      </c>
      <c r="R214" s="169">
        <v>10.210000000000001</v>
      </c>
      <c r="S214" s="169">
        <v>10.210000000000001</v>
      </c>
      <c r="T214" s="169">
        <v>10.210000000000001</v>
      </c>
      <c r="U214" s="169">
        <v>10.210000000000001</v>
      </c>
      <c r="V214" s="169">
        <v>10.210000000000001</v>
      </c>
      <c r="W214" s="169">
        <v>10.210000000000001</v>
      </c>
      <c r="X214" s="169">
        <v>10.210000000000001</v>
      </c>
      <c r="Y214" s="169">
        <v>10.210000000000001</v>
      </c>
      <c r="Z214" s="170">
        <v>10.210000000000001</v>
      </c>
      <c r="AA214" s="169">
        <v>10.210000000000001</v>
      </c>
      <c r="AB214" s="169">
        <v>10.210000000000001</v>
      </c>
      <c r="AC214" s="169">
        <v>10.210000000000001</v>
      </c>
      <c r="AD214" s="169">
        <v>10.210000000000001</v>
      </c>
      <c r="AE214" s="169">
        <v>10.210000000000001</v>
      </c>
      <c r="AF214" s="169">
        <v>10.210000000000001</v>
      </c>
      <c r="AG214" s="169">
        <v>10.210000000000001</v>
      </c>
      <c r="AH214" s="170">
        <v>10.210000000000001</v>
      </c>
      <c r="AI214" s="169">
        <v>10.210000000000001</v>
      </c>
      <c r="AJ214" s="169">
        <v>10.210000000000001</v>
      </c>
      <c r="AK214" s="169"/>
      <c r="AL214" s="169"/>
      <c r="AM214" s="169"/>
      <c r="AN214" s="169"/>
      <c r="AO214" s="169"/>
      <c r="AP214" s="170"/>
      <c r="AR214" s="453">
        <f ca="1">IF(AND($D214="Serviço",AR$12&lt;&gt;0,$H214&gt;0,OR(AUTOEVENTO&lt;&gt;"manual",$M214&lt;&gt;$A$15)),
        IF(Import.TipoArredondamento&lt;&gt;"TransfereGOV",
              ROUND(OFFSET($P214,0,AR$13),15-13*ORÇAMENTO!$AF$7)/$H214*OFFSET(ORÇAMENTO!$X$15,ROW(AR214)-ROW(AR$15),0),
              ROUND(ROUND(OFFSET($P214,0,AR$13),15-13*ORÇAMENTO!$AF$7)*OFFSET(ORÇAMENTO!$W$15,ROW(AR214)-ROW(AR$15),0),15-13*ORÇAMENTO!$AF$11)),
         0)</f>
        <v>0</v>
      </c>
      <c r="AS214" s="453">
        <f ca="1">IF(AND($D214="Serviço",AS$12&lt;&gt;0,$H214&gt;0,OR(AUTOEVENTO&lt;&gt;"manual",$M214&lt;&gt;$A$15)),
        IF(Import.TipoArredondamento&lt;&gt;"TransfereGOV",
              ROUND(OFFSET($P214,0,AS$13),15-13*ORÇAMENTO!$AF$7)/$H214*OFFSET(ORÇAMENTO!$X$15,ROW(AS214)-ROW(AS$15),0),
              ROUND(ROUND(OFFSET($P214,0,AS$13),15-13*ORÇAMENTO!$AF$7)*OFFSET(ORÇAMENTO!$W$15,ROW(AS214)-ROW(AS$15),0),15-13*ORÇAMENTO!$AF$11)),
         0)</f>
        <v>0</v>
      </c>
      <c r="AT214" s="453">
        <f ca="1">IF(AND($D214="Serviço",AT$12&lt;&gt;0,$H214&gt;0,OR(AUTOEVENTO&lt;&gt;"manual",$M214&lt;&gt;$A$15)),
        IF(Import.TipoArredondamento&lt;&gt;"TransfereGOV",
              ROUND(OFFSET($P214,0,AT$13),15-13*ORÇAMENTO!$AF$7)/$H214*OFFSET(ORÇAMENTO!$X$15,ROW(AT214)-ROW(AT$15),0),
              ROUND(ROUND(OFFSET($P214,0,AT$13),15-13*ORÇAMENTO!$AF$7)*OFFSET(ORÇAMENTO!$W$15,ROW(AT214)-ROW(AT$15),0),15-13*ORÇAMENTO!$AF$11)),
         0)</f>
        <v>0</v>
      </c>
      <c r="AU214" s="453">
        <f ca="1">IF(AND($D214="Serviço",AU$12&lt;&gt;0,$H214&gt;0,OR(AUTOEVENTO&lt;&gt;"manual",$M214&lt;&gt;$A$15)),
        IF(Import.TipoArredondamento&lt;&gt;"TransfereGOV",
              ROUND(OFFSET($P214,0,AU$13),15-13*ORÇAMENTO!$AF$7)/$H214*OFFSET(ORÇAMENTO!$X$15,ROW(AU214)-ROW(AU$15),0),
              ROUND(ROUND(OFFSET($P214,0,AU$13),15-13*ORÇAMENTO!$AF$7)*OFFSET(ORÇAMENTO!$W$15,ROW(AU214)-ROW(AU$15),0),15-13*ORÇAMENTO!$AF$11)),
         0)</f>
        <v>0</v>
      </c>
      <c r="AV214" s="453">
        <f ca="1">IF(AND($D214="Serviço",AV$12&lt;&gt;0,$H214&gt;0,OR(AUTOEVENTO&lt;&gt;"manual",$M214&lt;&gt;$A$15)),
        IF(Import.TipoArredondamento&lt;&gt;"TransfereGOV",
              ROUND(OFFSET($P214,0,AV$13),15-13*ORÇAMENTO!$AF$7)/$H214*OFFSET(ORÇAMENTO!$X$15,ROW(AV214)-ROW(AV$15),0),
              ROUND(ROUND(OFFSET($P214,0,AV$13),15-13*ORÇAMENTO!$AF$7)*OFFSET(ORÇAMENTO!$W$15,ROW(AV214)-ROW(AV$15),0),15-13*ORÇAMENTO!$AF$11)),
         0)</f>
        <v>0</v>
      </c>
      <c r="AW214" s="453">
        <f ca="1">IF(AND($D214="Serviço",AW$12&lt;&gt;0,$H214&gt;0,OR(AUTOEVENTO&lt;&gt;"manual",$M214&lt;&gt;$A$15)),
        IF(Import.TipoArredondamento&lt;&gt;"TransfereGOV",
              ROUND(OFFSET($P214,0,AW$13),15-13*ORÇAMENTO!$AF$7)/$H214*OFFSET(ORÇAMENTO!$X$15,ROW(AW214)-ROW(AW$15),0),
              ROUND(ROUND(OFFSET($P214,0,AW$13),15-13*ORÇAMENTO!$AF$7)*OFFSET(ORÇAMENTO!$W$15,ROW(AW214)-ROW(AW$15),0),15-13*ORÇAMENTO!$AF$11)),
         0)</f>
        <v>0</v>
      </c>
      <c r="AX214" s="453">
        <f ca="1">IF(AND($D214="Serviço",AX$12&lt;&gt;0,$H214&gt;0,OR(AUTOEVENTO&lt;&gt;"manual",$M214&lt;&gt;$A$15)),
        IF(Import.TipoArredondamento&lt;&gt;"TransfereGOV",
              ROUND(OFFSET($P214,0,AX$13),15-13*ORÇAMENTO!$AF$7)/$H214*OFFSET(ORÇAMENTO!$X$15,ROW(AX214)-ROW(AX$15),0),
              ROUND(ROUND(OFFSET($P214,0,AX$13),15-13*ORÇAMENTO!$AF$7)*OFFSET(ORÇAMENTO!$W$15,ROW(AX214)-ROW(AX$15),0),15-13*ORÇAMENTO!$AF$11)),
         0)</f>
        <v>0</v>
      </c>
      <c r="AY214" s="453">
        <f ca="1">IF(AND($D214="Serviço",AY$12&lt;&gt;0,$H214&gt;0,OR(AUTOEVENTO&lt;&gt;"manual",$M214&lt;&gt;$A$15)),
        IF(Import.TipoArredondamento&lt;&gt;"TransfereGOV",
              ROUND(OFFSET($P214,0,AY$13),15-13*ORÇAMENTO!$AF$7)/$H214*OFFSET(ORÇAMENTO!$X$15,ROW(AY214)-ROW(AY$15),0),
              ROUND(ROUND(OFFSET($P214,0,AY$13),15-13*ORÇAMENTO!$AF$7)*OFFSET(ORÇAMENTO!$W$15,ROW(AY214)-ROW(AY$15),0),15-13*ORÇAMENTO!$AF$11)),
         0)</f>
        <v>0</v>
      </c>
      <c r="AZ214" s="453">
        <f ca="1">IF(AND($D214="Serviço",AZ$12&lt;&gt;0,$H214&gt;0,OR(AUTOEVENTO&lt;&gt;"manual",$M214&lt;&gt;$A$15)),
        IF(Import.TipoArredondamento&lt;&gt;"TransfereGOV",
              ROUND(OFFSET($P214,0,AZ$13),15-13*ORÇAMENTO!$AF$7)/$H214*OFFSET(ORÇAMENTO!$X$15,ROW(AZ214)-ROW(AZ$15),0),
              ROUND(ROUND(OFFSET($P214,0,AZ$13),15-13*ORÇAMENTO!$AF$7)*OFFSET(ORÇAMENTO!$W$15,ROW(AZ214)-ROW(AZ$15),0),15-13*ORÇAMENTO!$AF$11)),
         0)</f>
        <v>0</v>
      </c>
      <c r="BA214" s="453">
        <f ca="1">IF(AND($D214="Serviço",BA$12&lt;&gt;0,$H214&gt;0,OR(AUTOEVENTO&lt;&gt;"manual",$M214&lt;&gt;$A$15)),
        IF(Import.TipoArredondamento&lt;&gt;"TransfereGOV",
              ROUND(OFFSET($P214,0,BA$13),15-13*ORÇAMENTO!$AF$7)/$H214*OFFSET(ORÇAMENTO!$X$15,ROW(BA214)-ROW(BA$15),0),
              ROUND(ROUND(OFFSET($P214,0,BA$13),15-13*ORÇAMENTO!$AF$7)*OFFSET(ORÇAMENTO!$W$15,ROW(BA214)-ROW(BA$15),0),15-13*ORÇAMENTO!$AF$11)),
         0)</f>
        <v>0</v>
      </c>
      <c r="BB214" s="453">
        <f ca="1">IF(AND($D214="Serviço",BB$12&lt;&gt;0,$H214&gt;0,OR(AUTOEVENTO&lt;&gt;"manual",$M214&lt;&gt;$A$15)),
        IF(Import.TipoArredondamento&lt;&gt;"TransfereGOV",
              ROUND(OFFSET($P214,0,BB$13),15-13*ORÇAMENTO!$AF$7)/$H214*OFFSET(ORÇAMENTO!$X$15,ROW(BB214)-ROW(BB$15),0),
              ROUND(ROUND(OFFSET($P214,0,BB$13),15-13*ORÇAMENTO!$AF$7)*OFFSET(ORÇAMENTO!$W$15,ROW(BB214)-ROW(BB$15),0),15-13*ORÇAMENTO!$AF$11)),
         0)</f>
        <v>0</v>
      </c>
      <c r="BC214" s="453">
        <f ca="1">IF(AND($D214="Serviço",BC$12&lt;&gt;0,$H214&gt;0,OR(AUTOEVENTO&lt;&gt;"manual",$M214&lt;&gt;$A$15)),
        IF(Import.TipoArredondamento&lt;&gt;"TransfereGOV",
              ROUND(OFFSET($P214,0,BC$13),15-13*ORÇAMENTO!$AF$7)/$H214*OFFSET(ORÇAMENTO!$X$15,ROW(BC214)-ROW(BC$15),0),
              ROUND(ROUND(OFFSET($P214,0,BC$13),15-13*ORÇAMENTO!$AF$7)*OFFSET(ORÇAMENTO!$W$15,ROW(BC214)-ROW(BC$15),0),15-13*ORÇAMENTO!$AF$11)),
         0)</f>
        <v>0</v>
      </c>
      <c r="BD214" s="453">
        <f ca="1">IF(AND($D214="Serviço",BD$12&lt;&gt;0,$H214&gt;0,OR(AUTOEVENTO&lt;&gt;"manual",$M214&lt;&gt;$A$15)),
        IF(Import.TipoArredondamento&lt;&gt;"TransfereGOV",
              ROUND(OFFSET($P214,0,BD$13),15-13*ORÇAMENTO!$AF$7)/$H214*OFFSET(ORÇAMENTO!$X$15,ROW(BD214)-ROW(BD$15),0),
              ROUND(ROUND(OFFSET($P214,0,BD$13),15-13*ORÇAMENTO!$AF$7)*OFFSET(ORÇAMENTO!$W$15,ROW(BD214)-ROW(BD$15),0),15-13*ORÇAMENTO!$AF$11)),
         0)</f>
        <v>0</v>
      </c>
      <c r="BE214" s="453">
        <f ca="1">IF(AND($D214="Serviço",BE$12&lt;&gt;0,$H214&gt;0,OR(AUTOEVENTO&lt;&gt;"manual",$M214&lt;&gt;$A$15)),
        IF(Import.TipoArredondamento&lt;&gt;"TransfereGOV",
              ROUND(OFFSET($P214,0,BE$13),15-13*ORÇAMENTO!$AF$7)/$H214*OFFSET(ORÇAMENTO!$X$15,ROW(BE214)-ROW(BE$15),0),
              ROUND(ROUND(OFFSET($P214,0,BE$13),15-13*ORÇAMENTO!$AF$7)*OFFSET(ORÇAMENTO!$W$15,ROW(BE214)-ROW(BE$15),0),15-13*ORÇAMENTO!$AF$11)),
         0)</f>
        <v>0</v>
      </c>
      <c r="BF214" s="453">
        <f ca="1">IF(AND($D214="Serviço",BF$12&lt;&gt;0,$H214&gt;0,OR(AUTOEVENTO&lt;&gt;"manual",$M214&lt;&gt;$A$15)),
        IF(Import.TipoArredondamento&lt;&gt;"TransfereGOV",
              ROUND(OFFSET($P214,0,BF$13),15-13*ORÇAMENTO!$AF$7)/$H214*OFFSET(ORÇAMENTO!$X$15,ROW(BF214)-ROW(BF$15),0),
              ROUND(ROUND(OFFSET($P214,0,BF$13),15-13*ORÇAMENTO!$AF$7)*OFFSET(ORÇAMENTO!$W$15,ROW(BF214)-ROW(BF$15),0),15-13*ORÇAMENTO!$AF$11)),
         0)</f>
        <v>0</v>
      </c>
      <c r="BG214" s="453">
        <f ca="1">IF(AND($D214="Serviço",BG$12&lt;&gt;0,$H214&gt;0,OR(AUTOEVENTO&lt;&gt;"manual",$M214&lt;&gt;$A$15)),
        IF(Import.TipoArredondamento&lt;&gt;"TransfereGOV",
              ROUND(OFFSET($P214,0,BG$13),15-13*ORÇAMENTO!$AF$7)/$H214*OFFSET(ORÇAMENTO!$X$15,ROW(BG214)-ROW(BG$15),0),
              ROUND(ROUND(OFFSET($P214,0,BG$13),15-13*ORÇAMENTO!$AF$7)*OFFSET(ORÇAMENTO!$W$15,ROW(BG214)-ROW(BG$15),0),15-13*ORÇAMENTO!$AF$11)),
         0)</f>
        <v>0</v>
      </c>
      <c r="BH214" s="453">
        <f ca="1">IF(AND($D214="Serviço",BH$12&lt;&gt;0,$H214&gt;0,OR(AUTOEVENTO&lt;&gt;"manual",$M214&lt;&gt;$A$15)),
        IF(Import.TipoArredondamento&lt;&gt;"TransfereGOV",
              ROUND(OFFSET($P214,0,BH$13),15-13*ORÇAMENTO!$AF$7)/$H214*OFFSET(ORÇAMENTO!$X$15,ROW(BH214)-ROW(BH$15),0),
              ROUND(ROUND(OFFSET($P214,0,BH$13),15-13*ORÇAMENTO!$AF$7)*OFFSET(ORÇAMENTO!$W$15,ROW(BH214)-ROW(BH$15),0),15-13*ORÇAMENTO!$AF$11)),
         0)</f>
        <v>0</v>
      </c>
      <c r="BI214" s="453">
        <f ca="1">IF(AND($D214="Serviço",BI$12&lt;&gt;0,$H214&gt;0,OR(AUTOEVENTO&lt;&gt;"manual",$M214&lt;&gt;$A$15)),
        IF(Import.TipoArredondamento&lt;&gt;"TransfereGOV",
              ROUND(OFFSET($P214,0,BI$13),15-13*ORÇAMENTO!$AF$7)/$H214*OFFSET(ORÇAMENTO!$X$15,ROW(BI214)-ROW(BI$15),0),
              ROUND(ROUND(OFFSET($P214,0,BI$13),15-13*ORÇAMENTO!$AF$7)*OFFSET(ORÇAMENTO!$W$15,ROW(BI214)-ROW(BI$15),0),15-13*ORÇAMENTO!$AF$11)),
         0)</f>
        <v>0</v>
      </c>
      <c r="BJ214" s="453">
        <f ca="1">IF(AND($D214="Serviço",BJ$12&lt;&gt;0,$H214&gt;0,OR(AUTOEVENTO&lt;&gt;"manual",$M214&lt;&gt;$A$15)),
        IF(Import.TipoArredondamento&lt;&gt;"TransfereGOV",
              ROUND(OFFSET($P214,0,BJ$13),15-13*ORÇAMENTO!$AF$7)/$H214*OFFSET(ORÇAMENTO!$X$15,ROW(BJ214)-ROW(BJ$15),0),
              ROUND(ROUND(OFFSET($P214,0,BJ$13),15-13*ORÇAMENTO!$AF$7)*OFFSET(ORÇAMENTO!$W$15,ROW(BJ214)-ROW(BJ$15),0),15-13*ORÇAMENTO!$AF$11)),
         0)</f>
        <v>0</v>
      </c>
      <c r="BK214" s="453">
        <f ca="1">IF(AND($D214="Serviço",BK$12&lt;&gt;0,$H214&gt;0,OR(AUTOEVENTO&lt;&gt;"manual",$M214&lt;&gt;$A$15)),
        IF(Import.TipoArredondamento&lt;&gt;"TransfereGOV",
              ROUND(OFFSET($P214,0,BK$13),15-13*ORÇAMENTO!$AF$7)/$H214*OFFSET(ORÇAMENTO!$X$15,ROW(BK214)-ROW(BK$15),0),
              ROUND(ROUND(OFFSET($P214,0,BK$13),15-13*ORÇAMENTO!$AF$7)*OFFSET(ORÇAMENTO!$W$15,ROW(BK214)-ROW(BK$15),0),15-13*ORÇAMENTO!$AF$11)),
         0)</f>
        <v>0</v>
      </c>
      <c r="BL214" s="453">
        <f ca="1">IF(AND($D214="Serviço",BL$12&lt;&gt;0,$H214&gt;0,OR(AUTOEVENTO&lt;&gt;"manual",$M214&lt;&gt;$A$15)),
        IF(Import.TipoArredondamento&lt;&gt;"TransfereGOV",
              ROUND(OFFSET($P214,0,BL$13),15-13*ORÇAMENTO!$AF$7)/$H214*OFFSET(ORÇAMENTO!$X$15,ROW(BL214)-ROW(BL$15),0),
              ROUND(ROUND(OFFSET($P214,0,BL$13),15-13*ORÇAMENTO!$AF$7)*OFFSET(ORÇAMENTO!$W$15,ROW(BL214)-ROW(BL$15),0),15-13*ORÇAMENTO!$AF$11)),
         0)</f>
        <v>0</v>
      </c>
      <c r="BM214" s="453">
        <f ca="1">IF(AND($D214="Serviço",BM$12&lt;&gt;0,$H214&gt;0,OR(AUTOEVENTO&lt;&gt;"manual",$M214&lt;&gt;$A$15)),
        IF(Import.TipoArredondamento&lt;&gt;"TransfereGOV",
              ROUND(OFFSET($P214,0,BM$13),15-13*ORÇAMENTO!$AF$7)/$H214*OFFSET(ORÇAMENTO!$X$15,ROW(BM214)-ROW(BM$15),0),
              ROUND(ROUND(OFFSET($P214,0,BM$13),15-13*ORÇAMENTO!$AF$7)*OFFSET(ORÇAMENTO!$W$15,ROW(BM214)-ROW(BM$15),0),15-13*ORÇAMENTO!$AF$11)),
         0)</f>
        <v>0</v>
      </c>
      <c r="BN214" s="453">
        <f ca="1">IF(AND($D214="Serviço",BN$12&lt;&gt;0,$H214&gt;0,OR(AUTOEVENTO&lt;&gt;"manual",$M214&lt;&gt;$A$15)),
        IF(Import.TipoArredondamento&lt;&gt;"TransfereGOV",
              ROUND(OFFSET($P214,0,BN$13),15-13*ORÇAMENTO!$AF$7)/$H214*OFFSET(ORÇAMENTO!$X$15,ROW(BN214)-ROW(BN$15),0),
              ROUND(ROUND(OFFSET($P214,0,BN$13),15-13*ORÇAMENTO!$AF$7)*OFFSET(ORÇAMENTO!$W$15,ROW(BN214)-ROW(BN$15),0),15-13*ORÇAMENTO!$AF$11)),
         0)</f>
        <v>0</v>
      </c>
      <c r="BO214" s="453">
        <f ca="1">IF(AND($D214="Serviço",BO$12&lt;&gt;0,$H214&gt;0,OR(AUTOEVENTO&lt;&gt;"manual",$M214&lt;&gt;$A$15)),
        IF(Import.TipoArredondamento&lt;&gt;"TransfereGOV",
              ROUND(OFFSET($P214,0,BO$13),15-13*ORÇAMENTO!$AF$7)/$H214*OFFSET(ORÇAMENTO!$X$15,ROW(BO214)-ROW(BO$15),0),
              ROUND(ROUND(OFFSET($P214,0,BO$13),15-13*ORÇAMENTO!$AF$7)*OFFSET(ORÇAMENTO!$W$15,ROW(BO214)-ROW(BO$15),0),15-13*ORÇAMENTO!$AF$11)),
         0)</f>
        <v>0</v>
      </c>
      <c r="BP214" s="453">
        <f ca="1">IF(AND($D214="Serviço",BP$12&lt;&gt;0,$H214&gt;0,OR(AUTOEVENTO&lt;&gt;"manual",$M214&lt;&gt;$A$15)),
        IF(Import.TipoArredondamento&lt;&gt;"TransfereGOV",
              ROUND(OFFSET($P214,0,BP$13),15-13*ORÇAMENTO!$AF$7)/$H214*OFFSET(ORÇAMENTO!$X$15,ROW(BP214)-ROW(BP$15),0),
              ROUND(ROUND(OFFSET($P214,0,BP$13),15-13*ORÇAMENTO!$AF$7)*OFFSET(ORÇAMENTO!$W$15,ROW(BP214)-ROW(BP$15),0),15-13*ORÇAMENTO!$AF$11)),
         0)</f>
        <v>0</v>
      </c>
      <c r="BQ214" s="453">
        <f ca="1">IF(AND($D214="Serviço",BQ$12&lt;&gt;0,$H214&gt;0,OR(AUTOEVENTO&lt;&gt;"manual",$M214&lt;&gt;$A$15)),
        IF(Import.TipoArredondamento&lt;&gt;"TransfereGOV",
              ROUND(OFFSET($P214,0,BQ$13),15-13*ORÇAMENTO!$AF$7)/$H214*OFFSET(ORÇAMENTO!$X$15,ROW(BQ214)-ROW(BQ$15),0),
              ROUND(ROUND(OFFSET($P214,0,BQ$13),15-13*ORÇAMENTO!$AF$7)*OFFSET(ORÇAMENTO!$W$15,ROW(BQ214)-ROW(BQ$15),0),15-13*ORÇAMENTO!$AF$11)),
         0)</f>
        <v>0</v>
      </c>
      <c r="BS214" s="171">
        <f ca="1">IF(OR($D214&lt;&gt;"Serviço",AND(AUTOEVENTO="Manual",$M214=$A$15)),0,
         IF(OFFSET(CRONOPLE!$F$15,$M214-$A$15,BS$13)=0,10^12,OFFSET(CRONOPLE!$F$15,$M214-$A$15,BS$13)))</f>
        <v>1</v>
      </c>
      <c r="BT214" s="171">
        <f ca="1">IF(OR($D214&lt;&gt;"Serviço",AND(AUTOEVENTO="Manual",$M214=$A$15)),0,
         IF(OFFSET(CRONOPLE!$F$15,$M214-$A$15,BT$13)=0,10^12,OFFSET(CRONOPLE!$F$15,$M214-$A$15,BT$13)))</f>
        <v>2</v>
      </c>
      <c r="BU214" s="171">
        <f ca="1">IF(OR($D214&lt;&gt;"Serviço",AND(AUTOEVENTO="Manual",$M214=$A$15)),0,
         IF(OFFSET(CRONOPLE!$F$15,$M214-$A$15,BU$13)=0,10^12,OFFSET(CRONOPLE!$F$15,$M214-$A$15,BU$13)))</f>
        <v>3</v>
      </c>
      <c r="BV214" s="171">
        <f ca="1">IF(OR($D214&lt;&gt;"Serviço",AND(AUTOEVENTO="Manual",$M214=$A$15)),0,
         IF(OFFSET(CRONOPLE!$F$15,$M214-$A$15,BV$13)=0,10^12,OFFSET(CRONOPLE!$F$15,$M214-$A$15,BV$13)))</f>
        <v>4</v>
      </c>
      <c r="BW214" s="171">
        <f ca="1">IF(OR($D214&lt;&gt;"Serviço",AND(AUTOEVENTO="Manual",$M214=$A$15)),0,
         IF(OFFSET(CRONOPLE!$F$15,$M214-$A$15,BW$13)=0,10^12,OFFSET(CRONOPLE!$F$15,$M214-$A$15,BW$13)))</f>
        <v>5</v>
      </c>
      <c r="BX214" s="171">
        <f ca="1">IF(OR($D214&lt;&gt;"Serviço",AND(AUTOEVENTO="Manual",$M214=$A$15)),0,
         IF(OFFSET(CRONOPLE!$F$15,$M214-$A$15,BX$13)=0,10^12,OFFSET(CRONOPLE!$F$15,$M214-$A$15,BX$13)))</f>
        <v>6</v>
      </c>
      <c r="BY214" s="171">
        <f ca="1">IF(OR($D214&lt;&gt;"Serviço",AND(AUTOEVENTO="Manual",$M214=$A$15)),0,
         IF(OFFSET(CRONOPLE!$F$15,$M214-$A$15,BY$13)=0,10^12,OFFSET(CRONOPLE!$F$15,$M214-$A$15,BY$13)))</f>
        <v>7</v>
      </c>
      <c r="BZ214" s="171">
        <f ca="1">IF(OR($D214&lt;&gt;"Serviço",AND(AUTOEVENTO="Manual",$M214=$A$15)),0,
         IF(OFFSET(CRONOPLE!$F$15,$M214-$A$15,BZ$13)=0,10^12,OFFSET(CRONOPLE!$F$15,$M214-$A$15,BZ$13)))</f>
        <v>8</v>
      </c>
      <c r="CA214" s="171">
        <f ca="1">IF(OR($D214&lt;&gt;"Serviço",AND(AUTOEVENTO="Manual",$M214=$A$15)),0,
         IF(OFFSET(CRONOPLE!$F$15,$M214-$A$15,CA$13)=0,10^12,OFFSET(CRONOPLE!$F$15,$M214-$A$15,CA$13)))</f>
        <v>9</v>
      </c>
      <c r="CB214" s="171">
        <f ca="1">IF(OR($D214&lt;&gt;"Serviço",AND(AUTOEVENTO="Manual",$M214=$A$15)),0,
         IF(OFFSET(CRONOPLE!$F$15,$M214-$A$15,CB$13)=0,10^12,OFFSET(CRONOPLE!$F$15,$M214-$A$15,CB$13)))</f>
        <v>10</v>
      </c>
      <c r="CC214" s="171">
        <f ca="1">IF(OR($D214&lt;&gt;"Serviço",AND(AUTOEVENTO="Manual",$M214=$A$15)),0,
         IF(OFFSET(CRONOPLE!$F$15,$M214-$A$15,CC$13)=0,10^12,OFFSET(CRONOPLE!$F$15,$M214-$A$15,CC$13)))</f>
        <v>11</v>
      </c>
      <c r="CD214" s="171">
        <f ca="1">IF(OR($D214&lt;&gt;"Serviço",AND(AUTOEVENTO="Manual",$M214=$A$15)),0,
         IF(OFFSET(CRONOPLE!$F$15,$M214-$A$15,CD$13)=0,10^12,OFFSET(CRONOPLE!$F$15,$M214-$A$15,CD$13)))</f>
        <v>12</v>
      </c>
      <c r="CE214" s="171">
        <f ca="1">IF(OR($D214&lt;&gt;"Serviço",AND(AUTOEVENTO="Manual",$M214=$A$15)),0,
         IF(OFFSET(CRONOPLE!$F$15,$M214-$A$15,CE$13)=0,10^12,OFFSET(CRONOPLE!$F$15,$M214-$A$15,CE$13)))</f>
        <v>13</v>
      </c>
      <c r="CF214" s="171">
        <f ca="1">IF(OR($D214&lt;&gt;"Serviço",AND(AUTOEVENTO="Manual",$M214=$A$15)),0,
         IF(OFFSET(CRONOPLE!$F$15,$M214-$A$15,CF$13)=0,10^12,OFFSET(CRONOPLE!$F$15,$M214-$A$15,CF$13)))</f>
        <v>14</v>
      </c>
      <c r="CG214" s="171">
        <f ca="1">IF(OR($D214&lt;&gt;"Serviço",AND(AUTOEVENTO="Manual",$M214=$A$15)),0,
         IF(OFFSET(CRONOPLE!$F$15,$M214-$A$15,CG$13)=0,10^12,OFFSET(CRONOPLE!$F$15,$M214-$A$15,CG$13)))</f>
        <v>15</v>
      </c>
      <c r="CH214" s="171">
        <f ca="1">IF(OR($D214&lt;&gt;"Serviço",AND(AUTOEVENTO="Manual",$M214=$A$15)),0,
         IF(OFFSET(CRONOPLE!$F$15,$M214-$A$15,CH$13)=0,10^12,OFFSET(CRONOPLE!$F$15,$M214-$A$15,CH$13)))</f>
        <v>16</v>
      </c>
      <c r="CI214" s="171">
        <f ca="1">IF(OR($D214&lt;&gt;"Serviço",AND(AUTOEVENTO="Manual",$M214=$A$15)),0,
         IF(OFFSET(CRONOPLE!$F$15,$M214-$A$15,CI$13)=0,10^12,OFFSET(CRONOPLE!$F$15,$M214-$A$15,CI$13)))</f>
        <v>17</v>
      </c>
      <c r="CJ214" s="171">
        <f ca="1">IF(OR($D214&lt;&gt;"Serviço",AND(AUTOEVENTO="Manual",$M214=$A$15)),0,
         IF(OFFSET(CRONOPLE!$F$15,$M214-$A$15,CJ$13)=0,10^12,OFFSET(CRONOPLE!$F$15,$M214-$A$15,CJ$13)))</f>
        <v>18</v>
      </c>
      <c r="CK214" s="171">
        <f ca="1">IF(OR($D214&lt;&gt;"Serviço",AND(AUTOEVENTO="Manual",$M214=$A$15)),0,
         IF(OFFSET(CRONOPLE!$F$15,$M214-$A$15,CK$13)=0,10^12,OFFSET(CRONOPLE!$F$15,$M214-$A$15,CK$13)))</f>
        <v>19</v>
      </c>
      <c r="CL214" s="171">
        <f ca="1">IF(OR($D214&lt;&gt;"Serviço",AND(AUTOEVENTO="Manual",$M214=$A$15)),0,
         IF(OFFSET(CRONOPLE!$F$15,$M214-$A$15,CL$13)=0,10^12,OFFSET(CRONOPLE!$F$15,$M214-$A$15,CL$13)))</f>
        <v>20</v>
      </c>
      <c r="CM214" s="171">
        <f ca="1">IF(OR($D214&lt;&gt;"Serviço",AND(AUTOEVENTO="Manual",$M214=$A$15)),0,
         IF(OFFSET(CRONOPLE!$F$15,$M214-$A$15,CM$13)=0,10^12,OFFSET(CRONOPLE!$F$15,$M214-$A$15,CM$13)))</f>
        <v>1000000000000</v>
      </c>
      <c r="CN214" s="171">
        <f ca="1">IF(OR($D214&lt;&gt;"Serviço",AND(AUTOEVENTO="Manual",$M214=$A$15)),0,
         IF(OFFSET(CRONOPLE!$F$15,$M214-$A$15,CN$13)=0,10^12,OFFSET(CRONOPLE!$F$15,$M214-$A$15,CN$13)))</f>
        <v>1000000000000</v>
      </c>
      <c r="CO214" s="171">
        <f ca="1">IF(OR($D214&lt;&gt;"Serviço",AND(AUTOEVENTO="Manual",$M214=$A$15)),0,
         IF(OFFSET(CRONOPLE!$F$15,$M214-$A$15,CO$13)=0,10^12,OFFSET(CRONOPLE!$F$15,$M214-$A$15,CO$13)))</f>
        <v>1000000000000</v>
      </c>
      <c r="CP214" s="171">
        <f ca="1">IF(OR($D214&lt;&gt;"Serviço",AND(AUTOEVENTO="Manual",$M214=$A$15)),0,
         IF(OFFSET(CRONOPLE!$F$15,$M214-$A$15,CP$13)=0,10^12,OFFSET(CRONOPLE!$F$15,$M214-$A$15,CP$13)))</f>
        <v>1000000000000</v>
      </c>
      <c r="CQ214" s="171">
        <f ca="1">IF(OR($D214&lt;&gt;"Serviço",AND(AUTOEVENTO="Manual",$M214=$A$15)),0,
         IF(OFFSET(CRONOPLE!$F$15,$M214-$A$15,CQ$13)=0,10^12,OFFSET(CRONOPLE!$F$15,$M214-$A$15,CQ$13)))</f>
        <v>1000000000000</v>
      </c>
      <c r="CR214" s="171">
        <f ca="1">IF(OR($D214&lt;&gt;"Serviço",AND(AUTOEVENTO="Manual",$M214=$A$15)),0,
         IF(OFFSET(CRONOPLE!$F$15,$M214-$A$15,CR$13)=0,10^12,OFFSET(CRONOPLE!$F$15,$M214-$A$15,CR$13)))</f>
        <v>1000000000000</v>
      </c>
      <c r="CT214" s="172" cm="1">
        <f t="array" aca="1" ref="CT214" ca="1">IF(OR($D214&lt;&gt;"Serviço",AND(AUTOEVENTO="Manual",$M214=$A$15),$M214&gt;(ROW(PLE.lastrow)-ROW(PLE.firstrow))),0,
           IF(OFFSET(PLE!$G$15,$M214-$A$15,CT$13)="",10^12,OFFSET(PLE!$G$15,$M214-$A$15,CT$13)))</f>
        <v>1000000000000</v>
      </c>
      <c r="CU214" s="172" cm="1">
        <f t="array" aca="1" ref="CU214" ca="1">IF(OR($D214&lt;&gt;"Serviço",AND(AUTOEVENTO="Manual",$M214=$A$15),$M214&gt;(ROW(PLE.lastrow)-ROW(PLE.firstrow))),0,
           IF(OFFSET(PLE!$G$15,$M214-$A$15,CU$13)="",10^12,OFFSET(PLE!$G$15,$M214-$A$15,CU$13)))</f>
        <v>1000000000000</v>
      </c>
      <c r="CV214" s="172" cm="1">
        <f t="array" aca="1" ref="CV214" ca="1">IF(OR($D214&lt;&gt;"Serviço",AND(AUTOEVENTO="Manual",$M214=$A$15),$M214&gt;(ROW(PLE.lastrow)-ROW(PLE.firstrow))),0,
           IF(OFFSET(PLE!$G$15,$M214-$A$15,CV$13)="",10^12,OFFSET(PLE!$G$15,$M214-$A$15,CV$13)))</f>
        <v>1000000000000</v>
      </c>
      <c r="CW214" s="172" cm="1">
        <f t="array" aca="1" ref="CW214" ca="1">IF(OR($D214&lt;&gt;"Serviço",AND(AUTOEVENTO="Manual",$M214=$A$15),$M214&gt;(ROW(PLE.lastrow)-ROW(PLE.firstrow))),0,
           IF(OFFSET(PLE!$G$15,$M214-$A$15,CW$13)="",10^12,OFFSET(PLE!$G$15,$M214-$A$15,CW$13)))</f>
        <v>1000000000000</v>
      </c>
      <c r="CX214" s="172" cm="1">
        <f t="array" aca="1" ref="CX214" ca="1">IF(OR($D214&lt;&gt;"Serviço",AND(AUTOEVENTO="Manual",$M214=$A$15),$M214&gt;(ROW(PLE.lastrow)-ROW(PLE.firstrow))),0,
           IF(OFFSET(PLE!$G$15,$M214-$A$15,CX$13)="",10^12,OFFSET(PLE!$G$15,$M214-$A$15,CX$13)))</f>
        <v>1000000000000</v>
      </c>
      <c r="CY214" s="172" cm="1">
        <f t="array" aca="1" ref="CY214" ca="1">IF(OR($D214&lt;&gt;"Serviço",AND(AUTOEVENTO="Manual",$M214=$A$15),$M214&gt;(ROW(PLE.lastrow)-ROW(PLE.firstrow))),0,
           IF(OFFSET(PLE!$G$15,$M214-$A$15,CY$13)="",10^12,OFFSET(PLE!$G$15,$M214-$A$15,CY$13)))</f>
        <v>1000000000000</v>
      </c>
      <c r="CZ214" s="172" cm="1">
        <f t="array" aca="1" ref="CZ214" ca="1">IF(OR($D214&lt;&gt;"Serviço",AND(AUTOEVENTO="Manual",$M214=$A$15),$M214&gt;(ROW(PLE.lastrow)-ROW(PLE.firstrow))),0,
           IF(OFFSET(PLE!$G$15,$M214-$A$15,CZ$13)="",10^12,OFFSET(PLE!$G$15,$M214-$A$15,CZ$13)))</f>
        <v>1000000000000</v>
      </c>
      <c r="DA214" s="172" cm="1">
        <f t="array" aca="1" ref="DA214" ca="1">IF(OR($D214&lt;&gt;"Serviço",AND(AUTOEVENTO="Manual",$M214=$A$15),$M214&gt;(ROW(PLE.lastrow)-ROW(PLE.firstrow))),0,
           IF(OFFSET(PLE!$G$15,$M214-$A$15,DA$13)="",10^12,OFFSET(PLE!$G$15,$M214-$A$15,DA$13)))</f>
        <v>1000000000000</v>
      </c>
      <c r="DB214" s="172" cm="1">
        <f t="array" aca="1" ref="DB214" ca="1">IF(OR($D214&lt;&gt;"Serviço",AND(AUTOEVENTO="Manual",$M214=$A$15),$M214&gt;(ROW(PLE.lastrow)-ROW(PLE.firstrow))),0,
           IF(OFFSET(PLE!$G$15,$M214-$A$15,DB$13)="",10^12,OFFSET(PLE!$G$15,$M214-$A$15,DB$13)))</f>
        <v>1000000000000</v>
      </c>
      <c r="DC214" s="172" cm="1">
        <f t="array" aca="1" ref="DC214" ca="1">IF(OR($D214&lt;&gt;"Serviço",AND(AUTOEVENTO="Manual",$M214=$A$15),$M214&gt;(ROW(PLE.lastrow)-ROW(PLE.firstrow))),0,
           IF(OFFSET(PLE!$G$15,$M214-$A$15,DC$13)="",10^12,OFFSET(PLE!$G$15,$M214-$A$15,DC$13)))</f>
        <v>1000000000000</v>
      </c>
      <c r="DD214" s="172" cm="1">
        <f t="array" aca="1" ref="DD214" ca="1">IF(OR($D214&lt;&gt;"Serviço",AND(AUTOEVENTO="Manual",$M214=$A$15),$M214&gt;(ROW(PLE.lastrow)-ROW(PLE.firstrow))),0,
           IF(OFFSET(PLE!$G$15,$M214-$A$15,DD$13)="",10^12,OFFSET(PLE!$G$15,$M214-$A$15,DD$13)))</f>
        <v>1000000000000</v>
      </c>
      <c r="DE214" s="172" cm="1">
        <f t="array" aca="1" ref="DE214" ca="1">IF(OR($D214&lt;&gt;"Serviço",AND(AUTOEVENTO="Manual",$M214=$A$15),$M214&gt;(ROW(PLE.lastrow)-ROW(PLE.firstrow))),0,
           IF(OFFSET(PLE!$G$15,$M214-$A$15,DE$13)="",10^12,OFFSET(PLE!$G$15,$M214-$A$15,DE$13)))</f>
        <v>1000000000000</v>
      </c>
      <c r="DF214" s="172" cm="1">
        <f t="array" aca="1" ref="DF214" ca="1">IF(OR($D214&lt;&gt;"Serviço",AND(AUTOEVENTO="Manual",$M214=$A$15),$M214&gt;(ROW(PLE.lastrow)-ROW(PLE.firstrow))),0,
           IF(OFFSET(PLE!$G$15,$M214-$A$15,DF$13)="",10^12,OFFSET(PLE!$G$15,$M214-$A$15,DF$13)))</f>
        <v>1000000000000</v>
      </c>
      <c r="DG214" s="172" cm="1">
        <f t="array" aca="1" ref="DG214" ca="1">IF(OR($D214&lt;&gt;"Serviço",AND(AUTOEVENTO="Manual",$M214=$A$15),$M214&gt;(ROW(PLE.lastrow)-ROW(PLE.firstrow))),0,
           IF(OFFSET(PLE!$G$15,$M214-$A$15,DG$13)="",10^12,OFFSET(PLE!$G$15,$M214-$A$15,DG$13)))</f>
        <v>1000000000000</v>
      </c>
      <c r="DH214" s="172" cm="1">
        <f t="array" aca="1" ref="DH214" ca="1">IF(OR($D214&lt;&gt;"Serviço",AND(AUTOEVENTO="Manual",$M214=$A$15),$M214&gt;(ROW(PLE.lastrow)-ROW(PLE.firstrow))),0,
           IF(OFFSET(PLE!$G$15,$M214-$A$15,DH$13)="",10^12,OFFSET(PLE!$G$15,$M214-$A$15,DH$13)))</f>
        <v>1000000000000</v>
      </c>
      <c r="DI214" s="172" cm="1">
        <f t="array" aca="1" ref="DI214" ca="1">IF(OR($D214&lt;&gt;"Serviço",AND(AUTOEVENTO="Manual",$M214=$A$15),$M214&gt;(ROW(PLE.lastrow)-ROW(PLE.firstrow))),0,
           IF(OFFSET(PLE!$G$15,$M214-$A$15,DI$13)="",10^12,OFFSET(PLE!$G$15,$M214-$A$15,DI$13)))</f>
        <v>1000000000000</v>
      </c>
      <c r="DJ214" s="172" cm="1">
        <f t="array" aca="1" ref="DJ214" ca="1">IF(OR($D214&lt;&gt;"Serviço",AND(AUTOEVENTO="Manual",$M214=$A$15),$M214&gt;(ROW(PLE.lastrow)-ROW(PLE.firstrow))),0,
           IF(OFFSET(PLE!$G$15,$M214-$A$15,DJ$13)="",10^12,OFFSET(PLE!$G$15,$M214-$A$15,DJ$13)))</f>
        <v>1000000000000</v>
      </c>
      <c r="DK214" s="172" cm="1">
        <f t="array" aca="1" ref="DK214" ca="1">IF(OR($D214&lt;&gt;"Serviço",AND(AUTOEVENTO="Manual",$M214=$A$15),$M214&gt;(ROW(PLE.lastrow)-ROW(PLE.firstrow))),0,
           IF(OFFSET(PLE!$G$15,$M214-$A$15,DK$13)="",10^12,OFFSET(PLE!$G$15,$M214-$A$15,DK$13)))</f>
        <v>1000000000000</v>
      </c>
      <c r="DL214" s="172" cm="1">
        <f t="array" aca="1" ref="DL214" ca="1">IF(OR($D214&lt;&gt;"Serviço",AND(AUTOEVENTO="Manual",$M214=$A$15),$M214&gt;(ROW(PLE.lastrow)-ROW(PLE.firstrow))),0,
           IF(OFFSET(PLE!$G$15,$M214-$A$15,DL$13)="",10^12,OFFSET(PLE!$G$15,$M214-$A$15,DL$13)))</f>
        <v>1000000000000</v>
      </c>
      <c r="DM214" s="172" cm="1">
        <f t="array" aca="1" ref="DM214" ca="1">IF(OR($D214&lt;&gt;"Serviço",AND(AUTOEVENTO="Manual",$M214=$A$15),$M214&gt;(ROW(PLE.lastrow)-ROW(PLE.firstrow))),0,
           IF(OFFSET(PLE!$G$15,$M214-$A$15,DM$13)="",10^12,OFFSET(PLE!$G$15,$M214-$A$15,DM$13)))</f>
        <v>1000000000000</v>
      </c>
      <c r="DN214" s="172" cm="1">
        <f t="array" aca="1" ref="DN214" ca="1">IF(OR($D214&lt;&gt;"Serviço",AND(AUTOEVENTO="Manual",$M214=$A$15),$M214&gt;(ROW(PLE.lastrow)-ROW(PLE.firstrow))),0,
           IF(OFFSET(PLE!$G$15,$M214-$A$15,DN$13)="",10^12,OFFSET(PLE!$G$15,$M214-$A$15,DN$13)))</f>
        <v>1000000000000</v>
      </c>
      <c r="DO214" s="172" cm="1">
        <f t="array" aca="1" ref="DO214" ca="1">IF(OR($D214&lt;&gt;"Serviço",AND(AUTOEVENTO="Manual",$M214=$A$15),$M214&gt;(ROW(PLE.lastrow)-ROW(PLE.firstrow))),0,
           IF(OFFSET(PLE!$G$15,$M214-$A$15,DO$13)="",10^12,OFFSET(PLE!$G$15,$M214-$A$15,DO$13)))</f>
        <v>1000000000000</v>
      </c>
      <c r="DP214" s="172" cm="1">
        <f t="array" aca="1" ref="DP214" ca="1">IF(OR($D214&lt;&gt;"Serviço",AND(AUTOEVENTO="Manual",$M214=$A$15),$M214&gt;(ROW(PLE.lastrow)-ROW(PLE.firstrow))),0,
           IF(OFFSET(PLE!$G$15,$M214-$A$15,DP$13)="",10^12,OFFSET(PLE!$G$15,$M214-$A$15,DP$13)))</f>
        <v>1000000000000</v>
      </c>
      <c r="DQ214" s="172" cm="1">
        <f t="array" aca="1" ref="DQ214" ca="1">IF(OR($D214&lt;&gt;"Serviço",AND(AUTOEVENTO="Manual",$M214=$A$15),$M214&gt;(ROW(PLE.lastrow)-ROW(PLE.firstrow))),0,
           IF(OFFSET(PLE!$G$15,$M214-$A$15,DQ$13)="",10^12,OFFSET(PLE!$G$15,$M214-$A$15,DQ$13)))</f>
        <v>1000000000000</v>
      </c>
      <c r="DR214" s="172" cm="1">
        <f t="array" aca="1" ref="DR214" ca="1">IF(OR($D214&lt;&gt;"Serviço",AND(AUTOEVENTO="Manual",$M214=$A$15),$M214&gt;(ROW(PLE.lastrow)-ROW(PLE.firstrow))),0,
           IF(OFFSET(PLE!$G$15,$M214-$A$15,DR$13)="",10^12,OFFSET(PLE!$G$15,$M214-$A$15,DR$13)))</f>
        <v>1000000000000</v>
      </c>
      <c r="DS214" s="172" cm="1">
        <f t="array" aca="1" ref="DS214" ca="1">IF(OR($D214&lt;&gt;"Serviço",AND(AUTOEVENTO="Manual",$M214=$A$15),$M214&gt;(ROW(PLE.lastrow)-ROW(PLE.firstrow))),0,
           IF(OFFSET(PLE!$G$15,$M214-$A$15,DS$13)="",10^12,OFFSET(PLE!$G$15,$M214-$A$15,DS$13)))</f>
        <v>1000000000000</v>
      </c>
    </row>
    <row r="215" spans="1:123" ht="38.25" x14ac:dyDescent="0.2">
      <c r="A215" s="7">
        <f t="shared" ca="1" si="19"/>
        <v>9</v>
      </c>
      <c r="B215" s="7" t="str">
        <f ca="1">OFFSET(ORÇAMENTO!C$15,$L215,0)</f>
        <v>S</v>
      </c>
      <c r="C215" s="7" t="str">
        <f ca="1">OFFSET(ORÇAMENTO!L$15,$L215,0)</f>
        <v/>
      </c>
      <c r="D215" s="116" t="str">
        <f ca="1">OFFSET(ORÇAMENTO!N$15,$L215,0)</f>
        <v>Serviço</v>
      </c>
      <c r="E215" s="117" t="str">
        <f ca="1">OFFSET(ORÇAMENTO!O$15,$L215,0)</f>
        <v>-</v>
      </c>
      <c r="F215" s="163" t="str">
        <f ca="1">OFFSET(ORÇAMENTO!R$15,$L215,0)</f>
        <v>(Código não identificado nas referências)</v>
      </c>
      <c r="G215" s="164" t="str">
        <f ca="1">IF($D215&lt;&gt;"Serviço","",OFFSET(ORÇAMENTO!S$15,$L215,0))</f>
        <v>-</v>
      </c>
      <c r="H215" s="122" cm="1">
        <f t="array" aca="1" ref="H215" ca="1">IF($D215&lt;&gt;"Serviço",0,IF(ACOMPANHAMENTO="BM",ROUND(OFFSET(ORÇAMENTO!AJ$15,$L215,0),15-13*ORÇAMENTO!$AF$7),IF(IFERROR(CÁLCULO.FrentesPreenchidas,0)=0,0,SUM(ROUND(OFFSET($P215,0,1,1,CÁLCULO.FrentesPreenchidas),15-13*ORÇAMENTO!$AF$7)))))</f>
        <v>80</v>
      </c>
      <c r="I215" s="468" t="s">
        <v>1235</v>
      </c>
      <c r="J215" s="651" t="str" cm="1">
        <f t="array" aca="1" ref="J215" ca="1">IF(OR(B215&lt;&gt;"S",CÁLCULO.FrentesPreenchidas=0),"",IF(AND(ACOMPANHAMENTO="PLE",AUTOEVENTO="Manual",OR(H215&gt;0,ORÇAMENTO!AC215="QUANT."),OR(K215="",M215=0,N215="")),"►E",IF(AND(ACOMPANHAMENTO="PLE",ORÇAMENTO!AC215="QUANT."),"►Q",IF(AND(ACOMPANHAMENTO="PLE",H215&lt;&gt;SUMPRODUCT(($Q$1:$AQ$1=1)*ROUND(Q215:AQ215,15))),"►S",IF(AND(COUNTIF($P$11:$AQ$11,"▼")=0,H215&gt;0,I215=""),"◄M","")))))</f>
        <v/>
      </c>
      <c r="K215" s="652" t="s">
        <v>1257</v>
      </c>
      <c r="L215" s="165">
        <f t="shared" ca="1" si="20"/>
        <v>200</v>
      </c>
      <c r="M215" s="166">
        <f ca="1">IF($D215&lt;&gt;"Serviço","",
          IF(AUTOEVENTO="manual",$A215,
                IF(ISERROR(MATCH($A215,$A$15:OFFSET($A215,-1,0),0)),MAX($M$15:OFFSET(M215,-1,0))+1,
                      INDEX($M$15:OFFSET(M215,-1,0),MATCH($A215,$A$15:OFFSET($A215,-1,0),0)))))</f>
        <v>9</v>
      </c>
      <c r="N215" s="167" t="str">
        <f ca="1">IF($D215&lt;&gt;"Serviço","",
         IF(AUTOEVENTO="Manual",
                IF($A215=0,"&lt;-- defina o número do agrupador",
                       OFFSET(EVENTOS!$D$15,$A215-$A$15,0)),
                OFFSET($F$15,$A215,0)))</f>
        <v>INSTALAÇÕES</v>
      </c>
      <c r="O215" s="168"/>
      <c r="Q215" s="168">
        <v>4</v>
      </c>
      <c r="R215" s="169">
        <v>4</v>
      </c>
      <c r="S215" s="169">
        <v>4</v>
      </c>
      <c r="T215" s="169">
        <v>4</v>
      </c>
      <c r="U215" s="169">
        <v>4</v>
      </c>
      <c r="V215" s="169">
        <v>4</v>
      </c>
      <c r="W215" s="169">
        <v>4</v>
      </c>
      <c r="X215" s="169">
        <v>4</v>
      </c>
      <c r="Y215" s="169">
        <v>4</v>
      </c>
      <c r="Z215" s="170">
        <v>4</v>
      </c>
      <c r="AA215" s="169">
        <v>4</v>
      </c>
      <c r="AB215" s="169">
        <v>4</v>
      </c>
      <c r="AC215" s="169">
        <v>4</v>
      </c>
      <c r="AD215" s="169">
        <v>4</v>
      </c>
      <c r="AE215" s="169">
        <v>4</v>
      </c>
      <c r="AF215" s="169">
        <v>4</v>
      </c>
      <c r="AG215" s="169">
        <v>4</v>
      </c>
      <c r="AH215" s="170">
        <v>4</v>
      </c>
      <c r="AI215" s="169">
        <v>4</v>
      </c>
      <c r="AJ215" s="169">
        <v>4</v>
      </c>
      <c r="AK215" s="169"/>
      <c r="AL215" s="169"/>
      <c r="AM215" s="169"/>
      <c r="AN215" s="169"/>
      <c r="AO215" s="169"/>
      <c r="AP215" s="170"/>
      <c r="AR215" s="453">
        <f ca="1">IF(AND($D215="Serviço",AR$12&lt;&gt;0,$H215&gt;0,OR(AUTOEVENTO&lt;&gt;"manual",$M215&lt;&gt;$A$15)),
        IF(Import.TipoArredondamento&lt;&gt;"TransfereGOV",
              ROUND(OFFSET($P215,0,AR$13),15-13*ORÇAMENTO!$AF$7)/$H215*OFFSET(ORÇAMENTO!$X$15,ROW(AR215)-ROW(AR$15),0),
              ROUND(ROUND(OFFSET($P215,0,AR$13),15-13*ORÇAMENTO!$AF$7)*OFFSET(ORÇAMENTO!$W$15,ROW(AR215)-ROW(AR$15),0),15-13*ORÇAMENTO!$AF$11)),
         0)</f>
        <v>0</v>
      </c>
      <c r="AS215" s="453">
        <f ca="1">IF(AND($D215="Serviço",AS$12&lt;&gt;0,$H215&gt;0,OR(AUTOEVENTO&lt;&gt;"manual",$M215&lt;&gt;$A$15)),
        IF(Import.TipoArredondamento&lt;&gt;"TransfereGOV",
              ROUND(OFFSET($P215,0,AS$13),15-13*ORÇAMENTO!$AF$7)/$H215*OFFSET(ORÇAMENTO!$X$15,ROW(AS215)-ROW(AS$15),0),
              ROUND(ROUND(OFFSET($P215,0,AS$13),15-13*ORÇAMENTO!$AF$7)*OFFSET(ORÇAMENTO!$W$15,ROW(AS215)-ROW(AS$15),0),15-13*ORÇAMENTO!$AF$11)),
         0)</f>
        <v>0</v>
      </c>
      <c r="AT215" s="453">
        <f ca="1">IF(AND($D215="Serviço",AT$12&lt;&gt;0,$H215&gt;0,OR(AUTOEVENTO&lt;&gt;"manual",$M215&lt;&gt;$A$15)),
        IF(Import.TipoArredondamento&lt;&gt;"TransfereGOV",
              ROUND(OFFSET($P215,0,AT$13),15-13*ORÇAMENTO!$AF$7)/$H215*OFFSET(ORÇAMENTO!$X$15,ROW(AT215)-ROW(AT$15),0),
              ROUND(ROUND(OFFSET($P215,0,AT$13),15-13*ORÇAMENTO!$AF$7)*OFFSET(ORÇAMENTO!$W$15,ROW(AT215)-ROW(AT$15),0),15-13*ORÇAMENTO!$AF$11)),
         0)</f>
        <v>0</v>
      </c>
      <c r="AU215" s="453">
        <f ca="1">IF(AND($D215="Serviço",AU$12&lt;&gt;0,$H215&gt;0,OR(AUTOEVENTO&lt;&gt;"manual",$M215&lt;&gt;$A$15)),
        IF(Import.TipoArredondamento&lt;&gt;"TransfereGOV",
              ROUND(OFFSET($P215,0,AU$13),15-13*ORÇAMENTO!$AF$7)/$H215*OFFSET(ORÇAMENTO!$X$15,ROW(AU215)-ROW(AU$15),0),
              ROUND(ROUND(OFFSET($P215,0,AU$13),15-13*ORÇAMENTO!$AF$7)*OFFSET(ORÇAMENTO!$W$15,ROW(AU215)-ROW(AU$15),0),15-13*ORÇAMENTO!$AF$11)),
         0)</f>
        <v>0</v>
      </c>
      <c r="AV215" s="453">
        <f ca="1">IF(AND($D215="Serviço",AV$12&lt;&gt;0,$H215&gt;0,OR(AUTOEVENTO&lt;&gt;"manual",$M215&lt;&gt;$A$15)),
        IF(Import.TipoArredondamento&lt;&gt;"TransfereGOV",
              ROUND(OFFSET($P215,0,AV$13),15-13*ORÇAMENTO!$AF$7)/$H215*OFFSET(ORÇAMENTO!$X$15,ROW(AV215)-ROW(AV$15),0),
              ROUND(ROUND(OFFSET($P215,0,AV$13),15-13*ORÇAMENTO!$AF$7)*OFFSET(ORÇAMENTO!$W$15,ROW(AV215)-ROW(AV$15),0),15-13*ORÇAMENTO!$AF$11)),
         0)</f>
        <v>0</v>
      </c>
      <c r="AW215" s="453">
        <f ca="1">IF(AND($D215="Serviço",AW$12&lt;&gt;0,$H215&gt;0,OR(AUTOEVENTO&lt;&gt;"manual",$M215&lt;&gt;$A$15)),
        IF(Import.TipoArredondamento&lt;&gt;"TransfereGOV",
              ROUND(OFFSET($P215,0,AW$13),15-13*ORÇAMENTO!$AF$7)/$H215*OFFSET(ORÇAMENTO!$X$15,ROW(AW215)-ROW(AW$15),0),
              ROUND(ROUND(OFFSET($P215,0,AW$13),15-13*ORÇAMENTO!$AF$7)*OFFSET(ORÇAMENTO!$W$15,ROW(AW215)-ROW(AW$15),0),15-13*ORÇAMENTO!$AF$11)),
         0)</f>
        <v>0</v>
      </c>
      <c r="AX215" s="453">
        <f ca="1">IF(AND($D215="Serviço",AX$12&lt;&gt;0,$H215&gt;0,OR(AUTOEVENTO&lt;&gt;"manual",$M215&lt;&gt;$A$15)),
        IF(Import.TipoArredondamento&lt;&gt;"TransfereGOV",
              ROUND(OFFSET($P215,0,AX$13),15-13*ORÇAMENTO!$AF$7)/$H215*OFFSET(ORÇAMENTO!$X$15,ROW(AX215)-ROW(AX$15),0),
              ROUND(ROUND(OFFSET($P215,0,AX$13),15-13*ORÇAMENTO!$AF$7)*OFFSET(ORÇAMENTO!$W$15,ROW(AX215)-ROW(AX$15),0),15-13*ORÇAMENTO!$AF$11)),
         0)</f>
        <v>0</v>
      </c>
      <c r="AY215" s="453">
        <f ca="1">IF(AND($D215="Serviço",AY$12&lt;&gt;0,$H215&gt;0,OR(AUTOEVENTO&lt;&gt;"manual",$M215&lt;&gt;$A$15)),
        IF(Import.TipoArredondamento&lt;&gt;"TransfereGOV",
              ROUND(OFFSET($P215,0,AY$13),15-13*ORÇAMENTO!$AF$7)/$H215*OFFSET(ORÇAMENTO!$X$15,ROW(AY215)-ROW(AY$15),0),
              ROUND(ROUND(OFFSET($P215,0,AY$13),15-13*ORÇAMENTO!$AF$7)*OFFSET(ORÇAMENTO!$W$15,ROW(AY215)-ROW(AY$15),0),15-13*ORÇAMENTO!$AF$11)),
         0)</f>
        <v>0</v>
      </c>
      <c r="AZ215" s="453">
        <f ca="1">IF(AND($D215="Serviço",AZ$12&lt;&gt;0,$H215&gt;0,OR(AUTOEVENTO&lt;&gt;"manual",$M215&lt;&gt;$A$15)),
        IF(Import.TipoArredondamento&lt;&gt;"TransfereGOV",
              ROUND(OFFSET($P215,0,AZ$13),15-13*ORÇAMENTO!$AF$7)/$H215*OFFSET(ORÇAMENTO!$X$15,ROW(AZ215)-ROW(AZ$15),0),
              ROUND(ROUND(OFFSET($P215,0,AZ$13),15-13*ORÇAMENTO!$AF$7)*OFFSET(ORÇAMENTO!$W$15,ROW(AZ215)-ROW(AZ$15),0),15-13*ORÇAMENTO!$AF$11)),
         0)</f>
        <v>0</v>
      </c>
      <c r="BA215" s="453">
        <f ca="1">IF(AND($D215="Serviço",BA$12&lt;&gt;0,$H215&gt;0,OR(AUTOEVENTO&lt;&gt;"manual",$M215&lt;&gt;$A$15)),
        IF(Import.TipoArredondamento&lt;&gt;"TransfereGOV",
              ROUND(OFFSET($P215,0,BA$13),15-13*ORÇAMENTO!$AF$7)/$H215*OFFSET(ORÇAMENTO!$X$15,ROW(BA215)-ROW(BA$15),0),
              ROUND(ROUND(OFFSET($P215,0,BA$13),15-13*ORÇAMENTO!$AF$7)*OFFSET(ORÇAMENTO!$W$15,ROW(BA215)-ROW(BA$15),0),15-13*ORÇAMENTO!$AF$11)),
         0)</f>
        <v>0</v>
      </c>
      <c r="BB215" s="453">
        <f ca="1">IF(AND($D215="Serviço",BB$12&lt;&gt;0,$H215&gt;0,OR(AUTOEVENTO&lt;&gt;"manual",$M215&lt;&gt;$A$15)),
        IF(Import.TipoArredondamento&lt;&gt;"TransfereGOV",
              ROUND(OFFSET($P215,0,BB$13),15-13*ORÇAMENTO!$AF$7)/$H215*OFFSET(ORÇAMENTO!$X$15,ROW(BB215)-ROW(BB$15),0),
              ROUND(ROUND(OFFSET($P215,0,BB$13),15-13*ORÇAMENTO!$AF$7)*OFFSET(ORÇAMENTO!$W$15,ROW(BB215)-ROW(BB$15),0),15-13*ORÇAMENTO!$AF$11)),
         0)</f>
        <v>0</v>
      </c>
      <c r="BC215" s="453">
        <f ca="1">IF(AND($D215="Serviço",BC$12&lt;&gt;0,$H215&gt;0,OR(AUTOEVENTO&lt;&gt;"manual",$M215&lt;&gt;$A$15)),
        IF(Import.TipoArredondamento&lt;&gt;"TransfereGOV",
              ROUND(OFFSET($P215,0,BC$13),15-13*ORÇAMENTO!$AF$7)/$H215*OFFSET(ORÇAMENTO!$X$15,ROW(BC215)-ROW(BC$15),0),
              ROUND(ROUND(OFFSET($P215,0,BC$13),15-13*ORÇAMENTO!$AF$7)*OFFSET(ORÇAMENTO!$W$15,ROW(BC215)-ROW(BC$15),0),15-13*ORÇAMENTO!$AF$11)),
         0)</f>
        <v>0</v>
      </c>
      <c r="BD215" s="453">
        <f ca="1">IF(AND($D215="Serviço",BD$12&lt;&gt;0,$H215&gt;0,OR(AUTOEVENTO&lt;&gt;"manual",$M215&lt;&gt;$A$15)),
        IF(Import.TipoArredondamento&lt;&gt;"TransfereGOV",
              ROUND(OFFSET($P215,0,BD$13),15-13*ORÇAMENTO!$AF$7)/$H215*OFFSET(ORÇAMENTO!$X$15,ROW(BD215)-ROW(BD$15),0),
              ROUND(ROUND(OFFSET($P215,0,BD$13),15-13*ORÇAMENTO!$AF$7)*OFFSET(ORÇAMENTO!$W$15,ROW(BD215)-ROW(BD$15),0),15-13*ORÇAMENTO!$AF$11)),
         0)</f>
        <v>0</v>
      </c>
      <c r="BE215" s="453">
        <f ca="1">IF(AND($D215="Serviço",BE$12&lt;&gt;0,$H215&gt;0,OR(AUTOEVENTO&lt;&gt;"manual",$M215&lt;&gt;$A$15)),
        IF(Import.TipoArredondamento&lt;&gt;"TransfereGOV",
              ROUND(OFFSET($P215,0,BE$13),15-13*ORÇAMENTO!$AF$7)/$H215*OFFSET(ORÇAMENTO!$X$15,ROW(BE215)-ROW(BE$15),0),
              ROUND(ROUND(OFFSET($P215,0,BE$13),15-13*ORÇAMENTO!$AF$7)*OFFSET(ORÇAMENTO!$W$15,ROW(BE215)-ROW(BE$15),0),15-13*ORÇAMENTO!$AF$11)),
         0)</f>
        <v>0</v>
      </c>
      <c r="BF215" s="453">
        <f ca="1">IF(AND($D215="Serviço",BF$12&lt;&gt;0,$H215&gt;0,OR(AUTOEVENTO&lt;&gt;"manual",$M215&lt;&gt;$A$15)),
        IF(Import.TipoArredondamento&lt;&gt;"TransfereGOV",
              ROUND(OFFSET($P215,0,BF$13),15-13*ORÇAMENTO!$AF$7)/$H215*OFFSET(ORÇAMENTO!$X$15,ROW(BF215)-ROW(BF$15),0),
              ROUND(ROUND(OFFSET($P215,0,BF$13),15-13*ORÇAMENTO!$AF$7)*OFFSET(ORÇAMENTO!$W$15,ROW(BF215)-ROW(BF$15),0),15-13*ORÇAMENTO!$AF$11)),
         0)</f>
        <v>0</v>
      </c>
      <c r="BG215" s="453">
        <f ca="1">IF(AND($D215="Serviço",BG$12&lt;&gt;0,$H215&gt;0,OR(AUTOEVENTO&lt;&gt;"manual",$M215&lt;&gt;$A$15)),
        IF(Import.TipoArredondamento&lt;&gt;"TransfereGOV",
              ROUND(OFFSET($P215,0,BG$13),15-13*ORÇAMENTO!$AF$7)/$H215*OFFSET(ORÇAMENTO!$X$15,ROW(BG215)-ROW(BG$15),0),
              ROUND(ROUND(OFFSET($P215,0,BG$13),15-13*ORÇAMENTO!$AF$7)*OFFSET(ORÇAMENTO!$W$15,ROW(BG215)-ROW(BG$15),0),15-13*ORÇAMENTO!$AF$11)),
         0)</f>
        <v>0</v>
      </c>
      <c r="BH215" s="453">
        <f ca="1">IF(AND($D215="Serviço",BH$12&lt;&gt;0,$H215&gt;0,OR(AUTOEVENTO&lt;&gt;"manual",$M215&lt;&gt;$A$15)),
        IF(Import.TipoArredondamento&lt;&gt;"TransfereGOV",
              ROUND(OFFSET($P215,0,BH$13),15-13*ORÇAMENTO!$AF$7)/$H215*OFFSET(ORÇAMENTO!$X$15,ROW(BH215)-ROW(BH$15),0),
              ROUND(ROUND(OFFSET($P215,0,BH$13),15-13*ORÇAMENTO!$AF$7)*OFFSET(ORÇAMENTO!$W$15,ROW(BH215)-ROW(BH$15),0),15-13*ORÇAMENTO!$AF$11)),
         0)</f>
        <v>0</v>
      </c>
      <c r="BI215" s="453">
        <f ca="1">IF(AND($D215="Serviço",BI$12&lt;&gt;0,$H215&gt;0,OR(AUTOEVENTO&lt;&gt;"manual",$M215&lt;&gt;$A$15)),
        IF(Import.TipoArredondamento&lt;&gt;"TransfereGOV",
              ROUND(OFFSET($P215,0,BI$13),15-13*ORÇAMENTO!$AF$7)/$H215*OFFSET(ORÇAMENTO!$X$15,ROW(BI215)-ROW(BI$15),0),
              ROUND(ROUND(OFFSET($P215,0,BI$13),15-13*ORÇAMENTO!$AF$7)*OFFSET(ORÇAMENTO!$W$15,ROW(BI215)-ROW(BI$15),0),15-13*ORÇAMENTO!$AF$11)),
         0)</f>
        <v>0</v>
      </c>
      <c r="BJ215" s="453">
        <f ca="1">IF(AND($D215="Serviço",BJ$12&lt;&gt;0,$H215&gt;0,OR(AUTOEVENTO&lt;&gt;"manual",$M215&lt;&gt;$A$15)),
        IF(Import.TipoArredondamento&lt;&gt;"TransfereGOV",
              ROUND(OFFSET($P215,0,BJ$13),15-13*ORÇAMENTO!$AF$7)/$H215*OFFSET(ORÇAMENTO!$X$15,ROW(BJ215)-ROW(BJ$15),0),
              ROUND(ROUND(OFFSET($P215,0,BJ$13),15-13*ORÇAMENTO!$AF$7)*OFFSET(ORÇAMENTO!$W$15,ROW(BJ215)-ROW(BJ$15),0),15-13*ORÇAMENTO!$AF$11)),
         0)</f>
        <v>0</v>
      </c>
      <c r="BK215" s="453">
        <f ca="1">IF(AND($D215="Serviço",BK$12&lt;&gt;0,$H215&gt;0,OR(AUTOEVENTO&lt;&gt;"manual",$M215&lt;&gt;$A$15)),
        IF(Import.TipoArredondamento&lt;&gt;"TransfereGOV",
              ROUND(OFFSET($P215,0,BK$13),15-13*ORÇAMENTO!$AF$7)/$H215*OFFSET(ORÇAMENTO!$X$15,ROW(BK215)-ROW(BK$15),0),
              ROUND(ROUND(OFFSET($P215,0,BK$13),15-13*ORÇAMENTO!$AF$7)*OFFSET(ORÇAMENTO!$W$15,ROW(BK215)-ROW(BK$15),0),15-13*ORÇAMENTO!$AF$11)),
         0)</f>
        <v>0</v>
      </c>
      <c r="BL215" s="453">
        <f ca="1">IF(AND($D215="Serviço",BL$12&lt;&gt;0,$H215&gt;0,OR(AUTOEVENTO&lt;&gt;"manual",$M215&lt;&gt;$A$15)),
        IF(Import.TipoArredondamento&lt;&gt;"TransfereGOV",
              ROUND(OFFSET($P215,0,BL$13),15-13*ORÇAMENTO!$AF$7)/$H215*OFFSET(ORÇAMENTO!$X$15,ROW(BL215)-ROW(BL$15),0),
              ROUND(ROUND(OFFSET($P215,0,BL$13),15-13*ORÇAMENTO!$AF$7)*OFFSET(ORÇAMENTO!$W$15,ROW(BL215)-ROW(BL$15),0),15-13*ORÇAMENTO!$AF$11)),
         0)</f>
        <v>0</v>
      </c>
      <c r="BM215" s="453">
        <f ca="1">IF(AND($D215="Serviço",BM$12&lt;&gt;0,$H215&gt;0,OR(AUTOEVENTO&lt;&gt;"manual",$M215&lt;&gt;$A$15)),
        IF(Import.TipoArredondamento&lt;&gt;"TransfereGOV",
              ROUND(OFFSET($P215,0,BM$13),15-13*ORÇAMENTO!$AF$7)/$H215*OFFSET(ORÇAMENTO!$X$15,ROW(BM215)-ROW(BM$15),0),
              ROUND(ROUND(OFFSET($P215,0,BM$13),15-13*ORÇAMENTO!$AF$7)*OFFSET(ORÇAMENTO!$W$15,ROW(BM215)-ROW(BM$15),0),15-13*ORÇAMENTO!$AF$11)),
         0)</f>
        <v>0</v>
      </c>
      <c r="BN215" s="453">
        <f ca="1">IF(AND($D215="Serviço",BN$12&lt;&gt;0,$H215&gt;0,OR(AUTOEVENTO&lt;&gt;"manual",$M215&lt;&gt;$A$15)),
        IF(Import.TipoArredondamento&lt;&gt;"TransfereGOV",
              ROUND(OFFSET($P215,0,BN$13),15-13*ORÇAMENTO!$AF$7)/$H215*OFFSET(ORÇAMENTO!$X$15,ROW(BN215)-ROW(BN$15),0),
              ROUND(ROUND(OFFSET($P215,0,BN$13),15-13*ORÇAMENTO!$AF$7)*OFFSET(ORÇAMENTO!$W$15,ROW(BN215)-ROW(BN$15),0),15-13*ORÇAMENTO!$AF$11)),
         0)</f>
        <v>0</v>
      </c>
      <c r="BO215" s="453">
        <f ca="1">IF(AND($D215="Serviço",BO$12&lt;&gt;0,$H215&gt;0,OR(AUTOEVENTO&lt;&gt;"manual",$M215&lt;&gt;$A$15)),
        IF(Import.TipoArredondamento&lt;&gt;"TransfereGOV",
              ROUND(OFFSET($P215,0,BO$13),15-13*ORÇAMENTO!$AF$7)/$H215*OFFSET(ORÇAMENTO!$X$15,ROW(BO215)-ROW(BO$15),0),
              ROUND(ROUND(OFFSET($P215,0,BO$13),15-13*ORÇAMENTO!$AF$7)*OFFSET(ORÇAMENTO!$W$15,ROW(BO215)-ROW(BO$15),0),15-13*ORÇAMENTO!$AF$11)),
         0)</f>
        <v>0</v>
      </c>
      <c r="BP215" s="453">
        <f ca="1">IF(AND($D215="Serviço",BP$12&lt;&gt;0,$H215&gt;0,OR(AUTOEVENTO&lt;&gt;"manual",$M215&lt;&gt;$A$15)),
        IF(Import.TipoArredondamento&lt;&gt;"TransfereGOV",
              ROUND(OFFSET($P215,0,BP$13),15-13*ORÇAMENTO!$AF$7)/$H215*OFFSET(ORÇAMENTO!$X$15,ROW(BP215)-ROW(BP$15),0),
              ROUND(ROUND(OFFSET($P215,0,BP$13),15-13*ORÇAMENTO!$AF$7)*OFFSET(ORÇAMENTO!$W$15,ROW(BP215)-ROW(BP$15),0),15-13*ORÇAMENTO!$AF$11)),
         0)</f>
        <v>0</v>
      </c>
      <c r="BQ215" s="453">
        <f ca="1">IF(AND($D215="Serviço",BQ$12&lt;&gt;0,$H215&gt;0,OR(AUTOEVENTO&lt;&gt;"manual",$M215&lt;&gt;$A$15)),
        IF(Import.TipoArredondamento&lt;&gt;"TransfereGOV",
              ROUND(OFFSET($P215,0,BQ$13),15-13*ORÇAMENTO!$AF$7)/$H215*OFFSET(ORÇAMENTO!$X$15,ROW(BQ215)-ROW(BQ$15),0),
              ROUND(ROUND(OFFSET($P215,0,BQ$13),15-13*ORÇAMENTO!$AF$7)*OFFSET(ORÇAMENTO!$W$15,ROW(BQ215)-ROW(BQ$15),0),15-13*ORÇAMENTO!$AF$11)),
         0)</f>
        <v>0</v>
      </c>
      <c r="BS215" s="171">
        <f ca="1">IF(OR($D215&lt;&gt;"Serviço",AND(AUTOEVENTO="Manual",$M215=$A$15)),0,
         IF(OFFSET(CRONOPLE!$F$15,$M215-$A$15,BS$13)=0,10^12,OFFSET(CRONOPLE!$F$15,$M215-$A$15,BS$13)))</f>
        <v>1</v>
      </c>
      <c r="BT215" s="171">
        <f ca="1">IF(OR($D215&lt;&gt;"Serviço",AND(AUTOEVENTO="Manual",$M215=$A$15)),0,
         IF(OFFSET(CRONOPLE!$F$15,$M215-$A$15,BT$13)=0,10^12,OFFSET(CRONOPLE!$F$15,$M215-$A$15,BT$13)))</f>
        <v>2</v>
      </c>
      <c r="BU215" s="171">
        <f ca="1">IF(OR($D215&lt;&gt;"Serviço",AND(AUTOEVENTO="Manual",$M215=$A$15)),0,
         IF(OFFSET(CRONOPLE!$F$15,$M215-$A$15,BU$13)=0,10^12,OFFSET(CRONOPLE!$F$15,$M215-$A$15,BU$13)))</f>
        <v>3</v>
      </c>
      <c r="BV215" s="171">
        <f ca="1">IF(OR($D215&lt;&gt;"Serviço",AND(AUTOEVENTO="Manual",$M215=$A$15)),0,
         IF(OFFSET(CRONOPLE!$F$15,$M215-$A$15,BV$13)=0,10^12,OFFSET(CRONOPLE!$F$15,$M215-$A$15,BV$13)))</f>
        <v>4</v>
      </c>
      <c r="BW215" s="171">
        <f ca="1">IF(OR($D215&lt;&gt;"Serviço",AND(AUTOEVENTO="Manual",$M215=$A$15)),0,
         IF(OFFSET(CRONOPLE!$F$15,$M215-$A$15,BW$13)=0,10^12,OFFSET(CRONOPLE!$F$15,$M215-$A$15,BW$13)))</f>
        <v>5</v>
      </c>
      <c r="BX215" s="171">
        <f ca="1">IF(OR($D215&lt;&gt;"Serviço",AND(AUTOEVENTO="Manual",$M215=$A$15)),0,
         IF(OFFSET(CRONOPLE!$F$15,$M215-$A$15,BX$13)=0,10^12,OFFSET(CRONOPLE!$F$15,$M215-$A$15,BX$13)))</f>
        <v>6</v>
      </c>
      <c r="BY215" s="171">
        <f ca="1">IF(OR($D215&lt;&gt;"Serviço",AND(AUTOEVENTO="Manual",$M215=$A$15)),0,
         IF(OFFSET(CRONOPLE!$F$15,$M215-$A$15,BY$13)=0,10^12,OFFSET(CRONOPLE!$F$15,$M215-$A$15,BY$13)))</f>
        <v>7</v>
      </c>
      <c r="BZ215" s="171">
        <f ca="1">IF(OR($D215&lt;&gt;"Serviço",AND(AUTOEVENTO="Manual",$M215=$A$15)),0,
         IF(OFFSET(CRONOPLE!$F$15,$M215-$A$15,BZ$13)=0,10^12,OFFSET(CRONOPLE!$F$15,$M215-$A$15,BZ$13)))</f>
        <v>8</v>
      </c>
      <c r="CA215" s="171">
        <f ca="1">IF(OR($D215&lt;&gt;"Serviço",AND(AUTOEVENTO="Manual",$M215=$A$15)),0,
         IF(OFFSET(CRONOPLE!$F$15,$M215-$A$15,CA$13)=0,10^12,OFFSET(CRONOPLE!$F$15,$M215-$A$15,CA$13)))</f>
        <v>9</v>
      </c>
      <c r="CB215" s="171">
        <f ca="1">IF(OR($D215&lt;&gt;"Serviço",AND(AUTOEVENTO="Manual",$M215=$A$15)),0,
         IF(OFFSET(CRONOPLE!$F$15,$M215-$A$15,CB$13)=0,10^12,OFFSET(CRONOPLE!$F$15,$M215-$A$15,CB$13)))</f>
        <v>10</v>
      </c>
      <c r="CC215" s="171">
        <f ca="1">IF(OR($D215&lt;&gt;"Serviço",AND(AUTOEVENTO="Manual",$M215=$A$15)),0,
         IF(OFFSET(CRONOPLE!$F$15,$M215-$A$15,CC$13)=0,10^12,OFFSET(CRONOPLE!$F$15,$M215-$A$15,CC$13)))</f>
        <v>11</v>
      </c>
      <c r="CD215" s="171">
        <f ca="1">IF(OR($D215&lt;&gt;"Serviço",AND(AUTOEVENTO="Manual",$M215=$A$15)),0,
         IF(OFFSET(CRONOPLE!$F$15,$M215-$A$15,CD$13)=0,10^12,OFFSET(CRONOPLE!$F$15,$M215-$A$15,CD$13)))</f>
        <v>12</v>
      </c>
      <c r="CE215" s="171">
        <f ca="1">IF(OR($D215&lt;&gt;"Serviço",AND(AUTOEVENTO="Manual",$M215=$A$15)),0,
         IF(OFFSET(CRONOPLE!$F$15,$M215-$A$15,CE$13)=0,10^12,OFFSET(CRONOPLE!$F$15,$M215-$A$15,CE$13)))</f>
        <v>13</v>
      </c>
      <c r="CF215" s="171">
        <f ca="1">IF(OR($D215&lt;&gt;"Serviço",AND(AUTOEVENTO="Manual",$M215=$A$15)),0,
         IF(OFFSET(CRONOPLE!$F$15,$M215-$A$15,CF$13)=0,10^12,OFFSET(CRONOPLE!$F$15,$M215-$A$15,CF$13)))</f>
        <v>14</v>
      </c>
      <c r="CG215" s="171">
        <f ca="1">IF(OR($D215&lt;&gt;"Serviço",AND(AUTOEVENTO="Manual",$M215=$A$15)),0,
         IF(OFFSET(CRONOPLE!$F$15,$M215-$A$15,CG$13)=0,10^12,OFFSET(CRONOPLE!$F$15,$M215-$A$15,CG$13)))</f>
        <v>15</v>
      </c>
      <c r="CH215" s="171">
        <f ca="1">IF(OR($D215&lt;&gt;"Serviço",AND(AUTOEVENTO="Manual",$M215=$A$15)),0,
         IF(OFFSET(CRONOPLE!$F$15,$M215-$A$15,CH$13)=0,10^12,OFFSET(CRONOPLE!$F$15,$M215-$A$15,CH$13)))</f>
        <v>16</v>
      </c>
      <c r="CI215" s="171">
        <f ca="1">IF(OR($D215&lt;&gt;"Serviço",AND(AUTOEVENTO="Manual",$M215=$A$15)),0,
         IF(OFFSET(CRONOPLE!$F$15,$M215-$A$15,CI$13)=0,10^12,OFFSET(CRONOPLE!$F$15,$M215-$A$15,CI$13)))</f>
        <v>17</v>
      </c>
      <c r="CJ215" s="171">
        <f ca="1">IF(OR($D215&lt;&gt;"Serviço",AND(AUTOEVENTO="Manual",$M215=$A$15)),0,
         IF(OFFSET(CRONOPLE!$F$15,$M215-$A$15,CJ$13)=0,10^12,OFFSET(CRONOPLE!$F$15,$M215-$A$15,CJ$13)))</f>
        <v>18</v>
      </c>
      <c r="CK215" s="171">
        <f ca="1">IF(OR($D215&lt;&gt;"Serviço",AND(AUTOEVENTO="Manual",$M215=$A$15)),0,
         IF(OFFSET(CRONOPLE!$F$15,$M215-$A$15,CK$13)=0,10^12,OFFSET(CRONOPLE!$F$15,$M215-$A$15,CK$13)))</f>
        <v>19</v>
      </c>
      <c r="CL215" s="171">
        <f ca="1">IF(OR($D215&lt;&gt;"Serviço",AND(AUTOEVENTO="Manual",$M215=$A$15)),0,
         IF(OFFSET(CRONOPLE!$F$15,$M215-$A$15,CL$13)=0,10^12,OFFSET(CRONOPLE!$F$15,$M215-$A$15,CL$13)))</f>
        <v>20</v>
      </c>
      <c r="CM215" s="171">
        <f ca="1">IF(OR($D215&lt;&gt;"Serviço",AND(AUTOEVENTO="Manual",$M215=$A$15)),0,
         IF(OFFSET(CRONOPLE!$F$15,$M215-$A$15,CM$13)=0,10^12,OFFSET(CRONOPLE!$F$15,$M215-$A$15,CM$13)))</f>
        <v>1000000000000</v>
      </c>
      <c r="CN215" s="171">
        <f ca="1">IF(OR($D215&lt;&gt;"Serviço",AND(AUTOEVENTO="Manual",$M215=$A$15)),0,
         IF(OFFSET(CRONOPLE!$F$15,$M215-$A$15,CN$13)=0,10^12,OFFSET(CRONOPLE!$F$15,$M215-$A$15,CN$13)))</f>
        <v>1000000000000</v>
      </c>
      <c r="CO215" s="171">
        <f ca="1">IF(OR($D215&lt;&gt;"Serviço",AND(AUTOEVENTO="Manual",$M215=$A$15)),0,
         IF(OFFSET(CRONOPLE!$F$15,$M215-$A$15,CO$13)=0,10^12,OFFSET(CRONOPLE!$F$15,$M215-$A$15,CO$13)))</f>
        <v>1000000000000</v>
      </c>
      <c r="CP215" s="171">
        <f ca="1">IF(OR($D215&lt;&gt;"Serviço",AND(AUTOEVENTO="Manual",$M215=$A$15)),0,
         IF(OFFSET(CRONOPLE!$F$15,$M215-$A$15,CP$13)=0,10^12,OFFSET(CRONOPLE!$F$15,$M215-$A$15,CP$13)))</f>
        <v>1000000000000</v>
      </c>
      <c r="CQ215" s="171">
        <f ca="1">IF(OR($D215&lt;&gt;"Serviço",AND(AUTOEVENTO="Manual",$M215=$A$15)),0,
         IF(OFFSET(CRONOPLE!$F$15,$M215-$A$15,CQ$13)=0,10^12,OFFSET(CRONOPLE!$F$15,$M215-$A$15,CQ$13)))</f>
        <v>1000000000000</v>
      </c>
      <c r="CR215" s="171">
        <f ca="1">IF(OR($D215&lt;&gt;"Serviço",AND(AUTOEVENTO="Manual",$M215=$A$15)),0,
         IF(OFFSET(CRONOPLE!$F$15,$M215-$A$15,CR$13)=0,10^12,OFFSET(CRONOPLE!$F$15,$M215-$A$15,CR$13)))</f>
        <v>1000000000000</v>
      </c>
      <c r="CT215" s="172" cm="1">
        <f t="array" aca="1" ref="CT215" ca="1">IF(OR($D215&lt;&gt;"Serviço",AND(AUTOEVENTO="Manual",$M215=$A$15),$M215&gt;(ROW(PLE.lastrow)-ROW(PLE.firstrow))),0,
           IF(OFFSET(PLE!$G$15,$M215-$A$15,CT$13)="",10^12,OFFSET(PLE!$G$15,$M215-$A$15,CT$13)))</f>
        <v>1000000000000</v>
      </c>
      <c r="CU215" s="172" cm="1">
        <f t="array" aca="1" ref="CU215" ca="1">IF(OR($D215&lt;&gt;"Serviço",AND(AUTOEVENTO="Manual",$M215=$A$15),$M215&gt;(ROW(PLE.lastrow)-ROW(PLE.firstrow))),0,
           IF(OFFSET(PLE!$G$15,$M215-$A$15,CU$13)="",10^12,OFFSET(PLE!$G$15,$M215-$A$15,CU$13)))</f>
        <v>1000000000000</v>
      </c>
      <c r="CV215" s="172" cm="1">
        <f t="array" aca="1" ref="CV215" ca="1">IF(OR($D215&lt;&gt;"Serviço",AND(AUTOEVENTO="Manual",$M215=$A$15),$M215&gt;(ROW(PLE.lastrow)-ROW(PLE.firstrow))),0,
           IF(OFFSET(PLE!$G$15,$M215-$A$15,CV$13)="",10^12,OFFSET(PLE!$G$15,$M215-$A$15,CV$13)))</f>
        <v>1000000000000</v>
      </c>
      <c r="CW215" s="172" cm="1">
        <f t="array" aca="1" ref="CW215" ca="1">IF(OR($D215&lt;&gt;"Serviço",AND(AUTOEVENTO="Manual",$M215=$A$15),$M215&gt;(ROW(PLE.lastrow)-ROW(PLE.firstrow))),0,
           IF(OFFSET(PLE!$G$15,$M215-$A$15,CW$13)="",10^12,OFFSET(PLE!$G$15,$M215-$A$15,CW$13)))</f>
        <v>1000000000000</v>
      </c>
      <c r="CX215" s="172" cm="1">
        <f t="array" aca="1" ref="CX215" ca="1">IF(OR($D215&lt;&gt;"Serviço",AND(AUTOEVENTO="Manual",$M215=$A$15),$M215&gt;(ROW(PLE.lastrow)-ROW(PLE.firstrow))),0,
           IF(OFFSET(PLE!$G$15,$M215-$A$15,CX$13)="",10^12,OFFSET(PLE!$G$15,$M215-$A$15,CX$13)))</f>
        <v>1000000000000</v>
      </c>
      <c r="CY215" s="172" cm="1">
        <f t="array" aca="1" ref="CY215" ca="1">IF(OR($D215&lt;&gt;"Serviço",AND(AUTOEVENTO="Manual",$M215=$A$15),$M215&gt;(ROW(PLE.lastrow)-ROW(PLE.firstrow))),0,
           IF(OFFSET(PLE!$G$15,$M215-$A$15,CY$13)="",10^12,OFFSET(PLE!$G$15,$M215-$A$15,CY$13)))</f>
        <v>1000000000000</v>
      </c>
      <c r="CZ215" s="172" cm="1">
        <f t="array" aca="1" ref="CZ215" ca="1">IF(OR($D215&lt;&gt;"Serviço",AND(AUTOEVENTO="Manual",$M215=$A$15),$M215&gt;(ROW(PLE.lastrow)-ROW(PLE.firstrow))),0,
           IF(OFFSET(PLE!$G$15,$M215-$A$15,CZ$13)="",10^12,OFFSET(PLE!$G$15,$M215-$A$15,CZ$13)))</f>
        <v>1000000000000</v>
      </c>
      <c r="DA215" s="172" cm="1">
        <f t="array" aca="1" ref="DA215" ca="1">IF(OR($D215&lt;&gt;"Serviço",AND(AUTOEVENTO="Manual",$M215=$A$15),$M215&gt;(ROW(PLE.lastrow)-ROW(PLE.firstrow))),0,
           IF(OFFSET(PLE!$G$15,$M215-$A$15,DA$13)="",10^12,OFFSET(PLE!$G$15,$M215-$A$15,DA$13)))</f>
        <v>1000000000000</v>
      </c>
      <c r="DB215" s="172" cm="1">
        <f t="array" aca="1" ref="DB215" ca="1">IF(OR($D215&lt;&gt;"Serviço",AND(AUTOEVENTO="Manual",$M215=$A$15),$M215&gt;(ROW(PLE.lastrow)-ROW(PLE.firstrow))),0,
           IF(OFFSET(PLE!$G$15,$M215-$A$15,DB$13)="",10^12,OFFSET(PLE!$G$15,$M215-$A$15,DB$13)))</f>
        <v>1000000000000</v>
      </c>
      <c r="DC215" s="172" cm="1">
        <f t="array" aca="1" ref="DC215" ca="1">IF(OR($D215&lt;&gt;"Serviço",AND(AUTOEVENTO="Manual",$M215=$A$15),$M215&gt;(ROW(PLE.lastrow)-ROW(PLE.firstrow))),0,
           IF(OFFSET(PLE!$G$15,$M215-$A$15,DC$13)="",10^12,OFFSET(PLE!$G$15,$M215-$A$15,DC$13)))</f>
        <v>1000000000000</v>
      </c>
      <c r="DD215" s="172" cm="1">
        <f t="array" aca="1" ref="DD215" ca="1">IF(OR($D215&lt;&gt;"Serviço",AND(AUTOEVENTO="Manual",$M215=$A$15),$M215&gt;(ROW(PLE.lastrow)-ROW(PLE.firstrow))),0,
           IF(OFFSET(PLE!$G$15,$M215-$A$15,DD$13)="",10^12,OFFSET(PLE!$G$15,$M215-$A$15,DD$13)))</f>
        <v>1000000000000</v>
      </c>
      <c r="DE215" s="172" cm="1">
        <f t="array" aca="1" ref="DE215" ca="1">IF(OR($D215&lt;&gt;"Serviço",AND(AUTOEVENTO="Manual",$M215=$A$15),$M215&gt;(ROW(PLE.lastrow)-ROW(PLE.firstrow))),0,
           IF(OFFSET(PLE!$G$15,$M215-$A$15,DE$13)="",10^12,OFFSET(PLE!$G$15,$M215-$A$15,DE$13)))</f>
        <v>1000000000000</v>
      </c>
      <c r="DF215" s="172" cm="1">
        <f t="array" aca="1" ref="DF215" ca="1">IF(OR($D215&lt;&gt;"Serviço",AND(AUTOEVENTO="Manual",$M215=$A$15),$M215&gt;(ROW(PLE.lastrow)-ROW(PLE.firstrow))),0,
           IF(OFFSET(PLE!$G$15,$M215-$A$15,DF$13)="",10^12,OFFSET(PLE!$G$15,$M215-$A$15,DF$13)))</f>
        <v>1000000000000</v>
      </c>
      <c r="DG215" s="172" cm="1">
        <f t="array" aca="1" ref="DG215" ca="1">IF(OR($D215&lt;&gt;"Serviço",AND(AUTOEVENTO="Manual",$M215=$A$15),$M215&gt;(ROW(PLE.lastrow)-ROW(PLE.firstrow))),0,
           IF(OFFSET(PLE!$G$15,$M215-$A$15,DG$13)="",10^12,OFFSET(PLE!$G$15,$M215-$A$15,DG$13)))</f>
        <v>1000000000000</v>
      </c>
      <c r="DH215" s="172" cm="1">
        <f t="array" aca="1" ref="DH215" ca="1">IF(OR($D215&lt;&gt;"Serviço",AND(AUTOEVENTO="Manual",$M215=$A$15),$M215&gt;(ROW(PLE.lastrow)-ROW(PLE.firstrow))),0,
           IF(OFFSET(PLE!$G$15,$M215-$A$15,DH$13)="",10^12,OFFSET(PLE!$G$15,$M215-$A$15,DH$13)))</f>
        <v>1000000000000</v>
      </c>
      <c r="DI215" s="172" cm="1">
        <f t="array" aca="1" ref="DI215" ca="1">IF(OR($D215&lt;&gt;"Serviço",AND(AUTOEVENTO="Manual",$M215=$A$15),$M215&gt;(ROW(PLE.lastrow)-ROW(PLE.firstrow))),0,
           IF(OFFSET(PLE!$G$15,$M215-$A$15,DI$13)="",10^12,OFFSET(PLE!$G$15,$M215-$A$15,DI$13)))</f>
        <v>1000000000000</v>
      </c>
      <c r="DJ215" s="172" cm="1">
        <f t="array" aca="1" ref="DJ215" ca="1">IF(OR($D215&lt;&gt;"Serviço",AND(AUTOEVENTO="Manual",$M215=$A$15),$M215&gt;(ROW(PLE.lastrow)-ROW(PLE.firstrow))),0,
           IF(OFFSET(PLE!$G$15,$M215-$A$15,DJ$13)="",10^12,OFFSET(PLE!$G$15,$M215-$A$15,DJ$13)))</f>
        <v>1000000000000</v>
      </c>
      <c r="DK215" s="172" cm="1">
        <f t="array" aca="1" ref="DK215" ca="1">IF(OR($D215&lt;&gt;"Serviço",AND(AUTOEVENTO="Manual",$M215=$A$15),$M215&gt;(ROW(PLE.lastrow)-ROW(PLE.firstrow))),0,
           IF(OFFSET(PLE!$G$15,$M215-$A$15,DK$13)="",10^12,OFFSET(PLE!$G$15,$M215-$A$15,DK$13)))</f>
        <v>1000000000000</v>
      </c>
      <c r="DL215" s="172" cm="1">
        <f t="array" aca="1" ref="DL215" ca="1">IF(OR($D215&lt;&gt;"Serviço",AND(AUTOEVENTO="Manual",$M215=$A$15),$M215&gt;(ROW(PLE.lastrow)-ROW(PLE.firstrow))),0,
           IF(OFFSET(PLE!$G$15,$M215-$A$15,DL$13)="",10^12,OFFSET(PLE!$G$15,$M215-$A$15,DL$13)))</f>
        <v>1000000000000</v>
      </c>
      <c r="DM215" s="172" cm="1">
        <f t="array" aca="1" ref="DM215" ca="1">IF(OR($D215&lt;&gt;"Serviço",AND(AUTOEVENTO="Manual",$M215=$A$15),$M215&gt;(ROW(PLE.lastrow)-ROW(PLE.firstrow))),0,
           IF(OFFSET(PLE!$G$15,$M215-$A$15,DM$13)="",10^12,OFFSET(PLE!$G$15,$M215-$A$15,DM$13)))</f>
        <v>1000000000000</v>
      </c>
      <c r="DN215" s="172" cm="1">
        <f t="array" aca="1" ref="DN215" ca="1">IF(OR($D215&lt;&gt;"Serviço",AND(AUTOEVENTO="Manual",$M215=$A$15),$M215&gt;(ROW(PLE.lastrow)-ROW(PLE.firstrow))),0,
           IF(OFFSET(PLE!$G$15,$M215-$A$15,DN$13)="",10^12,OFFSET(PLE!$G$15,$M215-$A$15,DN$13)))</f>
        <v>1000000000000</v>
      </c>
      <c r="DO215" s="172" cm="1">
        <f t="array" aca="1" ref="DO215" ca="1">IF(OR($D215&lt;&gt;"Serviço",AND(AUTOEVENTO="Manual",$M215=$A$15),$M215&gt;(ROW(PLE.lastrow)-ROW(PLE.firstrow))),0,
           IF(OFFSET(PLE!$G$15,$M215-$A$15,DO$13)="",10^12,OFFSET(PLE!$G$15,$M215-$A$15,DO$13)))</f>
        <v>1000000000000</v>
      </c>
      <c r="DP215" s="172" cm="1">
        <f t="array" aca="1" ref="DP215" ca="1">IF(OR($D215&lt;&gt;"Serviço",AND(AUTOEVENTO="Manual",$M215=$A$15),$M215&gt;(ROW(PLE.lastrow)-ROW(PLE.firstrow))),0,
           IF(OFFSET(PLE!$G$15,$M215-$A$15,DP$13)="",10^12,OFFSET(PLE!$G$15,$M215-$A$15,DP$13)))</f>
        <v>1000000000000</v>
      </c>
      <c r="DQ215" s="172" cm="1">
        <f t="array" aca="1" ref="DQ215" ca="1">IF(OR($D215&lt;&gt;"Serviço",AND(AUTOEVENTO="Manual",$M215=$A$15),$M215&gt;(ROW(PLE.lastrow)-ROW(PLE.firstrow))),0,
           IF(OFFSET(PLE!$G$15,$M215-$A$15,DQ$13)="",10^12,OFFSET(PLE!$G$15,$M215-$A$15,DQ$13)))</f>
        <v>1000000000000</v>
      </c>
      <c r="DR215" s="172" cm="1">
        <f t="array" aca="1" ref="DR215" ca="1">IF(OR($D215&lt;&gt;"Serviço",AND(AUTOEVENTO="Manual",$M215=$A$15),$M215&gt;(ROW(PLE.lastrow)-ROW(PLE.firstrow))),0,
           IF(OFFSET(PLE!$G$15,$M215-$A$15,DR$13)="",10^12,OFFSET(PLE!$G$15,$M215-$A$15,DR$13)))</f>
        <v>1000000000000</v>
      </c>
      <c r="DS215" s="172" cm="1">
        <f t="array" aca="1" ref="DS215" ca="1">IF(OR($D215&lt;&gt;"Serviço",AND(AUTOEVENTO="Manual",$M215=$A$15),$M215&gt;(ROW(PLE.lastrow)-ROW(PLE.firstrow))),0,
           IF(OFFSET(PLE!$G$15,$M215-$A$15,DS$13)="",10^12,OFFSET(PLE!$G$15,$M215-$A$15,DS$13)))</f>
        <v>1000000000000</v>
      </c>
    </row>
    <row r="216" spans="1:123" ht="38.25" x14ac:dyDescent="0.2">
      <c r="A216" s="7">
        <f t="shared" ca="1" si="19"/>
        <v>9</v>
      </c>
      <c r="B216" s="7" t="str">
        <f ca="1">OFFSET(ORÇAMENTO!C$15,$L216,0)</f>
        <v>S</v>
      </c>
      <c r="C216" s="7" t="str">
        <f ca="1">OFFSET(ORÇAMENTO!L$15,$L216,0)</f>
        <v/>
      </c>
      <c r="D216" s="116" t="str">
        <f ca="1">OFFSET(ORÇAMENTO!N$15,$L216,0)</f>
        <v>Serviço</v>
      </c>
      <c r="E216" s="117" t="str">
        <f ca="1">OFFSET(ORÇAMENTO!O$15,$L216,0)</f>
        <v>-</v>
      </c>
      <c r="F216" s="163" t="str">
        <f ca="1">OFFSET(ORÇAMENTO!R$15,$L216,0)</f>
        <v>(Código não identificado nas referências)</v>
      </c>
      <c r="G216" s="164" t="str">
        <f ca="1">IF($D216&lt;&gt;"Serviço","",OFFSET(ORÇAMENTO!S$15,$L216,0))</f>
        <v>-</v>
      </c>
      <c r="H216" s="122" cm="1">
        <f t="array" aca="1" ref="H216" ca="1">IF($D216&lt;&gt;"Serviço",0,IF(ACOMPANHAMENTO="BM",ROUND(OFFSET(ORÇAMENTO!AJ$15,$L216,0),15-13*ORÇAMENTO!$AF$7),IF(IFERROR(CÁLCULO.FrentesPreenchidas,0)=0,0,SUM(ROUND(OFFSET($P216,0,1,1,CÁLCULO.FrentesPreenchidas),15-13*ORÇAMENTO!$AF$7)))))</f>
        <v>675.99999999999989</v>
      </c>
      <c r="I216" s="468" t="s">
        <v>1235</v>
      </c>
      <c r="J216" s="651" t="str" cm="1">
        <f t="array" aca="1" ref="J216" ca="1">IF(OR(B216&lt;&gt;"S",CÁLCULO.FrentesPreenchidas=0),"",IF(AND(ACOMPANHAMENTO="PLE",AUTOEVENTO="Manual",OR(H216&gt;0,ORÇAMENTO!AC216="QUANT."),OR(K216="",M216=0,N216="")),"►E",IF(AND(ACOMPANHAMENTO="PLE",ORÇAMENTO!AC216="QUANT."),"►Q",IF(AND(ACOMPANHAMENTO="PLE",H216&lt;&gt;SUMPRODUCT(($Q$1:$AQ$1=1)*ROUND(Q216:AQ216,15))),"►S",IF(AND(COUNTIF($P$11:$AQ$11,"▼")=0,H216&gt;0,I216=""),"◄M","")))))</f>
        <v/>
      </c>
      <c r="K216" s="652" t="s">
        <v>1257</v>
      </c>
      <c r="L216" s="165">
        <f t="shared" ca="1" si="20"/>
        <v>201</v>
      </c>
      <c r="M216" s="166">
        <f ca="1">IF($D216&lt;&gt;"Serviço","",
          IF(AUTOEVENTO="manual",$A216,
                IF(ISERROR(MATCH($A216,$A$15:OFFSET($A216,-1,0),0)),MAX($M$15:OFFSET(M216,-1,0))+1,
                      INDEX($M$15:OFFSET(M216,-1,0),MATCH($A216,$A$15:OFFSET($A216,-1,0),0)))))</f>
        <v>9</v>
      </c>
      <c r="N216" s="167" t="str">
        <f ca="1">IF($D216&lt;&gt;"Serviço","",
         IF(AUTOEVENTO="Manual",
                IF($A216=0,"&lt;-- defina o número do agrupador",
                       OFFSET(EVENTOS!$D$15,$A216-$A$15,0)),
                OFFSET($F$15,$A216,0)))</f>
        <v>INSTALAÇÕES</v>
      </c>
      <c r="O216" s="168"/>
      <c r="Q216" s="168">
        <v>33.799999999999997</v>
      </c>
      <c r="R216" s="169">
        <v>33.799999999999997</v>
      </c>
      <c r="S216" s="169">
        <v>33.799999999999997</v>
      </c>
      <c r="T216" s="169">
        <v>33.799999999999997</v>
      </c>
      <c r="U216" s="169">
        <v>33.799999999999997</v>
      </c>
      <c r="V216" s="169">
        <v>33.799999999999997</v>
      </c>
      <c r="W216" s="169">
        <v>33.799999999999997</v>
      </c>
      <c r="X216" s="169">
        <v>33.799999999999997</v>
      </c>
      <c r="Y216" s="169">
        <v>33.799999999999997</v>
      </c>
      <c r="Z216" s="170">
        <v>33.799999999999997</v>
      </c>
      <c r="AA216" s="169">
        <v>33.799999999999997</v>
      </c>
      <c r="AB216" s="169">
        <v>33.799999999999997</v>
      </c>
      <c r="AC216" s="169">
        <v>33.799999999999997</v>
      </c>
      <c r="AD216" s="169">
        <v>33.799999999999997</v>
      </c>
      <c r="AE216" s="169">
        <v>33.799999999999997</v>
      </c>
      <c r="AF216" s="169">
        <v>33.799999999999997</v>
      </c>
      <c r="AG216" s="169">
        <v>33.799999999999997</v>
      </c>
      <c r="AH216" s="170">
        <v>33.799999999999997</v>
      </c>
      <c r="AI216" s="169">
        <v>33.799999999999997</v>
      </c>
      <c r="AJ216" s="169">
        <v>33.799999999999997</v>
      </c>
      <c r="AK216" s="169"/>
      <c r="AL216" s="169"/>
      <c r="AM216" s="169"/>
      <c r="AN216" s="169"/>
      <c r="AO216" s="169"/>
      <c r="AP216" s="170"/>
      <c r="AR216" s="453">
        <f ca="1">IF(AND($D216="Serviço",AR$12&lt;&gt;0,$H216&gt;0,OR(AUTOEVENTO&lt;&gt;"manual",$M216&lt;&gt;$A$15)),
        IF(Import.TipoArredondamento&lt;&gt;"TransfereGOV",
              ROUND(OFFSET($P216,0,AR$13),15-13*ORÇAMENTO!$AF$7)/$H216*OFFSET(ORÇAMENTO!$X$15,ROW(AR216)-ROW(AR$15),0),
              ROUND(ROUND(OFFSET($P216,0,AR$13),15-13*ORÇAMENTO!$AF$7)*OFFSET(ORÇAMENTO!$W$15,ROW(AR216)-ROW(AR$15),0),15-13*ORÇAMENTO!$AF$11)),
         0)</f>
        <v>0</v>
      </c>
      <c r="AS216" s="453">
        <f ca="1">IF(AND($D216="Serviço",AS$12&lt;&gt;0,$H216&gt;0,OR(AUTOEVENTO&lt;&gt;"manual",$M216&lt;&gt;$A$15)),
        IF(Import.TipoArredondamento&lt;&gt;"TransfereGOV",
              ROUND(OFFSET($P216,0,AS$13),15-13*ORÇAMENTO!$AF$7)/$H216*OFFSET(ORÇAMENTO!$X$15,ROW(AS216)-ROW(AS$15),0),
              ROUND(ROUND(OFFSET($P216,0,AS$13),15-13*ORÇAMENTO!$AF$7)*OFFSET(ORÇAMENTO!$W$15,ROW(AS216)-ROW(AS$15),0),15-13*ORÇAMENTO!$AF$11)),
         0)</f>
        <v>0</v>
      </c>
      <c r="AT216" s="453">
        <f ca="1">IF(AND($D216="Serviço",AT$12&lt;&gt;0,$H216&gt;0,OR(AUTOEVENTO&lt;&gt;"manual",$M216&lt;&gt;$A$15)),
        IF(Import.TipoArredondamento&lt;&gt;"TransfereGOV",
              ROUND(OFFSET($P216,0,AT$13),15-13*ORÇAMENTO!$AF$7)/$H216*OFFSET(ORÇAMENTO!$X$15,ROW(AT216)-ROW(AT$15),0),
              ROUND(ROUND(OFFSET($P216,0,AT$13),15-13*ORÇAMENTO!$AF$7)*OFFSET(ORÇAMENTO!$W$15,ROW(AT216)-ROW(AT$15),0),15-13*ORÇAMENTO!$AF$11)),
         0)</f>
        <v>0</v>
      </c>
      <c r="AU216" s="453">
        <f ca="1">IF(AND($D216="Serviço",AU$12&lt;&gt;0,$H216&gt;0,OR(AUTOEVENTO&lt;&gt;"manual",$M216&lt;&gt;$A$15)),
        IF(Import.TipoArredondamento&lt;&gt;"TransfereGOV",
              ROUND(OFFSET($P216,0,AU$13),15-13*ORÇAMENTO!$AF$7)/$H216*OFFSET(ORÇAMENTO!$X$15,ROW(AU216)-ROW(AU$15),0),
              ROUND(ROUND(OFFSET($P216,0,AU$13),15-13*ORÇAMENTO!$AF$7)*OFFSET(ORÇAMENTO!$W$15,ROW(AU216)-ROW(AU$15),0),15-13*ORÇAMENTO!$AF$11)),
         0)</f>
        <v>0</v>
      </c>
      <c r="AV216" s="453">
        <f ca="1">IF(AND($D216="Serviço",AV$12&lt;&gt;0,$H216&gt;0,OR(AUTOEVENTO&lt;&gt;"manual",$M216&lt;&gt;$A$15)),
        IF(Import.TipoArredondamento&lt;&gt;"TransfereGOV",
              ROUND(OFFSET($P216,0,AV$13),15-13*ORÇAMENTO!$AF$7)/$H216*OFFSET(ORÇAMENTO!$X$15,ROW(AV216)-ROW(AV$15),0),
              ROUND(ROUND(OFFSET($P216,0,AV$13),15-13*ORÇAMENTO!$AF$7)*OFFSET(ORÇAMENTO!$W$15,ROW(AV216)-ROW(AV$15),0),15-13*ORÇAMENTO!$AF$11)),
         0)</f>
        <v>0</v>
      </c>
      <c r="AW216" s="453">
        <f ca="1">IF(AND($D216="Serviço",AW$12&lt;&gt;0,$H216&gt;0,OR(AUTOEVENTO&lt;&gt;"manual",$M216&lt;&gt;$A$15)),
        IF(Import.TipoArredondamento&lt;&gt;"TransfereGOV",
              ROUND(OFFSET($P216,0,AW$13),15-13*ORÇAMENTO!$AF$7)/$H216*OFFSET(ORÇAMENTO!$X$15,ROW(AW216)-ROW(AW$15),0),
              ROUND(ROUND(OFFSET($P216,0,AW$13),15-13*ORÇAMENTO!$AF$7)*OFFSET(ORÇAMENTO!$W$15,ROW(AW216)-ROW(AW$15),0),15-13*ORÇAMENTO!$AF$11)),
         0)</f>
        <v>0</v>
      </c>
      <c r="AX216" s="453">
        <f ca="1">IF(AND($D216="Serviço",AX$12&lt;&gt;0,$H216&gt;0,OR(AUTOEVENTO&lt;&gt;"manual",$M216&lt;&gt;$A$15)),
        IF(Import.TipoArredondamento&lt;&gt;"TransfereGOV",
              ROUND(OFFSET($P216,0,AX$13),15-13*ORÇAMENTO!$AF$7)/$H216*OFFSET(ORÇAMENTO!$X$15,ROW(AX216)-ROW(AX$15),0),
              ROUND(ROUND(OFFSET($P216,0,AX$13),15-13*ORÇAMENTO!$AF$7)*OFFSET(ORÇAMENTO!$W$15,ROW(AX216)-ROW(AX$15),0),15-13*ORÇAMENTO!$AF$11)),
         0)</f>
        <v>0</v>
      </c>
      <c r="AY216" s="453">
        <f ca="1">IF(AND($D216="Serviço",AY$12&lt;&gt;0,$H216&gt;0,OR(AUTOEVENTO&lt;&gt;"manual",$M216&lt;&gt;$A$15)),
        IF(Import.TipoArredondamento&lt;&gt;"TransfereGOV",
              ROUND(OFFSET($P216,0,AY$13),15-13*ORÇAMENTO!$AF$7)/$H216*OFFSET(ORÇAMENTO!$X$15,ROW(AY216)-ROW(AY$15),0),
              ROUND(ROUND(OFFSET($P216,0,AY$13),15-13*ORÇAMENTO!$AF$7)*OFFSET(ORÇAMENTO!$W$15,ROW(AY216)-ROW(AY$15),0),15-13*ORÇAMENTO!$AF$11)),
         0)</f>
        <v>0</v>
      </c>
      <c r="AZ216" s="453">
        <f ca="1">IF(AND($D216="Serviço",AZ$12&lt;&gt;0,$H216&gt;0,OR(AUTOEVENTO&lt;&gt;"manual",$M216&lt;&gt;$A$15)),
        IF(Import.TipoArredondamento&lt;&gt;"TransfereGOV",
              ROUND(OFFSET($P216,0,AZ$13),15-13*ORÇAMENTO!$AF$7)/$H216*OFFSET(ORÇAMENTO!$X$15,ROW(AZ216)-ROW(AZ$15),0),
              ROUND(ROUND(OFFSET($P216,0,AZ$13),15-13*ORÇAMENTO!$AF$7)*OFFSET(ORÇAMENTO!$W$15,ROW(AZ216)-ROW(AZ$15),0),15-13*ORÇAMENTO!$AF$11)),
         0)</f>
        <v>0</v>
      </c>
      <c r="BA216" s="453">
        <f ca="1">IF(AND($D216="Serviço",BA$12&lt;&gt;0,$H216&gt;0,OR(AUTOEVENTO&lt;&gt;"manual",$M216&lt;&gt;$A$15)),
        IF(Import.TipoArredondamento&lt;&gt;"TransfereGOV",
              ROUND(OFFSET($P216,0,BA$13),15-13*ORÇAMENTO!$AF$7)/$H216*OFFSET(ORÇAMENTO!$X$15,ROW(BA216)-ROW(BA$15),0),
              ROUND(ROUND(OFFSET($P216,0,BA$13),15-13*ORÇAMENTO!$AF$7)*OFFSET(ORÇAMENTO!$W$15,ROW(BA216)-ROW(BA$15),0),15-13*ORÇAMENTO!$AF$11)),
         0)</f>
        <v>0</v>
      </c>
      <c r="BB216" s="453">
        <f ca="1">IF(AND($D216="Serviço",BB$12&lt;&gt;0,$H216&gt;0,OR(AUTOEVENTO&lt;&gt;"manual",$M216&lt;&gt;$A$15)),
        IF(Import.TipoArredondamento&lt;&gt;"TransfereGOV",
              ROUND(OFFSET($P216,0,BB$13),15-13*ORÇAMENTO!$AF$7)/$H216*OFFSET(ORÇAMENTO!$X$15,ROW(BB216)-ROW(BB$15),0),
              ROUND(ROUND(OFFSET($P216,0,BB$13),15-13*ORÇAMENTO!$AF$7)*OFFSET(ORÇAMENTO!$W$15,ROW(BB216)-ROW(BB$15),0),15-13*ORÇAMENTO!$AF$11)),
         0)</f>
        <v>0</v>
      </c>
      <c r="BC216" s="453">
        <f ca="1">IF(AND($D216="Serviço",BC$12&lt;&gt;0,$H216&gt;0,OR(AUTOEVENTO&lt;&gt;"manual",$M216&lt;&gt;$A$15)),
        IF(Import.TipoArredondamento&lt;&gt;"TransfereGOV",
              ROUND(OFFSET($P216,0,BC$13),15-13*ORÇAMENTO!$AF$7)/$H216*OFFSET(ORÇAMENTO!$X$15,ROW(BC216)-ROW(BC$15),0),
              ROUND(ROUND(OFFSET($P216,0,BC$13),15-13*ORÇAMENTO!$AF$7)*OFFSET(ORÇAMENTO!$W$15,ROW(BC216)-ROW(BC$15),0),15-13*ORÇAMENTO!$AF$11)),
         0)</f>
        <v>0</v>
      </c>
      <c r="BD216" s="453">
        <f ca="1">IF(AND($D216="Serviço",BD$12&lt;&gt;0,$H216&gt;0,OR(AUTOEVENTO&lt;&gt;"manual",$M216&lt;&gt;$A$15)),
        IF(Import.TipoArredondamento&lt;&gt;"TransfereGOV",
              ROUND(OFFSET($P216,0,BD$13),15-13*ORÇAMENTO!$AF$7)/$H216*OFFSET(ORÇAMENTO!$X$15,ROW(BD216)-ROW(BD$15),0),
              ROUND(ROUND(OFFSET($P216,0,BD$13),15-13*ORÇAMENTO!$AF$7)*OFFSET(ORÇAMENTO!$W$15,ROW(BD216)-ROW(BD$15),0),15-13*ORÇAMENTO!$AF$11)),
         0)</f>
        <v>0</v>
      </c>
      <c r="BE216" s="453">
        <f ca="1">IF(AND($D216="Serviço",BE$12&lt;&gt;0,$H216&gt;0,OR(AUTOEVENTO&lt;&gt;"manual",$M216&lt;&gt;$A$15)),
        IF(Import.TipoArredondamento&lt;&gt;"TransfereGOV",
              ROUND(OFFSET($P216,0,BE$13),15-13*ORÇAMENTO!$AF$7)/$H216*OFFSET(ORÇAMENTO!$X$15,ROW(BE216)-ROW(BE$15),0),
              ROUND(ROUND(OFFSET($P216,0,BE$13),15-13*ORÇAMENTO!$AF$7)*OFFSET(ORÇAMENTO!$W$15,ROW(BE216)-ROW(BE$15),0),15-13*ORÇAMENTO!$AF$11)),
         0)</f>
        <v>0</v>
      </c>
      <c r="BF216" s="453">
        <f ca="1">IF(AND($D216="Serviço",BF$12&lt;&gt;0,$H216&gt;0,OR(AUTOEVENTO&lt;&gt;"manual",$M216&lt;&gt;$A$15)),
        IF(Import.TipoArredondamento&lt;&gt;"TransfereGOV",
              ROUND(OFFSET($P216,0,BF$13),15-13*ORÇAMENTO!$AF$7)/$H216*OFFSET(ORÇAMENTO!$X$15,ROW(BF216)-ROW(BF$15),0),
              ROUND(ROUND(OFFSET($P216,0,BF$13),15-13*ORÇAMENTO!$AF$7)*OFFSET(ORÇAMENTO!$W$15,ROW(BF216)-ROW(BF$15),0),15-13*ORÇAMENTO!$AF$11)),
         0)</f>
        <v>0</v>
      </c>
      <c r="BG216" s="453">
        <f ca="1">IF(AND($D216="Serviço",BG$12&lt;&gt;0,$H216&gt;0,OR(AUTOEVENTO&lt;&gt;"manual",$M216&lt;&gt;$A$15)),
        IF(Import.TipoArredondamento&lt;&gt;"TransfereGOV",
              ROUND(OFFSET($P216,0,BG$13),15-13*ORÇAMENTO!$AF$7)/$H216*OFFSET(ORÇAMENTO!$X$15,ROW(BG216)-ROW(BG$15),0),
              ROUND(ROUND(OFFSET($P216,0,BG$13),15-13*ORÇAMENTO!$AF$7)*OFFSET(ORÇAMENTO!$W$15,ROW(BG216)-ROW(BG$15),0),15-13*ORÇAMENTO!$AF$11)),
         0)</f>
        <v>0</v>
      </c>
      <c r="BH216" s="453">
        <f ca="1">IF(AND($D216="Serviço",BH$12&lt;&gt;0,$H216&gt;0,OR(AUTOEVENTO&lt;&gt;"manual",$M216&lt;&gt;$A$15)),
        IF(Import.TipoArredondamento&lt;&gt;"TransfereGOV",
              ROUND(OFFSET($P216,0,BH$13),15-13*ORÇAMENTO!$AF$7)/$H216*OFFSET(ORÇAMENTO!$X$15,ROW(BH216)-ROW(BH$15),0),
              ROUND(ROUND(OFFSET($P216,0,BH$13),15-13*ORÇAMENTO!$AF$7)*OFFSET(ORÇAMENTO!$W$15,ROW(BH216)-ROW(BH$15),0),15-13*ORÇAMENTO!$AF$11)),
         0)</f>
        <v>0</v>
      </c>
      <c r="BI216" s="453">
        <f ca="1">IF(AND($D216="Serviço",BI$12&lt;&gt;0,$H216&gt;0,OR(AUTOEVENTO&lt;&gt;"manual",$M216&lt;&gt;$A$15)),
        IF(Import.TipoArredondamento&lt;&gt;"TransfereGOV",
              ROUND(OFFSET($P216,0,BI$13),15-13*ORÇAMENTO!$AF$7)/$H216*OFFSET(ORÇAMENTO!$X$15,ROW(BI216)-ROW(BI$15),0),
              ROUND(ROUND(OFFSET($P216,0,BI$13),15-13*ORÇAMENTO!$AF$7)*OFFSET(ORÇAMENTO!$W$15,ROW(BI216)-ROW(BI$15),0),15-13*ORÇAMENTO!$AF$11)),
         0)</f>
        <v>0</v>
      </c>
      <c r="BJ216" s="453">
        <f ca="1">IF(AND($D216="Serviço",BJ$12&lt;&gt;0,$H216&gt;0,OR(AUTOEVENTO&lt;&gt;"manual",$M216&lt;&gt;$A$15)),
        IF(Import.TipoArredondamento&lt;&gt;"TransfereGOV",
              ROUND(OFFSET($P216,0,BJ$13),15-13*ORÇAMENTO!$AF$7)/$H216*OFFSET(ORÇAMENTO!$X$15,ROW(BJ216)-ROW(BJ$15),0),
              ROUND(ROUND(OFFSET($P216,0,BJ$13),15-13*ORÇAMENTO!$AF$7)*OFFSET(ORÇAMENTO!$W$15,ROW(BJ216)-ROW(BJ$15),0),15-13*ORÇAMENTO!$AF$11)),
         0)</f>
        <v>0</v>
      </c>
      <c r="BK216" s="453">
        <f ca="1">IF(AND($D216="Serviço",BK$12&lt;&gt;0,$H216&gt;0,OR(AUTOEVENTO&lt;&gt;"manual",$M216&lt;&gt;$A$15)),
        IF(Import.TipoArredondamento&lt;&gt;"TransfereGOV",
              ROUND(OFFSET($P216,0,BK$13),15-13*ORÇAMENTO!$AF$7)/$H216*OFFSET(ORÇAMENTO!$X$15,ROW(BK216)-ROW(BK$15),0),
              ROUND(ROUND(OFFSET($P216,0,BK$13),15-13*ORÇAMENTO!$AF$7)*OFFSET(ORÇAMENTO!$W$15,ROW(BK216)-ROW(BK$15),0),15-13*ORÇAMENTO!$AF$11)),
         0)</f>
        <v>0</v>
      </c>
      <c r="BL216" s="453">
        <f ca="1">IF(AND($D216="Serviço",BL$12&lt;&gt;0,$H216&gt;0,OR(AUTOEVENTO&lt;&gt;"manual",$M216&lt;&gt;$A$15)),
        IF(Import.TipoArredondamento&lt;&gt;"TransfereGOV",
              ROUND(OFFSET($P216,0,BL$13),15-13*ORÇAMENTO!$AF$7)/$H216*OFFSET(ORÇAMENTO!$X$15,ROW(BL216)-ROW(BL$15),0),
              ROUND(ROUND(OFFSET($P216,0,BL$13),15-13*ORÇAMENTO!$AF$7)*OFFSET(ORÇAMENTO!$W$15,ROW(BL216)-ROW(BL$15),0),15-13*ORÇAMENTO!$AF$11)),
         0)</f>
        <v>0</v>
      </c>
      <c r="BM216" s="453">
        <f ca="1">IF(AND($D216="Serviço",BM$12&lt;&gt;0,$H216&gt;0,OR(AUTOEVENTO&lt;&gt;"manual",$M216&lt;&gt;$A$15)),
        IF(Import.TipoArredondamento&lt;&gt;"TransfereGOV",
              ROUND(OFFSET($P216,0,BM$13),15-13*ORÇAMENTO!$AF$7)/$H216*OFFSET(ORÇAMENTO!$X$15,ROW(BM216)-ROW(BM$15),0),
              ROUND(ROUND(OFFSET($P216,0,BM$13),15-13*ORÇAMENTO!$AF$7)*OFFSET(ORÇAMENTO!$W$15,ROW(BM216)-ROW(BM$15),0),15-13*ORÇAMENTO!$AF$11)),
         0)</f>
        <v>0</v>
      </c>
      <c r="BN216" s="453">
        <f ca="1">IF(AND($D216="Serviço",BN$12&lt;&gt;0,$H216&gt;0,OR(AUTOEVENTO&lt;&gt;"manual",$M216&lt;&gt;$A$15)),
        IF(Import.TipoArredondamento&lt;&gt;"TransfereGOV",
              ROUND(OFFSET($P216,0,BN$13),15-13*ORÇAMENTO!$AF$7)/$H216*OFFSET(ORÇAMENTO!$X$15,ROW(BN216)-ROW(BN$15),0),
              ROUND(ROUND(OFFSET($P216,0,BN$13),15-13*ORÇAMENTO!$AF$7)*OFFSET(ORÇAMENTO!$W$15,ROW(BN216)-ROW(BN$15),0),15-13*ORÇAMENTO!$AF$11)),
         0)</f>
        <v>0</v>
      </c>
      <c r="BO216" s="453">
        <f ca="1">IF(AND($D216="Serviço",BO$12&lt;&gt;0,$H216&gt;0,OR(AUTOEVENTO&lt;&gt;"manual",$M216&lt;&gt;$A$15)),
        IF(Import.TipoArredondamento&lt;&gt;"TransfereGOV",
              ROUND(OFFSET($P216,0,BO$13),15-13*ORÇAMENTO!$AF$7)/$H216*OFFSET(ORÇAMENTO!$X$15,ROW(BO216)-ROW(BO$15),0),
              ROUND(ROUND(OFFSET($P216,0,BO$13),15-13*ORÇAMENTO!$AF$7)*OFFSET(ORÇAMENTO!$W$15,ROW(BO216)-ROW(BO$15),0),15-13*ORÇAMENTO!$AF$11)),
         0)</f>
        <v>0</v>
      </c>
      <c r="BP216" s="453">
        <f ca="1">IF(AND($D216="Serviço",BP$12&lt;&gt;0,$H216&gt;0,OR(AUTOEVENTO&lt;&gt;"manual",$M216&lt;&gt;$A$15)),
        IF(Import.TipoArredondamento&lt;&gt;"TransfereGOV",
              ROUND(OFFSET($P216,0,BP$13),15-13*ORÇAMENTO!$AF$7)/$H216*OFFSET(ORÇAMENTO!$X$15,ROW(BP216)-ROW(BP$15),0),
              ROUND(ROUND(OFFSET($P216,0,BP$13),15-13*ORÇAMENTO!$AF$7)*OFFSET(ORÇAMENTO!$W$15,ROW(BP216)-ROW(BP$15),0),15-13*ORÇAMENTO!$AF$11)),
         0)</f>
        <v>0</v>
      </c>
      <c r="BQ216" s="453">
        <f ca="1">IF(AND($D216="Serviço",BQ$12&lt;&gt;0,$H216&gt;0,OR(AUTOEVENTO&lt;&gt;"manual",$M216&lt;&gt;$A$15)),
        IF(Import.TipoArredondamento&lt;&gt;"TransfereGOV",
              ROUND(OFFSET($P216,0,BQ$13),15-13*ORÇAMENTO!$AF$7)/$H216*OFFSET(ORÇAMENTO!$X$15,ROW(BQ216)-ROW(BQ$15),0),
              ROUND(ROUND(OFFSET($P216,0,BQ$13),15-13*ORÇAMENTO!$AF$7)*OFFSET(ORÇAMENTO!$W$15,ROW(BQ216)-ROW(BQ$15),0),15-13*ORÇAMENTO!$AF$11)),
         0)</f>
        <v>0</v>
      </c>
      <c r="BS216" s="171">
        <f ca="1">IF(OR($D216&lt;&gt;"Serviço",AND(AUTOEVENTO="Manual",$M216=$A$15)),0,
         IF(OFFSET(CRONOPLE!$F$15,$M216-$A$15,BS$13)=0,10^12,OFFSET(CRONOPLE!$F$15,$M216-$A$15,BS$13)))</f>
        <v>1</v>
      </c>
      <c r="BT216" s="171">
        <f ca="1">IF(OR($D216&lt;&gt;"Serviço",AND(AUTOEVENTO="Manual",$M216=$A$15)),0,
         IF(OFFSET(CRONOPLE!$F$15,$M216-$A$15,BT$13)=0,10^12,OFFSET(CRONOPLE!$F$15,$M216-$A$15,BT$13)))</f>
        <v>2</v>
      </c>
      <c r="BU216" s="171">
        <f ca="1">IF(OR($D216&lt;&gt;"Serviço",AND(AUTOEVENTO="Manual",$M216=$A$15)),0,
         IF(OFFSET(CRONOPLE!$F$15,$M216-$A$15,BU$13)=0,10^12,OFFSET(CRONOPLE!$F$15,$M216-$A$15,BU$13)))</f>
        <v>3</v>
      </c>
      <c r="BV216" s="171">
        <f ca="1">IF(OR($D216&lt;&gt;"Serviço",AND(AUTOEVENTO="Manual",$M216=$A$15)),0,
         IF(OFFSET(CRONOPLE!$F$15,$M216-$A$15,BV$13)=0,10^12,OFFSET(CRONOPLE!$F$15,$M216-$A$15,BV$13)))</f>
        <v>4</v>
      </c>
      <c r="BW216" s="171">
        <f ca="1">IF(OR($D216&lt;&gt;"Serviço",AND(AUTOEVENTO="Manual",$M216=$A$15)),0,
         IF(OFFSET(CRONOPLE!$F$15,$M216-$A$15,BW$13)=0,10^12,OFFSET(CRONOPLE!$F$15,$M216-$A$15,BW$13)))</f>
        <v>5</v>
      </c>
      <c r="BX216" s="171">
        <f ca="1">IF(OR($D216&lt;&gt;"Serviço",AND(AUTOEVENTO="Manual",$M216=$A$15)),0,
         IF(OFFSET(CRONOPLE!$F$15,$M216-$A$15,BX$13)=0,10^12,OFFSET(CRONOPLE!$F$15,$M216-$A$15,BX$13)))</f>
        <v>6</v>
      </c>
      <c r="BY216" s="171">
        <f ca="1">IF(OR($D216&lt;&gt;"Serviço",AND(AUTOEVENTO="Manual",$M216=$A$15)),0,
         IF(OFFSET(CRONOPLE!$F$15,$M216-$A$15,BY$13)=0,10^12,OFFSET(CRONOPLE!$F$15,$M216-$A$15,BY$13)))</f>
        <v>7</v>
      </c>
      <c r="BZ216" s="171">
        <f ca="1">IF(OR($D216&lt;&gt;"Serviço",AND(AUTOEVENTO="Manual",$M216=$A$15)),0,
         IF(OFFSET(CRONOPLE!$F$15,$M216-$A$15,BZ$13)=0,10^12,OFFSET(CRONOPLE!$F$15,$M216-$A$15,BZ$13)))</f>
        <v>8</v>
      </c>
      <c r="CA216" s="171">
        <f ca="1">IF(OR($D216&lt;&gt;"Serviço",AND(AUTOEVENTO="Manual",$M216=$A$15)),0,
         IF(OFFSET(CRONOPLE!$F$15,$M216-$A$15,CA$13)=0,10^12,OFFSET(CRONOPLE!$F$15,$M216-$A$15,CA$13)))</f>
        <v>9</v>
      </c>
      <c r="CB216" s="171">
        <f ca="1">IF(OR($D216&lt;&gt;"Serviço",AND(AUTOEVENTO="Manual",$M216=$A$15)),0,
         IF(OFFSET(CRONOPLE!$F$15,$M216-$A$15,CB$13)=0,10^12,OFFSET(CRONOPLE!$F$15,$M216-$A$15,CB$13)))</f>
        <v>10</v>
      </c>
      <c r="CC216" s="171">
        <f ca="1">IF(OR($D216&lt;&gt;"Serviço",AND(AUTOEVENTO="Manual",$M216=$A$15)),0,
         IF(OFFSET(CRONOPLE!$F$15,$M216-$A$15,CC$13)=0,10^12,OFFSET(CRONOPLE!$F$15,$M216-$A$15,CC$13)))</f>
        <v>11</v>
      </c>
      <c r="CD216" s="171">
        <f ca="1">IF(OR($D216&lt;&gt;"Serviço",AND(AUTOEVENTO="Manual",$M216=$A$15)),0,
         IF(OFFSET(CRONOPLE!$F$15,$M216-$A$15,CD$13)=0,10^12,OFFSET(CRONOPLE!$F$15,$M216-$A$15,CD$13)))</f>
        <v>12</v>
      </c>
      <c r="CE216" s="171">
        <f ca="1">IF(OR($D216&lt;&gt;"Serviço",AND(AUTOEVENTO="Manual",$M216=$A$15)),0,
         IF(OFFSET(CRONOPLE!$F$15,$M216-$A$15,CE$13)=0,10^12,OFFSET(CRONOPLE!$F$15,$M216-$A$15,CE$13)))</f>
        <v>13</v>
      </c>
      <c r="CF216" s="171">
        <f ca="1">IF(OR($D216&lt;&gt;"Serviço",AND(AUTOEVENTO="Manual",$M216=$A$15)),0,
         IF(OFFSET(CRONOPLE!$F$15,$M216-$A$15,CF$13)=0,10^12,OFFSET(CRONOPLE!$F$15,$M216-$A$15,CF$13)))</f>
        <v>14</v>
      </c>
      <c r="CG216" s="171">
        <f ca="1">IF(OR($D216&lt;&gt;"Serviço",AND(AUTOEVENTO="Manual",$M216=$A$15)),0,
         IF(OFFSET(CRONOPLE!$F$15,$M216-$A$15,CG$13)=0,10^12,OFFSET(CRONOPLE!$F$15,$M216-$A$15,CG$13)))</f>
        <v>15</v>
      </c>
      <c r="CH216" s="171">
        <f ca="1">IF(OR($D216&lt;&gt;"Serviço",AND(AUTOEVENTO="Manual",$M216=$A$15)),0,
         IF(OFFSET(CRONOPLE!$F$15,$M216-$A$15,CH$13)=0,10^12,OFFSET(CRONOPLE!$F$15,$M216-$A$15,CH$13)))</f>
        <v>16</v>
      </c>
      <c r="CI216" s="171">
        <f ca="1">IF(OR($D216&lt;&gt;"Serviço",AND(AUTOEVENTO="Manual",$M216=$A$15)),0,
         IF(OFFSET(CRONOPLE!$F$15,$M216-$A$15,CI$13)=0,10^12,OFFSET(CRONOPLE!$F$15,$M216-$A$15,CI$13)))</f>
        <v>17</v>
      </c>
      <c r="CJ216" s="171">
        <f ca="1">IF(OR($D216&lt;&gt;"Serviço",AND(AUTOEVENTO="Manual",$M216=$A$15)),0,
         IF(OFFSET(CRONOPLE!$F$15,$M216-$A$15,CJ$13)=0,10^12,OFFSET(CRONOPLE!$F$15,$M216-$A$15,CJ$13)))</f>
        <v>18</v>
      </c>
      <c r="CK216" s="171">
        <f ca="1">IF(OR($D216&lt;&gt;"Serviço",AND(AUTOEVENTO="Manual",$M216=$A$15)),0,
         IF(OFFSET(CRONOPLE!$F$15,$M216-$A$15,CK$13)=0,10^12,OFFSET(CRONOPLE!$F$15,$M216-$A$15,CK$13)))</f>
        <v>19</v>
      </c>
      <c r="CL216" s="171">
        <f ca="1">IF(OR($D216&lt;&gt;"Serviço",AND(AUTOEVENTO="Manual",$M216=$A$15)),0,
         IF(OFFSET(CRONOPLE!$F$15,$M216-$A$15,CL$13)=0,10^12,OFFSET(CRONOPLE!$F$15,$M216-$A$15,CL$13)))</f>
        <v>20</v>
      </c>
      <c r="CM216" s="171">
        <f ca="1">IF(OR($D216&lt;&gt;"Serviço",AND(AUTOEVENTO="Manual",$M216=$A$15)),0,
         IF(OFFSET(CRONOPLE!$F$15,$M216-$A$15,CM$13)=0,10^12,OFFSET(CRONOPLE!$F$15,$M216-$A$15,CM$13)))</f>
        <v>1000000000000</v>
      </c>
      <c r="CN216" s="171">
        <f ca="1">IF(OR($D216&lt;&gt;"Serviço",AND(AUTOEVENTO="Manual",$M216=$A$15)),0,
         IF(OFFSET(CRONOPLE!$F$15,$M216-$A$15,CN$13)=0,10^12,OFFSET(CRONOPLE!$F$15,$M216-$A$15,CN$13)))</f>
        <v>1000000000000</v>
      </c>
      <c r="CO216" s="171">
        <f ca="1">IF(OR($D216&lt;&gt;"Serviço",AND(AUTOEVENTO="Manual",$M216=$A$15)),0,
         IF(OFFSET(CRONOPLE!$F$15,$M216-$A$15,CO$13)=0,10^12,OFFSET(CRONOPLE!$F$15,$M216-$A$15,CO$13)))</f>
        <v>1000000000000</v>
      </c>
      <c r="CP216" s="171">
        <f ca="1">IF(OR($D216&lt;&gt;"Serviço",AND(AUTOEVENTO="Manual",$M216=$A$15)),0,
         IF(OFFSET(CRONOPLE!$F$15,$M216-$A$15,CP$13)=0,10^12,OFFSET(CRONOPLE!$F$15,$M216-$A$15,CP$13)))</f>
        <v>1000000000000</v>
      </c>
      <c r="CQ216" s="171">
        <f ca="1">IF(OR($D216&lt;&gt;"Serviço",AND(AUTOEVENTO="Manual",$M216=$A$15)),0,
         IF(OFFSET(CRONOPLE!$F$15,$M216-$A$15,CQ$13)=0,10^12,OFFSET(CRONOPLE!$F$15,$M216-$A$15,CQ$13)))</f>
        <v>1000000000000</v>
      </c>
      <c r="CR216" s="171">
        <f ca="1">IF(OR($D216&lt;&gt;"Serviço",AND(AUTOEVENTO="Manual",$M216=$A$15)),0,
         IF(OFFSET(CRONOPLE!$F$15,$M216-$A$15,CR$13)=0,10^12,OFFSET(CRONOPLE!$F$15,$M216-$A$15,CR$13)))</f>
        <v>1000000000000</v>
      </c>
      <c r="CT216" s="172" cm="1">
        <f t="array" aca="1" ref="CT216" ca="1">IF(OR($D216&lt;&gt;"Serviço",AND(AUTOEVENTO="Manual",$M216=$A$15),$M216&gt;(ROW(PLE.lastrow)-ROW(PLE.firstrow))),0,
           IF(OFFSET(PLE!$G$15,$M216-$A$15,CT$13)="",10^12,OFFSET(PLE!$G$15,$M216-$A$15,CT$13)))</f>
        <v>1000000000000</v>
      </c>
      <c r="CU216" s="172" cm="1">
        <f t="array" aca="1" ref="CU216" ca="1">IF(OR($D216&lt;&gt;"Serviço",AND(AUTOEVENTO="Manual",$M216=$A$15),$M216&gt;(ROW(PLE.lastrow)-ROW(PLE.firstrow))),0,
           IF(OFFSET(PLE!$G$15,$M216-$A$15,CU$13)="",10^12,OFFSET(PLE!$G$15,$M216-$A$15,CU$13)))</f>
        <v>1000000000000</v>
      </c>
      <c r="CV216" s="172" cm="1">
        <f t="array" aca="1" ref="CV216" ca="1">IF(OR($D216&lt;&gt;"Serviço",AND(AUTOEVENTO="Manual",$M216=$A$15),$M216&gt;(ROW(PLE.lastrow)-ROW(PLE.firstrow))),0,
           IF(OFFSET(PLE!$G$15,$M216-$A$15,CV$13)="",10^12,OFFSET(PLE!$G$15,$M216-$A$15,CV$13)))</f>
        <v>1000000000000</v>
      </c>
      <c r="CW216" s="172" cm="1">
        <f t="array" aca="1" ref="CW216" ca="1">IF(OR($D216&lt;&gt;"Serviço",AND(AUTOEVENTO="Manual",$M216=$A$15),$M216&gt;(ROW(PLE.lastrow)-ROW(PLE.firstrow))),0,
           IF(OFFSET(PLE!$G$15,$M216-$A$15,CW$13)="",10^12,OFFSET(PLE!$G$15,$M216-$A$15,CW$13)))</f>
        <v>1000000000000</v>
      </c>
      <c r="CX216" s="172" cm="1">
        <f t="array" aca="1" ref="CX216" ca="1">IF(OR($D216&lt;&gt;"Serviço",AND(AUTOEVENTO="Manual",$M216=$A$15),$M216&gt;(ROW(PLE.lastrow)-ROW(PLE.firstrow))),0,
           IF(OFFSET(PLE!$G$15,$M216-$A$15,CX$13)="",10^12,OFFSET(PLE!$G$15,$M216-$A$15,CX$13)))</f>
        <v>1000000000000</v>
      </c>
      <c r="CY216" s="172" cm="1">
        <f t="array" aca="1" ref="CY216" ca="1">IF(OR($D216&lt;&gt;"Serviço",AND(AUTOEVENTO="Manual",$M216=$A$15),$M216&gt;(ROW(PLE.lastrow)-ROW(PLE.firstrow))),0,
           IF(OFFSET(PLE!$G$15,$M216-$A$15,CY$13)="",10^12,OFFSET(PLE!$G$15,$M216-$A$15,CY$13)))</f>
        <v>1000000000000</v>
      </c>
      <c r="CZ216" s="172" cm="1">
        <f t="array" aca="1" ref="CZ216" ca="1">IF(OR($D216&lt;&gt;"Serviço",AND(AUTOEVENTO="Manual",$M216=$A$15),$M216&gt;(ROW(PLE.lastrow)-ROW(PLE.firstrow))),0,
           IF(OFFSET(PLE!$G$15,$M216-$A$15,CZ$13)="",10^12,OFFSET(PLE!$G$15,$M216-$A$15,CZ$13)))</f>
        <v>1000000000000</v>
      </c>
      <c r="DA216" s="172" cm="1">
        <f t="array" aca="1" ref="DA216" ca="1">IF(OR($D216&lt;&gt;"Serviço",AND(AUTOEVENTO="Manual",$M216=$A$15),$M216&gt;(ROW(PLE.lastrow)-ROW(PLE.firstrow))),0,
           IF(OFFSET(PLE!$G$15,$M216-$A$15,DA$13)="",10^12,OFFSET(PLE!$G$15,$M216-$A$15,DA$13)))</f>
        <v>1000000000000</v>
      </c>
      <c r="DB216" s="172" cm="1">
        <f t="array" aca="1" ref="DB216" ca="1">IF(OR($D216&lt;&gt;"Serviço",AND(AUTOEVENTO="Manual",$M216=$A$15),$M216&gt;(ROW(PLE.lastrow)-ROW(PLE.firstrow))),0,
           IF(OFFSET(PLE!$G$15,$M216-$A$15,DB$13)="",10^12,OFFSET(PLE!$G$15,$M216-$A$15,DB$13)))</f>
        <v>1000000000000</v>
      </c>
      <c r="DC216" s="172" cm="1">
        <f t="array" aca="1" ref="DC216" ca="1">IF(OR($D216&lt;&gt;"Serviço",AND(AUTOEVENTO="Manual",$M216=$A$15),$M216&gt;(ROW(PLE.lastrow)-ROW(PLE.firstrow))),0,
           IF(OFFSET(PLE!$G$15,$M216-$A$15,DC$13)="",10^12,OFFSET(PLE!$G$15,$M216-$A$15,DC$13)))</f>
        <v>1000000000000</v>
      </c>
      <c r="DD216" s="172" cm="1">
        <f t="array" aca="1" ref="DD216" ca="1">IF(OR($D216&lt;&gt;"Serviço",AND(AUTOEVENTO="Manual",$M216=$A$15),$M216&gt;(ROW(PLE.lastrow)-ROW(PLE.firstrow))),0,
           IF(OFFSET(PLE!$G$15,$M216-$A$15,DD$13)="",10^12,OFFSET(PLE!$G$15,$M216-$A$15,DD$13)))</f>
        <v>1000000000000</v>
      </c>
      <c r="DE216" s="172" cm="1">
        <f t="array" aca="1" ref="DE216" ca="1">IF(OR($D216&lt;&gt;"Serviço",AND(AUTOEVENTO="Manual",$M216=$A$15),$M216&gt;(ROW(PLE.lastrow)-ROW(PLE.firstrow))),0,
           IF(OFFSET(PLE!$G$15,$M216-$A$15,DE$13)="",10^12,OFFSET(PLE!$G$15,$M216-$A$15,DE$13)))</f>
        <v>1000000000000</v>
      </c>
      <c r="DF216" s="172" cm="1">
        <f t="array" aca="1" ref="DF216" ca="1">IF(OR($D216&lt;&gt;"Serviço",AND(AUTOEVENTO="Manual",$M216=$A$15),$M216&gt;(ROW(PLE.lastrow)-ROW(PLE.firstrow))),0,
           IF(OFFSET(PLE!$G$15,$M216-$A$15,DF$13)="",10^12,OFFSET(PLE!$G$15,$M216-$A$15,DF$13)))</f>
        <v>1000000000000</v>
      </c>
      <c r="DG216" s="172" cm="1">
        <f t="array" aca="1" ref="DG216" ca="1">IF(OR($D216&lt;&gt;"Serviço",AND(AUTOEVENTO="Manual",$M216=$A$15),$M216&gt;(ROW(PLE.lastrow)-ROW(PLE.firstrow))),0,
           IF(OFFSET(PLE!$G$15,$M216-$A$15,DG$13)="",10^12,OFFSET(PLE!$G$15,$M216-$A$15,DG$13)))</f>
        <v>1000000000000</v>
      </c>
      <c r="DH216" s="172" cm="1">
        <f t="array" aca="1" ref="DH216" ca="1">IF(OR($D216&lt;&gt;"Serviço",AND(AUTOEVENTO="Manual",$M216=$A$15),$M216&gt;(ROW(PLE.lastrow)-ROW(PLE.firstrow))),0,
           IF(OFFSET(PLE!$G$15,$M216-$A$15,DH$13)="",10^12,OFFSET(PLE!$G$15,$M216-$A$15,DH$13)))</f>
        <v>1000000000000</v>
      </c>
      <c r="DI216" s="172" cm="1">
        <f t="array" aca="1" ref="DI216" ca="1">IF(OR($D216&lt;&gt;"Serviço",AND(AUTOEVENTO="Manual",$M216=$A$15),$M216&gt;(ROW(PLE.lastrow)-ROW(PLE.firstrow))),0,
           IF(OFFSET(PLE!$G$15,$M216-$A$15,DI$13)="",10^12,OFFSET(PLE!$G$15,$M216-$A$15,DI$13)))</f>
        <v>1000000000000</v>
      </c>
      <c r="DJ216" s="172" cm="1">
        <f t="array" aca="1" ref="DJ216" ca="1">IF(OR($D216&lt;&gt;"Serviço",AND(AUTOEVENTO="Manual",$M216=$A$15),$M216&gt;(ROW(PLE.lastrow)-ROW(PLE.firstrow))),0,
           IF(OFFSET(PLE!$G$15,$M216-$A$15,DJ$13)="",10^12,OFFSET(PLE!$G$15,$M216-$A$15,DJ$13)))</f>
        <v>1000000000000</v>
      </c>
      <c r="DK216" s="172" cm="1">
        <f t="array" aca="1" ref="DK216" ca="1">IF(OR($D216&lt;&gt;"Serviço",AND(AUTOEVENTO="Manual",$M216=$A$15),$M216&gt;(ROW(PLE.lastrow)-ROW(PLE.firstrow))),0,
           IF(OFFSET(PLE!$G$15,$M216-$A$15,DK$13)="",10^12,OFFSET(PLE!$G$15,$M216-$A$15,DK$13)))</f>
        <v>1000000000000</v>
      </c>
      <c r="DL216" s="172" cm="1">
        <f t="array" aca="1" ref="DL216" ca="1">IF(OR($D216&lt;&gt;"Serviço",AND(AUTOEVENTO="Manual",$M216=$A$15),$M216&gt;(ROW(PLE.lastrow)-ROW(PLE.firstrow))),0,
           IF(OFFSET(PLE!$G$15,$M216-$A$15,DL$13)="",10^12,OFFSET(PLE!$G$15,$M216-$A$15,DL$13)))</f>
        <v>1000000000000</v>
      </c>
      <c r="DM216" s="172" cm="1">
        <f t="array" aca="1" ref="DM216" ca="1">IF(OR($D216&lt;&gt;"Serviço",AND(AUTOEVENTO="Manual",$M216=$A$15),$M216&gt;(ROW(PLE.lastrow)-ROW(PLE.firstrow))),0,
           IF(OFFSET(PLE!$G$15,$M216-$A$15,DM$13)="",10^12,OFFSET(PLE!$G$15,$M216-$A$15,DM$13)))</f>
        <v>1000000000000</v>
      </c>
      <c r="DN216" s="172" cm="1">
        <f t="array" aca="1" ref="DN216" ca="1">IF(OR($D216&lt;&gt;"Serviço",AND(AUTOEVENTO="Manual",$M216=$A$15),$M216&gt;(ROW(PLE.lastrow)-ROW(PLE.firstrow))),0,
           IF(OFFSET(PLE!$G$15,$M216-$A$15,DN$13)="",10^12,OFFSET(PLE!$G$15,$M216-$A$15,DN$13)))</f>
        <v>1000000000000</v>
      </c>
      <c r="DO216" s="172" cm="1">
        <f t="array" aca="1" ref="DO216" ca="1">IF(OR($D216&lt;&gt;"Serviço",AND(AUTOEVENTO="Manual",$M216=$A$15),$M216&gt;(ROW(PLE.lastrow)-ROW(PLE.firstrow))),0,
           IF(OFFSET(PLE!$G$15,$M216-$A$15,DO$13)="",10^12,OFFSET(PLE!$G$15,$M216-$A$15,DO$13)))</f>
        <v>1000000000000</v>
      </c>
      <c r="DP216" s="172" cm="1">
        <f t="array" aca="1" ref="DP216" ca="1">IF(OR($D216&lt;&gt;"Serviço",AND(AUTOEVENTO="Manual",$M216=$A$15),$M216&gt;(ROW(PLE.lastrow)-ROW(PLE.firstrow))),0,
           IF(OFFSET(PLE!$G$15,$M216-$A$15,DP$13)="",10^12,OFFSET(PLE!$G$15,$M216-$A$15,DP$13)))</f>
        <v>1000000000000</v>
      </c>
      <c r="DQ216" s="172" cm="1">
        <f t="array" aca="1" ref="DQ216" ca="1">IF(OR($D216&lt;&gt;"Serviço",AND(AUTOEVENTO="Manual",$M216=$A$15),$M216&gt;(ROW(PLE.lastrow)-ROW(PLE.firstrow))),0,
           IF(OFFSET(PLE!$G$15,$M216-$A$15,DQ$13)="",10^12,OFFSET(PLE!$G$15,$M216-$A$15,DQ$13)))</f>
        <v>1000000000000</v>
      </c>
      <c r="DR216" s="172" cm="1">
        <f t="array" aca="1" ref="DR216" ca="1">IF(OR($D216&lt;&gt;"Serviço",AND(AUTOEVENTO="Manual",$M216=$A$15),$M216&gt;(ROW(PLE.lastrow)-ROW(PLE.firstrow))),0,
           IF(OFFSET(PLE!$G$15,$M216-$A$15,DR$13)="",10^12,OFFSET(PLE!$G$15,$M216-$A$15,DR$13)))</f>
        <v>1000000000000</v>
      </c>
      <c r="DS216" s="172" cm="1">
        <f t="array" aca="1" ref="DS216" ca="1">IF(OR($D216&lt;&gt;"Serviço",AND(AUTOEVENTO="Manual",$M216=$A$15),$M216&gt;(ROW(PLE.lastrow)-ROW(PLE.firstrow))),0,
           IF(OFFSET(PLE!$G$15,$M216-$A$15,DS$13)="",10^12,OFFSET(PLE!$G$15,$M216-$A$15,DS$13)))</f>
        <v>1000000000000</v>
      </c>
    </row>
    <row r="217" spans="1:123" ht="12.75" x14ac:dyDescent="0.2">
      <c r="A217" s="7">
        <f t="shared" ca="1" si="19"/>
        <v>0</v>
      </c>
      <c r="B217" s="7">
        <f ca="1">OFFSET(ORÇAMENTO!C$15,$L217,0)</f>
        <v>3</v>
      </c>
      <c r="C217" s="7" t="str">
        <f ca="1">OFFSET(ORÇAMENTO!L$15,$L217,0)</f>
        <v>F</v>
      </c>
      <c r="D217" s="116" t="str">
        <f ca="1">OFFSET(ORÇAMENTO!N$15,$L217,0)</f>
        <v>Nível 3</v>
      </c>
      <c r="E217" s="117" t="str">
        <f ca="1">OFFSET(ORÇAMENTO!O$15,$L217,0)</f>
        <v>9.3.2.</v>
      </c>
      <c r="F217" s="163" t="str">
        <f ca="1">OFFSET(ORÇAMENTO!R$15,$L217,0)</f>
        <v>ACESSÓRIOS / CAIXAS SANITÁRIAS</v>
      </c>
      <c r="G217" s="164" t="str">
        <f ca="1">IF($D217&lt;&gt;"Serviço","",OFFSET(ORÇAMENTO!S$15,$L217,0))</f>
        <v/>
      </c>
      <c r="H217" s="122" cm="1">
        <f t="array" aca="1" ref="H217" ca="1">IF($D217&lt;&gt;"Serviço",0,IF(ACOMPANHAMENTO="BM",ROUND(OFFSET(ORÇAMENTO!AJ$15,$L217,0),15-13*ORÇAMENTO!$AF$7),IF(IFERROR(CÁLCULO.FrentesPreenchidas,0)=0,0,SUM(ROUND(OFFSET($P217,0,1,1,CÁLCULO.FrentesPreenchidas),15-13*ORÇAMENTO!$AF$7)))))</f>
        <v>0</v>
      </c>
      <c r="I217" s="468"/>
      <c r="J217" s="651" t="str" cm="1">
        <f t="array" aca="1" ref="J217" ca="1">IF(OR(B217&lt;&gt;"S",CÁLCULO.FrentesPreenchidas=0),"",IF(AND(ACOMPANHAMENTO="PLE",AUTOEVENTO="Manual",OR(H217&gt;0,ORÇAMENTO!AC217="QUANT."),OR(K217="",M217=0,N217="")),"►E",IF(AND(ACOMPANHAMENTO="PLE",ORÇAMENTO!AC217="QUANT."),"►Q",IF(AND(ACOMPANHAMENTO="PLE",H217&lt;&gt;SUMPRODUCT(($Q$1:$AQ$1=1)*ROUND(Q217:AQ217,15))),"►S",IF(AND(COUNTIF($P$11:$AQ$11,"▼")=0,H217&gt;0,I217=""),"◄M","")))))</f>
        <v/>
      </c>
      <c r="K217" s="652"/>
      <c r="L217" s="165">
        <f t="shared" ca="1" si="20"/>
        <v>202</v>
      </c>
      <c r="M217" s="166" t="str">
        <f ca="1">IF($D217&lt;&gt;"Serviço","",
          IF(AUTOEVENTO="manual",$A217,
                IF(ISERROR(MATCH($A217,$A$15:OFFSET($A217,-1,0),0)),MAX($M$15:OFFSET(M217,-1,0))+1,
                      INDEX($M$15:OFFSET(M217,-1,0),MATCH($A217,$A$15:OFFSET($A217,-1,0),0)))))</f>
        <v/>
      </c>
      <c r="N217" s="167" t="str">
        <f ca="1">IF($D217&lt;&gt;"Serviço","",
         IF(AUTOEVENTO="Manual",
                IF($A217=0,"&lt;-- defina o número do agrupador",
                       OFFSET(EVENTOS!$D$15,$A217-$A$15,0)),
                OFFSET($F$15,$A217,0)))</f>
        <v/>
      </c>
      <c r="O217" s="168"/>
      <c r="Q217" s="168"/>
      <c r="R217" s="169"/>
      <c r="S217" s="169"/>
      <c r="T217" s="169"/>
      <c r="U217" s="169"/>
      <c r="V217" s="169"/>
      <c r="W217" s="169"/>
      <c r="X217" s="169"/>
      <c r="Y217" s="169"/>
      <c r="Z217" s="170"/>
      <c r="AA217" s="169"/>
      <c r="AB217" s="169"/>
      <c r="AC217" s="169"/>
      <c r="AD217" s="169"/>
      <c r="AE217" s="169"/>
      <c r="AF217" s="169"/>
      <c r="AG217" s="169"/>
      <c r="AH217" s="170"/>
      <c r="AI217" s="169"/>
      <c r="AJ217" s="169"/>
      <c r="AK217" s="169"/>
      <c r="AL217" s="169"/>
      <c r="AM217" s="169"/>
      <c r="AN217" s="169"/>
      <c r="AO217" s="169"/>
      <c r="AP217" s="170"/>
      <c r="AR217" s="453">
        <f ca="1">IF(AND($D217="Serviço",AR$12&lt;&gt;0,$H217&gt;0,OR(AUTOEVENTO&lt;&gt;"manual",$M217&lt;&gt;$A$15)),
        IF(Import.TipoArredondamento&lt;&gt;"TransfereGOV",
              ROUND(OFFSET($P217,0,AR$13),15-13*ORÇAMENTO!$AF$7)/$H217*OFFSET(ORÇAMENTO!$X$15,ROW(AR217)-ROW(AR$15),0),
              ROUND(ROUND(OFFSET($P217,0,AR$13),15-13*ORÇAMENTO!$AF$7)*OFFSET(ORÇAMENTO!$W$15,ROW(AR217)-ROW(AR$15),0),15-13*ORÇAMENTO!$AF$11)),
         0)</f>
        <v>0</v>
      </c>
      <c r="AS217" s="453">
        <f ca="1">IF(AND($D217="Serviço",AS$12&lt;&gt;0,$H217&gt;0,OR(AUTOEVENTO&lt;&gt;"manual",$M217&lt;&gt;$A$15)),
        IF(Import.TipoArredondamento&lt;&gt;"TransfereGOV",
              ROUND(OFFSET($P217,0,AS$13),15-13*ORÇAMENTO!$AF$7)/$H217*OFFSET(ORÇAMENTO!$X$15,ROW(AS217)-ROW(AS$15),0),
              ROUND(ROUND(OFFSET($P217,0,AS$13),15-13*ORÇAMENTO!$AF$7)*OFFSET(ORÇAMENTO!$W$15,ROW(AS217)-ROW(AS$15),0),15-13*ORÇAMENTO!$AF$11)),
         0)</f>
        <v>0</v>
      </c>
      <c r="AT217" s="453">
        <f ca="1">IF(AND($D217="Serviço",AT$12&lt;&gt;0,$H217&gt;0,OR(AUTOEVENTO&lt;&gt;"manual",$M217&lt;&gt;$A$15)),
        IF(Import.TipoArredondamento&lt;&gt;"TransfereGOV",
              ROUND(OFFSET($P217,0,AT$13),15-13*ORÇAMENTO!$AF$7)/$H217*OFFSET(ORÇAMENTO!$X$15,ROW(AT217)-ROW(AT$15),0),
              ROUND(ROUND(OFFSET($P217,0,AT$13),15-13*ORÇAMENTO!$AF$7)*OFFSET(ORÇAMENTO!$W$15,ROW(AT217)-ROW(AT$15),0),15-13*ORÇAMENTO!$AF$11)),
         0)</f>
        <v>0</v>
      </c>
      <c r="AU217" s="453">
        <f ca="1">IF(AND($D217="Serviço",AU$12&lt;&gt;0,$H217&gt;0,OR(AUTOEVENTO&lt;&gt;"manual",$M217&lt;&gt;$A$15)),
        IF(Import.TipoArredondamento&lt;&gt;"TransfereGOV",
              ROUND(OFFSET($P217,0,AU$13),15-13*ORÇAMENTO!$AF$7)/$H217*OFFSET(ORÇAMENTO!$X$15,ROW(AU217)-ROW(AU$15),0),
              ROUND(ROUND(OFFSET($P217,0,AU$13),15-13*ORÇAMENTO!$AF$7)*OFFSET(ORÇAMENTO!$W$15,ROW(AU217)-ROW(AU$15),0),15-13*ORÇAMENTO!$AF$11)),
         0)</f>
        <v>0</v>
      </c>
      <c r="AV217" s="453">
        <f ca="1">IF(AND($D217="Serviço",AV$12&lt;&gt;0,$H217&gt;0,OR(AUTOEVENTO&lt;&gt;"manual",$M217&lt;&gt;$A$15)),
        IF(Import.TipoArredondamento&lt;&gt;"TransfereGOV",
              ROUND(OFFSET($P217,0,AV$13),15-13*ORÇAMENTO!$AF$7)/$H217*OFFSET(ORÇAMENTO!$X$15,ROW(AV217)-ROW(AV$15),0),
              ROUND(ROUND(OFFSET($P217,0,AV$13),15-13*ORÇAMENTO!$AF$7)*OFFSET(ORÇAMENTO!$W$15,ROW(AV217)-ROW(AV$15),0),15-13*ORÇAMENTO!$AF$11)),
         0)</f>
        <v>0</v>
      </c>
      <c r="AW217" s="453">
        <f ca="1">IF(AND($D217="Serviço",AW$12&lt;&gt;0,$H217&gt;0,OR(AUTOEVENTO&lt;&gt;"manual",$M217&lt;&gt;$A$15)),
        IF(Import.TipoArredondamento&lt;&gt;"TransfereGOV",
              ROUND(OFFSET($P217,0,AW$13),15-13*ORÇAMENTO!$AF$7)/$H217*OFFSET(ORÇAMENTO!$X$15,ROW(AW217)-ROW(AW$15),0),
              ROUND(ROUND(OFFSET($P217,0,AW$13),15-13*ORÇAMENTO!$AF$7)*OFFSET(ORÇAMENTO!$W$15,ROW(AW217)-ROW(AW$15),0),15-13*ORÇAMENTO!$AF$11)),
         0)</f>
        <v>0</v>
      </c>
      <c r="AX217" s="453">
        <f ca="1">IF(AND($D217="Serviço",AX$12&lt;&gt;0,$H217&gt;0,OR(AUTOEVENTO&lt;&gt;"manual",$M217&lt;&gt;$A$15)),
        IF(Import.TipoArredondamento&lt;&gt;"TransfereGOV",
              ROUND(OFFSET($P217,0,AX$13),15-13*ORÇAMENTO!$AF$7)/$H217*OFFSET(ORÇAMENTO!$X$15,ROW(AX217)-ROW(AX$15),0),
              ROUND(ROUND(OFFSET($P217,0,AX$13),15-13*ORÇAMENTO!$AF$7)*OFFSET(ORÇAMENTO!$W$15,ROW(AX217)-ROW(AX$15),0),15-13*ORÇAMENTO!$AF$11)),
         0)</f>
        <v>0</v>
      </c>
      <c r="AY217" s="453">
        <f ca="1">IF(AND($D217="Serviço",AY$12&lt;&gt;0,$H217&gt;0,OR(AUTOEVENTO&lt;&gt;"manual",$M217&lt;&gt;$A$15)),
        IF(Import.TipoArredondamento&lt;&gt;"TransfereGOV",
              ROUND(OFFSET($P217,0,AY$13),15-13*ORÇAMENTO!$AF$7)/$H217*OFFSET(ORÇAMENTO!$X$15,ROW(AY217)-ROW(AY$15),0),
              ROUND(ROUND(OFFSET($P217,0,AY$13),15-13*ORÇAMENTO!$AF$7)*OFFSET(ORÇAMENTO!$W$15,ROW(AY217)-ROW(AY$15),0),15-13*ORÇAMENTO!$AF$11)),
         0)</f>
        <v>0</v>
      </c>
      <c r="AZ217" s="453">
        <f ca="1">IF(AND($D217="Serviço",AZ$12&lt;&gt;0,$H217&gt;0,OR(AUTOEVENTO&lt;&gt;"manual",$M217&lt;&gt;$A$15)),
        IF(Import.TipoArredondamento&lt;&gt;"TransfereGOV",
              ROUND(OFFSET($P217,0,AZ$13),15-13*ORÇAMENTO!$AF$7)/$H217*OFFSET(ORÇAMENTO!$X$15,ROW(AZ217)-ROW(AZ$15),0),
              ROUND(ROUND(OFFSET($P217,0,AZ$13),15-13*ORÇAMENTO!$AF$7)*OFFSET(ORÇAMENTO!$W$15,ROW(AZ217)-ROW(AZ$15),0),15-13*ORÇAMENTO!$AF$11)),
         0)</f>
        <v>0</v>
      </c>
      <c r="BA217" s="453">
        <f ca="1">IF(AND($D217="Serviço",BA$12&lt;&gt;0,$H217&gt;0,OR(AUTOEVENTO&lt;&gt;"manual",$M217&lt;&gt;$A$15)),
        IF(Import.TipoArredondamento&lt;&gt;"TransfereGOV",
              ROUND(OFFSET($P217,0,BA$13),15-13*ORÇAMENTO!$AF$7)/$H217*OFFSET(ORÇAMENTO!$X$15,ROW(BA217)-ROW(BA$15),0),
              ROUND(ROUND(OFFSET($P217,0,BA$13),15-13*ORÇAMENTO!$AF$7)*OFFSET(ORÇAMENTO!$W$15,ROW(BA217)-ROW(BA$15),0),15-13*ORÇAMENTO!$AF$11)),
         0)</f>
        <v>0</v>
      </c>
      <c r="BB217" s="453">
        <f ca="1">IF(AND($D217="Serviço",BB$12&lt;&gt;0,$H217&gt;0,OR(AUTOEVENTO&lt;&gt;"manual",$M217&lt;&gt;$A$15)),
        IF(Import.TipoArredondamento&lt;&gt;"TransfereGOV",
              ROUND(OFFSET($P217,0,BB$13),15-13*ORÇAMENTO!$AF$7)/$H217*OFFSET(ORÇAMENTO!$X$15,ROW(BB217)-ROW(BB$15),0),
              ROUND(ROUND(OFFSET($P217,0,BB$13),15-13*ORÇAMENTO!$AF$7)*OFFSET(ORÇAMENTO!$W$15,ROW(BB217)-ROW(BB$15),0),15-13*ORÇAMENTO!$AF$11)),
         0)</f>
        <v>0</v>
      </c>
      <c r="BC217" s="453">
        <f ca="1">IF(AND($D217="Serviço",BC$12&lt;&gt;0,$H217&gt;0,OR(AUTOEVENTO&lt;&gt;"manual",$M217&lt;&gt;$A$15)),
        IF(Import.TipoArredondamento&lt;&gt;"TransfereGOV",
              ROUND(OFFSET($P217,0,BC$13),15-13*ORÇAMENTO!$AF$7)/$H217*OFFSET(ORÇAMENTO!$X$15,ROW(BC217)-ROW(BC$15),0),
              ROUND(ROUND(OFFSET($P217,0,BC$13),15-13*ORÇAMENTO!$AF$7)*OFFSET(ORÇAMENTO!$W$15,ROW(BC217)-ROW(BC$15),0),15-13*ORÇAMENTO!$AF$11)),
         0)</f>
        <v>0</v>
      </c>
      <c r="BD217" s="453">
        <f ca="1">IF(AND($D217="Serviço",BD$12&lt;&gt;0,$H217&gt;0,OR(AUTOEVENTO&lt;&gt;"manual",$M217&lt;&gt;$A$15)),
        IF(Import.TipoArredondamento&lt;&gt;"TransfereGOV",
              ROUND(OFFSET($P217,0,BD$13),15-13*ORÇAMENTO!$AF$7)/$H217*OFFSET(ORÇAMENTO!$X$15,ROW(BD217)-ROW(BD$15),0),
              ROUND(ROUND(OFFSET($P217,0,BD$13),15-13*ORÇAMENTO!$AF$7)*OFFSET(ORÇAMENTO!$W$15,ROW(BD217)-ROW(BD$15),0),15-13*ORÇAMENTO!$AF$11)),
         0)</f>
        <v>0</v>
      </c>
      <c r="BE217" s="453">
        <f ca="1">IF(AND($D217="Serviço",BE$12&lt;&gt;0,$H217&gt;0,OR(AUTOEVENTO&lt;&gt;"manual",$M217&lt;&gt;$A$15)),
        IF(Import.TipoArredondamento&lt;&gt;"TransfereGOV",
              ROUND(OFFSET($P217,0,BE$13),15-13*ORÇAMENTO!$AF$7)/$H217*OFFSET(ORÇAMENTO!$X$15,ROW(BE217)-ROW(BE$15),0),
              ROUND(ROUND(OFFSET($P217,0,BE$13),15-13*ORÇAMENTO!$AF$7)*OFFSET(ORÇAMENTO!$W$15,ROW(BE217)-ROW(BE$15),0),15-13*ORÇAMENTO!$AF$11)),
         0)</f>
        <v>0</v>
      </c>
      <c r="BF217" s="453">
        <f ca="1">IF(AND($D217="Serviço",BF$12&lt;&gt;0,$H217&gt;0,OR(AUTOEVENTO&lt;&gt;"manual",$M217&lt;&gt;$A$15)),
        IF(Import.TipoArredondamento&lt;&gt;"TransfereGOV",
              ROUND(OFFSET($P217,0,BF$13),15-13*ORÇAMENTO!$AF$7)/$H217*OFFSET(ORÇAMENTO!$X$15,ROW(BF217)-ROW(BF$15),0),
              ROUND(ROUND(OFFSET($P217,0,BF$13),15-13*ORÇAMENTO!$AF$7)*OFFSET(ORÇAMENTO!$W$15,ROW(BF217)-ROW(BF$15),0),15-13*ORÇAMENTO!$AF$11)),
         0)</f>
        <v>0</v>
      </c>
      <c r="BG217" s="453">
        <f ca="1">IF(AND($D217="Serviço",BG$12&lt;&gt;0,$H217&gt;0,OR(AUTOEVENTO&lt;&gt;"manual",$M217&lt;&gt;$A$15)),
        IF(Import.TipoArredondamento&lt;&gt;"TransfereGOV",
              ROUND(OFFSET($P217,0,BG$13),15-13*ORÇAMENTO!$AF$7)/$H217*OFFSET(ORÇAMENTO!$X$15,ROW(BG217)-ROW(BG$15),0),
              ROUND(ROUND(OFFSET($P217,0,BG$13),15-13*ORÇAMENTO!$AF$7)*OFFSET(ORÇAMENTO!$W$15,ROW(BG217)-ROW(BG$15),0),15-13*ORÇAMENTO!$AF$11)),
         0)</f>
        <v>0</v>
      </c>
      <c r="BH217" s="453">
        <f ca="1">IF(AND($D217="Serviço",BH$12&lt;&gt;0,$H217&gt;0,OR(AUTOEVENTO&lt;&gt;"manual",$M217&lt;&gt;$A$15)),
        IF(Import.TipoArredondamento&lt;&gt;"TransfereGOV",
              ROUND(OFFSET($P217,0,BH$13),15-13*ORÇAMENTO!$AF$7)/$H217*OFFSET(ORÇAMENTO!$X$15,ROW(BH217)-ROW(BH$15),0),
              ROUND(ROUND(OFFSET($P217,0,BH$13),15-13*ORÇAMENTO!$AF$7)*OFFSET(ORÇAMENTO!$W$15,ROW(BH217)-ROW(BH$15),0),15-13*ORÇAMENTO!$AF$11)),
         0)</f>
        <v>0</v>
      </c>
      <c r="BI217" s="453">
        <f ca="1">IF(AND($D217="Serviço",BI$12&lt;&gt;0,$H217&gt;0,OR(AUTOEVENTO&lt;&gt;"manual",$M217&lt;&gt;$A$15)),
        IF(Import.TipoArredondamento&lt;&gt;"TransfereGOV",
              ROUND(OFFSET($P217,0,BI$13),15-13*ORÇAMENTO!$AF$7)/$H217*OFFSET(ORÇAMENTO!$X$15,ROW(BI217)-ROW(BI$15),0),
              ROUND(ROUND(OFFSET($P217,0,BI$13),15-13*ORÇAMENTO!$AF$7)*OFFSET(ORÇAMENTO!$W$15,ROW(BI217)-ROW(BI$15),0),15-13*ORÇAMENTO!$AF$11)),
         0)</f>
        <v>0</v>
      </c>
      <c r="BJ217" s="453">
        <f ca="1">IF(AND($D217="Serviço",BJ$12&lt;&gt;0,$H217&gt;0,OR(AUTOEVENTO&lt;&gt;"manual",$M217&lt;&gt;$A$15)),
        IF(Import.TipoArredondamento&lt;&gt;"TransfereGOV",
              ROUND(OFFSET($P217,0,BJ$13),15-13*ORÇAMENTO!$AF$7)/$H217*OFFSET(ORÇAMENTO!$X$15,ROW(BJ217)-ROW(BJ$15),0),
              ROUND(ROUND(OFFSET($P217,0,BJ$13),15-13*ORÇAMENTO!$AF$7)*OFFSET(ORÇAMENTO!$W$15,ROW(BJ217)-ROW(BJ$15),0),15-13*ORÇAMENTO!$AF$11)),
         0)</f>
        <v>0</v>
      </c>
      <c r="BK217" s="453">
        <f ca="1">IF(AND($D217="Serviço",BK$12&lt;&gt;0,$H217&gt;0,OR(AUTOEVENTO&lt;&gt;"manual",$M217&lt;&gt;$A$15)),
        IF(Import.TipoArredondamento&lt;&gt;"TransfereGOV",
              ROUND(OFFSET($P217,0,BK$13),15-13*ORÇAMENTO!$AF$7)/$H217*OFFSET(ORÇAMENTO!$X$15,ROW(BK217)-ROW(BK$15),0),
              ROUND(ROUND(OFFSET($P217,0,BK$13),15-13*ORÇAMENTO!$AF$7)*OFFSET(ORÇAMENTO!$W$15,ROW(BK217)-ROW(BK$15),0),15-13*ORÇAMENTO!$AF$11)),
         0)</f>
        <v>0</v>
      </c>
      <c r="BL217" s="453">
        <f ca="1">IF(AND($D217="Serviço",BL$12&lt;&gt;0,$H217&gt;0,OR(AUTOEVENTO&lt;&gt;"manual",$M217&lt;&gt;$A$15)),
        IF(Import.TipoArredondamento&lt;&gt;"TransfereGOV",
              ROUND(OFFSET($P217,0,BL$13),15-13*ORÇAMENTO!$AF$7)/$H217*OFFSET(ORÇAMENTO!$X$15,ROW(BL217)-ROW(BL$15),0),
              ROUND(ROUND(OFFSET($P217,0,BL$13),15-13*ORÇAMENTO!$AF$7)*OFFSET(ORÇAMENTO!$W$15,ROW(BL217)-ROW(BL$15),0),15-13*ORÇAMENTO!$AF$11)),
         0)</f>
        <v>0</v>
      </c>
      <c r="BM217" s="453">
        <f ca="1">IF(AND($D217="Serviço",BM$12&lt;&gt;0,$H217&gt;0,OR(AUTOEVENTO&lt;&gt;"manual",$M217&lt;&gt;$A$15)),
        IF(Import.TipoArredondamento&lt;&gt;"TransfereGOV",
              ROUND(OFFSET($P217,0,BM$13),15-13*ORÇAMENTO!$AF$7)/$H217*OFFSET(ORÇAMENTO!$X$15,ROW(BM217)-ROW(BM$15),0),
              ROUND(ROUND(OFFSET($P217,0,BM$13),15-13*ORÇAMENTO!$AF$7)*OFFSET(ORÇAMENTO!$W$15,ROW(BM217)-ROW(BM$15),0),15-13*ORÇAMENTO!$AF$11)),
         0)</f>
        <v>0</v>
      </c>
      <c r="BN217" s="453">
        <f ca="1">IF(AND($D217="Serviço",BN$12&lt;&gt;0,$H217&gt;0,OR(AUTOEVENTO&lt;&gt;"manual",$M217&lt;&gt;$A$15)),
        IF(Import.TipoArredondamento&lt;&gt;"TransfereGOV",
              ROUND(OFFSET($P217,0,BN$13),15-13*ORÇAMENTO!$AF$7)/$H217*OFFSET(ORÇAMENTO!$X$15,ROW(BN217)-ROW(BN$15),0),
              ROUND(ROUND(OFFSET($P217,0,BN$13),15-13*ORÇAMENTO!$AF$7)*OFFSET(ORÇAMENTO!$W$15,ROW(BN217)-ROW(BN$15),0),15-13*ORÇAMENTO!$AF$11)),
         0)</f>
        <v>0</v>
      </c>
      <c r="BO217" s="453">
        <f ca="1">IF(AND($D217="Serviço",BO$12&lt;&gt;0,$H217&gt;0,OR(AUTOEVENTO&lt;&gt;"manual",$M217&lt;&gt;$A$15)),
        IF(Import.TipoArredondamento&lt;&gt;"TransfereGOV",
              ROUND(OFFSET($P217,0,BO$13),15-13*ORÇAMENTO!$AF$7)/$H217*OFFSET(ORÇAMENTO!$X$15,ROW(BO217)-ROW(BO$15),0),
              ROUND(ROUND(OFFSET($P217,0,BO$13),15-13*ORÇAMENTO!$AF$7)*OFFSET(ORÇAMENTO!$W$15,ROW(BO217)-ROW(BO$15),0),15-13*ORÇAMENTO!$AF$11)),
         0)</f>
        <v>0</v>
      </c>
      <c r="BP217" s="453">
        <f ca="1">IF(AND($D217="Serviço",BP$12&lt;&gt;0,$H217&gt;0,OR(AUTOEVENTO&lt;&gt;"manual",$M217&lt;&gt;$A$15)),
        IF(Import.TipoArredondamento&lt;&gt;"TransfereGOV",
              ROUND(OFFSET($P217,0,BP$13),15-13*ORÇAMENTO!$AF$7)/$H217*OFFSET(ORÇAMENTO!$X$15,ROW(BP217)-ROW(BP$15),0),
              ROUND(ROUND(OFFSET($P217,0,BP$13),15-13*ORÇAMENTO!$AF$7)*OFFSET(ORÇAMENTO!$W$15,ROW(BP217)-ROW(BP$15),0),15-13*ORÇAMENTO!$AF$11)),
         0)</f>
        <v>0</v>
      </c>
      <c r="BQ217" s="453">
        <f ca="1">IF(AND($D217="Serviço",BQ$12&lt;&gt;0,$H217&gt;0,OR(AUTOEVENTO&lt;&gt;"manual",$M217&lt;&gt;$A$15)),
        IF(Import.TipoArredondamento&lt;&gt;"TransfereGOV",
              ROUND(OFFSET($P217,0,BQ$13),15-13*ORÇAMENTO!$AF$7)/$H217*OFFSET(ORÇAMENTO!$X$15,ROW(BQ217)-ROW(BQ$15),0),
              ROUND(ROUND(OFFSET($P217,0,BQ$13),15-13*ORÇAMENTO!$AF$7)*OFFSET(ORÇAMENTO!$W$15,ROW(BQ217)-ROW(BQ$15),0),15-13*ORÇAMENTO!$AF$11)),
         0)</f>
        <v>0</v>
      </c>
      <c r="BS217" s="171">
        <f ca="1">IF(OR($D217&lt;&gt;"Serviço",AND(AUTOEVENTO="Manual",$M217=$A$15)),0,
         IF(OFFSET(CRONOPLE!$F$15,$M217-$A$15,BS$13)=0,10^12,OFFSET(CRONOPLE!$F$15,$M217-$A$15,BS$13)))</f>
        <v>0</v>
      </c>
      <c r="BT217" s="171">
        <f ca="1">IF(OR($D217&lt;&gt;"Serviço",AND(AUTOEVENTO="Manual",$M217=$A$15)),0,
         IF(OFFSET(CRONOPLE!$F$15,$M217-$A$15,BT$13)=0,10^12,OFFSET(CRONOPLE!$F$15,$M217-$A$15,BT$13)))</f>
        <v>0</v>
      </c>
      <c r="BU217" s="171">
        <f ca="1">IF(OR($D217&lt;&gt;"Serviço",AND(AUTOEVENTO="Manual",$M217=$A$15)),0,
         IF(OFFSET(CRONOPLE!$F$15,$M217-$A$15,BU$13)=0,10^12,OFFSET(CRONOPLE!$F$15,$M217-$A$15,BU$13)))</f>
        <v>0</v>
      </c>
      <c r="BV217" s="171">
        <f ca="1">IF(OR($D217&lt;&gt;"Serviço",AND(AUTOEVENTO="Manual",$M217=$A$15)),0,
         IF(OFFSET(CRONOPLE!$F$15,$M217-$A$15,BV$13)=0,10^12,OFFSET(CRONOPLE!$F$15,$M217-$A$15,BV$13)))</f>
        <v>0</v>
      </c>
      <c r="BW217" s="171">
        <f ca="1">IF(OR($D217&lt;&gt;"Serviço",AND(AUTOEVENTO="Manual",$M217=$A$15)),0,
         IF(OFFSET(CRONOPLE!$F$15,$M217-$A$15,BW$13)=0,10^12,OFFSET(CRONOPLE!$F$15,$M217-$A$15,BW$13)))</f>
        <v>0</v>
      </c>
      <c r="BX217" s="171">
        <f ca="1">IF(OR($D217&lt;&gt;"Serviço",AND(AUTOEVENTO="Manual",$M217=$A$15)),0,
         IF(OFFSET(CRONOPLE!$F$15,$M217-$A$15,BX$13)=0,10^12,OFFSET(CRONOPLE!$F$15,$M217-$A$15,BX$13)))</f>
        <v>0</v>
      </c>
      <c r="BY217" s="171">
        <f ca="1">IF(OR($D217&lt;&gt;"Serviço",AND(AUTOEVENTO="Manual",$M217=$A$15)),0,
         IF(OFFSET(CRONOPLE!$F$15,$M217-$A$15,BY$13)=0,10^12,OFFSET(CRONOPLE!$F$15,$M217-$A$15,BY$13)))</f>
        <v>0</v>
      </c>
      <c r="BZ217" s="171">
        <f ca="1">IF(OR($D217&lt;&gt;"Serviço",AND(AUTOEVENTO="Manual",$M217=$A$15)),0,
         IF(OFFSET(CRONOPLE!$F$15,$M217-$A$15,BZ$13)=0,10^12,OFFSET(CRONOPLE!$F$15,$M217-$A$15,BZ$13)))</f>
        <v>0</v>
      </c>
      <c r="CA217" s="171">
        <f ca="1">IF(OR($D217&lt;&gt;"Serviço",AND(AUTOEVENTO="Manual",$M217=$A$15)),0,
         IF(OFFSET(CRONOPLE!$F$15,$M217-$A$15,CA$13)=0,10^12,OFFSET(CRONOPLE!$F$15,$M217-$A$15,CA$13)))</f>
        <v>0</v>
      </c>
      <c r="CB217" s="171">
        <f ca="1">IF(OR($D217&lt;&gt;"Serviço",AND(AUTOEVENTO="Manual",$M217=$A$15)),0,
         IF(OFFSET(CRONOPLE!$F$15,$M217-$A$15,CB$13)=0,10^12,OFFSET(CRONOPLE!$F$15,$M217-$A$15,CB$13)))</f>
        <v>0</v>
      </c>
      <c r="CC217" s="171">
        <f ca="1">IF(OR($D217&lt;&gt;"Serviço",AND(AUTOEVENTO="Manual",$M217=$A$15)),0,
         IF(OFFSET(CRONOPLE!$F$15,$M217-$A$15,CC$13)=0,10^12,OFFSET(CRONOPLE!$F$15,$M217-$A$15,CC$13)))</f>
        <v>0</v>
      </c>
      <c r="CD217" s="171">
        <f ca="1">IF(OR($D217&lt;&gt;"Serviço",AND(AUTOEVENTO="Manual",$M217=$A$15)),0,
         IF(OFFSET(CRONOPLE!$F$15,$M217-$A$15,CD$13)=0,10^12,OFFSET(CRONOPLE!$F$15,$M217-$A$15,CD$13)))</f>
        <v>0</v>
      </c>
      <c r="CE217" s="171">
        <f ca="1">IF(OR($D217&lt;&gt;"Serviço",AND(AUTOEVENTO="Manual",$M217=$A$15)),0,
         IF(OFFSET(CRONOPLE!$F$15,$M217-$A$15,CE$13)=0,10^12,OFFSET(CRONOPLE!$F$15,$M217-$A$15,CE$13)))</f>
        <v>0</v>
      </c>
      <c r="CF217" s="171">
        <f ca="1">IF(OR($D217&lt;&gt;"Serviço",AND(AUTOEVENTO="Manual",$M217=$A$15)),0,
         IF(OFFSET(CRONOPLE!$F$15,$M217-$A$15,CF$13)=0,10^12,OFFSET(CRONOPLE!$F$15,$M217-$A$15,CF$13)))</f>
        <v>0</v>
      </c>
      <c r="CG217" s="171">
        <f ca="1">IF(OR($D217&lt;&gt;"Serviço",AND(AUTOEVENTO="Manual",$M217=$A$15)),0,
         IF(OFFSET(CRONOPLE!$F$15,$M217-$A$15,CG$13)=0,10^12,OFFSET(CRONOPLE!$F$15,$M217-$A$15,CG$13)))</f>
        <v>0</v>
      </c>
      <c r="CH217" s="171">
        <f ca="1">IF(OR($D217&lt;&gt;"Serviço",AND(AUTOEVENTO="Manual",$M217=$A$15)),0,
         IF(OFFSET(CRONOPLE!$F$15,$M217-$A$15,CH$13)=0,10^12,OFFSET(CRONOPLE!$F$15,$M217-$A$15,CH$13)))</f>
        <v>0</v>
      </c>
      <c r="CI217" s="171">
        <f ca="1">IF(OR($D217&lt;&gt;"Serviço",AND(AUTOEVENTO="Manual",$M217=$A$15)),0,
         IF(OFFSET(CRONOPLE!$F$15,$M217-$A$15,CI$13)=0,10^12,OFFSET(CRONOPLE!$F$15,$M217-$A$15,CI$13)))</f>
        <v>0</v>
      </c>
      <c r="CJ217" s="171">
        <f ca="1">IF(OR($D217&lt;&gt;"Serviço",AND(AUTOEVENTO="Manual",$M217=$A$15)),0,
         IF(OFFSET(CRONOPLE!$F$15,$M217-$A$15,CJ$13)=0,10^12,OFFSET(CRONOPLE!$F$15,$M217-$A$15,CJ$13)))</f>
        <v>0</v>
      </c>
      <c r="CK217" s="171">
        <f ca="1">IF(OR($D217&lt;&gt;"Serviço",AND(AUTOEVENTO="Manual",$M217=$A$15)),0,
         IF(OFFSET(CRONOPLE!$F$15,$M217-$A$15,CK$13)=0,10^12,OFFSET(CRONOPLE!$F$15,$M217-$A$15,CK$13)))</f>
        <v>0</v>
      </c>
      <c r="CL217" s="171">
        <f ca="1">IF(OR($D217&lt;&gt;"Serviço",AND(AUTOEVENTO="Manual",$M217=$A$15)),0,
         IF(OFFSET(CRONOPLE!$F$15,$M217-$A$15,CL$13)=0,10^12,OFFSET(CRONOPLE!$F$15,$M217-$A$15,CL$13)))</f>
        <v>0</v>
      </c>
      <c r="CM217" s="171">
        <f ca="1">IF(OR($D217&lt;&gt;"Serviço",AND(AUTOEVENTO="Manual",$M217=$A$15)),0,
         IF(OFFSET(CRONOPLE!$F$15,$M217-$A$15,CM$13)=0,10^12,OFFSET(CRONOPLE!$F$15,$M217-$A$15,CM$13)))</f>
        <v>0</v>
      </c>
      <c r="CN217" s="171">
        <f ca="1">IF(OR($D217&lt;&gt;"Serviço",AND(AUTOEVENTO="Manual",$M217=$A$15)),0,
         IF(OFFSET(CRONOPLE!$F$15,$M217-$A$15,CN$13)=0,10^12,OFFSET(CRONOPLE!$F$15,$M217-$A$15,CN$13)))</f>
        <v>0</v>
      </c>
      <c r="CO217" s="171">
        <f ca="1">IF(OR($D217&lt;&gt;"Serviço",AND(AUTOEVENTO="Manual",$M217=$A$15)),0,
         IF(OFFSET(CRONOPLE!$F$15,$M217-$A$15,CO$13)=0,10^12,OFFSET(CRONOPLE!$F$15,$M217-$A$15,CO$13)))</f>
        <v>0</v>
      </c>
      <c r="CP217" s="171">
        <f ca="1">IF(OR($D217&lt;&gt;"Serviço",AND(AUTOEVENTO="Manual",$M217=$A$15)),0,
         IF(OFFSET(CRONOPLE!$F$15,$M217-$A$15,CP$13)=0,10^12,OFFSET(CRONOPLE!$F$15,$M217-$A$15,CP$13)))</f>
        <v>0</v>
      </c>
      <c r="CQ217" s="171">
        <f ca="1">IF(OR($D217&lt;&gt;"Serviço",AND(AUTOEVENTO="Manual",$M217=$A$15)),0,
         IF(OFFSET(CRONOPLE!$F$15,$M217-$A$15,CQ$13)=0,10^12,OFFSET(CRONOPLE!$F$15,$M217-$A$15,CQ$13)))</f>
        <v>0</v>
      </c>
      <c r="CR217" s="171">
        <f ca="1">IF(OR($D217&lt;&gt;"Serviço",AND(AUTOEVENTO="Manual",$M217=$A$15)),0,
         IF(OFFSET(CRONOPLE!$F$15,$M217-$A$15,CR$13)=0,10^12,OFFSET(CRONOPLE!$F$15,$M217-$A$15,CR$13)))</f>
        <v>0</v>
      </c>
      <c r="CT217" s="172" cm="1">
        <f t="array" aca="1" ref="CT217" ca="1">IF(OR($D217&lt;&gt;"Serviço",AND(AUTOEVENTO="Manual",$M217=$A$15),$M217&gt;(ROW(PLE.lastrow)-ROW(PLE.firstrow))),0,
           IF(OFFSET(PLE!$G$15,$M217-$A$15,CT$13)="",10^12,OFFSET(PLE!$G$15,$M217-$A$15,CT$13)))</f>
        <v>0</v>
      </c>
      <c r="CU217" s="172" cm="1">
        <f t="array" aca="1" ref="CU217" ca="1">IF(OR($D217&lt;&gt;"Serviço",AND(AUTOEVENTO="Manual",$M217=$A$15),$M217&gt;(ROW(PLE.lastrow)-ROW(PLE.firstrow))),0,
           IF(OFFSET(PLE!$G$15,$M217-$A$15,CU$13)="",10^12,OFFSET(PLE!$G$15,$M217-$A$15,CU$13)))</f>
        <v>0</v>
      </c>
      <c r="CV217" s="172" cm="1">
        <f t="array" aca="1" ref="CV217" ca="1">IF(OR($D217&lt;&gt;"Serviço",AND(AUTOEVENTO="Manual",$M217=$A$15),$M217&gt;(ROW(PLE.lastrow)-ROW(PLE.firstrow))),0,
           IF(OFFSET(PLE!$G$15,$M217-$A$15,CV$13)="",10^12,OFFSET(PLE!$G$15,$M217-$A$15,CV$13)))</f>
        <v>0</v>
      </c>
      <c r="CW217" s="172" cm="1">
        <f t="array" aca="1" ref="CW217" ca="1">IF(OR($D217&lt;&gt;"Serviço",AND(AUTOEVENTO="Manual",$M217=$A$15),$M217&gt;(ROW(PLE.lastrow)-ROW(PLE.firstrow))),0,
           IF(OFFSET(PLE!$G$15,$M217-$A$15,CW$13)="",10^12,OFFSET(PLE!$G$15,$M217-$A$15,CW$13)))</f>
        <v>0</v>
      </c>
      <c r="CX217" s="172" cm="1">
        <f t="array" aca="1" ref="CX217" ca="1">IF(OR($D217&lt;&gt;"Serviço",AND(AUTOEVENTO="Manual",$M217=$A$15),$M217&gt;(ROW(PLE.lastrow)-ROW(PLE.firstrow))),0,
           IF(OFFSET(PLE!$G$15,$M217-$A$15,CX$13)="",10^12,OFFSET(PLE!$G$15,$M217-$A$15,CX$13)))</f>
        <v>0</v>
      </c>
      <c r="CY217" s="172" cm="1">
        <f t="array" aca="1" ref="CY217" ca="1">IF(OR($D217&lt;&gt;"Serviço",AND(AUTOEVENTO="Manual",$M217=$A$15),$M217&gt;(ROW(PLE.lastrow)-ROW(PLE.firstrow))),0,
           IF(OFFSET(PLE!$G$15,$M217-$A$15,CY$13)="",10^12,OFFSET(PLE!$G$15,$M217-$A$15,CY$13)))</f>
        <v>0</v>
      </c>
      <c r="CZ217" s="172" cm="1">
        <f t="array" aca="1" ref="CZ217" ca="1">IF(OR($D217&lt;&gt;"Serviço",AND(AUTOEVENTO="Manual",$M217=$A$15),$M217&gt;(ROW(PLE.lastrow)-ROW(PLE.firstrow))),0,
           IF(OFFSET(PLE!$G$15,$M217-$A$15,CZ$13)="",10^12,OFFSET(PLE!$G$15,$M217-$A$15,CZ$13)))</f>
        <v>0</v>
      </c>
      <c r="DA217" s="172" cm="1">
        <f t="array" aca="1" ref="DA217" ca="1">IF(OR($D217&lt;&gt;"Serviço",AND(AUTOEVENTO="Manual",$M217=$A$15),$M217&gt;(ROW(PLE.lastrow)-ROW(PLE.firstrow))),0,
           IF(OFFSET(PLE!$G$15,$M217-$A$15,DA$13)="",10^12,OFFSET(PLE!$G$15,$M217-$A$15,DA$13)))</f>
        <v>0</v>
      </c>
      <c r="DB217" s="172" cm="1">
        <f t="array" aca="1" ref="DB217" ca="1">IF(OR($D217&lt;&gt;"Serviço",AND(AUTOEVENTO="Manual",$M217=$A$15),$M217&gt;(ROW(PLE.lastrow)-ROW(PLE.firstrow))),0,
           IF(OFFSET(PLE!$G$15,$M217-$A$15,DB$13)="",10^12,OFFSET(PLE!$G$15,$M217-$A$15,DB$13)))</f>
        <v>0</v>
      </c>
      <c r="DC217" s="172" cm="1">
        <f t="array" aca="1" ref="DC217" ca="1">IF(OR($D217&lt;&gt;"Serviço",AND(AUTOEVENTO="Manual",$M217=$A$15),$M217&gt;(ROW(PLE.lastrow)-ROW(PLE.firstrow))),0,
           IF(OFFSET(PLE!$G$15,$M217-$A$15,DC$13)="",10^12,OFFSET(PLE!$G$15,$M217-$A$15,DC$13)))</f>
        <v>0</v>
      </c>
      <c r="DD217" s="172" cm="1">
        <f t="array" aca="1" ref="DD217" ca="1">IF(OR($D217&lt;&gt;"Serviço",AND(AUTOEVENTO="Manual",$M217=$A$15),$M217&gt;(ROW(PLE.lastrow)-ROW(PLE.firstrow))),0,
           IF(OFFSET(PLE!$G$15,$M217-$A$15,DD$13)="",10^12,OFFSET(PLE!$G$15,$M217-$A$15,DD$13)))</f>
        <v>0</v>
      </c>
      <c r="DE217" s="172" cm="1">
        <f t="array" aca="1" ref="DE217" ca="1">IF(OR($D217&lt;&gt;"Serviço",AND(AUTOEVENTO="Manual",$M217=$A$15),$M217&gt;(ROW(PLE.lastrow)-ROW(PLE.firstrow))),0,
           IF(OFFSET(PLE!$G$15,$M217-$A$15,DE$13)="",10^12,OFFSET(PLE!$G$15,$M217-$A$15,DE$13)))</f>
        <v>0</v>
      </c>
      <c r="DF217" s="172" cm="1">
        <f t="array" aca="1" ref="DF217" ca="1">IF(OR($D217&lt;&gt;"Serviço",AND(AUTOEVENTO="Manual",$M217=$A$15),$M217&gt;(ROW(PLE.lastrow)-ROW(PLE.firstrow))),0,
           IF(OFFSET(PLE!$G$15,$M217-$A$15,DF$13)="",10^12,OFFSET(PLE!$G$15,$M217-$A$15,DF$13)))</f>
        <v>0</v>
      </c>
      <c r="DG217" s="172" cm="1">
        <f t="array" aca="1" ref="DG217" ca="1">IF(OR($D217&lt;&gt;"Serviço",AND(AUTOEVENTO="Manual",$M217=$A$15),$M217&gt;(ROW(PLE.lastrow)-ROW(PLE.firstrow))),0,
           IF(OFFSET(PLE!$G$15,$M217-$A$15,DG$13)="",10^12,OFFSET(PLE!$G$15,$M217-$A$15,DG$13)))</f>
        <v>0</v>
      </c>
      <c r="DH217" s="172" cm="1">
        <f t="array" aca="1" ref="DH217" ca="1">IF(OR($D217&lt;&gt;"Serviço",AND(AUTOEVENTO="Manual",$M217=$A$15),$M217&gt;(ROW(PLE.lastrow)-ROW(PLE.firstrow))),0,
           IF(OFFSET(PLE!$G$15,$M217-$A$15,DH$13)="",10^12,OFFSET(PLE!$G$15,$M217-$A$15,DH$13)))</f>
        <v>0</v>
      </c>
      <c r="DI217" s="172" cm="1">
        <f t="array" aca="1" ref="DI217" ca="1">IF(OR($D217&lt;&gt;"Serviço",AND(AUTOEVENTO="Manual",$M217=$A$15),$M217&gt;(ROW(PLE.lastrow)-ROW(PLE.firstrow))),0,
           IF(OFFSET(PLE!$G$15,$M217-$A$15,DI$13)="",10^12,OFFSET(PLE!$G$15,$M217-$A$15,DI$13)))</f>
        <v>0</v>
      </c>
      <c r="DJ217" s="172" cm="1">
        <f t="array" aca="1" ref="DJ217" ca="1">IF(OR($D217&lt;&gt;"Serviço",AND(AUTOEVENTO="Manual",$M217=$A$15),$M217&gt;(ROW(PLE.lastrow)-ROW(PLE.firstrow))),0,
           IF(OFFSET(PLE!$G$15,$M217-$A$15,DJ$13)="",10^12,OFFSET(PLE!$G$15,$M217-$A$15,DJ$13)))</f>
        <v>0</v>
      </c>
      <c r="DK217" s="172" cm="1">
        <f t="array" aca="1" ref="DK217" ca="1">IF(OR($D217&lt;&gt;"Serviço",AND(AUTOEVENTO="Manual",$M217=$A$15),$M217&gt;(ROW(PLE.lastrow)-ROW(PLE.firstrow))),0,
           IF(OFFSET(PLE!$G$15,$M217-$A$15,DK$13)="",10^12,OFFSET(PLE!$G$15,$M217-$A$15,DK$13)))</f>
        <v>0</v>
      </c>
      <c r="DL217" s="172" cm="1">
        <f t="array" aca="1" ref="DL217" ca="1">IF(OR($D217&lt;&gt;"Serviço",AND(AUTOEVENTO="Manual",$M217=$A$15),$M217&gt;(ROW(PLE.lastrow)-ROW(PLE.firstrow))),0,
           IF(OFFSET(PLE!$G$15,$M217-$A$15,DL$13)="",10^12,OFFSET(PLE!$G$15,$M217-$A$15,DL$13)))</f>
        <v>0</v>
      </c>
      <c r="DM217" s="172" cm="1">
        <f t="array" aca="1" ref="DM217" ca="1">IF(OR($D217&lt;&gt;"Serviço",AND(AUTOEVENTO="Manual",$M217=$A$15),$M217&gt;(ROW(PLE.lastrow)-ROW(PLE.firstrow))),0,
           IF(OFFSET(PLE!$G$15,$M217-$A$15,DM$13)="",10^12,OFFSET(PLE!$G$15,$M217-$A$15,DM$13)))</f>
        <v>0</v>
      </c>
      <c r="DN217" s="172" cm="1">
        <f t="array" aca="1" ref="DN217" ca="1">IF(OR($D217&lt;&gt;"Serviço",AND(AUTOEVENTO="Manual",$M217=$A$15),$M217&gt;(ROW(PLE.lastrow)-ROW(PLE.firstrow))),0,
           IF(OFFSET(PLE!$G$15,$M217-$A$15,DN$13)="",10^12,OFFSET(PLE!$G$15,$M217-$A$15,DN$13)))</f>
        <v>0</v>
      </c>
      <c r="DO217" s="172" cm="1">
        <f t="array" aca="1" ref="DO217" ca="1">IF(OR($D217&lt;&gt;"Serviço",AND(AUTOEVENTO="Manual",$M217=$A$15),$M217&gt;(ROW(PLE.lastrow)-ROW(PLE.firstrow))),0,
           IF(OFFSET(PLE!$G$15,$M217-$A$15,DO$13)="",10^12,OFFSET(PLE!$G$15,$M217-$A$15,DO$13)))</f>
        <v>0</v>
      </c>
      <c r="DP217" s="172" cm="1">
        <f t="array" aca="1" ref="DP217" ca="1">IF(OR($D217&lt;&gt;"Serviço",AND(AUTOEVENTO="Manual",$M217=$A$15),$M217&gt;(ROW(PLE.lastrow)-ROW(PLE.firstrow))),0,
           IF(OFFSET(PLE!$G$15,$M217-$A$15,DP$13)="",10^12,OFFSET(PLE!$G$15,$M217-$A$15,DP$13)))</f>
        <v>0</v>
      </c>
      <c r="DQ217" s="172" cm="1">
        <f t="array" aca="1" ref="DQ217" ca="1">IF(OR($D217&lt;&gt;"Serviço",AND(AUTOEVENTO="Manual",$M217=$A$15),$M217&gt;(ROW(PLE.lastrow)-ROW(PLE.firstrow))),0,
           IF(OFFSET(PLE!$G$15,$M217-$A$15,DQ$13)="",10^12,OFFSET(PLE!$G$15,$M217-$A$15,DQ$13)))</f>
        <v>0</v>
      </c>
      <c r="DR217" s="172" cm="1">
        <f t="array" aca="1" ref="DR217" ca="1">IF(OR($D217&lt;&gt;"Serviço",AND(AUTOEVENTO="Manual",$M217=$A$15),$M217&gt;(ROW(PLE.lastrow)-ROW(PLE.firstrow))),0,
           IF(OFFSET(PLE!$G$15,$M217-$A$15,DR$13)="",10^12,OFFSET(PLE!$G$15,$M217-$A$15,DR$13)))</f>
        <v>0</v>
      </c>
      <c r="DS217" s="172" cm="1">
        <f t="array" aca="1" ref="DS217" ca="1">IF(OR($D217&lt;&gt;"Serviço",AND(AUTOEVENTO="Manual",$M217=$A$15),$M217&gt;(ROW(PLE.lastrow)-ROW(PLE.firstrow))),0,
           IF(OFFSET(PLE!$G$15,$M217-$A$15,DS$13)="",10^12,OFFSET(PLE!$G$15,$M217-$A$15,DS$13)))</f>
        <v>0</v>
      </c>
    </row>
    <row r="218" spans="1:123" ht="38.25" x14ac:dyDescent="0.2">
      <c r="A218" s="7">
        <f t="shared" ca="1" si="19"/>
        <v>9</v>
      </c>
      <c r="B218" s="7" t="str">
        <f ca="1">OFFSET(ORÇAMENTO!C$15,$L218,0)</f>
        <v>S</v>
      </c>
      <c r="C218" s="7" t="str">
        <f ca="1">OFFSET(ORÇAMENTO!L$15,$L218,0)</f>
        <v/>
      </c>
      <c r="D218" s="116" t="str">
        <f ca="1">OFFSET(ORÇAMENTO!N$15,$L218,0)</f>
        <v>Serviço</v>
      </c>
      <c r="E218" s="117" t="str">
        <f ca="1">OFFSET(ORÇAMENTO!O$15,$L218,0)</f>
        <v>-</v>
      </c>
      <c r="F218" s="163" t="str">
        <f ca="1">OFFSET(ORÇAMENTO!R$15,$L218,0)</f>
        <v>(Código não identificado nas referências)</v>
      </c>
      <c r="G218" s="164" t="str">
        <f ca="1">IF($D218&lt;&gt;"Serviço","",OFFSET(ORÇAMENTO!S$15,$L218,0))</f>
        <v>-</v>
      </c>
      <c r="H218" s="122" cm="1">
        <f t="array" aca="1" ref="H218" ca="1">IF($D218&lt;&gt;"Serviço",0,IF(ACOMPANHAMENTO="BM",ROUND(OFFSET(ORÇAMENTO!AJ$15,$L218,0),15-13*ORÇAMENTO!$AF$7),IF(IFERROR(CÁLCULO.FrentesPreenchidas,0)=0,0,SUM(ROUND(OFFSET($P218,0,1,1,CÁLCULO.FrentesPreenchidas),15-13*ORÇAMENTO!$AF$7)))))</f>
        <v>100</v>
      </c>
      <c r="I218" s="468" t="s">
        <v>1235</v>
      </c>
      <c r="J218" s="651" t="str" cm="1">
        <f t="array" aca="1" ref="J218" ca="1">IF(OR(B218&lt;&gt;"S",CÁLCULO.FrentesPreenchidas=0),"",IF(AND(ACOMPANHAMENTO="PLE",AUTOEVENTO="Manual",OR(H218&gt;0,ORÇAMENTO!AC218="QUANT."),OR(K218="",M218=0,N218="")),"►E",IF(AND(ACOMPANHAMENTO="PLE",ORÇAMENTO!AC218="QUANT."),"►Q",IF(AND(ACOMPANHAMENTO="PLE",H218&lt;&gt;SUMPRODUCT(($Q$1:$AQ$1=1)*ROUND(Q218:AQ218,15))),"►S",IF(AND(COUNTIF($P$11:$AQ$11,"▼")=0,H218&gt;0,I218=""),"◄M","")))))</f>
        <v/>
      </c>
      <c r="K218" s="652" t="s">
        <v>1257</v>
      </c>
      <c r="L218" s="165">
        <f t="shared" ca="1" si="20"/>
        <v>203</v>
      </c>
      <c r="M218" s="166">
        <f ca="1">IF($D218&lt;&gt;"Serviço","",
          IF(AUTOEVENTO="manual",$A218,
                IF(ISERROR(MATCH($A218,$A$15:OFFSET($A218,-1,0),0)),MAX($M$15:OFFSET(M218,-1,0))+1,
                      INDEX($M$15:OFFSET(M218,-1,0),MATCH($A218,$A$15:OFFSET($A218,-1,0),0)))))</f>
        <v>9</v>
      </c>
      <c r="N218" s="167" t="str">
        <f ca="1">IF($D218&lt;&gt;"Serviço","",
         IF(AUTOEVENTO="Manual",
                IF($A218=0,"&lt;-- defina o número do agrupador",
                       OFFSET(EVENTOS!$D$15,$A218-$A$15,0)),
                OFFSET($F$15,$A218,0)))</f>
        <v>INSTALAÇÕES</v>
      </c>
      <c r="O218" s="168"/>
      <c r="Q218" s="168">
        <v>5</v>
      </c>
      <c r="R218" s="169">
        <v>5</v>
      </c>
      <c r="S218" s="169">
        <v>5</v>
      </c>
      <c r="T218" s="169">
        <v>5</v>
      </c>
      <c r="U218" s="169">
        <v>5</v>
      </c>
      <c r="V218" s="169">
        <v>5</v>
      </c>
      <c r="W218" s="169">
        <v>5</v>
      </c>
      <c r="X218" s="169">
        <v>5</v>
      </c>
      <c r="Y218" s="169">
        <v>5</v>
      </c>
      <c r="Z218" s="170">
        <v>5</v>
      </c>
      <c r="AA218" s="169">
        <v>5</v>
      </c>
      <c r="AB218" s="169">
        <v>5</v>
      </c>
      <c r="AC218" s="169">
        <v>5</v>
      </c>
      <c r="AD218" s="169">
        <v>5</v>
      </c>
      <c r="AE218" s="169">
        <v>5</v>
      </c>
      <c r="AF218" s="169">
        <v>5</v>
      </c>
      <c r="AG218" s="169">
        <v>5</v>
      </c>
      <c r="AH218" s="170">
        <v>5</v>
      </c>
      <c r="AI218" s="169">
        <v>5</v>
      </c>
      <c r="AJ218" s="169">
        <v>5</v>
      </c>
      <c r="AK218" s="169"/>
      <c r="AL218" s="169"/>
      <c r="AM218" s="169"/>
      <c r="AN218" s="169"/>
      <c r="AO218" s="169"/>
      <c r="AP218" s="170"/>
      <c r="AR218" s="453">
        <f ca="1">IF(AND($D218="Serviço",AR$12&lt;&gt;0,$H218&gt;0,OR(AUTOEVENTO&lt;&gt;"manual",$M218&lt;&gt;$A$15)),
        IF(Import.TipoArredondamento&lt;&gt;"TransfereGOV",
              ROUND(OFFSET($P218,0,AR$13),15-13*ORÇAMENTO!$AF$7)/$H218*OFFSET(ORÇAMENTO!$X$15,ROW(AR218)-ROW(AR$15),0),
              ROUND(ROUND(OFFSET($P218,0,AR$13),15-13*ORÇAMENTO!$AF$7)*OFFSET(ORÇAMENTO!$W$15,ROW(AR218)-ROW(AR$15),0),15-13*ORÇAMENTO!$AF$11)),
         0)</f>
        <v>0</v>
      </c>
      <c r="AS218" s="453">
        <f ca="1">IF(AND($D218="Serviço",AS$12&lt;&gt;0,$H218&gt;0,OR(AUTOEVENTO&lt;&gt;"manual",$M218&lt;&gt;$A$15)),
        IF(Import.TipoArredondamento&lt;&gt;"TransfereGOV",
              ROUND(OFFSET($P218,0,AS$13),15-13*ORÇAMENTO!$AF$7)/$H218*OFFSET(ORÇAMENTO!$X$15,ROW(AS218)-ROW(AS$15),0),
              ROUND(ROUND(OFFSET($P218,0,AS$13),15-13*ORÇAMENTO!$AF$7)*OFFSET(ORÇAMENTO!$W$15,ROW(AS218)-ROW(AS$15),0),15-13*ORÇAMENTO!$AF$11)),
         0)</f>
        <v>0</v>
      </c>
      <c r="AT218" s="453">
        <f ca="1">IF(AND($D218="Serviço",AT$12&lt;&gt;0,$H218&gt;0,OR(AUTOEVENTO&lt;&gt;"manual",$M218&lt;&gt;$A$15)),
        IF(Import.TipoArredondamento&lt;&gt;"TransfereGOV",
              ROUND(OFFSET($P218,0,AT$13),15-13*ORÇAMENTO!$AF$7)/$H218*OFFSET(ORÇAMENTO!$X$15,ROW(AT218)-ROW(AT$15),0),
              ROUND(ROUND(OFFSET($P218,0,AT$13),15-13*ORÇAMENTO!$AF$7)*OFFSET(ORÇAMENTO!$W$15,ROW(AT218)-ROW(AT$15),0),15-13*ORÇAMENTO!$AF$11)),
         0)</f>
        <v>0</v>
      </c>
      <c r="AU218" s="453">
        <f ca="1">IF(AND($D218="Serviço",AU$12&lt;&gt;0,$H218&gt;0,OR(AUTOEVENTO&lt;&gt;"manual",$M218&lt;&gt;$A$15)),
        IF(Import.TipoArredondamento&lt;&gt;"TransfereGOV",
              ROUND(OFFSET($P218,0,AU$13),15-13*ORÇAMENTO!$AF$7)/$H218*OFFSET(ORÇAMENTO!$X$15,ROW(AU218)-ROW(AU$15),0),
              ROUND(ROUND(OFFSET($P218,0,AU$13),15-13*ORÇAMENTO!$AF$7)*OFFSET(ORÇAMENTO!$W$15,ROW(AU218)-ROW(AU$15),0),15-13*ORÇAMENTO!$AF$11)),
         0)</f>
        <v>0</v>
      </c>
      <c r="AV218" s="453">
        <f ca="1">IF(AND($D218="Serviço",AV$12&lt;&gt;0,$H218&gt;0,OR(AUTOEVENTO&lt;&gt;"manual",$M218&lt;&gt;$A$15)),
        IF(Import.TipoArredondamento&lt;&gt;"TransfereGOV",
              ROUND(OFFSET($P218,0,AV$13),15-13*ORÇAMENTO!$AF$7)/$H218*OFFSET(ORÇAMENTO!$X$15,ROW(AV218)-ROW(AV$15),0),
              ROUND(ROUND(OFFSET($P218,0,AV$13),15-13*ORÇAMENTO!$AF$7)*OFFSET(ORÇAMENTO!$W$15,ROW(AV218)-ROW(AV$15),0),15-13*ORÇAMENTO!$AF$11)),
         0)</f>
        <v>0</v>
      </c>
      <c r="AW218" s="453">
        <f ca="1">IF(AND($D218="Serviço",AW$12&lt;&gt;0,$H218&gt;0,OR(AUTOEVENTO&lt;&gt;"manual",$M218&lt;&gt;$A$15)),
        IF(Import.TipoArredondamento&lt;&gt;"TransfereGOV",
              ROUND(OFFSET($P218,0,AW$13),15-13*ORÇAMENTO!$AF$7)/$H218*OFFSET(ORÇAMENTO!$X$15,ROW(AW218)-ROW(AW$15),0),
              ROUND(ROUND(OFFSET($P218,0,AW$13),15-13*ORÇAMENTO!$AF$7)*OFFSET(ORÇAMENTO!$W$15,ROW(AW218)-ROW(AW$15),0),15-13*ORÇAMENTO!$AF$11)),
         0)</f>
        <v>0</v>
      </c>
      <c r="AX218" s="453">
        <f ca="1">IF(AND($D218="Serviço",AX$12&lt;&gt;0,$H218&gt;0,OR(AUTOEVENTO&lt;&gt;"manual",$M218&lt;&gt;$A$15)),
        IF(Import.TipoArredondamento&lt;&gt;"TransfereGOV",
              ROUND(OFFSET($P218,0,AX$13),15-13*ORÇAMENTO!$AF$7)/$H218*OFFSET(ORÇAMENTO!$X$15,ROW(AX218)-ROW(AX$15),0),
              ROUND(ROUND(OFFSET($P218,0,AX$13),15-13*ORÇAMENTO!$AF$7)*OFFSET(ORÇAMENTO!$W$15,ROW(AX218)-ROW(AX$15),0),15-13*ORÇAMENTO!$AF$11)),
         0)</f>
        <v>0</v>
      </c>
      <c r="AY218" s="453">
        <f ca="1">IF(AND($D218="Serviço",AY$12&lt;&gt;0,$H218&gt;0,OR(AUTOEVENTO&lt;&gt;"manual",$M218&lt;&gt;$A$15)),
        IF(Import.TipoArredondamento&lt;&gt;"TransfereGOV",
              ROUND(OFFSET($P218,0,AY$13),15-13*ORÇAMENTO!$AF$7)/$H218*OFFSET(ORÇAMENTO!$X$15,ROW(AY218)-ROW(AY$15),0),
              ROUND(ROUND(OFFSET($P218,0,AY$13),15-13*ORÇAMENTO!$AF$7)*OFFSET(ORÇAMENTO!$W$15,ROW(AY218)-ROW(AY$15),0),15-13*ORÇAMENTO!$AF$11)),
         0)</f>
        <v>0</v>
      </c>
      <c r="AZ218" s="453">
        <f ca="1">IF(AND($D218="Serviço",AZ$12&lt;&gt;0,$H218&gt;0,OR(AUTOEVENTO&lt;&gt;"manual",$M218&lt;&gt;$A$15)),
        IF(Import.TipoArredondamento&lt;&gt;"TransfereGOV",
              ROUND(OFFSET($P218,0,AZ$13),15-13*ORÇAMENTO!$AF$7)/$H218*OFFSET(ORÇAMENTO!$X$15,ROW(AZ218)-ROW(AZ$15),0),
              ROUND(ROUND(OFFSET($P218,0,AZ$13),15-13*ORÇAMENTO!$AF$7)*OFFSET(ORÇAMENTO!$W$15,ROW(AZ218)-ROW(AZ$15),0),15-13*ORÇAMENTO!$AF$11)),
         0)</f>
        <v>0</v>
      </c>
      <c r="BA218" s="453">
        <f ca="1">IF(AND($D218="Serviço",BA$12&lt;&gt;0,$H218&gt;0,OR(AUTOEVENTO&lt;&gt;"manual",$M218&lt;&gt;$A$15)),
        IF(Import.TipoArredondamento&lt;&gt;"TransfereGOV",
              ROUND(OFFSET($P218,0,BA$13),15-13*ORÇAMENTO!$AF$7)/$H218*OFFSET(ORÇAMENTO!$X$15,ROW(BA218)-ROW(BA$15),0),
              ROUND(ROUND(OFFSET($P218,0,BA$13),15-13*ORÇAMENTO!$AF$7)*OFFSET(ORÇAMENTO!$W$15,ROW(BA218)-ROW(BA$15),0),15-13*ORÇAMENTO!$AF$11)),
         0)</f>
        <v>0</v>
      </c>
      <c r="BB218" s="453">
        <f ca="1">IF(AND($D218="Serviço",BB$12&lt;&gt;0,$H218&gt;0,OR(AUTOEVENTO&lt;&gt;"manual",$M218&lt;&gt;$A$15)),
        IF(Import.TipoArredondamento&lt;&gt;"TransfereGOV",
              ROUND(OFFSET($P218,0,BB$13),15-13*ORÇAMENTO!$AF$7)/$H218*OFFSET(ORÇAMENTO!$X$15,ROW(BB218)-ROW(BB$15),0),
              ROUND(ROUND(OFFSET($P218,0,BB$13),15-13*ORÇAMENTO!$AF$7)*OFFSET(ORÇAMENTO!$W$15,ROW(BB218)-ROW(BB$15),0),15-13*ORÇAMENTO!$AF$11)),
         0)</f>
        <v>0</v>
      </c>
      <c r="BC218" s="453">
        <f ca="1">IF(AND($D218="Serviço",BC$12&lt;&gt;0,$H218&gt;0,OR(AUTOEVENTO&lt;&gt;"manual",$M218&lt;&gt;$A$15)),
        IF(Import.TipoArredondamento&lt;&gt;"TransfereGOV",
              ROUND(OFFSET($P218,0,BC$13),15-13*ORÇAMENTO!$AF$7)/$H218*OFFSET(ORÇAMENTO!$X$15,ROW(BC218)-ROW(BC$15),0),
              ROUND(ROUND(OFFSET($P218,0,BC$13),15-13*ORÇAMENTO!$AF$7)*OFFSET(ORÇAMENTO!$W$15,ROW(BC218)-ROW(BC$15),0),15-13*ORÇAMENTO!$AF$11)),
         0)</f>
        <v>0</v>
      </c>
      <c r="BD218" s="453">
        <f ca="1">IF(AND($D218="Serviço",BD$12&lt;&gt;0,$H218&gt;0,OR(AUTOEVENTO&lt;&gt;"manual",$M218&lt;&gt;$A$15)),
        IF(Import.TipoArredondamento&lt;&gt;"TransfereGOV",
              ROUND(OFFSET($P218,0,BD$13),15-13*ORÇAMENTO!$AF$7)/$H218*OFFSET(ORÇAMENTO!$X$15,ROW(BD218)-ROW(BD$15),0),
              ROUND(ROUND(OFFSET($P218,0,BD$13),15-13*ORÇAMENTO!$AF$7)*OFFSET(ORÇAMENTO!$W$15,ROW(BD218)-ROW(BD$15),0),15-13*ORÇAMENTO!$AF$11)),
         0)</f>
        <v>0</v>
      </c>
      <c r="BE218" s="453">
        <f ca="1">IF(AND($D218="Serviço",BE$12&lt;&gt;0,$H218&gt;0,OR(AUTOEVENTO&lt;&gt;"manual",$M218&lt;&gt;$A$15)),
        IF(Import.TipoArredondamento&lt;&gt;"TransfereGOV",
              ROUND(OFFSET($P218,0,BE$13),15-13*ORÇAMENTO!$AF$7)/$H218*OFFSET(ORÇAMENTO!$X$15,ROW(BE218)-ROW(BE$15),0),
              ROUND(ROUND(OFFSET($P218,0,BE$13),15-13*ORÇAMENTO!$AF$7)*OFFSET(ORÇAMENTO!$W$15,ROW(BE218)-ROW(BE$15),0),15-13*ORÇAMENTO!$AF$11)),
         0)</f>
        <v>0</v>
      </c>
      <c r="BF218" s="453">
        <f ca="1">IF(AND($D218="Serviço",BF$12&lt;&gt;0,$H218&gt;0,OR(AUTOEVENTO&lt;&gt;"manual",$M218&lt;&gt;$A$15)),
        IF(Import.TipoArredondamento&lt;&gt;"TransfereGOV",
              ROUND(OFFSET($P218,0,BF$13),15-13*ORÇAMENTO!$AF$7)/$H218*OFFSET(ORÇAMENTO!$X$15,ROW(BF218)-ROW(BF$15),0),
              ROUND(ROUND(OFFSET($P218,0,BF$13),15-13*ORÇAMENTO!$AF$7)*OFFSET(ORÇAMENTO!$W$15,ROW(BF218)-ROW(BF$15),0),15-13*ORÇAMENTO!$AF$11)),
         0)</f>
        <v>0</v>
      </c>
      <c r="BG218" s="453">
        <f ca="1">IF(AND($D218="Serviço",BG$12&lt;&gt;0,$H218&gt;0,OR(AUTOEVENTO&lt;&gt;"manual",$M218&lt;&gt;$A$15)),
        IF(Import.TipoArredondamento&lt;&gt;"TransfereGOV",
              ROUND(OFFSET($P218,0,BG$13),15-13*ORÇAMENTO!$AF$7)/$H218*OFFSET(ORÇAMENTO!$X$15,ROW(BG218)-ROW(BG$15),0),
              ROUND(ROUND(OFFSET($P218,0,BG$13),15-13*ORÇAMENTO!$AF$7)*OFFSET(ORÇAMENTO!$W$15,ROW(BG218)-ROW(BG$15),0),15-13*ORÇAMENTO!$AF$11)),
         0)</f>
        <v>0</v>
      </c>
      <c r="BH218" s="453">
        <f ca="1">IF(AND($D218="Serviço",BH$12&lt;&gt;0,$H218&gt;0,OR(AUTOEVENTO&lt;&gt;"manual",$M218&lt;&gt;$A$15)),
        IF(Import.TipoArredondamento&lt;&gt;"TransfereGOV",
              ROUND(OFFSET($P218,0,BH$13),15-13*ORÇAMENTO!$AF$7)/$H218*OFFSET(ORÇAMENTO!$X$15,ROW(BH218)-ROW(BH$15),0),
              ROUND(ROUND(OFFSET($P218,0,BH$13),15-13*ORÇAMENTO!$AF$7)*OFFSET(ORÇAMENTO!$W$15,ROW(BH218)-ROW(BH$15),0),15-13*ORÇAMENTO!$AF$11)),
         0)</f>
        <v>0</v>
      </c>
      <c r="BI218" s="453">
        <f ca="1">IF(AND($D218="Serviço",BI$12&lt;&gt;0,$H218&gt;0,OR(AUTOEVENTO&lt;&gt;"manual",$M218&lt;&gt;$A$15)),
        IF(Import.TipoArredondamento&lt;&gt;"TransfereGOV",
              ROUND(OFFSET($P218,0,BI$13),15-13*ORÇAMENTO!$AF$7)/$H218*OFFSET(ORÇAMENTO!$X$15,ROW(BI218)-ROW(BI$15),0),
              ROUND(ROUND(OFFSET($P218,0,BI$13),15-13*ORÇAMENTO!$AF$7)*OFFSET(ORÇAMENTO!$W$15,ROW(BI218)-ROW(BI$15),0),15-13*ORÇAMENTO!$AF$11)),
         0)</f>
        <v>0</v>
      </c>
      <c r="BJ218" s="453">
        <f ca="1">IF(AND($D218="Serviço",BJ$12&lt;&gt;0,$H218&gt;0,OR(AUTOEVENTO&lt;&gt;"manual",$M218&lt;&gt;$A$15)),
        IF(Import.TipoArredondamento&lt;&gt;"TransfereGOV",
              ROUND(OFFSET($P218,0,BJ$13),15-13*ORÇAMENTO!$AF$7)/$H218*OFFSET(ORÇAMENTO!$X$15,ROW(BJ218)-ROW(BJ$15),0),
              ROUND(ROUND(OFFSET($P218,0,BJ$13),15-13*ORÇAMENTO!$AF$7)*OFFSET(ORÇAMENTO!$W$15,ROW(BJ218)-ROW(BJ$15),0),15-13*ORÇAMENTO!$AF$11)),
         0)</f>
        <v>0</v>
      </c>
      <c r="BK218" s="453">
        <f ca="1">IF(AND($D218="Serviço",BK$12&lt;&gt;0,$H218&gt;0,OR(AUTOEVENTO&lt;&gt;"manual",$M218&lt;&gt;$A$15)),
        IF(Import.TipoArredondamento&lt;&gt;"TransfereGOV",
              ROUND(OFFSET($P218,0,BK$13),15-13*ORÇAMENTO!$AF$7)/$H218*OFFSET(ORÇAMENTO!$X$15,ROW(BK218)-ROW(BK$15),0),
              ROUND(ROUND(OFFSET($P218,0,BK$13),15-13*ORÇAMENTO!$AF$7)*OFFSET(ORÇAMENTO!$W$15,ROW(BK218)-ROW(BK$15),0),15-13*ORÇAMENTO!$AF$11)),
         0)</f>
        <v>0</v>
      </c>
      <c r="BL218" s="453">
        <f ca="1">IF(AND($D218="Serviço",BL$12&lt;&gt;0,$H218&gt;0,OR(AUTOEVENTO&lt;&gt;"manual",$M218&lt;&gt;$A$15)),
        IF(Import.TipoArredondamento&lt;&gt;"TransfereGOV",
              ROUND(OFFSET($P218,0,BL$13),15-13*ORÇAMENTO!$AF$7)/$H218*OFFSET(ORÇAMENTO!$X$15,ROW(BL218)-ROW(BL$15),0),
              ROUND(ROUND(OFFSET($P218,0,BL$13),15-13*ORÇAMENTO!$AF$7)*OFFSET(ORÇAMENTO!$W$15,ROW(BL218)-ROW(BL$15),0),15-13*ORÇAMENTO!$AF$11)),
         0)</f>
        <v>0</v>
      </c>
      <c r="BM218" s="453">
        <f ca="1">IF(AND($D218="Serviço",BM$12&lt;&gt;0,$H218&gt;0,OR(AUTOEVENTO&lt;&gt;"manual",$M218&lt;&gt;$A$15)),
        IF(Import.TipoArredondamento&lt;&gt;"TransfereGOV",
              ROUND(OFFSET($P218,0,BM$13),15-13*ORÇAMENTO!$AF$7)/$H218*OFFSET(ORÇAMENTO!$X$15,ROW(BM218)-ROW(BM$15),0),
              ROUND(ROUND(OFFSET($P218,0,BM$13),15-13*ORÇAMENTO!$AF$7)*OFFSET(ORÇAMENTO!$W$15,ROW(BM218)-ROW(BM$15),0),15-13*ORÇAMENTO!$AF$11)),
         0)</f>
        <v>0</v>
      </c>
      <c r="BN218" s="453">
        <f ca="1">IF(AND($D218="Serviço",BN$12&lt;&gt;0,$H218&gt;0,OR(AUTOEVENTO&lt;&gt;"manual",$M218&lt;&gt;$A$15)),
        IF(Import.TipoArredondamento&lt;&gt;"TransfereGOV",
              ROUND(OFFSET($P218,0,BN$13),15-13*ORÇAMENTO!$AF$7)/$H218*OFFSET(ORÇAMENTO!$X$15,ROW(BN218)-ROW(BN$15),0),
              ROUND(ROUND(OFFSET($P218,0,BN$13),15-13*ORÇAMENTO!$AF$7)*OFFSET(ORÇAMENTO!$W$15,ROW(BN218)-ROW(BN$15),0),15-13*ORÇAMENTO!$AF$11)),
         0)</f>
        <v>0</v>
      </c>
      <c r="BO218" s="453">
        <f ca="1">IF(AND($D218="Serviço",BO$12&lt;&gt;0,$H218&gt;0,OR(AUTOEVENTO&lt;&gt;"manual",$M218&lt;&gt;$A$15)),
        IF(Import.TipoArredondamento&lt;&gt;"TransfereGOV",
              ROUND(OFFSET($P218,0,BO$13),15-13*ORÇAMENTO!$AF$7)/$H218*OFFSET(ORÇAMENTO!$X$15,ROW(BO218)-ROW(BO$15),0),
              ROUND(ROUND(OFFSET($P218,0,BO$13),15-13*ORÇAMENTO!$AF$7)*OFFSET(ORÇAMENTO!$W$15,ROW(BO218)-ROW(BO$15),0),15-13*ORÇAMENTO!$AF$11)),
         0)</f>
        <v>0</v>
      </c>
      <c r="BP218" s="453">
        <f ca="1">IF(AND($D218="Serviço",BP$12&lt;&gt;0,$H218&gt;0,OR(AUTOEVENTO&lt;&gt;"manual",$M218&lt;&gt;$A$15)),
        IF(Import.TipoArredondamento&lt;&gt;"TransfereGOV",
              ROUND(OFFSET($P218,0,BP$13),15-13*ORÇAMENTO!$AF$7)/$H218*OFFSET(ORÇAMENTO!$X$15,ROW(BP218)-ROW(BP$15),0),
              ROUND(ROUND(OFFSET($P218,0,BP$13),15-13*ORÇAMENTO!$AF$7)*OFFSET(ORÇAMENTO!$W$15,ROW(BP218)-ROW(BP$15),0),15-13*ORÇAMENTO!$AF$11)),
         0)</f>
        <v>0</v>
      </c>
      <c r="BQ218" s="453">
        <f ca="1">IF(AND($D218="Serviço",BQ$12&lt;&gt;0,$H218&gt;0,OR(AUTOEVENTO&lt;&gt;"manual",$M218&lt;&gt;$A$15)),
        IF(Import.TipoArredondamento&lt;&gt;"TransfereGOV",
              ROUND(OFFSET($P218,0,BQ$13),15-13*ORÇAMENTO!$AF$7)/$H218*OFFSET(ORÇAMENTO!$X$15,ROW(BQ218)-ROW(BQ$15),0),
              ROUND(ROUND(OFFSET($P218,0,BQ$13),15-13*ORÇAMENTO!$AF$7)*OFFSET(ORÇAMENTO!$W$15,ROW(BQ218)-ROW(BQ$15),0),15-13*ORÇAMENTO!$AF$11)),
         0)</f>
        <v>0</v>
      </c>
      <c r="BS218" s="171">
        <f ca="1">IF(OR($D218&lt;&gt;"Serviço",AND(AUTOEVENTO="Manual",$M218=$A$15)),0,
         IF(OFFSET(CRONOPLE!$F$15,$M218-$A$15,BS$13)=0,10^12,OFFSET(CRONOPLE!$F$15,$M218-$A$15,BS$13)))</f>
        <v>1</v>
      </c>
      <c r="BT218" s="171">
        <f ca="1">IF(OR($D218&lt;&gt;"Serviço",AND(AUTOEVENTO="Manual",$M218=$A$15)),0,
         IF(OFFSET(CRONOPLE!$F$15,$M218-$A$15,BT$13)=0,10^12,OFFSET(CRONOPLE!$F$15,$M218-$A$15,BT$13)))</f>
        <v>2</v>
      </c>
      <c r="BU218" s="171">
        <f ca="1">IF(OR($D218&lt;&gt;"Serviço",AND(AUTOEVENTO="Manual",$M218=$A$15)),0,
         IF(OFFSET(CRONOPLE!$F$15,$M218-$A$15,BU$13)=0,10^12,OFFSET(CRONOPLE!$F$15,$M218-$A$15,BU$13)))</f>
        <v>3</v>
      </c>
      <c r="BV218" s="171">
        <f ca="1">IF(OR($D218&lt;&gt;"Serviço",AND(AUTOEVENTO="Manual",$M218=$A$15)),0,
         IF(OFFSET(CRONOPLE!$F$15,$M218-$A$15,BV$13)=0,10^12,OFFSET(CRONOPLE!$F$15,$M218-$A$15,BV$13)))</f>
        <v>4</v>
      </c>
      <c r="BW218" s="171">
        <f ca="1">IF(OR($D218&lt;&gt;"Serviço",AND(AUTOEVENTO="Manual",$M218=$A$15)),0,
         IF(OFFSET(CRONOPLE!$F$15,$M218-$A$15,BW$13)=0,10^12,OFFSET(CRONOPLE!$F$15,$M218-$A$15,BW$13)))</f>
        <v>5</v>
      </c>
      <c r="BX218" s="171">
        <f ca="1">IF(OR($D218&lt;&gt;"Serviço",AND(AUTOEVENTO="Manual",$M218=$A$15)),0,
         IF(OFFSET(CRONOPLE!$F$15,$M218-$A$15,BX$13)=0,10^12,OFFSET(CRONOPLE!$F$15,$M218-$A$15,BX$13)))</f>
        <v>6</v>
      </c>
      <c r="BY218" s="171">
        <f ca="1">IF(OR($D218&lt;&gt;"Serviço",AND(AUTOEVENTO="Manual",$M218=$A$15)),0,
         IF(OFFSET(CRONOPLE!$F$15,$M218-$A$15,BY$13)=0,10^12,OFFSET(CRONOPLE!$F$15,$M218-$A$15,BY$13)))</f>
        <v>7</v>
      </c>
      <c r="BZ218" s="171">
        <f ca="1">IF(OR($D218&lt;&gt;"Serviço",AND(AUTOEVENTO="Manual",$M218=$A$15)),0,
         IF(OFFSET(CRONOPLE!$F$15,$M218-$A$15,BZ$13)=0,10^12,OFFSET(CRONOPLE!$F$15,$M218-$A$15,BZ$13)))</f>
        <v>8</v>
      </c>
      <c r="CA218" s="171">
        <f ca="1">IF(OR($D218&lt;&gt;"Serviço",AND(AUTOEVENTO="Manual",$M218=$A$15)),0,
         IF(OFFSET(CRONOPLE!$F$15,$M218-$A$15,CA$13)=0,10^12,OFFSET(CRONOPLE!$F$15,$M218-$A$15,CA$13)))</f>
        <v>9</v>
      </c>
      <c r="CB218" s="171">
        <f ca="1">IF(OR($D218&lt;&gt;"Serviço",AND(AUTOEVENTO="Manual",$M218=$A$15)),0,
         IF(OFFSET(CRONOPLE!$F$15,$M218-$A$15,CB$13)=0,10^12,OFFSET(CRONOPLE!$F$15,$M218-$A$15,CB$13)))</f>
        <v>10</v>
      </c>
      <c r="CC218" s="171">
        <f ca="1">IF(OR($D218&lt;&gt;"Serviço",AND(AUTOEVENTO="Manual",$M218=$A$15)),0,
         IF(OFFSET(CRONOPLE!$F$15,$M218-$A$15,CC$13)=0,10^12,OFFSET(CRONOPLE!$F$15,$M218-$A$15,CC$13)))</f>
        <v>11</v>
      </c>
      <c r="CD218" s="171">
        <f ca="1">IF(OR($D218&lt;&gt;"Serviço",AND(AUTOEVENTO="Manual",$M218=$A$15)),0,
         IF(OFFSET(CRONOPLE!$F$15,$M218-$A$15,CD$13)=0,10^12,OFFSET(CRONOPLE!$F$15,$M218-$A$15,CD$13)))</f>
        <v>12</v>
      </c>
      <c r="CE218" s="171">
        <f ca="1">IF(OR($D218&lt;&gt;"Serviço",AND(AUTOEVENTO="Manual",$M218=$A$15)),0,
         IF(OFFSET(CRONOPLE!$F$15,$M218-$A$15,CE$13)=0,10^12,OFFSET(CRONOPLE!$F$15,$M218-$A$15,CE$13)))</f>
        <v>13</v>
      </c>
      <c r="CF218" s="171">
        <f ca="1">IF(OR($D218&lt;&gt;"Serviço",AND(AUTOEVENTO="Manual",$M218=$A$15)),0,
         IF(OFFSET(CRONOPLE!$F$15,$M218-$A$15,CF$13)=0,10^12,OFFSET(CRONOPLE!$F$15,$M218-$A$15,CF$13)))</f>
        <v>14</v>
      </c>
      <c r="CG218" s="171">
        <f ca="1">IF(OR($D218&lt;&gt;"Serviço",AND(AUTOEVENTO="Manual",$M218=$A$15)),0,
         IF(OFFSET(CRONOPLE!$F$15,$M218-$A$15,CG$13)=0,10^12,OFFSET(CRONOPLE!$F$15,$M218-$A$15,CG$13)))</f>
        <v>15</v>
      </c>
      <c r="CH218" s="171">
        <f ca="1">IF(OR($D218&lt;&gt;"Serviço",AND(AUTOEVENTO="Manual",$M218=$A$15)),0,
         IF(OFFSET(CRONOPLE!$F$15,$M218-$A$15,CH$13)=0,10^12,OFFSET(CRONOPLE!$F$15,$M218-$A$15,CH$13)))</f>
        <v>16</v>
      </c>
      <c r="CI218" s="171">
        <f ca="1">IF(OR($D218&lt;&gt;"Serviço",AND(AUTOEVENTO="Manual",$M218=$A$15)),0,
         IF(OFFSET(CRONOPLE!$F$15,$M218-$A$15,CI$13)=0,10^12,OFFSET(CRONOPLE!$F$15,$M218-$A$15,CI$13)))</f>
        <v>17</v>
      </c>
      <c r="CJ218" s="171">
        <f ca="1">IF(OR($D218&lt;&gt;"Serviço",AND(AUTOEVENTO="Manual",$M218=$A$15)),0,
         IF(OFFSET(CRONOPLE!$F$15,$M218-$A$15,CJ$13)=0,10^12,OFFSET(CRONOPLE!$F$15,$M218-$A$15,CJ$13)))</f>
        <v>18</v>
      </c>
      <c r="CK218" s="171">
        <f ca="1">IF(OR($D218&lt;&gt;"Serviço",AND(AUTOEVENTO="Manual",$M218=$A$15)),0,
         IF(OFFSET(CRONOPLE!$F$15,$M218-$A$15,CK$13)=0,10^12,OFFSET(CRONOPLE!$F$15,$M218-$A$15,CK$13)))</f>
        <v>19</v>
      </c>
      <c r="CL218" s="171">
        <f ca="1">IF(OR($D218&lt;&gt;"Serviço",AND(AUTOEVENTO="Manual",$M218=$A$15)),0,
         IF(OFFSET(CRONOPLE!$F$15,$M218-$A$15,CL$13)=0,10^12,OFFSET(CRONOPLE!$F$15,$M218-$A$15,CL$13)))</f>
        <v>20</v>
      </c>
      <c r="CM218" s="171">
        <f ca="1">IF(OR($D218&lt;&gt;"Serviço",AND(AUTOEVENTO="Manual",$M218=$A$15)),0,
         IF(OFFSET(CRONOPLE!$F$15,$M218-$A$15,CM$13)=0,10^12,OFFSET(CRONOPLE!$F$15,$M218-$A$15,CM$13)))</f>
        <v>1000000000000</v>
      </c>
      <c r="CN218" s="171">
        <f ca="1">IF(OR($D218&lt;&gt;"Serviço",AND(AUTOEVENTO="Manual",$M218=$A$15)),0,
         IF(OFFSET(CRONOPLE!$F$15,$M218-$A$15,CN$13)=0,10^12,OFFSET(CRONOPLE!$F$15,$M218-$A$15,CN$13)))</f>
        <v>1000000000000</v>
      </c>
      <c r="CO218" s="171">
        <f ca="1">IF(OR($D218&lt;&gt;"Serviço",AND(AUTOEVENTO="Manual",$M218=$A$15)),0,
         IF(OFFSET(CRONOPLE!$F$15,$M218-$A$15,CO$13)=0,10^12,OFFSET(CRONOPLE!$F$15,$M218-$A$15,CO$13)))</f>
        <v>1000000000000</v>
      </c>
      <c r="CP218" s="171">
        <f ca="1">IF(OR($D218&lt;&gt;"Serviço",AND(AUTOEVENTO="Manual",$M218=$A$15)),0,
         IF(OFFSET(CRONOPLE!$F$15,$M218-$A$15,CP$13)=0,10^12,OFFSET(CRONOPLE!$F$15,$M218-$A$15,CP$13)))</f>
        <v>1000000000000</v>
      </c>
      <c r="CQ218" s="171">
        <f ca="1">IF(OR($D218&lt;&gt;"Serviço",AND(AUTOEVENTO="Manual",$M218=$A$15)),0,
         IF(OFFSET(CRONOPLE!$F$15,$M218-$A$15,CQ$13)=0,10^12,OFFSET(CRONOPLE!$F$15,$M218-$A$15,CQ$13)))</f>
        <v>1000000000000</v>
      </c>
      <c r="CR218" s="171">
        <f ca="1">IF(OR($D218&lt;&gt;"Serviço",AND(AUTOEVENTO="Manual",$M218=$A$15)),0,
         IF(OFFSET(CRONOPLE!$F$15,$M218-$A$15,CR$13)=0,10^12,OFFSET(CRONOPLE!$F$15,$M218-$A$15,CR$13)))</f>
        <v>1000000000000</v>
      </c>
      <c r="CT218" s="172" cm="1">
        <f t="array" aca="1" ref="CT218" ca="1">IF(OR($D218&lt;&gt;"Serviço",AND(AUTOEVENTO="Manual",$M218=$A$15),$M218&gt;(ROW(PLE.lastrow)-ROW(PLE.firstrow))),0,
           IF(OFFSET(PLE!$G$15,$M218-$A$15,CT$13)="",10^12,OFFSET(PLE!$G$15,$M218-$A$15,CT$13)))</f>
        <v>1000000000000</v>
      </c>
      <c r="CU218" s="172" cm="1">
        <f t="array" aca="1" ref="CU218" ca="1">IF(OR($D218&lt;&gt;"Serviço",AND(AUTOEVENTO="Manual",$M218=$A$15),$M218&gt;(ROW(PLE.lastrow)-ROW(PLE.firstrow))),0,
           IF(OFFSET(PLE!$G$15,$M218-$A$15,CU$13)="",10^12,OFFSET(PLE!$G$15,$M218-$A$15,CU$13)))</f>
        <v>1000000000000</v>
      </c>
      <c r="CV218" s="172" cm="1">
        <f t="array" aca="1" ref="CV218" ca="1">IF(OR($D218&lt;&gt;"Serviço",AND(AUTOEVENTO="Manual",$M218=$A$15),$M218&gt;(ROW(PLE.lastrow)-ROW(PLE.firstrow))),0,
           IF(OFFSET(PLE!$G$15,$M218-$A$15,CV$13)="",10^12,OFFSET(PLE!$G$15,$M218-$A$15,CV$13)))</f>
        <v>1000000000000</v>
      </c>
      <c r="CW218" s="172" cm="1">
        <f t="array" aca="1" ref="CW218" ca="1">IF(OR($D218&lt;&gt;"Serviço",AND(AUTOEVENTO="Manual",$M218=$A$15),$M218&gt;(ROW(PLE.lastrow)-ROW(PLE.firstrow))),0,
           IF(OFFSET(PLE!$G$15,$M218-$A$15,CW$13)="",10^12,OFFSET(PLE!$G$15,$M218-$A$15,CW$13)))</f>
        <v>1000000000000</v>
      </c>
      <c r="CX218" s="172" cm="1">
        <f t="array" aca="1" ref="CX218" ca="1">IF(OR($D218&lt;&gt;"Serviço",AND(AUTOEVENTO="Manual",$M218=$A$15),$M218&gt;(ROW(PLE.lastrow)-ROW(PLE.firstrow))),0,
           IF(OFFSET(PLE!$G$15,$M218-$A$15,CX$13)="",10^12,OFFSET(PLE!$G$15,$M218-$A$15,CX$13)))</f>
        <v>1000000000000</v>
      </c>
      <c r="CY218" s="172" cm="1">
        <f t="array" aca="1" ref="CY218" ca="1">IF(OR($D218&lt;&gt;"Serviço",AND(AUTOEVENTO="Manual",$M218=$A$15),$M218&gt;(ROW(PLE.lastrow)-ROW(PLE.firstrow))),0,
           IF(OFFSET(PLE!$G$15,$M218-$A$15,CY$13)="",10^12,OFFSET(PLE!$G$15,$M218-$A$15,CY$13)))</f>
        <v>1000000000000</v>
      </c>
      <c r="CZ218" s="172" cm="1">
        <f t="array" aca="1" ref="CZ218" ca="1">IF(OR($D218&lt;&gt;"Serviço",AND(AUTOEVENTO="Manual",$M218=$A$15),$M218&gt;(ROW(PLE.lastrow)-ROW(PLE.firstrow))),0,
           IF(OFFSET(PLE!$G$15,$M218-$A$15,CZ$13)="",10^12,OFFSET(PLE!$G$15,$M218-$A$15,CZ$13)))</f>
        <v>1000000000000</v>
      </c>
      <c r="DA218" s="172" cm="1">
        <f t="array" aca="1" ref="DA218" ca="1">IF(OR($D218&lt;&gt;"Serviço",AND(AUTOEVENTO="Manual",$M218=$A$15),$M218&gt;(ROW(PLE.lastrow)-ROW(PLE.firstrow))),0,
           IF(OFFSET(PLE!$G$15,$M218-$A$15,DA$13)="",10^12,OFFSET(PLE!$G$15,$M218-$A$15,DA$13)))</f>
        <v>1000000000000</v>
      </c>
      <c r="DB218" s="172" cm="1">
        <f t="array" aca="1" ref="DB218" ca="1">IF(OR($D218&lt;&gt;"Serviço",AND(AUTOEVENTO="Manual",$M218=$A$15),$M218&gt;(ROW(PLE.lastrow)-ROW(PLE.firstrow))),0,
           IF(OFFSET(PLE!$G$15,$M218-$A$15,DB$13)="",10^12,OFFSET(PLE!$G$15,$M218-$A$15,DB$13)))</f>
        <v>1000000000000</v>
      </c>
      <c r="DC218" s="172" cm="1">
        <f t="array" aca="1" ref="DC218" ca="1">IF(OR($D218&lt;&gt;"Serviço",AND(AUTOEVENTO="Manual",$M218=$A$15),$M218&gt;(ROW(PLE.lastrow)-ROW(PLE.firstrow))),0,
           IF(OFFSET(PLE!$G$15,$M218-$A$15,DC$13)="",10^12,OFFSET(PLE!$G$15,$M218-$A$15,DC$13)))</f>
        <v>1000000000000</v>
      </c>
      <c r="DD218" s="172" cm="1">
        <f t="array" aca="1" ref="DD218" ca="1">IF(OR($D218&lt;&gt;"Serviço",AND(AUTOEVENTO="Manual",$M218=$A$15),$M218&gt;(ROW(PLE.lastrow)-ROW(PLE.firstrow))),0,
           IF(OFFSET(PLE!$G$15,$M218-$A$15,DD$13)="",10^12,OFFSET(PLE!$G$15,$M218-$A$15,DD$13)))</f>
        <v>1000000000000</v>
      </c>
      <c r="DE218" s="172" cm="1">
        <f t="array" aca="1" ref="DE218" ca="1">IF(OR($D218&lt;&gt;"Serviço",AND(AUTOEVENTO="Manual",$M218=$A$15),$M218&gt;(ROW(PLE.lastrow)-ROW(PLE.firstrow))),0,
           IF(OFFSET(PLE!$G$15,$M218-$A$15,DE$13)="",10^12,OFFSET(PLE!$G$15,$M218-$A$15,DE$13)))</f>
        <v>1000000000000</v>
      </c>
      <c r="DF218" s="172" cm="1">
        <f t="array" aca="1" ref="DF218" ca="1">IF(OR($D218&lt;&gt;"Serviço",AND(AUTOEVENTO="Manual",$M218=$A$15),$M218&gt;(ROW(PLE.lastrow)-ROW(PLE.firstrow))),0,
           IF(OFFSET(PLE!$G$15,$M218-$A$15,DF$13)="",10^12,OFFSET(PLE!$G$15,$M218-$A$15,DF$13)))</f>
        <v>1000000000000</v>
      </c>
      <c r="DG218" s="172" cm="1">
        <f t="array" aca="1" ref="DG218" ca="1">IF(OR($D218&lt;&gt;"Serviço",AND(AUTOEVENTO="Manual",$M218=$A$15),$M218&gt;(ROW(PLE.lastrow)-ROW(PLE.firstrow))),0,
           IF(OFFSET(PLE!$G$15,$M218-$A$15,DG$13)="",10^12,OFFSET(PLE!$G$15,$M218-$A$15,DG$13)))</f>
        <v>1000000000000</v>
      </c>
      <c r="DH218" s="172" cm="1">
        <f t="array" aca="1" ref="DH218" ca="1">IF(OR($D218&lt;&gt;"Serviço",AND(AUTOEVENTO="Manual",$M218=$A$15),$M218&gt;(ROW(PLE.lastrow)-ROW(PLE.firstrow))),0,
           IF(OFFSET(PLE!$G$15,$M218-$A$15,DH$13)="",10^12,OFFSET(PLE!$G$15,$M218-$A$15,DH$13)))</f>
        <v>1000000000000</v>
      </c>
      <c r="DI218" s="172" cm="1">
        <f t="array" aca="1" ref="DI218" ca="1">IF(OR($D218&lt;&gt;"Serviço",AND(AUTOEVENTO="Manual",$M218=$A$15),$M218&gt;(ROW(PLE.lastrow)-ROW(PLE.firstrow))),0,
           IF(OFFSET(PLE!$G$15,$M218-$A$15,DI$13)="",10^12,OFFSET(PLE!$G$15,$M218-$A$15,DI$13)))</f>
        <v>1000000000000</v>
      </c>
      <c r="DJ218" s="172" cm="1">
        <f t="array" aca="1" ref="DJ218" ca="1">IF(OR($D218&lt;&gt;"Serviço",AND(AUTOEVENTO="Manual",$M218=$A$15),$M218&gt;(ROW(PLE.lastrow)-ROW(PLE.firstrow))),0,
           IF(OFFSET(PLE!$G$15,$M218-$A$15,DJ$13)="",10^12,OFFSET(PLE!$G$15,$M218-$A$15,DJ$13)))</f>
        <v>1000000000000</v>
      </c>
      <c r="DK218" s="172" cm="1">
        <f t="array" aca="1" ref="DK218" ca="1">IF(OR($D218&lt;&gt;"Serviço",AND(AUTOEVENTO="Manual",$M218=$A$15),$M218&gt;(ROW(PLE.lastrow)-ROW(PLE.firstrow))),0,
           IF(OFFSET(PLE!$G$15,$M218-$A$15,DK$13)="",10^12,OFFSET(PLE!$G$15,$M218-$A$15,DK$13)))</f>
        <v>1000000000000</v>
      </c>
      <c r="DL218" s="172" cm="1">
        <f t="array" aca="1" ref="DL218" ca="1">IF(OR($D218&lt;&gt;"Serviço",AND(AUTOEVENTO="Manual",$M218=$A$15),$M218&gt;(ROW(PLE.lastrow)-ROW(PLE.firstrow))),0,
           IF(OFFSET(PLE!$G$15,$M218-$A$15,DL$13)="",10^12,OFFSET(PLE!$G$15,$M218-$A$15,DL$13)))</f>
        <v>1000000000000</v>
      </c>
      <c r="DM218" s="172" cm="1">
        <f t="array" aca="1" ref="DM218" ca="1">IF(OR($D218&lt;&gt;"Serviço",AND(AUTOEVENTO="Manual",$M218=$A$15),$M218&gt;(ROW(PLE.lastrow)-ROW(PLE.firstrow))),0,
           IF(OFFSET(PLE!$G$15,$M218-$A$15,DM$13)="",10^12,OFFSET(PLE!$G$15,$M218-$A$15,DM$13)))</f>
        <v>1000000000000</v>
      </c>
      <c r="DN218" s="172" cm="1">
        <f t="array" aca="1" ref="DN218" ca="1">IF(OR($D218&lt;&gt;"Serviço",AND(AUTOEVENTO="Manual",$M218=$A$15),$M218&gt;(ROW(PLE.lastrow)-ROW(PLE.firstrow))),0,
           IF(OFFSET(PLE!$G$15,$M218-$A$15,DN$13)="",10^12,OFFSET(PLE!$G$15,$M218-$A$15,DN$13)))</f>
        <v>1000000000000</v>
      </c>
      <c r="DO218" s="172" cm="1">
        <f t="array" aca="1" ref="DO218" ca="1">IF(OR($D218&lt;&gt;"Serviço",AND(AUTOEVENTO="Manual",$M218=$A$15),$M218&gt;(ROW(PLE.lastrow)-ROW(PLE.firstrow))),0,
           IF(OFFSET(PLE!$G$15,$M218-$A$15,DO$13)="",10^12,OFFSET(PLE!$G$15,$M218-$A$15,DO$13)))</f>
        <v>1000000000000</v>
      </c>
      <c r="DP218" s="172" cm="1">
        <f t="array" aca="1" ref="DP218" ca="1">IF(OR($D218&lt;&gt;"Serviço",AND(AUTOEVENTO="Manual",$M218=$A$15),$M218&gt;(ROW(PLE.lastrow)-ROW(PLE.firstrow))),0,
           IF(OFFSET(PLE!$G$15,$M218-$A$15,DP$13)="",10^12,OFFSET(PLE!$G$15,$M218-$A$15,DP$13)))</f>
        <v>1000000000000</v>
      </c>
      <c r="DQ218" s="172" cm="1">
        <f t="array" aca="1" ref="DQ218" ca="1">IF(OR($D218&lt;&gt;"Serviço",AND(AUTOEVENTO="Manual",$M218=$A$15),$M218&gt;(ROW(PLE.lastrow)-ROW(PLE.firstrow))),0,
           IF(OFFSET(PLE!$G$15,$M218-$A$15,DQ$13)="",10^12,OFFSET(PLE!$G$15,$M218-$A$15,DQ$13)))</f>
        <v>1000000000000</v>
      </c>
      <c r="DR218" s="172" cm="1">
        <f t="array" aca="1" ref="DR218" ca="1">IF(OR($D218&lt;&gt;"Serviço",AND(AUTOEVENTO="Manual",$M218=$A$15),$M218&gt;(ROW(PLE.lastrow)-ROW(PLE.firstrow))),0,
           IF(OFFSET(PLE!$G$15,$M218-$A$15,DR$13)="",10^12,OFFSET(PLE!$G$15,$M218-$A$15,DR$13)))</f>
        <v>1000000000000</v>
      </c>
      <c r="DS218" s="172" cm="1">
        <f t="array" aca="1" ref="DS218" ca="1">IF(OR($D218&lt;&gt;"Serviço",AND(AUTOEVENTO="Manual",$M218=$A$15),$M218&gt;(ROW(PLE.lastrow)-ROW(PLE.firstrow))),0,
           IF(OFFSET(PLE!$G$15,$M218-$A$15,DS$13)="",10^12,OFFSET(PLE!$G$15,$M218-$A$15,DS$13)))</f>
        <v>1000000000000</v>
      </c>
    </row>
    <row r="219" spans="1:123" ht="38.25" x14ac:dyDescent="0.2">
      <c r="A219" s="7">
        <f t="shared" ca="1" si="19"/>
        <v>9</v>
      </c>
      <c r="B219" s="7" t="str">
        <f ca="1">OFFSET(ORÇAMENTO!C$15,$L219,0)</f>
        <v>S</v>
      </c>
      <c r="C219" s="7" t="str">
        <f ca="1">OFFSET(ORÇAMENTO!L$15,$L219,0)</f>
        <v/>
      </c>
      <c r="D219" s="116" t="str">
        <f ca="1">OFFSET(ORÇAMENTO!N$15,$L219,0)</f>
        <v>Serviço</v>
      </c>
      <c r="E219" s="117" t="str">
        <f ca="1">OFFSET(ORÇAMENTO!O$15,$L219,0)</f>
        <v>-</v>
      </c>
      <c r="F219" s="163" t="str">
        <f ca="1">OFFSET(ORÇAMENTO!R$15,$L219,0)</f>
        <v>(Código não identificado nas referências)</v>
      </c>
      <c r="G219" s="164" t="str">
        <f ca="1">IF($D219&lt;&gt;"Serviço","",OFFSET(ORÇAMENTO!S$15,$L219,0))</f>
        <v>-</v>
      </c>
      <c r="H219" s="122" cm="1">
        <f t="array" aca="1" ref="H219" ca="1">IF($D219&lt;&gt;"Serviço",0,IF(ACOMPANHAMENTO="BM",ROUND(OFFSET(ORÇAMENTO!AJ$15,$L219,0),15-13*ORÇAMENTO!$AF$7),IF(IFERROR(CÁLCULO.FrentesPreenchidas,0)=0,0,SUM(ROUND(OFFSET($P219,0,1,1,CÁLCULO.FrentesPreenchidas),15-13*ORÇAMENTO!$AF$7)))))</f>
        <v>20</v>
      </c>
      <c r="I219" s="468" t="s">
        <v>1235</v>
      </c>
      <c r="J219" s="651" t="str" cm="1">
        <f t="array" aca="1" ref="J219" ca="1">IF(OR(B219&lt;&gt;"S",CÁLCULO.FrentesPreenchidas=0),"",IF(AND(ACOMPANHAMENTO="PLE",AUTOEVENTO="Manual",OR(H219&gt;0,ORÇAMENTO!AC219="QUANT."),OR(K219="",M219=0,N219="")),"►E",IF(AND(ACOMPANHAMENTO="PLE",ORÇAMENTO!AC219="QUANT."),"►Q",IF(AND(ACOMPANHAMENTO="PLE",H219&lt;&gt;SUMPRODUCT(($Q$1:$AQ$1=1)*ROUND(Q219:AQ219,15))),"►S",IF(AND(COUNTIF($P$11:$AQ$11,"▼")=0,H219&gt;0,I219=""),"◄M","")))))</f>
        <v/>
      </c>
      <c r="K219" s="652" t="s">
        <v>1257</v>
      </c>
      <c r="L219" s="165">
        <f t="shared" ca="1" si="20"/>
        <v>204</v>
      </c>
      <c r="M219" s="166">
        <f ca="1">IF($D219&lt;&gt;"Serviço","",
          IF(AUTOEVENTO="manual",$A219,
                IF(ISERROR(MATCH($A219,$A$15:OFFSET($A219,-1,0),0)),MAX($M$15:OFFSET(M219,-1,0))+1,
                      INDEX($M$15:OFFSET(M219,-1,0),MATCH($A219,$A$15:OFFSET($A219,-1,0),0)))))</f>
        <v>9</v>
      </c>
      <c r="N219" s="167" t="str">
        <f ca="1">IF($D219&lt;&gt;"Serviço","",
         IF(AUTOEVENTO="Manual",
                IF($A219=0,"&lt;-- defina o número do agrupador",
                       OFFSET(EVENTOS!$D$15,$A219-$A$15,0)),
                OFFSET($F$15,$A219,0)))</f>
        <v>INSTALAÇÕES</v>
      </c>
      <c r="O219" s="168"/>
      <c r="Q219" s="168">
        <v>1</v>
      </c>
      <c r="R219" s="169">
        <v>1</v>
      </c>
      <c r="S219" s="169">
        <v>1</v>
      </c>
      <c r="T219" s="169">
        <v>1</v>
      </c>
      <c r="U219" s="169">
        <v>1</v>
      </c>
      <c r="V219" s="169">
        <v>1</v>
      </c>
      <c r="W219" s="169">
        <v>1</v>
      </c>
      <c r="X219" s="169">
        <v>1</v>
      </c>
      <c r="Y219" s="169">
        <v>1</v>
      </c>
      <c r="Z219" s="170">
        <v>1</v>
      </c>
      <c r="AA219" s="169">
        <v>1</v>
      </c>
      <c r="AB219" s="169">
        <v>1</v>
      </c>
      <c r="AC219" s="169">
        <v>1</v>
      </c>
      <c r="AD219" s="169">
        <v>1</v>
      </c>
      <c r="AE219" s="169">
        <v>1</v>
      </c>
      <c r="AF219" s="169">
        <v>1</v>
      </c>
      <c r="AG219" s="169">
        <v>1</v>
      </c>
      <c r="AH219" s="170">
        <v>1</v>
      </c>
      <c r="AI219" s="169">
        <v>1</v>
      </c>
      <c r="AJ219" s="169">
        <v>1</v>
      </c>
      <c r="AK219" s="169"/>
      <c r="AL219" s="169"/>
      <c r="AM219" s="169"/>
      <c r="AN219" s="169"/>
      <c r="AO219" s="169"/>
      <c r="AP219" s="170"/>
      <c r="AR219" s="453">
        <f ca="1">IF(AND($D219="Serviço",AR$12&lt;&gt;0,$H219&gt;0,OR(AUTOEVENTO&lt;&gt;"manual",$M219&lt;&gt;$A$15)),
        IF(Import.TipoArredondamento&lt;&gt;"TransfereGOV",
              ROUND(OFFSET($P219,0,AR$13),15-13*ORÇAMENTO!$AF$7)/$H219*OFFSET(ORÇAMENTO!$X$15,ROW(AR219)-ROW(AR$15),0),
              ROUND(ROUND(OFFSET($P219,0,AR$13),15-13*ORÇAMENTO!$AF$7)*OFFSET(ORÇAMENTO!$W$15,ROW(AR219)-ROW(AR$15),0),15-13*ORÇAMENTO!$AF$11)),
         0)</f>
        <v>0</v>
      </c>
      <c r="AS219" s="453">
        <f ca="1">IF(AND($D219="Serviço",AS$12&lt;&gt;0,$H219&gt;0,OR(AUTOEVENTO&lt;&gt;"manual",$M219&lt;&gt;$A$15)),
        IF(Import.TipoArredondamento&lt;&gt;"TransfereGOV",
              ROUND(OFFSET($P219,0,AS$13),15-13*ORÇAMENTO!$AF$7)/$H219*OFFSET(ORÇAMENTO!$X$15,ROW(AS219)-ROW(AS$15),0),
              ROUND(ROUND(OFFSET($P219,0,AS$13),15-13*ORÇAMENTO!$AF$7)*OFFSET(ORÇAMENTO!$W$15,ROW(AS219)-ROW(AS$15),0),15-13*ORÇAMENTO!$AF$11)),
         0)</f>
        <v>0</v>
      </c>
      <c r="AT219" s="453">
        <f ca="1">IF(AND($D219="Serviço",AT$12&lt;&gt;0,$H219&gt;0,OR(AUTOEVENTO&lt;&gt;"manual",$M219&lt;&gt;$A$15)),
        IF(Import.TipoArredondamento&lt;&gt;"TransfereGOV",
              ROUND(OFFSET($P219,0,AT$13),15-13*ORÇAMENTO!$AF$7)/$H219*OFFSET(ORÇAMENTO!$X$15,ROW(AT219)-ROW(AT$15),0),
              ROUND(ROUND(OFFSET($P219,0,AT$13),15-13*ORÇAMENTO!$AF$7)*OFFSET(ORÇAMENTO!$W$15,ROW(AT219)-ROW(AT$15),0),15-13*ORÇAMENTO!$AF$11)),
         0)</f>
        <v>0</v>
      </c>
      <c r="AU219" s="453">
        <f ca="1">IF(AND($D219="Serviço",AU$12&lt;&gt;0,$H219&gt;0,OR(AUTOEVENTO&lt;&gt;"manual",$M219&lt;&gt;$A$15)),
        IF(Import.TipoArredondamento&lt;&gt;"TransfereGOV",
              ROUND(OFFSET($P219,0,AU$13),15-13*ORÇAMENTO!$AF$7)/$H219*OFFSET(ORÇAMENTO!$X$15,ROW(AU219)-ROW(AU$15),0),
              ROUND(ROUND(OFFSET($P219,0,AU$13),15-13*ORÇAMENTO!$AF$7)*OFFSET(ORÇAMENTO!$W$15,ROW(AU219)-ROW(AU$15),0),15-13*ORÇAMENTO!$AF$11)),
         0)</f>
        <v>0</v>
      </c>
      <c r="AV219" s="453">
        <f ca="1">IF(AND($D219="Serviço",AV$12&lt;&gt;0,$H219&gt;0,OR(AUTOEVENTO&lt;&gt;"manual",$M219&lt;&gt;$A$15)),
        IF(Import.TipoArredondamento&lt;&gt;"TransfereGOV",
              ROUND(OFFSET($P219,0,AV$13),15-13*ORÇAMENTO!$AF$7)/$H219*OFFSET(ORÇAMENTO!$X$15,ROW(AV219)-ROW(AV$15),0),
              ROUND(ROUND(OFFSET($P219,0,AV$13),15-13*ORÇAMENTO!$AF$7)*OFFSET(ORÇAMENTO!$W$15,ROW(AV219)-ROW(AV$15),0),15-13*ORÇAMENTO!$AF$11)),
         0)</f>
        <v>0</v>
      </c>
      <c r="AW219" s="453">
        <f ca="1">IF(AND($D219="Serviço",AW$12&lt;&gt;0,$H219&gt;0,OR(AUTOEVENTO&lt;&gt;"manual",$M219&lt;&gt;$A$15)),
        IF(Import.TipoArredondamento&lt;&gt;"TransfereGOV",
              ROUND(OFFSET($P219,0,AW$13),15-13*ORÇAMENTO!$AF$7)/$H219*OFFSET(ORÇAMENTO!$X$15,ROW(AW219)-ROW(AW$15),0),
              ROUND(ROUND(OFFSET($P219,0,AW$13),15-13*ORÇAMENTO!$AF$7)*OFFSET(ORÇAMENTO!$W$15,ROW(AW219)-ROW(AW$15),0),15-13*ORÇAMENTO!$AF$11)),
         0)</f>
        <v>0</v>
      </c>
      <c r="AX219" s="453">
        <f ca="1">IF(AND($D219="Serviço",AX$12&lt;&gt;0,$H219&gt;0,OR(AUTOEVENTO&lt;&gt;"manual",$M219&lt;&gt;$A$15)),
        IF(Import.TipoArredondamento&lt;&gt;"TransfereGOV",
              ROUND(OFFSET($P219,0,AX$13),15-13*ORÇAMENTO!$AF$7)/$H219*OFFSET(ORÇAMENTO!$X$15,ROW(AX219)-ROW(AX$15),0),
              ROUND(ROUND(OFFSET($P219,0,AX$13),15-13*ORÇAMENTO!$AF$7)*OFFSET(ORÇAMENTO!$W$15,ROW(AX219)-ROW(AX$15),0),15-13*ORÇAMENTO!$AF$11)),
         0)</f>
        <v>0</v>
      </c>
      <c r="AY219" s="453">
        <f ca="1">IF(AND($D219="Serviço",AY$12&lt;&gt;0,$H219&gt;0,OR(AUTOEVENTO&lt;&gt;"manual",$M219&lt;&gt;$A$15)),
        IF(Import.TipoArredondamento&lt;&gt;"TransfereGOV",
              ROUND(OFFSET($P219,0,AY$13),15-13*ORÇAMENTO!$AF$7)/$H219*OFFSET(ORÇAMENTO!$X$15,ROW(AY219)-ROW(AY$15),0),
              ROUND(ROUND(OFFSET($P219,0,AY$13),15-13*ORÇAMENTO!$AF$7)*OFFSET(ORÇAMENTO!$W$15,ROW(AY219)-ROW(AY$15),0),15-13*ORÇAMENTO!$AF$11)),
         0)</f>
        <v>0</v>
      </c>
      <c r="AZ219" s="453">
        <f ca="1">IF(AND($D219="Serviço",AZ$12&lt;&gt;0,$H219&gt;0,OR(AUTOEVENTO&lt;&gt;"manual",$M219&lt;&gt;$A$15)),
        IF(Import.TipoArredondamento&lt;&gt;"TransfereGOV",
              ROUND(OFFSET($P219,0,AZ$13),15-13*ORÇAMENTO!$AF$7)/$H219*OFFSET(ORÇAMENTO!$X$15,ROW(AZ219)-ROW(AZ$15),0),
              ROUND(ROUND(OFFSET($P219,0,AZ$13),15-13*ORÇAMENTO!$AF$7)*OFFSET(ORÇAMENTO!$W$15,ROW(AZ219)-ROW(AZ$15),0),15-13*ORÇAMENTO!$AF$11)),
         0)</f>
        <v>0</v>
      </c>
      <c r="BA219" s="453">
        <f ca="1">IF(AND($D219="Serviço",BA$12&lt;&gt;0,$H219&gt;0,OR(AUTOEVENTO&lt;&gt;"manual",$M219&lt;&gt;$A$15)),
        IF(Import.TipoArredondamento&lt;&gt;"TransfereGOV",
              ROUND(OFFSET($P219,0,BA$13),15-13*ORÇAMENTO!$AF$7)/$H219*OFFSET(ORÇAMENTO!$X$15,ROW(BA219)-ROW(BA$15),0),
              ROUND(ROUND(OFFSET($P219,0,BA$13),15-13*ORÇAMENTO!$AF$7)*OFFSET(ORÇAMENTO!$W$15,ROW(BA219)-ROW(BA$15),0),15-13*ORÇAMENTO!$AF$11)),
         0)</f>
        <v>0</v>
      </c>
      <c r="BB219" s="453">
        <f ca="1">IF(AND($D219="Serviço",BB$12&lt;&gt;0,$H219&gt;0,OR(AUTOEVENTO&lt;&gt;"manual",$M219&lt;&gt;$A$15)),
        IF(Import.TipoArredondamento&lt;&gt;"TransfereGOV",
              ROUND(OFFSET($P219,0,BB$13),15-13*ORÇAMENTO!$AF$7)/$H219*OFFSET(ORÇAMENTO!$X$15,ROW(BB219)-ROW(BB$15),0),
              ROUND(ROUND(OFFSET($P219,0,BB$13),15-13*ORÇAMENTO!$AF$7)*OFFSET(ORÇAMENTO!$W$15,ROW(BB219)-ROW(BB$15),0),15-13*ORÇAMENTO!$AF$11)),
         0)</f>
        <v>0</v>
      </c>
      <c r="BC219" s="453">
        <f ca="1">IF(AND($D219="Serviço",BC$12&lt;&gt;0,$H219&gt;0,OR(AUTOEVENTO&lt;&gt;"manual",$M219&lt;&gt;$A$15)),
        IF(Import.TipoArredondamento&lt;&gt;"TransfereGOV",
              ROUND(OFFSET($P219,0,BC$13),15-13*ORÇAMENTO!$AF$7)/$H219*OFFSET(ORÇAMENTO!$X$15,ROW(BC219)-ROW(BC$15),0),
              ROUND(ROUND(OFFSET($P219,0,BC$13),15-13*ORÇAMENTO!$AF$7)*OFFSET(ORÇAMENTO!$W$15,ROW(BC219)-ROW(BC$15),0),15-13*ORÇAMENTO!$AF$11)),
         0)</f>
        <v>0</v>
      </c>
      <c r="BD219" s="453">
        <f ca="1">IF(AND($D219="Serviço",BD$12&lt;&gt;0,$H219&gt;0,OR(AUTOEVENTO&lt;&gt;"manual",$M219&lt;&gt;$A$15)),
        IF(Import.TipoArredondamento&lt;&gt;"TransfereGOV",
              ROUND(OFFSET($P219,0,BD$13),15-13*ORÇAMENTO!$AF$7)/$H219*OFFSET(ORÇAMENTO!$X$15,ROW(BD219)-ROW(BD$15),0),
              ROUND(ROUND(OFFSET($P219,0,BD$13),15-13*ORÇAMENTO!$AF$7)*OFFSET(ORÇAMENTO!$W$15,ROW(BD219)-ROW(BD$15),0),15-13*ORÇAMENTO!$AF$11)),
         0)</f>
        <v>0</v>
      </c>
      <c r="BE219" s="453">
        <f ca="1">IF(AND($D219="Serviço",BE$12&lt;&gt;0,$H219&gt;0,OR(AUTOEVENTO&lt;&gt;"manual",$M219&lt;&gt;$A$15)),
        IF(Import.TipoArredondamento&lt;&gt;"TransfereGOV",
              ROUND(OFFSET($P219,0,BE$13),15-13*ORÇAMENTO!$AF$7)/$H219*OFFSET(ORÇAMENTO!$X$15,ROW(BE219)-ROW(BE$15),0),
              ROUND(ROUND(OFFSET($P219,0,BE$13),15-13*ORÇAMENTO!$AF$7)*OFFSET(ORÇAMENTO!$W$15,ROW(BE219)-ROW(BE$15),0),15-13*ORÇAMENTO!$AF$11)),
         0)</f>
        <v>0</v>
      </c>
      <c r="BF219" s="453">
        <f ca="1">IF(AND($D219="Serviço",BF$12&lt;&gt;0,$H219&gt;0,OR(AUTOEVENTO&lt;&gt;"manual",$M219&lt;&gt;$A$15)),
        IF(Import.TipoArredondamento&lt;&gt;"TransfereGOV",
              ROUND(OFFSET($P219,0,BF$13),15-13*ORÇAMENTO!$AF$7)/$H219*OFFSET(ORÇAMENTO!$X$15,ROW(BF219)-ROW(BF$15),0),
              ROUND(ROUND(OFFSET($P219,0,BF$13),15-13*ORÇAMENTO!$AF$7)*OFFSET(ORÇAMENTO!$W$15,ROW(BF219)-ROW(BF$15),0),15-13*ORÇAMENTO!$AF$11)),
         0)</f>
        <v>0</v>
      </c>
      <c r="BG219" s="453">
        <f ca="1">IF(AND($D219="Serviço",BG$12&lt;&gt;0,$H219&gt;0,OR(AUTOEVENTO&lt;&gt;"manual",$M219&lt;&gt;$A$15)),
        IF(Import.TipoArredondamento&lt;&gt;"TransfereGOV",
              ROUND(OFFSET($P219,0,BG$13),15-13*ORÇAMENTO!$AF$7)/$H219*OFFSET(ORÇAMENTO!$X$15,ROW(BG219)-ROW(BG$15),0),
              ROUND(ROUND(OFFSET($P219,0,BG$13),15-13*ORÇAMENTO!$AF$7)*OFFSET(ORÇAMENTO!$W$15,ROW(BG219)-ROW(BG$15),0),15-13*ORÇAMENTO!$AF$11)),
         0)</f>
        <v>0</v>
      </c>
      <c r="BH219" s="453">
        <f ca="1">IF(AND($D219="Serviço",BH$12&lt;&gt;0,$H219&gt;0,OR(AUTOEVENTO&lt;&gt;"manual",$M219&lt;&gt;$A$15)),
        IF(Import.TipoArredondamento&lt;&gt;"TransfereGOV",
              ROUND(OFFSET($P219,0,BH$13),15-13*ORÇAMENTO!$AF$7)/$H219*OFFSET(ORÇAMENTO!$X$15,ROW(BH219)-ROW(BH$15),0),
              ROUND(ROUND(OFFSET($P219,0,BH$13),15-13*ORÇAMENTO!$AF$7)*OFFSET(ORÇAMENTO!$W$15,ROW(BH219)-ROW(BH$15),0),15-13*ORÇAMENTO!$AF$11)),
         0)</f>
        <v>0</v>
      </c>
      <c r="BI219" s="453">
        <f ca="1">IF(AND($D219="Serviço",BI$12&lt;&gt;0,$H219&gt;0,OR(AUTOEVENTO&lt;&gt;"manual",$M219&lt;&gt;$A$15)),
        IF(Import.TipoArredondamento&lt;&gt;"TransfereGOV",
              ROUND(OFFSET($P219,0,BI$13),15-13*ORÇAMENTO!$AF$7)/$H219*OFFSET(ORÇAMENTO!$X$15,ROW(BI219)-ROW(BI$15),0),
              ROUND(ROUND(OFFSET($P219,0,BI$13),15-13*ORÇAMENTO!$AF$7)*OFFSET(ORÇAMENTO!$W$15,ROW(BI219)-ROW(BI$15),0),15-13*ORÇAMENTO!$AF$11)),
         0)</f>
        <v>0</v>
      </c>
      <c r="BJ219" s="453">
        <f ca="1">IF(AND($D219="Serviço",BJ$12&lt;&gt;0,$H219&gt;0,OR(AUTOEVENTO&lt;&gt;"manual",$M219&lt;&gt;$A$15)),
        IF(Import.TipoArredondamento&lt;&gt;"TransfereGOV",
              ROUND(OFFSET($P219,0,BJ$13),15-13*ORÇAMENTO!$AF$7)/$H219*OFFSET(ORÇAMENTO!$X$15,ROW(BJ219)-ROW(BJ$15),0),
              ROUND(ROUND(OFFSET($P219,0,BJ$13),15-13*ORÇAMENTO!$AF$7)*OFFSET(ORÇAMENTO!$W$15,ROW(BJ219)-ROW(BJ$15),0),15-13*ORÇAMENTO!$AF$11)),
         0)</f>
        <v>0</v>
      </c>
      <c r="BK219" s="453">
        <f ca="1">IF(AND($D219="Serviço",BK$12&lt;&gt;0,$H219&gt;0,OR(AUTOEVENTO&lt;&gt;"manual",$M219&lt;&gt;$A$15)),
        IF(Import.TipoArredondamento&lt;&gt;"TransfereGOV",
              ROUND(OFFSET($P219,0,BK$13),15-13*ORÇAMENTO!$AF$7)/$H219*OFFSET(ORÇAMENTO!$X$15,ROW(BK219)-ROW(BK$15),0),
              ROUND(ROUND(OFFSET($P219,0,BK$13),15-13*ORÇAMENTO!$AF$7)*OFFSET(ORÇAMENTO!$W$15,ROW(BK219)-ROW(BK$15),0),15-13*ORÇAMENTO!$AF$11)),
         0)</f>
        <v>0</v>
      </c>
      <c r="BL219" s="453">
        <f ca="1">IF(AND($D219="Serviço",BL$12&lt;&gt;0,$H219&gt;0,OR(AUTOEVENTO&lt;&gt;"manual",$M219&lt;&gt;$A$15)),
        IF(Import.TipoArredondamento&lt;&gt;"TransfereGOV",
              ROUND(OFFSET($P219,0,BL$13),15-13*ORÇAMENTO!$AF$7)/$H219*OFFSET(ORÇAMENTO!$X$15,ROW(BL219)-ROW(BL$15),0),
              ROUND(ROUND(OFFSET($P219,0,BL$13),15-13*ORÇAMENTO!$AF$7)*OFFSET(ORÇAMENTO!$W$15,ROW(BL219)-ROW(BL$15),0),15-13*ORÇAMENTO!$AF$11)),
         0)</f>
        <v>0</v>
      </c>
      <c r="BM219" s="453">
        <f ca="1">IF(AND($D219="Serviço",BM$12&lt;&gt;0,$H219&gt;0,OR(AUTOEVENTO&lt;&gt;"manual",$M219&lt;&gt;$A$15)),
        IF(Import.TipoArredondamento&lt;&gt;"TransfereGOV",
              ROUND(OFFSET($P219,0,BM$13),15-13*ORÇAMENTO!$AF$7)/$H219*OFFSET(ORÇAMENTO!$X$15,ROW(BM219)-ROW(BM$15),0),
              ROUND(ROUND(OFFSET($P219,0,BM$13),15-13*ORÇAMENTO!$AF$7)*OFFSET(ORÇAMENTO!$W$15,ROW(BM219)-ROW(BM$15),0),15-13*ORÇAMENTO!$AF$11)),
         0)</f>
        <v>0</v>
      </c>
      <c r="BN219" s="453">
        <f ca="1">IF(AND($D219="Serviço",BN$12&lt;&gt;0,$H219&gt;0,OR(AUTOEVENTO&lt;&gt;"manual",$M219&lt;&gt;$A$15)),
        IF(Import.TipoArredondamento&lt;&gt;"TransfereGOV",
              ROUND(OFFSET($P219,0,BN$13),15-13*ORÇAMENTO!$AF$7)/$H219*OFFSET(ORÇAMENTO!$X$15,ROW(BN219)-ROW(BN$15),0),
              ROUND(ROUND(OFFSET($P219,0,BN$13),15-13*ORÇAMENTO!$AF$7)*OFFSET(ORÇAMENTO!$W$15,ROW(BN219)-ROW(BN$15),0),15-13*ORÇAMENTO!$AF$11)),
         0)</f>
        <v>0</v>
      </c>
      <c r="BO219" s="453">
        <f ca="1">IF(AND($D219="Serviço",BO$12&lt;&gt;0,$H219&gt;0,OR(AUTOEVENTO&lt;&gt;"manual",$M219&lt;&gt;$A$15)),
        IF(Import.TipoArredondamento&lt;&gt;"TransfereGOV",
              ROUND(OFFSET($P219,0,BO$13),15-13*ORÇAMENTO!$AF$7)/$H219*OFFSET(ORÇAMENTO!$X$15,ROW(BO219)-ROW(BO$15),0),
              ROUND(ROUND(OFFSET($P219,0,BO$13),15-13*ORÇAMENTO!$AF$7)*OFFSET(ORÇAMENTO!$W$15,ROW(BO219)-ROW(BO$15),0),15-13*ORÇAMENTO!$AF$11)),
         0)</f>
        <v>0</v>
      </c>
      <c r="BP219" s="453">
        <f ca="1">IF(AND($D219="Serviço",BP$12&lt;&gt;0,$H219&gt;0,OR(AUTOEVENTO&lt;&gt;"manual",$M219&lt;&gt;$A$15)),
        IF(Import.TipoArredondamento&lt;&gt;"TransfereGOV",
              ROUND(OFFSET($P219,0,BP$13),15-13*ORÇAMENTO!$AF$7)/$H219*OFFSET(ORÇAMENTO!$X$15,ROW(BP219)-ROW(BP$15),0),
              ROUND(ROUND(OFFSET($P219,0,BP$13),15-13*ORÇAMENTO!$AF$7)*OFFSET(ORÇAMENTO!$W$15,ROW(BP219)-ROW(BP$15),0),15-13*ORÇAMENTO!$AF$11)),
         0)</f>
        <v>0</v>
      </c>
      <c r="BQ219" s="453">
        <f ca="1">IF(AND($D219="Serviço",BQ$12&lt;&gt;0,$H219&gt;0,OR(AUTOEVENTO&lt;&gt;"manual",$M219&lt;&gt;$A$15)),
        IF(Import.TipoArredondamento&lt;&gt;"TransfereGOV",
              ROUND(OFFSET($P219,0,BQ$13),15-13*ORÇAMENTO!$AF$7)/$H219*OFFSET(ORÇAMENTO!$X$15,ROW(BQ219)-ROW(BQ$15),0),
              ROUND(ROUND(OFFSET($P219,0,BQ$13),15-13*ORÇAMENTO!$AF$7)*OFFSET(ORÇAMENTO!$W$15,ROW(BQ219)-ROW(BQ$15),0),15-13*ORÇAMENTO!$AF$11)),
         0)</f>
        <v>0</v>
      </c>
      <c r="BS219" s="171">
        <f ca="1">IF(OR($D219&lt;&gt;"Serviço",AND(AUTOEVENTO="Manual",$M219=$A$15)),0,
         IF(OFFSET(CRONOPLE!$F$15,$M219-$A$15,BS$13)=0,10^12,OFFSET(CRONOPLE!$F$15,$M219-$A$15,BS$13)))</f>
        <v>1</v>
      </c>
      <c r="BT219" s="171">
        <f ca="1">IF(OR($D219&lt;&gt;"Serviço",AND(AUTOEVENTO="Manual",$M219=$A$15)),0,
         IF(OFFSET(CRONOPLE!$F$15,$M219-$A$15,BT$13)=0,10^12,OFFSET(CRONOPLE!$F$15,$M219-$A$15,BT$13)))</f>
        <v>2</v>
      </c>
      <c r="BU219" s="171">
        <f ca="1">IF(OR($D219&lt;&gt;"Serviço",AND(AUTOEVENTO="Manual",$M219=$A$15)),0,
         IF(OFFSET(CRONOPLE!$F$15,$M219-$A$15,BU$13)=0,10^12,OFFSET(CRONOPLE!$F$15,$M219-$A$15,BU$13)))</f>
        <v>3</v>
      </c>
      <c r="BV219" s="171">
        <f ca="1">IF(OR($D219&lt;&gt;"Serviço",AND(AUTOEVENTO="Manual",$M219=$A$15)),0,
         IF(OFFSET(CRONOPLE!$F$15,$M219-$A$15,BV$13)=0,10^12,OFFSET(CRONOPLE!$F$15,$M219-$A$15,BV$13)))</f>
        <v>4</v>
      </c>
      <c r="BW219" s="171">
        <f ca="1">IF(OR($D219&lt;&gt;"Serviço",AND(AUTOEVENTO="Manual",$M219=$A$15)),0,
         IF(OFFSET(CRONOPLE!$F$15,$M219-$A$15,BW$13)=0,10^12,OFFSET(CRONOPLE!$F$15,$M219-$A$15,BW$13)))</f>
        <v>5</v>
      </c>
      <c r="BX219" s="171">
        <f ca="1">IF(OR($D219&lt;&gt;"Serviço",AND(AUTOEVENTO="Manual",$M219=$A$15)),0,
         IF(OFFSET(CRONOPLE!$F$15,$M219-$A$15,BX$13)=0,10^12,OFFSET(CRONOPLE!$F$15,$M219-$A$15,BX$13)))</f>
        <v>6</v>
      </c>
      <c r="BY219" s="171">
        <f ca="1">IF(OR($D219&lt;&gt;"Serviço",AND(AUTOEVENTO="Manual",$M219=$A$15)),0,
         IF(OFFSET(CRONOPLE!$F$15,$M219-$A$15,BY$13)=0,10^12,OFFSET(CRONOPLE!$F$15,$M219-$A$15,BY$13)))</f>
        <v>7</v>
      </c>
      <c r="BZ219" s="171">
        <f ca="1">IF(OR($D219&lt;&gt;"Serviço",AND(AUTOEVENTO="Manual",$M219=$A$15)),0,
         IF(OFFSET(CRONOPLE!$F$15,$M219-$A$15,BZ$13)=0,10^12,OFFSET(CRONOPLE!$F$15,$M219-$A$15,BZ$13)))</f>
        <v>8</v>
      </c>
      <c r="CA219" s="171">
        <f ca="1">IF(OR($D219&lt;&gt;"Serviço",AND(AUTOEVENTO="Manual",$M219=$A$15)),0,
         IF(OFFSET(CRONOPLE!$F$15,$M219-$A$15,CA$13)=0,10^12,OFFSET(CRONOPLE!$F$15,$M219-$A$15,CA$13)))</f>
        <v>9</v>
      </c>
      <c r="CB219" s="171">
        <f ca="1">IF(OR($D219&lt;&gt;"Serviço",AND(AUTOEVENTO="Manual",$M219=$A$15)),0,
         IF(OFFSET(CRONOPLE!$F$15,$M219-$A$15,CB$13)=0,10^12,OFFSET(CRONOPLE!$F$15,$M219-$A$15,CB$13)))</f>
        <v>10</v>
      </c>
      <c r="CC219" s="171">
        <f ca="1">IF(OR($D219&lt;&gt;"Serviço",AND(AUTOEVENTO="Manual",$M219=$A$15)),0,
         IF(OFFSET(CRONOPLE!$F$15,$M219-$A$15,CC$13)=0,10^12,OFFSET(CRONOPLE!$F$15,$M219-$A$15,CC$13)))</f>
        <v>11</v>
      </c>
      <c r="CD219" s="171">
        <f ca="1">IF(OR($D219&lt;&gt;"Serviço",AND(AUTOEVENTO="Manual",$M219=$A$15)),0,
         IF(OFFSET(CRONOPLE!$F$15,$M219-$A$15,CD$13)=0,10^12,OFFSET(CRONOPLE!$F$15,$M219-$A$15,CD$13)))</f>
        <v>12</v>
      </c>
      <c r="CE219" s="171">
        <f ca="1">IF(OR($D219&lt;&gt;"Serviço",AND(AUTOEVENTO="Manual",$M219=$A$15)),0,
         IF(OFFSET(CRONOPLE!$F$15,$M219-$A$15,CE$13)=0,10^12,OFFSET(CRONOPLE!$F$15,$M219-$A$15,CE$13)))</f>
        <v>13</v>
      </c>
      <c r="CF219" s="171">
        <f ca="1">IF(OR($D219&lt;&gt;"Serviço",AND(AUTOEVENTO="Manual",$M219=$A$15)),0,
         IF(OFFSET(CRONOPLE!$F$15,$M219-$A$15,CF$13)=0,10^12,OFFSET(CRONOPLE!$F$15,$M219-$A$15,CF$13)))</f>
        <v>14</v>
      </c>
      <c r="CG219" s="171">
        <f ca="1">IF(OR($D219&lt;&gt;"Serviço",AND(AUTOEVENTO="Manual",$M219=$A$15)),0,
         IF(OFFSET(CRONOPLE!$F$15,$M219-$A$15,CG$13)=0,10^12,OFFSET(CRONOPLE!$F$15,$M219-$A$15,CG$13)))</f>
        <v>15</v>
      </c>
      <c r="CH219" s="171">
        <f ca="1">IF(OR($D219&lt;&gt;"Serviço",AND(AUTOEVENTO="Manual",$M219=$A$15)),0,
         IF(OFFSET(CRONOPLE!$F$15,$M219-$A$15,CH$13)=0,10^12,OFFSET(CRONOPLE!$F$15,$M219-$A$15,CH$13)))</f>
        <v>16</v>
      </c>
      <c r="CI219" s="171">
        <f ca="1">IF(OR($D219&lt;&gt;"Serviço",AND(AUTOEVENTO="Manual",$M219=$A$15)),0,
         IF(OFFSET(CRONOPLE!$F$15,$M219-$A$15,CI$13)=0,10^12,OFFSET(CRONOPLE!$F$15,$M219-$A$15,CI$13)))</f>
        <v>17</v>
      </c>
      <c r="CJ219" s="171">
        <f ca="1">IF(OR($D219&lt;&gt;"Serviço",AND(AUTOEVENTO="Manual",$M219=$A$15)),0,
         IF(OFFSET(CRONOPLE!$F$15,$M219-$A$15,CJ$13)=0,10^12,OFFSET(CRONOPLE!$F$15,$M219-$A$15,CJ$13)))</f>
        <v>18</v>
      </c>
      <c r="CK219" s="171">
        <f ca="1">IF(OR($D219&lt;&gt;"Serviço",AND(AUTOEVENTO="Manual",$M219=$A$15)),0,
         IF(OFFSET(CRONOPLE!$F$15,$M219-$A$15,CK$13)=0,10^12,OFFSET(CRONOPLE!$F$15,$M219-$A$15,CK$13)))</f>
        <v>19</v>
      </c>
      <c r="CL219" s="171">
        <f ca="1">IF(OR($D219&lt;&gt;"Serviço",AND(AUTOEVENTO="Manual",$M219=$A$15)),0,
         IF(OFFSET(CRONOPLE!$F$15,$M219-$A$15,CL$13)=0,10^12,OFFSET(CRONOPLE!$F$15,$M219-$A$15,CL$13)))</f>
        <v>20</v>
      </c>
      <c r="CM219" s="171">
        <f ca="1">IF(OR($D219&lt;&gt;"Serviço",AND(AUTOEVENTO="Manual",$M219=$A$15)),0,
         IF(OFFSET(CRONOPLE!$F$15,$M219-$A$15,CM$13)=0,10^12,OFFSET(CRONOPLE!$F$15,$M219-$A$15,CM$13)))</f>
        <v>1000000000000</v>
      </c>
      <c r="CN219" s="171">
        <f ca="1">IF(OR($D219&lt;&gt;"Serviço",AND(AUTOEVENTO="Manual",$M219=$A$15)),0,
         IF(OFFSET(CRONOPLE!$F$15,$M219-$A$15,CN$13)=0,10^12,OFFSET(CRONOPLE!$F$15,$M219-$A$15,CN$13)))</f>
        <v>1000000000000</v>
      </c>
      <c r="CO219" s="171">
        <f ca="1">IF(OR($D219&lt;&gt;"Serviço",AND(AUTOEVENTO="Manual",$M219=$A$15)),0,
         IF(OFFSET(CRONOPLE!$F$15,$M219-$A$15,CO$13)=0,10^12,OFFSET(CRONOPLE!$F$15,$M219-$A$15,CO$13)))</f>
        <v>1000000000000</v>
      </c>
      <c r="CP219" s="171">
        <f ca="1">IF(OR($D219&lt;&gt;"Serviço",AND(AUTOEVENTO="Manual",$M219=$A$15)),0,
         IF(OFFSET(CRONOPLE!$F$15,$M219-$A$15,CP$13)=0,10^12,OFFSET(CRONOPLE!$F$15,$M219-$A$15,CP$13)))</f>
        <v>1000000000000</v>
      </c>
      <c r="CQ219" s="171">
        <f ca="1">IF(OR($D219&lt;&gt;"Serviço",AND(AUTOEVENTO="Manual",$M219=$A$15)),0,
         IF(OFFSET(CRONOPLE!$F$15,$M219-$A$15,CQ$13)=0,10^12,OFFSET(CRONOPLE!$F$15,$M219-$A$15,CQ$13)))</f>
        <v>1000000000000</v>
      </c>
      <c r="CR219" s="171">
        <f ca="1">IF(OR($D219&lt;&gt;"Serviço",AND(AUTOEVENTO="Manual",$M219=$A$15)),0,
         IF(OFFSET(CRONOPLE!$F$15,$M219-$A$15,CR$13)=0,10^12,OFFSET(CRONOPLE!$F$15,$M219-$A$15,CR$13)))</f>
        <v>1000000000000</v>
      </c>
      <c r="CT219" s="172" cm="1">
        <f t="array" aca="1" ref="CT219" ca="1">IF(OR($D219&lt;&gt;"Serviço",AND(AUTOEVENTO="Manual",$M219=$A$15),$M219&gt;(ROW(PLE.lastrow)-ROW(PLE.firstrow))),0,
           IF(OFFSET(PLE!$G$15,$M219-$A$15,CT$13)="",10^12,OFFSET(PLE!$G$15,$M219-$A$15,CT$13)))</f>
        <v>1000000000000</v>
      </c>
      <c r="CU219" s="172" cm="1">
        <f t="array" aca="1" ref="CU219" ca="1">IF(OR($D219&lt;&gt;"Serviço",AND(AUTOEVENTO="Manual",$M219=$A$15),$M219&gt;(ROW(PLE.lastrow)-ROW(PLE.firstrow))),0,
           IF(OFFSET(PLE!$G$15,$M219-$A$15,CU$13)="",10^12,OFFSET(PLE!$G$15,$M219-$A$15,CU$13)))</f>
        <v>1000000000000</v>
      </c>
      <c r="CV219" s="172" cm="1">
        <f t="array" aca="1" ref="CV219" ca="1">IF(OR($D219&lt;&gt;"Serviço",AND(AUTOEVENTO="Manual",$M219=$A$15),$M219&gt;(ROW(PLE.lastrow)-ROW(PLE.firstrow))),0,
           IF(OFFSET(PLE!$G$15,$M219-$A$15,CV$13)="",10^12,OFFSET(PLE!$G$15,$M219-$A$15,CV$13)))</f>
        <v>1000000000000</v>
      </c>
      <c r="CW219" s="172" cm="1">
        <f t="array" aca="1" ref="CW219" ca="1">IF(OR($D219&lt;&gt;"Serviço",AND(AUTOEVENTO="Manual",$M219=$A$15),$M219&gt;(ROW(PLE.lastrow)-ROW(PLE.firstrow))),0,
           IF(OFFSET(PLE!$G$15,$M219-$A$15,CW$13)="",10^12,OFFSET(PLE!$G$15,$M219-$A$15,CW$13)))</f>
        <v>1000000000000</v>
      </c>
      <c r="CX219" s="172" cm="1">
        <f t="array" aca="1" ref="CX219" ca="1">IF(OR($D219&lt;&gt;"Serviço",AND(AUTOEVENTO="Manual",$M219=$A$15),$M219&gt;(ROW(PLE.lastrow)-ROW(PLE.firstrow))),0,
           IF(OFFSET(PLE!$G$15,$M219-$A$15,CX$13)="",10^12,OFFSET(PLE!$G$15,$M219-$A$15,CX$13)))</f>
        <v>1000000000000</v>
      </c>
      <c r="CY219" s="172" cm="1">
        <f t="array" aca="1" ref="CY219" ca="1">IF(OR($D219&lt;&gt;"Serviço",AND(AUTOEVENTO="Manual",$M219=$A$15),$M219&gt;(ROW(PLE.lastrow)-ROW(PLE.firstrow))),0,
           IF(OFFSET(PLE!$G$15,$M219-$A$15,CY$13)="",10^12,OFFSET(PLE!$G$15,$M219-$A$15,CY$13)))</f>
        <v>1000000000000</v>
      </c>
      <c r="CZ219" s="172" cm="1">
        <f t="array" aca="1" ref="CZ219" ca="1">IF(OR($D219&lt;&gt;"Serviço",AND(AUTOEVENTO="Manual",$M219=$A$15),$M219&gt;(ROW(PLE.lastrow)-ROW(PLE.firstrow))),0,
           IF(OFFSET(PLE!$G$15,$M219-$A$15,CZ$13)="",10^12,OFFSET(PLE!$G$15,$M219-$A$15,CZ$13)))</f>
        <v>1000000000000</v>
      </c>
      <c r="DA219" s="172" cm="1">
        <f t="array" aca="1" ref="DA219" ca="1">IF(OR($D219&lt;&gt;"Serviço",AND(AUTOEVENTO="Manual",$M219=$A$15),$M219&gt;(ROW(PLE.lastrow)-ROW(PLE.firstrow))),0,
           IF(OFFSET(PLE!$G$15,$M219-$A$15,DA$13)="",10^12,OFFSET(PLE!$G$15,$M219-$A$15,DA$13)))</f>
        <v>1000000000000</v>
      </c>
      <c r="DB219" s="172" cm="1">
        <f t="array" aca="1" ref="DB219" ca="1">IF(OR($D219&lt;&gt;"Serviço",AND(AUTOEVENTO="Manual",$M219=$A$15),$M219&gt;(ROW(PLE.lastrow)-ROW(PLE.firstrow))),0,
           IF(OFFSET(PLE!$G$15,$M219-$A$15,DB$13)="",10^12,OFFSET(PLE!$G$15,$M219-$A$15,DB$13)))</f>
        <v>1000000000000</v>
      </c>
      <c r="DC219" s="172" cm="1">
        <f t="array" aca="1" ref="DC219" ca="1">IF(OR($D219&lt;&gt;"Serviço",AND(AUTOEVENTO="Manual",$M219=$A$15),$M219&gt;(ROW(PLE.lastrow)-ROW(PLE.firstrow))),0,
           IF(OFFSET(PLE!$G$15,$M219-$A$15,DC$13)="",10^12,OFFSET(PLE!$G$15,$M219-$A$15,DC$13)))</f>
        <v>1000000000000</v>
      </c>
      <c r="DD219" s="172" cm="1">
        <f t="array" aca="1" ref="DD219" ca="1">IF(OR($D219&lt;&gt;"Serviço",AND(AUTOEVENTO="Manual",$M219=$A$15),$M219&gt;(ROW(PLE.lastrow)-ROW(PLE.firstrow))),0,
           IF(OFFSET(PLE!$G$15,$M219-$A$15,DD$13)="",10^12,OFFSET(PLE!$G$15,$M219-$A$15,DD$13)))</f>
        <v>1000000000000</v>
      </c>
      <c r="DE219" s="172" cm="1">
        <f t="array" aca="1" ref="DE219" ca="1">IF(OR($D219&lt;&gt;"Serviço",AND(AUTOEVENTO="Manual",$M219=$A$15),$M219&gt;(ROW(PLE.lastrow)-ROW(PLE.firstrow))),0,
           IF(OFFSET(PLE!$G$15,$M219-$A$15,DE$13)="",10^12,OFFSET(PLE!$G$15,$M219-$A$15,DE$13)))</f>
        <v>1000000000000</v>
      </c>
      <c r="DF219" s="172" cm="1">
        <f t="array" aca="1" ref="DF219" ca="1">IF(OR($D219&lt;&gt;"Serviço",AND(AUTOEVENTO="Manual",$M219=$A$15),$M219&gt;(ROW(PLE.lastrow)-ROW(PLE.firstrow))),0,
           IF(OFFSET(PLE!$G$15,$M219-$A$15,DF$13)="",10^12,OFFSET(PLE!$G$15,$M219-$A$15,DF$13)))</f>
        <v>1000000000000</v>
      </c>
      <c r="DG219" s="172" cm="1">
        <f t="array" aca="1" ref="DG219" ca="1">IF(OR($D219&lt;&gt;"Serviço",AND(AUTOEVENTO="Manual",$M219=$A$15),$M219&gt;(ROW(PLE.lastrow)-ROW(PLE.firstrow))),0,
           IF(OFFSET(PLE!$G$15,$M219-$A$15,DG$13)="",10^12,OFFSET(PLE!$G$15,$M219-$A$15,DG$13)))</f>
        <v>1000000000000</v>
      </c>
      <c r="DH219" s="172" cm="1">
        <f t="array" aca="1" ref="DH219" ca="1">IF(OR($D219&lt;&gt;"Serviço",AND(AUTOEVENTO="Manual",$M219=$A$15),$M219&gt;(ROW(PLE.lastrow)-ROW(PLE.firstrow))),0,
           IF(OFFSET(PLE!$G$15,$M219-$A$15,DH$13)="",10^12,OFFSET(PLE!$G$15,$M219-$A$15,DH$13)))</f>
        <v>1000000000000</v>
      </c>
      <c r="DI219" s="172" cm="1">
        <f t="array" aca="1" ref="DI219" ca="1">IF(OR($D219&lt;&gt;"Serviço",AND(AUTOEVENTO="Manual",$M219=$A$15),$M219&gt;(ROW(PLE.lastrow)-ROW(PLE.firstrow))),0,
           IF(OFFSET(PLE!$G$15,$M219-$A$15,DI$13)="",10^12,OFFSET(PLE!$G$15,$M219-$A$15,DI$13)))</f>
        <v>1000000000000</v>
      </c>
      <c r="DJ219" s="172" cm="1">
        <f t="array" aca="1" ref="DJ219" ca="1">IF(OR($D219&lt;&gt;"Serviço",AND(AUTOEVENTO="Manual",$M219=$A$15),$M219&gt;(ROW(PLE.lastrow)-ROW(PLE.firstrow))),0,
           IF(OFFSET(PLE!$G$15,$M219-$A$15,DJ$13)="",10^12,OFFSET(PLE!$G$15,$M219-$A$15,DJ$13)))</f>
        <v>1000000000000</v>
      </c>
      <c r="DK219" s="172" cm="1">
        <f t="array" aca="1" ref="DK219" ca="1">IF(OR($D219&lt;&gt;"Serviço",AND(AUTOEVENTO="Manual",$M219=$A$15),$M219&gt;(ROW(PLE.lastrow)-ROW(PLE.firstrow))),0,
           IF(OFFSET(PLE!$G$15,$M219-$A$15,DK$13)="",10^12,OFFSET(PLE!$G$15,$M219-$A$15,DK$13)))</f>
        <v>1000000000000</v>
      </c>
      <c r="DL219" s="172" cm="1">
        <f t="array" aca="1" ref="DL219" ca="1">IF(OR($D219&lt;&gt;"Serviço",AND(AUTOEVENTO="Manual",$M219=$A$15),$M219&gt;(ROW(PLE.lastrow)-ROW(PLE.firstrow))),0,
           IF(OFFSET(PLE!$G$15,$M219-$A$15,DL$13)="",10^12,OFFSET(PLE!$G$15,$M219-$A$15,DL$13)))</f>
        <v>1000000000000</v>
      </c>
      <c r="DM219" s="172" cm="1">
        <f t="array" aca="1" ref="DM219" ca="1">IF(OR($D219&lt;&gt;"Serviço",AND(AUTOEVENTO="Manual",$M219=$A$15),$M219&gt;(ROW(PLE.lastrow)-ROW(PLE.firstrow))),0,
           IF(OFFSET(PLE!$G$15,$M219-$A$15,DM$13)="",10^12,OFFSET(PLE!$G$15,$M219-$A$15,DM$13)))</f>
        <v>1000000000000</v>
      </c>
      <c r="DN219" s="172" cm="1">
        <f t="array" aca="1" ref="DN219" ca="1">IF(OR($D219&lt;&gt;"Serviço",AND(AUTOEVENTO="Manual",$M219=$A$15),$M219&gt;(ROW(PLE.lastrow)-ROW(PLE.firstrow))),0,
           IF(OFFSET(PLE!$G$15,$M219-$A$15,DN$13)="",10^12,OFFSET(PLE!$G$15,$M219-$A$15,DN$13)))</f>
        <v>1000000000000</v>
      </c>
      <c r="DO219" s="172" cm="1">
        <f t="array" aca="1" ref="DO219" ca="1">IF(OR($D219&lt;&gt;"Serviço",AND(AUTOEVENTO="Manual",$M219=$A$15),$M219&gt;(ROW(PLE.lastrow)-ROW(PLE.firstrow))),0,
           IF(OFFSET(PLE!$G$15,$M219-$A$15,DO$13)="",10^12,OFFSET(PLE!$G$15,$M219-$A$15,DO$13)))</f>
        <v>1000000000000</v>
      </c>
      <c r="DP219" s="172" cm="1">
        <f t="array" aca="1" ref="DP219" ca="1">IF(OR($D219&lt;&gt;"Serviço",AND(AUTOEVENTO="Manual",$M219=$A$15),$M219&gt;(ROW(PLE.lastrow)-ROW(PLE.firstrow))),0,
           IF(OFFSET(PLE!$G$15,$M219-$A$15,DP$13)="",10^12,OFFSET(PLE!$G$15,$M219-$A$15,DP$13)))</f>
        <v>1000000000000</v>
      </c>
      <c r="DQ219" s="172" cm="1">
        <f t="array" aca="1" ref="DQ219" ca="1">IF(OR($D219&lt;&gt;"Serviço",AND(AUTOEVENTO="Manual",$M219=$A$15),$M219&gt;(ROW(PLE.lastrow)-ROW(PLE.firstrow))),0,
           IF(OFFSET(PLE!$G$15,$M219-$A$15,DQ$13)="",10^12,OFFSET(PLE!$G$15,$M219-$A$15,DQ$13)))</f>
        <v>1000000000000</v>
      </c>
      <c r="DR219" s="172" cm="1">
        <f t="array" aca="1" ref="DR219" ca="1">IF(OR($D219&lt;&gt;"Serviço",AND(AUTOEVENTO="Manual",$M219=$A$15),$M219&gt;(ROW(PLE.lastrow)-ROW(PLE.firstrow))),0,
           IF(OFFSET(PLE!$G$15,$M219-$A$15,DR$13)="",10^12,OFFSET(PLE!$G$15,$M219-$A$15,DR$13)))</f>
        <v>1000000000000</v>
      </c>
      <c r="DS219" s="172" cm="1">
        <f t="array" aca="1" ref="DS219" ca="1">IF(OR($D219&lt;&gt;"Serviço",AND(AUTOEVENTO="Manual",$M219=$A$15),$M219&gt;(ROW(PLE.lastrow)-ROW(PLE.firstrow))),0,
           IF(OFFSET(PLE!$G$15,$M219-$A$15,DS$13)="",10^12,OFFSET(PLE!$G$15,$M219-$A$15,DS$13)))</f>
        <v>1000000000000</v>
      </c>
    </row>
    <row r="220" spans="1:123" ht="38.25" x14ac:dyDescent="0.2">
      <c r="A220" s="7">
        <f t="shared" ca="1" si="19"/>
        <v>9</v>
      </c>
      <c r="B220" s="7" t="str">
        <f ca="1">OFFSET(ORÇAMENTO!C$15,$L220,0)</f>
        <v>S</v>
      </c>
      <c r="C220" s="7" t="str">
        <f ca="1">OFFSET(ORÇAMENTO!L$15,$L220,0)</f>
        <v/>
      </c>
      <c r="D220" s="116" t="str">
        <f ca="1">OFFSET(ORÇAMENTO!N$15,$L220,0)</f>
        <v>Serviço</v>
      </c>
      <c r="E220" s="117" t="str">
        <f ca="1">OFFSET(ORÇAMENTO!O$15,$L220,0)</f>
        <v>-</v>
      </c>
      <c r="F220" s="163" t="str">
        <f ca="1">OFFSET(ORÇAMENTO!R$15,$L220,0)</f>
        <v>(Código não identificado nas referências)</v>
      </c>
      <c r="G220" s="164" t="str">
        <f ca="1">IF($D220&lt;&gt;"Serviço","",OFFSET(ORÇAMENTO!S$15,$L220,0))</f>
        <v>-</v>
      </c>
      <c r="H220" s="122" cm="1">
        <f t="array" aca="1" ref="H220" ca="1">IF($D220&lt;&gt;"Serviço",0,IF(ACOMPANHAMENTO="BM",ROUND(OFFSET(ORÇAMENTO!AJ$15,$L220,0),15-13*ORÇAMENTO!$AF$7),IF(IFERROR(CÁLCULO.FrentesPreenchidas,0)=0,0,SUM(ROUND(OFFSET($P220,0,1,1,CÁLCULO.FrentesPreenchidas),15-13*ORÇAMENTO!$AF$7)))))</f>
        <v>20</v>
      </c>
      <c r="I220" s="468" t="s">
        <v>1235</v>
      </c>
      <c r="J220" s="651" t="str" cm="1">
        <f t="array" aca="1" ref="J220" ca="1">IF(OR(B220&lt;&gt;"S",CÁLCULO.FrentesPreenchidas=0),"",IF(AND(ACOMPANHAMENTO="PLE",AUTOEVENTO="Manual",OR(H220&gt;0,ORÇAMENTO!AC220="QUANT."),OR(K220="",M220=0,N220="")),"►E",IF(AND(ACOMPANHAMENTO="PLE",ORÇAMENTO!AC220="QUANT."),"►Q",IF(AND(ACOMPANHAMENTO="PLE",H220&lt;&gt;SUMPRODUCT(($Q$1:$AQ$1=1)*ROUND(Q220:AQ220,15))),"►S",IF(AND(COUNTIF($P$11:$AQ$11,"▼")=0,H220&gt;0,I220=""),"◄M","")))))</f>
        <v/>
      </c>
      <c r="K220" s="652" t="s">
        <v>1257</v>
      </c>
      <c r="L220" s="165">
        <f t="shared" ca="1" si="20"/>
        <v>205</v>
      </c>
      <c r="M220" s="166">
        <f ca="1">IF($D220&lt;&gt;"Serviço","",
          IF(AUTOEVENTO="manual",$A220,
                IF(ISERROR(MATCH($A220,$A$15:OFFSET($A220,-1,0),0)),MAX($M$15:OFFSET(M220,-1,0))+1,
                      INDEX($M$15:OFFSET(M220,-1,0),MATCH($A220,$A$15:OFFSET($A220,-1,0),0)))))</f>
        <v>9</v>
      </c>
      <c r="N220" s="167" t="str">
        <f ca="1">IF($D220&lt;&gt;"Serviço","",
         IF(AUTOEVENTO="Manual",
                IF($A220=0,"&lt;-- defina o número do agrupador",
                       OFFSET(EVENTOS!$D$15,$A220-$A$15,0)),
                OFFSET($F$15,$A220,0)))</f>
        <v>INSTALAÇÕES</v>
      </c>
      <c r="O220" s="168"/>
      <c r="Q220" s="168">
        <v>1</v>
      </c>
      <c r="R220" s="169">
        <v>1</v>
      </c>
      <c r="S220" s="169">
        <v>1</v>
      </c>
      <c r="T220" s="169">
        <v>1</v>
      </c>
      <c r="U220" s="169">
        <v>1</v>
      </c>
      <c r="V220" s="169">
        <v>1</v>
      </c>
      <c r="W220" s="169">
        <v>1</v>
      </c>
      <c r="X220" s="169">
        <v>1</v>
      </c>
      <c r="Y220" s="169">
        <v>1</v>
      </c>
      <c r="Z220" s="170">
        <v>1</v>
      </c>
      <c r="AA220" s="169">
        <v>1</v>
      </c>
      <c r="AB220" s="169">
        <v>1</v>
      </c>
      <c r="AC220" s="169">
        <v>1</v>
      </c>
      <c r="AD220" s="169">
        <v>1</v>
      </c>
      <c r="AE220" s="169">
        <v>1</v>
      </c>
      <c r="AF220" s="169">
        <v>1</v>
      </c>
      <c r="AG220" s="169">
        <v>1</v>
      </c>
      <c r="AH220" s="170">
        <v>1</v>
      </c>
      <c r="AI220" s="169">
        <v>1</v>
      </c>
      <c r="AJ220" s="169">
        <v>1</v>
      </c>
      <c r="AK220" s="169"/>
      <c r="AL220" s="169"/>
      <c r="AM220" s="169"/>
      <c r="AN220" s="169"/>
      <c r="AO220" s="169"/>
      <c r="AP220" s="170"/>
      <c r="AR220" s="453">
        <f ca="1">IF(AND($D220="Serviço",AR$12&lt;&gt;0,$H220&gt;0,OR(AUTOEVENTO&lt;&gt;"manual",$M220&lt;&gt;$A$15)),
        IF(Import.TipoArredondamento&lt;&gt;"TransfereGOV",
              ROUND(OFFSET($P220,0,AR$13),15-13*ORÇAMENTO!$AF$7)/$H220*OFFSET(ORÇAMENTO!$X$15,ROW(AR220)-ROW(AR$15),0),
              ROUND(ROUND(OFFSET($P220,0,AR$13),15-13*ORÇAMENTO!$AF$7)*OFFSET(ORÇAMENTO!$W$15,ROW(AR220)-ROW(AR$15),0),15-13*ORÇAMENTO!$AF$11)),
         0)</f>
        <v>0</v>
      </c>
      <c r="AS220" s="453">
        <f ca="1">IF(AND($D220="Serviço",AS$12&lt;&gt;0,$H220&gt;0,OR(AUTOEVENTO&lt;&gt;"manual",$M220&lt;&gt;$A$15)),
        IF(Import.TipoArredondamento&lt;&gt;"TransfereGOV",
              ROUND(OFFSET($P220,0,AS$13),15-13*ORÇAMENTO!$AF$7)/$H220*OFFSET(ORÇAMENTO!$X$15,ROW(AS220)-ROW(AS$15),0),
              ROUND(ROUND(OFFSET($P220,0,AS$13),15-13*ORÇAMENTO!$AF$7)*OFFSET(ORÇAMENTO!$W$15,ROW(AS220)-ROW(AS$15),0),15-13*ORÇAMENTO!$AF$11)),
         0)</f>
        <v>0</v>
      </c>
      <c r="AT220" s="453">
        <f ca="1">IF(AND($D220="Serviço",AT$12&lt;&gt;0,$H220&gt;0,OR(AUTOEVENTO&lt;&gt;"manual",$M220&lt;&gt;$A$15)),
        IF(Import.TipoArredondamento&lt;&gt;"TransfereGOV",
              ROUND(OFFSET($P220,0,AT$13),15-13*ORÇAMENTO!$AF$7)/$H220*OFFSET(ORÇAMENTO!$X$15,ROW(AT220)-ROW(AT$15),0),
              ROUND(ROUND(OFFSET($P220,0,AT$13),15-13*ORÇAMENTO!$AF$7)*OFFSET(ORÇAMENTO!$W$15,ROW(AT220)-ROW(AT$15),0),15-13*ORÇAMENTO!$AF$11)),
         0)</f>
        <v>0</v>
      </c>
      <c r="AU220" s="453">
        <f ca="1">IF(AND($D220="Serviço",AU$12&lt;&gt;0,$H220&gt;0,OR(AUTOEVENTO&lt;&gt;"manual",$M220&lt;&gt;$A$15)),
        IF(Import.TipoArredondamento&lt;&gt;"TransfereGOV",
              ROUND(OFFSET($P220,0,AU$13),15-13*ORÇAMENTO!$AF$7)/$H220*OFFSET(ORÇAMENTO!$X$15,ROW(AU220)-ROW(AU$15),0),
              ROUND(ROUND(OFFSET($P220,0,AU$13),15-13*ORÇAMENTO!$AF$7)*OFFSET(ORÇAMENTO!$W$15,ROW(AU220)-ROW(AU$15),0),15-13*ORÇAMENTO!$AF$11)),
         0)</f>
        <v>0</v>
      </c>
      <c r="AV220" s="453">
        <f ca="1">IF(AND($D220="Serviço",AV$12&lt;&gt;0,$H220&gt;0,OR(AUTOEVENTO&lt;&gt;"manual",$M220&lt;&gt;$A$15)),
        IF(Import.TipoArredondamento&lt;&gt;"TransfereGOV",
              ROUND(OFFSET($P220,0,AV$13),15-13*ORÇAMENTO!$AF$7)/$H220*OFFSET(ORÇAMENTO!$X$15,ROW(AV220)-ROW(AV$15),0),
              ROUND(ROUND(OFFSET($P220,0,AV$13),15-13*ORÇAMENTO!$AF$7)*OFFSET(ORÇAMENTO!$W$15,ROW(AV220)-ROW(AV$15),0),15-13*ORÇAMENTO!$AF$11)),
         0)</f>
        <v>0</v>
      </c>
      <c r="AW220" s="453">
        <f ca="1">IF(AND($D220="Serviço",AW$12&lt;&gt;0,$H220&gt;0,OR(AUTOEVENTO&lt;&gt;"manual",$M220&lt;&gt;$A$15)),
        IF(Import.TipoArredondamento&lt;&gt;"TransfereGOV",
              ROUND(OFFSET($P220,0,AW$13),15-13*ORÇAMENTO!$AF$7)/$H220*OFFSET(ORÇAMENTO!$X$15,ROW(AW220)-ROW(AW$15),0),
              ROUND(ROUND(OFFSET($P220,0,AW$13),15-13*ORÇAMENTO!$AF$7)*OFFSET(ORÇAMENTO!$W$15,ROW(AW220)-ROW(AW$15),0),15-13*ORÇAMENTO!$AF$11)),
         0)</f>
        <v>0</v>
      </c>
      <c r="AX220" s="453">
        <f ca="1">IF(AND($D220="Serviço",AX$12&lt;&gt;0,$H220&gt;0,OR(AUTOEVENTO&lt;&gt;"manual",$M220&lt;&gt;$A$15)),
        IF(Import.TipoArredondamento&lt;&gt;"TransfereGOV",
              ROUND(OFFSET($P220,0,AX$13),15-13*ORÇAMENTO!$AF$7)/$H220*OFFSET(ORÇAMENTO!$X$15,ROW(AX220)-ROW(AX$15),0),
              ROUND(ROUND(OFFSET($P220,0,AX$13),15-13*ORÇAMENTO!$AF$7)*OFFSET(ORÇAMENTO!$W$15,ROW(AX220)-ROW(AX$15),0),15-13*ORÇAMENTO!$AF$11)),
         0)</f>
        <v>0</v>
      </c>
      <c r="AY220" s="453">
        <f ca="1">IF(AND($D220="Serviço",AY$12&lt;&gt;0,$H220&gt;0,OR(AUTOEVENTO&lt;&gt;"manual",$M220&lt;&gt;$A$15)),
        IF(Import.TipoArredondamento&lt;&gt;"TransfereGOV",
              ROUND(OFFSET($P220,0,AY$13),15-13*ORÇAMENTO!$AF$7)/$H220*OFFSET(ORÇAMENTO!$X$15,ROW(AY220)-ROW(AY$15),0),
              ROUND(ROUND(OFFSET($P220,0,AY$13),15-13*ORÇAMENTO!$AF$7)*OFFSET(ORÇAMENTO!$W$15,ROW(AY220)-ROW(AY$15),0),15-13*ORÇAMENTO!$AF$11)),
         0)</f>
        <v>0</v>
      </c>
      <c r="AZ220" s="453">
        <f ca="1">IF(AND($D220="Serviço",AZ$12&lt;&gt;0,$H220&gt;0,OR(AUTOEVENTO&lt;&gt;"manual",$M220&lt;&gt;$A$15)),
        IF(Import.TipoArredondamento&lt;&gt;"TransfereGOV",
              ROUND(OFFSET($P220,0,AZ$13),15-13*ORÇAMENTO!$AF$7)/$H220*OFFSET(ORÇAMENTO!$X$15,ROW(AZ220)-ROW(AZ$15),0),
              ROUND(ROUND(OFFSET($P220,0,AZ$13),15-13*ORÇAMENTO!$AF$7)*OFFSET(ORÇAMENTO!$W$15,ROW(AZ220)-ROW(AZ$15),0),15-13*ORÇAMENTO!$AF$11)),
         0)</f>
        <v>0</v>
      </c>
      <c r="BA220" s="453">
        <f ca="1">IF(AND($D220="Serviço",BA$12&lt;&gt;0,$H220&gt;0,OR(AUTOEVENTO&lt;&gt;"manual",$M220&lt;&gt;$A$15)),
        IF(Import.TipoArredondamento&lt;&gt;"TransfereGOV",
              ROUND(OFFSET($P220,0,BA$13),15-13*ORÇAMENTO!$AF$7)/$H220*OFFSET(ORÇAMENTO!$X$15,ROW(BA220)-ROW(BA$15),0),
              ROUND(ROUND(OFFSET($P220,0,BA$13),15-13*ORÇAMENTO!$AF$7)*OFFSET(ORÇAMENTO!$W$15,ROW(BA220)-ROW(BA$15),0),15-13*ORÇAMENTO!$AF$11)),
         0)</f>
        <v>0</v>
      </c>
      <c r="BB220" s="453">
        <f ca="1">IF(AND($D220="Serviço",BB$12&lt;&gt;0,$H220&gt;0,OR(AUTOEVENTO&lt;&gt;"manual",$M220&lt;&gt;$A$15)),
        IF(Import.TipoArredondamento&lt;&gt;"TransfereGOV",
              ROUND(OFFSET($P220,0,BB$13),15-13*ORÇAMENTO!$AF$7)/$H220*OFFSET(ORÇAMENTO!$X$15,ROW(BB220)-ROW(BB$15),0),
              ROUND(ROUND(OFFSET($P220,0,BB$13),15-13*ORÇAMENTO!$AF$7)*OFFSET(ORÇAMENTO!$W$15,ROW(BB220)-ROW(BB$15),0),15-13*ORÇAMENTO!$AF$11)),
         0)</f>
        <v>0</v>
      </c>
      <c r="BC220" s="453">
        <f ca="1">IF(AND($D220="Serviço",BC$12&lt;&gt;0,$H220&gt;0,OR(AUTOEVENTO&lt;&gt;"manual",$M220&lt;&gt;$A$15)),
        IF(Import.TipoArredondamento&lt;&gt;"TransfereGOV",
              ROUND(OFFSET($P220,0,BC$13),15-13*ORÇAMENTO!$AF$7)/$H220*OFFSET(ORÇAMENTO!$X$15,ROW(BC220)-ROW(BC$15),0),
              ROUND(ROUND(OFFSET($P220,0,BC$13),15-13*ORÇAMENTO!$AF$7)*OFFSET(ORÇAMENTO!$W$15,ROW(BC220)-ROW(BC$15),0),15-13*ORÇAMENTO!$AF$11)),
         0)</f>
        <v>0</v>
      </c>
      <c r="BD220" s="453">
        <f ca="1">IF(AND($D220="Serviço",BD$12&lt;&gt;0,$H220&gt;0,OR(AUTOEVENTO&lt;&gt;"manual",$M220&lt;&gt;$A$15)),
        IF(Import.TipoArredondamento&lt;&gt;"TransfereGOV",
              ROUND(OFFSET($P220,0,BD$13),15-13*ORÇAMENTO!$AF$7)/$H220*OFFSET(ORÇAMENTO!$X$15,ROW(BD220)-ROW(BD$15),0),
              ROUND(ROUND(OFFSET($P220,0,BD$13),15-13*ORÇAMENTO!$AF$7)*OFFSET(ORÇAMENTO!$W$15,ROW(BD220)-ROW(BD$15),0),15-13*ORÇAMENTO!$AF$11)),
         0)</f>
        <v>0</v>
      </c>
      <c r="BE220" s="453">
        <f ca="1">IF(AND($D220="Serviço",BE$12&lt;&gt;0,$H220&gt;0,OR(AUTOEVENTO&lt;&gt;"manual",$M220&lt;&gt;$A$15)),
        IF(Import.TipoArredondamento&lt;&gt;"TransfereGOV",
              ROUND(OFFSET($P220,0,BE$13),15-13*ORÇAMENTO!$AF$7)/$H220*OFFSET(ORÇAMENTO!$X$15,ROW(BE220)-ROW(BE$15),0),
              ROUND(ROUND(OFFSET($P220,0,BE$13),15-13*ORÇAMENTO!$AF$7)*OFFSET(ORÇAMENTO!$W$15,ROW(BE220)-ROW(BE$15),0),15-13*ORÇAMENTO!$AF$11)),
         0)</f>
        <v>0</v>
      </c>
      <c r="BF220" s="453">
        <f ca="1">IF(AND($D220="Serviço",BF$12&lt;&gt;0,$H220&gt;0,OR(AUTOEVENTO&lt;&gt;"manual",$M220&lt;&gt;$A$15)),
        IF(Import.TipoArredondamento&lt;&gt;"TransfereGOV",
              ROUND(OFFSET($P220,0,BF$13),15-13*ORÇAMENTO!$AF$7)/$H220*OFFSET(ORÇAMENTO!$X$15,ROW(BF220)-ROW(BF$15),0),
              ROUND(ROUND(OFFSET($P220,0,BF$13),15-13*ORÇAMENTO!$AF$7)*OFFSET(ORÇAMENTO!$W$15,ROW(BF220)-ROW(BF$15),0),15-13*ORÇAMENTO!$AF$11)),
         0)</f>
        <v>0</v>
      </c>
      <c r="BG220" s="453">
        <f ca="1">IF(AND($D220="Serviço",BG$12&lt;&gt;0,$H220&gt;0,OR(AUTOEVENTO&lt;&gt;"manual",$M220&lt;&gt;$A$15)),
        IF(Import.TipoArredondamento&lt;&gt;"TransfereGOV",
              ROUND(OFFSET($P220,0,BG$13),15-13*ORÇAMENTO!$AF$7)/$H220*OFFSET(ORÇAMENTO!$X$15,ROW(BG220)-ROW(BG$15),0),
              ROUND(ROUND(OFFSET($P220,0,BG$13),15-13*ORÇAMENTO!$AF$7)*OFFSET(ORÇAMENTO!$W$15,ROW(BG220)-ROW(BG$15),0),15-13*ORÇAMENTO!$AF$11)),
         0)</f>
        <v>0</v>
      </c>
      <c r="BH220" s="453">
        <f ca="1">IF(AND($D220="Serviço",BH$12&lt;&gt;0,$H220&gt;0,OR(AUTOEVENTO&lt;&gt;"manual",$M220&lt;&gt;$A$15)),
        IF(Import.TipoArredondamento&lt;&gt;"TransfereGOV",
              ROUND(OFFSET($P220,0,BH$13),15-13*ORÇAMENTO!$AF$7)/$H220*OFFSET(ORÇAMENTO!$X$15,ROW(BH220)-ROW(BH$15),0),
              ROUND(ROUND(OFFSET($P220,0,BH$13),15-13*ORÇAMENTO!$AF$7)*OFFSET(ORÇAMENTO!$W$15,ROW(BH220)-ROW(BH$15),0),15-13*ORÇAMENTO!$AF$11)),
         0)</f>
        <v>0</v>
      </c>
      <c r="BI220" s="453">
        <f ca="1">IF(AND($D220="Serviço",BI$12&lt;&gt;0,$H220&gt;0,OR(AUTOEVENTO&lt;&gt;"manual",$M220&lt;&gt;$A$15)),
        IF(Import.TipoArredondamento&lt;&gt;"TransfereGOV",
              ROUND(OFFSET($P220,0,BI$13),15-13*ORÇAMENTO!$AF$7)/$H220*OFFSET(ORÇAMENTO!$X$15,ROW(BI220)-ROW(BI$15),0),
              ROUND(ROUND(OFFSET($P220,0,BI$13),15-13*ORÇAMENTO!$AF$7)*OFFSET(ORÇAMENTO!$W$15,ROW(BI220)-ROW(BI$15),0),15-13*ORÇAMENTO!$AF$11)),
         0)</f>
        <v>0</v>
      </c>
      <c r="BJ220" s="453">
        <f ca="1">IF(AND($D220="Serviço",BJ$12&lt;&gt;0,$H220&gt;0,OR(AUTOEVENTO&lt;&gt;"manual",$M220&lt;&gt;$A$15)),
        IF(Import.TipoArredondamento&lt;&gt;"TransfereGOV",
              ROUND(OFFSET($P220,0,BJ$13),15-13*ORÇAMENTO!$AF$7)/$H220*OFFSET(ORÇAMENTO!$X$15,ROW(BJ220)-ROW(BJ$15),0),
              ROUND(ROUND(OFFSET($P220,0,BJ$13),15-13*ORÇAMENTO!$AF$7)*OFFSET(ORÇAMENTO!$W$15,ROW(BJ220)-ROW(BJ$15),0),15-13*ORÇAMENTO!$AF$11)),
         0)</f>
        <v>0</v>
      </c>
      <c r="BK220" s="453">
        <f ca="1">IF(AND($D220="Serviço",BK$12&lt;&gt;0,$H220&gt;0,OR(AUTOEVENTO&lt;&gt;"manual",$M220&lt;&gt;$A$15)),
        IF(Import.TipoArredondamento&lt;&gt;"TransfereGOV",
              ROUND(OFFSET($P220,0,BK$13),15-13*ORÇAMENTO!$AF$7)/$H220*OFFSET(ORÇAMENTO!$X$15,ROW(BK220)-ROW(BK$15),0),
              ROUND(ROUND(OFFSET($P220,0,BK$13),15-13*ORÇAMENTO!$AF$7)*OFFSET(ORÇAMENTO!$W$15,ROW(BK220)-ROW(BK$15),0),15-13*ORÇAMENTO!$AF$11)),
         0)</f>
        <v>0</v>
      </c>
      <c r="BL220" s="453">
        <f ca="1">IF(AND($D220="Serviço",BL$12&lt;&gt;0,$H220&gt;0,OR(AUTOEVENTO&lt;&gt;"manual",$M220&lt;&gt;$A$15)),
        IF(Import.TipoArredondamento&lt;&gt;"TransfereGOV",
              ROUND(OFFSET($P220,0,BL$13),15-13*ORÇAMENTO!$AF$7)/$H220*OFFSET(ORÇAMENTO!$X$15,ROW(BL220)-ROW(BL$15),0),
              ROUND(ROUND(OFFSET($P220,0,BL$13),15-13*ORÇAMENTO!$AF$7)*OFFSET(ORÇAMENTO!$W$15,ROW(BL220)-ROW(BL$15),0),15-13*ORÇAMENTO!$AF$11)),
         0)</f>
        <v>0</v>
      </c>
      <c r="BM220" s="453">
        <f ca="1">IF(AND($D220="Serviço",BM$12&lt;&gt;0,$H220&gt;0,OR(AUTOEVENTO&lt;&gt;"manual",$M220&lt;&gt;$A$15)),
        IF(Import.TipoArredondamento&lt;&gt;"TransfereGOV",
              ROUND(OFFSET($P220,0,BM$13),15-13*ORÇAMENTO!$AF$7)/$H220*OFFSET(ORÇAMENTO!$X$15,ROW(BM220)-ROW(BM$15),0),
              ROUND(ROUND(OFFSET($P220,0,BM$13),15-13*ORÇAMENTO!$AF$7)*OFFSET(ORÇAMENTO!$W$15,ROW(BM220)-ROW(BM$15),0),15-13*ORÇAMENTO!$AF$11)),
         0)</f>
        <v>0</v>
      </c>
      <c r="BN220" s="453">
        <f ca="1">IF(AND($D220="Serviço",BN$12&lt;&gt;0,$H220&gt;0,OR(AUTOEVENTO&lt;&gt;"manual",$M220&lt;&gt;$A$15)),
        IF(Import.TipoArredondamento&lt;&gt;"TransfereGOV",
              ROUND(OFFSET($P220,0,BN$13),15-13*ORÇAMENTO!$AF$7)/$H220*OFFSET(ORÇAMENTO!$X$15,ROW(BN220)-ROW(BN$15),0),
              ROUND(ROUND(OFFSET($P220,0,BN$13),15-13*ORÇAMENTO!$AF$7)*OFFSET(ORÇAMENTO!$W$15,ROW(BN220)-ROW(BN$15),0),15-13*ORÇAMENTO!$AF$11)),
         0)</f>
        <v>0</v>
      </c>
      <c r="BO220" s="453">
        <f ca="1">IF(AND($D220="Serviço",BO$12&lt;&gt;0,$H220&gt;0,OR(AUTOEVENTO&lt;&gt;"manual",$M220&lt;&gt;$A$15)),
        IF(Import.TipoArredondamento&lt;&gt;"TransfereGOV",
              ROUND(OFFSET($P220,0,BO$13),15-13*ORÇAMENTO!$AF$7)/$H220*OFFSET(ORÇAMENTO!$X$15,ROW(BO220)-ROW(BO$15),0),
              ROUND(ROUND(OFFSET($P220,0,BO$13),15-13*ORÇAMENTO!$AF$7)*OFFSET(ORÇAMENTO!$W$15,ROW(BO220)-ROW(BO$15),0),15-13*ORÇAMENTO!$AF$11)),
         0)</f>
        <v>0</v>
      </c>
      <c r="BP220" s="453">
        <f ca="1">IF(AND($D220="Serviço",BP$12&lt;&gt;0,$H220&gt;0,OR(AUTOEVENTO&lt;&gt;"manual",$M220&lt;&gt;$A$15)),
        IF(Import.TipoArredondamento&lt;&gt;"TransfereGOV",
              ROUND(OFFSET($P220,0,BP$13),15-13*ORÇAMENTO!$AF$7)/$H220*OFFSET(ORÇAMENTO!$X$15,ROW(BP220)-ROW(BP$15),0),
              ROUND(ROUND(OFFSET($P220,0,BP$13),15-13*ORÇAMENTO!$AF$7)*OFFSET(ORÇAMENTO!$W$15,ROW(BP220)-ROW(BP$15),0),15-13*ORÇAMENTO!$AF$11)),
         0)</f>
        <v>0</v>
      </c>
      <c r="BQ220" s="453">
        <f ca="1">IF(AND($D220="Serviço",BQ$12&lt;&gt;0,$H220&gt;0,OR(AUTOEVENTO&lt;&gt;"manual",$M220&lt;&gt;$A$15)),
        IF(Import.TipoArredondamento&lt;&gt;"TransfereGOV",
              ROUND(OFFSET($P220,0,BQ$13),15-13*ORÇAMENTO!$AF$7)/$H220*OFFSET(ORÇAMENTO!$X$15,ROW(BQ220)-ROW(BQ$15),0),
              ROUND(ROUND(OFFSET($P220,0,BQ$13),15-13*ORÇAMENTO!$AF$7)*OFFSET(ORÇAMENTO!$W$15,ROW(BQ220)-ROW(BQ$15),0),15-13*ORÇAMENTO!$AF$11)),
         0)</f>
        <v>0</v>
      </c>
      <c r="BS220" s="171">
        <f ca="1">IF(OR($D220&lt;&gt;"Serviço",AND(AUTOEVENTO="Manual",$M220=$A$15)),0,
         IF(OFFSET(CRONOPLE!$F$15,$M220-$A$15,BS$13)=0,10^12,OFFSET(CRONOPLE!$F$15,$M220-$A$15,BS$13)))</f>
        <v>1</v>
      </c>
      <c r="BT220" s="171">
        <f ca="1">IF(OR($D220&lt;&gt;"Serviço",AND(AUTOEVENTO="Manual",$M220=$A$15)),0,
         IF(OFFSET(CRONOPLE!$F$15,$M220-$A$15,BT$13)=0,10^12,OFFSET(CRONOPLE!$F$15,$M220-$A$15,BT$13)))</f>
        <v>2</v>
      </c>
      <c r="BU220" s="171">
        <f ca="1">IF(OR($D220&lt;&gt;"Serviço",AND(AUTOEVENTO="Manual",$M220=$A$15)),0,
         IF(OFFSET(CRONOPLE!$F$15,$M220-$A$15,BU$13)=0,10^12,OFFSET(CRONOPLE!$F$15,$M220-$A$15,BU$13)))</f>
        <v>3</v>
      </c>
      <c r="BV220" s="171">
        <f ca="1">IF(OR($D220&lt;&gt;"Serviço",AND(AUTOEVENTO="Manual",$M220=$A$15)),0,
         IF(OFFSET(CRONOPLE!$F$15,$M220-$A$15,BV$13)=0,10^12,OFFSET(CRONOPLE!$F$15,$M220-$A$15,BV$13)))</f>
        <v>4</v>
      </c>
      <c r="BW220" s="171">
        <f ca="1">IF(OR($D220&lt;&gt;"Serviço",AND(AUTOEVENTO="Manual",$M220=$A$15)),0,
         IF(OFFSET(CRONOPLE!$F$15,$M220-$A$15,BW$13)=0,10^12,OFFSET(CRONOPLE!$F$15,$M220-$A$15,BW$13)))</f>
        <v>5</v>
      </c>
      <c r="BX220" s="171">
        <f ca="1">IF(OR($D220&lt;&gt;"Serviço",AND(AUTOEVENTO="Manual",$M220=$A$15)),0,
         IF(OFFSET(CRONOPLE!$F$15,$M220-$A$15,BX$13)=0,10^12,OFFSET(CRONOPLE!$F$15,$M220-$A$15,BX$13)))</f>
        <v>6</v>
      </c>
      <c r="BY220" s="171">
        <f ca="1">IF(OR($D220&lt;&gt;"Serviço",AND(AUTOEVENTO="Manual",$M220=$A$15)),0,
         IF(OFFSET(CRONOPLE!$F$15,$M220-$A$15,BY$13)=0,10^12,OFFSET(CRONOPLE!$F$15,$M220-$A$15,BY$13)))</f>
        <v>7</v>
      </c>
      <c r="BZ220" s="171">
        <f ca="1">IF(OR($D220&lt;&gt;"Serviço",AND(AUTOEVENTO="Manual",$M220=$A$15)),0,
         IF(OFFSET(CRONOPLE!$F$15,$M220-$A$15,BZ$13)=0,10^12,OFFSET(CRONOPLE!$F$15,$M220-$A$15,BZ$13)))</f>
        <v>8</v>
      </c>
      <c r="CA220" s="171">
        <f ca="1">IF(OR($D220&lt;&gt;"Serviço",AND(AUTOEVENTO="Manual",$M220=$A$15)),0,
         IF(OFFSET(CRONOPLE!$F$15,$M220-$A$15,CA$13)=0,10^12,OFFSET(CRONOPLE!$F$15,$M220-$A$15,CA$13)))</f>
        <v>9</v>
      </c>
      <c r="CB220" s="171">
        <f ca="1">IF(OR($D220&lt;&gt;"Serviço",AND(AUTOEVENTO="Manual",$M220=$A$15)),0,
         IF(OFFSET(CRONOPLE!$F$15,$M220-$A$15,CB$13)=0,10^12,OFFSET(CRONOPLE!$F$15,$M220-$A$15,CB$13)))</f>
        <v>10</v>
      </c>
      <c r="CC220" s="171">
        <f ca="1">IF(OR($D220&lt;&gt;"Serviço",AND(AUTOEVENTO="Manual",$M220=$A$15)),0,
         IF(OFFSET(CRONOPLE!$F$15,$M220-$A$15,CC$13)=0,10^12,OFFSET(CRONOPLE!$F$15,$M220-$A$15,CC$13)))</f>
        <v>11</v>
      </c>
      <c r="CD220" s="171">
        <f ca="1">IF(OR($D220&lt;&gt;"Serviço",AND(AUTOEVENTO="Manual",$M220=$A$15)),0,
         IF(OFFSET(CRONOPLE!$F$15,$M220-$A$15,CD$13)=0,10^12,OFFSET(CRONOPLE!$F$15,$M220-$A$15,CD$13)))</f>
        <v>12</v>
      </c>
      <c r="CE220" s="171">
        <f ca="1">IF(OR($D220&lt;&gt;"Serviço",AND(AUTOEVENTO="Manual",$M220=$A$15)),0,
         IF(OFFSET(CRONOPLE!$F$15,$M220-$A$15,CE$13)=0,10^12,OFFSET(CRONOPLE!$F$15,$M220-$A$15,CE$13)))</f>
        <v>13</v>
      </c>
      <c r="CF220" s="171">
        <f ca="1">IF(OR($D220&lt;&gt;"Serviço",AND(AUTOEVENTO="Manual",$M220=$A$15)),0,
         IF(OFFSET(CRONOPLE!$F$15,$M220-$A$15,CF$13)=0,10^12,OFFSET(CRONOPLE!$F$15,$M220-$A$15,CF$13)))</f>
        <v>14</v>
      </c>
      <c r="CG220" s="171">
        <f ca="1">IF(OR($D220&lt;&gt;"Serviço",AND(AUTOEVENTO="Manual",$M220=$A$15)),0,
         IF(OFFSET(CRONOPLE!$F$15,$M220-$A$15,CG$13)=0,10^12,OFFSET(CRONOPLE!$F$15,$M220-$A$15,CG$13)))</f>
        <v>15</v>
      </c>
      <c r="CH220" s="171">
        <f ca="1">IF(OR($D220&lt;&gt;"Serviço",AND(AUTOEVENTO="Manual",$M220=$A$15)),0,
         IF(OFFSET(CRONOPLE!$F$15,$M220-$A$15,CH$13)=0,10^12,OFFSET(CRONOPLE!$F$15,$M220-$A$15,CH$13)))</f>
        <v>16</v>
      </c>
      <c r="CI220" s="171">
        <f ca="1">IF(OR($D220&lt;&gt;"Serviço",AND(AUTOEVENTO="Manual",$M220=$A$15)),0,
         IF(OFFSET(CRONOPLE!$F$15,$M220-$A$15,CI$13)=0,10^12,OFFSET(CRONOPLE!$F$15,$M220-$A$15,CI$13)))</f>
        <v>17</v>
      </c>
      <c r="CJ220" s="171">
        <f ca="1">IF(OR($D220&lt;&gt;"Serviço",AND(AUTOEVENTO="Manual",$M220=$A$15)),0,
         IF(OFFSET(CRONOPLE!$F$15,$M220-$A$15,CJ$13)=0,10^12,OFFSET(CRONOPLE!$F$15,$M220-$A$15,CJ$13)))</f>
        <v>18</v>
      </c>
      <c r="CK220" s="171">
        <f ca="1">IF(OR($D220&lt;&gt;"Serviço",AND(AUTOEVENTO="Manual",$M220=$A$15)),0,
         IF(OFFSET(CRONOPLE!$F$15,$M220-$A$15,CK$13)=0,10^12,OFFSET(CRONOPLE!$F$15,$M220-$A$15,CK$13)))</f>
        <v>19</v>
      </c>
      <c r="CL220" s="171">
        <f ca="1">IF(OR($D220&lt;&gt;"Serviço",AND(AUTOEVENTO="Manual",$M220=$A$15)),0,
         IF(OFFSET(CRONOPLE!$F$15,$M220-$A$15,CL$13)=0,10^12,OFFSET(CRONOPLE!$F$15,$M220-$A$15,CL$13)))</f>
        <v>20</v>
      </c>
      <c r="CM220" s="171">
        <f ca="1">IF(OR($D220&lt;&gt;"Serviço",AND(AUTOEVENTO="Manual",$M220=$A$15)),0,
         IF(OFFSET(CRONOPLE!$F$15,$M220-$A$15,CM$13)=0,10^12,OFFSET(CRONOPLE!$F$15,$M220-$A$15,CM$13)))</f>
        <v>1000000000000</v>
      </c>
      <c r="CN220" s="171">
        <f ca="1">IF(OR($D220&lt;&gt;"Serviço",AND(AUTOEVENTO="Manual",$M220=$A$15)),0,
         IF(OFFSET(CRONOPLE!$F$15,$M220-$A$15,CN$13)=0,10^12,OFFSET(CRONOPLE!$F$15,$M220-$A$15,CN$13)))</f>
        <v>1000000000000</v>
      </c>
      <c r="CO220" s="171">
        <f ca="1">IF(OR($D220&lt;&gt;"Serviço",AND(AUTOEVENTO="Manual",$M220=$A$15)),0,
         IF(OFFSET(CRONOPLE!$F$15,$M220-$A$15,CO$13)=0,10^12,OFFSET(CRONOPLE!$F$15,$M220-$A$15,CO$13)))</f>
        <v>1000000000000</v>
      </c>
      <c r="CP220" s="171">
        <f ca="1">IF(OR($D220&lt;&gt;"Serviço",AND(AUTOEVENTO="Manual",$M220=$A$15)),0,
         IF(OFFSET(CRONOPLE!$F$15,$M220-$A$15,CP$13)=0,10^12,OFFSET(CRONOPLE!$F$15,$M220-$A$15,CP$13)))</f>
        <v>1000000000000</v>
      </c>
      <c r="CQ220" s="171">
        <f ca="1">IF(OR($D220&lt;&gt;"Serviço",AND(AUTOEVENTO="Manual",$M220=$A$15)),0,
         IF(OFFSET(CRONOPLE!$F$15,$M220-$A$15,CQ$13)=0,10^12,OFFSET(CRONOPLE!$F$15,$M220-$A$15,CQ$13)))</f>
        <v>1000000000000</v>
      </c>
      <c r="CR220" s="171">
        <f ca="1">IF(OR($D220&lt;&gt;"Serviço",AND(AUTOEVENTO="Manual",$M220=$A$15)),0,
         IF(OFFSET(CRONOPLE!$F$15,$M220-$A$15,CR$13)=0,10^12,OFFSET(CRONOPLE!$F$15,$M220-$A$15,CR$13)))</f>
        <v>1000000000000</v>
      </c>
      <c r="CT220" s="172" cm="1">
        <f t="array" aca="1" ref="CT220" ca="1">IF(OR($D220&lt;&gt;"Serviço",AND(AUTOEVENTO="Manual",$M220=$A$15),$M220&gt;(ROW(PLE.lastrow)-ROW(PLE.firstrow))),0,
           IF(OFFSET(PLE!$G$15,$M220-$A$15,CT$13)="",10^12,OFFSET(PLE!$G$15,$M220-$A$15,CT$13)))</f>
        <v>1000000000000</v>
      </c>
      <c r="CU220" s="172" cm="1">
        <f t="array" aca="1" ref="CU220" ca="1">IF(OR($D220&lt;&gt;"Serviço",AND(AUTOEVENTO="Manual",$M220=$A$15),$M220&gt;(ROW(PLE.lastrow)-ROW(PLE.firstrow))),0,
           IF(OFFSET(PLE!$G$15,$M220-$A$15,CU$13)="",10^12,OFFSET(PLE!$G$15,$M220-$A$15,CU$13)))</f>
        <v>1000000000000</v>
      </c>
      <c r="CV220" s="172" cm="1">
        <f t="array" aca="1" ref="CV220" ca="1">IF(OR($D220&lt;&gt;"Serviço",AND(AUTOEVENTO="Manual",$M220=$A$15),$M220&gt;(ROW(PLE.lastrow)-ROW(PLE.firstrow))),0,
           IF(OFFSET(PLE!$G$15,$M220-$A$15,CV$13)="",10^12,OFFSET(PLE!$G$15,$M220-$A$15,CV$13)))</f>
        <v>1000000000000</v>
      </c>
      <c r="CW220" s="172" cm="1">
        <f t="array" aca="1" ref="CW220" ca="1">IF(OR($D220&lt;&gt;"Serviço",AND(AUTOEVENTO="Manual",$M220=$A$15),$M220&gt;(ROW(PLE.lastrow)-ROW(PLE.firstrow))),0,
           IF(OFFSET(PLE!$G$15,$M220-$A$15,CW$13)="",10^12,OFFSET(PLE!$G$15,$M220-$A$15,CW$13)))</f>
        <v>1000000000000</v>
      </c>
      <c r="CX220" s="172" cm="1">
        <f t="array" aca="1" ref="CX220" ca="1">IF(OR($D220&lt;&gt;"Serviço",AND(AUTOEVENTO="Manual",$M220=$A$15),$M220&gt;(ROW(PLE.lastrow)-ROW(PLE.firstrow))),0,
           IF(OFFSET(PLE!$G$15,$M220-$A$15,CX$13)="",10^12,OFFSET(PLE!$G$15,$M220-$A$15,CX$13)))</f>
        <v>1000000000000</v>
      </c>
      <c r="CY220" s="172" cm="1">
        <f t="array" aca="1" ref="CY220" ca="1">IF(OR($D220&lt;&gt;"Serviço",AND(AUTOEVENTO="Manual",$M220=$A$15),$M220&gt;(ROW(PLE.lastrow)-ROW(PLE.firstrow))),0,
           IF(OFFSET(PLE!$G$15,$M220-$A$15,CY$13)="",10^12,OFFSET(PLE!$G$15,$M220-$A$15,CY$13)))</f>
        <v>1000000000000</v>
      </c>
      <c r="CZ220" s="172" cm="1">
        <f t="array" aca="1" ref="CZ220" ca="1">IF(OR($D220&lt;&gt;"Serviço",AND(AUTOEVENTO="Manual",$M220=$A$15),$M220&gt;(ROW(PLE.lastrow)-ROW(PLE.firstrow))),0,
           IF(OFFSET(PLE!$G$15,$M220-$A$15,CZ$13)="",10^12,OFFSET(PLE!$G$15,$M220-$A$15,CZ$13)))</f>
        <v>1000000000000</v>
      </c>
      <c r="DA220" s="172" cm="1">
        <f t="array" aca="1" ref="DA220" ca="1">IF(OR($D220&lt;&gt;"Serviço",AND(AUTOEVENTO="Manual",$M220=$A$15),$M220&gt;(ROW(PLE.lastrow)-ROW(PLE.firstrow))),0,
           IF(OFFSET(PLE!$G$15,$M220-$A$15,DA$13)="",10^12,OFFSET(PLE!$G$15,$M220-$A$15,DA$13)))</f>
        <v>1000000000000</v>
      </c>
      <c r="DB220" s="172" cm="1">
        <f t="array" aca="1" ref="DB220" ca="1">IF(OR($D220&lt;&gt;"Serviço",AND(AUTOEVENTO="Manual",$M220=$A$15),$M220&gt;(ROW(PLE.lastrow)-ROW(PLE.firstrow))),0,
           IF(OFFSET(PLE!$G$15,$M220-$A$15,DB$13)="",10^12,OFFSET(PLE!$G$15,$M220-$A$15,DB$13)))</f>
        <v>1000000000000</v>
      </c>
      <c r="DC220" s="172" cm="1">
        <f t="array" aca="1" ref="DC220" ca="1">IF(OR($D220&lt;&gt;"Serviço",AND(AUTOEVENTO="Manual",$M220=$A$15),$M220&gt;(ROW(PLE.lastrow)-ROW(PLE.firstrow))),0,
           IF(OFFSET(PLE!$G$15,$M220-$A$15,DC$13)="",10^12,OFFSET(PLE!$G$15,$M220-$A$15,DC$13)))</f>
        <v>1000000000000</v>
      </c>
      <c r="DD220" s="172" cm="1">
        <f t="array" aca="1" ref="DD220" ca="1">IF(OR($D220&lt;&gt;"Serviço",AND(AUTOEVENTO="Manual",$M220=$A$15),$M220&gt;(ROW(PLE.lastrow)-ROW(PLE.firstrow))),0,
           IF(OFFSET(PLE!$G$15,$M220-$A$15,DD$13)="",10^12,OFFSET(PLE!$G$15,$M220-$A$15,DD$13)))</f>
        <v>1000000000000</v>
      </c>
      <c r="DE220" s="172" cm="1">
        <f t="array" aca="1" ref="DE220" ca="1">IF(OR($D220&lt;&gt;"Serviço",AND(AUTOEVENTO="Manual",$M220=$A$15),$M220&gt;(ROW(PLE.lastrow)-ROW(PLE.firstrow))),0,
           IF(OFFSET(PLE!$G$15,$M220-$A$15,DE$13)="",10^12,OFFSET(PLE!$G$15,$M220-$A$15,DE$13)))</f>
        <v>1000000000000</v>
      </c>
      <c r="DF220" s="172" cm="1">
        <f t="array" aca="1" ref="DF220" ca="1">IF(OR($D220&lt;&gt;"Serviço",AND(AUTOEVENTO="Manual",$M220=$A$15),$M220&gt;(ROW(PLE.lastrow)-ROW(PLE.firstrow))),0,
           IF(OFFSET(PLE!$G$15,$M220-$A$15,DF$13)="",10^12,OFFSET(PLE!$G$15,$M220-$A$15,DF$13)))</f>
        <v>1000000000000</v>
      </c>
      <c r="DG220" s="172" cm="1">
        <f t="array" aca="1" ref="DG220" ca="1">IF(OR($D220&lt;&gt;"Serviço",AND(AUTOEVENTO="Manual",$M220=$A$15),$M220&gt;(ROW(PLE.lastrow)-ROW(PLE.firstrow))),0,
           IF(OFFSET(PLE!$G$15,$M220-$A$15,DG$13)="",10^12,OFFSET(PLE!$G$15,$M220-$A$15,DG$13)))</f>
        <v>1000000000000</v>
      </c>
      <c r="DH220" s="172" cm="1">
        <f t="array" aca="1" ref="DH220" ca="1">IF(OR($D220&lt;&gt;"Serviço",AND(AUTOEVENTO="Manual",$M220=$A$15),$M220&gt;(ROW(PLE.lastrow)-ROW(PLE.firstrow))),0,
           IF(OFFSET(PLE!$G$15,$M220-$A$15,DH$13)="",10^12,OFFSET(PLE!$G$15,$M220-$A$15,DH$13)))</f>
        <v>1000000000000</v>
      </c>
      <c r="DI220" s="172" cm="1">
        <f t="array" aca="1" ref="DI220" ca="1">IF(OR($D220&lt;&gt;"Serviço",AND(AUTOEVENTO="Manual",$M220=$A$15),$M220&gt;(ROW(PLE.lastrow)-ROW(PLE.firstrow))),0,
           IF(OFFSET(PLE!$G$15,$M220-$A$15,DI$13)="",10^12,OFFSET(PLE!$G$15,$M220-$A$15,DI$13)))</f>
        <v>1000000000000</v>
      </c>
      <c r="DJ220" s="172" cm="1">
        <f t="array" aca="1" ref="DJ220" ca="1">IF(OR($D220&lt;&gt;"Serviço",AND(AUTOEVENTO="Manual",$M220=$A$15),$M220&gt;(ROW(PLE.lastrow)-ROW(PLE.firstrow))),0,
           IF(OFFSET(PLE!$G$15,$M220-$A$15,DJ$13)="",10^12,OFFSET(PLE!$G$15,$M220-$A$15,DJ$13)))</f>
        <v>1000000000000</v>
      </c>
      <c r="DK220" s="172" cm="1">
        <f t="array" aca="1" ref="DK220" ca="1">IF(OR($D220&lt;&gt;"Serviço",AND(AUTOEVENTO="Manual",$M220=$A$15),$M220&gt;(ROW(PLE.lastrow)-ROW(PLE.firstrow))),0,
           IF(OFFSET(PLE!$G$15,$M220-$A$15,DK$13)="",10^12,OFFSET(PLE!$G$15,$M220-$A$15,DK$13)))</f>
        <v>1000000000000</v>
      </c>
      <c r="DL220" s="172" cm="1">
        <f t="array" aca="1" ref="DL220" ca="1">IF(OR($D220&lt;&gt;"Serviço",AND(AUTOEVENTO="Manual",$M220=$A$15),$M220&gt;(ROW(PLE.lastrow)-ROW(PLE.firstrow))),0,
           IF(OFFSET(PLE!$G$15,$M220-$A$15,DL$13)="",10^12,OFFSET(PLE!$G$15,$M220-$A$15,DL$13)))</f>
        <v>1000000000000</v>
      </c>
      <c r="DM220" s="172" cm="1">
        <f t="array" aca="1" ref="DM220" ca="1">IF(OR($D220&lt;&gt;"Serviço",AND(AUTOEVENTO="Manual",$M220=$A$15),$M220&gt;(ROW(PLE.lastrow)-ROW(PLE.firstrow))),0,
           IF(OFFSET(PLE!$G$15,$M220-$A$15,DM$13)="",10^12,OFFSET(PLE!$G$15,$M220-$A$15,DM$13)))</f>
        <v>1000000000000</v>
      </c>
      <c r="DN220" s="172" cm="1">
        <f t="array" aca="1" ref="DN220" ca="1">IF(OR($D220&lt;&gt;"Serviço",AND(AUTOEVENTO="Manual",$M220=$A$15),$M220&gt;(ROW(PLE.lastrow)-ROW(PLE.firstrow))),0,
           IF(OFFSET(PLE!$G$15,$M220-$A$15,DN$13)="",10^12,OFFSET(PLE!$G$15,$M220-$A$15,DN$13)))</f>
        <v>1000000000000</v>
      </c>
      <c r="DO220" s="172" cm="1">
        <f t="array" aca="1" ref="DO220" ca="1">IF(OR($D220&lt;&gt;"Serviço",AND(AUTOEVENTO="Manual",$M220=$A$15),$M220&gt;(ROW(PLE.lastrow)-ROW(PLE.firstrow))),0,
           IF(OFFSET(PLE!$G$15,$M220-$A$15,DO$13)="",10^12,OFFSET(PLE!$G$15,$M220-$A$15,DO$13)))</f>
        <v>1000000000000</v>
      </c>
      <c r="DP220" s="172" cm="1">
        <f t="array" aca="1" ref="DP220" ca="1">IF(OR($D220&lt;&gt;"Serviço",AND(AUTOEVENTO="Manual",$M220=$A$15),$M220&gt;(ROW(PLE.lastrow)-ROW(PLE.firstrow))),0,
           IF(OFFSET(PLE!$G$15,$M220-$A$15,DP$13)="",10^12,OFFSET(PLE!$G$15,$M220-$A$15,DP$13)))</f>
        <v>1000000000000</v>
      </c>
      <c r="DQ220" s="172" cm="1">
        <f t="array" aca="1" ref="DQ220" ca="1">IF(OR($D220&lt;&gt;"Serviço",AND(AUTOEVENTO="Manual",$M220=$A$15),$M220&gt;(ROW(PLE.lastrow)-ROW(PLE.firstrow))),0,
           IF(OFFSET(PLE!$G$15,$M220-$A$15,DQ$13)="",10^12,OFFSET(PLE!$G$15,$M220-$A$15,DQ$13)))</f>
        <v>1000000000000</v>
      </c>
      <c r="DR220" s="172" cm="1">
        <f t="array" aca="1" ref="DR220" ca="1">IF(OR($D220&lt;&gt;"Serviço",AND(AUTOEVENTO="Manual",$M220=$A$15),$M220&gt;(ROW(PLE.lastrow)-ROW(PLE.firstrow))),0,
           IF(OFFSET(PLE!$G$15,$M220-$A$15,DR$13)="",10^12,OFFSET(PLE!$G$15,$M220-$A$15,DR$13)))</f>
        <v>1000000000000</v>
      </c>
      <c r="DS220" s="172" cm="1">
        <f t="array" aca="1" ref="DS220" ca="1">IF(OR($D220&lt;&gt;"Serviço",AND(AUTOEVENTO="Manual",$M220=$A$15),$M220&gt;(ROW(PLE.lastrow)-ROW(PLE.firstrow))),0,
           IF(OFFSET(PLE!$G$15,$M220-$A$15,DS$13)="",10^12,OFFSET(PLE!$G$15,$M220-$A$15,DS$13)))</f>
        <v>1000000000000</v>
      </c>
    </row>
    <row r="221" spans="1:123" ht="38.25" x14ac:dyDescent="0.2">
      <c r="A221" s="7">
        <f t="shared" ca="1" si="19"/>
        <v>9</v>
      </c>
      <c r="B221" s="7" t="str">
        <f ca="1">OFFSET(ORÇAMENTO!C$15,$L221,0)</f>
        <v>S</v>
      </c>
      <c r="C221" s="7" t="str">
        <f ca="1">OFFSET(ORÇAMENTO!L$15,$L221,0)</f>
        <v/>
      </c>
      <c r="D221" s="116" t="str">
        <f ca="1">OFFSET(ORÇAMENTO!N$15,$L221,0)</f>
        <v>Serviço</v>
      </c>
      <c r="E221" s="117" t="str">
        <f ca="1">OFFSET(ORÇAMENTO!O$15,$L221,0)</f>
        <v>-</v>
      </c>
      <c r="F221" s="163" t="str">
        <f ca="1">OFFSET(ORÇAMENTO!R$15,$L221,0)</f>
        <v>(Código não identificado nas referências)</v>
      </c>
      <c r="G221" s="164" t="str">
        <f ca="1">IF($D221&lt;&gt;"Serviço","",OFFSET(ORÇAMENTO!S$15,$L221,0))</f>
        <v>-</v>
      </c>
      <c r="H221" s="122" cm="1">
        <f t="array" aca="1" ref="H221" ca="1">IF($D221&lt;&gt;"Serviço",0,IF(ACOMPANHAMENTO="BM",ROUND(OFFSET(ORÇAMENTO!AJ$15,$L221,0),15-13*ORÇAMENTO!$AF$7),IF(IFERROR(CÁLCULO.FrentesPreenchidas,0)=0,0,SUM(ROUND(OFFSET($P221,0,1,1,CÁLCULO.FrentesPreenchidas),15-13*ORÇAMENTO!$AF$7)))))</f>
        <v>20</v>
      </c>
      <c r="I221" s="468" t="s">
        <v>1235</v>
      </c>
      <c r="J221" s="651" t="str" cm="1">
        <f t="array" aca="1" ref="J221" ca="1">IF(OR(B221&lt;&gt;"S",CÁLCULO.FrentesPreenchidas=0),"",IF(AND(ACOMPANHAMENTO="PLE",AUTOEVENTO="Manual",OR(H221&gt;0,ORÇAMENTO!AC221="QUANT."),OR(K221="",M221=0,N221="")),"►E",IF(AND(ACOMPANHAMENTO="PLE",ORÇAMENTO!AC221="QUANT."),"►Q",IF(AND(ACOMPANHAMENTO="PLE",H221&lt;&gt;SUMPRODUCT(($Q$1:$AQ$1=1)*ROUND(Q221:AQ221,15))),"►S",IF(AND(COUNTIF($P$11:$AQ$11,"▼")=0,H221&gt;0,I221=""),"◄M","")))))</f>
        <v/>
      </c>
      <c r="K221" s="652" t="s">
        <v>1257</v>
      </c>
      <c r="L221" s="165">
        <f t="shared" ca="1" si="20"/>
        <v>206</v>
      </c>
      <c r="M221" s="166">
        <f ca="1">IF($D221&lt;&gt;"Serviço","",
          IF(AUTOEVENTO="manual",$A221,
                IF(ISERROR(MATCH($A221,$A$15:OFFSET($A221,-1,0),0)),MAX($M$15:OFFSET(M221,-1,0))+1,
                      INDEX($M$15:OFFSET(M221,-1,0),MATCH($A221,$A$15:OFFSET($A221,-1,0),0)))))</f>
        <v>9</v>
      </c>
      <c r="N221" s="167" t="str">
        <f ca="1">IF($D221&lt;&gt;"Serviço","",
         IF(AUTOEVENTO="Manual",
                IF($A221=0,"&lt;-- defina o número do agrupador",
                       OFFSET(EVENTOS!$D$15,$A221-$A$15,0)),
                OFFSET($F$15,$A221,0)))</f>
        <v>INSTALAÇÕES</v>
      </c>
      <c r="O221" s="168"/>
      <c r="Q221" s="168">
        <v>1</v>
      </c>
      <c r="R221" s="169">
        <v>1</v>
      </c>
      <c r="S221" s="169">
        <v>1</v>
      </c>
      <c r="T221" s="169">
        <v>1</v>
      </c>
      <c r="U221" s="169">
        <v>1</v>
      </c>
      <c r="V221" s="169">
        <v>1</v>
      </c>
      <c r="W221" s="169">
        <v>1</v>
      </c>
      <c r="X221" s="169">
        <v>1</v>
      </c>
      <c r="Y221" s="169">
        <v>1</v>
      </c>
      <c r="Z221" s="170">
        <v>1</v>
      </c>
      <c r="AA221" s="169">
        <v>1</v>
      </c>
      <c r="AB221" s="169">
        <v>1</v>
      </c>
      <c r="AC221" s="169">
        <v>1</v>
      </c>
      <c r="AD221" s="169">
        <v>1</v>
      </c>
      <c r="AE221" s="169">
        <v>1</v>
      </c>
      <c r="AF221" s="169">
        <v>1</v>
      </c>
      <c r="AG221" s="169">
        <v>1</v>
      </c>
      <c r="AH221" s="170">
        <v>1</v>
      </c>
      <c r="AI221" s="169">
        <v>1</v>
      </c>
      <c r="AJ221" s="169">
        <v>1</v>
      </c>
      <c r="AK221" s="169"/>
      <c r="AL221" s="169"/>
      <c r="AM221" s="169"/>
      <c r="AN221" s="169"/>
      <c r="AO221" s="169"/>
      <c r="AP221" s="170"/>
      <c r="AR221" s="453">
        <f ca="1">IF(AND($D221="Serviço",AR$12&lt;&gt;0,$H221&gt;0,OR(AUTOEVENTO&lt;&gt;"manual",$M221&lt;&gt;$A$15)),
        IF(Import.TipoArredondamento&lt;&gt;"TransfereGOV",
              ROUND(OFFSET($P221,0,AR$13),15-13*ORÇAMENTO!$AF$7)/$H221*OFFSET(ORÇAMENTO!$X$15,ROW(AR221)-ROW(AR$15),0),
              ROUND(ROUND(OFFSET($P221,0,AR$13),15-13*ORÇAMENTO!$AF$7)*OFFSET(ORÇAMENTO!$W$15,ROW(AR221)-ROW(AR$15),0),15-13*ORÇAMENTO!$AF$11)),
         0)</f>
        <v>0</v>
      </c>
      <c r="AS221" s="453">
        <f ca="1">IF(AND($D221="Serviço",AS$12&lt;&gt;0,$H221&gt;0,OR(AUTOEVENTO&lt;&gt;"manual",$M221&lt;&gt;$A$15)),
        IF(Import.TipoArredondamento&lt;&gt;"TransfereGOV",
              ROUND(OFFSET($P221,0,AS$13),15-13*ORÇAMENTO!$AF$7)/$H221*OFFSET(ORÇAMENTO!$X$15,ROW(AS221)-ROW(AS$15),0),
              ROUND(ROUND(OFFSET($P221,0,AS$13),15-13*ORÇAMENTO!$AF$7)*OFFSET(ORÇAMENTO!$W$15,ROW(AS221)-ROW(AS$15),0),15-13*ORÇAMENTO!$AF$11)),
         0)</f>
        <v>0</v>
      </c>
      <c r="AT221" s="453">
        <f ca="1">IF(AND($D221="Serviço",AT$12&lt;&gt;0,$H221&gt;0,OR(AUTOEVENTO&lt;&gt;"manual",$M221&lt;&gt;$A$15)),
        IF(Import.TipoArredondamento&lt;&gt;"TransfereGOV",
              ROUND(OFFSET($P221,0,AT$13),15-13*ORÇAMENTO!$AF$7)/$H221*OFFSET(ORÇAMENTO!$X$15,ROW(AT221)-ROW(AT$15),0),
              ROUND(ROUND(OFFSET($P221,0,AT$13),15-13*ORÇAMENTO!$AF$7)*OFFSET(ORÇAMENTO!$W$15,ROW(AT221)-ROW(AT$15),0),15-13*ORÇAMENTO!$AF$11)),
         0)</f>
        <v>0</v>
      </c>
      <c r="AU221" s="453">
        <f ca="1">IF(AND($D221="Serviço",AU$12&lt;&gt;0,$H221&gt;0,OR(AUTOEVENTO&lt;&gt;"manual",$M221&lt;&gt;$A$15)),
        IF(Import.TipoArredondamento&lt;&gt;"TransfereGOV",
              ROUND(OFFSET($P221,0,AU$13),15-13*ORÇAMENTO!$AF$7)/$H221*OFFSET(ORÇAMENTO!$X$15,ROW(AU221)-ROW(AU$15),0),
              ROUND(ROUND(OFFSET($P221,0,AU$13),15-13*ORÇAMENTO!$AF$7)*OFFSET(ORÇAMENTO!$W$15,ROW(AU221)-ROW(AU$15),0),15-13*ORÇAMENTO!$AF$11)),
         0)</f>
        <v>0</v>
      </c>
      <c r="AV221" s="453">
        <f ca="1">IF(AND($D221="Serviço",AV$12&lt;&gt;0,$H221&gt;0,OR(AUTOEVENTO&lt;&gt;"manual",$M221&lt;&gt;$A$15)),
        IF(Import.TipoArredondamento&lt;&gt;"TransfereGOV",
              ROUND(OFFSET($P221,0,AV$13),15-13*ORÇAMENTO!$AF$7)/$H221*OFFSET(ORÇAMENTO!$X$15,ROW(AV221)-ROW(AV$15),0),
              ROUND(ROUND(OFFSET($P221,0,AV$13),15-13*ORÇAMENTO!$AF$7)*OFFSET(ORÇAMENTO!$W$15,ROW(AV221)-ROW(AV$15),0),15-13*ORÇAMENTO!$AF$11)),
         0)</f>
        <v>0</v>
      </c>
      <c r="AW221" s="453">
        <f ca="1">IF(AND($D221="Serviço",AW$12&lt;&gt;0,$H221&gt;0,OR(AUTOEVENTO&lt;&gt;"manual",$M221&lt;&gt;$A$15)),
        IF(Import.TipoArredondamento&lt;&gt;"TransfereGOV",
              ROUND(OFFSET($P221,0,AW$13),15-13*ORÇAMENTO!$AF$7)/$H221*OFFSET(ORÇAMENTO!$X$15,ROW(AW221)-ROW(AW$15),0),
              ROUND(ROUND(OFFSET($P221,0,AW$13),15-13*ORÇAMENTO!$AF$7)*OFFSET(ORÇAMENTO!$W$15,ROW(AW221)-ROW(AW$15),0),15-13*ORÇAMENTO!$AF$11)),
         0)</f>
        <v>0</v>
      </c>
      <c r="AX221" s="453">
        <f ca="1">IF(AND($D221="Serviço",AX$12&lt;&gt;0,$H221&gt;0,OR(AUTOEVENTO&lt;&gt;"manual",$M221&lt;&gt;$A$15)),
        IF(Import.TipoArredondamento&lt;&gt;"TransfereGOV",
              ROUND(OFFSET($P221,0,AX$13),15-13*ORÇAMENTO!$AF$7)/$H221*OFFSET(ORÇAMENTO!$X$15,ROW(AX221)-ROW(AX$15),0),
              ROUND(ROUND(OFFSET($P221,0,AX$13),15-13*ORÇAMENTO!$AF$7)*OFFSET(ORÇAMENTO!$W$15,ROW(AX221)-ROW(AX$15),0),15-13*ORÇAMENTO!$AF$11)),
         0)</f>
        <v>0</v>
      </c>
      <c r="AY221" s="453">
        <f ca="1">IF(AND($D221="Serviço",AY$12&lt;&gt;0,$H221&gt;0,OR(AUTOEVENTO&lt;&gt;"manual",$M221&lt;&gt;$A$15)),
        IF(Import.TipoArredondamento&lt;&gt;"TransfereGOV",
              ROUND(OFFSET($P221,0,AY$13),15-13*ORÇAMENTO!$AF$7)/$H221*OFFSET(ORÇAMENTO!$X$15,ROW(AY221)-ROW(AY$15),0),
              ROUND(ROUND(OFFSET($P221,0,AY$13),15-13*ORÇAMENTO!$AF$7)*OFFSET(ORÇAMENTO!$W$15,ROW(AY221)-ROW(AY$15),0),15-13*ORÇAMENTO!$AF$11)),
         0)</f>
        <v>0</v>
      </c>
      <c r="AZ221" s="453">
        <f ca="1">IF(AND($D221="Serviço",AZ$12&lt;&gt;0,$H221&gt;0,OR(AUTOEVENTO&lt;&gt;"manual",$M221&lt;&gt;$A$15)),
        IF(Import.TipoArredondamento&lt;&gt;"TransfereGOV",
              ROUND(OFFSET($P221,0,AZ$13),15-13*ORÇAMENTO!$AF$7)/$H221*OFFSET(ORÇAMENTO!$X$15,ROW(AZ221)-ROW(AZ$15),0),
              ROUND(ROUND(OFFSET($P221,0,AZ$13),15-13*ORÇAMENTO!$AF$7)*OFFSET(ORÇAMENTO!$W$15,ROW(AZ221)-ROW(AZ$15),0),15-13*ORÇAMENTO!$AF$11)),
         0)</f>
        <v>0</v>
      </c>
      <c r="BA221" s="453">
        <f ca="1">IF(AND($D221="Serviço",BA$12&lt;&gt;0,$H221&gt;0,OR(AUTOEVENTO&lt;&gt;"manual",$M221&lt;&gt;$A$15)),
        IF(Import.TipoArredondamento&lt;&gt;"TransfereGOV",
              ROUND(OFFSET($P221,0,BA$13),15-13*ORÇAMENTO!$AF$7)/$H221*OFFSET(ORÇAMENTO!$X$15,ROW(BA221)-ROW(BA$15),0),
              ROUND(ROUND(OFFSET($P221,0,BA$13),15-13*ORÇAMENTO!$AF$7)*OFFSET(ORÇAMENTO!$W$15,ROW(BA221)-ROW(BA$15),0),15-13*ORÇAMENTO!$AF$11)),
         0)</f>
        <v>0</v>
      </c>
      <c r="BB221" s="453">
        <f ca="1">IF(AND($D221="Serviço",BB$12&lt;&gt;0,$H221&gt;0,OR(AUTOEVENTO&lt;&gt;"manual",$M221&lt;&gt;$A$15)),
        IF(Import.TipoArredondamento&lt;&gt;"TransfereGOV",
              ROUND(OFFSET($P221,0,BB$13),15-13*ORÇAMENTO!$AF$7)/$H221*OFFSET(ORÇAMENTO!$X$15,ROW(BB221)-ROW(BB$15),0),
              ROUND(ROUND(OFFSET($P221,0,BB$13),15-13*ORÇAMENTO!$AF$7)*OFFSET(ORÇAMENTO!$W$15,ROW(BB221)-ROW(BB$15),0),15-13*ORÇAMENTO!$AF$11)),
         0)</f>
        <v>0</v>
      </c>
      <c r="BC221" s="453">
        <f ca="1">IF(AND($D221="Serviço",BC$12&lt;&gt;0,$H221&gt;0,OR(AUTOEVENTO&lt;&gt;"manual",$M221&lt;&gt;$A$15)),
        IF(Import.TipoArredondamento&lt;&gt;"TransfereGOV",
              ROUND(OFFSET($P221,0,BC$13),15-13*ORÇAMENTO!$AF$7)/$H221*OFFSET(ORÇAMENTO!$X$15,ROW(BC221)-ROW(BC$15),0),
              ROUND(ROUND(OFFSET($P221,0,BC$13),15-13*ORÇAMENTO!$AF$7)*OFFSET(ORÇAMENTO!$W$15,ROW(BC221)-ROW(BC$15),0),15-13*ORÇAMENTO!$AF$11)),
         0)</f>
        <v>0</v>
      </c>
      <c r="BD221" s="453">
        <f ca="1">IF(AND($D221="Serviço",BD$12&lt;&gt;0,$H221&gt;0,OR(AUTOEVENTO&lt;&gt;"manual",$M221&lt;&gt;$A$15)),
        IF(Import.TipoArredondamento&lt;&gt;"TransfereGOV",
              ROUND(OFFSET($P221,0,BD$13),15-13*ORÇAMENTO!$AF$7)/$H221*OFFSET(ORÇAMENTO!$X$15,ROW(BD221)-ROW(BD$15),0),
              ROUND(ROUND(OFFSET($P221,0,BD$13),15-13*ORÇAMENTO!$AF$7)*OFFSET(ORÇAMENTO!$W$15,ROW(BD221)-ROW(BD$15),0),15-13*ORÇAMENTO!$AF$11)),
         0)</f>
        <v>0</v>
      </c>
      <c r="BE221" s="453">
        <f ca="1">IF(AND($D221="Serviço",BE$12&lt;&gt;0,$H221&gt;0,OR(AUTOEVENTO&lt;&gt;"manual",$M221&lt;&gt;$A$15)),
        IF(Import.TipoArredondamento&lt;&gt;"TransfereGOV",
              ROUND(OFFSET($P221,0,BE$13),15-13*ORÇAMENTO!$AF$7)/$H221*OFFSET(ORÇAMENTO!$X$15,ROW(BE221)-ROW(BE$15),0),
              ROUND(ROUND(OFFSET($P221,0,BE$13),15-13*ORÇAMENTO!$AF$7)*OFFSET(ORÇAMENTO!$W$15,ROW(BE221)-ROW(BE$15),0),15-13*ORÇAMENTO!$AF$11)),
         0)</f>
        <v>0</v>
      </c>
      <c r="BF221" s="453">
        <f ca="1">IF(AND($D221="Serviço",BF$12&lt;&gt;0,$H221&gt;0,OR(AUTOEVENTO&lt;&gt;"manual",$M221&lt;&gt;$A$15)),
        IF(Import.TipoArredondamento&lt;&gt;"TransfereGOV",
              ROUND(OFFSET($P221,0,BF$13),15-13*ORÇAMENTO!$AF$7)/$H221*OFFSET(ORÇAMENTO!$X$15,ROW(BF221)-ROW(BF$15),0),
              ROUND(ROUND(OFFSET($P221,0,BF$13),15-13*ORÇAMENTO!$AF$7)*OFFSET(ORÇAMENTO!$W$15,ROW(BF221)-ROW(BF$15),0),15-13*ORÇAMENTO!$AF$11)),
         0)</f>
        <v>0</v>
      </c>
      <c r="BG221" s="453">
        <f ca="1">IF(AND($D221="Serviço",BG$12&lt;&gt;0,$H221&gt;0,OR(AUTOEVENTO&lt;&gt;"manual",$M221&lt;&gt;$A$15)),
        IF(Import.TipoArredondamento&lt;&gt;"TransfereGOV",
              ROUND(OFFSET($P221,0,BG$13),15-13*ORÇAMENTO!$AF$7)/$H221*OFFSET(ORÇAMENTO!$X$15,ROW(BG221)-ROW(BG$15),0),
              ROUND(ROUND(OFFSET($P221,0,BG$13),15-13*ORÇAMENTO!$AF$7)*OFFSET(ORÇAMENTO!$W$15,ROW(BG221)-ROW(BG$15),0),15-13*ORÇAMENTO!$AF$11)),
         0)</f>
        <v>0</v>
      </c>
      <c r="BH221" s="453">
        <f ca="1">IF(AND($D221="Serviço",BH$12&lt;&gt;0,$H221&gt;0,OR(AUTOEVENTO&lt;&gt;"manual",$M221&lt;&gt;$A$15)),
        IF(Import.TipoArredondamento&lt;&gt;"TransfereGOV",
              ROUND(OFFSET($P221,0,BH$13),15-13*ORÇAMENTO!$AF$7)/$H221*OFFSET(ORÇAMENTO!$X$15,ROW(BH221)-ROW(BH$15),0),
              ROUND(ROUND(OFFSET($P221,0,BH$13),15-13*ORÇAMENTO!$AF$7)*OFFSET(ORÇAMENTO!$W$15,ROW(BH221)-ROW(BH$15),0),15-13*ORÇAMENTO!$AF$11)),
         0)</f>
        <v>0</v>
      </c>
      <c r="BI221" s="453">
        <f ca="1">IF(AND($D221="Serviço",BI$12&lt;&gt;0,$H221&gt;0,OR(AUTOEVENTO&lt;&gt;"manual",$M221&lt;&gt;$A$15)),
        IF(Import.TipoArredondamento&lt;&gt;"TransfereGOV",
              ROUND(OFFSET($P221,0,BI$13),15-13*ORÇAMENTO!$AF$7)/$H221*OFFSET(ORÇAMENTO!$X$15,ROW(BI221)-ROW(BI$15),0),
              ROUND(ROUND(OFFSET($P221,0,BI$13),15-13*ORÇAMENTO!$AF$7)*OFFSET(ORÇAMENTO!$W$15,ROW(BI221)-ROW(BI$15),0),15-13*ORÇAMENTO!$AF$11)),
         0)</f>
        <v>0</v>
      </c>
      <c r="BJ221" s="453">
        <f ca="1">IF(AND($D221="Serviço",BJ$12&lt;&gt;0,$H221&gt;0,OR(AUTOEVENTO&lt;&gt;"manual",$M221&lt;&gt;$A$15)),
        IF(Import.TipoArredondamento&lt;&gt;"TransfereGOV",
              ROUND(OFFSET($P221,0,BJ$13),15-13*ORÇAMENTO!$AF$7)/$H221*OFFSET(ORÇAMENTO!$X$15,ROW(BJ221)-ROW(BJ$15),0),
              ROUND(ROUND(OFFSET($P221,0,BJ$13),15-13*ORÇAMENTO!$AF$7)*OFFSET(ORÇAMENTO!$W$15,ROW(BJ221)-ROW(BJ$15),0),15-13*ORÇAMENTO!$AF$11)),
         0)</f>
        <v>0</v>
      </c>
      <c r="BK221" s="453">
        <f ca="1">IF(AND($D221="Serviço",BK$12&lt;&gt;0,$H221&gt;0,OR(AUTOEVENTO&lt;&gt;"manual",$M221&lt;&gt;$A$15)),
        IF(Import.TipoArredondamento&lt;&gt;"TransfereGOV",
              ROUND(OFFSET($P221,0,BK$13),15-13*ORÇAMENTO!$AF$7)/$H221*OFFSET(ORÇAMENTO!$X$15,ROW(BK221)-ROW(BK$15),0),
              ROUND(ROUND(OFFSET($P221,0,BK$13),15-13*ORÇAMENTO!$AF$7)*OFFSET(ORÇAMENTO!$W$15,ROW(BK221)-ROW(BK$15),0),15-13*ORÇAMENTO!$AF$11)),
         0)</f>
        <v>0</v>
      </c>
      <c r="BL221" s="453">
        <f ca="1">IF(AND($D221="Serviço",BL$12&lt;&gt;0,$H221&gt;0,OR(AUTOEVENTO&lt;&gt;"manual",$M221&lt;&gt;$A$15)),
        IF(Import.TipoArredondamento&lt;&gt;"TransfereGOV",
              ROUND(OFFSET($P221,0,BL$13),15-13*ORÇAMENTO!$AF$7)/$H221*OFFSET(ORÇAMENTO!$X$15,ROW(BL221)-ROW(BL$15),0),
              ROUND(ROUND(OFFSET($P221,0,BL$13),15-13*ORÇAMENTO!$AF$7)*OFFSET(ORÇAMENTO!$W$15,ROW(BL221)-ROW(BL$15),0),15-13*ORÇAMENTO!$AF$11)),
         0)</f>
        <v>0</v>
      </c>
      <c r="BM221" s="453">
        <f ca="1">IF(AND($D221="Serviço",BM$12&lt;&gt;0,$H221&gt;0,OR(AUTOEVENTO&lt;&gt;"manual",$M221&lt;&gt;$A$15)),
        IF(Import.TipoArredondamento&lt;&gt;"TransfereGOV",
              ROUND(OFFSET($P221,0,BM$13),15-13*ORÇAMENTO!$AF$7)/$H221*OFFSET(ORÇAMENTO!$X$15,ROW(BM221)-ROW(BM$15),0),
              ROUND(ROUND(OFFSET($P221,0,BM$13),15-13*ORÇAMENTO!$AF$7)*OFFSET(ORÇAMENTO!$W$15,ROW(BM221)-ROW(BM$15),0),15-13*ORÇAMENTO!$AF$11)),
         0)</f>
        <v>0</v>
      </c>
      <c r="BN221" s="453">
        <f ca="1">IF(AND($D221="Serviço",BN$12&lt;&gt;0,$H221&gt;0,OR(AUTOEVENTO&lt;&gt;"manual",$M221&lt;&gt;$A$15)),
        IF(Import.TipoArredondamento&lt;&gt;"TransfereGOV",
              ROUND(OFFSET($P221,0,BN$13),15-13*ORÇAMENTO!$AF$7)/$H221*OFFSET(ORÇAMENTO!$X$15,ROW(BN221)-ROW(BN$15),0),
              ROUND(ROUND(OFFSET($P221,0,BN$13),15-13*ORÇAMENTO!$AF$7)*OFFSET(ORÇAMENTO!$W$15,ROW(BN221)-ROW(BN$15),0),15-13*ORÇAMENTO!$AF$11)),
         0)</f>
        <v>0</v>
      </c>
      <c r="BO221" s="453">
        <f ca="1">IF(AND($D221="Serviço",BO$12&lt;&gt;0,$H221&gt;0,OR(AUTOEVENTO&lt;&gt;"manual",$M221&lt;&gt;$A$15)),
        IF(Import.TipoArredondamento&lt;&gt;"TransfereGOV",
              ROUND(OFFSET($P221,0,BO$13),15-13*ORÇAMENTO!$AF$7)/$H221*OFFSET(ORÇAMENTO!$X$15,ROW(BO221)-ROW(BO$15),0),
              ROUND(ROUND(OFFSET($P221,0,BO$13),15-13*ORÇAMENTO!$AF$7)*OFFSET(ORÇAMENTO!$W$15,ROW(BO221)-ROW(BO$15),0),15-13*ORÇAMENTO!$AF$11)),
         0)</f>
        <v>0</v>
      </c>
      <c r="BP221" s="453">
        <f ca="1">IF(AND($D221="Serviço",BP$12&lt;&gt;0,$H221&gt;0,OR(AUTOEVENTO&lt;&gt;"manual",$M221&lt;&gt;$A$15)),
        IF(Import.TipoArredondamento&lt;&gt;"TransfereGOV",
              ROUND(OFFSET($P221,0,BP$13),15-13*ORÇAMENTO!$AF$7)/$H221*OFFSET(ORÇAMENTO!$X$15,ROW(BP221)-ROW(BP$15),0),
              ROUND(ROUND(OFFSET($P221,0,BP$13),15-13*ORÇAMENTO!$AF$7)*OFFSET(ORÇAMENTO!$W$15,ROW(BP221)-ROW(BP$15),0),15-13*ORÇAMENTO!$AF$11)),
         0)</f>
        <v>0</v>
      </c>
      <c r="BQ221" s="453">
        <f ca="1">IF(AND($D221="Serviço",BQ$12&lt;&gt;0,$H221&gt;0,OR(AUTOEVENTO&lt;&gt;"manual",$M221&lt;&gt;$A$15)),
        IF(Import.TipoArredondamento&lt;&gt;"TransfereGOV",
              ROUND(OFFSET($P221,0,BQ$13),15-13*ORÇAMENTO!$AF$7)/$H221*OFFSET(ORÇAMENTO!$X$15,ROW(BQ221)-ROW(BQ$15),0),
              ROUND(ROUND(OFFSET($P221,0,BQ$13),15-13*ORÇAMENTO!$AF$7)*OFFSET(ORÇAMENTO!$W$15,ROW(BQ221)-ROW(BQ$15),0),15-13*ORÇAMENTO!$AF$11)),
         0)</f>
        <v>0</v>
      </c>
      <c r="BS221" s="171">
        <f ca="1">IF(OR($D221&lt;&gt;"Serviço",AND(AUTOEVENTO="Manual",$M221=$A$15)),0,
         IF(OFFSET(CRONOPLE!$F$15,$M221-$A$15,BS$13)=0,10^12,OFFSET(CRONOPLE!$F$15,$M221-$A$15,BS$13)))</f>
        <v>1</v>
      </c>
      <c r="BT221" s="171">
        <f ca="1">IF(OR($D221&lt;&gt;"Serviço",AND(AUTOEVENTO="Manual",$M221=$A$15)),0,
         IF(OFFSET(CRONOPLE!$F$15,$M221-$A$15,BT$13)=0,10^12,OFFSET(CRONOPLE!$F$15,$M221-$A$15,BT$13)))</f>
        <v>2</v>
      </c>
      <c r="BU221" s="171">
        <f ca="1">IF(OR($D221&lt;&gt;"Serviço",AND(AUTOEVENTO="Manual",$M221=$A$15)),0,
         IF(OFFSET(CRONOPLE!$F$15,$M221-$A$15,BU$13)=0,10^12,OFFSET(CRONOPLE!$F$15,$M221-$A$15,BU$13)))</f>
        <v>3</v>
      </c>
      <c r="BV221" s="171">
        <f ca="1">IF(OR($D221&lt;&gt;"Serviço",AND(AUTOEVENTO="Manual",$M221=$A$15)),0,
         IF(OFFSET(CRONOPLE!$F$15,$M221-$A$15,BV$13)=0,10^12,OFFSET(CRONOPLE!$F$15,$M221-$A$15,BV$13)))</f>
        <v>4</v>
      </c>
      <c r="BW221" s="171">
        <f ca="1">IF(OR($D221&lt;&gt;"Serviço",AND(AUTOEVENTO="Manual",$M221=$A$15)),0,
         IF(OFFSET(CRONOPLE!$F$15,$M221-$A$15,BW$13)=0,10^12,OFFSET(CRONOPLE!$F$15,$M221-$A$15,BW$13)))</f>
        <v>5</v>
      </c>
      <c r="BX221" s="171">
        <f ca="1">IF(OR($D221&lt;&gt;"Serviço",AND(AUTOEVENTO="Manual",$M221=$A$15)),0,
         IF(OFFSET(CRONOPLE!$F$15,$M221-$A$15,BX$13)=0,10^12,OFFSET(CRONOPLE!$F$15,$M221-$A$15,BX$13)))</f>
        <v>6</v>
      </c>
      <c r="BY221" s="171">
        <f ca="1">IF(OR($D221&lt;&gt;"Serviço",AND(AUTOEVENTO="Manual",$M221=$A$15)),0,
         IF(OFFSET(CRONOPLE!$F$15,$M221-$A$15,BY$13)=0,10^12,OFFSET(CRONOPLE!$F$15,$M221-$A$15,BY$13)))</f>
        <v>7</v>
      </c>
      <c r="BZ221" s="171">
        <f ca="1">IF(OR($D221&lt;&gt;"Serviço",AND(AUTOEVENTO="Manual",$M221=$A$15)),0,
         IF(OFFSET(CRONOPLE!$F$15,$M221-$A$15,BZ$13)=0,10^12,OFFSET(CRONOPLE!$F$15,$M221-$A$15,BZ$13)))</f>
        <v>8</v>
      </c>
      <c r="CA221" s="171">
        <f ca="1">IF(OR($D221&lt;&gt;"Serviço",AND(AUTOEVENTO="Manual",$M221=$A$15)),0,
         IF(OFFSET(CRONOPLE!$F$15,$M221-$A$15,CA$13)=0,10^12,OFFSET(CRONOPLE!$F$15,$M221-$A$15,CA$13)))</f>
        <v>9</v>
      </c>
      <c r="CB221" s="171">
        <f ca="1">IF(OR($D221&lt;&gt;"Serviço",AND(AUTOEVENTO="Manual",$M221=$A$15)),0,
         IF(OFFSET(CRONOPLE!$F$15,$M221-$A$15,CB$13)=0,10^12,OFFSET(CRONOPLE!$F$15,$M221-$A$15,CB$13)))</f>
        <v>10</v>
      </c>
      <c r="CC221" s="171">
        <f ca="1">IF(OR($D221&lt;&gt;"Serviço",AND(AUTOEVENTO="Manual",$M221=$A$15)),0,
         IF(OFFSET(CRONOPLE!$F$15,$M221-$A$15,CC$13)=0,10^12,OFFSET(CRONOPLE!$F$15,$M221-$A$15,CC$13)))</f>
        <v>11</v>
      </c>
      <c r="CD221" s="171">
        <f ca="1">IF(OR($D221&lt;&gt;"Serviço",AND(AUTOEVENTO="Manual",$M221=$A$15)),0,
         IF(OFFSET(CRONOPLE!$F$15,$M221-$A$15,CD$13)=0,10^12,OFFSET(CRONOPLE!$F$15,$M221-$A$15,CD$13)))</f>
        <v>12</v>
      </c>
      <c r="CE221" s="171">
        <f ca="1">IF(OR($D221&lt;&gt;"Serviço",AND(AUTOEVENTO="Manual",$M221=$A$15)),0,
         IF(OFFSET(CRONOPLE!$F$15,$M221-$A$15,CE$13)=0,10^12,OFFSET(CRONOPLE!$F$15,$M221-$A$15,CE$13)))</f>
        <v>13</v>
      </c>
      <c r="CF221" s="171">
        <f ca="1">IF(OR($D221&lt;&gt;"Serviço",AND(AUTOEVENTO="Manual",$M221=$A$15)),0,
         IF(OFFSET(CRONOPLE!$F$15,$M221-$A$15,CF$13)=0,10^12,OFFSET(CRONOPLE!$F$15,$M221-$A$15,CF$13)))</f>
        <v>14</v>
      </c>
      <c r="CG221" s="171">
        <f ca="1">IF(OR($D221&lt;&gt;"Serviço",AND(AUTOEVENTO="Manual",$M221=$A$15)),0,
         IF(OFFSET(CRONOPLE!$F$15,$M221-$A$15,CG$13)=0,10^12,OFFSET(CRONOPLE!$F$15,$M221-$A$15,CG$13)))</f>
        <v>15</v>
      </c>
      <c r="CH221" s="171">
        <f ca="1">IF(OR($D221&lt;&gt;"Serviço",AND(AUTOEVENTO="Manual",$M221=$A$15)),0,
         IF(OFFSET(CRONOPLE!$F$15,$M221-$A$15,CH$13)=0,10^12,OFFSET(CRONOPLE!$F$15,$M221-$A$15,CH$13)))</f>
        <v>16</v>
      </c>
      <c r="CI221" s="171">
        <f ca="1">IF(OR($D221&lt;&gt;"Serviço",AND(AUTOEVENTO="Manual",$M221=$A$15)),0,
         IF(OFFSET(CRONOPLE!$F$15,$M221-$A$15,CI$13)=0,10^12,OFFSET(CRONOPLE!$F$15,$M221-$A$15,CI$13)))</f>
        <v>17</v>
      </c>
      <c r="CJ221" s="171">
        <f ca="1">IF(OR($D221&lt;&gt;"Serviço",AND(AUTOEVENTO="Manual",$M221=$A$15)),0,
         IF(OFFSET(CRONOPLE!$F$15,$M221-$A$15,CJ$13)=0,10^12,OFFSET(CRONOPLE!$F$15,$M221-$A$15,CJ$13)))</f>
        <v>18</v>
      </c>
      <c r="CK221" s="171">
        <f ca="1">IF(OR($D221&lt;&gt;"Serviço",AND(AUTOEVENTO="Manual",$M221=$A$15)),0,
         IF(OFFSET(CRONOPLE!$F$15,$M221-$A$15,CK$13)=0,10^12,OFFSET(CRONOPLE!$F$15,$M221-$A$15,CK$13)))</f>
        <v>19</v>
      </c>
      <c r="CL221" s="171">
        <f ca="1">IF(OR($D221&lt;&gt;"Serviço",AND(AUTOEVENTO="Manual",$M221=$A$15)),0,
         IF(OFFSET(CRONOPLE!$F$15,$M221-$A$15,CL$13)=0,10^12,OFFSET(CRONOPLE!$F$15,$M221-$A$15,CL$13)))</f>
        <v>20</v>
      </c>
      <c r="CM221" s="171">
        <f ca="1">IF(OR($D221&lt;&gt;"Serviço",AND(AUTOEVENTO="Manual",$M221=$A$15)),0,
         IF(OFFSET(CRONOPLE!$F$15,$M221-$A$15,CM$13)=0,10^12,OFFSET(CRONOPLE!$F$15,$M221-$A$15,CM$13)))</f>
        <v>1000000000000</v>
      </c>
      <c r="CN221" s="171">
        <f ca="1">IF(OR($D221&lt;&gt;"Serviço",AND(AUTOEVENTO="Manual",$M221=$A$15)),0,
         IF(OFFSET(CRONOPLE!$F$15,$M221-$A$15,CN$13)=0,10^12,OFFSET(CRONOPLE!$F$15,$M221-$A$15,CN$13)))</f>
        <v>1000000000000</v>
      </c>
      <c r="CO221" s="171">
        <f ca="1">IF(OR($D221&lt;&gt;"Serviço",AND(AUTOEVENTO="Manual",$M221=$A$15)),0,
         IF(OFFSET(CRONOPLE!$F$15,$M221-$A$15,CO$13)=0,10^12,OFFSET(CRONOPLE!$F$15,$M221-$A$15,CO$13)))</f>
        <v>1000000000000</v>
      </c>
      <c r="CP221" s="171">
        <f ca="1">IF(OR($D221&lt;&gt;"Serviço",AND(AUTOEVENTO="Manual",$M221=$A$15)),0,
         IF(OFFSET(CRONOPLE!$F$15,$M221-$A$15,CP$13)=0,10^12,OFFSET(CRONOPLE!$F$15,$M221-$A$15,CP$13)))</f>
        <v>1000000000000</v>
      </c>
      <c r="CQ221" s="171">
        <f ca="1">IF(OR($D221&lt;&gt;"Serviço",AND(AUTOEVENTO="Manual",$M221=$A$15)),0,
         IF(OFFSET(CRONOPLE!$F$15,$M221-$A$15,CQ$13)=0,10^12,OFFSET(CRONOPLE!$F$15,$M221-$A$15,CQ$13)))</f>
        <v>1000000000000</v>
      </c>
      <c r="CR221" s="171">
        <f ca="1">IF(OR($D221&lt;&gt;"Serviço",AND(AUTOEVENTO="Manual",$M221=$A$15)),0,
         IF(OFFSET(CRONOPLE!$F$15,$M221-$A$15,CR$13)=0,10^12,OFFSET(CRONOPLE!$F$15,$M221-$A$15,CR$13)))</f>
        <v>1000000000000</v>
      </c>
      <c r="CT221" s="172" cm="1">
        <f t="array" aca="1" ref="CT221" ca="1">IF(OR($D221&lt;&gt;"Serviço",AND(AUTOEVENTO="Manual",$M221=$A$15),$M221&gt;(ROW(PLE.lastrow)-ROW(PLE.firstrow))),0,
           IF(OFFSET(PLE!$G$15,$M221-$A$15,CT$13)="",10^12,OFFSET(PLE!$G$15,$M221-$A$15,CT$13)))</f>
        <v>1000000000000</v>
      </c>
      <c r="CU221" s="172" cm="1">
        <f t="array" aca="1" ref="CU221" ca="1">IF(OR($D221&lt;&gt;"Serviço",AND(AUTOEVENTO="Manual",$M221=$A$15),$M221&gt;(ROW(PLE.lastrow)-ROW(PLE.firstrow))),0,
           IF(OFFSET(PLE!$G$15,$M221-$A$15,CU$13)="",10^12,OFFSET(PLE!$G$15,$M221-$A$15,CU$13)))</f>
        <v>1000000000000</v>
      </c>
      <c r="CV221" s="172" cm="1">
        <f t="array" aca="1" ref="CV221" ca="1">IF(OR($D221&lt;&gt;"Serviço",AND(AUTOEVENTO="Manual",$M221=$A$15),$M221&gt;(ROW(PLE.lastrow)-ROW(PLE.firstrow))),0,
           IF(OFFSET(PLE!$G$15,$M221-$A$15,CV$13)="",10^12,OFFSET(PLE!$G$15,$M221-$A$15,CV$13)))</f>
        <v>1000000000000</v>
      </c>
      <c r="CW221" s="172" cm="1">
        <f t="array" aca="1" ref="CW221" ca="1">IF(OR($D221&lt;&gt;"Serviço",AND(AUTOEVENTO="Manual",$M221=$A$15),$M221&gt;(ROW(PLE.lastrow)-ROW(PLE.firstrow))),0,
           IF(OFFSET(PLE!$G$15,$M221-$A$15,CW$13)="",10^12,OFFSET(PLE!$G$15,$M221-$A$15,CW$13)))</f>
        <v>1000000000000</v>
      </c>
      <c r="CX221" s="172" cm="1">
        <f t="array" aca="1" ref="CX221" ca="1">IF(OR($D221&lt;&gt;"Serviço",AND(AUTOEVENTO="Manual",$M221=$A$15),$M221&gt;(ROW(PLE.lastrow)-ROW(PLE.firstrow))),0,
           IF(OFFSET(PLE!$G$15,$M221-$A$15,CX$13)="",10^12,OFFSET(PLE!$G$15,$M221-$A$15,CX$13)))</f>
        <v>1000000000000</v>
      </c>
      <c r="CY221" s="172" cm="1">
        <f t="array" aca="1" ref="CY221" ca="1">IF(OR($D221&lt;&gt;"Serviço",AND(AUTOEVENTO="Manual",$M221=$A$15),$M221&gt;(ROW(PLE.lastrow)-ROW(PLE.firstrow))),0,
           IF(OFFSET(PLE!$G$15,$M221-$A$15,CY$13)="",10^12,OFFSET(PLE!$G$15,$M221-$A$15,CY$13)))</f>
        <v>1000000000000</v>
      </c>
      <c r="CZ221" s="172" cm="1">
        <f t="array" aca="1" ref="CZ221" ca="1">IF(OR($D221&lt;&gt;"Serviço",AND(AUTOEVENTO="Manual",$M221=$A$15),$M221&gt;(ROW(PLE.lastrow)-ROW(PLE.firstrow))),0,
           IF(OFFSET(PLE!$G$15,$M221-$A$15,CZ$13)="",10^12,OFFSET(PLE!$G$15,$M221-$A$15,CZ$13)))</f>
        <v>1000000000000</v>
      </c>
      <c r="DA221" s="172" cm="1">
        <f t="array" aca="1" ref="DA221" ca="1">IF(OR($D221&lt;&gt;"Serviço",AND(AUTOEVENTO="Manual",$M221=$A$15),$M221&gt;(ROW(PLE.lastrow)-ROW(PLE.firstrow))),0,
           IF(OFFSET(PLE!$G$15,$M221-$A$15,DA$13)="",10^12,OFFSET(PLE!$G$15,$M221-$A$15,DA$13)))</f>
        <v>1000000000000</v>
      </c>
      <c r="DB221" s="172" cm="1">
        <f t="array" aca="1" ref="DB221" ca="1">IF(OR($D221&lt;&gt;"Serviço",AND(AUTOEVENTO="Manual",$M221=$A$15),$M221&gt;(ROW(PLE.lastrow)-ROW(PLE.firstrow))),0,
           IF(OFFSET(PLE!$G$15,$M221-$A$15,DB$13)="",10^12,OFFSET(PLE!$G$15,$M221-$A$15,DB$13)))</f>
        <v>1000000000000</v>
      </c>
      <c r="DC221" s="172" cm="1">
        <f t="array" aca="1" ref="DC221" ca="1">IF(OR($D221&lt;&gt;"Serviço",AND(AUTOEVENTO="Manual",$M221=$A$15),$M221&gt;(ROW(PLE.lastrow)-ROW(PLE.firstrow))),0,
           IF(OFFSET(PLE!$G$15,$M221-$A$15,DC$13)="",10^12,OFFSET(PLE!$G$15,$M221-$A$15,DC$13)))</f>
        <v>1000000000000</v>
      </c>
      <c r="DD221" s="172" cm="1">
        <f t="array" aca="1" ref="DD221" ca="1">IF(OR($D221&lt;&gt;"Serviço",AND(AUTOEVENTO="Manual",$M221=$A$15),$M221&gt;(ROW(PLE.lastrow)-ROW(PLE.firstrow))),0,
           IF(OFFSET(PLE!$G$15,$M221-$A$15,DD$13)="",10^12,OFFSET(PLE!$G$15,$M221-$A$15,DD$13)))</f>
        <v>1000000000000</v>
      </c>
      <c r="DE221" s="172" cm="1">
        <f t="array" aca="1" ref="DE221" ca="1">IF(OR($D221&lt;&gt;"Serviço",AND(AUTOEVENTO="Manual",$M221=$A$15),$M221&gt;(ROW(PLE.lastrow)-ROW(PLE.firstrow))),0,
           IF(OFFSET(PLE!$G$15,$M221-$A$15,DE$13)="",10^12,OFFSET(PLE!$G$15,$M221-$A$15,DE$13)))</f>
        <v>1000000000000</v>
      </c>
      <c r="DF221" s="172" cm="1">
        <f t="array" aca="1" ref="DF221" ca="1">IF(OR($D221&lt;&gt;"Serviço",AND(AUTOEVENTO="Manual",$M221=$A$15),$M221&gt;(ROW(PLE.lastrow)-ROW(PLE.firstrow))),0,
           IF(OFFSET(PLE!$G$15,$M221-$A$15,DF$13)="",10^12,OFFSET(PLE!$G$15,$M221-$A$15,DF$13)))</f>
        <v>1000000000000</v>
      </c>
      <c r="DG221" s="172" cm="1">
        <f t="array" aca="1" ref="DG221" ca="1">IF(OR($D221&lt;&gt;"Serviço",AND(AUTOEVENTO="Manual",$M221=$A$15),$M221&gt;(ROW(PLE.lastrow)-ROW(PLE.firstrow))),0,
           IF(OFFSET(PLE!$G$15,$M221-$A$15,DG$13)="",10^12,OFFSET(PLE!$G$15,$M221-$A$15,DG$13)))</f>
        <v>1000000000000</v>
      </c>
      <c r="DH221" s="172" cm="1">
        <f t="array" aca="1" ref="DH221" ca="1">IF(OR($D221&lt;&gt;"Serviço",AND(AUTOEVENTO="Manual",$M221=$A$15),$M221&gt;(ROW(PLE.lastrow)-ROW(PLE.firstrow))),0,
           IF(OFFSET(PLE!$G$15,$M221-$A$15,DH$13)="",10^12,OFFSET(PLE!$G$15,$M221-$A$15,DH$13)))</f>
        <v>1000000000000</v>
      </c>
      <c r="DI221" s="172" cm="1">
        <f t="array" aca="1" ref="DI221" ca="1">IF(OR($D221&lt;&gt;"Serviço",AND(AUTOEVENTO="Manual",$M221=$A$15),$M221&gt;(ROW(PLE.lastrow)-ROW(PLE.firstrow))),0,
           IF(OFFSET(PLE!$G$15,$M221-$A$15,DI$13)="",10^12,OFFSET(PLE!$G$15,$M221-$A$15,DI$13)))</f>
        <v>1000000000000</v>
      </c>
      <c r="DJ221" s="172" cm="1">
        <f t="array" aca="1" ref="DJ221" ca="1">IF(OR($D221&lt;&gt;"Serviço",AND(AUTOEVENTO="Manual",$M221=$A$15),$M221&gt;(ROW(PLE.lastrow)-ROW(PLE.firstrow))),0,
           IF(OFFSET(PLE!$G$15,$M221-$A$15,DJ$13)="",10^12,OFFSET(PLE!$G$15,$M221-$A$15,DJ$13)))</f>
        <v>1000000000000</v>
      </c>
      <c r="DK221" s="172" cm="1">
        <f t="array" aca="1" ref="DK221" ca="1">IF(OR($D221&lt;&gt;"Serviço",AND(AUTOEVENTO="Manual",$M221=$A$15),$M221&gt;(ROW(PLE.lastrow)-ROW(PLE.firstrow))),0,
           IF(OFFSET(PLE!$G$15,$M221-$A$15,DK$13)="",10^12,OFFSET(PLE!$G$15,$M221-$A$15,DK$13)))</f>
        <v>1000000000000</v>
      </c>
      <c r="DL221" s="172" cm="1">
        <f t="array" aca="1" ref="DL221" ca="1">IF(OR($D221&lt;&gt;"Serviço",AND(AUTOEVENTO="Manual",$M221=$A$15),$M221&gt;(ROW(PLE.lastrow)-ROW(PLE.firstrow))),0,
           IF(OFFSET(PLE!$G$15,$M221-$A$15,DL$13)="",10^12,OFFSET(PLE!$G$15,$M221-$A$15,DL$13)))</f>
        <v>1000000000000</v>
      </c>
      <c r="DM221" s="172" cm="1">
        <f t="array" aca="1" ref="DM221" ca="1">IF(OR($D221&lt;&gt;"Serviço",AND(AUTOEVENTO="Manual",$M221=$A$15),$M221&gt;(ROW(PLE.lastrow)-ROW(PLE.firstrow))),0,
           IF(OFFSET(PLE!$G$15,$M221-$A$15,DM$13)="",10^12,OFFSET(PLE!$G$15,$M221-$A$15,DM$13)))</f>
        <v>1000000000000</v>
      </c>
      <c r="DN221" s="172" cm="1">
        <f t="array" aca="1" ref="DN221" ca="1">IF(OR($D221&lt;&gt;"Serviço",AND(AUTOEVENTO="Manual",$M221=$A$15),$M221&gt;(ROW(PLE.lastrow)-ROW(PLE.firstrow))),0,
           IF(OFFSET(PLE!$G$15,$M221-$A$15,DN$13)="",10^12,OFFSET(PLE!$G$15,$M221-$A$15,DN$13)))</f>
        <v>1000000000000</v>
      </c>
      <c r="DO221" s="172" cm="1">
        <f t="array" aca="1" ref="DO221" ca="1">IF(OR($D221&lt;&gt;"Serviço",AND(AUTOEVENTO="Manual",$M221=$A$15),$M221&gt;(ROW(PLE.lastrow)-ROW(PLE.firstrow))),0,
           IF(OFFSET(PLE!$G$15,$M221-$A$15,DO$13)="",10^12,OFFSET(PLE!$G$15,$M221-$A$15,DO$13)))</f>
        <v>1000000000000</v>
      </c>
      <c r="DP221" s="172" cm="1">
        <f t="array" aca="1" ref="DP221" ca="1">IF(OR($D221&lt;&gt;"Serviço",AND(AUTOEVENTO="Manual",$M221=$A$15),$M221&gt;(ROW(PLE.lastrow)-ROW(PLE.firstrow))),0,
           IF(OFFSET(PLE!$G$15,$M221-$A$15,DP$13)="",10^12,OFFSET(PLE!$G$15,$M221-$A$15,DP$13)))</f>
        <v>1000000000000</v>
      </c>
      <c r="DQ221" s="172" cm="1">
        <f t="array" aca="1" ref="DQ221" ca="1">IF(OR($D221&lt;&gt;"Serviço",AND(AUTOEVENTO="Manual",$M221=$A$15),$M221&gt;(ROW(PLE.lastrow)-ROW(PLE.firstrow))),0,
           IF(OFFSET(PLE!$G$15,$M221-$A$15,DQ$13)="",10^12,OFFSET(PLE!$G$15,$M221-$A$15,DQ$13)))</f>
        <v>1000000000000</v>
      </c>
      <c r="DR221" s="172" cm="1">
        <f t="array" aca="1" ref="DR221" ca="1">IF(OR($D221&lt;&gt;"Serviço",AND(AUTOEVENTO="Manual",$M221=$A$15),$M221&gt;(ROW(PLE.lastrow)-ROW(PLE.firstrow))),0,
           IF(OFFSET(PLE!$G$15,$M221-$A$15,DR$13)="",10^12,OFFSET(PLE!$G$15,$M221-$A$15,DR$13)))</f>
        <v>1000000000000</v>
      </c>
      <c r="DS221" s="172" cm="1">
        <f t="array" aca="1" ref="DS221" ca="1">IF(OR($D221&lt;&gt;"Serviço",AND(AUTOEVENTO="Manual",$M221=$A$15),$M221&gt;(ROW(PLE.lastrow)-ROW(PLE.firstrow))),0,
           IF(OFFSET(PLE!$G$15,$M221-$A$15,DS$13)="",10^12,OFFSET(PLE!$G$15,$M221-$A$15,DS$13)))</f>
        <v>1000000000000</v>
      </c>
    </row>
    <row r="222" spans="1:123" ht="38.25" x14ac:dyDescent="0.2">
      <c r="A222" s="7">
        <f t="shared" ca="1" si="19"/>
        <v>9</v>
      </c>
      <c r="B222" s="7" t="str">
        <f ca="1">OFFSET(ORÇAMENTO!C$15,$L222,0)</f>
        <v>S</v>
      </c>
      <c r="C222" s="7" t="str">
        <f ca="1">OFFSET(ORÇAMENTO!L$15,$L222,0)</f>
        <v/>
      </c>
      <c r="D222" s="116" t="str">
        <f ca="1">OFFSET(ORÇAMENTO!N$15,$L222,0)</f>
        <v>Serviço</v>
      </c>
      <c r="E222" s="117" t="str">
        <f ca="1">OFFSET(ORÇAMENTO!O$15,$L222,0)</f>
        <v>-</v>
      </c>
      <c r="F222" s="163" t="str">
        <f ca="1">OFFSET(ORÇAMENTO!R$15,$L222,0)</f>
        <v>(Código não identificado nas referências)</v>
      </c>
      <c r="G222" s="164" t="str">
        <f ca="1">IF($D222&lt;&gt;"Serviço","",OFFSET(ORÇAMENTO!S$15,$L222,0))</f>
        <v>-</v>
      </c>
      <c r="H222" s="122" cm="1">
        <f t="array" aca="1" ref="H222" ca="1">IF($D222&lt;&gt;"Serviço",0,IF(ACOMPANHAMENTO="BM",ROUND(OFFSET(ORÇAMENTO!AJ$15,$L222,0),15-13*ORÇAMENTO!$AF$7),IF(IFERROR(CÁLCULO.FrentesPreenchidas,0)=0,0,SUM(ROUND(OFFSET($P222,0,1,1,CÁLCULO.FrentesPreenchidas),15-13*ORÇAMENTO!$AF$7)))))</f>
        <v>20</v>
      </c>
      <c r="I222" s="468" t="s">
        <v>1235</v>
      </c>
      <c r="J222" s="651" t="str" cm="1">
        <f t="array" aca="1" ref="J222" ca="1">IF(OR(B222&lt;&gt;"S",CÁLCULO.FrentesPreenchidas=0),"",IF(AND(ACOMPANHAMENTO="PLE",AUTOEVENTO="Manual",OR(H222&gt;0,ORÇAMENTO!AC222="QUANT."),OR(K222="",M222=0,N222="")),"►E",IF(AND(ACOMPANHAMENTO="PLE",ORÇAMENTO!AC222="QUANT."),"►Q",IF(AND(ACOMPANHAMENTO="PLE",H222&lt;&gt;SUMPRODUCT(($Q$1:$AQ$1=1)*ROUND(Q222:AQ222,15))),"►S",IF(AND(COUNTIF($P$11:$AQ$11,"▼")=0,H222&gt;0,I222=""),"◄M","")))))</f>
        <v/>
      </c>
      <c r="K222" s="652" t="s">
        <v>1257</v>
      </c>
      <c r="L222" s="165">
        <f t="shared" ca="1" si="20"/>
        <v>207</v>
      </c>
      <c r="M222" s="166">
        <f ca="1">IF($D222&lt;&gt;"Serviço","",
          IF(AUTOEVENTO="manual",$A222,
                IF(ISERROR(MATCH($A222,$A$15:OFFSET($A222,-1,0),0)),MAX($M$15:OFFSET(M222,-1,0))+1,
                      INDEX($M$15:OFFSET(M222,-1,0),MATCH($A222,$A$15:OFFSET($A222,-1,0),0)))))</f>
        <v>9</v>
      </c>
      <c r="N222" s="167" t="str">
        <f ca="1">IF($D222&lt;&gt;"Serviço","",
         IF(AUTOEVENTO="Manual",
                IF($A222=0,"&lt;-- defina o número do agrupador",
                       OFFSET(EVENTOS!$D$15,$A222-$A$15,0)),
                OFFSET($F$15,$A222,0)))</f>
        <v>INSTALAÇÕES</v>
      </c>
      <c r="O222" s="168"/>
      <c r="Q222" s="168">
        <v>1</v>
      </c>
      <c r="R222" s="169">
        <v>1</v>
      </c>
      <c r="S222" s="169">
        <v>1</v>
      </c>
      <c r="T222" s="169">
        <v>1</v>
      </c>
      <c r="U222" s="169">
        <v>1</v>
      </c>
      <c r="V222" s="169">
        <v>1</v>
      </c>
      <c r="W222" s="169">
        <v>1</v>
      </c>
      <c r="X222" s="169">
        <v>1</v>
      </c>
      <c r="Y222" s="169">
        <v>1</v>
      </c>
      <c r="Z222" s="170">
        <v>1</v>
      </c>
      <c r="AA222" s="169">
        <v>1</v>
      </c>
      <c r="AB222" s="169">
        <v>1</v>
      </c>
      <c r="AC222" s="169">
        <v>1</v>
      </c>
      <c r="AD222" s="169">
        <v>1</v>
      </c>
      <c r="AE222" s="169">
        <v>1</v>
      </c>
      <c r="AF222" s="169">
        <v>1</v>
      </c>
      <c r="AG222" s="169">
        <v>1</v>
      </c>
      <c r="AH222" s="170">
        <v>1</v>
      </c>
      <c r="AI222" s="169">
        <v>1</v>
      </c>
      <c r="AJ222" s="169">
        <v>1</v>
      </c>
      <c r="AK222" s="169"/>
      <c r="AL222" s="169"/>
      <c r="AM222" s="169"/>
      <c r="AN222" s="169"/>
      <c r="AO222" s="169"/>
      <c r="AP222" s="170"/>
      <c r="AR222" s="453">
        <f ca="1">IF(AND($D222="Serviço",AR$12&lt;&gt;0,$H222&gt;0,OR(AUTOEVENTO&lt;&gt;"manual",$M222&lt;&gt;$A$15)),
        IF(Import.TipoArredondamento&lt;&gt;"TransfereGOV",
              ROUND(OFFSET($P222,0,AR$13),15-13*ORÇAMENTO!$AF$7)/$H222*OFFSET(ORÇAMENTO!$X$15,ROW(AR222)-ROW(AR$15),0),
              ROUND(ROUND(OFFSET($P222,0,AR$13),15-13*ORÇAMENTO!$AF$7)*OFFSET(ORÇAMENTO!$W$15,ROW(AR222)-ROW(AR$15),0),15-13*ORÇAMENTO!$AF$11)),
         0)</f>
        <v>0</v>
      </c>
      <c r="AS222" s="453">
        <f ca="1">IF(AND($D222="Serviço",AS$12&lt;&gt;0,$H222&gt;0,OR(AUTOEVENTO&lt;&gt;"manual",$M222&lt;&gt;$A$15)),
        IF(Import.TipoArredondamento&lt;&gt;"TransfereGOV",
              ROUND(OFFSET($P222,0,AS$13),15-13*ORÇAMENTO!$AF$7)/$H222*OFFSET(ORÇAMENTO!$X$15,ROW(AS222)-ROW(AS$15),0),
              ROUND(ROUND(OFFSET($P222,0,AS$13),15-13*ORÇAMENTO!$AF$7)*OFFSET(ORÇAMENTO!$W$15,ROW(AS222)-ROW(AS$15),0),15-13*ORÇAMENTO!$AF$11)),
         0)</f>
        <v>0</v>
      </c>
      <c r="AT222" s="453">
        <f ca="1">IF(AND($D222="Serviço",AT$12&lt;&gt;0,$H222&gt;0,OR(AUTOEVENTO&lt;&gt;"manual",$M222&lt;&gt;$A$15)),
        IF(Import.TipoArredondamento&lt;&gt;"TransfereGOV",
              ROUND(OFFSET($P222,0,AT$13),15-13*ORÇAMENTO!$AF$7)/$H222*OFFSET(ORÇAMENTO!$X$15,ROW(AT222)-ROW(AT$15),0),
              ROUND(ROUND(OFFSET($P222,0,AT$13),15-13*ORÇAMENTO!$AF$7)*OFFSET(ORÇAMENTO!$W$15,ROW(AT222)-ROW(AT$15),0),15-13*ORÇAMENTO!$AF$11)),
         0)</f>
        <v>0</v>
      </c>
      <c r="AU222" s="453">
        <f ca="1">IF(AND($D222="Serviço",AU$12&lt;&gt;0,$H222&gt;0,OR(AUTOEVENTO&lt;&gt;"manual",$M222&lt;&gt;$A$15)),
        IF(Import.TipoArredondamento&lt;&gt;"TransfereGOV",
              ROUND(OFFSET($P222,0,AU$13),15-13*ORÇAMENTO!$AF$7)/$H222*OFFSET(ORÇAMENTO!$X$15,ROW(AU222)-ROW(AU$15),0),
              ROUND(ROUND(OFFSET($P222,0,AU$13),15-13*ORÇAMENTO!$AF$7)*OFFSET(ORÇAMENTO!$W$15,ROW(AU222)-ROW(AU$15),0),15-13*ORÇAMENTO!$AF$11)),
         0)</f>
        <v>0</v>
      </c>
      <c r="AV222" s="453">
        <f ca="1">IF(AND($D222="Serviço",AV$12&lt;&gt;0,$H222&gt;0,OR(AUTOEVENTO&lt;&gt;"manual",$M222&lt;&gt;$A$15)),
        IF(Import.TipoArredondamento&lt;&gt;"TransfereGOV",
              ROUND(OFFSET($P222,0,AV$13),15-13*ORÇAMENTO!$AF$7)/$H222*OFFSET(ORÇAMENTO!$X$15,ROW(AV222)-ROW(AV$15),0),
              ROUND(ROUND(OFFSET($P222,0,AV$13),15-13*ORÇAMENTO!$AF$7)*OFFSET(ORÇAMENTO!$W$15,ROW(AV222)-ROW(AV$15),0),15-13*ORÇAMENTO!$AF$11)),
         0)</f>
        <v>0</v>
      </c>
      <c r="AW222" s="453">
        <f ca="1">IF(AND($D222="Serviço",AW$12&lt;&gt;0,$H222&gt;0,OR(AUTOEVENTO&lt;&gt;"manual",$M222&lt;&gt;$A$15)),
        IF(Import.TipoArredondamento&lt;&gt;"TransfereGOV",
              ROUND(OFFSET($P222,0,AW$13),15-13*ORÇAMENTO!$AF$7)/$H222*OFFSET(ORÇAMENTO!$X$15,ROW(AW222)-ROW(AW$15),0),
              ROUND(ROUND(OFFSET($P222,0,AW$13),15-13*ORÇAMENTO!$AF$7)*OFFSET(ORÇAMENTO!$W$15,ROW(AW222)-ROW(AW$15),0),15-13*ORÇAMENTO!$AF$11)),
         0)</f>
        <v>0</v>
      </c>
      <c r="AX222" s="453">
        <f ca="1">IF(AND($D222="Serviço",AX$12&lt;&gt;0,$H222&gt;0,OR(AUTOEVENTO&lt;&gt;"manual",$M222&lt;&gt;$A$15)),
        IF(Import.TipoArredondamento&lt;&gt;"TransfereGOV",
              ROUND(OFFSET($P222,0,AX$13),15-13*ORÇAMENTO!$AF$7)/$H222*OFFSET(ORÇAMENTO!$X$15,ROW(AX222)-ROW(AX$15),0),
              ROUND(ROUND(OFFSET($P222,0,AX$13),15-13*ORÇAMENTO!$AF$7)*OFFSET(ORÇAMENTO!$W$15,ROW(AX222)-ROW(AX$15),0),15-13*ORÇAMENTO!$AF$11)),
         0)</f>
        <v>0</v>
      </c>
      <c r="AY222" s="453">
        <f ca="1">IF(AND($D222="Serviço",AY$12&lt;&gt;0,$H222&gt;0,OR(AUTOEVENTO&lt;&gt;"manual",$M222&lt;&gt;$A$15)),
        IF(Import.TipoArredondamento&lt;&gt;"TransfereGOV",
              ROUND(OFFSET($P222,0,AY$13),15-13*ORÇAMENTO!$AF$7)/$H222*OFFSET(ORÇAMENTO!$X$15,ROW(AY222)-ROW(AY$15),0),
              ROUND(ROUND(OFFSET($P222,0,AY$13),15-13*ORÇAMENTO!$AF$7)*OFFSET(ORÇAMENTO!$W$15,ROW(AY222)-ROW(AY$15),0),15-13*ORÇAMENTO!$AF$11)),
         0)</f>
        <v>0</v>
      </c>
      <c r="AZ222" s="453">
        <f ca="1">IF(AND($D222="Serviço",AZ$12&lt;&gt;0,$H222&gt;0,OR(AUTOEVENTO&lt;&gt;"manual",$M222&lt;&gt;$A$15)),
        IF(Import.TipoArredondamento&lt;&gt;"TransfereGOV",
              ROUND(OFFSET($P222,0,AZ$13),15-13*ORÇAMENTO!$AF$7)/$H222*OFFSET(ORÇAMENTO!$X$15,ROW(AZ222)-ROW(AZ$15),0),
              ROUND(ROUND(OFFSET($P222,0,AZ$13),15-13*ORÇAMENTO!$AF$7)*OFFSET(ORÇAMENTO!$W$15,ROW(AZ222)-ROW(AZ$15),0),15-13*ORÇAMENTO!$AF$11)),
         0)</f>
        <v>0</v>
      </c>
      <c r="BA222" s="453">
        <f ca="1">IF(AND($D222="Serviço",BA$12&lt;&gt;0,$H222&gt;0,OR(AUTOEVENTO&lt;&gt;"manual",$M222&lt;&gt;$A$15)),
        IF(Import.TipoArredondamento&lt;&gt;"TransfereGOV",
              ROUND(OFFSET($P222,0,BA$13),15-13*ORÇAMENTO!$AF$7)/$H222*OFFSET(ORÇAMENTO!$X$15,ROW(BA222)-ROW(BA$15),0),
              ROUND(ROUND(OFFSET($P222,0,BA$13),15-13*ORÇAMENTO!$AF$7)*OFFSET(ORÇAMENTO!$W$15,ROW(BA222)-ROW(BA$15),0),15-13*ORÇAMENTO!$AF$11)),
         0)</f>
        <v>0</v>
      </c>
      <c r="BB222" s="453">
        <f ca="1">IF(AND($D222="Serviço",BB$12&lt;&gt;0,$H222&gt;0,OR(AUTOEVENTO&lt;&gt;"manual",$M222&lt;&gt;$A$15)),
        IF(Import.TipoArredondamento&lt;&gt;"TransfereGOV",
              ROUND(OFFSET($P222,0,BB$13),15-13*ORÇAMENTO!$AF$7)/$H222*OFFSET(ORÇAMENTO!$X$15,ROW(BB222)-ROW(BB$15),0),
              ROUND(ROUND(OFFSET($P222,0,BB$13),15-13*ORÇAMENTO!$AF$7)*OFFSET(ORÇAMENTO!$W$15,ROW(BB222)-ROW(BB$15),0),15-13*ORÇAMENTO!$AF$11)),
         0)</f>
        <v>0</v>
      </c>
      <c r="BC222" s="453">
        <f ca="1">IF(AND($D222="Serviço",BC$12&lt;&gt;0,$H222&gt;0,OR(AUTOEVENTO&lt;&gt;"manual",$M222&lt;&gt;$A$15)),
        IF(Import.TipoArredondamento&lt;&gt;"TransfereGOV",
              ROUND(OFFSET($P222,0,BC$13),15-13*ORÇAMENTO!$AF$7)/$H222*OFFSET(ORÇAMENTO!$X$15,ROW(BC222)-ROW(BC$15),0),
              ROUND(ROUND(OFFSET($P222,0,BC$13),15-13*ORÇAMENTO!$AF$7)*OFFSET(ORÇAMENTO!$W$15,ROW(BC222)-ROW(BC$15),0),15-13*ORÇAMENTO!$AF$11)),
         0)</f>
        <v>0</v>
      </c>
      <c r="BD222" s="453">
        <f ca="1">IF(AND($D222="Serviço",BD$12&lt;&gt;0,$H222&gt;0,OR(AUTOEVENTO&lt;&gt;"manual",$M222&lt;&gt;$A$15)),
        IF(Import.TipoArredondamento&lt;&gt;"TransfereGOV",
              ROUND(OFFSET($P222,0,BD$13),15-13*ORÇAMENTO!$AF$7)/$H222*OFFSET(ORÇAMENTO!$X$15,ROW(BD222)-ROW(BD$15),0),
              ROUND(ROUND(OFFSET($P222,0,BD$13),15-13*ORÇAMENTO!$AF$7)*OFFSET(ORÇAMENTO!$W$15,ROW(BD222)-ROW(BD$15),0),15-13*ORÇAMENTO!$AF$11)),
         0)</f>
        <v>0</v>
      </c>
      <c r="BE222" s="453">
        <f ca="1">IF(AND($D222="Serviço",BE$12&lt;&gt;0,$H222&gt;0,OR(AUTOEVENTO&lt;&gt;"manual",$M222&lt;&gt;$A$15)),
        IF(Import.TipoArredondamento&lt;&gt;"TransfereGOV",
              ROUND(OFFSET($P222,0,BE$13),15-13*ORÇAMENTO!$AF$7)/$H222*OFFSET(ORÇAMENTO!$X$15,ROW(BE222)-ROW(BE$15),0),
              ROUND(ROUND(OFFSET($P222,0,BE$13),15-13*ORÇAMENTO!$AF$7)*OFFSET(ORÇAMENTO!$W$15,ROW(BE222)-ROW(BE$15),0),15-13*ORÇAMENTO!$AF$11)),
         0)</f>
        <v>0</v>
      </c>
      <c r="BF222" s="453">
        <f ca="1">IF(AND($D222="Serviço",BF$12&lt;&gt;0,$H222&gt;0,OR(AUTOEVENTO&lt;&gt;"manual",$M222&lt;&gt;$A$15)),
        IF(Import.TipoArredondamento&lt;&gt;"TransfereGOV",
              ROUND(OFFSET($P222,0,BF$13),15-13*ORÇAMENTO!$AF$7)/$H222*OFFSET(ORÇAMENTO!$X$15,ROW(BF222)-ROW(BF$15),0),
              ROUND(ROUND(OFFSET($P222,0,BF$13),15-13*ORÇAMENTO!$AF$7)*OFFSET(ORÇAMENTO!$W$15,ROW(BF222)-ROW(BF$15),0),15-13*ORÇAMENTO!$AF$11)),
         0)</f>
        <v>0</v>
      </c>
      <c r="BG222" s="453">
        <f ca="1">IF(AND($D222="Serviço",BG$12&lt;&gt;0,$H222&gt;0,OR(AUTOEVENTO&lt;&gt;"manual",$M222&lt;&gt;$A$15)),
        IF(Import.TipoArredondamento&lt;&gt;"TransfereGOV",
              ROUND(OFFSET($P222,0,BG$13),15-13*ORÇAMENTO!$AF$7)/$H222*OFFSET(ORÇAMENTO!$X$15,ROW(BG222)-ROW(BG$15),0),
              ROUND(ROUND(OFFSET($P222,0,BG$13),15-13*ORÇAMENTO!$AF$7)*OFFSET(ORÇAMENTO!$W$15,ROW(BG222)-ROW(BG$15),0),15-13*ORÇAMENTO!$AF$11)),
         0)</f>
        <v>0</v>
      </c>
      <c r="BH222" s="453">
        <f ca="1">IF(AND($D222="Serviço",BH$12&lt;&gt;0,$H222&gt;0,OR(AUTOEVENTO&lt;&gt;"manual",$M222&lt;&gt;$A$15)),
        IF(Import.TipoArredondamento&lt;&gt;"TransfereGOV",
              ROUND(OFFSET($P222,0,BH$13),15-13*ORÇAMENTO!$AF$7)/$H222*OFFSET(ORÇAMENTO!$X$15,ROW(BH222)-ROW(BH$15),0),
              ROUND(ROUND(OFFSET($P222,0,BH$13),15-13*ORÇAMENTO!$AF$7)*OFFSET(ORÇAMENTO!$W$15,ROW(BH222)-ROW(BH$15),0),15-13*ORÇAMENTO!$AF$11)),
         0)</f>
        <v>0</v>
      </c>
      <c r="BI222" s="453">
        <f ca="1">IF(AND($D222="Serviço",BI$12&lt;&gt;0,$H222&gt;0,OR(AUTOEVENTO&lt;&gt;"manual",$M222&lt;&gt;$A$15)),
        IF(Import.TipoArredondamento&lt;&gt;"TransfereGOV",
              ROUND(OFFSET($P222,0,BI$13),15-13*ORÇAMENTO!$AF$7)/$H222*OFFSET(ORÇAMENTO!$X$15,ROW(BI222)-ROW(BI$15),0),
              ROUND(ROUND(OFFSET($P222,0,BI$13),15-13*ORÇAMENTO!$AF$7)*OFFSET(ORÇAMENTO!$W$15,ROW(BI222)-ROW(BI$15),0),15-13*ORÇAMENTO!$AF$11)),
         0)</f>
        <v>0</v>
      </c>
      <c r="BJ222" s="453">
        <f ca="1">IF(AND($D222="Serviço",BJ$12&lt;&gt;0,$H222&gt;0,OR(AUTOEVENTO&lt;&gt;"manual",$M222&lt;&gt;$A$15)),
        IF(Import.TipoArredondamento&lt;&gt;"TransfereGOV",
              ROUND(OFFSET($P222,0,BJ$13),15-13*ORÇAMENTO!$AF$7)/$H222*OFFSET(ORÇAMENTO!$X$15,ROW(BJ222)-ROW(BJ$15),0),
              ROUND(ROUND(OFFSET($P222,0,BJ$13),15-13*ORÇAMENTO!$AF$7)*OFFSET(ORÇAMENTO!$W$15,ROW(BJ222)-ROW(BJ$15),0),15-13*ORÇAMENTO!$AF$11)),
         0)</f>
        <v>0</v>
      </c>
      <c r="BK222" s="453">
        <f ca="1">IF(AND($D222="Serviço",BK$12&lt;&gt;0,$H222&gt;0,OR(AUTOEVENTO&lt;&gt;"manual",$M222&lt;&gt;$A$15)),
        IF(Import.TipoArredondamento&lt;&gt;"TransfereGOV",
              ROUND(OFFSET($P222,0,BK$13),15-13*ORÇAMENTO!$AF$7)/$H222*OFFSET(ORÇAMENTO!$X$15,ROW(BK222)-ROW(BK$15),0),
              ROUND(ROUND(OFFSET($P222,0,BK$13),15-13*ORÇAMENTO!$AF$7)*OFFSET(ORÇAMENTO!$W$15,ROW(BK222)-ROW(BK$15),0),15-13*ORÇAMENTO!$AF$11)),
         0)</f>
        <v>0</v>
      </c>
      <c r="BL222" s="453">
        <f ca="1">IF(AND($D222="Serviço",BL$12&lt;&gt;0,$H222&gt;0,OR(AUTOEVENTO&lt;&gt;"manual",$M222&lt;&gt;$A$15)),
        IF(Import.TipoArredondamento&lt;&gt;"TransfereGOV",
              ROUND(OFFSET($P222,0,BL$13),15-13*ORÇAMENTO!$AF$7)/$H222*OFFSET(ORÇAMENTO!$X$15,ROW(BL222)-ROW(BL$15),0),
              ROUND(ROUND(OFFSET($P222,0,BL$13),15-13*ORÇAMENTO!$AF$7)*OFFSET(ORÇAMENTO!$W$15,ROW(BL222)-ROW(BL$15),0),15-13*ORÇAMENTO!$AF$11)),
         0)</f>
        <v>0</v>
      </c>
      <c r="BM222" s="453">
        <f ca="1">IF(AND($D222="Serviço",BM$12&lt;&gt;0,$H222&gt;0,OR(AUTOEVENTO&lt;&gt;"manual",$M222&lt;&gt;$A$15)),
        IF(Import.TipoArredondamento&lt;&gt;"TransfereGOV",
              ROUND(OFFSET($P222,0,BM$13),15-13*ORÇAMENTO!$AF$7)/$H222*OFFSET(ORÇAMENTO!$X$15,ROW(BM222)-ROW(BM$15),0),
              ROUND(ROUND(OFFSET($P222,0,BM$13),15-13*ORÇAMENTO!$AF$7)*OFFSET(ORÇAMENTO!$W$15,ROW(BM222)-ROW(BM$15),0),15-13*ORÇAMENTO!$AF$11)),
         0)</f>
        <v>0</v>
      </c>
      <c r="BN222" s="453">
        <f ca="1">IF(AND($D222="Serviço",BN$12&lt;&gt;0,$H222&gt;0,OR(AUTOEVENTO&lt;&gt;"manual",$M222&lt;&gt;$A$15)),
        IF(Import.TipoArredondamento&lt;&gt;"TransfereGOV",
              ROUND(OFFSET($P222,0,BN$13),15-13*ORÇAMENTO!$AF$7)/$H222*OFFSET(ORÇAMENTO!$X$15,ROW(BN222)-ROW(BN$15),0),
              ROUND(ROUND(OFFSET($P222,0,BN$13),15-13*ORÇAMENTO!$AF$7)*OFFSET(ORÇAMENTO!$W$15,ROW(BN222)-ROW(BN$15),0),15-13*ORÇAMENTO!$AF$11)),
         0)</f>
        <v>0</v>
      </c>
      <c r="BO222" s="453">
        <f ca="1">IF(AND($D222="Serviço",BO$12&lt;&gt;0,$H222&gt;0,OR(AUTOEVENTO&lt;&gt;"manual",$M222&lt;&gt;$A$15)),
        IF(Import.TipoArredondamento&lt;&gt;"TransfereGOV",
              ROUND(OFFSET($P222,0,BO$13),15-13*ORÇAMENTO!$AF$7)/$H222*OFFSET(ORÇAMENTO!$X$15,ROW(BO222)-ROW(BO$15),0),
              ROUND(ROUND(OFFSET($P222,0,BO$13),15-13*ORÇAMENTO!$AF$7)*OFFSET(ORÇAMENTO!$W$15,ROW(BO222)-ROW(BO$15),0),15-13*ORÇAMENTO!$AF$11)),
         0)</f>
        <v>0</v>
      </c>
      <c r="BP222" s="453">
        <f ca="1">IF(AND($D222="Serviço",BP$12&lt;&gt;0,$H222&gt;0,OR(AUTOEVENTO&lt;&gt;"manual",$M222&lt;&gt;$A$15)),
        IF(Import.TipoArredondamento&lt;&gt;"TransfereGOV",
              ROUND(OFFSET($P222,0,BP$13),15-13*ORÇAMENTO!$AF$7)/$H222*OFFSET(ORÇAMENTO!$X$15,ROW(BP222)-ROW(BP$15),0),
              ROUND(ROUND(OFFSET($P222,0,BP$13),15-13*ORÇAMENTO!$AF$7)*OFFSET(ORÇAMENTO!$W$15,ROW(BP222)-ROW(BP$15),0),15-13*ORÇAMENTO!$AF$11)),
         0)</f>
        <v>0</v>
      </c>
      <c r="BQ222" s="453">
        <f ca="1">IF(AND($D222="Serviço",BQ$12&lt;&gt;0,$H222&gt;0,OR(AUTOEVENTO&lt;&gt;"manual",$M222&lt;&gt;$A$15)),
        IF(Import.TipoArredondamento&lt;&gt;"TransfereGOV",
              ROUND(OFFSET($P222,0,BQ$13),15-13*ORÇAMENTO!$AF$7)/$H222*OFFSET(ORÇAMENTO!$X$15,ROW(BQ222)-ROW(BQ$15),0),
              ROUND(ROUND(OFFSET($P222,0,BQ$13),15-13*ORÇAMENTO!$AF$7)*OFFSET(ORÇAMENTO!$W$15,ROW(BQ222)-ROW(BQ$15),0),15-13*ORÇAMENTO!$AF$11)),
         0)</f>
        <v>0</v>
      </c>
      <c r="BS222" s="171">
        <f ca="1">IF(OR($D222&lt;&gt;"Serviço",AND(AUTOEVENTO="Manual",$M222=$A$15)),0,
         IF(OFFSET(CRONOPLE!$F$15,$M222-$A$15,BS$13)=0,10^12,OFFSET(CRONOPLE!$F$15,$M222-$A$15,BS$13)))</f>
        <v>1</v>
      </c>
      <c r="BT222" s="171">
        <f ca="1">IF(OR($D222&lt;&gt;"Serviço",AND(AUTOEVENTO="Manual",$M222=$A$15)),0,
         IF(OFFSET(CRONOPLE!$F$15,$M222-$A$15,BT$13)=0,10^12,OFFSET(CRONOPLE!$F$15,$M222-$A$15,BT$13)))</f>
        <v>2</v>
      </c>
      <c r="BU222" s="171">
        <f ca="1">IF(OR($D222&lt;&gt;"Serviço",AND(AUTOEVENTO="Manual",$M222=$A$15)),0,
         IF(OFFSET(CRONOPLE!$F$15,$M222-$A$15,BU$13)=0,10^12,OFFSET(CRONOPLE!$F$15,$M222-$A$15,BU$13)))</f>
        <v>3</v>
      </c>
      <c r="BV222" s="171">
        <f ca="1">IF(OR($D222&lt;&gt;"Serviço",AND(AUTOEVENTO="Manual",$M222=$A$15)),0,
         IF(OFFSET(CRONOPLE!$F$15,$M222-$A$15,BV$13)=0,10^12,OFFSET(CRONOPLE!$F$15,$M222-$A$15,BV$13)))</f>
        <v>4</v>
      </c>
      <c r="BW222" s="171">
        <f ca="1">IF(OR($D222&lt;&gt;"Serviço",AND(AUTOEVENTO="Manual",$M222=$A$15)),0,
         IF(OFFSET(CRONOPLE!$F$15,$M222-$A$15,BW$13)=0,10^12,OFFSET(CRONOPLE!$F$15,$M222-$A$15,BW$13)))</f>
        <v>5</v>
      </c>
      <c r="BX222" s="171">
        <f ca="1">IF(OR($D222&lt;&gt;"Serviço",AND(AUTOEVENTO="Manual",$M222=$A$15)),0,
         IF(OFFSET(CRONOPLE!$F$15,$M222-$A$15,BX$13)=0,10^12,OFFSET(CRONOPLE!$F$15,$M222-$A$15,BX$13)))</f>
        <v>6</v>
      </c>
      <c r="BY222" s="171">
        <f ca="1">IF(OR($D222&lt;&gt;"Serviço",AND(AUTOEVENTO="Manual",$M222=$A$15)),0,
         IF(OFFSET(CRONOPLE!$F$15,$M222-$A$15,BY$13)=0,10^12,OFFSET(CRONOPLE!$F$15,$M222-$A$15,BY$13)))</f>
        <v>7</v>
      </c>
      <c r="BZ222" s="171">
        <f ca="1">IF(OR($D222&lt;&gt;"Serviço",AND(AUTOEVENTO="Manual",$M222=$A$15)),0,
         IF(OFFSET(CRONOPLE!$F$15,$M222-$A$15,BZ$13)=0,10^12,OFFSET(CRONOPLE!$F$15,$M222-$A$15,BZ$13)))</f>
        <v>8</v>
      </c>
      <c r="CA222" s="171">
        <f ca="1">IF(OR($D222&lt;&gt;"Serviço",AND(AUTOEVENTO="Manual",$M222=$A$15)),0,
         IF(OFFSET(CRONOPLE!$F$15,$M222-$A$15,CA$13)=0,10^12,OFFSET(CRONOPLE!$F$15,$M222-$A$15,CA$13)))</f>
        <v>9</v>
      </c>
      <c r="CB222" s="171">
        <f ca="1">IF(OR($D222&lt;&gt;"Serviço",AND(AUTOEVENTO="Manual",$M222=$A$15)),0,
         IF(OFFSET(CRONOPLE!$F$15,$M222-$A$15,CB$13)=0,10^12,OFFSET(CRONOPLE!$F$15,$M222-$A$15,CB$13)))</f>
        <v>10</v>
      </c>
      <c r="CC222" s="171">
        <f ca="1">IF(OR($D222&lt;&gt;"Serviço",AND(AUTOEVENTO="Manual",$M222=$A$15)),0,
         IF(OFFSET(CRONOPLE!$F$15,$M222-$A$15,CC$13)=0,10^12,OFFSET(CRONOPLE!$F$15,$M222-$A$15,CC$13)))</f>
        <v>11</v>
      </c>
      <c r="CD222" s="171">
        <f ca="1">IF(OR($D222&lt;&gt;"Serviço",AND(AUTOEVENTO="Manual",$M222=$A$15)),0,
         IF(OFFSET(CRONOPLE!$F$15,$M222-$A$15,CD$13)=0,10^12,OFFSET(CRONOPLE!$F$15,$M222-$A$15,CD$13)))</f>
        <v>12</v>
      </c>
      <c r="CE222" s="171">
        <f ca="1">IF(OR($D222&lt;&gt;"Serviço",AND(AUTOEVENTO="Manual",$M222=$A$15)),0,
         IF(OFFSET(CRONOPLE!$F$15,$M222-$A$15,CE$13)=0,10^12,OFFSET(CRONOPLE!$F$15,$M222-$A$15,CE$13)))</f>
        <v>13</v>
      </c>
      <c r="CF222" s="171">
        <f ca="1">IF(OR($D222&lt;&gt;"Serviço",AND(AUTOEVENTO="Manual",$M222=$A$15)),0,
         IF(OFFSET(CRONOPLE!$F$15,$M222-$A$15,CF$13)=0,10^12,OFFSET(CRONOPLE!$F$15,$M222-$A$15,CF$13)))</f>
        <v>14</v>
      </c>
      <c r="CG222" s="171">
        <f ca="1">IF(OR($D222&lt;&gt;"Serviço",AND(AUTOEVENTO="Manual",$M222=$A$15)),0,
         IF(OFFSET(CRONOPLE!$F$15,$M222-$A$15,CG$13)=0,10^12,OFFSET(CRONOPLE!$F$15,$M222-$A$15,CG$13)))</f>
        <v>15</v>
      </c>
      <c r="CH222" s="171">
        <f ca="1">IF(OR($D222&lt;&gt;"Serviço",AND(AUTOEVENTO="Manual",$M222=$A$15)),0,
         IF(OFFSET(CRONOPLE!$F$15,$M222-$A$15,CH$13)=0,10^12,OFFSET(CRONOPLE!$F$15,$M222-$A$15,CH$13)))</f>
        <v>16</v>
      </c>
      <c r="CI222" s="171">
        <f ca="1">IF(OR($D222&lt;&gt;"Serviço",AND(AUTOEVENTO="Manual",$M222=$A$15)),0,
         IF(OFFSET(CRONOPLE!$F$15,$M222-$A$15,CI$13)=0,10^12,OFFSET(CRONOPLE!$F$15,$M222-$A$15,CI$13)))</f>
        <v>17</v>
      </c>
      <c r="CJ222" s="171">
        <f ca="1">IF(OR($D222&lt;&gt;"Serviço",AND(AUTOEVENTO="Manual",$M222=$A$15)),0,
         IF(OFFSET(CRONOPLE!$F$15,$M222-$A$15,CJ$13)=0,10^12,OFFSET(CRONOPLE!$F$15,$M222-$A$15,CJ$13)))</f>
        <v>18</v>
      </c>
      <c r="CK222" s="171">
        <f ca="1">IF(OR($D222&lt;&gt;"Serviço",AND(AUTOEVENTO="Manual",$M222=$A$15)),0,
         IF(OFFSET(CRONOPLE!$F$15,$M222-$A$15,CK$13)=0,10^12,OFFSET(CRONOPLE!$F$15,$M222-$A$15,CK$13)))</f>
        <v>19</v>
      </c>
      <c r="CL222" s="171">
        <f ca="1">IF(OR($D222&lt;&gt;"Serviço",AND(AUTOEVENTO="Manual",$M222=$A$15)),0,
         IF(OFFSET(CRONOPLE!$F$15,$M222-$A$15,CL$13)=0,10^12,OFFSET(CRONOPLE!$F$15,$M222-$A$15,CL$13)))</f>
        <v>20</v>
      </c>
      <c r="CM222" s="171">
        <f ca="1">IF(OR($D222&lt;&gt;"Serviço",AND(AUTOEVENTO="Manual",$M222=$A$15)),0,
         IF(OFFSET(CRONOPLE!$F$15,$M222-$A$15,CM$13)=0,10^12,OFFSET(CRONOPLE!$F$15,$M222-$A$15,CM$13)))</f>
        <v>1000000000000</v>
      </c>
      <c r="CN222" s="171">
        <f ca="1">IF(OR($D222&lt;&gt;"Serviço",AND(AUTOEVENTO="Manual",$M222=$A$15)),0,
         IF(OFFSET(CRONOPLE!$F$15,$M222-$A$15,CN$13)=0,10^12,OFFSET(CRONOPLE!$F$15,$M222-$A$15,CN$13)))</f>
        <v>1000000000000</v>
      </c>
      <c r="CO222" s="171">
        <f ca="1">IF(OR($D222&lt;&gt;"Serviço",AND(AUTOEVENTO="Manual",$M222=$A$15)),0,
         IF(OFFSET(CRONOPLE!$F$15,$M222-$A$15,CO$13)=0,10^12,OFFSET(CRONOPLE!$F$15,$M222-$A$15,CO$13)))</f>
        <v>1000000000000</v>
      </c>
      <c r="CP222" s="171">
        <f ca="1">IF(OR($D222&lt;&gt;"Serviço",AND(AUTOEVENTO="Manual",$M222=$A$15)),0,
         IF(OFFSET(CRONOPLE!$F$15,$M222-$A$15,CP$13)=0,10^12,OFFSET(CRONOPLE!$F$15,$M222-$A$15,CP$13)))</f>
        <v>1000000000000</v>
      </c>
      <c r="CQ222" s="171">
        <f ca="1">IF(OR($D222&lt;&gt;"Serviço",AND(AUTOEVENTO="Manual",$M222=$A$15)),0,
         IF(OFFSET(CRONOPLE!$F$15,$M222-$A$15,CQ$13)=0,10^12,OFFSET(CRONOPLE!$F$15,$M222-$A$15,CQ$13)))</f>
        <v>1000000000000</v>
      </c>
      <c r="CR222" s="171">
        <f ca="1">IF(OR($D222&lt;&gt;"Serviço",AND(AUTOEVENTO="Manual",$M222=$A$15)),0,
         IF(OFFSET(CRONOPLE!$F$15,$M222-$A$15,CR$13)=0,10^12,OFFSET(CRONOPLE!$F$15,$M222-$A$15,CR$13)))</f>
        <v>1000000000000</v>
      </c>
      <c r="CT222" s="172" cm="1">
        <f t="array" aca="1" ref="CT222" ca="1">IF(OR($D222&lt;&gt;"Serviço",AND(AUTOEVENTO="Manual",$M222=$A$15),$M222&gt;(ROW(PLE.lastrow)-ROW(PLE.firstrow))),0,
           IF(OFFSET(PLE!$G$15,$M222-$A$15,CT$13)="",10^12,OFFSET(PLE!$G$15,$M222-$A$15,CT$13)))</f>
        <v>1000000000000</v>
      </c>
      <c r="CU222" s="172" cm="1">
        <f t="array" aca="1" ref="CU222" ca="1">IF(OR($D222&lt;&gt;"Serviço",AND(AUTOEVENTO="Manual",$M222=$A$15),$M222&gt;(ROW(PLE.lastrow)-ROW(PLE.firstrow))),0,
           IF(OFFSET(PLE!$G$15,$M222-$A$15,CU$13)="",10^12,OFFSET(PLE!$G$15,$M222-$A$15,CU$13)))</f>
        <v>1000000000000</v>
      </c>
      <c r="CV222" s="172" cm="1">
        <f t="array" aca="1" ref="CV222" ca="1">IF(OR($D222&lt;&gt;"Serviço",AND(AUTOEVENTO="Manual",$M222=$A$15),$M222&gt;(ROW(PLE.lastrow)-ROW(PLE.firstrow))),0,
           IF(OFFSET(PLE!$G$15,$M222-$A$15,CV$13)="",10^12,OFFSET(PLE!$G$15,$M222-$A$15,CV$13)))</f>
        <v>1000000000000</v>
      </c>
      <c r="CW222" s="172" cm="1">
        <f t="array" aca="1" ref="CW222" ca="1">IF(OR($D222&lt;&gt;"Serviço",AND(AUTOEVENTO="Manual",$M222=$A$15),$M222&gt;(ROW(PLE.lastrow)-ROW(PLE.firstrow))),0,
           IF(OFFSET(PLE!$G$15,$M222-$A$15,CW$13)="",10^12,OFFSET(PLE!$G$15,$M222-$A$15,CW$13)))</f>
        <v>1000000000000</v>
      </c>
      <c r="CX222" s="172" cm="1">
        <f t="array" aca="1" ref="CX222" ca="1">IF(OR($D222&lt;&gt;"Serviço",AND(AUTOEVENTO="Manual",$M222=$A$15),$M222&gt;(ROW(PLE.lastrow)-ROW(PLE.firstrow))),0,
           IF(OFFSET(PLE!$G$15,$M222-$A$15,CX$13)="",10^12,OFFSET(PLE!$G$15,$M222-$A$15,CX$13)))</f>
        <v>1000000000000</v>
      </c>
      <c r="CY222" s="172" cm="1">
        <f t="array" aca="1" ref="CY222" ca="1">IF(OR($D222&lt;&gt;"Serviço",AND(AUTOEVENTO="Manual",$M222=$A$15),$M222&gt;(ROW(PLE.lastrow)-ROW(PLE.firstrow))),0,
           IF(OFFSET(PLE!$G$15,$M222-$A$15,CY$13)="",10^12,OFFSET(PLE!$G$15,$M222-$A$15,CY$13)))</f>
        <v>1000000000000</v>
      </c>
      <c r="CZ222" s="172" cm="1">
        <f t="array" aca="1" ref="CZ222" ca="1">IF(OR($D222&lt;&gt;"Serviço",AND(AUTOEVENTO="Manual",$M222=$A$15),$M222&gt;(ROW(PLE.lastrow)-ROW(PLE.firstrow))),0,
           IF(OFFSET(PLE!$G$15,$M222-$A$15,CZ$13)="",10^12,OFFSET(PLE!$G$15,$M222-$A$15,CZ$13)))</f>
        <v>1000000000000</v>
      </c>
      <c r="DA222" s="172" cm="1">
        <f t="array" aca="1" ref="DA222" ca="1">IF(OR($D222&lt;&gt;"Serviço",AND(AUTOEVENTO="Manual",$M222=$A$15),$M222&gt;(ROW(PLE.lastrow)-ROW(PLE.firstrow))),0,
           IF(OFFSET(PLE!$G$15,$M222-$A$15,DA$13)="",10^12,OFFSET(PLE!$G$15,$M222-$A$15,DA$13)))</f>
        <v>1000000000000</v>
      </c>
      <c r="DB222" s="172" cm="1">
        <f t="array" aca="1" ref="DB222" ca="1">IF(OR($D222&lt;&gt;"Serviço",AND(AUTOEVENTO="Manual",$M222=$A$15),$M222&gt;(ROW(PLE.lastrow)-ROW(PLE.firstrow))),0,
           IF(OFFSET(PLE!$G$15,$M222-$A$15,DB$13)="",10^12,OFFSET(PLE!$G$15,$M222-$A$15,DB$13)))</f>
        <v>1000000000000</v>
      </c>
      <c r="DC222" s="172" cm="1">
        <f t="array" aca="1" ref="DC222" ca="1">IF(OR($D222&lt;&gt;"Serviço",AND(AUTOEVENTO="Manual",$M222=$A$15),$M222&gt;(ROW(PLE.lastrow)-ROW(PLE.firstrow))),0,
           IF(OFFSET(PLE!$G$15,$M222-$A$15,DC$13)="",10^12,OFFSET(PLE!$G$15,$M222-$A$15,DC$13)))</f>
        <v>1000000000000</v>
      </c>
      <c r="DD222" s="172" cm="1">
        <f t="array" aca="1" ref="DD222" ca="1">IF(OR($D222&lt;&gt;"Serviço",AND(AUTOEVENTO="Manual",$M222=$A$15),$M222&gt;(ROW(PLE.lastrow)-ROW(PLE.firstrow))),0,
           IF(OFFSET(PLE!$G$15,$M222-$A$15,DD$13)="",10^12,OFFSET(PLE!$G$15,$M222-$A$15,DD$13)))</f>
        <v>1000000000000</v>
      </c>
      <c r="DE222" s="172" cm="1">
        <f t="array" aca="1" ref="DE222" ca="1">IF(OR($D222&lt;&gt;"Serviço",AND(AUTOEVENTO="Manual",$M222=$A$15),$M222&gt;(ROW(PLE.lastrow)-ROW(PLE.firstrow))),0,
           IF(OFFSET(PLE!$G$15,$M222-$A$15,DE$13)="",10^12,OFFSET(PLE!$G$15,$M222-$A$15,DE$13)))</f>
        <v>1000000000000</v>
      </c>
      <c r="DF222" s="172" cm="1">
        <f t="array" aca="1" ref="DF222" ca="1">IF(OR($D222&lt;&gt;"Serviço",AND(AUTOEVENTO="Manual",$M222=$A$15),$M222&gt;(ROW(PLE.lastrow)-ROW(PLE.firstrow))),0,
           IF(OFFSET(PLE!$G$15,$M222-$A$15,DF$13)="",10^12,OFFSET(PLE!$G$15,$M222-$A$15,DF$13)))</f>
        <v>1000000000000</v>
      </c>
      <c r="DG222" s="172" cm="1">
        <f t="array" aca="1" ref="DG222" ca="1">IF(OR($D222&lt;&gt;"Serviço",AND(AUTOEVENTO="Manual",$M222=$A$15),$M222&gt;(ROW(PLE.lastrow)-ROW(PLE.firstrow))),0,
           IF(OFFSET(PLE!$G$15,$M222-$A$15,DG$13)="",10^12,OFFSET(PLE!$G$15,$M222-$A$15,DG$13)))</f>
        <v>1000000000000</v>
      </c>
      <c r="DH222" s="172" cm="1">
        <f t="array" aca="1" ref="DH222" ca="1">IF(OR($D222&lt;&gt;"Serviço",AND(AUTOEVENTO="Manual",$M222=$A$15),$M222&gt;(ROW(PLE.lastrow)-ROW(PLE.firstrow))),0,
           IF(OFFSET(PLE!$G$15,$M222-$A$15,DH$13)="",10^12,OFFSET(PLE!$G$15,$M222-$A$15,DH$13)))</f>
        <v>1000000000000</v>
      </c>
      <c r="DI222" s="172" cm="1">
        <f t="array" aca="1" ref="DI222" ca="1">IF(OR($D222&lt;&gt;"Serviço",AND(AUTOEVENTO="Manual",$M222=$A$15),$M222&gt;(ROW(PLE.lastrow)-ROW(PLE.firstrow))),0,
           IF(OFFSET(PLE!$G$15,$M222-$A$15,DI$13)="",10^12,OFFSET(PLE!$G$15,$M222-$A$15,DI$13)))</f>
        <v>1000000000000</v>
      </c>
      <c r="DJ222" s="172" cm="1">
        <f t="array" aca="1" ref="DJ222" ca="1">IF(OR($D222&lt;&gt;"Serviço",AND(AUTOEVENTO="Manual",$M222=$A$15),$M222&gt;(ROW(PLE.lastrow)-ROW(PLE.firstrow))),0,
           IF(OFFSET(PLE!$G$15,$M222-$A$15,DJ$13)="",10^12,OFFSET(PLE!$G$15,$M222-$A$15,DJ$13)))</f>
        <v>1000000000000</v>
      </c>
      <c r="DK222" s="172" cm="1">
        <f t="array" aca="1" ref="DK222" ca="1">IF(OR($D222&lt;&gt;"Serviço",AND(AUTOEVENTO="Manual",$M222=$A$15),$M222&gt;(ROW(PLE.lastrow)-ROW(PLE.firstrow))),0,
           IF(OFFSET(PLE!$G$15,$M222-$A$15,DK$13)="",10^12,OFFSET(PLE!$G$15,$M222-$A$15,DK$13)))</f>
        <v>1000000000000</v>
      </c>
      <c r="DL222" s="172" cm="1">
        <f t="array" aca="1" ref="DL222" ca="1">IF(OR($D222&lt;&gt;"Serviço",AND(AUTOEVENTO="Manual",$M222=$A$15),$M222&gt;(ROW(PLE.lastrow)-ROW(PLE.firstrow))),0,
           IF(OFFSET(PLE!$G$15,$M222-$A$15,DL$13)="",10^12,OFFSET(PLE!$G$15,$M222-$A$15,DL$13)))</f>
        <v>1000000000000</v>
      </c>
      <c r="DM222" s="172" cm="1">
        <f t="array" aca="1" ref="DM222" ca="1">IF(OR($D222&lt;&gt;"Serviço",AND(AUTOEVENTO="Manual",$M222=$A$15),$M222&gt;(ROW(PLE.lastrow)-ROW(PLE.firstrow))),0,
           IF(OFFSET(PLE!$G$15,$M222-$A$15,DM$13)="",10^12,OFFSET(PLE!$G$15,$M222-$A$15,DM$13)))</f>
        <v>1000000000000</v>
      </c>
      <c r="DN222" s="172" cm="1">
        <f t="array" aca="1" ref="DN222" ca="1">IF(OR($D222&lt;&gt;"Serviço",AND(AUTOEVENTO="Manual",$M222=$A$15),$M222&gt;(ROW(PLE.lastrow)-ROW(PLE.firstrow))),0,
           IF(OFFSET(PLE!$G$15,$M222-$A$15,DN$13)="",10^12,OFFSET(PLE!$G$15,$M222-$A$15,DN$13)))</f>
        <v>1000000000000</v>
      </c>
      <c r="DO222" s="172" cm="1">
        <f t="array" aca="1" ref="DO222" ca="1">IF(OR($D222&lt;&gt;"Serviço",AND(AUTOEVENTO="Manual",$M222=$A$15),$M222&gt;(ROW(PLE.lastrow)-ROW(PLE.firstrow))),0,
           IF(OFFSET(PLE!$G$15,$M222-$A$15,DO$13)="",10^12,OFFSET(PLE!$G$15,$M222-$A$15,DO$13)))</f>
        <v>1000000000000</v>
      </c>
      <c r="DP222" s="172" cm="1">
        <f t="array" aca="1" ref="DP222" ca="1">IF(OR($D222&lt;&gt;"Serviço",AND(AUTOEVENTO="Manual",$M222=$A$15),$M222&gt;(ROW(PLE.lastrow)-ROW(PLE.firstrow))),0,
           IF(OFFSET(PLE!$G$15,$M222-$A$15,DP$13)="",10^12,OFFSET(PLE!$G$15,$M222-$A$15,DP$13)))</f>
        <v>1000000000000</v>
      </c>
      <c r="DQ222" s="172" cm="1">
        <f t="array" aca="1" ref="DQ222" ca="1">IF(OR($D222&lt;&gt;"Serviço",AND(AUTOEVENTO="Manual",$M222=$A$15),$M222&gt;(ROW(PLE.lastrow)-ROW(PLE.firstrow))),0,
           IF(OFFSET(PLE!$G$15,$M222-$A$15,DQ$13)="",10^12,OFFSET(PLE!$G$15,$M222-$A$15,DQ$13)))</f>
        <v>1000000000000</v>
      </c>
      <c r="DR222" s="172" cm="1">
        <f t="array" aca="1" ref="DR222" ca="1">IF(OR($D222&lt;&gt;"Serviço",AND(AUTOEVENTO="Manual",$M222=$A$15),$M222&gt;(ROW(PLE.lastrow)-ROW(PLE.firstrow))),0,
           IF(OFFSET(PLE!$G$15,$M222-$A$15,DR$13)="",10^12,OFFSET(PLE!$G$15,$M222-$A$15,DR$13)))</f>
        <v>1000000000000</v>
      </c>
      <c r="DS222" s="172" cm="1">
        <f t="array" aca="1" ref="DS222" ca="1">IF(OR($D222&lt;&gt;"Serviço",AND(AUTOEVENTO="Manual",$M222=$A$15),$M222&gt;(ROW(PLE.lastrow)-ROW(PLE.firstrow))),0,
           IF(OFFSET(PLE!$G$15,$M222-$A$15,DS$13)="",10^12,OFFSET(PLE!$G$15,$M222-$A$15,DS$13)))</f>
        <v>1000000000000</v>
      </c>
    </row>
    <row r="223" spans="1:123" ht="38.25" x14ac:dyDescent="0.2">
      <c r="A223" s="7">
        <f t="shared" ca="1" si="19"/>
        <v>9</v>
      </c>
      <c r="B223" s="7" t="str">
        <f ca="1">OFFSET(ORÇAMENTO!C$15,$L223,0)</f>
        <v>S</v>
      </c>
      <c r="C223" s="7" t="str">
        <f ca="1">OFFSET(ORÇAMENTO!L$15,$L223,0)</f>
        <v/>
      </c>
      <c r="D223" s="116" t="str">
        <f ca="1">OFFSET(ORÇAMENTO!N$15,$L223,0)</f>
        <v>Serviço</v>
      </c>
      <c r="E223" s="117" t="str">
        <f ca="1">OFFSET(ORÇAMENTO!O$15,$L223,0)</f>
        <v>-</v>
      </c>
      <c r="F223" s="163" t="str">
        <f ca="1">OFFSET(ORÇAMENTO!R$15,$L223,0)</f>
        <v>(Código não identificado nas referências)</v>
      </c>
      <c r="G223" s="164" t="str">
        <f ca="1">IF($D223&lt;&gt;"Serviço","",OFFSET(ORÇAMENTO!S$15,$L223,0))</f>
        <v>-</v>
      </c>
      <c r="H223" s="122" cm="1">
        <f t="array" aca="1" ref="H223" ca="1">IF($D223&lt;&gt;"Serviço",0,IF(ACOMPANHAMENTO="BM",ROUND(OFFSET(ORÇAMENTO!AJ$15,$L223,0),15-13*ORÇAMENTO!$AF$7),IF(IFERROR(CÁLCULO.FrentesPreenchidas,0)=0,0,SUM(ROUND(OFFSET($P223,0,1,1,CÁLCULO.FrentesPreenchidas),15-13*ORÇAMENTO!$AF$7)))))</f>
        <v>20</v>
      </c>
      <c r="I223" s="468" t="s">
        <v>1235</v>
      </c>
      <c r="J223" s="651" t="str" cm="1">
        <f t="array" aca="1" ref="J223" ca="1">IF(OR(B223&lt;&gt;"S",CÁLCULO.FrentesPreenchidas=0),"",IF(AND(ACOMPANHAMENTO="PLE",AUTOEVENTO="Manual",OR(H223&gt;0,ORÇAMENTO!AC223="QUANT."),OR(K223="",M223=0,N223="")),"►E",IF(AND(ACOMPANHAMENTO="PLE",ORÇAMENTO!AC223="QUANT."),"►Q",IF(AND(ACOMPANHAMENTO="PLE",H223&lt;&gt;SUMPRODUCT(($Q$1:$AQ$1=1)*ROUND(Q223:AQ223,15))),"►S",IF(AND(COUNTIF($P$11:$AQ$11,"▼")=0,H223&gt;0,I223=""),"◄M","")))))</f>
        <v/>
      </c>
      <c r="K223" s="652" t="s">
        <v>1257</v>
      </c>
      <c r="L223" s="165">
        <f t="shared" ca="1" si="20"/>
        <v>208</v>
      </c>
      <c r="M223" s="166">
        <f ca="1">IF($D223&lt;&gt;"Serviço","",
          IF(AUTOEVENTO="manual",$A223,
                IF(ISERROR(MATCH($A223,$A$15:OFFSET($A223,-1,0),0)),MAX($M$15:OFFSET(M223,-1,0))+1,
                      INDEX($M$15:OFFSET(M223,-1,0),MATCH($A223,$A$15:OFFSET($A223,-1,0),0)))))</f>
        <v>9</v>
      </c>
      <c r="N223" s="167" t="str">
        <f ca="1">IF($D223&lt;&gt;"Serviço","",
         IF(AUTOEVENTO="Manual",
                IF($A223=0,"&lt;-- defina o número do agrupador",
                       OFFSET(EVENTOS!$D$15,$A223-$A$15,0)),
                OFFSET($F$15,$A223,0)))</f>
        <v>INSTALAÇÕES</v>
      </c>
      <c r="O223" s="168"/>
      <c r="Q223" s="168">
        <v>1</v>
      </c>
      <c r="R223" s="169">
        <v>1</v>
      </c>
      <c r="S223" s="169">
        <v>1</v>
      </c>
      <c r="T223" s="169">
        <v>1</v>
      </c>
      <c r="U223" s="169">
        <v>1</v>
      </c>
      <c r="V223" s="169">
        <v>1</v>
      </c>
      <c r="W223" s="169">
        <v>1</v>
      </c>
      <c r="X223" s="169">
        <v>1</v>
      </c>
      <c r="Y223" s="169">
        <v>1</v>
      </c>
      <c r="Z223" s="170">
        <v>1</v>
      </c>
      <c r="AA223" s="169">
        <v>1</v>
      </c>
      <c r="AB223" s="169">
        <v>1</v>
      </c>
      <c r="AC223" s="169">
        <v>1</v>
      </c>
      <c r="AD223" s="169">
        <v>1</v>
      </c>
      <c r="AE223" s="169">
        <v>1</v>
      </c>
      <c r="AF223" s="169">
        <v>1</v>
      </c>
      <c r="AG223" s="169">
        <v>1</v>
      </c>
      <c r="AH223" s="170">
        <v>1</v>
      </c>
      <c r="AI223" s="169">
        <v>1</v>
      </c>
      <c r="AJ223" s="169">
        <v>1</v>
      </c>
      <c r="AK223" s="169"/>
      <c r="AL223" s="169"/>
      <c r="AM223" s="169"/>
      <c r="AN223" s="169"/>
      <c r="AO223" s="169"/>
      <c r="AP223" s="170"/>
      <c r="AR223" s="453">
        <f ca="1">IF(AND($D223="Serviço",AR$12&lt;&gt;0,$H223&gt;0,OR(AUTOEVENTO&lt;&gt;"manual",$M223&lt;&gt;$A$15)),
        IF(Import.TipoArredondamento&lt;&gt;"TransfereGOV",
              ROUND(OFFSET($P223,0,AR$13),15-13*ORÇAMENTO!$AF$7)/$H223*OFFSET(ORÇAMENTO!$X$15,ROW(AR223)-ROW(AR$15),0),
              ROUND(ROUND(OFFSET($P223,0,AR$13),15-13*ORÇAMENTO!$AF$7)*OFFSET(ORÇAMENTO!$W$15,ROW(AR223)-ROW(AR$15),0),15-13*ORÇAMENTO!$AF$11)),
         0)</f>
        <v>0</v>
      </c>
      <c r="AS223" s="453">
        <f ca="1">IF(AND($D223="Serviço",AS$12&lt;&gt;0,$H223&gt;0,OR(AUTOEVENTO&lt;&gt;"manual",$M223&lt;&gt;$A$15)),
        IF(Import.TipoArredondamento&lt;&gt;"TransfereGOV",
              ROUND(OFFSET($P223,0,AS$13),15-13*ORÇAMENTO!$AF$7)/$H223*OFFSET(ORÇAMENTO!$X$15,ROW(AS223)-ROW(AS$15),0),
              ROUND(ROUND(OFFSET($P223,0,AS$13),15-13*ORÇAMENTO!$AF$7)*OFFSET(ORÇAMENTO!$W$15,ROW(AS223)-ROW(AS$15),0),15-13*ORÇAMENTO!$AF$11)),
         0)</f>
        <v>0</v>
      </c>
      <c r="AT223" s="453">
        <f ca="1">IF(AND($D223="Serviço",AT$12&lt;&gt;0,$H223&gt;0,OR(AUTOEVENTO&lt;&gt;"manual",$M223&lt;&gt;$A$15)),
        IF(Import.TipoArredondamento&lt;&gt;"TransfereGOV",
              ROUND(OFFSET($P223,0,AT$13),15-13*ORÇAMENTO!$AF$7)/$H223*OFFSET(ORÇAMENTO!$X$15,ROW(AT223)-ROW(AT$15),0),
              ROUND(ROUND(OFFSET($P223,0,AT$13),15-13*ORÇAMENTO!$AF$7)*OFFSET(ORÇAMENTO!$W$15,ROW(AT223)-ROW(AT$15),0),15-13*ORÇAMENTO!$AF$11)),
         0)</f>
        <v>0</v>
      </c>
      <c r="AU223" s="453">
        <f ca="1">IF(AND($D223="Serviço",AU$12&lt;&gt;0,$H223&gt;0,OR(AUTOEVENTO&lt;&gt;"manual",$M223&lt;&gt;$A$15)),
        IF(Import.TipoArredondamento&lt;&gt;"TransfereGOV",
              ROUND(OFFSET($P223,0,AU$13),15-13*ORÇAMENTO!$AF$7)/$H223*OFFSET(ORÇAMENTO!$X$15,ROW(AU223)-ROW(AU$15),0),
              ROUND(ROUND(OFFSET($P223,0,AU$13),15-13*ORÇAMENTO!$AF$7)*OFFSET(ORÇAMENTO!$W$15,ROW(AU223)-ROW(AU$15),0),15-13*ORÇAMENTO!$AF$11)),
         0)</f>
        <v>0</v>
      </c>
      <c r="AV223" s="453">
        <f ca="1">IF(AND($D223="Serviço",AV$12&lt;&gt;0,$H223&gt;0,OR(AUTOEVENTO&lt;&gt;"manual",$M223&lt;&gt;$A$15)),
        IF(Import.TipoArredondamento&lt;&gt;"TransfereGOV",
              ROUND(OFFSET($P223,0,AV$13),15-13*ORÇAMENTO!$AF$7)/$H223*OFFSET(ORÇAMENTO!$X$15,ROW(AV223)-ROW(AV$15),0),
              ROUND(ROUND(OFFSET($P223,0,AV$13),15-13*ORÇAMENTO!$AF$7)*OFFSET(ORÇAMENTO!$W$15,ROW(AV223)-ROW(AV$15),0),15-13*ORÇAMENTO!$AF$11)),
         0)</f>
        <v>0</v>
      </c>
      <c r="AW223" s="453">
        <f ca="1">IF(AND($D223="Serviço",AW$12&lt;&gt;0,$H223&gt;0,OR(AUTOEVENTO&lt;&gt;"manual",$M223&lt;&gt;$A$15)),
        IF(Import.TipoArredondamento&lt;&gt;"TransfereGOV",
              ROUND(OFFSET($P223,0,AW$13),15-13*ORÇAMENTO!$AF$7)/$H223*OFFSET(ORÇAMENTO!$X$15,ROW(AW223)-ROW(AW$15),0),
              ROUND(ROUND(OFFSET($P223,0,AW$13),15-13*ORÇAMENTO!$AF$7)*OFFSET(ORÇAMENTO!$W$15,ROW(AW223)-ROW(AW$15),0),15-13*ORÇAMENTO!$AF$11)),
         0)</f>
        <v>0</v>
      </c>
      <c r="AX223" s="453">
        <f ca="1">IF(AND($D223="Serviço",AX$12&lt;&gt;0,$H223&gt;0,OR(AUTOEVENTO&lt;&gt;"manual",$M223&lt;&gt;$A$15)),
        IF(Import.TipoArredondamento&lt;&gt;"TransfereGOV",
              ROUND(OFFSET($P223,0,AX$13),15-13*ORÇAMENTO!$AF$7)/$H223*OFFSET(ORÇAMENTO!$X$15,ROW(AX223)-ROW(AX$15),0),
              ROUND(ROUND(OFFSET($P223,0,AX$13),15-13*ORÇAMENTO!$AF$7)*OFFSET(ORÇAMENTO!$W$15,ROW(AX223)-ROW(AX$15),0),15-13*ORÇAMENTO!$AF$11)),
         0)</f>
        <v>0</v>
      </c>
      <c r="AY223" s="453">
        <f ca="1">IF(AND($D223="Serviço",AY$12&lt;&gt;0,$H223&gt;0,OR(AUTOEVENTO&lt;&gt;"manual",$M223&lt;&gt;$A$15)),
        IF(Import.TipoArredondamento&lt;&gt;"TransfereGOV",
              ROUND(OFFSET($P223,0,AY$13),15-13*ORÇAMENTO!$AF$7)/$H223*OFFSET(ORÇAMENTO!$X$15,ROW(AY223)-ROW(AY$15),0),
              ROUND(ROUND(OFFSET($P223,0,AY$13),15-13*ORÇAMENTO!$AF$7)*OFFSET(ORÇAMENTO!$W$15,ROW(AY223)-ROW(AY$15),0),15-13*ORÇAMENTO!$AF$11)),
         0)</f>
        <v>0</v>
      </c>
      <c r="AZ223" s="453">
        <f ca="1">IF(AND($D223="Serviço",AZ$12&lt;&gt;0,$H223&gt;0,OR(AUTOEVENTO&lt;&gt;"manual",$M223&lt;&gt;$A$15)),
        IF(Import.TipoArredondamento&lt;&gt;"TransfereGOV",
              ROUND(OFFSET($P223,0,AZ$13),15-13*ORÇAMENTO!$AF$7)/$H223*OFFSET(ORÇAMENTO!$X$15,ROW(AZ223)-ROW(AZ$15),0),
              ROUND(ROUND(OFFSET($P223,0,AZ$13),15-13*ORÇAMENTO!$AF$7)*OFFSET(ORÇAMENTO!$W$15,ROW(AZ223)-ROW(AZ$15),0),15-13*ORÇAMENTO!$AF$11)),
         0)</f>
        <v>0</v>
      </c>
      <c r="BA223" s="453">
        <f ca="1">IF(AND($D223="Serviço",BA$12&lt;&gt;0,$H223&gt;0,OR(AUTOEVENTO&lt;&gt;"manual",$M223&lt;&gt;$A$15)),
        IF(Import.TipoArredondamento&lt;&gt;"TransfereGOV",
              ROUND(OFFSET($P223,0,BA$13),15-13*ORÇAMENTO!$AF$7)/$H223*OFFSET(ORÇAMENTO!$X$15,ROW(BA223)-ROW(BA$15),0),
              ROUND(ROUND(OFFSET($P223,0,BA$13),15-13*ORÇAMENTO!$AF$7)*OFFSET(ORÇAMENTO!$W$15,ROW(BA223)-ROW(BA$15),0),15-13*ORÇAMENTO!$AF$11)),
         0)</f>
        <v>0</v>
      </c>
      <c r="BB223" s="453">
        <f ca="1">IF(AND($D223="Serviço",BB$12&lt;&gt;0,$H223&gt;0,OR(AUTOEVENTO&lt;&gt;"manual",$M223&lt;&gt;$A$15)),
        IF(Import.TipoArredondamento&lt;&gt;"TransfereGOV",
              ROUND(OFFSET($P223,0,BB$13),15-13*ORÇAMENTO!$AF$7)/$H223*OFFSET(ORÇAMENTO!$X$15,ROW(BB223)-ROW(BB$15),0),
              ROUND(ROUND(OFFSET($P223,0,BB$13),15-13*ORÇAMENTO!$AF$7)*OFFSET(ORÇAMENTO!$W$15,ROW(BB223)-ROW(BB$15),0),15-13*ORÇAMENTO!$AF$11)),
         0)</f>
        <v>0</v>
      </c>
      <c r="BC223" s="453">
        <f ca="1">IF(AND($D223="Serviço",BC$12&lt;&gt;0,$H223&gt;0,OR(AUTOEVENTO&lt;&gt;"manual",$M223&lt;&gt;$A$15)),
        IF(Import.TipoArredondamento&lt;&gt;"TransfereGOV",
              ROUND(OFFSET($P223,0,BC$13),15-13*ORÇAMENTO!$AF$7)/$H223*OFFSET(ORÇAMENTO!$X$15,ROW(BC223)-ROW(BC$15),0),
              ROUND(ROUND(OFFSET($P223,0,BC$13),15-13*ORÇAMENTO!$AF$7)*OFFSET(ORÇAMENTO!$W$15,ROW(BC223)-ROW(BC$15),0),15-13*ORÇAMENTO!$AF$11)),
         0)</f>
        <v>0</v>
      </c>
      <c r="BD223" s="453">
        <f ca="1">IF(AND($D223="Serviço",BD$12&lt;&gt;0,$H223&gt;0,OR(AUTOEVENTO&lt;&gt;"manual",$M223&lt;&gt;$A$15)),
        IF(Import.TipoArredondamento&lt;&gt;"TransfereGOV",
              ROUND(OFFSET($P223,0,BD$13),15-13*ORÇAMENTO!$AF$7)/$H223*OFFSET(ORÇAMENTO!$X$15,ROW(BD223)-ROW(BD$15),0),
              ROUND(ROUND(OFFSET($P223,0,BD$13),15-13*ORÇAMENTO!$AF$7)*OFFSET(ORÇAMENTO!$W$15,ROW(BD223)-ROW(BD$15),0),15-13*ORÇAMENTO!$AF$11)),
         0)</f>
        <v>0</v>
      </c>
      <c r="BE223" s="453">
        <f ca="1">IF(AND($D223="Serviço",BE$12&lt;&gt;0,$H223&gt;0,OR(AUTOEVENTO&lt;&gt;"manual",$M223&lt;&gt;$A$15)),
        IF(Import.TipoArredondamento&lt;&gt;"TransfereGOV",
              ROUND(OFFSET($P223,0,BE$13),15-13*ORÇAMENTO!$AF$7)/$H223*OFFSET(ORÇAMENTO!$X$15,ROW(BE223)-ROW(BE$15),0),
              ROUND(ROUND(OFFSET($P223,0,BE$13),15-13*ORÇAMENTO!$AF$7)*OFFSET(ORÇAMENTO!$W$15,ROW(BE223)-ROW(BE$15),0),15-13*ORÇAMENTO!$AF$11)),
         0)</f>
        <v>0</v>
      </c>
      <c r="BF223" s="453">
        <f ca="1">IF(AND($D223="Serviço",BF$12&lt;&gt;0,$H223&gt;0,OR(AUTOEVENTO&lt;&gt;"manual",$M223&lt;&gt;$A$15)),
        IF(Import.TipoArredondamento&lt;&gt;"TransfereGOV",
              ROUND(OFFSET($P223,0,BF$13),15-13*ORÇAMENTO!$AF$7)/$H223*OFFSET(ORÇAMENTO!$X$15,ROW(BF223)-ROW(BF$15),0),
              ROUND(ROUND(OFFSET($P223,0,BF$13),15-13*ORÇAMENTO!$AF$7)*OFFSET(ORÇAMENTO!$W$15,ROW(BF223)-ROW(BF$15),0),15-13*ORÇAMENTO!$AF$11)),
         0)</f>
        <v>0</v>
      </c>
      <c r="BG223" s="453">
        <f ca="1">IF(AND($D223="Serviço",BG$12&lt;&gt;0,$H223&gt;0,OR(AUTOEVENTO&lt;&gt;"manual",$M223&lt;&gt;$A$15)),
        IF(Import.TipoArredondamento&lt;&gt;"TransfereGOV",
              ROUND(OFFSET($P223,0,BG$13),15-13*ORÇAMENTO!$AF$7)/$H223*OFFSET(ORÇAMENTO!$X$15,ROW(BG223)-ROW(BG$15),0),
              ROUND(ROUND(OFFSET($P223,0,BG$13),15-13*ORÇAMENTO!$AF$7)*OFFSET(ORÇAMENTO!$W$15,ROW(BG223)-ROW(BG$15),0),15-13*ORÇAMENTO!$AF$11)),
         0)</f>
        <v>0</v>
      </c>
      <c r="BH223" s="453">
        <f ca="1">IF(AND($D223="Serviço",BH$12&lt;&gt;0,$H223&gt;0,OR(AUTOEVENTO&lt;&gt;"manual",$M223&lt;&gt;$A$15)),
        IF(Import.TipoArredondamento&lt;&gt;"TransfereGOV",
              ROUND(OFFSET($P223,0,BH$13),15-13*ORÇAMENTO!$AF$7)/$H223*OFFSET(ORÇAMENTO!$X$15,ROW(BH223)-ROW(BH$15),0),
              ROUND(ROUND(OFFSET($P223,0,BH$13),15-13*ORÇAMENTO!$AF$7)*OFFSET(ORÇAMENTO!$W$15,ROW(BH223)-ROW(BH$15),0),15-13*ORÇAMENTO!$AF$11)),
         0)</f>
        <v>0</v>
      </c>
      <c r="BI223" s="453">
        <f ca="1">IF(AND($D223="Serviço",BI$12&lt;&gt;0,$H223&gt;0,OR(AUTOEVENTO&lt;&gt;"manual",$M223&lt;&gt;$A$15)),
        IF(Import.TipoArredondamento&lt;&gt;"TransfereGOV",
              ROUND(OFFSET($P223,0,BI$13),15-13*ORÇAMENTO!$AF$7)/$H223*OFFSET(ORÇAMENTO!$X$15,ROW(BI223)-ROW(BI$15),0),
              ROUND(ROUND(OFFSET($P223,0,BI$13),15-13*ORÇAMENTO!$AF$7)*OFFSET(ORÇAMENTO!$W$15,ROW(BI223)-ROW(BI$15),0),15-13*ORÇAMENTO!$AF$11)),
         0)</f>
        <v>0</v>
      </c>
      <c r="BJ223" s="453">
        <f ca="1">IF(AND($D223="Serviço",BJ$12&lt;&gt;0,$H223&gt;0,OR(AUTOEVENTO&lt;&gt;"manual",$M223&lt;&gt;$A$15)),
        IF(Import.TipoArredondamento&lt;&gt;"TransfereGOV",
              ROUND(OFFSET($P223,0,BJ$13),15-13*ORÇAMENTO!$AF$7)/$H223*OFFSET(ORÇAMENTO!$X$15,ROW(BJ223)-ROW(BJ$15),0),
              ROUND(ROUND(OFFSET($P223,0,BJ$13),15-13*ORÇAMENTO!$AF$7)*OFFSET(ORÇAMENTO!$W$15,ROW(BJ223)-ROW(BJ$15),0),15-13*ORÇAMENTO!$AF$11)),
         0)</f>
        <v>0</v>
      </c>
      <c r="BK223" s="453">
        <f ca="1">IF(AND($D223="Serviço",BK$12&lt;&gt;0,$H223&gt;0,OR(AUTOEVENTO&lt;&gt;"manual",$M223&lt;&gt;$A$15)),
        IF(Import.TipoArredondamento&lt;&gt;"TransfereGOV",
              ROUND(OFFSET($P223,0,BK$13),15-13*ORÇAMENTO!$AF$7)/$H223*OFFSET(ORÇAMENTO!$X$15,ROW(BK223)-ROW(BK$15),0),
              ROUND(ROUND(OFFSET($P223,0,BK$13),15-13*ORÇAMENTO!$AF$7)*OFFSET(ORÇAMENTO!$W$15,ROW(BK223)-ROW(BK$15),0),15-13*ORÇAMENTO!$AF$11)),
         0)</f>
        <v>0</v>
      </c>
      <c r="BL223" s="453">
        <f ca="1">IF(AND($D223="Serviço",BL$12&lt;&gt;0,$H223&gt;0,OR(AUTOEVENTO&lt;&gt;"manual",$M223&lt;&gt;$A$15)),
        IF(Import.TipoArredondamento&lt;&gt;"TransfereGOV",
              ROUND(OFFSET($P223,0,BL$13),15-13*ORÇAMENTO!$AF$7)/$H223*OFFSET(ORÇAMENTO!$X$15,ROW(BL223)-ROW(BL$15),0),
              ROUND(ROUND(OFFSET($P223,0,BL$13),15-13*ORÇAMENTO!$AF$7)*OFFSET(ORÇAMENTO!$W$15,ROW(BL223)-ROW(BL$15),0),15-13*ORÇAMENTO!$AF$11)),
         0)</f>
        <v>0</v>
      </c>
      <c r="BM223" s="453">
        <f ca="1">IF(AND($D223="Serviço",BM$12&lt;&gt;0,$H223&gt;0,OR(AUTOEVENTO&lt;&gt;"manual",$M223&lt;&gt;$A$15)),
        IF(Import.TipoArredondamento&lt;&gt;"TransfereGOV",
              ROUND(OFFSET($P223,0,BM$13),15-13*ORÇAMENTO!$AF$7)/$H223*OFFSET(ORÇAMENTO!$X$15,ROW(BM223)-ROW(BM$15),0),
              ROUND(ROUND(OFFSET($P223,0,BM$13),15-13*ORÇAMENTO!$AF$7)*OFFSET(ORÇAMENTO!$W$15,ROW(BM223)-ROW(BM$15),0),15-13*ORÇAMENTO!$AF$11)),
         0)</f>
        <v>0</v>
      </c>
      <c r="BN223" s="453">
        <f ca="1">IF(AND($D223="Serviço",BN$12&lt;&gt;0,$H223&gt;0,OR(AUTOEVENTO&lt;&gt;"manual",$M223&lt;&gt;$A$15)),
        IF(Import.TipoArredondamento&lt;&gt;"TransfereGOV",
              ROUND(OFFSET($P223,0,BN$13),15-13*ORÇAMENTO!$AF$7)/$H223*OFFSET(ORÇAMENTO!$X$15,ROW(BN223)-ROW(BN$15),0),
              ROUND(ROUND(OFFSET($P223,0,BN$13),15-13*ORÇAMENTO!$AF$7)*OFFSET(ORÇAMENTO!$W$15,ROW(BN223)-ROW(BN$15),0),15-13*ORÇAMENTO!$AF$11)),
         0)</f>
        <v>0</v>
      </c>
      <c r="BO223" s="453">
        <f ca="1">IF(AND($D223="Serviço",BO$12&lt;&gt;0,$H223&gt;0,OR(AUTOEVENTO&lt;&gt;"manual",$M223&lt;&gt;$A$15)),
        IF(Import.TipoArredondamento&lt;&gt;"TransfereGOV",
              ROUND(OFFSET($P223,0,BO$13),15-13*ORÇAMENTO!$AF$7)/$H223*OFFSET(ORÇAMENTO!$X$15,ROW(BO223)-ROW(BO$15),0),
              ROUND(ROUND(OFFSET($P223,0,BO$13),15-13*ORÇAMENTO!$AF$7)*OFFSET(ORÇAMENTO!$W$15,ROW(BO223)-ROW(BO$15),0),15-13*ORÇAMENTO!$AF$11)),
         0)</f>
        <v>0</v>
      </c>
      <c r="BP223" s="453">
        <f ca="1">IF(AND($D223="Serviço",BP$12&lt;&gt;0,$H223&gt;0,OR(AUTOEVENTO&lt;&gt;"manual",$M223&lt;&gt;$A$15)),
        IF(Import.TipoArredondamento&lt;&gt;"TransfereGOV",
              ROUND(OFFSET($P223,0,BP$13),15-13*ORÇAMENTO!$AF$7)/$H223*OFFSET(ORÇAMENTO!$X$15,ROW(BP223)-ROW(BP$15),0),
              ROUND(ROUND(OFFSET($P223,0,BP$13),15-13*ORÇAMENTO!$AF$7)*OFFSET(ORÇAMENTO!$W$15,ROW(BP223)-ROW(BP$15),0),15-13*ORÇAMENTO!$AF$11)),
         0)</f>
        <v>0</v>
      </c>
      <c r="BQ223" s="453">
        <f ca="1">IF(AND($D223="Serviço",BQ$12&lt;&gt;0,$H223&gt;0,OR(AUTOEVENTO&lt;&gt;"manual",$M223&lt;&gt;$A$15)),
        IF(Import.TipoArredondamento&lt;&gt;"TransfereGOV",
              ROUND(OFFSET($P223,0,BQ$13),15-13*ORÇAMENTO!$AF$7)/$H223*OFFSET(ORÇAMENTO!$X$15,ROW(BQ223)-ROW(BQ$15),0),
              ROUND(ROUND(OFFSET($P223,0,BQ$13),15-13*ORÇAMENTO!$AF$7)*OFFSET(ORÇAMENTO!$W$15,ROW(BQ223)-ROW(BQ$15),0),15-13*ORÇAMENTO!$AF$11)),
         0)</f>
        <v>0</v>
      </c>
      <c r="BS223" s="171">
        <f ca="1">IF(OR($D223&lt;&gt;"Serviço",AND(AUTOEVENTO="Manual",$M223=$A$15)),0,
         IF(OFFSET(CRONOPLE!$F$15,$M223-$A$15,BS$13)=0,10^12,OFFSET(CRONOPLE!$F$15,$M223-$A$15,BS$13)))</f>
        <v>1</v>
      </c>
      <c r="BT223" s="171">
        <f ca="1">IF(OR($D223&lt;&gt;"Serviço",AND(AUTOEVENTO="Manual",$M223=$A$15)),0,
         IF(OFFSET(CRONOPLE!$F$15,$M223-$A$15,BT$13)=0,10^12,OFFSET(CRONOPLE!$F$15,$M223-$A$15,BT$13)))</f>
        <v>2</v>
      </c>
      <c r="BU223" s="171">
        <f ca="1">IF(OR($D223&lt;&gt;"Serviço",AND(AUTOEVENTO="Manual",$M223=$A$15)),0,
         IF(OFFSET(CRONOPLE!$F$15,$M223-$A$15,BU$13)=0,10^12,OFFSET(CRONOPLE!$F$15,$M223-$A$15,BU$13)))</f>
        <v>3</v>
      </c>
      <c r="BV223" s="171">
        <f ca="1">IF(OR($D223&lt;&gt;"Serviço",AND(AUTOEVENTO="Manual",$M223=$A$15)),0,
         IF(OFFSET(CRONOPLE!$F$15,$M223-$A$15,BV$13)=0,10^12,OFFSET(CRONOPLE!$F$15,$M223-$A$15,BV$13)))</f>
        <v>4</v>
      </c>
      <c r="BW223" s="171">
        <f ca="1">IF(OR($D223&lt;&gt;"Serviço",AND(AUTOEVENTO="Manual",$M223=$A$15)),0,
         IF(OFFSET(CRONOPLE!$F$15,$M223-$A$15,BW$13)=0,10^12,OFFSET(CRONOPLE!$F$15,$M223-$A$15,BW$13)))</f>
        <v>5</v>
      </c>
      <c r="BX223" s="171">
        <f ca="1">IF(OR($D223&lt;&gt;"Serviço",AND(AUTOEVENTO="Manual",$M223=$A$15)),0,
         IF(OFFSET(CRONOPLE!$F$15,$M223-$A$15,BX$13)=0,10^12,OFFSET(CRONOPLE!$F$15,$M223-$A$15,BX$13)))</f>
        <v>6</v>
      </c>
      <c r="BY223" s="171">
        <f ca="1">IF(OR($D223&lt;&gt;"Serviço",AND(AUTOEVENTO="Manual",$M223=$A$15)),0,
         IF(OFFSET(CRONOPLE!$F$15,$M223-$A$15,BY$13)=0,10^12,OFFSET(CRONOPLE!$F$15,$M223-$A$15,BY$13)))</f>
        <v>7</v>
      </c>
      <c r="BZ223" s="171">
        <f ca="1">IF(OR($D223&lt;&gt;"Serviço",AND(AUTOEVENTO="Manual",$M223=$A$15)),0,
         IF(OFFSET(CRONOPLE!$F$15,$M223-$A$15,BZ$13)=0,10^12,OFFSET(CRONOPLE!$F$15,$M223-$A$15,BZ$13)))</f>
        <v>8</v>
      </c>
      <c r="CA223" s="171">
        <f ca="1">IF(OR($D223&lt;&gt;"Serviço",AND(AUTOEVENTO="Manual",$M223=$A$15)),0,
         IF(OFFSET(CRONOPLE!$F$15,$M223-$A$15,CA$13)=0,10^12,OFFSET(CRONOPLE!$F$15,$M223-$A$15,CA$13)))</f>
        <v>9</v>
      </c>
      <c r="CB223" s="171">
        <f ca="1">IF(OR($D223&lt;&gt;"Serviço",AND(AUTOEVENTO="Manual",$M223=$A$15)),0,
         IF(OFFSET(CRONOPLE!$F$15,$M223-$A$15,CB$13)=0,10^12,OFFSET(CRONOPLE!$F$15,$M223-$A$15,CB$13)))</f>
        <v>10</v>
      </c>
      <c r="CC223" s="171">
        <f ca="1">IF(OR($D223&lt;&gt;"Serviço",AND(AUTOEVENTO="Manual",$M223=$A$15)),0,
         IF(OFFSET(CRONOPLE!$F$15,$M223-$A$15,CC$13)=0,10^12,OFFSET(CRONOPLE!$F$15,$M223-$A$15,CC$13)))</f>
        <v>11</v>
      </c>
      <c r="CD223" s="171">
        <f ca="1">IF(OR($D223&lt;&gt;"Serviço",AND(AUTOEVENTO="Manual",$M223=$A$15)),0,
         IF(OFFSET(CRONOPLE!$F$15,$M223-$A$15,CD$13)=0,10^12,OFFSET(CRONOPLE!$F$15,$M223-$A$15,CD$13)))</f>
        <v>12</v>
      </c>
      <c r="CE223" s="171">
        <f ca="1">IF(OR($D223&lt;&gt;"Serviço",AND(AUTOEVENTO="Manual",$M223=$A$15)),0,
         IF(OFFSET(CRONOPLE!$F$15,$M223-$A$15,CE$13)=0,10^12,OFFSET(CRONOPLE!$F$15,$M223-$A$15,CE$13)))</f>
        <v>13</v>
      </c>
      <c r="CF223" s="171">
        <f ca="1">IF(OR($D223&lt;&gt;"Serviço",AND(AUTOEVENTO="Manual",$M223=$A$15)),0,
         IF(OFFSET(CRONOPLE!$F$15,$M223-$A$15,CF$13)=0,10^12,OFFSET(CRONOPLE!$F$15,$M223-$A$15,CF$13)))</f>
        <v>14</v>
      </c>
      <c r="CG223" s="171">
        <f ca="1">IF(OR($D223&lt;&gt;"Serviço",AND(AUTOEVENTO="Manual",$M223=$A$15)),0,
         IF(OFFSET(CRONOPLE!$F$15,$M223-$A$15,CG$13)=0,10^12,OFFSET(CRONOPLE!$F$15,$M223-$A$15,CG$13)))</f>
        <v>15</v>
      </c>
      <c r="CH223" s="171">
        <f ca="1">IF(OR($D223&lt;&gt;"Serviço",AND(AUTOEVENTO="Manual",$M223=$A$15)),0,
         IF(OFFSET(CRONOPLE!$F$15,$M223-$A$15,CH$13)=0,10^12,OFFSET(CRONOPLE!$F$15,$M223-$A$15,CH$13)))</f>
        <v>16</v>
      </c>
      <c r="CI223" s="171">
        <f ca="1">IF(OR($D223&lt;&gt;"Serviço",AND(AUTOEVENTO="Manual",$M223=$A$15)),0,
         IF(OFFSET(CRONOPLE!$F$15,$M223-$A$15,CI$13)=0,10^12,OFFSET(CRONOPLE!$F$15,$M223-$A$15,CI$13)))</f>
        <v>17</v>
      </c>
      <c r="CJ223" s="171">
        <f ca="1">IF(OR($D223&lt;&gt;"Serviço",AND(AUTOEVENTO="Manual",$M223=$A$15)),0,
         IF(OFFSET(CRONOPLE!$F$15,$M223-$A$15,CJ$13)=0,10^12,OFFSET(CRONOPLE!$F$15,$M223-$A$15,CJ$13)))</f>
        <v>18</v>
      </c>
      <c r="CK223" s="171">
        <f ca="1">IF(OR($D223&lt;&gt;"Serviço",AND(AUTOEVENTO="Manual",$M223=$A$15)),0,
         IF(OFFSET(CRONOPLE!$F$15,$M223-$A$15,CK$13)=0,10^12,OFFSET(CRONOPLE!$F$15,$M223-$A$15,CK$13)))</f>
        <v>19</v>
      </c>
      <c r="CL223" s="171">
        <f ca="1">IF(OR($D223&lt;&gt;"Serviço",AND(AUTOEVENTO="Manual",$M223=$A$15)),0,
         IF(OFFSET(CRONOPLE!$F$15,$M223-$A$15,CL$13)=0,10^12,OFFSET(CRONOPLE!$F$15,$M223-$A$15,CL$13)))</f>
        <v>20</v>
      </c>
      <c r="CM223" s="171">
        <f ca="1">IF(OR($D223&lt;&gt;"Serviço",AND(AUTOEVENTO="Manual",$M223=$A$15)),0,
         IF(OFFSET(CRONOPLE!$F$15,$M223-$A$15,CM$13)=0,10^12,OFFSET(CRONOPLE!$F$15,$M223-$A$15,CM$13)))</f>
        <v>1000000000000</v>
      </c>
      <c r="CN223" s="171">
        <f ca="1">IF(OR($D223&lt;&gt;"Serviço",AND(AUTOEVENTO="Manual",$M223=$A$15)),0,
         IF(OFFSET(CRONOPLE!$F$15,$M223-$A$15,CN$13)=0,10^12,OFFSET(CRONOPLE!$F$15,$M223-$A$15,CN$13)))</f>
        <v>1000000000000</v>
      </c>
      <c r="CO223" s="171">
        <f ca="1">IF(OR($D223&lt;&gt;"Serviço",AND(AUTOEVENTO="Manual",$M223=$A$15)),0,
         IF(OFFSET(CRONOPLE!$F$15,$M223-$A$15,CO$13)=0,10^12,OFFSET(CRONOPLE!$F$15,$M223-$A$15,CO$13)))</f>
        <v>1000000000000</v>
      </c>
      <c r="CP223" s="171">
        <f ca="1">IF(OR($D223&lt;&gt;"Serviço",AND(AUTOEVENTO="Manual",$M223=$A$15)),0,
         IF(OFFSET(CRONOPLE!$F$15,$M223-$A$15,CP$13)=0,10^12,OFFSET(CRONOPLE!$F$15,$M223-$A$15,CP$13)))</f>
        <v>1000000000000</v>
      </c>
      <c r="CQ223" s="171">
        <f ca="1">IF(OR($D223&lt;&gt;"Serviço",AND(AUTOEVENTO="Manual",$M223=$A$15)),0,
         IF(OFFSET(CRONOPLE!$F$15,$M223-$A$15,CQ$13)=0,10^12,OFFSET(CRONOPLE!$F$15,$M223-$A$15,CQ$13)))</f>
        <v>1000000000000</v>
      </c>
      <c r="CR223" s="171">
        <f ca="1">IF(OR($D223&lt;&gt;"Serviço",AND(AUTOEVENTO="Manual",$M223=$A$15)),0,
         IF(OFFSET(CRONOPLE!$F$15,$M223-$A$15,CR$13)=0,10^12,OFFSET(CRONOPLE!$F$15,$M223-$A$15,CR$13)))</f>
        <v>1000000000000</v>
      </c>
      <c r="CT223" s="172" cm="1">
        <f t="array" aca="1" ref="CT223" ca="1">IF(OR($D223&lt;&gt;"Serviço",AND(AUTOEVENTO="Manual",$M223=$A$15),$M223&gt;(ROW(PLE.lastrow)-ROW(PLE.firstrow))),0,
           IF(OFFSET(PLE!$G$15,$M223-$A$15,CT$13)="",10^12,OFFSET(PLE!$G$15,$M223-$A$15,CT$13)))</f>
        <v>1000000000000</v>
      </c>
      <c r="CU223" s="172" cm="1">
        <f t="array" aca="1" ref="CU223" ca="1">IF(OR($D223&lt;&gt;"Serviço",AND(AUTOEVENTO="Manual",$M223=$A$15),$M223&gt;(ROW(PLE.lastrow)-ROW(PLE.firstrow))),0,
           IF(OFFSET(PLE!$G$15,$M223-$A$15,CU$13)="",10^12,OFFSET(PLE!$G$15,$M223-$A$15,CU$13)))</f>
        <v>1000000000000</v>
      </c>
      <c r="CV223" s="172" cm="1">
        <f t="array" aca="1" ref="CV223" ca="1">IF(OR($D223&lt;&gt;"Serviço",AND(AUTOEVENTO="Manual",$M223=$A$15),$M223&gt;(ROW(PLE.lastrow)-ROW(PLE.firstrow))),0,
           IF(OFFSET(PLE!$G$15,$M223-$A$15,CV$13)="",10^12,OFFSET(PLE!$G$15,$M223-$A$15,CV$13)))</f>
        <v>1000000000000</v>
      </c>
      <c r="CW223" s="172" cm="1">
        <f t="array" aca="1" ref="CW223" ca="1">IF(OR($D223&lt;&gt;"Serviço",AND(AUTOEVENTO="Manual",$M223=$A$15),$M223&gt;(ROW(PLE.lastrow)-ROW(PLE.firstrow))),0,
           IF(OFFSET(PLE!$G$15,$M223-$A$15,CW$13)="",10^12,OFFSET(PLE!$G$15,$M223-$A$15,CW$13)))</f>
        <v>1000000000000</v>
      </c>
      <c r="CX223" s="172" cm="1">
        <f t="array" aca="1" ref="CX223" ca="1">IF(OR($D223&lt;&gt;"Serviço",AND(AUTOEVENTO="Manual",$M223=$A$15),$M223&gt;(ROW(PLE.lastrow)-ROW(PLE.firstrow))),0,
           IF(OFFSET(PLE!$G$15,$M223-$A$15,CX$13)="",10^12,OFFSET(PLE!$G$15,$M223-$A$15,CX$13)))</f>
        <v>1000000000000</v>
      </c>
      <c r="CY223" s="172" cm="1">
        <f t="array" aca="1" ref="CY223" ca="1">IF(OR($D223&lt;&gt;"Serviço",AND(AUTOEVENTO="Manual",$M223=$A$15),$M223&gt;(ROW(PLE.lastrow)-ROW(PLE.firstrow))),0,
           IF(OFFSET(PLE!$G$15,$M223-$A$15,CY$13)="",10^12,OFFSET(PLE!$G$15,$M223-$A$15,CY$13)))</f>
        <v>1000000000000</v>
      </c>
      <c r="CZ223" s="172" cm="1">
        <f t="array" aca="1" ref="CZ223" ca="1">IF(OR($D223&lt;&gt;"Serviço",AND(AUTOEVENTO="Manual",$M223=$A$15),$M223&gt;(ROW(PLE.lastrow)-ROW(PLE.firstrow))),0,
           IF(OFFSET(PLE!$G$15,$M223-$A$15,CZ$13)="",10^12,OFFSET(PLE!$G$15,$M223-$A$15,CZ$13)))</f>
        <v>1000000000000</v>
      </c>
      <c r="DA223" s="172" cm="1">
        <f t="array" aca="1" ref="DA223" ca="1">IF(OR($D223&lt;&gt;"Serviço",AND(AUTOEVENTO="Manual",$M223=$A$15),$M223&gt;(ROW(PLE.lastrow)-ROW(PLE.firstrow))),0,
           IF(OFFSET(PLE!$G$15,$M223-$A$15,DA$13)="",10^12,OFFSET(PLE!$G$15,$M223-$A$15,DA$13)))</f>
        <v>1000000000000</v>
      </c>
      <c r="DB223" s="172" cm="1">
        <f t="array" aca="1" ref="DB223" ca="1">IF(OR($D223&lt;&gt;"Serviço",AND(AUTOEVENTO="Manual",$M223=$A$15),$M223&gt;(ROW(PLE.lastrow)-ROW(PLE.firstrow))),0,
           IF(OFFSET(PLE!$G$15,$M223-$A$15,DB$13)="",10^12,OFFSET(PLE!$G$15,$M223-$A$15,DB$13)))</f>
        <v>1000000000000</v>
      </c>
      <c r="DC223" s="172" cm="1">
        <f t="array" aca="1" ref="DC223" ca="1">IF(OR($D223&lt;&gt;"Serviço",AND(AUTOEVENTO="Manual",$M223=$A$15),$M223&gt;(ROW(PLE.lastrow)-ROW(PLE.firstrow))),0,
           IF(OFFSET(PLE!$G$15,$M223-$A$15,DC$13)="",10^12,OFFSET(PLE!$G$15,$M223-$A$15,DC$13)))</f>
        <v>1000000000000</v>
      </c>
      <c r="DD223" s="172" cm="1">
        <f t="array" aca="1" ref="DD223" ca="1">IF(OR($D223&lt;&gt;"Serviço",AND(AUTOEVENTO="Manual",$M223=$A$15),$M223&gt;(ROW(PLE.lastrow)-ROW(PLE.firstrow))),0,
           IF(OFFSET(PLE!$G$15,$M223-$A$15,DD$13)="",10^12,OFFSET(PLE!$G$15,$M223-$A$15,DD$13)))</f>
        <v>1000000000000</v>
      </c>
      <c r="DE223" s="172" cm="1">
        <f t="array" aca="1" ref="DE223" ca="1">IF(OR($D223&lt;&gt;"Serviço",AND(AUTOEVENTO="Manual",$M223=$A$15),$M223&gt;(ROW(PLE.lastrow)-ROW(PLE.firstrow))),0,
           IF(OFFSET(PLE!$G$15,$M223-$A$15,DE$13)="",10^12,OFFSET(PLE!$G$15,$M223-$A$15,DE$13)))</f>
        <v>1000000000000</v>
      </c>
      <c r="DF223" s="172" cm="1">
        <f t="array" aca="1" ref="DF223" ca="1">IF(OR($D223&lt;&gt;"Serviço",AND(AUTOEVENTO="Manual",$M223=$A$15),$M223&gt;(ROW(PLE.lastrow)-ROW(PLE.firstrow))),0,
           IF(OFFSET(PLE!$G$15,$M223-$A$15,DF$13)="",10^12,OFFSET(PLE!$G$15,$M223-$A$15,DF$13)))</f>
        <v>1000000000000</v>
      </c>
      <c r="DG223" s="172" cm="1">
        <f t="array" aca="1" ref="DG223" ca="1">IF(OR($D223&lt;&gt;"Serviço",AND(AUTOEVENTO="Manual",$M223=$A$15),$M223&gt;(ROW(PLE.lastrow)-ROW(PLE.firstrow))),0,
           IF(OFFSET(PLE!$G$15,$M223-$A$15,DG$13)="",10^12,OFFSET(PLE!$G$15,$M223-$A$15,DG$13)))</f>
        <v>1000000000000</v>
      </c>
      <c r="DH223" s="172" cm="1">
        <f t="array" aca="1" ref="DH223" ca="1">IF(OR($D223&lt;&gt;"Serviço",AND(AUTOEVENTO="Manual",$M223=$A$15),$M223&gt;(ROW(PLE.lastrow)-ROW(PLE.firstrow))),0,
           IF(OFFSET(PLE!$G$15,$M223-$A$15,DH$13)="",10^12,OFFSET(PLE!$G$15,$M223-$A$15,DH$13)))</f>
        <v>1000000000000</v>
      </c>
      <c r="DI223" s="172" cm="1">
        <f t="array" aca="1" ref="DI223" ca="1">IF(OR($D223&lt;&gt;"Serviço",AND(AUTOEVENTO="Manual",$M223=$A$15),$M223&gt;(ROW(PLE.lastrow)-ROW(PLE.firstrow))),0,
           IF(OFFSET(PLE!$G$15,$M223-$A$15,DI$13)="",10^12,OFFSET(PLE!$G$15,$M223-$A$15,DI$13)))</f>
        <v>1000000000000</v>
      </c>
      <c r="DJ223" s="172" cm="1">
        <f t="array" aca="1" ref="DJ223" ca="1">IF(OR($D223&lt;&gt;"Serviço",AND(AUTOEVENTO="Manual",$M223=$A$15),$M223&gt;(ROW(PLE.lastrow)-ROW(PLE.firstrow))),0,
           IF(OFFSET(PLE!$G$15,$M223-$A$15,DJ$13)="",10^12,OFFSET(PLE!$G$15,$M223-$A$15,DJ$13)))</f>
        <v>1000000000000</v>
      </c>
      <c r="DK223" s="172" cm="1">
        <f t="array" aca="1" ref="DK223" ca="1">IF(OR($D223&lt;&gt;"Serviço",AND(AUTOEVENTO="Manual",$M223=$A$15),$M223&gt;(ROW(PLE.lastrow)-ROW(PLE.firstrow))),0,
           IF(OFFSET(PLE!$G$15,$M223-$A$15,DK$13)="",10^12,OFFSET(PLE!$G$15,$M223-$A$15,DK$13)))</f>
        <v>1000000000000</v>
      </c>
      <c r="DL223" s="172" cm="1">
        <f t="array" aca="1" ref="DL223" ca="1">IF(OR($D223&lt;&gt;"Serviço",AND(AUTOEVENTO="Manual",$M223=$A$15),$M223&gt;(ROW(PLE.lastrow)-ROW(PLE.firstrow))),0,
           IF(OFFSET(PLE!$G$15,$M223-$A$15,DL$13)="",10^12,OFFSET(PLE!$G$15,$M223-$A$15,DL$13)))</f>
        <v>1000000000000</v>
      </c>
      <c r="DM223" s="172" cm="1">
        <f t="array" aca="1" ref="DM223" ca="1">IF(OR($D223&lt;&gt;"Serviço",AND(AUTOEVENTO="Manual",$M223=$A$15),$M223&gt;(ROW(PLE.lastrow)-ROW(PLE.firstrow))),0,
           IF(OFFSET(PLE!$G$15,$M223-$A$15,DM$13)="",10^12,OFFSET(PLE!$G$15,$M223-$A$15,DM$13)))</f>
        <v>1000000000000</v>
      </c>
      <c r="DN223" s="172" cm="1">
        <f t="array" aca="1" ref="DN223" ca="1">IF(OR($D223&lt;&gt;"Serviço",AND(AUTOEVENTO="Manual",$M223=$A$15),$M223&gt;(ROW(PLE.lastrow)-ROW(PLE.firstrow))),0,
           IF(OFFSET(PLE!$G$15,$M223-$A$15,DN$13)="",10^12,OFFSET(PLE!$G$15,$M223-$A$15,DN$13)))</f>
        <v>1000000000000</v>
      </c>
      <c r="DO223" s="172" cm="1">
        <f t="array" aca="1" ref="DO223" ca="1">IF(OR($D223&lt;&gt;"Serviço",AND(AUTOEVENTO="Manual",$M223=$A$15),$M223&gt;(ROW(PLE.lastrow)-ROW(PLE.firstrow))),0,
           IF(OFFSET(PLE!$G$15,$M223-$A$15,DO$13)="",10^12,OFFSET(PLE!$G$15,$M223-$A$15,DO$13)))</f>
        <v>1000000000000</v>
      </c>
      <c r="DP223" s="172" cm="1">
        <f t="array" aca="1" ref="DP223" ca="1">IF(OR($D223&lt;&gt;"Serviço",AND(AUTOEVENTO="Manual",$M223=$A$15),$M223&gt;(ROW(PLE.lastrow)-ROW(PLE.firstrow))),0,
           IF(OFFSET(PLE!$G$15,$M223-$A$15,DP$13)="",10^12,OFFSET(PLE!$G$15,$M223-$A$15,DP$13)))</f>
        <v>1000000000000</v>
      </c>
      <c r="DQ223" s="172" cm="1">
        <f t="array" aca="1" ref="DQ223" ca="1">IF(OR($D223&lt;&gt;"Serviço",AND(AUTOEVENTO="Manual",$M223=$A$15),$M223&gt;(ROW(PLE.lastrow)-ROW(PLE.firstrow))),0,
           IF(OFFSET(PLE!$G$15,$M223-$A$15,DQ$13)="",10^12,OFFSET(PLE!$G$15,$M223-$A$15,DQ$13)))</f>
        <v>1000000000000</v>
      </c>
      <c r="DR223" s="172" cm="1">
        <f t="array" aca="1" ref="DR223" ca="1">IF(OR($D223&lt;&gt;"Serviço",AND(AUTOEVENTO="Manual",$M223=$A$15),$M223&gt;(ROW(PLE.lastrow)-ROW(PLE.firstrow))),0,
           IF(OFFSET(PLE!$G$15,$M223-$A$15,DR$13)="",10^12,OFFSET(PLE!$G$15,$M223-$A$15,DR$13)))</f>
        <v>1000000000000</v>
      </c>
      <c r="DS223" s="172" cm="1">
        <f t="array" aca="1" ref="DS223" ca="1">IF(OR($D223&lt;&gt;"Serviço",AND(AUTOEVENTO="Manual",$M223=$A$15),$M223&gt;(ROW(PLE.lastrow)-ROW(PLE.firstrow))),0,
           IF(OFFSET(PLE!$G$15,$M223-$A$15,DS$13)="",10^12,OFFSET(PLE!$G$15,$M223-$A$15,DS$13)))</f>
        <v>1000000000000</v>
      </c>
    </row>
    <row r="224" spans="1:123" ht="38.25" x14ac:dyDescent="0.2">
      <c r="A224" s="7">
        <f t="shared" ca="1" si="19"/>
        <v>9</v>
      </c>
      <c r="B224" s="7" t="str">
        <f ca="1">OFFSET(ORÇAMENTO!C$15,$L224,0)</f>
        <v>S</v>
      </c>
      <c r="C224" s="7" t="str">
        <f ca="1">OFFSET(ORÇAMENTO!L$15,$L224,0)</f>
        <v/>
      </c>
      <c r="D224" s="116" t="str">
        <f ca="1">OFFSET(ORÇAMENTO!N$15,$L224,0)</f>
        <v>Serviço</v>
      </c>
      <c r="E224" s="117" t="str">
        <f ca="1">OFFSET(ORÇAMENTO!O$15,$L224,0)</f>
        <v>-</v>
      </c>
      <c r="F224" s="163" t="str">
        <f ca="1">OFFSET(ORÇAMENTO!R$15,$L224,0)</f>
        <v>(Código não identificado nas referências)</v>
      </c>
      <c r="G224" s="164" t="str">
        <f ca="1">IF($D224&lt;&gt;"Serviço","",OFFSET(ORÇAMENTO!S$15,$L224,0))</f>
        <v>-</v>
      </c>
      <c r="H224" s="122" cm="1">
        <f t="array" aca="1" ref="H224" ca="1">IF($D224&lt;&gt;"Serviço",0,IF(ACOMPANHAMENTO="BM",ROUND(OFFSET(ORÇAMENTO!AJ$15,$L224,0),15-13*ORÇAMENTO!$AF$7),IF(IFERROR(CÁLCULO.FrentesPreenchidas,0)=0,0,SUM(ROUND(OFFSET($P224,0,1,1,CÁLCULO.FrentesPreenchidas),15-13*ORÇAMENTO!$AF$7)))))</f>
        <v>20</v>
      </c>
      <c r="I224" s="468" t="s">
        <v>1235</v>
      </c>
      <c r="J224" s="651" t="str" cm="1">
        <f t="array" aca="1" ref="J224" ca="1">IF(OR(B224&lt;&gt;"S",CÁLCULO.FrentesPreenchidas=0),"",IF(AND(ACOMPANHAMENTO="PLE",AUTOEVENTO="Manual",OR(H224&gt;0,ORÇAMENTO!AC224="QUANT."),OR(K224="",M224=0,N224="")),"►E",IF(AND(ACOMPANHAMENTO="PLE",ORÇAMENTO!AC224="QUANT."),"►Q",IF(AND(ACOMPANHAMENTO="PLE",H224&lt;&gt;SUMPRODUCT(($Q$1:$AQ$1=1)*ROUND(Q224:AQ224,15))),"►S",IF(AND(COUNTIF($P$11:$AQ$11,"▼")=0,H224&gt;0,I224=""),"◄M","")))))</f>
        <v/>
      </c>
      <c r="K224" s="652" t="s">
        <v>1257</v>
      </c>
      <c r="L224" s="165">
        <f t="shared" ca="1" si="20"/>
        <v>209</v>
      </c>
      <c r="M224" s="166">
        <f ca="1">IF($D224&lt;&gt;"Serviço","",
          IF(AUTOEVENTO="manual",$A224,
                IF(ISERROR(MATCH($A224,$A$15:OFFSET($A224,-1,0),0)),MAX($M$15:OFFSET(M224,-1,0))+1,
                      INDEX($M$15:OFFSET(M224,-1,0),MATCH($A224,$A$15:OFFSET($A224,-1,0),0)))))</f>
        <v>9</v>
      </c>
      <c r="N224" s="167" t="str">
        <f ca="1">IF($D224&lt;&gt;"Serviço","",
         IF(AUTOEVENTO="Manual",
                IF($A224=0,"&lt;-- defina o número do agrupador",
                       OFFSET(EVENTOS!$D$15,$A224-$A$15,0)),
                OFFSET($F$15,$A224,0)))</f>
        <v>INSTALAÇÕES</v>
      </c>
      <c r="O224" s="168"/>
      <c r="Q224" s="168">
        <v>1</v>
      </c>
      <c r="R224" s="169">
        <v>1</v>
      </c>
      <c r="S224" s="169">
        <v>1</v>
      </c>
      <c r="T224" s="169">
        <v>1</v>
      </c>
      <c r="U224" s="169">
        <v>1</v>
      </c>
      <c r="V224" s="169">
        <v>1</v>
      </c>
      <c r="W224" s="169">
        <v>1</v>
      </c>
      <c r="X224" s="169">
        <v>1</v>
      </c>
      <c r="Y224" s="169">
        <v>1</v>
      </c>
      <c r="Z224" s="170">
        <v>1</v>
      </c>
      <c r="AA224" s="169">
        <v>1</v>
      </c>
      <c r="AB224" s="169">
        <v>1</v>
      </c>
      <c r="AC224" s="169">
        <v>1</v>
      </c>
      <c r="AD224" s="169">
        <v>1</v>
      </c>
      <c r="AE224" s="169">
        <v>1</v>
      </c>
      <c r="AF224" s="169">
        <v>1</v>
      </c>
      <c r="AG224" s="169">
        <v>1</v>
      </c>
      <c r="AH224" s="170">
        <v>1</v>
      </c>
      <c r="AI224" s="169">
        <v>1</v>
      </c>
      <c r="AJ224" s="169">
        <v>1</v>
      </c>
      <c r="AK224" s="169"/>
      <c r="AL224" s="169"/>
      <c r="AM224" s="169"/>
      <c r="AN224" s="169"/>
      <c r="AO224" s="169"/>
      <c r="AP224" s="170"/>
      <c r="AR224" s="453">
        <f ca="1">IF(AND($D224="Serviço",AR$12&lt;&gt;0,$H224&gt;0,OR(AUTOEVENTO&lt;&gt;"manual",$M224&lt;&gt;$A$15)),
        IF(Import.TipoArredondamento&lt;&gt;"TransfereGOV",
              ROUND(OFFSET($P224,0,AR$13),15-13*ORÇAMENTO!$AF$7)/$H224*OFFSET(ORÇAMENTO!$X$15,ROW(AR224)-ROW(AR$15),0),
              ROUND(ROUND(OFFSET($P224,0,AR$13),15-13*ORÇAMENTO!$AF$7)*OFFSET(ORÇAMENTO!$W$15,ROW(AR224)-ROW(AR$15),0),15-13*ORÇAMENTO!$AF$11)),
         0)</f>
        <v>0</v>
      </c>
      <c r="AS224" s="453">
        <f ca="1">IF(AND($D224="Serviço",AS$12&lt;&gt;0,$H224&gt;0,OR(AUTOEVENTO&lt;&gt;"manual",$M224&lt;&gt;$A$15)),
        IF(Import.TipoArredondamento&lt;&gt;"TransfereGOV",
              ROUND(OFFSET($P224,0,AS$13),15-13*ORÇAMENTO!$AF$7)/$H224*OFFSET(ORÇAMENTO!$X$15,ROW(AS224)-ROW(AS$15),0),
              ROUND(ROUND(OFFSET($P224,0,AS$13),15-13*ORÇAMENTO!$AF$7)*OFFSET(ORÇAMENTO!$W$15,ROW(AS224)-ROW(AS$15),0),15-13*ORÇAMENTO!$AF$11)),
         0)</f>
        <v>0</v>
      </c>
      <c r="AT224" s="453">
        <f ca="1">IF(AND($D224="Serviço",AT$12&lt;&gt;0,$H224&gt;0,OR(AUTOEVENTO&lt;&gt;"manual",$M224&lt;&gt;$A$15)),
        IF(Import.TipoArredondamento&lt;&gt;"TransfereGOV",
              ROUND(OFFSET($P224,0,AT$13),15-13*ORÇAMENTO!$AF$7)/$H224*OFFSET(ORÇAMENTO!$X$15,ROW(AT224)-ROW(AT$15),0),
              ROUND(ROUND(OFFSET($P224,0,AT$13),15-13*ORÇAMENTO!$AF$7)*OFFSET(ORÇAMENTO!$W$15,ROW(AT224)-ROW(AT$15),0),15-13*ORÇAMENTO!$AF$11)),
         0)</f>
        <v>0</v>
      </c>
      <c r="AU224" s="453">
        <f ca="1">IF(AND($D224="Serviço",AU$12&lt;&gt;0,$H224&gt;0,OR(AUTOEVENTO&lt;&gt;"manual",$M224&lt;&gt;$A$15)),
        IF(Import.TipoArredondamento&lt;&gt;"TransfereGOV",
              ROUND(OFFSET($P224,0,AU$13),15-13*ORÇAMENTO!$AF$7)/$H224*OFFSET(ORÇAMENTO!$X$15,ROW(AU224)-ROW(AU$15),0),
              ROUND(ROUND(OFFSET($P224,0,AU$13),15-13*ORÇAMENTO!$AF$7)*OFFSET(ORÇAMENTO!$W$15,ROW(AU224)-ROW(AU$15),0),15-13*ORÇAMENTO!$AF$11)),
         0)</f>
        <v>0</v>
      </c>
      <c r="AV224" s="453">
        <f ca="1">IF(AND($D224="Serviço",AV$12&lt;&gt;0,$H224&gt;0,OR(AUTOEVENTO&lt;&gt;"manual",$M224&lt;&gt;$A$15)),
        IF(Import.TipoArredondamento&lt;&gt;"TransfereGOV",
              ROUND(OFFSET($P224,0,AV$13),15-13*ORÇAMENTO!$AF$7)/$H224*OFFSET(ORÇAMENTO!$X$15,ROW(AV224)-ROW(AV$15),0),
              ROUND(ROUND(OFFSET($P224,0,AV$13),15-13*ORÇAMENTO!$AF$7)*OFFSET(ORÇAMENTO!$W$15,ROW(AV224)-ROW(AV$15),0),15-13*ORÇAMENTO!$AF$11)),
         0)</f>
        <v>0</v>
      </c>
      <c r="AW224" s="453">
        <f ca="1">IF(AND($D224="Serviço",AW$12&lt;&gt;0,$H224&gt;0,OR(AUTOEVENTO&lt;&gt;"manual",$M224&lt;&gt;$A$15)),
        IF(Import.TipoArredondamento&lt;&gt;"TransfereGOV",
              ROUND(OFFSET($P224,0,AW$13),15-13*ORÇAMENTO!$AF$7)/$H224*OFFSET(ORÇAMENTO!$X$15,ROW(AW224)-ROW(AW$15),0),
              ROUND(ROUND(OFFSET($P224,0,AW$13),15-13*ORÇAMENTO!$AF$7)*OFFSET(ORÇAMENTO!$W$15,ROW(AW224)-ROW(AW$15),0),15-13*ORÇAMENTO!$AF$11)),
         0)</f>
        <v>0</v>
      </c>
      <c r="AX224" s="453">
        <f ca="1">IF(AND($D224="Serviço",AX$12&lt;&gt;0,$H224&gt;0,OR(AUTOEVENTO&lt;&gt;"manual",$M224&lt;&gt;$A$15)),
        IF(Import.TipoArredondamento&lt;&gt;"TransfereGOV",
              ROUND(OFFSET($P224,0,AX$13),15-13*ORÇAMENTO!$AF$7)/$H224*OFFSET(ORÇAMENTO!$X$15,ROW(AX224)-ROW(AX$15),0),
              ROUND(ROUND(OFFSET($P224,0,AX$13),15-13*ORÇAMENTO!$AF$7)*OFFSET(ORÇAMENTO!$W$15,ROW(AX224)-ROW(AX$15),0),15-13*ORÇAMENTO!$AF$11)),
         0)</f>
        <v>0</v>
      </c>
      <c r="AY224" s="453">
        <f ca="1">IF(AND($D224="Serviço",AY$12&lt;&gt;0,$H224&gt;0,OR(AUTOEVENTO&lt;&gt;"manual",$M224&lt;&gt;$A$15)),
        IF(Import.TipoArredondamento&lt;&gt;"TransfereGOV",
              ROUND(OFFSET($P224,0,AY$13),15-13*ORÇAMENTO!$AF$7)/$H224*OFFSET(ORÇAMENTO!$X$15,ROW(AY224)-ROW(AY$15),0),
              ROUND(ROUND(OFFSET($P224,0,AY$13),15-13*ORÇAMENTO!$AF$7)*OFFSET(ORÇAMENTO!$W$15,ROW(AY224)-ROW(AY$15),0),15-13*ORÇAMENTO!$AF$11)),
         0)</f>
        <v>0</v>
      </c>
      <c r="AZ224" s="453">
        <f ca="1">IF(AND($D224="Serviço",AZ$12&lt;&gt;0,$H224&gt;0,OR(AUTOEVENTO&lt;&gt;"manual",$M224&lt;&gt;$A$15)),
        IF(Import.TipoArredondamento&lt;&gt;"TransfereGOV",
              ROUND(OFFSET($P224,0,AZ$13),15-13*ORÇAMENTO!$AF$7)/$H224*OFFSET(ORÇAMENTO!$X$15,ROW(AZ224)-ROW(AZ$15),0),
              ROUND(ROUND(OFFSET($P224,0,AZ$13),15-13*ORÇAMENTO!$AF$7)*OFFSET(ORÇAMENTO!$W$15,ROW(AZ224)-ROW(AZ$15),0),15-13*ORÇAMENTO!$AF$11)),
         0)</f>
        <v>0</v>
      </c>
      <c r="BA224" s="453">
        <f ca="1">IF(AND($D224="Serviço",BA$12&lt;&gt;0,$H224&gt;0,OR(AUTOEVENTO&lt;&gt;"manual",$M224&lt;&gt;$A$15)),
        IF(Import.TipoArredondamento&lt;&gt;"TransfereGOV",
              ROUND(OFFSET($P224,0,BA$13),15-13*ORÇAMENTO!$AF$7)/$H224*OFFSET(ORÇAMENTO!$X$15,ROW(BA224)-ROW(BA$15),0),
              ROUND(ROUND(OFFSET($P224,0,BA$13),15-13*ORÇAMENTO!$AF$7)*OFFSET(ORÇAMENTO!$W$15,ROW(BA224)-ROW(BA$15),0),15-13*ORÇAMENTO!$AF$11)),
         0)</f>
        <v>0</v>
      </c>
      <c r="BB224" s="453">
        <f ca="1">IF(AND($D224="Serviço",BB$12&lt;&gt;0,$H224&gt;0,OR(AUTOEVENTO&lt;&gt;"manual",$M224&lt;&gt;$A$15)),
        IF(Import.TipoArredondamento&lt;&gt;"TransfereGOV",
              ROUND(OFFSET($P224,0,BB$13),15-13*ORÇAMENTO!$AF$7)/$H224*OFFSET(ORÇAMENTO!$X$15,ROW(BB224)-ROW(BB$15),0),
              ROUND(ROUND(OFFSET($P224,0,BB$13),15-13*ORÇAMENTO!$AF$7)*OFFSET(ORÇAMENTO!$W$15,ROW(BB224)-ROW(BB$15),0),15-13*ORÇAMENTO!$AF$11)),
         0)</f>
        <v>0</v>
      </c>
      <c r="BC224" s="453">
        <f ca="1">IF(AND($D224="Serviço",BC$12&lt;&gt;0,$H224&gt;0,OR(AUTOEVENTO&lt;&gt;"manual",$M224&lt;&gt;$A$15)),
        IF(Import.TipoArredondamento&lt;&gt;"TransfereGOV",
              ROUND(OFFSET($P224,0,BC$13),15-13*ORÇAMENTO!$AF$7)/$H224*OFFSET(ORÇAMENTO!$X$15,ROW(BC224)-ROW(BC$15),0),
              ROUND(ROUND(OFFSET($P224,0,BC$13),15-13*ORÇAMENTO!$AF$7)*OFFSET(ORÇAMENTO!$W$15,ROW(BC224)-ROW(BC$15),0),15-13*ORÇAMENTO!$AF$11)),
         0)</f>
        <v>0</v>
      </c>
      <c r="BD224" s="453">
        <f ca="1">IF(AND($D224="Serviço",BD$12&lt;&gt;0,$H224&gt;0,OR(AUTOEVENTO&lt;&gt;"manual",$M224&lt;&gt;$A$15)),
        IF(Import.TipoArredondamento&lt;&gt;"TransfereGOV",
              ROUND(OFFSET($P224,0,BD$13),15-13*ORÇAMENTO!$AF$7)/$H224*OFFSET(ORÇAMENTO!$X$15,ROW(BD224)-ROW(BD$15),0),
              ROUND(ROUND(OFFSET($P224,0,BD$13),15-13*ORÇAMENTO!$AF$7)*OFFSET(ORÇAMENTO!$W$15,ROW(BD224)-ROW(BD$15),0),15-13*ORÇAMENTO!$AF$11)),
         0)</f>
        <v>0</v>
      </c>
      <c r="BE224" s="453">
        <f ca="1">IF(AND($D224="Serviço",BE$12&lt;&gt;0,$H224&gt;0,OR(AUTOEVENTO&lt;&gt;"manual",$M224&lt;&gt;$A$15)),
        IF(Import.TipoArredondamento&lt;&gt;"TransfereGOV",
              ROUND(OFFSET($P224,0,BE$13),15-13*ORÇAMENTO!$AF$7)/$H224*OFFSET(ORÇAMENTO!$X$15,ROW(BE224)-ROW(BE$15),0),
              ROUND(ROUND(OFFSET($P224,0,BE$13),15-13*ORÇAMENTO!$AF$7)*OFFSET(ORÇAMENTO!$W$15,ROW(BE224)-ROW(BE$15),0),15-13*ORÇAMENTO!$AF$11)),
         0)</f>
        <v>0</v>
      </c>
      <c r="BF224" s="453">
        <f ca="1">IF(AND($D224="Serviço",BF$12&lt;&gt;0,$H224&gt;0,OR(AUTOEVENTO&lt;&gt;"manual",$M224&lt;&gt;$A$15)),
        IF(Import.TipoArredondamento&lt;&gt;"TransfereGOV",
              ROUND(OFFSET($P224,0,BF$13),15-13*ORÇAMENTO!$AF$7)/$H224*OFFSET(ORÇAMENTO!$X$15,ROW(BF224)-ROW(BF$15),0),
              ROUND(ROUND(OFFSET($P224,0,BF$13),15-13*ORÇAMENTO!$AF$7)*OFFSET(ORÇAMENTO!$W$15,ROW(BF224)-ROW(BF$15),0),15-13*ORÇAMENTO!$AF$11)),
         0)</f>
        <v>0</v>
      </c>
      <c r="BG224" s="453">
        <f ca="1">IF(AND($D224="Serviço",BG$12&lt;&gt;0,$H224&gt;0,OR(AUTOEVENTO&lt;&gt;"manual",$M224&lt;&gt;$A$15)),
        IF(Import.TipoArredondamento&lt;&gt;"TransfereGOV",
              ROUND(OFFSET($P224,0,BG$13),15-13*ORÇAMENTO!$AF$7)/$H224*OFFSET(ORÇAMENTO!$X$15,ROW(BG224)-ROW(BG$15),0),
              ROUND(ROUND(OFFSET($P224,0,BG$13),15-13*ORÇAMENTO!$AF$7)*OFFSET(ORÇAMENTO!$W$15,ROW(BG224)-ROW(BG$15),0),15-13*ORÇAMENTO!$AF$11)),
         0)</f>
        <v>0</v>
      </c>
      <c r="BH224" s="453">
        <f ca="1">IF(AND($D224="Serviço",BH$12&lt;&gt;0,$H224&gt;0,OR(AUTOEVENTO&lt;&gt;"manual",$M224&lt;&gt;$A$15)),
        IF(Import.TipoArredondamento&lt;&gt;"TransfereGOV",
              ROUND(OFFSET($P224,0,BH$13),15-13*ORÇAMENTO!$AF$7)/$H224*OFFSET(ORÇAMENTO!$X$15,ROW(BH224)-ROW(BH$15),0),
              ROUND(ROUND(OFFSET($P224,0,BH$13),15-13*ORÇAMENTO!$AF$7)*OFFSET(ORÇAMENTO!$W$15,ROW(BH224)-ROW(BH$15),0),15-13*ORÇAMENTO!$AF$11)),
         0)</f>
        <v>0</v>
      </c>
      <c r="BI224" s="453">
        <f ca="1">IF(AND($D224="Serviço",BI$12&lt;&gt;0,$H224&gt;0,OR(AUTOEVENTO&lt;&gt;"manual",$M224&lt;&gt;$A$15)),
        IF(Import.TipoArredondamento&lt;&gt;"TransfereGOV",
              ROUND(OFFSET($P224,0,BI$13),15-13*ORÇAMENTO!$AF$7)/$H224*OFFSET(ORÇAMENTO!$X$15,ROW(BI224)-ROW(BI$15),0),
              ROUND(ROUND(OFFSET($P224,0,BI$13),15-13*ORÇAMENTO!$AF$7)*OFFSET(ORÇAMENTO!$W$15,ROW(BI224)-ROW(BI$15),0),15-13*ORÇAMENTO!$AF$11)),
         0)</f>
        <v>0</v>
      </c>
      <c r="BJ224" s="453">
        <f ca="1">IF(AND($D224="Serviço",BJ$12&lt;&gt;0,$H224&gt;0,OR(AUTOEVENTO&lt;&gt;"manual",$M224&lt;&gt;$A$15)),
        IF(Import.TipoArredondamento&lt;&gt;"TransfereGOV",
              ROUND(OFFSET($P224,0,BJ$13),15-13*ORÇAMENTO!$AF$7)/$H224*OFFSET(ORÇAMENTO!$X$15,ROW(BJ224)-ROW(BJ$15),0),
              ROUND(ROUND(OFFSET($P224,0,BJ$13),15-13*ORÇAMENTO!$AF$7)*OFFSET(ORÇAMENTO!$W$15,ROW(BJ224)-ROW(BJ$15),0),15-13*ORÇAMENTO!$AF$11)),
         0)</f>
        <v>0</v>
      </c>
      <c r="BK224" s="453">
        <f ca="1">IF(AND($D224="Serviço",BK$12&lt;&gt;0,$H224&gt;0,OR(AUTOEVENTO&lt;&gt;"manual",$M224&lt;&gt;$A$15)),
        IF(Import.TipoArredondamento&lt;&gt;"TransfereGOV",
              ROUND(OFFSET($P224,0,BK$13),15-13*ORÇAMENTO!$AF$7)/$H224*OFFSET(ORÇAMENTO!$X$15,ROW(BK224)-ROW(BK$15),0),
              ROUND(ROUND(OFFSET($P224,0,BK$13),15-13*ORÇAMENTO!$AF$7)*OFFSET(ORÇAMENTO!$W$15,ROW(BK224)-ROW(BK$15),0),15-13*ORÇAMENTO!$AF$11)),
         0)</f>
        <v>0</v>
      </c>
      <c r="BL224" s="453">
        <f ca="1">IF(AND($D224="Serviço",BL$12&lt;&gt;0,$H224&gt;0,OR(AUTOEVENTO&lt;&gt;"manual",$M224&lt;&gt;$A$15)),
        IF(Import.TipoArredondamento&lt;&gt;"TransfereGOV",
              ROUND(OFFSET($P224,0,BL$13),15-13*ORÇAMENTO!$AF$7)/$H224*OFFSET(ORÇAMENTO!$X$15,ROW(BL224)-ROW(BL$15),0),
              ROUND(ROUND(OFFSET($P224,0,BL$13),15-13*ORÇAMENTO!$AF$7)*OFFSET(ORÇAMENTO!$W$15,ROW(BL224)-ROW(BL$15),0),15-13*ORÇAMENTO!$AF$11)),
         0)</f>
        <v>0</v>
      </c>
      <c r="BM224" s="453">
        <f ca="1">IF(AND($D224="Serviço",BM$12&lt;&gt;0,$H224&gt;0,OR(AUTOEVENTO&lt;&gt;"manual",$M224&lt;&gt;$A$15)),
        IF(Import.TipoArredondamento&lt;&gt;"TransfereGOV",
              ROUND(OFFSET($P224,0,BM$13),15-13*ORÇAMENTO!$AF$7)/$H224*OFFSET(ORÇAMENTO!$X$15,ROW(BM224)-ROW(BM$15),0),
              ROUND(ROUND(OFFSET($P224,0,BM$13),15-13*ORÇAMENTO!$AF$7)*OFFSET(ORÇAMENTO!$W$15,ROW(BM224)-ROW(BM$15),0),15-13*ORÇAMENTO!$AF$11)),
         0)</f>
        <v>0</v>
      </c>
      <c r="BN224" s="453">
        <f ca="1">IF(AND($D224="Serviço",BN$12&lt;&gt;0,$H224&gt;0,OR(AUTOEVENTO&lt;&gt;"manual",$M224&lt;&gt;$A$15)),
        IF(Import.TipoArredondamento&lt;&gt;"TransfereGOV",
              ROUND(OFFSET($P224,0,BN$13),15-13*ORÇAMENTO!$AF$7)/$H224*OFFSET(ORÇAMENTO!$X$15,ROW(BN224)-ROW(BN$15),0),
              ROUND(ROUND(OFFSET($P224,0,BN$13),15-13*ORÇAMENTO!$AF$7)*OFFSET(ORÇAMENTO!$W$15,ROW(BN224)-ROW(BN$15),0),15-13*ORÇAMENTO!$AF$11)),
         0)</f>
        <v>0</v>
      </c>
      <c r="BO224" s="453">
        <f ca="1">IF(AND($D224="Serviço",BO$12&lt;&gt;0,$H224&gt;0,OR(AUTOEVENTO&lt;&gt;"manual",$M224&lt;&gt;$A$15)),
        IF(Import.TipoArredondamento&lt;&gt;"TransfereGOV",
              ROUND(OFFSET($P224,0,BO$13),15-13*ORÇAMENTO!$AF$7)/$H224*OFFSET(ORÇAMENTO!$X$15,ROW(BO224)-ROW(BO$15),0),
              ROUND(ROUND(OFFSET($P224,0,BO$13),15-13*ORÇAMENTO!$AF$7)*OFFSET(ORÇAMENTO!$W$15,ROW(BO224)-ROW(BO$15),0),15-13*ORÇAMENTO!$AF$11)),
         0)</f>
        <v>0</v>
      </c>
      <c r="BP224" s="453">
        <f ca="1">IF(AND($D224="Serviço",BP$12&lt;&gt;0,$H224&gt;0,OR(AUTOEVENTO&lt;&gt;"manual",$M224&lt;&gt;$A$15)),
        IF(Import.TipoArredondamento&lt;&gt;"TransfereGOV",
              ROUND(OFFSET($P224,0,BP$13),15-13*ORÇAMENTO!$AF$7)/$H224*OFFSET(ORÇAMENTO!$X$15,ROW(BP224)-ROW(BP$15),0),
              ROUND(ROUND(OFFSET($P224,0,BP$13),15-13*ORÇAMENTO!$AF$7)*OFFSET(ORÇAMENTO!$W$15,ROW(BP224)-ROW(BP$15),0),15-13*ORÇAMENTO!$AF$11)),
         0)</f>
        <v>0</v>
      </c>
      <c r="BQ224" s="453">
        <f ca="1">IF(AND($D224="Serviço",BQ$12&lt;&gt;0,$H224&gt;0,OR(AUTOEVENTO&lt;&gt;"manual",$M224&lt;&gt;$A$15)),
        IF(Import.TipoArredondamento&lt;&gt;"TransfereGOV",
              ROUND(OFFSET($P224,0,BQ$13),15-13*ORÇAMENTO!$AF$7)/$H224*OFFSET(ORÇAMENTO!$X$15,ROW(BQ224)-ROW(BQ$15),0),
              ROUND(ROUND(OFFSET($P224,0,BQ$13),15-13*ORÇAMENTO!$AF$7)*OFFSET(ORÇAMENTO!$W$15,ROW(BQ224)-ROW(BQ$15),0),15-13*ORÇAMENTO!$AF$11)),
         0)</f>
        <v>0</v>
      </c>
      <c r="BS224" s="171">
        <f ca="1">IF(OR($D224&lt;&gt;"Serviço",AND(AUTOEVENTO="Manual",$M224=$A$15)),0,
         IF(OFFSET(CRONOPLE!$F$15,$M224-$A$15,BS$13)=0,10^12,OFFSET(CRONOPLE!$F$15,$M224-$A$15,BS$13)))</f>
        <v>1</v>
      </c>
      <c r="BT224" s="171">
        <f ca="1">IF(OR($D224&lt;&gt;"Serviço",AND(AUTOEVENTO="Manual",$M224=$A$15)),0,
         IF(OFFSET(CRONOPLE!$F$15,$M224-$A$15,BT$13)=0,10^12,OFFSET(CRONOPLE!$F$15,$M224-$A$15,BT$13)))</f>
        <v>2</v>
      </c>
      <c r="BU224" s="171">
        <f ca="1">IF(OR($D224&lt;&gt;"Serviço",AND(AUTOEVENTO="Manual",$M224=$A$15)),0,
         IF(OFFSET(CRONOPLE!$F$15,$M224-$A$15,BU$13)=0,10^12,OFFSET(CRONOPLE!$F$15,$M224-$A$15,BU$13)))</f>
        <v>3</v>
      </c>
      <c r="BV224" s="171">
        <f ca="1">IF(OR($D224&lt;&gt;"Serviço",AND(AUTOEVENTO="Manual",$M224=$A$15)),0,
         IF(OFFSET(CRONOPLE!$F$15,$M224-$A$15,BV$13)=0,10^12,OFFSET(CRONOPLE!$F$15,$M224-$A$15,BV$13)))</f>
        <v>4</v>
      </c>
      <c r="BW224" s="171">
        <f ca="1">IF(OR($D224&lt;&gt;"Serviço",AND(AUTOEVENTO="Manual",$M224=$A$15)),0,
         IF(OFFSET(CRONOPLE!$F$15,$M224-$A$15,BW$13)=0,10^12,OFFSET(CRONOPLE!$F$15,$M224-$A$15,BW$13)))</f>
        <v>5</v>
      </c>
      <c r="BX224" s="171">
        <f ca="1">IF(OR($D224&lt;&gt;"Serviço",AND(AUTOEVENTO="Manual",$M224=$A$15)),0,
         IF(OFFSET(CRONOPLE!$F$15,$M224-$A$15,BX$13)=0,10^12,OFFSET(CRONOPLE!$F$15,$M224-$A$15,BX$13)))</f>
        <v>6</v>
      </c>
      <c r="BY224" s="171">
        <f ca="1">IF(OR($D224&lt;&gt;"Serviço",AND(AUTOEVENTO="Manual",$M224=$A$15)),0,
         IF(OFFSET(CRONOPLE!$F$15,$M224-$A$15,BY$13)=0,10^12,OFFSET(CRONOPLE!$F$15,$M224-$A$15,BY$13)))</f>
        <v>7</v>
      </c>
      <c r="BZ224" s="171">
        <f ca="1">IF(OR($D224&lt;&gt;"Serviço",AND(AUTOEVENTO="Manual",$M224=$A$15)),0,
         IF(OFFSET(CRONOPLE!$F$15,$M224-$A$15,BZ$13)=0,10^12,OFFSET(CRONOPLE!$F$15,$M224-$A$15,BZ$13)))</f>
        <v>8</v>
      </c>
      <c r="CA224" s="171">
        <f ca="1">IF(OR($D224&lt;&gt;"Serviço",AND(AUTOEVENTO="Manual",$M224=$A$15)),0,
         IF(OFFSET(CRONOPLE!$F$15,$M224-$A$15,CA$13)=0,10^12,OFFSET(CRONOPLE!$F$15,$M224-$A$15,CA$13)))</f>
        <v>9</v>
      </c>
      <c r="CB224" s="171">
        <f ca="1">IF(OR($D224&lt;&gt;"Serviço",AND(AUTOEVENTO="Manual",$M224=$A$15)),0,
         IF(OFFSET(CRONOPLE!$F$15,$M224-$A$15,CB$13)=0,10^12,OFFSET(CRONOPLE!$F$15,$M224-$A$15,CB$13)))</f>
        <v>10</v>
      </c>
      <c r="CC224" s="171">
        <f ca="1">IF(OR($D224&lt;&gt;"Serviço",AND(AUTOEVENTO="Manual",$M224=$A$15)),0,
         IF(OFFSET(CRONOPLE!$F$15,$M224-$A$15,CC$13)=0,10^12,OFFSET(CRONOPLE!$F$15,$M224-$A$15,CC$13)))</f>
        <v>11</v>
      </c>
      <c r="CD224" s="171">
        <f ca="1">IF(OR($D224&lt;&gt;"Serviço",AND(AUTOEVENTO="Manual",$M224=$A$15)),0,
         IF(OFFSET(CRONOPLE!$F$15,$M224-$A$15,CD$13)=0,10^12,OFFSET(CRONOPLE!$F$15,$M224-$A$15,CD$13)))</f>
        <v>12</v>
      </c>
      <c r="CE224" s="171">
        <f ca="1">IF(OR($D224&lt;&gt;"Serviço",AND(AUTOEVENTO="Manual",$M224=$A$15)),0,
         IF(OFFSET(CRONOPLE!$F$15,$M224-$A$15,CE$13)=0,10^12,OFFSET(CRONOPLE!$F$15,$M224-$A$15,CE$13)))</f>
        <v>13</v>
      </c>
      <c r="CF224" s="171">
        <f ca="1">IF(OR($D224&lt;&gt;"Serviço",AND(AUTOEVENTO="Manual",$M224=$A$15)),0,
         IF(OFFSET(CRONOPLE!$F$15,$M224-$A$15,CF$13)=0,10^12,OFFSET(CRONOPLE!$F$15,$M224-$A$15,CF$13)))</f>
        <v>14</v>
      </c>
      <c r="CG224" s="171">
        <f ca="1">IF(OR($D224&lt;&gt;"Serviço",AND(AUTOEVENTO="Manual",$M224=$A$15)),0,
         IF(OFFSET(CRONOPLE!$F$15,$M224-$A$15,CG$13)=0,10^12,OFFSET(CRONOPLE!$F$15,$M224-$A$15,CG$13)))</f>
        <v>15</v>
      </c>
      <c r="CH224" s="171">
        <f ca="1">IF(OR($D224&lt;&gt;"Serviço",AND(AUTOEVENTO="Manual",$M224=$A$15)),0,
         IF(OFFSET(CRONOPLE!$F$15,$M224-$A$15,CH$13)=0,10^12,OFFSET(CRONOPLE!$F$15,$M224-$A$15,CH$13)))</f>
        <v>16</v>
      </c>
      <c r="CI224" s="171">
        <f ca="1">IF(OR($D224&lt;&gt;"Serviço",AND(AUTOEVENTO="Manual",$M224=$A$15)),0,
         IF(OFFSET(CRONOPLE!$F$15,$M224-$A$15,CI$13)=0,10^12,OFFSET(CRONOPLE!$F$15,$M224-$A$15,CI$13)))</f>
        <v>17</v>
      </c>
      <c r="CJ224" s="171">
        <f ca="1">IF(OR($D224&lt;&gt;"Serviço",AND(AUTOEVENTO="Manual",$M224=$A$15)),0,
         IF(OFFSET(CRONOPLE!$F$15,$M224-$A$15,CJ$13)=0,10^12,OFFSET(CRONOPLE!$F$15,$M224-$A$15,CJ$13)))</f>
        <v>18</v>
      </c>
      <c r="CK224" s="171">
        <f ca="1">IF(OR($D224&lt;&gt;"Serviço",AND(AUTOEVENTO="Manual",$M224=$A$15)),0,
         IF(OFFSET(CRONOPLE!$F$15,$M224-$A$15,CK$13)=0,10^12,OFFSET(CRONOPLE!$F$15,$M224-$A$15,CK$13)))</f>
        <v>19</v>
      </c>
      <c r="CL224" s="171">
        <f ca="1">IF(OR($D224&lt;&gt;"Serviço",AND(AUTOEVENTO="Manual",$M224=$A$15)),0,
         IF(OFFSET(CRONOPLE!$F$15,$M224-$A$15,CL$13)=0,10^12,OFFSET(CRONOPLE!$F$15,$M224-$A$15,CL$13)))</f>
        <v>20</v>
      </c>
      <c r="CM224" s="171">
        <f ca="1">IF(OR($D224&lt;&gt;"Serviço",AND(AUTOEVENTO="Manual",$M224=$A$15)),0,
         IF(OFFSET(CRONOPLE!$F$15,$M224-$A$15,CM$13)=0,10^12,OFFSET(CRONOPLE!$F$15,$M224-$A$15,CM$13)))</f>
        <v>1000000000000</v>
      </c>
      <c r="CN224" s="171">
        <f ca="1">IF(OR($D224&lt;&gt;"Serviço",AND(AUTOEVENTO="Manual",$M224=$A$15)),0,
         IF(OFFSET(CRONOPLE!$F$15,$M224-$A$15,CN$13)=0,10^12,OFFSET(CRONOPLE!$F$15,$M224-$A$15,CN$13)))</f>
        <v>1000000000000</v>
      </c>
      <c r="CO224" s="171">
        <f ca="1">IF(OR($D224&lt;&gt;"Serviço",AND(AUTOEVENTO="Manual",$M224=$A$15)),0,
         IF(OFFSET(CRONOPLE!$F$15,$M224-$A$15,CO$13)=0,10^12,OFFSET(CRONOPLE!$F$15,$M224-$A$15,CO$13)))</f>
        <v>1000000000000</v>
      </c>
      <c r="CP224" s="171">
        <f ca="1">IF(OR($D224&lt;&gt;"Serviço",AND(AUTOEVENTO="Manual",$M224=$A$15)),0,
         IF(OFFSET(CRONOPLE!$F$15,$M224-$A$15,CP$13)=0,10^12,OFFSET(CRONOPLE!$F$15,$M224-$A$15,CP$13)))</f>
        <v>1000000000000</v>
      </c>
      <c r="CQ224" s="171">
        <f ca="1">IF(OR($D224&lt;&gt;"Serviço",AND(AUTOEVENTO="Manual",$M224=$A$15)),0,
         IF(OFFSET(CRONOPLE!$F$15,$M224-$A$15,CQ$13)=0,10^12,OFFSET(CRONOPLE!$F$15,$M224-$A$15,CQ$13)))</f>
        <v>1000000000000</v>
      </c>
      <c r="CR224" s="171">
        <f ca="1">IF(OR($D224&lt;&gt;"Serviço",AND(AUTOEVENTO="Manual",$M224=$A$15)),0,
         IF(OFFSET(CRONOPLE!$F$15,$M224-$A$15,CR$13)=0,10^12,OFFSET(CRONOPLE!$F$15,$M224-$A$15,CR$13)))</f>
        <v>1000000000000</v>
      </c>
      <c r="CT224" s="172" cm="1">
        <f t="array" aca="1" ref="CT224" ca="1">IF(OR($D224&lt;&gt;"Serviço",AND(AUTOEVENTO="Manual",$M224=$A$15),$M224&gt;(ROW(PLE.lastrow)-ROW(PLE.firstrow))),0,
           IF(OFFSET(PLE!$G$15,$M224-$A$15,CT$13)="",10^12,OFFSET(PLE!$G$15,$M224-$A$15,CT$13)))</f>
        <v>1000000000000</v>
      </c>
      <c r="CU224" s="172" cm="1">
        <f t="array" aca="1" ref="CU224" ca="1">IF(OR($D224&lt;&gt;"Serviço",AND(AUTOEVENTO="Manual",$M224=$A$15),$M224&gt;(ROW(PLE.lastrow)-ROW(PLE.firstrow))),0,
           IF(OFFSET(PLE!$G$15,$M224-$A$15,CU$13)="",10^12,OFFSET(PLE!$G$15,$M224-$A$15,CU$13)))</f>
        <v>1000000000000</v>
      </c>
      <c r="CV224" s="172" cm="1">
        <f t="array" aca="1" ref="CV224" ca="1">IF(OR($D224&lt;&gt;"Serviço",AND(AUTOEVENTO="Manual",$M224=$A$15),$M224&gt;(ROW(PLE.lastrow)-ROW(PLE.firstrow))),0,
           IF(OFFSET(PLE!$G$15,$M224-$A$15,CV$13)="",10^12,OFFSET(PLE!$G$15,$M224-$A$15,CV$13)))</f>
        <v>1000000000000</v>
      </c>
      <c r="CW224" s="172" cm="1">
        <f t="array" aca="1" ref="CW224" ca="1">IF(OR($D224&lt;&gt;"Serviço",AND(AUTOEVENTO="Manual",$M224=$A$15),$M224&gt;(ROW(PLE.lastrow)-ROW(PLE.firstrow))),0,
           IF(OFFSET(PLE!$G$15,$M224-$A$15,CW$13)="",10^12,OFFSET(PLE!$G$15,$M224-$A$15,CW$13)))</f>
        <v>1000000000000</v>
      </c>
      <c r="CX224" s="172" cm="1">
        <f t="array" aca="1" ref="CX224" ca="1">IF(OR($D224&lt;&gt;"Serviço",AND(AUTOEVENTO="Manual",$M224=$A$15),$M224&gt;(ROW(PLE.lastrow)-ROW(PLE.firstrow))),0,
           IF(OFFSET(PLE!$G$15,$M224-$A$15,CX$13)="",10^12,OFFSET(PLE!$G$15,$M224-$A$15,CX$13)))</f>
        <v>1000000000000</v>
      </c>
      <c r="CY224" s="172" cm="1">
        <f t="array" aca="1" ref="CY224" ca="1">IF(OR($D224&lt;&gt;"Serviço",AND(AUTOEVENTO="Manual",$M224=$A$15),$M224&gt;(ROW(PLE.lastrow)-ROW(PLE.firstrow))),0,
           IF(OFFSET(PLE!$G$15,$M224-$A$15,CY$13)="",10^12,OFFSET(PLE!$G$15,$M224-$A$15,CY$13)))</f>
        <v>1000000000000</v>
      </c>
      <c r="CZ224" s="172" cm="1">
        <f t="array" aca="1" ref="CZ224" ca="1">IF(OR($D224&lt;&gt;"Serviço",AND(AUTOEVENTO="Manual",$M224=$A$15),$M224&gt;(ROW(PLE.lastrow)-ROW(PLE.firstrow))),0,
           IF(OFFSET(PLE!$G$15,$M224-$A$15,CZ$13)="",10^12,OFFSET(PLE!$G$15,$M224-$A$15,CZ$13)))</f>
        <v>1000000000000</v>
      </c>
      <c r="DA224" s="172" cm="1">
        <f t="array" aca="1" ref="DA224" ca="1">IF(OR($D224&lt;&gt;"Serviço",AND(AUTOEVENTO="Manual",$M224=$A$15),$M224&gt;(ROW(PLE.lastrow)-ROW(PLE.firstrow))),0,
           IF(OFFSET(PLE!$G$15,$M224-$A$15,DA$13)="",10^12,OFFSET(PLE!$G$15,$M224-$A$15,DA$13)))</f>
        <v>1000000000000</v>
      </c>
      <c r="DB224" s="172" cm="1">
        <f t="array" aca="1" ref="DB224" ca="1">IF(OR($D224&lt;&gt;"Serviço",AND(AUTOEVENTO="Manual",$M224=$A$15),$M224&gt;(ROW(PLE.lastrow)-ROW(PLE.firstrow))),0,
           IF(OFFSET(PLE!$G$15,$M224-$A$15,DB$13)="",10^12,OFFSET(PLE!$G$15,$M224-$A$15,DB$13)))</f>
        <v>1000000000000</v>
      </c>
      <c r="DC224" s="172" cm="1">
        <f t="array" aca="1" ref="DC224" ca="1">IF(OR($D224&lt;&gt;"Serviço",AND(AUTOEVENTO="Manual",$M224=$A$15),$M224&gt;(ROW(PLE.lastrow)-ROW(PLE.firstrow))),0,
           IF(OFFSET(PLE!$G$15,$M224-$A$15,DC$13)="",10^12,OFFSET(PLE!$G$15,$M224-$A$15,DC$13)))</f>
        <v>1000000000000</v>
      </c>
      <c r="DD224" s="172" cm="1">
        <f t="array" aca="1" ref="DD224" ca="1">IF(OR($D224&lt;&gt;"Serviço",AND(AUTOEVENTO="Manual",$M224=$A$15),$M224&gt;(ROW(PLE.lastrow)-ROW(PLE.firstrow))),0,
           IF(OFFSET(PLE!$G$15,$M224-$A$15,DD$13)="",10^12,OFFSET(PLE!$G$15,$M224-$A$15,DD$13)))</f>
        <v>1000000000000</v>
      </c>
      <c r="DE224" s="172" cm="1">
        <f t="array" aca="1" ref="DE224" ca="1">IF(OR($D224&lt;&gt;"Serviço",AND(AUTOEVENTO="Manual",$M224=$A$15),$M224&gt;(ROW(PLE.lastrow)-ROW(PLE.firstrow))),0,
           IF(OFFSET(PLE!$G$15,$M224-$A$15,DE$13)="",10^12,OFFSET(PLE!$G$15,$M224-$A$15,DE$13)))</f>
        <v>1000000000000</v>
      </c>
      <c r="DF224" s="172" cm="1">
        <f t="array" aca="1" ref="DF224" ca="1">IF(OR($D224&lt;&gt;"Serviço",AND(AUTOEVENTO="Manual",$M224=$A$15),$M224&gt;(ROW(PLE.lastrow)-ROW(PLE.firstrow))),0,
           IF(OFFSET(PLE!$G$15,$M224-$A$15,DF$13)="",10^12,OFFSET(PLE!$G$15,$M224-$A$15,DF$13)))</f>
        <v>1000000000000</v>
      </c>
      <c r="DG224" s="172" cm="1">
        <f t="array" aca="1" ref="DG224" ca="1">IF(OR($D224&lt;&gt;"Serviço",AND(AUTOEVENTO="Manual",$M224=$A$15),$M224&gt;(ROW(PLE.lastrow)-ROW(PLE.firstrow))),0,
           IF(OFFSET(PLE!$G$15,$M224-$A$15,DG$13)="",10^12,OFFSET(PLE!$G$15,$M224-$A$15,DG$13)))</f>
        <v>1000000000000</v>
      </c>
      <c r="DH224" s="172" cm="1">
        <f t="array" aca="1" ref="DH224" ca="1">IF(OR($D224&lt;&gt;"Serviço",AND(AUTOEVENTO="Manual",$M224=$A$15),$M224&gt;(ROW(PLE.lastrow)-ROW(PLE.firstrow))),0,
           IF(OFFSET(PLE!$G$15,$M224-$A$15,DH$13)="",10^12,OFFSET(PLE!$G$15,$M224-$A$15,DH$13)))</f>
        <v>1000000000000</v>
      </c>
      <c r="DI224" s="172" cm="1">
        <f t="array" aca="1" ref="DI224" ca="1">IF(OR($D224&lt;&gt;"Serviço",AND(AUTOEVENTO="Manual",$M224=$A$15),$M224&gt;(ROW(PLE.lastrow)-ROW(PLE.firstrow))),0,
           IF(OFFSET(PLE!$G$15,$M224-$A$15,DI$13)="",10^12,OFFSET(PLE!$G$15,$M224-$A$15,DI$13)))</f>
        <v>1000000000000</v>
      </c>
      <c r="DJ224" s="172" cm="1">
        <f t="array" aca="1" ref="DJ224" ca="1">IF(OR($D224&lt;&gt;"Serviço",AND(AUTOEVENTO="Manual",$M224=$A$15),$M224&gt;(ROW(PLE.lastrow)-ROW(PLE.firstrow))),0,
           IF(OFFSET(PLE!$G$15,$M224-$A$15,DJ$13)="",10^12,OFFSET(PLE!$G$15,$M224-$A$15,DJ$13)))</f>
        <v>1000000000000</v>
      </c>
      <c r="DK224" s="172" cm="1">
        <f t="array" aca="1" ref="DK224" ca="1">IF(OR($D224&lt;&gt;"Serviço",AND(AUTOEVENTO="Manual",$M224=$A$15),$M224&gt;(ROW(PLE.lastrow)-ROW(PLE.firstrow))),0,
           IF(OFFSET(PLE!$G$15,$M224-$A$15,DK$13)="",10^12,OFFSET(PLE!$G$15,$M224-$A$15,DK$13)))</f>
        <v>1000000000000</v>
      </c>
      <c r="DL224" s="172" cm="1">
        <f t="array" aca="1" ref="DL224" ca="1">IF(OR($D224&lt;&gt;"Serviço",AND(AUTOEVENTO="Manual",$M224=$A$15),$M224&gt;(ROW(PLE.lastrow)-ROW(PLE.firstrow))),0,
           IF(OFFSET(PLE!$G$15,$M224-$A$15,DL$13)="",10^12,OFFSET(PLE!$G$15,$M224-$A$15,DL$13)))</f>
        <v>1000000000000</v>
      </c>
      <c r="DM224" s="172" cm="1">
        <f t="array" aca="1" ref="DM224" ca="1">IF(OR($D224&lt;&gt;"Serviço",AND(AUTOEVENTO="Manual",$M224=$A$15),$M224&gt;(ROW(PLE.lastrow)-ROW(PLE.firstrow))),0,
           IF(OFFSET(PLE!$G$15,$M224-$A$15,DM$13)="",10^12,OFFSET(PLE!$G$15,$M224-$A$15,DM$13)))</f>
        <v>1000000000000</v>
      </c>
      <c r="DN224" s="172" cm="1">
        <f t="array" aca="1" ref="DN224" ca="1">IF(OR($D224&lt;&gt;"Serviço",AND(AUTOEVENTO="Manual",$M224=$A$15),$M224&gt;(ROW(PLE.lastrow)-ROW(PLE.firstrow))),0,
           IF(OFFSET(PLE!$G$15,$M224-$A$15,DN$13)="",10^12,OFFSET(PLE!$G$15,$M224-$A$15,DN$13)))</f>
        <v>1000000000000</v>
      </c>
      <c r="DO224" s="172" cm="1">
        <f t="array" aca="1" ref="DO224" ca="1">IF(OR($D224&lt;&gt;"Serviço",AND(AUTOEVENTO="Manual",$M224=$A$15),$M224&gt;(ROW(PLE.lastrow)-ROW(PLE.firstrow))),0,
           IF(OFFSET(PLE!$G$15,$M224-$A$15,DO$13)="",10^12,OFFSET(PLE!$G$15,$M224-$A$15,DO$13)))</f>
        <v>1000000000000</v>
      </c>
      <c r="DP224" s="172" cm="1">
        <f t="array" aca="1" ref="DP224" ca="1">IF(OR($D224&lt;&gt;"Serviço",AND(AUTOEVENTO="Manual",$M224=$A$15),$M224&gt;(ROW(PLE.lastrow)-ROW(PLE.firstrow))),0,
           IF(OFFSET(PLE!$G$15,$M224-$A$15,DP$13)="",10^12,OFFSET(PLE!$G$15,$M224-$A$15,DP$13)))</f>
        <v>1000000000000</v>
      </c>
      <c r="DQ224" s="172" cm="1">
        <f t="array" aca="1" ref="DQ224" ca="1">IF(OR($D224&lt;&gt;"Serviço",AND(AUTOEVENTO="Manual",$M224=$A$15),$M224&gt;(ROW(PLE.lastrow)-ROW(PLE.firstrow))),0,
           IF(OFFSET(PLE!$G$15,$M224-$A$15,DQ$13)="",10^12,OFFSET(PLE!$G$15,$M224-$A$15,DQ$13)))</f>
        <v>1000000000000</v>
      </c>
      <c r="DR224" s="172" cm="1">
        <f t="array" aca="1" ref="DR224" ca="1">IF(OR($D224&lt;&gt;"Serviço",AND(AUTOEVENTO="Manual",$M224=$A$15),$M224&gt;(ROW(PLE.lastrow)-ROW(PLE.firstrow))),0,
           IF(OFFSET(PLE!$G$15,$M224-$A$15,DR$13)="",10^12,OFFSET(PLE!$G$15,$M224-$A$15,DR$13)))</f>
        <v>1000000000000</v>
      </c>
      <c r="DS224" s="172" cm="1">
        <f t="array" aca="1" ref="DS224" ca="1">IF(OR($D224&lt;&gt;"Serviço",AND(AUTOEVENTO="Manual",$M224=$A$15),$M224&gt;(ROW(PLE.lastrow)-ROW(PLE.firstrow))),0,
           IF(OFFSET(PLE!$G$15,$M224-$A$15,DS$13)="",10^12,OFFSET(PLE!$G$15,$M224-$A$15,DS$13)))</f>
        <v>1000000000000</v>
      </c>
    </row>
    <row r="225" spans="1:123" ht="12.75" x14ac:dyDescent="0.2">
      <c r="A225" s="7">
        <f t="shared" ca="1" si="19"/>
        <v>0</v>
      </c>
      <c r="B225" s="7">
        <f ca="1">OFFSET(ORÇAMENTO!C$15,$L225,0)</f>
        <v>3</v>
      </c>
      <c r="C225" s="7" t="str">
        <f ca="1">OFFSET(ORÇAMENTO!L$15,$L225,0)</f>
        <v>F</v>
      </c>
      <c r="D225" s="116" t="str">
        <f ca="1">OFFSET(ORÇAMENTO!N$15,$L225,0)</f>
        <v>Nível 3</v>
      </c>
      <c r="E225" s="117" t="str">
        <f ca="1">OFFSET(ORÇAMENTO!O$15,$L225,0)</f>
        <v>9.3.3.</v>
      </c>
      <c r="F225" s="163" t="str">
        <f ca="1">OFFSET(ORÇAMENTO!R$15,$L225,0)</f>
        <v>APARELHOS, METAIS E BANCADAS</v>
      </c>
      <c r="G225" s="164" t="str">
        <f ca="1">IF($D225&lt;&gt;"Serviço","",OFFSET(ORÇAMENTO!S$15,$L225,0))</f>
        <v/>
      </c>
      <c r="H225" s="122" cm="1">
        <f t="array" aca="1" ref="H225" ca="1">IF($D225&lt;&gt;"Serviço",0,IF(ACOMPANHAMENTO="BM",ROUND(OFFSET(ORÇAMENTO!AJ$15,$L225,0),15-13*ORÇAMENTO!$AF$7),IF(IFERROR(CÁLCULO.FrentesPreenchidas,0)=0,0,SUM(ROUND(OFFSET($P225,0,1,1,CÁLCULO.FrentesPreenchidas),15-13*ORÇAMENTO!$AF$7)))))</f>
        <v>0</v>
      </c>
      <c r="I225" s="468"/>
      <c r="J225" s="651" t="str" cm="1">
        <f t="array" aca="1" ref="J225" ca="1">IF(OR(B225&lt;&gt;"S",CÁLCULO.FrentesPreenchidas=0),"",IF(AND(ACOMPANHAMENTO="PLE",AUTOEVENTO="Manual",OR(H225&gt;0,ORÇAMENTO!AC225="QUANT."),OR(K225="",M225=0,N225="")),"►E",IF(AND(ACOMPANHAMENTO="PLE",ORÇAMENTO!AC225="QUANT."),"►Q",IF(AND(ACOMPANHAMENTO="PLE",H225&lt;&gt;SUMPRODUCT(($Q$1:$AQ$1=1)*ROUND(Q225:AQ225,15))),"►S",IF(AND(COUNTIF($P$11:$AQ$11,"▼")=0,H225&gt;0,I225=""),"◄M","")))))</f>
        <v/>
      </c>
      <c r="K225" s="652"/>
      <c r="L225" s="165">
        <f t="shared" ca="1" si="20"/>
        <v>210</v>
      </c>
      <c r="M225" s="166" t="str">
        <f ca="1">IF($D225&lt;&gt;"Serviço","",
          IF(AUTOEVENTO="manual",$A225,
                IF(ISERROR(MATCH($A225,$A$15:OFFSET($A225,-1,0),0)),MAX($M$15:OFFSET(M225,-1,0))+1,
                      INDEX($M$15:OFFSET(M225,-1,0),MATCH($A225,$A$15:OFFSET($A225,-1,0),0)))))</f>
        <v/>
      </c>
      <c r="N225" s="167" t="str">
        <f ca="1">IF($D225&lt;&gt;"Serviço","",
         IF(AUTOEVENTO="Manual",
                IF($A225=0,"&lt;-- defina o número do agrupador",
                       OFFSET(EVENTOS!$D$15,$A225-$A$15,0)),
                OFFSET($F$15,$A225,0)))</f>
        <v/>
      </c>
      <c r="O225" s="168"/>
      <c r="Q225" s="168"/>
      <c r="R225" s="169"/>
      <c r="S225" s="169"/>
      <c r="T225" s="169"/>
      <c r="U225" s="169"/>
      <c r="V225" s="169"/>
      <c r="W225" s="169"/>
      <c r="X225" s="169"/>
      <c r="Y225" s="169"/>
      <c r="Z225" s="170"/>
      <c r="AA225" s="169"/>
      <c r="AB225" s="169"/>
      <c r="AC225" s="169"/>
      <c r="AD225" s="169"/>
      <c r="AE225" s="169"/>
      <c r="AF225" s="169"/>
      <c r="AG225" s="169"/>
      <c r="AH225" s="170"/>
      <c r="AI225" s="169"/>
      <c r="AJ225" s="169"/>
      <c r="AK225" s="169"/>
      <c r="AL225" s="169"/>
      <c r="AM225" s="169"/>
      <c r="AN225" s="169"/>
      <c r="AO225" s="169"/>
      <c r="AP225" s="170"/>
      <c r="AR225" s="453">
        <f ca="1">IF(AND($D225="Serviço",AR$12&lt;&gt;0,$H225&gt;0,OR(AUTOEVENTO&lt;&gt;"manual",$M225&lt;&gt;$A$15)),
        IF(Import.TipoArredondamento&lt;&gt;"TransfereGOV",
              ROUND(OFFSET($P225,0,AR$13),15-13*ORÇAMENTO!$AF$7)/$H225*OFFSET(ORÇAMENTO!$X$15,ROW(AR225)-ROW(AR$15),0),
              ROUND(ROUND(OFFSET($P225,0,AR$13),15-13*ORÇAMENTO!$AF$7)*OFFSET(ORÇAMENTO!$W$15,ROW(AR225)-ROW(AR$15),0),15-13*ORÇAMENTO!$AF$11)),
         0)</f>
        <v>0</v>
      </c>
      <c r="AS225" s="453">
        <f ca="1">IF(AND($D225="Serviço",AS$12&lt;&gt;0,$H225&gt;0,OR(AUTOEVENTO&lt;&gt;"manual",$M225&lt;&gt;$A$15)),
        IF(Import.TipoArredondamento&lt;&gt;"TransfereGOV",
              ROUND(OFFSET($P225,0,AS$13),15-13*ORÇAMENTO!$AF$7)/$H225*OFFSET(ORÇAMENTO!$X$15,ROW(AS225)-ROW(AS$15),0),
              ROUND(ROUND(OFFSET($P225,0,AS$13),15-13*ORÇAMENTO!$AF$7)*OFFSET(ORÇAMENTO!$W$15,ROW(AS225)-ROW(AS$15),0),15-13*ORÇAMENTO!$AF$11)),
         0)</f>
        <v>0</v>
      </c>
      <c r="AT225" s="453">
        <f ca="1">IF(AND($D225="Serviço",AT$12&lt;&gt;0,$H225&gt;0,OR(AUTOEVENTO&lt;&gt;"manual",$M225&lt;&gt;$A$15)),
        IF(Import.TipoArredondamento&lt;&gt;"TransfereGOV",
              ROUND(OFFSET($P225,0,AT$13),15-13*ORÇAMENTO!$AF$7)/$H225*OFFSET(ORÇAMENTO!$X$15,ROW(AT225)-ROW(AT$15),0),
              ROUND(ROUND(OFFSET($P225,0,AT$13),15-13*ORÇAMENTO!$AF$7)*OFFSET(ORÇAMENTO!$W$15,ROW(AT225)-ROW(AT$15),0),15-13*ORÇAMENTO!$AF$11)),
         0)</f>
        <v>0</v>
      </c>
      <c r="AU225" s="453">
        <f ca="1">IF(AND($D225="Serviço",AU$12&lt;&gt;0,$H225&gt;0,OR(AUTOEVENTO&lt;&gt;"manual",$M225&lt;&gt;$A$15)),
        IF(Import.TipoArredondamento&lt;&gt;"TransfereGOV",
              ROUND(OFFSET($P225,0,AU$13),15-13*ORÇAMENTO!$AF$7)/$H225*OFFSET(ORÇAMENTO!$X$15,ROW(AU225)-ROW(AU$15),0),
              ROUND(ROUND(OFFSET($P225,0,AU$13),15-13*ORÇAMENTO!$AF$7)*OFFSET(ORÇAMENTO!$W$15,ROW(AU225)-ROW(AU$15),0),15-13*ORÇAMENTO!$AF$11)),
         0)</f>
        <v>0</v>
      </c>
      <c r="AV225" s="453">
        <f ca="1">IF(AND($D225="Serviço",AV$12&lt;&gt;0,$H225&gt;0,OR(AUTOEVENTO&lt;&gt;"manual",$M225&lt;&gt;$A$15)),
        IF(Import.TipoArredondamento&lt;&gt;"TransfereGOV",
              ROUND(OFFSET($P225,0,AV$13),15-13*ORÇAMENTO!$AF$7)/$H225*OFFSET(ORÇAMENTO!$X$15,ROW(AV225)-ROW(AV$15),0),
              ROUND(ROUND(OFFSET($P225,0,AV$13),15-13*ORÇAMENTO!$AF$7)*OFFSET(ORÇAMENTO!$W$15,ROW(AV225)-ROW(AV$15),0),15-13*ORÇAMENTO!$AF$11)),
         0)</f>
        <v>0</v>
      </c>
      <c r="AW225" s="453">
        <f ca="1">IF(AND($D225="Serviço",AW$12&lt;&gt;0,$H225&gt;0,OR(AUTOEVENTO&lt;&gt;"manual",$M225&lt;&gt;$A$15)),
        IF(Import.TipoArredondamento&lt;&gt;"TransfereGOV",
              ROUND(OFFSET($P225,0,AW$13),15-13*ORÇAMENTO!$AF$7)/$H225*OFFSET(ORÇAMENTO!$X$15,ROW(AW225)-ROW(AW$15),0),
              ROUND(ROUND(OFFSET($P225,0,AW$13),15-13*ORÇAMENTO!$AF$7)*OFFSET(ORÇAMENTO!$W$15,ROW(AW225)-ROW(AW$15),0),15-13*ORÇAMENTO!$AF$11)),
         0)</f>
        <v>0</v>
      </c>
      <c r="AX225" s="453">
        <f ca="1">IF(AND($D225="Serviço",AX$12&lt;&gt;0,$H225&gt;0,OR(AUTOEVENTO&lt;&gt;"manual",$M225&lt;&gt;$A$15)),
        IF(Import.TipoArredondamento&lt;&gt;"TransfereGOV",
              ROUND(OFFSET($P225,0,AX$13),15-13*ORÇAMENTO!$AF$7)/$H225*OFFSET(ORÇAMENTO!$X$15,ROW(AX225)-ROW(AX$15),0),
              ROUND(ROUND(OFFSET($P225,0,AX$13),15-13*ORÇAMENTO!$AF$7)*OFFSET(ORÇAMENTO!$W$15,ROW(AX225)-ROW(AX$15),0),15-13*ORÇAMENTO!$AF$11)),
         0)</f>
        <v>0</v>
      </c>
      <c r="AY225" s="453">
        <f ca="1">IF(AND($D225="Serviço",AY$12&lt;&gt;0,$H225&gt;0,OR(AUTOEVENTO&lt;&gt;"manual",$M225&lt;&gt;$A$15)),
        IF(Import.TipoArredondamento&lt;&gt;"TransfereGOV",
              ROUND(OFFSET($P225,0,AY$13),15-13*ORÇAMENTO!$AF$7)/$H225*OFFSET(ORÇAMENTO!$X$15,ROW(AY225)-ROW(AY$15),0),
              ROUND(ROUND(OFFSET($P225,0,AY$13),15-13*ORÇAMENTO!$AF$7)*OFFSET(ORÇAMENTO!$W$15,ROW(AY225)-ROW(AY$15),0),15-13*ORÇAMENTO!$AF$11)),
         0)</f>
        <v>0</v>
      </c>
      <c r="AZ225" s="453">
        <f ca="1">IF(AND($D225="Serviço",AZ$12&lt;&gt;0,$H225&gt;0,OR(AUTOEVENTO&lt;&gt;"manual",$M225&lt;&gt;$A$15)),
        IF(Import.TipoArredondamento&lt;&gt;"TransfereGOV",
              ROUND(OFFSET($P225,0,AZ$13),15-13*ORÇAMENTO!$AF$7)/$H225*OFFSET(ORÇAMENTO!$X$15,ROW(AZ225)-ROW(AZ$15),0),
              ROUND(ROUND(OFFSET($P225,0,AZ$13),15-13*ORÇAMENTO!$AF$7)*OFFSET(ORÇAMENTO!$W$15,ROW(AZ225)-ROW(AZ$15),0),15-13*ORÇAMENTO!$AF$11)),
         0)</f>
        <v>0</v>
      </c>
      <c r="BA225" s="453">
        <f ca="1">IF(AND($D225="Serviço",BA$12&lt;&gt;0,$H225&gt;0,OR(AUTOEVENTO&lt;&gt;"manual",$M225&lt;&gt;$A$15)),
        IF(Import.TipoArredondamento&lt;&gt;"TransfereGOV",
              ROUND(OFFSET($P225,0,BA$13),15-13*ORÇAMENTO!$AF$7)/$H225*OFFSET(ORÇAMENTO!$X$15,ROW(BA225)-ROW(BA$15),0),
              ROUND(ROUND(OFFSET($P225,0,BA$13),15-13*ORÇAMENTO!$AF$7)*OFFSET(ORÇAMENTO!$W$15,ROW(BA225)-ROW(BA$15),0),15-13*ORÇAMENTO!$AF$11)),
         0)</f>
        <v>0</v>
      </c>
      <c r="BB225" s="453">
        <f ca="1">IF(AND($D225="Serviço",BB$12&lt;&gt;0,$H225&gt;0,OR(AUTOEVENTO&lt;&gt;"manual",$M225&lt;&gt;$A$15)),
        IF(Import.TipoArredondamento&lt;&gt;"TransfereGOV",
              ROUND(OFFSET($P225,0,BB$13),15-13*ORÇAMENTO!$AF$7)/$H225*OFFSET(ORÇAMENTO!$X$15,ROW(BB225)-ROW(BB$15),0),
              ROUND(ROUND(OFFSET($P225,0,BB$13),15-13*ORÇAMENTO!$AF$7)*OFFSET(ORÇAMENTO!$W$15,ROW(BB225)-ROW(BB$15),0),15-13*ORÇAMENTO!$AF$11)),
         0)</f>
        <v>0</v>
      </c>
      <c r="BC225" s="453">
        <f ca="1">IF(AND($D225="Serviço",BC$12&lt;&gt;0,$H225&gt;0,OR(AUTOEVENTO&lt;&gt;"manual",$M225&lt;&gt;$A$15)),
        IF(Import.TipoArredondamento&lt;&gt;"TransfereGOV",
              ROUND(OFFSET($P225,0,BC$13),15-13*ORÇAMENTO!$AF$7)/$H225*OFFSET(ORÇAMENTO!$X$15,ROW(BC225)-ROW(BC$15),0),
              ROUND(ROUND(OFFSET($P225,0,BC$13),15-13*ORÇAMENTO!$AF$7)*OFFSET(ORÇAMENTO!$W$15,ROW(BC225)-ROW(BC$15),0),15-13*ORÇAMENTO!$AF$11)),
         0)</f>
        <v>0</v>
      </c>
      <c r="BD225" s="453">
        <f ca="1">IF(AND($D225="Serviço",BD$12&lt;&gt;0,$H225&gt;0,OR(AUTOEVENTO&lt;&gt;"manual",$M225&lt;&gt;$A$15)),
        IF(Import.TipoArredondamento&lt;&gt;"TransfereGOV",
              ROUND(OFFSET($P225,0,BD$13),15-13*ORÇAMENTO!$AF$7)/$H225*OFFSET(ORÇAMENTO!$X$15,ROW(BD225)-ROW(BD$15),0),
              ROUND(ROUND(OFFSET($P225,0,BD$13),15-13*ORÇAMENTO!$AF$7)*OFFSET(ORÇAMENTO!$W$15,ROW(BD225)-ROW(BD$15),0),15-13*ORÇAMENTO!$AF$11)),
         0)</f>
        <v>0</v>
      </c>
      <c r="BE225" s="453">
        <f ca="1">IF(AND($D225="Serviço",BE$12&lt;&gt;0,$H225&gt;0,OR(AUTOEVENTO&lt;&gt;"manual",$M225&lt;&gt;$A$15)),
        IF(Import.TipoArredondamento&lt;&gt;"TransfereGOV",
              ROUND(OFFSET($P225,0,BE$13),15-13*ORÇAMENTO!$AF$7)/$H225*OFFSET(ORÇAMENTO!$X$15,ROW(BE225)-ROW(BE$15),0),
              ROUND(ROUND(OFFSET($P225,0,BE$13),15-13*ORÇAMENTO!$AF$7)*OFFSET(ORÇAMENTO!$W$15,ROW(BE225)-ROW(BE$15),0),15-13*ORÇAMENTO!$AF$11)),
         0)</f>
        <v>0</v>
      </c>
      <c r="BF225" s="453">
        <f ca="1">IF(AND($D225="Serviço",BF$12&lt;&gt;0,$H225&gt;0,OR(AUTOEVENTO&lt;&gt;"manual",$M225&lt;&gt;$A$15)),
        IF(Import.TipoArredondamento&lt;&gt;"TransfereGOV",
              ROUND(OFFSET($P225,0,BF$13),15-13*ORÇAMENTO!$AF$7)/$H225*OFFSET(ORÇAMENTO!$X$15,ROW(BF225)-ROW(BF$15),0),
              ROUND(ROUND(OFFSET($P225,0,BF$13),15-13*ORÇAMENTO!$AF$7)*OFFSET(ORÇAMENTO!$W$15,ROW(BF225)-ROW(BF$15),0),15-13*ORÇAMENTO!$AF$11)),
         0)</f>
        <v>0</v>
      </c>
      <c r="BG225" s="453">
        <f ca="1">IF(AND($D225="Serviço",BG$12&lt;&gt;0,$H225&gt;0,OR(AUTOEVENTO&lt;&gt;"manual",$M225&lt;&gt;$A$15)),
        IF(Import.TipoArredondamento&lt;&gt;"TransfereGOV",
              ROUND(OFFSET($P225,0,BG$13),15-13*ORÇAMENTO!$AF$7)/$H225*OFFSET(ORÇAMENTO!$X$15,ROW(BG225)-ROW(BG$15),0),
              ROUND(ROUND(OFFSET($P225,0,BG$13),15-13*ORÇAMENTO!$AF$7)*OFFSET(ORÇAMENTO!$W$15,ROW(BG225)-ROW(BG$15),0),15-13*ORÇAMENTO!$AF$11)),
         0)</f>
        <v>0</v>
      </c>
      <c r="BH225" s="453">
        <f ca="1">IF(AND($D225="Serviço",BH$12&lt;&gt;0,$H225&gt;0,OR(AUTOEVENTO&lt;&gt;"manual",$M225&lt;&gt;$A$15)),
        IF(Import.TipoArredondamento&lt;&gt;"TransfereGOV",
              ROUND(OFFSET($P225,0,BH$13),15-13*ORÇAMENTO!$AF$7)/$H225*OFFSET(ORÇAMENTO!$X$15,ROW(BH225)-ROW(BH$15),0),
              ROUND(ROUND(OFFSET($P225,0,BH$13),15-13*ORÇAMENTO!$AF$7)*OFFSET(ORÇAMENTO!$W$15,ROW(BH225)-ROW(BH$15),0),15-13*ORÇAMENTO!$AF$11)),
         0)</f>
        <v>0</v>
      </c>
      <c r="BI225" s="453">
        <f ca="1">IF(AND($D225="Serviço",BI$12&lt;&gt;0,$H225&gt;0,OR(AUTOEVENTO&lt;&gt;"manual",$M225&lt;&gt;$A$15)),
        IF(Import.TipoArredondamento&lt;&gt;"TransfereGOV",
              ROUND(OFFSET($P225,0,BI$13),15-13*ORÇAMENTO!$AF$7)/$H225*OFFSET(ORÇAMENTO!$X$15,ROW(BI225)-ROW(BI$15),0),
              ROUND(ROUND(OFFSET($P225,0,BI$13),15-13*ORÇAMENTO!$AF$7)*OFFSET(ORÇAMENTO!$W$15,ROW(BI225)-ROW(BI$15),0),15-13*ORÇAMENTO!$AF$11)),
         0)</f>
        <v>0</v>
      </c>
      <c r="BJ225" s="453">
        <f ca="1">IF(AND($D225="Serviço",BJ$12&lt;&gt;0,$H225&gt;0,OR(AUTOEVENTO&lt;&gt;"manual",$M225&lt;&gt;$A$15)),
        IF(Import.TipoArredondamento&lt;&gt;"TransfereGOV",
              ROUND(OFFSET($P225,0,BJ$13),15-13*ORÇAMENTO!$AF$7)/$H225*OFFSET(ORÇAMENTO!$X$15,ROW(BJ225)-ROW(BJ$15),0),
              ROUND(ROUND(OFFSET($P225,0,BJ$13),15-13*ORÇAMENTO!$AF$7)*OFFSET(ORÇAMENTO!$W$15,ROW(BJ225)-ROW(BJ$15),0),15-13*ORÇAMENTO!$AF$11)),
         0)</f>
        <v>0</v>
      </c>
      <c r="BK225" s="453">
        <f ca="1">IF(AND($D225="Serviço",BK$12&lt;&gt;0,$H225&gt;0,OR(AUTOEVENTO&lt;&gt;"manual",$M225&lt;&gt;$A$15)),
        IF(Import.TipoArredondamento&lt;&gt;"TransfereGOV",
              ROUND(OFFSET($P225,0,BK$13),15-13*ORÇAMENTO!$AF$7)/$H225*OFFSET(ORÇAMENTO!$X$15,ROW(BK225)-ROW(BK$15),0),
              ROUND(ROUND(OFFSET($P225,0,BK$13),15-13*ORÇAMENTO!$AF$7)*OFFSET(ORÇAMENTO!$W$15,ROW(BK225)-ROW(BK$15),0),15-13*ORÇAMENTO!$AF$11)),
         0)</f>
        <v>0</v>
      </c>
      <c r="BL225" s="453">
        <f ca="1">IF(AND($D225="Serviço",BL$12&lt;&gt;0,$H225&gt;0,OR(AUTOEVENTO&lt;&gt;"manual",$M225&lt;&gt;$A$15)),
        IF(Import.TipoArredondamento&lt;&gt;"TransfereGOV",
              ROUND(OFFSET($P225,0,BL$13),15-13*ORÇAMENTO!$AF$7)/$H225*OFFSET(ORÇAMENTO!$X$15,ROW(BL225)-ROW(BL$15),0),
              ROUND(ROUND(OFFSET($P225,0,BL$13),15-13*ORÇAMENTO!$AF$7)*OFFSET(ORÇAMENTO!$W$15,ROW(BL225)-ROW(BL$15),0),15-13*ORÇAMENTO!$AF$11)),
         0)</f>
        <v>0</v>
      </c>
      <c r="BM225" s="453">
        <f ca="1">IF(AND($D225="Serviço",BM$12&lt;&gt;0,$H225&gt;0,OR(AUTOEVENTO&lt;&gt;"manual",$M225&lt;&gt;$A$15)),
        IF(Import.TipoArredondamento&lt;&gt;"TransfereGOV",
              ROUND(OFFSET($P225,0,BM$13),15-13*ORÇAMENTO!$AF$7)/$H225*OFFSET(ORÇAMENTO!$X$15,ROW(BM225)-ROW(BM$15),0),
              ROUND(ROUND(OFFSET($P225,0,BM$13),15-13*ORÇAMENTO!$AF$7)*OFFSET(ORÇAMENTO!$W$15,ROW(BM225)-ROW(BM$15),0),15-13*ORÇAMENTO!$AF$11)),
         0)</f>
        <v>0</v>
      </c>
      <c r="BN225" s="453">
        <f ca="1">IF(AND($D225="Serviço",BN$12&lt;&gt;0,$H225&gt;0,OR(AUTOEVENTO&lt;&gt;"manual",$M225&lt;&gt;$A$15)),
        IF(Import.TipoArredondamento&lt;&gt;"TransfereGOV",
              ROUND(OFFSET($P225,0,BN$13),15-13*ORÇAMENTO!$AF$7)/$H225*OFFSET(ORÇAMENTO!$X$15,ROW(BN225)-ROW(BN$15),0),
              ROUND(ROUND(OFFSET($P225,0,BN$13),15-13*ORÇAMENTO!$AF$7)*OFFSET(ORÇAMENTO!$W$15,ROW(BN225)-ROW(BN$15),0),15-13*ORÇAMENTO!$AF$11)),
         0)</f>
        <v>0</v>
      </c>
      <c r="BO225" s="453">
        <f ca="1">IF(AND($D225="Serviço",BO$12&lt;&gt;0,$H225&gt;0,OR(AUTOEVENTO&lt;&gt;"manual",$M225&lt;&gt;$A$15)),
        IF(Import.TipoArredondamento&lt;&gt;"TransfereGOV",
              ROUND(OFFSET($P225,0,BO$13),15-13*ORÇAMENTO!$AF$7)/$H225*OFFSET(ORÇAMENTO!$X$15,ROW(BO225)-ROW(BO$15),0),
              ROUND(ROUND(OFFSET($P225,0,BO$13),15-13*ORÇAMENTO!$AF$7)*OFFSET(ORÇAMENTO!$W$15,ROW(BO225)-ROW(BO$15),0),15-13*ORÇAMENTO!$AF$11)),
         0)</f>
        <v>0</v>
      </c>
      <c r="BP225" s="453">
        <f ca="1">IF(AND($D225="Serviço",BP$12&lt;&gt;0,$H225&gt;0,OR(AUTOEVENTO&lt;&gt;"manual",$M225&lt;&gt;$A$15)),
        IF(Import.TipoArredondamento&lt;&gt;"TransfereGOV",
              ROUND(OFFSET($P225,0,BP$13),15-13*ORÇAMENTO!$AF$7)/$H225*OFFSET(ORÇAMENTO!$X$15,ROW(BP225)-ROW(BP$15),0),
              ROUND(ROUND(OFFSET($P225,0,BP$13),15-13*ORÇAMENTO!$AF$7)*OFFSET(ORÇAMENTO!$W$15,ROW(BP225)-ROW(BP$15),0),15-13*ORÇAMENTO!$AF$11)),
         0)</f>
        <v>0</v>
      </c>
      <c r="BQ225" s="453">
        <f ca="1">IF(AND($D225="Serviço",BQ$12&lt;&gt;0,$H225&gt;0,OR(AUTOEVENTO&lt;&gt;"manual",$M225&lt;&gt;$A$15)),
        IF(Import.TipoArredondamento&lt;&gt;"TransfereGOV",
              ROUND(OFFSET($P225,0,BQ$13),15-13*ORÇAMENTO!$AF$7)/$H225*OFFSET(ORÇAMENTO!$X$15,ROW(BQ225)-ROW(BQ$15),0),
              ROUND(ROUND(OFFSET($P225,0,BQ$13),15-13*ORÇAMENTO!$AF$7)*OFFSET(ORÇAMENTO!$W$15,ROW(BQ225)-ROW(BQ$15),0),15-13*ORÇAMENTO!$AF$11)),
         0)</f>
        <v>0</v>
      </c>
      <c r="BS225" s="171">
        <f ca="1">IF(OR($D225&lt;&gt;"Serviço",AND(AUTOEVENTO="Manual",$M225=$A$15)),0,
         IF(OFFSET(CRONOPLE!$F$15,$M225-$A$15,BS$13)=0,10^12,OFFSET(CRONOPLE!$F$15,$M225-$A$15,BS$13)))</f>
        <v>0</v>
      </c>
      <c r="BT225" s="171">
        <f ca="1">IF(OR($D225&lt;&gt;"Serviço",AND(AUTOEVENTO="Manual",$M225=$A$15)),0,
         IF(OFFSET(CRONOPLE!$F$15,$M225-$A$15,BT$13)=0,10^12,OFFSET(CRONOPLE!$F$15,$M225-$A$15,BT$13)))</f>
        <v>0</v>
      </c>
      <c r="BU225" s="171">
        <f ca="1">IF(OR($D225&lt;&gt;"Serviço",AND(AUTOEVENTO="Manual",$M225=$A$15)),0,
         IF(OFFSET(CRONOPLE!$F$15,$M225-$A$15,BU$13)=0,10^12,OFFSET(CRONOPLE!$F$15,$M225-$A$15,BU$13)))</f>
        <v>0</v>
      </c>
      <c r="BV225" s="171">
        <f ca="1">IF(OR($D225&lt;&gt;"Serviço",AND(AUTOEVENTO="Manual",$M225=$A$15)),0,
         IF(OFFSET(CRONOPLE!$F$15,$M225-$A$15,BV$13)=0,10^12,OFFSET(CRONOPLE!$F$15,$M225-$A$15,BV$13)))</f>
        <v>0</v>
      </c>
      <c r="BW225" s="171">
        <f ca="1">IF(OR($D225&lt;&gt;"Serviço",AND(AUTOEVENTO="Manual",$M225=$A$15)),0,
         IF(OFFSET(CRONOPLE!$F$15,$M225-$A$15,BW$13)=0,10^12,OFFSET(CRONOPLE!$F$15,$M225-$A$15,BW$13)))</f>
        <v>0</v>
      </c>
      <c r="BX225" s="171">
        <f ca="1">IF(OR($D225&lt;&gt;"Serviço",AND(AUTOEVENTO="Manual",$M225=$A$15)),0,
         IF(OFFSET(CRONOPLE!$F$15,$M225-$A$15,BX$13)=0,10^12,OFFSET(CRONOPLE!$F$15,$M225-$A$15,BX$13)))</f>
        <v>0</v>
      </c>
      <c r="BY225" s="171">
        <f ca="1">IF(OR($D225&lt;&gt;"Serviço",AND(AUTOEVENTO="Manual",$M225=$A$15)),0,
         IF(OFFSET(CRONOPLE!$F$15,$M225-$A$15,BY$13)=0,10^12,OFFSET(CRONOPLE!$F$15,$M225-$A$15,BY$13)))</f>
        <v>0</v>
      </c>
      <c r="BZ225" s="171">
        <f ca="1">IF(OR($D225&lt;&gt;"Serviço",AND(AUTOEVENTO="Manual",$M225=$A$15)),0,
         IF(OFFSET(CRONOPLE!$F$15,$M225-$A$15,BZ$13)=0,10^12,OFFSET(CRONOPLE!$F$15,$M225-$A$15,BZ$13)))</f>
        <v>0</v>
      </c>
      <c r="CA225" s="171">
        <f ca="1">IF(OR($D225&lt;&gt;"Serviço",AND(AUTOEVENTO="Manual",$M225=$A$15)),0,
         IF(OFFSET(CRONOPLE!$F$15,$M225-$A$15,CA$13)=0,10^12,OFFSET(CRONOPLE!$F$15,$M225-$A$15,CA$13)))</f>
        <v>0</v>
      </c>
      <c r="CB225" s="171">
        <f ca="1">IF(OR($D225&lt;&gt;"Serviço",AND(AUTOEVENTO="Manual",$M225=$A$15)),0,
         IF(OFFSET(CRONOPLE!$F$15,$M225-$A$15,CB$13)=0,10^12,OFFSET(CRONOPLE!$F$15,$M225-$A$15,CB$13)))</f>
        <v>0</v>
      </c>
      <c r="CC225" s="171">
        <f ca="1">IF(OR($D225&lt;&gt;"Serviço",AND(AUTOEVENTO="Manual",$M225=$A$15)),0,
         IF(OFFSET(CRONOPLE!$F$15,$M225-$A$15,CC$13)=0,10^12,OFFSET(CRONOPLE!$F$15,$M225-$A$15,CC$13)))</f>
        <v>0</v>
      </c>
      <c r="CD225" s="171">
        <f ca="1">IF(OR($D225&lt;&gt;"Serviço",AND(AUTOEVENTO="Manual",$M225=$A$15)),0,
         IF(OFFSET(CRONOPLE!$F$15,$M225-$A$15,CD$13)=0,10^12,OFFSET(CRONOPLE!$F$15,$M225-$A$15,CD$13)))</f>
        <v>0</v>
      </c>
      <c r="CE225" s="171">
        <f ca="1">IF(OR($D225&lt;&gt;"Serviço",AND(AUTOEVENTO="Manual",$M225=$A$15)),0,
         IF(OFFSET(CRONOPLE!$F$15,$M225-$A$15,CE$13)=0,10^12,OFFSET(CRONOPLE!$F$15,$M225-$A$15,CE$13)))</f>
        <v>0</v>
      </c>
      <c r="CF225" s="171">
        <f ca="1">IF(OR($D225&lt;&gt;"Serviço",AND(AUTOEVENTO="Manual",$M225=$A$15)),0,
         IF(OFFSET(CRONOPLE!$F$15,$M225-$A$15,CF$13)=0,10^12,OFFSET(CRONOPLE!$F$15,$M225-$A$15,CF$13)))</f>
        <v>0</v>
      </c>
      <c r="CG225" s="171">
        <f ca="1">IF(OR($D225&lt;&gt;"Serviço",AND(AUTOEVENTO="Manual",$M225=$A$15)),0,
         IF(OFFSET(CRONOPLE!$F$15,$M225-$A$15,CG$13)=0,10^12,OFFSET(CRONOPLE!$F$15,$M225-$A$15,CG$13)))</f>
        <v>0</v>
      </c>
      <c r="CH225" s="171">
        <f ca="1">IF(OR($D225&lt;&gt;"Serviço",AND(AUTOEVENTO="Manual",$M225=$A$15)),0,
         IF(OFFSET(CRONOPLE!$F$15,$M225-$A$15,CH$13)=0,10^12,OFFSET(CRONOPLE!$F$15,$M225-$A$15,CH$13)))</f>
        <v>0</v>
      </c>
      <c r="CI225" s="171">
        <f ca="1">IF(OR($D225&lt;&gt;"Serviço",AND(AUTOEVENTO="Manual",$M225=$A$15)),0,
         IF(OFFSET(CRONOPLE!$F$15,$M225-$A$15,CI$13)=0,10^12,OFFSET(CRONOPLE!$F$15,$M225-$A$15,CI$13)))</f>
        <v>0</v>
      </c>
      <c r="CJ225" s="171">
        <f ca="1">IF(OR($D225&lt;&gt;"Serviço",AND(AUTOEVENTO="Manual",$M225=$A$15)),0,
         IF(OFFSET(CRONOPLE!$F$15,$M225-$A$15,CJ$13)=0,10^12,OFFSET(CRONOPLE!$F$15,$M225-$A$15,CJ$13)))</f>
        <v>0</v>
      </c>
      <c r="CK225" s="171">
        <f ca="1">IF(OR($D225&lt;&gt;"Serviço",AND(AUTOEVENTO="Manual",$M225=$A$15)),0,
         IF(OFFSET(CRONOPLE!$F$15,$M225-$A$15,CK$13)=0,10^12,OFFSET(CRONOPLE!$F$15,$M225-$A$15,CK$13)))</f>
        <v>0</v>
      </c>
      <c r="CL225" s="171">
        <f ca="1">IF(OR($D225&lt;&gt;"Serviço",AND(AUTOEVENTO="Manual",$M225=$A$15)),0,
         IF(OFFSET(CRONOPLE!$F$15,$M225-$A$15,CL$13)=0,10^12,OFFSET(CRONOPLE!$F$15,$M225-$A$15,CL$13)))</f>
        <v>0</v>
      </c>
      <c r="CM225" s="171">
        <f ca="1">IF(OR($D225&lt;&gt;"Serviço",AND(AUTOEVENTO="Manual",$M225=$A$15)),0,
         IF(OFFSET(CRONOPLE!$F$15,$M225-$A$15,CM$13)=0,10^12,OFFSET(CRONOPLE!$F$15,$M225-$A$15,CM$13)))</f>
        <v>0</v>
      </c>
      <c r="CN225" s="171">
        <f ca="1">IF(OR($D225&lt;&gt;"Serviço",AND(AUTOEVENTO="Manual",$M225=$A$15)),0,
         IF(OFFSET(CRONOPLE!$F$15,$M225-$A$15,CN$13)=0,10^12,OFFSET(CRONOPLE!$F$15,$M225-$A$15,CN$13)))</f>
        <v>0</v>
      </c>
      <c r="CO225" s="171">
        <f ca="1">IF(OR($D225&lt;&gt;"Serviço",AND(AUTOEVENTO="Manual",$M225=$A$15)),0,
         IF(OFFSET(CRONOPLE!$F$15,$M225-$A$15,CO$13)=0,10^12,OFFSET(CRONOPLE!$F$15,$M225-$A$15,CO$13)))</f>
        <v>0</v>
      </c>
      <c r="CP225" s="171">
        <f ca="1">IF(OR($D225&lt;&gt;"Serviço",AND(AUTOEVENTO="Manual",$M225=$A$15)),0,
         IF(OFFSET(CRONOPLE!$F$15,$M225-$A$15,CP$13)=0,10^12,OFFSET(CRONOPLE!$F$15,$M225-$A$15,CP$13)))</f>
        <v>0</v>
      </c>
      <c r="CQ225" s="171">
        <f ca="1">IF(OR($D225&lt;&gt;"Serviço",AND(AUTOEVENTO="Manual",$M225=$A$15)),0,
         IF(OFFSET(CRONOPLE!$F$15,$M225-$A$15,CQ$13)=0,10^12,OFFSET(CRONOPLE!$F$15,$M225-$A$15,CQ$13)))</f>
        <v>0</v>
      </c>
      <c r="CR225" s="171">
        <f ca="1">IF(OR($D225&lt;&gt;"Serviço",AND(AUTOEVENTO="Manual",$M225=$A$15)),0,
         IF(OFFSET(CRONOPLE!$F$15,$M225-$A$15,CR$13)=0,10^12,OFFSET(CRONOPLE!$F$15,$M225-$A$15,CR$13)))</f>
        <v>0</v>
      </c>
      <c r="CT225" s="172" cm="1">
        <f t="array" aca="1" ref="CT225" ca="1">IF(OR($D225&lt;&gt;"Serviço",AND(AUTOEVENTO="Manual",$M225=$A$15),$M225&gt;(ROW(PLE.lastrow)-ROW(PLE.firstrow))),0,
           IF(OFFSET(PLE!$G$15,$M225-$A$15,CT$13)="",10^12,OFFSET(PLE!$G$15,$M225-$A$15,CT$13)))</f>
        <v>0</v>
      </c>
      <c r="CU225" s="172" cm="1">
        <f t="array" aca="1" ref="CU225" ca="1">IF(OR($D225&lt;&gt;"Serviço",AND(AUTOEVENTO="Manual",$M225=$A$15),$M225&gt;(ROW(PLE.lastrow)-ROW(PLE.firstrow))),0,
           IF(OFFSET(PLE!$G$15,$M225-$A$15,CU$13)="",10^12,OFFSET(PLE!$G$15,$M225-$A$15,CU$13)))</f>
        <v>0</v>
      </c>
      <c r="CV225" s="172" cm="1">
        <f t="array" aca="1" ref="CV225" ca="1">IF(OR($D225&lt;&gt;"Serviço",AND(AUTOEVENTO="Manual",$M225=$A$15),$M225&gt;(ROW(PLE.lastrow)-ROW(PLE.firstrow))),0,
           IF(OFFSET(PLE!$G$15,$M225-$A$15,CV$13)="",10^12,OFFSET(PLE!$G$15,$M225-$A$15,CV$13)))</f>
        <v>0</v>
      </c>
      <c r="CW225" s="172" cm="1">
        <f t="array" aca="1" ref="CW225" ca="1">IF(OR($D225&lt;&gt;"Serviço",AND(AUTOEVENTO="Manual",$M225=$A$15),$M225&gt;(ROW(PLE.lastrow)-ROW(PLE.firstrow))),0,
           IF(OFFSET(PLE!$G$15,$M225-$A$15,CW$13)="",10^12,OFFSET(PLE!$G$15,$M225-$A$15,CW$13)))</f>
        <v>0</v>
      </c>
      <c r="CX225" s="172" cm="1">
        <f t="array" aca="1" ref="CX225" ca="1">IF(OR($D225&lt;&gt;"Serviço",AND(AUTOEVENTO="Manual",$M225=$A$15),$M225&gt;(ROW(PLE.lastrow)-ROW(PLE.firstrow))),0,
           IF(OFFSET(PLE!$G$15,$M225-$A$15,CX$13)="",10^12,OFFSET(PLE!$G$15,$M225-$A$15,CX$13)))</f>
        <v>0</v>
      </c>
      <c r="CY225" s="172" cm="1">
        <f t="array" aca="1" ref="CY225" ca="1">IF(OR($D225&lt;&gt;"Serviço",AND(AUTOEVENTO="Manual",$M225=$A$15),$M225&gt;(ROW(PLE.lastrow)-ROW(PLE.firstrow))),0,
           IF(OFFSET(PLE!$G$15,$M225-$A$15,CY$13)="",10^12,OFFSET(PLE!$G$15,$M225-$A$15,CY$13)))</f>
        <v>0</v>
      </c>
      <c r="CZ225" s="172" cm="1">
        <f t="array" aca="1" ref="CZ225" ca="1">IF(OR($D225&lt;&gt;"Serviço",AND(AUTOEVENTO="Manual",$M225=$A$15),$M225&gt;(ROW(PLE.lastrow)-ROW(PLE.firstrow))),0,
           IF(OFFSET(PLE!$G$15,$M225-$A$15,CZ$13)="",10^12,OFFSET(PLE!$G$15,$M225-$A$15,CZ$13)))</f>
        <v>0</v>
      </c>
      <c r="DA225" s="172" cm="1">
        <f t="array" aca="1" ref="DA225" ca="1">IF(OR($D225&lt;&gt;"Serviço",AND(AUTOEVENTO="Manual",$M225=$A$15),$M225&gt;(ROW(PLE.lastrow)-ROW(PLE.firstrow))),0,
           IF(OFFSET(PLE!$G$15,$M225-$A$15,DA$13)="",10^12,OFFSET(PLE!$G$15,$M225-$A$15,DA$13)))</f>
        <v>0</v>
      </c>
      <c r="DB225" s="172" cm="1">
        <f t="array" aca="1" ref="DB225" ca="1">IF(OR($D225&lt;&gt;"Serviço",AND(AUTOEVENTO="Manual",$M225=$A$15),$M225&gt;(ROW(PLE.lastrow)-ROW(PLE.firstrow))),0,
           IF(OFFSET(PLE!$G$15,$M225-$A$15,DB$13)="",10^12,OFFSET(PLE!$G$15,$M225-$A$15,DB$13)))</f>
        <v>0</v>
      </c>
      <c r="DC225" s="172" cm="1">
        <f t="array" aca="1" ref="DC225" ca="1">IF(OR($D225&lt;&gt;"Serviço",AND(AUTOEVENTO="Manual",$M225=$A$15),$M225&gt;(ROW(PLE.lastrow)-ROW(PLE.firstrow))),0,
           IF(OFFSET(PLE!$G$15,$M225-$A$15,DC$13)="",10^12,OFFSET(PLE!$G$15,$M225-$A$15,DC$13)))</f>
        <v>0</v>
      </c>
      <c r="DD225" s="172" cm="1">
        <f t="array" aca="1" ref="DD225" ca="1">IF(OR($D225&lt;&gt;"Serviço",AND(AUTOEVENTO="Manual",$M225=$A$15),$M225&gt;(ROW(PLE.lastrow)-ROW(PLE.firstrow))),0,
           IF(OFFSET(PLE!$G$15,$M225-$A$15,DD$13)="",10^12,OFFSET(PLE!$G$15,$M225-$A$15,DD$13)))</f>
        <v>0</v>
      </c>
      <c r="DE225" s="172" cm="1">
        <f t="array" aca="1" ref="DE225" ca="1">IF(OR($D225&lt;&gt;"Serviço",AND(AUTOEVENTO="Manual",$M225=$A$15),$M225&gt;(ROW(PLE.lastrow)-ROW(PLE.firstrow))),0,
           IF(OFFSET(PLE!$G$15,$M225-$A$15,DE$13)="",10^12,OFFSET(PLE!$G$15,$M225-$A$15,DE$13)))</f>
        <v>0</v>
      </c>
      <c r="DF225" s="172" cm="1">
        <f t="array" aca="1" ref="DF225" ca="1">IF(OR($D225&lt;&gt;"Serviço",AND(AUTOEVENTO="Manual",$M225=$A$15),$M225&gt;(ROW(PLE.lastrow)-ROW(PLE.firstrow))),0,
           IF(OFFSET(PLE!$G$15,$M225-$A$15,DF$13)="",10^12,OFFSET(PLE!$G$15,$M225-$A$15,DF$13)))</f>
        <v>0</v>
      </c>
      <c r="DG225" s="172" cm="1">
        <f t="array" aca="1" ref="DG225" ca="1">IF(OR($D225&lt;&gt;"Serviço",AND(AUTOEVENTO="Manual",$M225=$A$15),$M225&gt;(ROW(PLE.lastrow)-ROW(PLE.firstrow))),0,
           IF(OFFSET(PLE!$G$15,$M225-$A$15,DG$13)="",10^12,OFFSET(PLE!$G$15,$M225-$A$15,DG$13)))</f>
        <v>0</v>
      </c>
      <c r="DH225" s="172" cm="1">
        <f t="array" aca="1" ref="DH225" ca="1">IF(OR($D225&lt;&gt;"Serviço",AND(AUTOEVENTO="Manual",$M225=$A$15),$M225&gt;(ROW(PLE.lastrow)-ROW(PLE.firstrow))),0,
           IF(OFFSET(PLE!$G$15,$M225-$A$15,DH$13)="",10^12,OFFSET(PLE!$G$15,$M225-$A$15,DH$13)))</f>
        <v>0</v>
      </c>
      <c r="DI225" s="172" cm="1">
        <f t="array" aca="1" ref="DI225" ca="1">IF(OR($D225&lt;&gt;"Serviço",AND(AUTOEVENTO="Manual",$M225=$A$15),$M225&gt;(ROW(PLE.lastrow)-ROW(PLE.firstrow))),0,
           IF(OFFSET(PLE!$G$15,$M225-$A$15,DI$13)="",10^12,OFFSET(PLE!$G$15,$M225-$A$15,DI$13)))</f>
        <v>0</v>
      </c>
      <c r="DJ225" s="172" cm="1">
        <f t="array" aca="1" ref="DJ225" ca="1">IF(OR($D225&lt;&gt;"Serviço",AND(AUTOEVENTO="Manual",$M225=$A$15),$M225&gt;(ROW(PLE.lastrow)-ROW(PLE.firstrow))),0,
           IF(OFFSET(PLE!$G$15,$M225-$A$15,DJ$13)="",10^12,OFFSET(PLE!$G$15,$M225-$A$15,DJ$13)))</f>
        <v>0</v>
      </c>
      <c r="DK225" s="172" cm="1">
        <f t="array" aca="1" ref="DK225" ca="1">IF(OR($D225&lt;&gt;"Serviço",AND(AUTOEVENTO="Manual",$M225=$A$15),$M225&gt;(ROW(PLE.lastrow)-ROW(PLE.firstrow))),0,
           IF(OFFSET(PLE!$G$15,$M225-$A$15,DK$13)="",10^12,OFFSET(PLE!$G$15,$M225-$A$15,DK$13)))</f>
        <v>0</v>
      </c>
      <c r="DL225" s="172" cm="1">
        <f t="array" aca="1" ref="DL225" ca="1">IF(OR($D225&lt;&gt;"Serviço",AND(AUTOEVENTO="Manual",$M225=$A$15),$M225&gt;(ROW(PLE.lastrow)-ROW(PLE.firstrow))),0,
           IF(OFFSET(PLE!$G$15,$M225-$A$15,DL$13)="",10^12,OFFSET(PLE!$G$15,$M225-$A$15,DL$13)))</f>
        <v>0</v>
      </c>
      <c r="DM225" s="172" cm="1">
        <f t="array" aca="1" ref="DM225" ca="1">IF(OR($D225&lt;&gt;"Serviço",AND(AUTOEVENTO="Manual",$M225=$A$15),$M225&gt;(ROW(PLE.lastrow)-ROW(PLE.firstrow))),0,
           IF(OFFSET(PLE!$G$15,$M225-$A$15,DM$13)="",10^12,OFFSET(PLE!$G$15,$M225-$A$15,DM$13)))</f>
        <v>0</v>
      </c>
      <c r="DN225" s="172" cm="1">
        <f t="array" aca="1" ref="DN225" ca="1">IF(OR($D225&lt;&gt;"Serviço",AND(AUTOEVENTO="Manual",$M225=$A$15),$M225&gt;(ROW(PLE.lastrow)-ROW(PLE.firstrow))),0,
           IF(OFFSET(PLE!$G$15,$M225-$A$15,DN$13)="",10^12,OFFSET(PLE!$G$15,$M225-$A$15,DN$13)))</f>
        <v>0</v>
      </c>
      <c r="DO225" s="172" cm="1">
        <f t="array" aca="1" ref="DO225" ca="1">IF(OR($D225&lt;&gt;"Serviço",AND(AUTOEVENTO="Manual",$M225=$A$15),$M225&gt;(ROW(PLE.lastrow)-ROW(PLE.firstrow))),0,
           IF(OFFSET(PLE!$G$15,$M225-$A$15,DO$13)="",10^12,OFFSET(PLE!$G$15,$M225-$A$15,DO$13)))</f>
        <v>0</v>
      </c>
      <c r="DP225" s="172" cm="1">
        <f t="array" aca="1" ref="DP225" ca="1">IF(OR($D225&lt;&gt;"Serviço",AND(AUTOEVENTO="Manual",$M225=$A$15),$M225&gt;(ROW(PLE.lastrow)-ROW(PLE.firstrow))),0,
           IF(OFFSET(PLE!$G$15,$M225-$A$15,DP$13)="",10^12,OFFSET(PLE!$G$15,$M225-$A$15,DP$13)))</f>
        <v>0</v>
      </c>
      <c r="DQ225" s="172" cm="1">
        <f t="array" aca="1" ref="DQ225" ca="1">IF(OR($D225&lt;&gt;"Serviço",AND(AUTOEVENTO="Manual",$M225=$A$15),$M225&gt;(ROW(PLE.lastrow)-ROW(PLE.firstrow))),0,
           IF(OFFSET(PLE!$G$15,$M225-$A$15,DQ$13)="",10^12,OFFSET(PLE!$G$15,$M225-$A$15,DQ$13)))</f>
        <v>0</v>
      </c>
      <c r="DR225" s="172" cm="1">
        <f t="array" aca="1" ref="DR225" ca="1">IF(OR($D225&lt;&gt;"Serviço",AND(AUTOEVENTO="Manual",$M225=$A$15),$M225&gt;(ROW(PLE.lastrow)-ROW(PLE.firstrow))),0,
           IF(OFFSET(PLE!$G$15,$M225-$A$15,DR$13)="",10^12,OFFSET(PLE!$G$15,$M225-$A$15,DR$13)))</f>
        <v>0</v>
      </c>
      <c r="DS225" s="172" cm="1">
        <f t="array" aca="1" ref="DS225" ca="1">IF(OR($D225&lt;&gt;"Serviço",AND(AUTOEVENTO="Manual",$M225=$A$15),$M225&gt;(ROW(PLE.lastrow)-ROW(PLE.firstrow))),0,
           IF(OFFSET(PLE!$G$15,$M225-$A$15,DS$13)="",10^12,OFFSET(PLE!$G$15,$M225-$A$15,DS$13)))</f>
        <v>0</v>
      </c>
    </row>
    <row r="226" spans="1:123" ht="38.25" x14ac:dyDescent="0.2">
      <c r="A226" s="7">
        <f t="shared" ca="1" si="19"/>
        <v>9</v>
      </c>
      <c r="B226" s="7" t="str">
        <f ca="1">OFFSET(ORÇAMENTO!C$15,$L226,0)</f>
        <v>S</v>
      </c>
      <c r="C226" s="7" t="str">
        <f ca="1">OFFSET(ORÇAMENTO!L$15,$L226,0)</f>
        <v/>
      </c>
      <c r="D226" s="116" t="str">
        <f ca="1">OFFSET(ORÇAMENTO!N$15,$L226,0)</f>
        <v>Serviço</v>
      </c>
      <c r="E226" s="117" t="str">
        <f ca="1">OFFSET(ORÇAMENTO!O$15,$L226,0)</f>
        <v>-</v>
      </c>
      <c r="F226" s="163" t="str">
        <f ca="1">OFFSET(ORÇAMENTO!R$15,$L226,0)</f>
        <v>(Código não identificado nas referências)</v>
      </c>
      <c r="G226" s="164" t="str">
        <f ca="1">IF($D226&lt;&gt;"Serviço","",OFFSET(ORÇAMENTO!S$15,$L226,0))</f>
        <v>-</v>
      </c>
      <c r="H226" s="122" cm="1">
        <f t="array" aca="1" ref="H226" ca="1">IF($D226&lt;&gt;"Serviço",0,IF(ACOMPANHAMENTO="BM",ROUND(OFFSET(ORÇAMENTO!AJ$15,$L226,0),15-13*ORÇAMENTO!$AF$7),IF(IFERROR(CÁLCULO.FrentesPreenchidas,0)=0,0,SUM(ROUND(OFFSET($P226,0,1,1,CÁLCULO.FrentesPreenchidas),15-13*ORÇAMENTO!$AF$7)))))</f>
        <v>20</v>
      </c>
      <c r="I226" s="468" t="s">
        <v>1235</v>
      </c>
      <c r="J226" s="651" t="str" cm="1">
        <f t="array" aca="1" ref="J226" ca="1">IF(OR(B226&lt;&gt;"S",CÁLCULO.FrentesPreenchidas=0),"",IF(AND(ACOMPANHAMENTO="PLE",AUTOEVENTO="Manual",OR(H226&gt;0,ORÇAMENTO!AC226="QUANT."),OR(K226="",M226=0,N226="")),"►E",IF(AND(ACOMPANHAMENTO="PLE",ORÇAMENTO!AC226="QUANT."),"►Q",IF(AND(ACOMPANHAMENTO="PLE",H226&lt;&gt;SUMPRODUCT(($Q$1:$AQ$1=1)*ROUND(Q226:AQ226,15))),"►S",IF(AND(COUNTIF($P$11:$AQ$11,"▼")=0,H226&gt;0,I226=""),"◄M","")))))</f>
        <v/>
      </c>
      <c r="K226" s="652" t="s">
        <v>1257</v>
      </c>
      <c r="L226" s="165">
        <f t="shared" ca="1" si="20"/>
        <v>211</v>
      </c>
      <c r="M226" s="166">
        <f ca="1">IF($D226&lt;&gt;"Serviço","",
          IF(AUTOEVENTO="manual",$A226,
                IF(ISERROR(MATCH($A226,$A$15:OFFSET($A226,-1,0),0)),MAX($M$15:OFFSET(M226,-1,0))+1,
                      INDEX($M$15:OFFSET(M226,-1,0),MATCH($A226,$A$15:OFFSET($A226,-1,0),0)))))</f>
        <v>9</v>
      </c>
      <c r="N226" s="167" t="str">
        <f ca="1">IF($D226&lt;&gt;"Serviço","",
         IF(AUTOEVENTO="Manual",
                IF($A226=0,"&lt;-- defina o número do agrupador",
                       OFFSET(EVENTOS!$D$15,$A226-$A$15,0)),
                OFFSET($F$15,$A226,0)))</f>
        <v>INSTALAÇÕES</v>
      </c>
      <c r="O226" s="168"/>
      <c r="Q226" s="168">
        <v>1</v>
      </c>
      <c r="R226" s="169">
        <v>1</v>
      </c>
      <c r="S226" s="169">
        <v>1</v>
      </c>
      <c r="T226" s="169">
        <v>1</v>
      </c>
      <c r="U226" s="169">
        <v>1</v>
      </c>
      <c r="V226" s="169">
        <v>1</v>
      </c>
      <c r="W226" s="169">
        <v>1</v>
      </c>
      <c r="X226" s="169">
        <v>1</v>
      </c>
      <c r="Y226" s="169">
        <v>1</v>
      </c>
      <c r="Z226" s="170">
        <v>1</v>
      </c>
      <c r="AA226" s="169">
        <v>1</v>
      </c>
      <c r="AB226" s="169">
        <v>1</v>
      </c>
      <c r="AC226" s="169">
        <v>1</v>
      </c>
      <c r="AD226" s="169">
        <v>1</v>
      </c>
      <c r="AE226" s="169">
        <v>1</v>
      </c>
      <c r="AF226" s="169">
        <v>1</v>
      </c>
      <c r="AG226" s="169">
        <v>1</v>
      </c>
      <c r="AH226" s="170">
        <v>1</v>
      </c>
      <c r="AI226" s="169">
        <v>1</v>
      </c>
      <c r="AJ226" s="169">
        <v>1</v>
      </c>
      <c r="AK226" s="169"/>
      <c r="AL226" s="169"/>
      <c r="AM226" s="169"/>
      <c r="AN226" s="169"/>
      <c r="AO226" s="169"/>
      <c r="AP226" s="170"/>
      <c r="AR226" s="453">
        <f ca="1">IF(AND($D226="Serviço",AR$12&lt;&gt;0,$H226&gt;0,OR(AUTOEVENTO&lt;&gt;"manual",$M226&lt;&gt;$A$15)),
        IF(Import.TipoArredondamento&lt;&gt;"TransfereGOV",
              ROUND(OFFSET($P226,0,AR$13),15-13*ORÇAMENTO!$AF$7)/$H226*OFFSET(ORÇAMENTO!$X$15,ROW(AR226)-ROW(AR$15),0),
              ROUND(ROUND(OFFSET($P226,0,AR$13),15-13*ORÇAMENTO!$AF$7)*OFFSET(ORÇAMENTO!$W$15,ROW(AR226)-ROW(AR$15),0),15-13*ORÇAMENTO!$AF$11)),
         0)</f>
        <v>0</v>
      </c>
      <c r="AS226" s="453">
        <f ca="1">IF(AND($D226="Serviço",AS$12&lt;&gt;0,$H226&gt;0,OR(AUTOEVENTO&lt;&gt;"manual",$M226&lt;&gt;$A$15)),
        IF(Import.TipoArredondamento&lt;&gt;"TransfereGOV",
              ROUND(OFFSET($P226,0,AS$13),15-13*ORÇAMENTO!$AF$7)/$H226*OFFSET(ORÇAMENTO!$X$15,ROW(AS226)-ROW(AS$15),0),
              ROUND(ROUND(OFFSET($P226,0,AS$13),15-13*ORÇAMENTO!$AF$7)*OFFSET(ORÇAMENTO!$W$15,ROW(AS226)-ROW(AS$15),0),15-13*ORÇAMENTO!$AF$11)),
         0)</f>
        <v>0</v>
      </c>
      <c r="AT226" s="453">
        <f ca="1">IF(AND($D226="Serviço",AT$12&lt;&gt;0,$H226&gt;0,OR(AUTOEVENTO&lt;&gt;"manual",$M226&lt;&gt;$A$15)),
        IF(Import.TipoArredondamento&lt;&gt;"TransfereGOV",
              ROUND(OFFSET($P226,0,AT$13),15-13*ORÇAMENTO!$AF$7)/$H226*OFFSET(ORÇAMENTO!$X$15,ROW(AT226)-ROW(AT$15),0),
              ROUND(ROUND(OFFSET($P226,0,AT$13),15-13*ORÇAMENTO!$AF$7)*OFFSET(ORÇAMENTO!$W$15,ROW(AT226)-ROW(AT$15),0),15-13*ORÇAMENTO!$AF$11)),
         0)</f>
        <v>0</v>
      </c>
      <c r="AU226" s="453">
        <f ca="1">IF(AND($D226="Serviço",AU$12&lt;&gt;0,$H226&gt;0,OR(AUTOEVENTO&lt;&gt;"manual",$M226&lt;&gt;$A$15)),
        IF(Import.TipoArredondamento&lt;&gt;"TransfereGOV",
              ROUND(OFFSET($P226,0,AU$13),15-13*ORÇAMENTO!$AF$7)/$H226*OFFSET(ORÇAMENTO!$X$15,ROW(AU226)-ROW(AU$15),0),
              ROUND(ROUND(OFFSET($P226,0,AU$13),15-13*ORÇAMENTO!$AF$7)*OFFSET(ORÇAMENTO!$W$15,ROW(AU226)-ROW(AU$15),0),15-13*ORÇAMENTO!$AF$11)),
         0)</f>
        <v>0</v>
      </c>
      <c r="AV226" s="453">
        <f ca="1">IF(AND($D226="Serviço",AV$12&lt;&gt;0,$H226&gt;0,OR(AUTOEVENTO&lt;&gt;"manual",$M226&lt;&gt;$A$15)),
        IF(Import.TipoArredondamento&lt;&gt;"TransfereGOV",
              ROUND(OFFSET($P226,0,AV$13),15-13*ORÇAMENTO!$AF$7)/$H226*OFFSET(ORÇAMENTO!$X$15,ROW(AV226)-ROW(AV$15),0),
              ROUND(ROUND(OFFSET($P226,0,AV$13),15-13*ORÇAMENTO!$AF$7)*OFFSET(ORÇAMENTO!$W$15,ROW(AV226)-ROW(AV$15),0),15-13*ORÇAMENTO!$AF$11)),
         0)</f>
        <v>0</v>
      </c>
      <c r="AW226" s="453">
        <f ca="1">IF(AND($D226="Serviço",AW$12&lt;&gt;0,$H226&gt;0,OR(AUTOEVENTO&lt;&gt;"manual",$M226&lt;&gt;$A$15)),
        IF(Import.TipoArredondamento&lt;&gt;"TransfereGOV",
              ROUND(OFFSET($P226,0,AW$13),15-13*ORÇAMENTO!$AF$7)/$H226*OFFSET(ORÇAMENTO!$X$15,ROW(AW226)-ROW(AW$15),0),
              ROUND(ROUND(OFFSET($P226,0,AW$13),15-13*ORÇAMENTO!$AF$7)*OFFSET(ORÇAMENTO!$W$15,ROW(AW226)-ROW(AW$15),0),15-13*ORÇAMENTO!$AF$11)),
         0)</f>
        <v>0</v>
      </c>
      <c r="AX226" s="453">
        <f ca="1">IF(AND($D226="Serviço",AX$12&lt;&gt;0,$H226&gt;0,OR(AUTOEVENTO&lt;&gt;"manual",$M226&lt;&gt;$A$15)),
        IF(Import.TipoArredondamento&lt;&gt;"TransfereGOV",
              ROUND(OFFSET($P226,0,AX$13),15-13*ORÇAMENTO!$AF$7)/$H226*OFFSET(ORÇAMENTO!$X$15,ROW(AX226)-ROW(AX$15),0),
              ROUND(ROUND(OFFSET($P226,0,AX$13),15-13*ORÇAMENTO!$AF$7)*OFFSET(ORÇAMENTO!$W$15,ROW(AX226)-ROW(AX$15),0),15-13*ORÇAMENTO!$AF$11)),
         0)</f>
        <v>0</v>
      </c>
      <c r="AY226" s="453">
        <f ca="1">IF(AND($D226="Serviço",AY$12&lt;&gt;0,$H226&gt;0,OR(AUTOEVENTO&lt;&gt;"manual",$M226&lt;&gt;$A$15)),
        IF(Import.TipoArredondamento&lt;&gt;"TransfereGOV",
              ROUND(OFFSET($P226,0,AY$13),15-13*ORÇAMENTO!$AF$7)/$H226*OFFSET(ORÇAMENTO!$X$15,ROW(AY226)-ROW(AY$15),0),
              ROUND(ROUND(OFFSET($P226,0,AY$13),15-13*ORÇAMENTO!$AF$7)*OFFSET(ORÇAMENTO!$W$15,ROW(AY226)-ROW(AY$15),0),15-13*ORÇAMENTO!$AF$11)),
         0)</f>
        <v>0</v>
      </c>
      <c r="AZ226" s="453">
        <f ca="1">IF(AND($D226="Serviço",AZ$12&lt;&gt;0,$H226&gt;0,OR(AUTOEVENTO&lt;&gt;"manual",$M226&lt;&gt;$A$15)),
        IF(Import.TipoArredondamento&lt;&gt;"TransfereGOV",
              ROUND(OFFSET($P226,0,AZ$13),15-13*ORÇAMENTO!$AF$7)/$H226*OFFSET(ORÇAMENTO!$X$15,ROW(AZ226)-ROW(AZ$15),0),
              ROUND(ROUND(OFFSET($P226,0,AZ$13),15-13*ORÇAMENTO!$AF$7)*OFFSET(ORÇAMENTO!$W$15,ROW(AZ226)-ROW(AZ$15),0),15-13*ORÇAMENTO!$AF$11)),
         0)</f>
        <v>0</v>
      </c>
      <c r="BA226" s="453">
        <f ca="1">IF(AND($D226="Serviço",BA$12&lt;&gt;0,$H226&gt;0,OR(AUTOEVENTO&lt;&gt;"manual",$M226&lt;&gt;$A$15)),
        IF(Import.TipoArredondamento&lt;&gt;"TransfereGOV",
              ROUND(OFFSET($P226,0,BA$13),15-13*ORÇAMENTO!$AF$7)/$H226*OFFSET(ORÇAMENTO!$X$15,ROW(BA226)-ROW(BA$15),0),
              ROUND(ROUND(OFFSET($P226,0,BA$13),15-13*ORÇAMENTO!$AF$7)*OFFSET(ORÇAMENTO!$W$15,ROW(BA226)-ROW(BA$15),0),15-13*ORÇAMENTO!$AF$11)),
         0)</f>
        <v>0</v>
      </c>
      <c r="BB226" s="453">
        <f ca="1">IF(AND($D226="Serviço",BB$12&lt;&gt;0,$H226&gt;0,OR(AUTOEVENTO&lt;&gt;"manual",$M226&lt;&gt;$A$15)),
        IF(Import.TipoArredondamento&lt;&gt;"TransfereGOV",
              ROUND(OFFSET($P226,0,BB$13),15-13*ORÇAMENTO!$AF$7)/$H226*OFFSET(ORÇAMENTO!$X$15,ROW(BB226)-ROW(BB$15),0),
              ROUND(ROUND(OFFSET($P226,0,BB$13),15-13*ORÇAMENTO!$AF$7)*OFFSET(ORÇAMENTO!$W$15,ROW(BB226)-ROW(BB$15),0),15-13*ORÇAMENTO!$AF$11)),
         0)</f>
        <v>0</v>
      </c>
      <c r="BC226" s="453">
        <f ca="1">IF(AND($D226="Serviço",BC$12&lt;&gt;0,$H226&gt;0,OR(AUTOEVENTO&lt;&gt;"manual",$M226&lt;&gt;$A$15)),
        IF(Import.TipoArredondamento&lt;&gt;"TransfereGOV",
              ROUND(OFFSET($P226,0,BC$13),15-13*ORÇAMENTO!$AF$7)/$H226*OFFSET(ORÇAMENTO!$X$15,ROW(BC226)-ROW(BC$15),0),
              ROUND(ROUND(OFFSET($P226,0,BC$13),15-13*ORÇAMENTO!$AF$7)*OFFSET(ORÇAMENTO!$W$15,ROW(BC226)-ROW(BC$15),0),15-13*ORÇAMENTO!$AF$11)),
         0)</f>
        <v>0</v>
      </c>
      <c r="BD226" s="453">
        <f ca="1">IF(AND($D226="Serviço",BD$12&lt;&gt;0,$H226&gt;0,OR(AUTOEVENTO&lt;&gt;"manual",$M226&lt;&gt;$A$15)),
        IF(Import.TipoArredondamento&lt;&gt;"TransfereGOV",
              ROUND(OFFSET($P226,0,BD$13),15-13*ORÇAMENTO!$AF$7)/$H226*OFFSET(ORÇAMENTO!$X$15,ROW(BD226)-ROW(BD$15),0),
              ROUND(ROUND(OFFSET($P226,0,BD$13),15-13*ORÇAMENTO!$AF$7)*OFFSET(ORÇAMENTO!$W$15,ROW(BD226)-ROW(BD$15),0),15-13*ORÇAMENTO!$AF$11)),
         0)</f>
        <v>0</v>
      </c>
      <c r="BE226" s="453">
        <f ca="1">IF(AND($D226="Serviço",BE$12&lt;&gt;0,$H226&gt;0,OR(AUTOEVENTO&lt;&gt;"manual",$M226&lt;&gt;$A$15)),
        IF(Import.TipoArredondamento&lt;&gt;"TransfereGOV",
              ROUND(OFFSET($P226,0,BE$13),15-13*ORÇAMENTO!$AF$7)/$H226*OFFSET(ORÇAMENTO!$X$15,ROW(BE226)-ROW(BE$15),0),
              ROUND(ROUND(OFFSET($P226,0,BE$13),15-13*ORÇAMENTO!$AF$7)*OFFSET(ORÇAMENTO!$W$15,ROW(BE226)-ROW(BE$15),0),15-13*ORÇAMENTO!$AF$11)),
         0)</f>
        <v>0</v>
      </c>
      <c r="BF226" s="453">
        <f ca="1">IF(AND($D226="Serviço",BF$12&lt;&gt;0,$H226&gt;0,OR(AUTOEVENTO&lt;&gt;"manual",$M226&lt;&gt;$A$15)),
        IF(Import.TipoArredondamento&lt;&gt;"TransfereGOV",
              ROUND(OFFSET($P226,0,BF$13),15-13*ORÇAMENTO!$AF$7)/$H226*OFFSET(ORÇAMENTO!$X$15,ROW(BF226)-ROW(BF$15),0),
              ROUND(ROUND(OFFSET($P226,0,BF$13),15-13*ORÇAMENTO!$AF$7)*OFFSET(ORÇAMENTO!$W$15,ROW(BF226)-ROW(BF$15),0),15-13*ORÇAMENTO!$AF$11)),
         0)</f>
        <v>0</v>
      </c>
      <c r="BG226" s="453">
        <f ca="1">IF(AND($D226="Serviço",BG$12&lt;&gt;0,$H226&gt;0,OR(AUTOEVENTO&lt;&gt;"manual",$M226&lt;&gt;$A$15)),
        IF(Import.TipoArredondamento&lt;&gt;"TransfereGOV",
              ROUND(OFFSET($P226,0,BG$13),15-13*ORÇAMENTO!$AF$7)/$H226*OFFSET(ORÇAMENTO!$X$15,ROW(BG226)-ROW(BG$15),0),
              ROUND(ROUND(OFFSET($P226,0,BG$13),15-13*ORÇAMENTO!$AF$7)*OFFSET(ORÇAMENTO!$W$15,ROW(BG226)-ROW(BG$15),0),15-13*ORÇAMENTO!$AF$11)),
         0)</f>
        <v>0</v>
      </c>
      <c r="BH226" s="453">
        <f ca="1">IF(AND($D226="Serviço",BH$12&lt;&gt;0,$H226&gt;0,OR(AUTOEVENTO&lt;&gt;"manual",$M226&lt;&gt;$A$15)),
        IF(Import.TipoArredondamento&lt;&gt;"TransfereGOV",
              ROUND(OFFSET($P226,0,BH$13),15-13*ORÇAMENTO!$AF$7)/$H226*OFFSET(ORÇAMENTO!$X$15,ROW(BH226)-ROW(BH$15),0),
              ROUND(ROUND(OFFSET($P226,0,BH$13),15-13*ORÇAMENTO!$AF$7)*OFFSET(ORÇAMENTO!$W$15,ROW(BH226)-ROW(BH$15),0),15-13*ORÇAMENTO!$AF$11)),
         0)</f>
        <v>0</v>
      </c>
      <c r="BI226" s="453">
        <f ca="1">IF(AND($D226="Serviço",BI$12&lt;&gt;0,$H226&gt;0,OR(AUTOEVENTO&lt;&gt;"manual",$M226&lt;&gt;$A$15)),
        IF(Import.TipoArredondamento&lt;&gt;"TransfereGOV",
              ROUND(OFFSET($P226,0,BI$13),15-13*ORÇAMENTO!$AF$7)/$H226*OFFSET(ORÇAMENTO!$X$15,ROW(BI226)-ROW(BI$15),0),
              ROUND(ROUND(OFFSET($P226,0,BI$13),15-13*ORÇAMENTO!$AF$7)*OFFSET(ORÇAMENTO!$W$15,ROW(BI226)-ROW(BI$15),0),15-13*ORÇAMENTO!$AF$11)),
         0)</f>
        <v>0</v>
      </c>
      <c r="BJ226" s="453">
        <f ca="1">IF(AND($D226="Serviço",BJ$12&lt;&gt;0,$H226&gt;0,OR(AUTOEVENTO&lt;&gt;"manual",$M226&lt;&gt;$A$15)),
        IF(Import.TipoArredondamento&lt;&gt;"TransfereGOV",
              ROUND(OFFSET($P226,0,BJ$13),15-13*ORÇAMENTO!$AF$7)/$H226*OFFSET(ORÇAMENTO!$X$15,ROW(BJ226)-ROW(BJ$15),0),
              ROUND(ROUND(OFFSET($P226,0,BJ$13),15-13*ORÇAMENTO!$AF$7)*OFFSET(ORÇAMENTO!$W$15,ROW(BJ226)-ROW(BJ$15),0),15-13*ORÇAMENTO!$AF$11)),
         0)</f>
        <v>0</v>
      </c>
      <c r="BK226" s="453">
        <f ca="1">IF(AND($D226="Serviço",BK$12&lt;&gt;0,$H226&gt;0,OR(AUTOEVENTO&lt;&gt;"manual",$M226&lt;&gt;$A$15)),
        IF(Import.TipoArredondamento&lt;&gt;"TransfereGOV",
              ROUND(OFFSET($P226,0,BK$13),15-13*ORÇAMENTO!$AF$7)/$H226*OFFSET(ORÇAMENTO!$X$15,ROW(BK226)-ROW(BK$15),0),
              ROUND(ROUND(OFFSET($P226,0,BK$13),15-13*ORÇAMENTO!$AF$7)*OFFSET(ORÇAMENTO!$W$15,ROW(BK226)-ROW(BK$15),0),15-13*ORÇAMENTO!$AF$11)),
         0)</f>
        <v>0</v>
      </c>
      <c r="BL226" s="453">
        <f ca="1">IF(AND($D226="Serviço",BL$12&lt;&gt;0,$H226&gt;0,OR(AUTOEVENTO&lt;&gt;"manual",$M226&lt;&gt;$A$15)),
        IF(Import.TipoArredondamento&lt;&gt;"TransfereGOV",
              ROUND(OFFSET($P226,0,BL$13),15-13*ORÇAMENTO!$AF$7)/$H226*OFFSET(ORÇAMENTO!$X$15,ROW(BL226)-ROW(BL$15),0),
              ROUND(ROUND(OFFSET($P226,0,BL$13),15-13*ORÇAMENTO!$AF$7)*OFFSET(ORÇAMENTO!$W$15,ROW(BL226)-ROW(BL$15),0),15-13*ORÇAMENTO!$AF$11)),
         0)</f>
        <v>0</v>
      </c>
      <c r="BM226" s="453">
        <f ca="1">IF(AND($D226="Serviço",BM$12&lt;&gt;0,$H226&gt;0,OR(AUTOEVENTO&lt;&gt;"manual",$M226&lt;&gt;$A$15)),
        IF(Import.TipoArredondamento&lt;&gt;"TransfereGOV",
              ROUND(OFFSET($P226,0,BM$13),15-13*ORÇAMENTO!$AF$7)/$H226*OFFSET(ORÇAMENTO!$X$15,ROW(BM226)-ROW(BM$15),0),
              ROUND(ROUND(OFFSET($P226,0,BM$13),15-13*ORÇAMENTO!$AF$7)*OFFSET(ORÇAMENTO!$W$15,ROW(BM226)-ROW(BM$15),0),15-13*ORÇAMENTO!$AF$11)),
         0)</f>
        <v>0</v>
      </c>
      <c r="BN226" s="453">
        <f ca="1">IF(AND($D226="Serviço",BN$12&lt;&gt;0,$H226&gt;0,OR(AUTOEVENTO&lt;&gt;"manual",$M226&lt;&gt;$A$15)),
        IF(Import.TipoArredondamento&lt;&gt;"TransfereGOV",
              ROUND(OFFSET($P226,0,BN$13),15-13*ORÇAMENTO!$AF$7)/$H226*OFFSET(ORÇAMENTO!$X$15,ROW(BN226)-ROW(BN$15),0),
              ROUND(ROUND(OFFSET($P226,0,BN$13),15-13*ORÇAMENTO!$AF$7)*OFFSET(ORÇAMENTO!$W$15,ROW(BN226)-ROW(BN$15),0),15-13*ORÇAMENTO!$AF$11)),
         0)</f>
        <v>0</v>
      </c>
      <c r="BO226" s="453">
        <f ca="1">IF(AND($D226="Serviço",BO$12&lt;&gt;0,$H226&gt;0,OR(AUTOEVENTO&lt;&gt;"manual",$M226&lt;&gt;$A$15)),
        IF(Import.TipoArredondamento&lt;&gt;"TransfereGOV",
              ROUND(OFFSET($P226,0,BO$13),15-13*ORÇAMENTO!$AF$7)/$H226*OFFSET(ORÇAMENTO!$X$15,ROW(BO226)-ROW(BO$15),0),
              ROUND(ROUND(OFFSET($P226,0,BO$13),15-13*ORÇAMENTO!$AF$7)*OFFSET(ORÇAMENTO!$W$15,ROW(BO226)-ROW(BO$15),0),15-13*ORÇAMENTO!$AF$11)),
         0)</f>
        <v>0</v>
      </c>
      <c r="BP226" s="453">
        <f ca="1">IF(AND($D226="Serviço",BP$12&lt;&gt;0,$H226&gt;0,OR(AUTOEVENTO&lt;&gt;"manual",$M226&lt;&gt;$A$15)),
        IF(Import.TipoArredondamento&lt;&gt;"TransfereGOV",
              ROUND(OFFSET($P226,0,BP$13),15-13*ORÇAMENTO!$AF$7)/$H226*OFFSET(ORÇAMENTO!$X$15,ROW(BP226)-ROW(BP$15),0),
              ROUND(ROUND(OFFSET($P226,0,BP$13),15-13*ORÇAMENTO!$AF$7)*OFFSET(ORÇAMENTO!$W$15,ROW(BP226)-ROW(BP$15),0),15-13*ORÇAMENTO!$AF$11)),
         0)</f>
        <v>0</v>
      </c>
      <c r="BQ226" s="453">
        <f ca="1">IF(AND($D226="Serviço",BQ$12&lt;&gt;0,$H226&gt;0,OR(AUTOEVENTO&lt;&gt;"manual",$M226&lt;&gt;$A$15)),
        IF(Import.TipoArredondamento&lt;&gt;"TransfereGOV",
              ROUND(OFFSET($P226,0,BQ$13),15-13*ORÇAMENTO!$AF$7)/$H226*OFFSET(ORÇAMENTO!$X$15,ROW(BQ226)-ROW(BQ$15),0),
              ROUND(ROUND(OFFSET($P226,0,BQ$13),15-13*ORÇAMENTO!$AF$7)*OFFSET(ORÇAMENTO!$W$15,ROW(BQ226)-ROW(BQ$15),0),15-13*ORÇAMENTO!$AF$11)),
         0)</f>
        <v>0</v>
      </c>
      <c r="BS226" s="171">
        <f ca="1">IF(OR($D226&lt;&gt;"Serviço",AND(AUTOEVENTO="Manual",$M226=$A$15)),0,
         IF(OFFSET(CRONOPLE!$F$15,$M226-$A$15,BS$13)=0,10^12,OFFSET(CRONOPLE!$F$15,$M226-$A$15,BS$13)))</f>
        <v>1</v>
      </c>
      <c r="BT226" s="171">
        <f ca="1">IF(OR($D226&lt;&gt;"Serviço",AND(AUTOEVENTO="Manual",$M226=$A$15)),0,
         IF(OFFSET(CRONOPLE!$F$15,$M226-$A$15,BT$13)=0,10^12,OFFSET(CRONOPLE!$F$15,$M226-$A$15,BT$13)))</f>
        <v>2</v>
      </c>
      <c r="BU226" s="171">
        <f ca="1">IF(OR($D226&lt;&gt;"Serviço",AND(AUTOEVENTO="Manual",$M226=$A$15)),0,
         IF(OFFSET(CRONOPLE!$F$15,$M226-$A$15,BU$13)=0,10^12,OFFSET(CRONOPLE!$F$15,$M226-$A$15,BU$13)))</f>
        <v>3</v>
      </c>
      <c r="BV226" s="171">
        <f ca="1">IF(OR($D226&lt;&gt;"Serviço",AND(AUTOEVENTO="Manual",$M226=$A$15)),0,
         IF(OFFSET(CRONOPLE!$F$15,$M226-$A$15,BV$13)=0,10^12,OFFSET(CRONOPLE!$F$15,$M226-$A$15,BV$13)))</f>
        <v>4</v>
      </c>
      <c r="BW226" s="171">
        <f ca="1">IF(OR($D226&lt;&gt;"Serviço",AND(AUTOEVENTO="Manual",$M226=$A$15)),0,
         IF(OFFSET(CRONOPLE!$F$15,$M226-$A$15,BW$13)=0,10^12,OFFSET(CRONOPLE!$F$15,$M226-$A$15,BW$13)))</f>
        <v>5</v>
      </c>
      <c r="BX226" s="171">
        <f ca="1">IF(OR($D226&lt;&gt;"Serviço",AND(AUTOEVENTO="Manual",$M226=$A$15)),0,
         IF(OFFSET(CRONOPLE!$F$15,$M226-$A$15,BX$13)=0,10^12,OFFSET(CRONOPLE!$F$15,$M226-$A$15,BX$13)))</f>
        <v>6</v>
      </c>
      <c r="BY226" s="171">
        <f ca="1">IF(OR($D226&lt;&gt;"Serviço",AND(AUTOEVENTO="Manual",$M226=$A$15)),0,
         IF(OFFSET(CRONOPLE!$F$15,$M226-$A$15,BY$13)=0,10^12,OFFSET(CRONOPLE!$F$15,$M226-$A$15,BY$13)))</f>
        <v>7</v>
      </c>
      <c r="BZ226" s="171">
        <f ca="1">IF(OR($D226&lt;&gt;"Serviço",AND(AUTOEVENTO="Manual",$M226=$A$15)),0,
         IF(OFFSET(CRONOPLE!$F$15,$M226-$A$15,BZ$13)=0,10^12,OFFSET(CRONOPLE!$F$15,$M226-$A$15,BZ$13)))</f>
        <v>8</v>
      </c>
      <c r="CA226" s="171">
        <f ca="1">IF(OR($D226&lt;&gt;"Serviço",AND(AUTOEVENTO="Manual",$M226=$A$15)),0,
         IF(OFFSET(CRONOPLE!$F$15,$M226-$A$15,CA$13)=0,10^12,OFFSET(CRONOPLE!$F$15,$M226-$A$15,CA$13)))</f>
        <v>9</v>
      </c>
      <c r="CB226" s="171">
        <f ca="1">IF(OR($D226&lt;&gt;"Serviço",AND(AUTOEVENTO="Manual",$M226=$A$15)),0,
         IF(OFFSET(CRONOPLE!$F$15,$M226-$A$15,CB$13)=0,10^12,OFFSET(CRONOPLE!$F$15,$M226-$A$15,CB$13)))</f>
        <v>10</v>
      </c>
      <c r="CC226" s="171">
        <f ca="1">IF(OR($D226&lt;&gt;"Serviço",AND(AUTOEVENTO="Manual",$M226=$A$15)),0,
         IF(OFFSET(CRONOPLE!$F$15,$M226-$A$15,CC$13)=0,10^12,OFFSET(CRONOPLE!$F$15,$M226-$A$15,CC$13)))</f>
        <v>11</v>
      </c>
      <c r="CD226" s="171">
        <f ca="1">IF(OR($D226&lt;&gt;"Serviço",AND(AUTOEVENTO="Manual",$M226=$A$15)),0,
         IF(OFFSET(CRONOPLE!$F$15,$M226-$A$15,CD$13)=0,10^12,OFFSET(CRONOPLE!$F$15,$M226-$A$15,CD$13)))</f>
        <v>12</v>
      </c>
      <c r="CE226" s="171">
        <f ca="1">IF(OR($D226&lt;&gt;"Serviço",AND(AUTOEVENTO="Manual",$M226=$A$15)),0,
         IF(OFFSET(CRONOPLE!$F$15,$M226-$A$15,CE$13)=0,10^12,OFFSET(CRONOPLE!$F$15,$M226-$A$15,CE$13)))</f>
        <v>13</v>
      </c>
      <c r="CF226" s="171">
        <f ca="1">IF(OR($D226&lt;&gt;"Serviço",AND(AUTOEVENTO="Manual",$M226=$A$15)),0,
         IF(OFFSET(CRONOPLE!$F$15,$M226-$A$15,CF$13)=0,10^12,OFFSET(CRONOPLE!$F$15,$M226-$A$15,CF$13)))</f>
        <v>14</v>
      </c>
      <c r="CG226" s="171">
        <f ca="1">IF(OR($D226&lt;&gt;"Serviço",AND(AUTOEVENTO="Manual",$M226=$A$15)),0,
         IF(OFFSET(CRONOPLE!$F$15,$M226-$A$15,CG$13)=0,10^12,OFFSET(CRONOPLE!$F$15,$M226-$A$15,CG$13)))</f>
        <v>15</v>
      </c>
      <c r="CH226" s="171">
        <f ca="1">IF(OR($D226&lt;&gt;"Serviço",AND(AUTOEVENTO="Manual",$M226=$A$15)),0,
         IF(OFFSET(CRONOPLE!$F$15,$M226-$A$15,CH$13)=0,10^12,OFFSET(CRONOPLE!$F$15,$M226-$A$15,CH$13)))</f>
        <v>16</v>
      </c>
      <c r="CI226" s="171">
        <f ca="1">IF(OR($D226&lt;&gt;"Serviço",AND(AUTOEVENTO="Manual",$M226=$A$15)),0,
         IF(OFFSET(CRONOPLE!$F$15,$M226-$A$15,CI$13)=0,10^12,OFFSET(CRONOPLE!$F$15,$M226-$A$15,CI$13)))</f>
        <v>17</v>
      </c>
      <c r="CJ226" s="171">
        <f ca="1">IF(OR($D226&lt;&gt;"Serviço",AND(AUTOEVENTO="Manual",$M226=$A$15)),0,
         IF(OFFSET(CRONOPLE!$F$15,$M226-$A$15,CJ$13)=0,10^12,OFFSET(CRONOPLE!$F$15,$M226-$A$15,CJ$13)))</f>
        <v>18</v>
      </c>
      <c r="CK226" s="171">
        <f ca="1">IF(OR($D226&lt;&gt;"Serviço",AND(AUTOEVENTO="Manual",$M226=$A$15)),0,
         IF(OFFSET(CRONOPLE!$F$15,$M226-$A$15,CK$13)=0,10^12,OFFSET(CRONOPLE!$F$15,$M226-$A$15,CK$13)))</f>
        <v>19</v>
      </c>
      <c r="CL226" s="171">
        <f ca="1">IF(OR($D226&lt;&gt;"Serviço",AND(AUTOEVENTO="Manual",$M226=$A$15)),0,
         IF(OFFSET(CRONOPLE!$F$15,$M226-$A$15,CL$13)=0,10^12,OFFSET(CRONOPLE!$F$15,$M226-$A$15,CL$13)))</f>
        <v>20</v>
      </c>
      <c r="CM226" s="171">
        <f ca="1">IF(OR($D226&lt;&gt;"Serviço",AND(AUTOEVENTO="Manual",$M226=$A$15)),0,
         IF(OFFSET(CRONOPLE!$F$15,$M226-$A$15,CM$13)=0,10^12,OFFSET(CRONOPLE!$F$15,$M226-$A$15,CM$13)))</f>
        <v>1000000000000</v>
      </c>
      <c r="CN226" s="171">
        <f ca="1">IF(OR($D226&lt;&gt;"Serviço",AND(AUTOEVENTO="Manual",$M226=$A$15)),0,
         IF(OFFSET(CRONOPLE!$F$15,$M226-$A$15,CN$13)=0,10^12,OFFSET(CRONOPLE!$F$15,$M226-$A$15,CN$13)))</f>
        <v>1000000000000</v>
      </c>
      <c r="CO226" s="171">
        <f ca="1">IF(OR($D226&lt;&gt;"Serviço",AND(AUTOEVENTO="Manual",$M226=$A$15)),0,
         IF(OFFSET(CRONOPLE!$F$15,$M226-$A$15,CO$13)=0,10^12,OFFSET(CRONOPLE!$F$15,$M226-$A$15,CO$13)))</f>
        <v>1000000000000</v>
      </c>
      <c r="CP226" s="171">
        <f ca="1">IF(OR($D226&lt;&gt;"Serviço",AND(AUTOEVENTO="Manual",$M226=$A$15)),0,
         IF(OFFSET(CRONOPLE!$F$15,$M226-$A$15,CP$13)=0,10^12,OFFSET(CRONOPLE!$F$15,$M226-$A$15,CP$13)))</f>
        <v>1000000000000</v>
      </c>
      <c r="CQ226" s="171">
        <f ca="1">IF(OR($D226&lt;&gt;"Serviço",AND(AUTOEVENTO="Manual",$M226=$A$15)),0,
         IF(OFFSET(CRONOPLE!$F$15,$M226-$A$15,CQ$13)=0,10^12,OFFSET(CRONOPLE!$F$15,$M226-$A$15,CQ$13)))</f>
        <v>1000000000000</v>
      </c>
      <c r="CR226" s="171">
        <f ca="1">IF(OR($D226&lt;&gt;"Serviço",AND(AUTOEVENTO="Manual",$M226=$A$15)),0,
         IF(OFFSET(CRONOPLE!$F$15,$M226-$A$15,CR$13)=0,10^12,OFFSET(CRONOPLE!$F$15,$M226-$A$15,CR$13)))</f>
        <v>1000000000000</v>
      </c>
      <c r="CT226" s="172" cm="1">
        <f t="array" aca="1" ref="CT226" ca="1">IF(OR($D226&lt;&gt;"Serviço",AND(AUTOEVENTO="Manual",$M226=$A$15),$M226&gt;(ROW(PLE.lastrow)-ROW(PLE.firstrow))),0,
           IF(OFFSET(PLE!$G$15,$M226-$A$15,CT$13)="",10^12,OFFSET(PLE!$G$15,$M226-$A$15,CT$13)))</f>
        <v>1000000000000</v>
      </c>
      <c r="CU226" s="172" cm="1">
        <f t="array" aca="1" ref="CU226" ca="1">IF(OR($D226&lt;&gt;"Serviço",AND(AUTOEVENTO="Manual",$M226=$A$15),$M226&gt;(ROW(PLE.lastrow)-ROW(PLE.firstrow))),0,
           IF(OFFSET(PLE!$G$15,$M226-$A$15,CU$13)="",10^12,OFFSET(PLE!$G$15,$M226-$A$15,CU$13)))</f>
        <v>1000000000000</v>
      </c>
      <c r="CV226" s="172" cm="1">
        <f t="array" aca="1" ref="CV226" ca="1">IF(OR($D226&lt;&gt;"Serviço",AND(AUTOEVENTO="Manual",$M226=$A$15),$M226&gt;(ROW(PLE.lastrow)-ROW(PLE.firstrow))),0,
           IF(OFFSET(PLE!$G$15,$M226-$A$15,CV$13)="",10^12,OFFSET(PLE!$G$15,$M226-$A$15,CV$13)))</f>
        <v>1000000000000</v>
      </c>
      <c r="CW226" s="172" cm="1">
        <f t="array" aca="1" ref="CW226" ca="1">IF(OR($D226&lt;&gt;"Serviço",AND(AUTOEVENTO="Manual",$M226=$A$15),$M226&gt;(ROW(PLE.lastrow)-ROW(PLE.firstrow))),0,
           IF(OFFSET(PLE!$G$15,$M226-$A$15,CW$13)="",10^12,OFFSET(PLE!$G$15,$M226-$A$15,CW$13)))</f>
        <v>1000000000000</v>
      </c>
      <c r="CX226" s="172" cm="1">
        <f t="array" aca="1" ref="CX226" ca="1">IF(OR($D226&lt;&gt;"Serviço",AND(AUTOEVENTO="Manual",$M226=$A$15),$M226&gt;(ROW(PLE.lastrow)-ROW(PLE.firstrow))),0,
           IF(OFFSET(PLE!$G$15,$M226-$A$15,CX$13)="",10^12,OFFSET(PLE!$G$15,$M226-$A$15,CX$13)))</f>
        <v>1000000000000</v>
      </c>
      <c r="CY226" s="172" cm="1">
        <f t="array" aca="1" ref="CY226" ca="1">IF(OR($D226&lt;&gt;"Serviço",AND(AUTOEVENTO="Manual",$M226=$A$15),$M226&gt;(ROW(PLE.lastrow)-ROW(PLE.firstrow))),0,
           IF(OFFSET(PLE!$G$15,$M226-$A$15,CY$13)="",10^12,OFFSET(PLE!$G$15,$M226-$A$15,CY$13)))</f>
        <v>1000000000000</v>
      </c>
      <c r="CZ226" s="172" cm="1">
        <f t="array" aca="1" ref="CZ226" ca="1">IF(OR($D226&lt;&gt;"Serviço",AND(AUTOEVENTO="Manual",$M226=$A$15),$M226&gt;(ROW(PLE.lastrow)-ROW(PLE.firstrow))),0,
           IF(OFFSET(PLE!$G$15,$M226-$A$15,CZ$13)="",10^12,OFFSET(PLE!$G$15,$M226-$A$15,CZ$13)))</f>
        <v>1000000000000</v>
      </c>
      <c r="DA226" s="172" cm="1">
        <f t="array" aca="1" ref="DA226" ca="1">IF(OR($D226&lt;&gt;"Serviço",AND(AUTOEVENTO="Manual",$M226=$A$15),$M226&gt;(ROW(PLE.lastrow)-ROW(PLE.firstrow))),0,
           IF(OFFSET(PLE!$G$15,$M226-$A$15,DA$13)="",10^12,OFFSET(PLE!$G$15,$M226-$A$15,DA$13)))</f>
        <v>1000000000000</v>
      </c>
      <c r="DB226" s="172" cm="1">
        <f t="array" aca="1" ref="DB226" ca="1">IF(OR($D226&lt;&gt;"Serviço",AND(AUTOEVENTO="Manual",$M226=$A$15),$M226&gt;(ROW(PLE.lastrow)-ROW(PLE.firstrow))),0,
           IF(OFFSET(PLE!$G$15,$M226-$A$15,DB$13)="",10^12,OFFSET(PLE!$G$15,$M226-$A$15,DB$13)))</f>
        <v>1000000000000</v>
      </c>
      <c r="DC226" s="172" cm="1">
        <f t="array" aca="1" ref="DC226" ca="1">IF(OR($D226&lt;&gt;"Serviço",AND(AUTOEVENTO="Manual",$M226=$A$15),$M226&gt;(ROW(PLE.lastrow)-ROW(PLE.firstrow))),0,
           IF(OFFSET(PLE!$G$15,$M226-$A$15,DC$13)="",10^12,OFFSET(PLE!$G$15,$M226-$A$15,DC$13)))</f>
        <v>1000000000000</v>
      </c>
      <c r="DD226" s="172" cm="1">
        <f t="array" aca="1" ref="DD226" ca="1">IF(OR($D226&lt;&gt;"Serviço",AND(AUTOEVENTO="Manual",$M226=$A$15),$M226&gt;(ROW(PLE.lastrow)-ROW(PLE.firstrow))),0,
           IF(OFFSET(PLE!$G$15,$M226-$A$15,DD$13)="",10^12,OFFSET(PLE!$G$15,$M226-$A$15,DD$13)))</f>
        <v>1000000000000</v>
      </c>
      <c r="DE226" s="172" cm="1">
        <f t="array" aca="1" ref="DE226" ca="1">IF(OR($D226&lt;&gt;"Serviço",AND(AUTOEVENTO="Manual",$M226=$A$15),$M226&gt;(ROW(PLE.lastrow)-ROW(PLE.firstrow))),0,
           IF(OFFSET(PLE!$G$15,$M226-$A$15,DE$13)="",10^12,OFFSET(PLE!$G$15,$M226-$A$15,DE$13)))</f>
        <v>1000000000000</v>
      </c>
      <c r="DF226" s="172" cm="1">
        <f t="array" aca="1" ref="DF226" ca="1">IF(OR($D226&lt;&gt;"Serviço",AND(AUTOEVENTO="Manual",$M226=$A$15),$M226&gt;(ROW(PLE.lastrow)-ROW(PLE.firstrow))),0,
           IF(OFFSET(PLE!$G$15,$M226-$A$15,DF$13)="",10^12,OFFSET(PLE!$G$15,$M226-$A$15,DF$13)))</f>
        <v>1000000000000</v>
      </c>
      <c r="DG226" s="172" cm="1">
        <f t="array" aca="1" ref="DG226" ca="1">IF(OR($D226&lt;&gt;"Serviço",AND(AUTOEVENTO="Manual",$M226=$A$15),$M226&gt;(ROW(PLE.lastrow)-ROW(PLE.firstrow))),0,
           IF(OFFSET(PLE!$G$15,$M226-$A$15,DG$13)="",10^12,OFFSET(PLE!$G$15,$M226-$A$15,DG$13)))</f>
        <v>1000000000000</v>
      </c>
      <c r="DH226" s="172" cm="1">
        <f t="array" aca="1" ref="DH226" ca="1">IF(OR($D226&lt;&gt;"Serviço",AND(AUTOEVENTO="Manual",$M226=$A$15),$M226&gt;(ROW(PLE.lastrow)-ROW(PLE.firstrow))),0,
           IF(OFFSET(PLE!$G$15,$M226-$A$15,DH$13)="",10^12,OFFSET(PLE!$G$15,$M226-$A$15,DH$13)))</f>
        <v>1000000000000</v>
      </c>
      <c r="DI226" s="172" cm="1">
        <f t="array" aca="1" ref="DI226" ca="1">IF(OR($D226&lt;&gt;"Serviço",AND(AUTOEVENTO="Manual",$M226=$A$15),$M226&gt;(ROW(PLE.lastrow)-ROW(PLE.firstrow))),0,
           IF(OFFSET(PLE!$G$15,$M226-$A$15,DI$13)="",10^12,OFFSET(PLE!$G$15,$M226-$A$15,DI$13)))</f>
        <v>1000000000000</v>
      </c>
      <c r="DJ226" s="172" cm="1">
        <f t="array" aca="1" ref="DJ226" ca="1">IF(OR($D226&lt;&gt;"Serviço",AND(AUTOEVENTO="Manual",$M226=$A$15),$M226&gt;(ROW(PLE.lastrow)-ROW(PLE.firstrow))),0,
           IF(OFFSET(PLE!$G$15,$M226-$A$15,DJ$13)="",10^12,OFFSET(PLE!$G$15,$M226-$A$15,DJ$13)))</f>
        <v>1000000000000</v>
      </c>
      <c r="DK226" s="172" cm="1">
        <f t="array" aca="1" ref="DK226" ca="1">IF(OR($D226&lt;&gt;"Serviço",AND(AUTOEVENTO="Manual",$M226=$A$15),$M226&gt;(ROW(PLE.lastrow)-ROW(PLE.firstrow))),0,
           IF(OFFSET(PLE!$G$15,$M226-$A$15,DK$13)="",10^12,OFFSET(PLE!$G$15,$M226-$A$15,DK$13)))</f>
        <v>1000000000000</v>
      </c>
      <c r="DL226" s="172" cm="1">
        <f t="array" aca="1" ref="DL226" ca="1">IF(OR($D226&lt;&gt;"Serviço",AND(AUTOEVENTO="Manual",$M226=$A$15),$M226&gt;(ROW(PLE.lastrow)-ROW(PLE.firstrow))),0,
           IF(OFFSET(PLE!$G$15,$M226-$A$15,DL$13)="",10^12,OFFSET(PLE!$G$15,$M226-$A$15,DL$13)))</f>
        <v>1000000000000</v>
      </c>
      <c r="DM226" s="172" cm="1">
        <f t="array" aca="1" ref="DM226" ca="1">IF(OR($D226&lt;&gt;"Serviço",AND(AUTOEVENTO="Manual",$M226=$A$15),$M226&gt;(ROW(PLE.lastrow)-ROW(PLE.firstrow))),0,
           IF(OFFSET(PLE!$G$15,$M226-$A$15,DM$13)="",10^12,OFFSET(PLE!$G$15,$M226-$A$15,DM$13)))</f>
        <v>1000000000000</v>
      </c>
      <c r="DN226" s="172" cm="1">
        <f t="array" aca="1" ref="DN226" ca="1">IF(OR($D226&lt;&gt;"Serviço",AND(AUTOEVENTO="Manual",$M226=$A$15),$M226&gt;(ROW(PLE.lastrow)-ROW(PLE.firstrow))),0,
           IF(OFFSET(PLE!$G$15,$M226-$A$15,DN$13)="",10^12,OFFSET(PLE!$G$15,$M226-$A$15,DN$13)))</f>
        <v>1000000000000</v>
      </c>
      <c r="DO226" s="172" cm="1">
        <f t="array" aca="1" ref="DO226" ca="1">IF(OR($D226&lt;&gt;"Serviço",AND(AUTOEVENTO="Manual",$M226=$A$15),$M226&gt;(ROW(PLE.lastrow)-ROW(PLE.firstrow))),0,
           IF(OFFSET(PLE!$G$15,$M226-$A$15,DO$13)="",10^12,OFFSET(PLE!$G$15,$M226-$A$15,DO$13)))</f>
        <v>1000000000000</v>
      </c>
      <c r="DP226" s="172" cm="1">
        <f t="array" aca="1" ref="DP226" ca="1">IF(OR($D226&lt;&gt;"Serviço",AND(AUTOEVENTO="Manual",$M226=$A$15),$M226&gt;(ROW(PLE.lastrow)-ROW(PLE.firstrow))),0,
           IF(OFFSET(PLE!$G$15,$M226-$A$15,DP$13)="",10^12,OFFSET(PLE!$G$15,$M226-$A$15,DP$13)))</f>
        <v>1000000000000</v>
      </c>
      <c r="DQ226" s="172" cm="1">
        <f t="array" aca="1" ref="DQ226" ca="1">IF(OR($D226&lt;&gt;"Serviço",AND(AUTOEVENTO="Manual",$M226=$A$15),$M226&gt;(ROW(PLE.lastrow)-ROW(PLE.firstrow))),0,
           IF(OFFSET(PLE!$G$15,$M226-$A$15,DQ$13)="",10^12,OFFSET(PLE!$G$15,$M226-$A$15,DQ$13)))</f>
        <v>1000000000000</v>
      </c>
      <c r="DR226" s="172" cm="1">
        <f t="array" aca="1" ref="DR226" ca="1">IF(OR($D226&lt;&gt;"Serviço",AND(AUTOEVENTO="Manual",$M226=$A$15),$M226&gt;(ROW(PLE.lastrow)-ROW(PLE.firstrow))),0,
           IF(OFFSET(PLE!$G$15,$M226-$A$15,DR$13)="",10^12,OFFSET(PLE!$G$15,$M226-$A$15,DR$13)))</f>
        <v>1000000000000</v>
      </c>
      <c r="DS226" s="172" cm="1">
        <f t="array" aca="1" ref="DS226" ca="1">IF(OR($D226&lt;&gt;"Serviço",AND(AUTOEVENTO="Manual",$M226=$A$15),$M226&gt;(ROW(PLE.lastrow)-ROW(PLE.firstrow))),0,
           IF(OFFSET(PLE!$G$15,$M226-$A$15,DS$13)="",10^12,OFFSET(PLE!$G$15,$M226-$A$15,DS$13)))</f>
        <v>1000000000000</v>
      </c>
    </row>
    <row r="227" spans="1:123" ht="63.75" x14ac:dyDescent="0.2">
      <c r="A227" s="7">
        <f t="shared" ca="1" si="19"/>
        <v>9</v>
      </c>
      <c r="B227" s="7" t="str">
        <f ca="1">OFFSET(ORÇAMENTO!C$15,$L227,0)</f>
        <v>S</v>
      </c>
      <c r="C227" s="7" t="str">
        <f ca="1">OFFSET(ORÇAMENTO!L$15,$L227,0)</f>
        <v/>
      </c>
      <c r="D227" s="116" t="str">
        <f ca="1">OFFSET(ORÇAMENTO!N$15,$L227,0)</f>
        <v>Serviço</v>
      </c>
      <c r="E227" s="117" t="str">
        <f ca="1">OFFSET(ORÇAMENTO!O$15,$L227,0)</f>
        <v>-</v>
      </c>
      <c r="F227" s="163" t="str">
        <f ca="1">OFFSET(ORÇAMENTO!R$15,$L227,0)</f>
        <v>(Código não identificado nas referências)</v>
      </c>
      <c r="G227" s="164" t="str">
        <f ca="1">IF($D227&lt;&gt;"Serviço","",OFFSET(ORÇAMENTO!S$15,$L227,0))</f>
        <v>-</v>
      </c>
      <c r="H227" s="122" cm="1">
        <f t="array" aca="1" ref="H227" ca="1">IF($D227&lt;&gt;"Serviço",0,IF(ACOMPANHAMENTO="BM",ROUND(OFFSET(ORÇAMENTO!AJ$15,$L227,0),15-13*ORÇAMENTO!$AF$7),IF(IFERROR(CÁLCULO.FrentesPreenchidas,0)=0,0,SUM(ROUND(OFFSET($P227,0,1,1,CÁLCULO.FrentesPreenchidas),15-13*ORÇAMENTO!$AF$7)))))</f>
        <v>20</v>
      </c>
      <c r="I227" s="468" t="s">
        <v>1235</v>
      </c>
      <c r="J227" s="651" t="str" cm="1">
        <f t="array" aca="1" ref="J227" ca="1">IF(OR(B227&lt;&gt;"S",CÁLCULO.FrentesPreenchidas=0),"",IF(AND(ACOMPANHAMENTO="PLE",AUTOEVENTO="Manual",OR(H227&gt;0,ORÇAMENTO!AC227="QUANT."),OR(K227="",M227=0,N227="")),"►E",IF(AND(ACOMPANHAMENTO="PLE",ORÇAMENTO!AC227="QUANT."),"►Q",IF(AND(ACOMPANHAMENTO="PLE",H227&lt;&gt;SUMPRODUCT(($Q$1:$AQ$1=1)*ROUND(Q227:AQ227,15))),"►S",IF(AND(COUNTIF($P$11:$AQ$11,"▼")=0,H227&gt;0,I227=""),"◄M","")))))</f>
        <v/>
      </c>
      <c r="K227" s="652" t="s">
        <v>1257</v>
      </c>
      <c r="L227" s="165">
        <f t="shared" ca="1" si="20"/>
        <v>212</v>
      </c>
      <c r="M227" s="166">
        <f ca="1">IF($D227&lt;&gt;"Serviço","",
          IF(AUTOEVENTO="manual",$A227,
                IF(ISERROR(MATCH($A227,$A$15:OFFSET($A227,-1,0),0)),MAX($M$15:OFFSET(M227,-1,0))+1,
                      INDEX($M$15:OFFSET(M227,-1,0),MATCH($A227,$A$15:OFFSET($A227,-1,0),0)))))</f>
        <v>9</v>
      </c>
      <c r="N227" s="167" t="str">
        <f ca="1">IF($D227&lt;&gt;"Serviço","",
         IF(AUTOEVENTO="Manual",
                IF($A227=0,"&lt;-- defina o número do agrupador",
                       OFFSET(EVENTOS!$D$15,$A227-$A$15,0)),
                OFFSET($F$15,$A227,0)))</f>
        <v>INSTALAÇÕES</v>
      </c>
      <c r="O227" s="168"/>
      <c r="Q227" s="168">
        <v>1</v>
      </c>
      <c r="R227" s="169">
        <v>1</v>
      </c>
      <c r="S227" s="169">
        <v>1</v>
      </c>
      <c r="T227" s="169">
        <v>1</v>
      </c>
      <c r="U227" s="169">
        <v>1</v>
      </c>
      <c r="V227" s="169">
        <v>1</v>
      </c>
      <c r="W227" s="169">
        <v>1</v>
      </c>
      <c r="X227" s="169">
        <v>1</v>
      </c>
      <c r="Y227" s="169">
        <v>1</v>
      </c>
      <c r="Z227" s="170">
        <v>1</v>
      </c>
      <c r="AA227" s="169">
        <v>1</v>
      </c>
      <c r="AB227" s="169">
        <v>1</v>
      </c>
      <c r="AC227" s="169">
        <v>1</v>
      </c>
      <c r="AD227" s="169">
        <v>1</v>
      </c>
      <c r="AE227" s="169">
        <v>1</v>
      </c>
      <c r="AF227" s="169">
        <v>1</v>
      </c>
      <c r="AG227" s="169">
        <v>1</v>
      </c>
      <c r="AH227" s="170">
        <v>1</v>
      </c>
      <c r="AI227" s="169">
        <v>1</v>
      </c>
      <c r="AJ227" s="169">
        <v>1</v>
      </c>
      <c r="AK227" s="169"/>
      <c r="AL227" s="169"/>
      <c r="AM227" s="169"/>
      <c r="AN227" s="169"/>
      <c r="AO227" s="169"/>
      <c r="AP227" s="170"/>
      <c r="AR227" s="453">
        <f ca="1">IF(AND($D227="Serviço",AR$12&lt;&gt;0,$H227&gt;0,OR(AUTOEVENTO&lt;&gt;"manual",$M227&lt;&gt;$A$15)),
        IF(Import.TipoArredondamento&lt;&gt;"TransfereGOV",
              ROUND(OFFSET($P227,0,AR$13),15-13*ORÇAMENTO!$AF$7)/$H227*OFFSET(ORÇAMENTO!$X$15,ROW(AR227)-ROW(AR$15),0),
              ROUND(ROUND(OFFSET($P227,0,AR$13),15-13*ORÇAMENTO!$AF$7)*OFFSET(ORÇAMENTO!$W$15,ROW(AR227)-ROW(AR$15),0),15-13*ORÇAMENTO!$AF$11)),
         0)</f>
        <v>0</v>
      </c>
      <c r="AS227" s="453">
        <f ca="1">IF(AND($D227="Serviço",AS$12&lt;&gt;0,$H227&gt;0,OR(AUTOEVENTO&lt;&gt;"manual",$M227&lt;&gt;$A$15)),
        IF(Import.TipoArredondamento&lt;&gt;"TransfereGOV",
              ROUND(OFFSET($P227,0,AS$13),15-13*ORÇAMENTO!$AF$7)/$H227*OFFSET(ORÇAMENTO!$X$15,ROW(AS227)-ROW(AS$15),0),
              ROUND(ROUND(OFFSET($P227,0,AS$13),15-13*ORÇAMENTO!$AF$7)*OFFSET(ORÇAMENTO!$W$15,ROW(AS227)-ROW(AS$15),0),15-13*ORÇAMENTO!$AF$11)),
         0)</f>
        <v>0</v>
      </c>
      <c r="AT227" s="453">
        <f ca="1">IF(AND($D227="Serviço",AT$12&lt;&gt;0,$H227&gt;0,OR(AUTOEVENTO&lt;&gt;"manual",$M227&lt;&gt;$A$15)),
        IF(Import.TipoArredondamento&lt;&gt;"TransfereGOV",
              ROUND(OFFSET($P227,0,AT$13),15-13*ORÇAMENTO!$AF$7)/$H227*OFFSET(ORÇAMENTO!$X$15,ROW(AT227)-ROW(AT$15),0),
              ROUND(ROUND(OFFSET($P227,0,AT$13),15-13*ORÇAMENTO!$AF$7)*OFFSET(ORÇAMENTO!$W$15,ROW(AT227)-ROW(AT$15),0),15-13*ORÇAMENTO!$AF$11)),
         0)</f>
        <v>0</v>
      </c>
      <c r="AU227" s="453">
        <f ca="1">IF(AND($D227="Serviço",AU$12&lt;&gt;0,$H227&gt;0,OR(AUTOEVENTO&lt;&gt;"manual",$M227&lt;&gt;$A$15)),
        IF(Import.TipoArredondamento&lt;&gt;"TransfereGOV",
              ROUND(OFFSET($P227,0,AU$13),15-13*ORÇAMENTO!$AF$7)/$H227*OFFSET(ORÇAMENTO!$X$15,ROW(AU227)-ROW(AU$15),0),
              ROUND(ROUND(OFFSET($P227,0,AU$13),15-13*ORÇAMENTO!$AF$7)*OFFSET(ORÇAMENTO!$W$15,ROW(AU227)-ROW(AU$15),0),15-13*ORÇAMENTO!$AF$11)),
         0)</f>
        <v>0</v>
      </c>
      <c r="AV227" s="453">
        <f ca="1">IF(AND($D227="Serviço",AV$12&lt;&gt;0,$H227&gt;0,OR(AUTOEVENTO&lt;&gt;"manual",$M227&lt;&gt;$A$15)),
        IF(Import.TipoArredondamento&lt;&gt;"TransfereGOV",
              ROUND(OFFSET($P227,0,AV$13),15-13*ORÇAMENTO!$AF$7)/$H227*OFFSET(ORÇAMENTO!$X$15,ROW(AV227)-ROW(AV$15),0),
              ROUND(ROUND(OFFSET($P227,0,AV$13),15-13*ORÇAMENTO!$AF$7)*OFFSET(ORÇAMENTO!$W$15,ROW(AV227)-ROW(AV$15),0),15-13*ORÇAMENTO!$AF$11)),
         0)</f>
        <v>0</v>
      </c>
      <c r="AW227" s="453">
        <f ca="1">IF(AND($D227="Serviço",AW$12&lt;&gt;0,$H227&gt;0,OR(AUTOEVENTO&lt;&gt;"manual",$M227&lt;&gt;$A$15)),
        IF(Import.TipoArredondamento&lt;&gt;"TransfereGOV",
              ROUND(OFFSET($P227,0,AW$13),15-13*ORÇAMENTO!$AF$7)/$H227*OFFSET(ORÇAMENTO!$X$15,ROW(AW227)-ROW(AW$15),0),
              ROUND(ROUND(OFFSET($P227,0,AW$13),15-13*ORÇAMENTO!$AF$7)*OFFSET(ORÇAMENTO!$W$15,ROW(AW227)-ROW(AW$15),0),15-13*ORÇAMENTO!$AF$11)),
         0)</f>
        <v>0</v>
      </c>
      <c r="AX227" s="453">
        <f ca="1">IF(AND($D227="Serviço",AX$12&lt;&gt;0,$H227&gt;0,OR(AUTOEVENTO&lt;&gt;"manual",$M227&lt;&gt;$A$15)),
        IF(Import.TipoArredondamento&lt;&gt;"TransfereGOV",
              ROUND(OFFSET($P227,0,AX$13),15-13*ORÇAMENTO!$AF$7)/$H227*OFFSET(ORÇAMENTO!$X$15,ROW(AX227)-ROW(AX$15),0),
              ROUND(ROUND(OFFSET($P227,0,AX$13),15-13*ORÇAMENTO!$AF$7)*OFFSET(ORÇAMENTO!$W$15,ROW(AX227)-ROW(AX$15),0),15-13*ORÇAMENTO!$AF$11)),
         0)</f>
        <v>0</v>
      </c>
      <c r="AY227" s="453">
        <f ca="1">IF(AND($D227="Serviço",AY$12&lt;&gt;0,$H227&gt;0,OR(AUTOEVENTO&lt;&gt;"manual",$M227&lt;&gt;$A$15)),
        IF(Import.TipoArredondamento&lt;&gt;"TransfereGOV",
              ROUND(OFFSET($P227,0,AY$13),15-13*ORÇAMENTO!$AF$7)/$H227*OFFSET(ORÇAMENTO!$X$15,ROW(AY227)-ROW(AY$15),0),
              ROUND(ROUND(OFFSET($P227,0,AY$13),15-13*ORÇAMENTO!$AF$7)*OFFSET(ORÇAMENTO!$W$15,ROW(AY227)-ROW(AY$15),0),15-13*ORÇAMENTO!$AF$11)),
         0)</f>
        <v>0</v>
      </c>
      <c r="AZ227" s="453">
        <f ca="1">IF(AND($D227="Serviço",AZ$12&lt;&gt;0,$H227&gt;0,OR(AUTOEVENTO&lt;&gt;"manual",$M227&lt;&gt;$A$15)),
        IF(Import.TipoArredondamento&lt;&gt;"TransfereGOV",
              ROUND(OFFSET($P227,0,AZ$13),15-13*ORÇAMENTO!$AF$7)/$H227*OFFSET(ORÇAMENTO!$X$15,ROW(AZ227)-ROW(AZ$15),0),
              ROUND(ROUND(OFFSET($P227,0,AZ$13),15-13*ORÇAMENTO!$AF$7)*OFFSET(ORÇAMENTO!$W$15,ROW(AZ227)-ROW(AZ$15),0),15-13*ORÇAMENTO!$AF$11)),
         0)</f>
        <v>0</v>
      </c>
      <c r="BA227" s="453">
        <f ca="1">IF(AND($D227="Serviço",BA$12&lt;&gt;0,$H227&gt;0,OR(AUTOEVENTO&lt;&gt;"manual",$M227&lt;&gt;$A$15)),
        IF(Import.TipoArredondamento&lt;&gt;"TransfereGOV",
              ROUND(OFFSET($P227,0,BA$13),15-13*ORÇAMENTO!$AF$7)/$H227*OFFSET(ORÇAMENTO!$X$15,ROW(BA227)-ROW(BA$15),0),
              ROUND(ROUND(OFFSET($P227,0,BA$13),15-13*ORÇAMENTO!$AF$7)*OFFSET(ORÇAMENTO!$W$15,ROW(BA227)-ROW(BA$15),0),15-13*ORÇAMENTO!$AF$11)),
         0)</f>
        <v>0</v>
      </c>
      <c r="BB227" s="453">
        <f ca="1">IF(AND($D227="Serviço",BB$12&lt;&gt;0,$H227&gt;0,OR(AUTOEVENTO&lt;&gt;"manual",$M227&lt;&gt;$A$15)),
        IF(Import.TipoArredondamento&lt;&gt;"TransfereGOV",
              ROUND(OFFSET($P227,0,BB$13),15-13*ORÇAMENTO!$AF$7)/$H227*OFFSET(ORÇAMENTO!$X$15,ROW(BB227)-ROW(BB$15),0),
              ROUND(ROUND(OFFSET($P227,0,BB$13),15-13*ORÇAMENTO!$AF$7)*OFFSET(ORÇAMENTO!$W$15,ROW(BB227)-ROW(BB$15),0),15-13*ORÇAMENTO!$AF$11)),
         0)</f>
        <v>0</v>
      </c>
      <c r="BC227" s="453">
        <f ca="1">IF(AND($D227="Serviço",BC$12&lt;&gt;0,$H227&gt;0,OR(AUTOEVENTO&lt;&gt;"manual",$M227&lt;&gt;$A$15)),
        IF(Import.TipoArredondamento&lt;&gt;"TransfereGOV",
              ROUND(OFFSET($P227,0,BC$13),15-13*ORÇAMENTO!$AF$7)/$H227*OFFSET(ORÇAMENTO!$X$15,ROW(BC227)-ROW(BC$15),0),
              ROUND(ROUND(OFFSET($P227,0,BC$13),15-13*ORÇAMENTO!$AF$7)*OFFSET(ORÇAMENTO!$W$15,ROW(BC227)-ROW(BC$15),0),15-13*ORÇAMENTO!$AF$11)),
         0)</f>
        <v>0</v>
      </c>
      <c r="BD227" s="453">
        <f ca="1">IF(AND($D227="Serviço",BD$12&lt;&gt;0,$H227&gt;0,OR(AUTOEVENTO&lt;&gt;"manual",$M227&lt;&gt;$A$15)),
        IF(Import.TipoArredondamento&lt;&gt;"TransfereGOV",
              ROUND(OFFSET($P227,0,BD$13),15-13*ORÇAMENTO!$AF$7)/$H227*OFFSET(ORÇAMENTO!$X$15,ROW(BD227)-ROW(BD$15),0),
              ROUND(ROUND(OFFSET($P227,0,BD$13),15-13*ORÇAMENTO!$AF$7)*OFFSET(ORÇAMENTO!$W$15,ROW(BD227)-ROW(BD$15),0),15-13*ORÇAMENTO!$AF$11)),
         0)</f>
        <v>0</v>
      </c>
      <c r="BE227" s="453">
        <f ca="1">IF(AND($D227="Serviço",BE$12&lt;&gt;0,$H227&gt;0,OR(AUTOEVENTO&lt;&gt;"manual",$M227&lt;&gt;$A$15)),
        IF(Import.TipoArredondamento&lt;&gt;"TransfereGOV",
              ROUND(OFFSET($P227,0,BE$13),15-13*ORÇAMENTO!$AF$7)/$H227*OFFSET(ORÇAMENTO!$X$15,ROW(BE227)-ROW(BE$15),0),
              ROUND(ROUND(OFFSET($P227,0,BE$13),15-13*ORÇAMENTO!$AF$7)*OFFSET(ORÇAMENTO!$W$15,ROW(BE227)-ROW(BE$15),0),15-13*ORÇAMENTO!$AF$11)),
         0)</f>
        <v>0</v>
      </c>
      <c r="BF227" s="453">
        <f ca="1">IF(AND($D227="Serviço",BF$12&lt;&gt;0,$H227&gt;0,OR(AUTOEVENTO&lt;&gt;"manual",$M227&lt;&gt;$A$15)),
        IF(Import.TipoArredondamento&lt;&gt;"TransfereGOV",
              ROUND(OFFSET($P227,0,BF$13),15-13*ORÇAMENTO!$AF$7)/$H227*OFFSET(ORÇAMENTO!$X$15,ROW(BF227)-ROW(BF$15),0),
              ROUND(ROUND(OFFSET($P227,0,BF$13),15-13*ORÇAMENTO!$AF$7)*OFFSET(ORÇAMENTO!$W$15,ROW(BF227)-ROW(BF$15),0),15-13*ORÇAMENTO!$AF$11)),
         0)</f>
        <v>0</v>
      </c>
      <c r="BG227" s="453">
        <f ca="1">IF(AND($D227="Serviço",BG$12&lt;&gt;0,$H227&gt;0,OR(AUTOEVENTO&lt;&gt;"manual",$M227&lt;&gt;$A$15)),
        IF(Import.TipoArredondamento&lt;&gt;"TransfereGOV",
              ROUND(OFFSET($P227,0,BG$13),15-13*ORÇAMENTO!$AF$7)/$H227*OFFSET(ORÇAMENTO!$X$15,ROW(BG227)-ROW(BG$15),0),
              ROUND(ROUND(OFFSET($P227,0,BG$13),15-13*ORÇAMENTO!$AF$7)*OFFSET(ORÇAMENTO!$W$15,ROW(BG227)-ROW(BG$15),0),15-13*ORÇAMENTO!$AF$11)),
         0)</f>
        <v>0</v>
      </c>
      <c r="BH227" s="453">
        <f ca="1">IF(AND($D227="Serviço",BH$12&lt;&gt;0,$H227&gt;0,OR(AUTOEVENTO&lt;&gt;"manual",$M227&lt;&gt;$A$15)),
        IF(Import.TipoArredondamento&lt;&gt;"TransfereGOV",
              ROUND(OFFSET($P227,0,BH$13),15-13*ORÇAMENTO!$AF$7)/$H227*OFFSET(ORÇAMENTO!$X$15,ROW(BH227)-ROW(BH$15),0),
              ROUND(ROUND(OFFSET($P227,0,BH$13),15-13*ORÇAMENTO!$AF$7)*OFFSET(ORÇAMENTO!$W$15,ROW(BH227)-ROW(BH$15),0),15-13*ORÇAMENTO!$AF$11)),
         0)</f>
        <v>0</v>
      </c>
      <c r="BI227" s="453">
        <f ca="1">IF(AND($D227="Serviço",BI$12&lt;&gt;0,$H227&gt;0,OR(AUTOEVENTO&lt;&gt;"manual",$M227&lt;&gt;$A$15)),
        IF(Import.TipoArredondamento&lt;&gt;"TransfereGOV",
              ROUND(OFFSET($P227,0,BI$13),15-13*ORÇAMENTO!$AF$7)/$H227*OFFSET(ORÇAMENTO!$X$15,ROW(BI227)-ROW(BI$15),0),
              ROUND(ROUND(OFFSET($P227,0,BI$13),15-13*ORÇAMENTO!$AF$7)*OFFSET(ORÇAMENTO!$W$15,ROW(BI227)-ROW(BI$15),0),15-13*ORÇAMENTO!$AF$11)),
         0)</f>
        <v>0</v>
      </c>
      <c r="BJ227" s="453">
        <f ca="1">IF(AND($D227="Serviço",BJ$12&lt;&gt;0,$H227&gt;0,OR(AUTOEVENTO&lt;&gt;"manual",$M227&lt;&gt;$A$15)),
        IF(Import.TipoArredondamento&lt;&gt;"TransfereGOV",
              ROUND(OFFSET($P227,0,BJ$13),15-13*ORÇAMENTO!$AF$7)/$H227*OFFSET(ORÇAMENTO!$X$15,ROW(BJ227)-ROW(BJ$15),0),
              ROUND(ROUND(OFFSET($P227,0,BJ$13),15-13*ORÇAMENTO!$AF$7)*OFFSET(ORÇAMENTO!$W$15,ROW(BJ227)-ROW(BJ$15),0),15-13*ORÇAMENTO!$AF$11)),
         0)</f>
        <v>0</v>
      </c>
      <c r="BK227" s="453">
        <f ca="1">IF(AND($D227="Serviço",BK$12&lt;&gt;0,$H227&gt;0,OR(AUTOEVENTO&lt;&gt;"manual",$M227&lt;&gt;$A$15)),
        IF(Import.TipoArredondamento&lt;&gt;"TransfereGOV",
              ROUND(OFFSET($P227,0,BK$13),15-13*ORÇAMENTO!$AF$7)/$H227*OFFSET(ORÇAMENTO!$X$15,ROW(BK227)-ROW(BK$15),0),
              ROUND(ROUND(OFFSET($P227,0,BK$13),15-13*ORÇAMENTO!$AF$7)*OFFSET(ORÇAMENTO!$W$15,ROW(BK227)-ROW(BK$15),0),15-13*ORÇAMENTO!$AF$11)),
         0)</f>
        <v>0</v>
      </c>
      <c r="BL227" s="453">
        <f ca="1">IF(AND($D227="Serviço",BL$12&lt;&gt;0,$H227&gt;0,OR(AUTOEVENTO&lt;&gt;"manual",$M227&lt;&gt;$A$15)),
        IF(Import.TipoArredondamento&lt;&gt;"TransfereGOV",
              ROUND(OFFSET($P227,0,BL$13),15-13*ORÇAMENTO!$AF$7)/$H227*OFFSET(ORÇAMENTO!$X$15,ROW(BL227)-ROW(BL$15),0),
              ROUND(ROUND(OFFSET($P227,0,BL$13),15-13*ORÇAMENTO!$AF$7)*OFFSET(ORÇAMENTO!$W$15,ROW(BL227)-ROW(BL$15),0),15-13*ORÇAMENTO!$AF$11)),
         0)</f>
        <v>0</v>
      </c>
      <c r="BM227" s="453">
        <f ca="1">IF(AND($D227="Serviço",BM$12&lt;&gt;0,$H227&gt;0,OR(AUTOEVENTO&lt;&gt;"manual",$M227&lt;&gt;$A$15)),
        IF(Import.TipoArredondamento&lt;&gt;"TransfereGOV",
              ROUND(OFFSET($P227,0,BM$13),15-13*ORÇAMENTO!$AF$7)/$H227*OFFSET(ORÇAMENTO!$X$15,ROW(BM227)-ROW(BM$15),0),
              ROUND(ROUND(OFFSET($P227,0,BM$13),15-13*ORÇAMENTO!$AF$7)*OFFSET(ORÇAMENTO!$W$15,ROW(BM227)-ROW(BM$15),0),15-13*ORÇAMENTO!$AF$11)),
         0)</f>
        <v>0</v>
      </c>
      <c r="BN227" s="453">
        <f ca="1">IF(AND($D227="Serviço",BN$12&lt;&gt;0,$H227&gt;0,OR(AUTOEVENTO&lt;&gt;"manual",$M227&lt;&gt;$A$15)),
        IF(Import.TipoArredondamento&lt;&gt;"TransfereGOV",
              ROUND(OFFSET($P227,0,BN$13),15-13*ORÇAMENTO!$AF$7)/$H227*OFFSET(ORÇAMENTO!$X$15,ROW(BN227)-ROW(BN$15),0),
              ROUND(ROUND(OFFSET($P227,0,BN$13),15-13*ORÇAMENTO!$AF$7)*OFFSET(ORÇAMENTO!$W$15,ROW(BN227)-ROW(BN$15),0),15-13*ORÇAMENTO!$AF$11)),
         0)</f>
        <v>0</v>
      </c>
      <c r="BO227" s="453">
        <f ca="1">IF(AND($D227="Serviço",BO$12&lt;&gt;0,$H227&gt;0,OR(AUTOEVENTO&lt;&gt;"manual",$M227&lt;&gt;$A$15)),
        IF(Import.TipoArredondamento&lt;&gt;"TransfereGOV",
              ROUND(OFFSET($P227,0,BO$13),15-13*ORÇAMENTO!$AF$7)/$H227*OFFSET(ORÇAMENTO!$X$15,ROW(BO227)-ROW(BO$15),0),
              ROUND(ROUND(OFFSET($P227,0,BO$13),15-13*ORÇAMENTO!$AF$7)*OFFSET(ORÇAMENTO!$W$15,ROW(BO227)-ROW(BO$15),0),15-13*ORÇAMENTO!$AF$11)),
         0)</f>
        <v>0</v>
      </c>
      <c r="BP227" s="453">
        <f ca="1">IF(AND($D227="Serviço",BP$12&lt;&gt;0,$H227&gt;0,OR(AUTOEVENTO&lt;&gt;"manual",$M227&lt;&gt;$A$15)),
        IF(Import.TipoArredondamento&lt;&gt;"TransfereGOV",
              ROUND(OFFSET($P227,0,BP$13),15-13*ORÇAMENTO!$AF$7)/$H227*OFFSET(ORÇAMENTO!$X$15,ROW(BP227)-ROW(BP$15),0),
              ROUND(ROUND(OFFSET($P227,0,BP$13),15-13*ORÇAMENTO!$AF$7)*OFFSET(ORÇAMENTO!$W$15,ROW(BP227)-ROW(BP$15),0),15-13*ORÇAMENTO!$AF$11)),
         0)</f>
        <v>0</v>
      </c>
      <c r="BQ227" s="453">
        <f ca="1">IF(AND($D227="Serviço",BQ$12&lt;&gt;0,$H227&gt;0,OR(AUTOEVENTO&lt;&gt;"manual",$M227&lt;&gt;$A$15)),
        IF(Import.TipoArredondamento&lt;&gt;"TransfereGOV",
              ROUND(OFFSET($P227,0,BQ$13),15-13*ORÇAMENTO!$AF$7)/$H227*OFFSET(ORÇAMENTO!$X$15,ROW(BQ227)-ROW(BQ$15),0),
              ROUND(ROUND(OFFSET($P227,0,BQ$13),15-13*ORÇAMENTO!$AF$7)*OFFSET(ORÇAMENTO!$W$15,ROW(BQ227)-ROW(BQ$15),0),15-13*ORÇAMENTO!$AF$11)),
         0)</f>
        <v>0</v>
      </c>
      <c r="BS227" s="171">
        <f ca="1">IF(OR($D227&lt;&gt;"Serviço",AND(AUTOEVENTO="Manual",$M227=$A$15)),0,
         IF(OFFSET(CRONOPLE!$F$15,$M227-$A$15,BS$13)=0,10^12,OFFSET(CRONOPLE!$F$15,$M227-$A$15,BS$13)))</f>
        <v>1</v>
      </c>
      <c r="BT227" s="171">
        <f ca="1">IF(OR($D227&lt;&gt;"Serviço",AND(AUTOEVENTO="Manual",$M227=$A$15)),0,
         IF(OFFSET(CRONOPLE!$F$15,$M227-$A$15,BT$13)=0,10^12,OFFSET(CRONOPLE!$F$15,$M227-$A$15,BT$13)))</f>
        <v>2</v>
      </c>
      <c r="BU227" s="171">
        <f ca="1">IF(OR($D227&lt;&gt;"Serviço",AND(AUTOEVENTO="Manual",$M227=$A$15)),0,
         IF(OFFSET(CRONOPLE!$F$15,$M227-$A$15,BU$13)=0,10^12,OFFSET(CRONOPLE!$F$15,$M227-$A$15,BU$13)))</f>
        <v>3</v>
      </c>
      <c r="BV227" s="171">
        <f ca="1">IF(OR($D227&lt;&gt;"Serviço",AND(AUTOEVENTO="Manual",$M227=$A$15)),0,
         IF(OFFSET(CRONOPLE!$F$15,$M227-$A$15,BV$13)=0,10^12,OFFSET(CRONOPLE!$F$15,$M227-$A$15,BV$13)))</f>
        <v>4</v>
      </c>
      <c r="BW227" s="171">
        <f ca="1">IF(OR($D227&lt;&gt;"Serviço",AND(AUTOEVENTO="Manual",$M227=$A$15)),0,
         IF(OFFSET(CRONOPLE!$F$15,$M227-$A$15,BW$13)=0,10^12,OFFSET(CRONOPLE!$F$15,$M227-$A$15,BW$13)))</f>
        <v>5</v>
      </c>
      <c r="BX227" s="171">
        <f ca="1">IF(OR($D227&lt;&gt;"Serviço",AND(AUTOEVENTO="Manual",$M227=$A$15)),0,
         IF(OFFSET(CRONOPLE!$F$15,$M227-$A$15,BX$13)=0,10^12,OFFSET(CRONOPLE!$F$15,$M227-$A$15,BX$13)))</f>
        <v>6</v>
      </c>
      <c r="BY227" s="171">
        <f ca="1">IF(OR($D227&lt;&gt;"Serviço",AND(AUTOEVENTO="Manual",$M227=$A$15)),0,
         IF(OFFSET(CRONOPLE!$F$15,$M227-$A$15,BY$13)=0,10^12,OFFSET(CRONOPLE!$F$15,$M227-$A$15,BY$13)))</f>
        <v>7</v>
      </c>
      <c r="BZ227" s="171">
        <f ca="1">IF(OR($D227&lt;&gt;"Serviço",AND(AUTOEVENTO="Manual",$M227=$A$15)),0,
         IF(OFFSET(CRONOPLE!$F$15,$M227-$A$15,BZ$13)=0,10^12,OFFSET(CRONOPLE!$F$15,$M227-$A$15,BZ$13)))</f>
        <v>8</v>
      </c>
      <c r="CA227" s="171">
        <f ca="1">IF(OR($D227&lt;&gt;"Serviço",AND(AUTOEVENTO="Manual",$M227=$A$15)),0,
         IF(OFFSET(CRONOPLE!$F$15,$M227-$A$15,CA$13)=0,10^12,OFFSET(CRONOPLE!$F$15,$M227-$A$15,CA$13)))</f>
        <v>9</v>
      </c>
      <c r="CB227" s="171">
        <f ca="1">IF(OR($D227&lt;&gt;"Serviço",AND(AUTOEVENTO="Manual",$M227=$A$15)),0,
         IF(OFFSET(CRONOPLE!$F$15,$M227-$A$15,CB$13)=0,10^12,OFFSET(CRONOPLE!$F$15,$M227-$A$15,CB$13)))</f>
        <v>10</v>
      </c>
      <c r="CC227" s="171">
        <f ca="1">IF(OR($D227&lt;&gt;"Serviço",AND(AUTOEVENTO="Manual",$M227=$A$15)),0,
         IF(OFFSET(CRONOPLE!$F$15,$M227-$A$15,CC$13)=0,10^12,OFFSET(CRONOPLE!$F$15,$M227-$A$15,CC$13)))</f>
        <v>11</v>
      </c>
      <c r="CD227" s="171">
        <f ca="1">IF(OR($D227&lt;&gt;"Serviço",AND(AUTOEVENTO="Manual",$M227=$A$15)),0,
         IF(OFFSET(CRONOPLE!$F$15,$M227-$A$15,CD$13)=0,10^12,OFFSET(CRONOPLE!$F$15,$M227-$A$15,CD$13)))</f>
        <v>12</v>
      </c>
      <c r="CE227" s="171">
        <f ca="1">IF(OR($D227&lt;&gt;"Serviço",AND(AUTOEVENTO="Manual",$M227=$A$15)),0,
         IF(OFFSET(CRONOPLE!$F$15,$M227-$A$15,CE$13)=0,10^12,OFFSET(CRONOPLE!$F$15,$M227-$A$15,CE$13)))</f>
        <v>13</v>
      </c>
      <c r="CF227" s="171">
        <f ca="1">IF(OR($D227&lt;&gt;"Serviço",AND(AUTOEVENTO="Manual",$M227=$A$15)),0,
         IF(OFFSET(CRONOPLE!$F$15,$M227-$A$15,CF$13)=0,10^12,OFFSET(CRONOPLE!$F$15,$M227-$A$15,CF$13)))</f>
        <v>14</v>
      </c>
      <c r="CG227" s="171">
        <f ca="1">IF(OR($D227&lt;&gt;"Serviço",AND(AUTOEVENTO="Manual",$M227=$A$15)),0,
         IF(OFFSET(CRONOPLE!$F$15,$M227-$A$15,CG$13)=0,10^12,OFFSET(CRONOPLE!$F$15,$M227-$A$15,CG$13)))</f>
        <v>15</v>
      </c>
      <c r="CH227" s="171">
        <f ca="1">IF(OR($D227&lt;&gt;"Serviço",AND(AUTOEVENTO="Manual",$M227=$A$15)),0,
         IF(OFFSET(CRONOPLE!$F$15,$M227-$A$15,CH$13)=0,10^12,OFFSET(CRONOPLE!$F$15,$M227-$A$15,CH$13)))</f>
        <v>16</v>
      </c>
      <c r="CI227" s="171">
        <f ca="1">IF(OR($D227&lt;&gt;"Serviço",AND(AUTOEVENTO="Manual",$M227=$A$15)),0,
         IF(OFFSET(CRONOPLE!$F$15,$M227-$A$15,CI$13)=0,10^12,OFFSET(CRONOPLE!$F$15,$M227-$A$15,CI$13)))</f>
        <v>17</v>
      </c>
      <c r="CJ227" s="171">
        <f ca="1">IF(OR($D227&lt;&gt;"Serviço",AND(AUTOEVENTO="Manual",$M227=$A$15)),0,
         IF(OFFSET(CRONOPLE!$F$15,$M227-$A$15,CJ$13)=0,10^12,OFFSET(CRONOPLE!$F$15,$M227-$A$15,CJ$13)))</f>
        <v>18</v>
      </c>
      <c r="CK227" s="171">
        <f ca="1">IF(OR($D227&lt;&gt;"Serviço",AND(AUTOEVENTO="Manual",$M227=$A$15)),0,
         IF(OFFSET(CRONOPLE!$F$15,$M227-$A$15,CK$13)=0,10^12,OFFSET(CRONOPLE!$F$15,$M227-$A$15,CK$13)))</f>
        <v>19</v>
      </c>
      <c r="CL227" s="171">
        <f ca="1">IF(OR($D227&lt;&gt;"Serviço",AND(AUTOEVENTO="Manual",$M227=$A$15)),0,
         IF(OFFSET(CRONOPLE!$F$15,$M227-$A$15,CL$13)=0,10^12,OFFSET(CRONOPLE!$F$15,$M227-$A$15,CL$13)))</f>
        <v>20</v>
      </c>
      <c r="CM227" s="171">
        <f ca="1">IF(OR($D227&lt;&gt;"Serviço",AND(AUTOEVENTO="Manual",$M227=$A$15)),0,
         IF(OFFSET(CRONOPLE!$F$15,$M227-$A$15,CM$13)=0,10^12,OFFSET(CRONOPLE!$F$15,$M227-$A$15,CM$13)))</f>
        <v>1000000000000</v>
      </c>
      <c r="CN227" s="171">
        <f ca="1">IF(OR($D227&lt;&gt;"Serviço",AND(AUTOEVENTO="Manual",$M227=$A$15)),0,
         IF(OFFSET(CRONOPLE!$F$15,$M227-$A$15,CN$13)=0,10^12,OFFSET(CRONOPLE!$F$15,$M227-$A$15,CN$13)))</f>
        <v>1000000000000</v>
      </c>
      <c r="CO227" s="171">
        <f ca="1">IF(OR($D227&lt;&gt;"Serviço",AND(AUTOEVENTO="Manual",$M227=$A$15)),0,
         IF(OFFSET(CRONOPLE!$F$15,$M227-$A$15,CO$13)=0,10^12,OFFSET(CRONOPLE!$F$15,$M227-$A$15,CO$13)))</f>
        <v>1000000000000</v>
      </c>
      <c r="CP227" s="171">
        <f ca="1">IF(OR($D227&lt;&gt;"Serviço",AND(AUTOEVENTO="Manual",$M227=$A$15)),0,
         IF(OFFSET(CRONOPLE!$F$15,$M227-$A$15,CP$13)=0,10^12,OFFSET(CRONOPLE!$F$15,$M227-$A$15,CP$13)))</f>
        <v>1000000000000</v>
      </c>
      <c r="CQ227" s="171">
        <f ca="1">IF(OR($D227&lt;&gt;"Serviço",AND(AUTOEVENTO="Manual",$M227=$A$15)),0,
         IF(OFFSET(CRONOPLE!$F$15,$M227-$A$15,CQ$13)=0,10^12,OFFSET(CRONOPLE!$F$15,$M227-$A$15,CQ$13)))</f>
        <v>1000000000000</v>
      </c>
      <c r="CR227" s="171">
        <f ca="1">IF(OR($D227&lt;&gt;"Serviço",AND(AUTOEVENTO="Manual",$M227=$A$15)),0,
         IF(OFFSET(CRONOPLE!$F$15,$M227-$A$15,CR$13)=0,10^12,OFFSET(CRONOPLE!$F$15,$M227-$A$15,CR$13)))</f>
        <v>1000000000000</v>
      </c>
      <c r="CT227" s="172" cm="1">
        <f t="array" aca="1" ref="CT227" ca="1">IF(OR($D227&lt;&gt;"Serviço",AND(AUTOEVENTO="Manual",$M227=$A$15),$M227&gt;(ROW(PLE.lastrow)-ROW(PLE.firstrow))),0,
           IF(OFFSET(PLE!$G$15,$M227-$A$15,CT$13)="",10^12,OFFSET(PLE!$G$15,$M227-$A$15,CT$13)))</f>
        <v>1000000000000</v>
      </c>
      <c r="CU227" s="172" cm="1">
        <f t="array" aca="1" ref="CU227" ca="1">IF(OR($D227&lt;&gt;"Serviço",AND(AUTOEVENTO="Manual",$M227=$A$15),$M227&gt;(ROW(PLE.lastrow)-ROW(PLE.firstrow))),0,
           IF(OFFSET(PLE!$G$15,$M227-$A$15,CU$13)="",10^12,OFFSET(PLE!$G$15,$M227-$A$15,CU$13)))</f>
        <v>1000000000000</v>
      </c>
      <c r="CV227" s="172" cm="1">
        <f t="array" aca="1" ref="CV227" ca="1">IF(OR($D227&lt;&gt;"Serviço",AND(AUTOEVENTO="Manual",$M227=$A$15),$M227&gt;(ROW(PLE.lastrow)-ROW(PLE.firstrow))),0,
           IF(OFFSET(PLE!$G$15,$M227-$A$15,CV$13)="",10^12,OFFSET(PLE!$G$15,$M227-$A$15,CV$13)))</f>
        <v>1000000000000</v>
      </c>
      <c r="CW227" s="172" cm="1">
        <f t="array" aca="1" ref="CW227" ca="1">IF(OR($D227&lt;&gt;"Serviço",AND(AUTOEVENTO="Manual",$M227=$A$15),$M227&gt;(ROW(PLE.lastrow)-ROW(PLE.firstrow))),0,
           IF(OFFSET(PLE!$G$15,$M227-$A$15,CW$13)="",10^12,OFFSET(PLE!$G$15,$M227-$A$15,CW$13)))</f>
        <v>1000000000000</v>
      </c>
      <c r="CX227" s="172" cm="1">
        <f t="array" aca="1" ref="CX227" ca="1">IF(OR($D227&lt;&gt;"Serviço",AND(AUTOEVENTO="Manual",$M227=$A$15),$M227&gt;(ROW(PLE.lastrow)-ROW(PLE.firstrow))),0,
           IF(OFFSET(PLE!$G$15,$M227-$A$15,CX$13)="",10^12,OFFSET(PLE!$G$15,$M227-$A$15,CX$13)))</f>
        <v>1000000000000</v>
      </c>
      <c r="CY227" s="172" cm="1">
        <f t="array" aca="1" ref="CY227" ca="1">IF(OR($D227&lt;&gt;"Serviço",AND(AUTOEVENTO="Manual",$M227=$A$15),$M227&gt;(ROW(PLE.lastrow)-ROW(PLE.firstrow))),0,
           IF(OFFSET(PLE!$G$15,$M227-$A$15,CY$13)="",10^12,OFFSET(PLE!$G$15,$M227-$A$15,CY$13)))</f>
        <v>1000000000000</v>
      </c>
      <c r="CZ227" s="172" cm="1">
        <f t="array" aca="1" ref="CZ227" ca="1">IF(OR($D227&lt;&gt;"Serviço",AND(AUTOEVENTO="Manual",$M227=$A$15),$M227&gt;(ROW(PLE.lastrow)-ROW(PLE.firstrow))),0,
           IF(OFFSET(PLE!$G$15,$M227-$A$15,CZ$13)="",10^12,OFFSET(PLE!$G$15,$M227-$A$15,CZ$13)))</f>
        <v>1000000000000</v>
      </c>
      <c r="DA227" s="172" cm="1">
        <f t="array" aca="1" ref="DA227" ca="1">IF(OR($D227&lt;&gt;"Serviço",AND(AUTOEVENTO="Manual",$M227=$A$15),$M227&gt;(ROW(PLE.lastrow)-ROW(PLE.firstrow))),0,
           IF(OFFSET(PLE!$G$15,$M227-$A$15,DA$13)="",10^12,OFFSET(PLE!$G$15,$M227-$A$15,DA$13)))</f>
        <v>1000000000000</v>
      </c>
      <c r="DB227" s="172" cm="1">
        <f t="array" aca="1" ref="DB227" ca="1">IF(OR($D227&lt;&gt;"Serviço",AND(AUTOEVENTO="Manual",$M227=$A$15),$M227&gt;(ROW(PLE.lastrow)-ROW(PLE.firstrow))),0,
           IF(OFFSET(PLE!$G$15,$M227-$A$15,DB$13)="",10^12,OFFSET(PLE!$G$15,$M227-$A$15,DB$13)))</f>
        <v>1000000000000</v>
      </c>
      <c r="DC227" s="172" cm="1">
        <f t="array" aca="1" ref="DC227" ca="1">IF(OR($D227&lt;&gt;"Serviço",AND(AUTOEVENTO="Manual",$M227=$A$15),$M227&gt;(ROW(PLE.lastrow)-ROW(PLE.firstrow))),0,
           IF(OFFSET(PLE!$G$15,$M227-$A$15,DC$13)="",10^12,OFFSET(PLE!$G$15,$M227-$A$15,DC$13)))</f>
        <v>1000000000000</v>
      </c>
      <c r="DD227" s="172" cm="1">
        <f t="array" aca="1" ref="DD227" ca="1">IF(OR($D227&lt;&gt;"Serviço",AND(AUTOEVENTO="Manual",$M227=$A$15),$M227&gt;(ROW(PLE.lastrow)-ROW(PLE.firstrow))),0,
           IF(OFFSET(PLE!$G$15,$M227-$A$15,DD$13)="",10^12,OFFSET(PLE!$G$15,$M227-$A$15,DD$13)))</f>
        <v>1000000000000</v>
      </c>
      <c r="DE227" s="172" cm="1">
        <f t="array" aca="1" ref="DE227" ca="1">IF(OR($D227&lt;&gt;"Serviço",AND(AUTOEVENTO="Manual",$M227=$A$15),$M227&gt;(ROW(PLE.lastrow)-ROW(PLE.firstrow))),0,
           IF(OFFSET(PLE!$G$15,$M227-$A$15,DE$13)="",10^12,OFFSET(PLE!$G$15,$M227-$A$15,DE$13)))</f>
        <v>1000000000000</v>
      </c>
      <c r="DF227" s="172" cm="1">
        <f t="array" aca="1" ref="DF227" ca="1">IF(OR($D227&lt;&gt;"Serviço",AND(AUTOEVENTO="Manual",$M227=$A$15),$M227&gt;(ROW(PLE.lastrow)-ROW(PLE.firstrow))),0,
           IF(OFFSET(PLE!$G$15,$M227-$A$15,DF$13)="",10^12,OFFSET(PLE!$G$15,$M227-$A$15,DF$13)))</f>
        <v>1000000000000</v>
      </c>
      <c r="DG227" s="172" cm="1">
        <f t="array" aca="1" ref="DG227" ca="1">IF(OR($D227&lt;&gt;"Serviço",AND(AUTOEVENTO="Manual",$M227=$A$15),$M227&gt;(ROW(PLE.lastrow)-ROW(PLE.firstrow))),0,
           IF(OFFSET(PLE!$G$15,$M227-$A$15,DG$13)="",10^12,OFFSET(PLE!$G$15,$M227-$A$15,DG$13)))</f>
        <v>1000000000000</v>
      </c>
      <c r="DH227" s="172" cm="1">
        <f t="array" aca="1" ref="DH227" ca="1">IF(OR($D227&lt;&gt;"Serviço",AND(AUTOEVENTO="Manual",$M227=$A$15),$M227&gt;(ROW(PLE.lastrow)-ROW(PLE.firstrow))),0,
           IF(OFFSET(PLE!$G$15,$M227-$A$15,DH$13)="",10^12,OFFSET(PLE!$G$15,$M227-$A$15,DH$13)))</f>
        <v>1000000000000</v>
      </c>
      <c r="DI227" s="172" cm="1">
        <f t="array" aca="1" ref="DI227" ca="1">IF(OR($D227&lt;&gt;"Serviço",AND(AUTOEVENTO="Manual",$M227=$A$15),$M227&gt;(ROW(PLE.lastrow)-ROW(PLE.firstrow))),0,
           IF(OFFSET(PLE!$G$15,$M227-$A$15,DI$13)="",10^12,OFFSET(PLE!$G$15,$M227-$A$15,DI$13)))</f>
        <v>1000000000000</v>
      </c>
      <c r="DJ227" s="172" cm="1">
        <f t="array" aca="1" ref="DJ227" ca="1">IF(OR($D227&lt;&gt;"Serviço",AND(AUTOEVENTO="Manual",$M227=$A$15),$M227&gt;(ROW(PLE.lastrow)-ROW(PLE.firstrow))),0,
           IF(OFFSET(PLE!$G$15,$M227-$A$15,DJ$13)="",10^12,OFFSET(PLE!$G$15,$M227-$A$15,DJ$13)))</f>
        <v>1000000000000</v>
      </c>
      <c r="DK227" s="172" cm="1">
        <f t="array" aca="1" ref="DK227" ca="1">IF(OR($D227&lt;&gt;"Serviço",AND(AUTOEVENTO="Manual",$M227=$A$15),$M227&gt;(ROW(PLE.lastrow)-ROW(PLE.firstrow))),0,
           IF(OFFSET(PLE!$G$15,$M227-$A$15,DK$13)="",10^12,OFFSET(PLE!$G$15,$M227-$A$15,DK$13)))</f>
        <v>1000000000000</v>
      </c>
      <c r="DL227" s="172" cm="1">
        <f t="array" aca="1" ref="DL227" ca="1">IF(OR($D227&lt;&gt;"Serviço",AND(AUTOEVENTO="Manual",$M227=$A$15),$M227&gt;(ROW(PLE.lastrow)-ROW(PLE.firstrow))),0,
           IF(OFFSET(PLE!$G$15,$M227-$A$15,DL$13)="",10^12,OFFSET(PLE!$G$15,$M227-$A$15,DL$13)))</f>
        <v>1000000000000</v>
      </c>
      <c r="DM227" s="172" cm="1">
        <f t="array" aca="1" ref="DM227" ca="1">IF(OR($D227&lt;&gt;"Serviço",AND(AUTOEVENTO="Manual",$M227=$A$15),$M227&gt;(ROW(PLE.lastrow)-ROW(PLE.firstrow))),0,
           IF(OFFSET(PLE!$G$15,$M227-$A$15,DM$13)="",10^12,OFFSET(PLE!$G$15,$M227-$A$15,DM$13)))</f>
        <v>1000000000000</v>
      </c>
      <c r="DN227" s="172" cm="1">
        <f t="array" aca="1" ref="DN227" ca="1">IF(OR($D227&lt;&gt;"Serviço",AND(AUTOEVENTO="Manual",$M227=$A$15),$M227&gt;(ROW(PLE.lastrow)-ROW(PLE.firstrow))),0,
           IF(OFFSET(PLE!$G$15,$M227-$A$15,DN$13)="",10^12,OFFSET(PLE!$G$15,$M227-$A$15,DN$13)))</f>
        <v>1000000000000</v>
      </c>
      <c r="DO227" s="172" cm="1">
        <f t="array" aca="1" ref="DO227" ca="1">IF(OR($D227&lt;&gt;"Serviço",AND(AUTOEVENTO="Manual",$M227=$A$15),$M227&gt;(ROW(PLE.lastrow)-ROW(PLE.firstrow))),0,
           IF(OFFSET(PLE!$G$15,$M227-$A$15,DO$13)="",10^12,OFFSET(PLE!$G$15,$M227-$A$15,DO$13)))</f>
        <v>1000000000000</v>
      </c>
      <c r="DP227" s="172" cm="1">
        <f t="array" aca="1" ref="DP227" ca="1">IF(OR($D227&lt;&gt;"Serviço",AND(AUTOEVENTO="Manual",$M227=$A$15),$M227&gt;(ROW(PLE.lastrow)-ROW(PLE.firstrow))),0,
           IF(OFFSET(PLE!$G$15,$M227-$A$15,DP$13)="",10^12,OFFSET(PLE!$G$15,$M227-$A$15,DP$13)))</f>
        <v>1000000000000</v>
      </c>
      <c r="DQ227" s="172" cm="1">
        <f t="array" aca="1" ref="DQ227" ca="1">IF(OR($D227&lt;&gt;"Serviço",AND(AUTOEVENTO="Manual",$M227=$A$15),$M227&gt;(ROW(PLE.lastrow)-ROW(PLE.firstrow))),0,
           IF(OFFSET(PLE!$G$15,$M227-$A$15,DQ$13)="",10^12,OFFSET(PLE!$G$15,$M227-$A$15,DQ$13)))</f>
        <v>1000000000000</v>
      </c>
      <c r="DR227" s="172" cm="1">
        <f t="array" aca="1" ref="DR227" ca="1">IF(OR($D227&lt;&gt;"Serviço",AND(AUTOEVENTO="Manual",$M227=$A$15),$M227&gt;(ROW(PLE.lastrow)-ROW(PLE.firstrow))),0,
           IF(OFFSET(PLE!$G$15,$M227-$A$15,DR$13)="",10^12,OFFSET(PLE!$G$15,$M227-$A$15,DR$13)))</f>
        <v>1000000000000</v>
      </c>
      <c r="DS227" s="172" cm="1">
        <f t="array" aca="1" ref="DS227" ca="1">IF(OR($D227&lt;&gt;"Serviço",AND(AUTOEVENTO="Manual",$M227=$A$15),$M227&gt;(ROW(PLE.lastrow)-ROW(PLE.firstrow))),0,
           IF(OFFSET(PLE!$G$15,$M227-$A$15,DS$13)="",10^12,OFFSET(PLE!$G$15,$M227-$A$15,DS$13)))</f>
        <v>1000000000000</v>
      </c>
    </row>
    <row r="228" spans="1:123" ht="63.75" x14ac:dyDescent="0.2">
      <c r="A228" s="7">
        <f t="shared" ca="1" si="19"/>
        <v>9</v>
      </c>
      <c r="B228" s="7" t="str">
        <f ca="1">OFFSET(ORÇAMENTO!C$15,$L228,0)</f>
        <v>S</v>
      </c>
      <c r="C228" s="7" t="str">
        <f ca="1">OFFSET(ORÇAMENTO!L$15,$L228,0)</f>
        <v/>
      </c>
      <c r="D228" s="116" t="str">
        <f ca="1">OFFSET(ORÇAMENTO!N$15,$L228,0)</f>
        <v>Serviço</v>
      </c>
      <c r="E228" s="117" t="str">
        <f ca="1">OFFSET(ORÇAMENTO!O$15,$L228,0)</f>
        <v>-</v>
      </c>
      <c r="F228" s="163" t="str">
        <f ca="1">OFFSET(ORÇAMENTO!R$15,$L228,0)</f>
        <v>(Código não identificado nas referências)</v>
      </c>
      <c r="G228" s="164" t="str">
        <f ca="1">IF($D228&lt;&gt;"Serviço","",OFFSET(ORÇAMENTO!S$15,$L228,0))</f>
        <v>-</v>
      </c>
      <c r="H228" s="122" cm="1">
        <f t="array" aca="1" ref="H228" ca="1">IF($D228&lt;&gt;"Serviço",0,IF(ACOMPANHAMENTO="BM",ROUND(OFFSET(ORÇAMENTO!AJ$15,$L228,0),15-13*ORÇAMENTO!$AF$7),IF(IFERROR(CÁLCULO.FrentesPreenchidas,0)=0,0,SUM(ROUND(OFFSET($P228,0,1,1,CÁLCULO.FrentesPreenchidas),15-13*ORÇAMENTO!$AF$7)))))</f>
        <v>20</v>
      </c>
      <c r="I228" s="468" t="s">
        <v>1235</v>
      </c>
      <c r="J228" s="651" t="str" cm="1">
        <f t="array" aca="1" ref="J228" ca="1">IF(OR(B228&lt;&gt;"S",CÁLCULO.FrentesPreenchidas=0),"",IF(AND(ACOMPANHAMENTO="PLE",AUTOEVENTO="Manual",OR(H228&gt;0,ORÇAMENTO!AC228="QUANT."),OR(K228="",M228=0,N228="")),"►E",IF(AND(ACOMPANHAMENTO="PLE",ORÇAMENTO!AC228="QUANT."),"►Q",IF(AND(ACOMPANHAMENTO="PLE",H228&lt;&gt;SUMPRODUCT(($Q$1:$AQ$1=1)*ROUND(Q228:AQ228,15))),"►S",IF(AND(COUNTIF($P$11:$AQ$11,"▼")=0,H228&gt;0,I228=""),"◄M","")))))</f>
        <v/>
      </c>
      <c r="K228" s="652" t="s">
        <v>1257</v>
      </c>
      <c r="L228" s="165">
        <f t="shared" ca="1" si="20"/>
        <v>213</v>
      </c>
      <c r="M228" s="166">
        <f ca="1">IF($D228&lt;&gt;"Serviço","",
          IF(AUTOEVENTO="manual",$A228,
                IF(ISERROR(MATCH($A228,$A$15:OFFSET($A228,-1,0),0)),MAX($M$15:OFFSET(M228,-1,0))+1,
                      INDEX($M$15:OFFSET(M228,-1,0),MATCH($A228,$A$15:OFFSET($A228,-1,0),0)))))</f>
        <v>9</v>
      </c>
      <c r="N228" s="167" t="str">
        <f ca="1">IF($D228&lt;&gt;"Serviço","",
         IF(AUTOEVENTO="Manual",
                IF($A228=0,"&lt;-- defina o número do agrupador",
                       OFFSET(EVENTOS!$D$15,$A228-$A$15,0)),
                OFFSET($F$15,$A228,0)))</f>
        <v>INSTALAÇÕES</v>
      </c>
      <c r="O228" s="168"/>
      <c r="Q228" s="168">
        <v>1</v>
      </c>
      <c r="R228" s="169">
        <v>1</v>
      </c>
      <c r="S228" s="169">
        <v>1</v>
      </c>
      <c r="T228" s="169">
        <v>1</v>
      </c>
      <c r="U228" s="169">
        <v>1</v>
      </c>
      <c r="V228" s="169">
        <v>1</v>
      </c>
      <c r="W228" s="169">
        <v>1</v>
      </c>
      <c r="X228" s="169">
        <v>1</v>
      </c>
      <c r="Y228" s="169">
        <v>1</v>
      </c>
      <c r="Z228" s="170">
        <v>1</v>
      </c>
      <c r="AA228" s="169">
        <v>1</v>
      </c>
      <c r="AB228" s="169">
        <v>1</v>
      </c>
      <c r="AC228" s="169">
        <v>1</v>
      </c>
      <c r="AD228" s="169">
        <v>1</v>
      </c>
      <c r="AE228" s="169">
        <v>1</v>
      </c>
      <c r="AF228" s="169">
        <v>1</v>
      </c>
      <c r="AG228" s="169">
        <v>1</v>
      </c>
      <c r="AH228" s="170">
        <v>1</v>
      </c>
      <c r="AI228" s="169">
        <v>1</v>
      </c>
      <c r="AJ228" s="169">
        <v>1</v>
      </c>
      <c r="AK228" s="169"/>
      <c r="AL228" s="169"/>
      <c r="AM228" s="169"/>
      <c r="AN228" s="169"/>
      <c r="AO228" s="169"/>
      <c r="AP228" s="170"/>
      <c r="AR228" s="453">
        <f ca="1">IF(AND($D228="Serviço",AR$12&lt;&gt;0,$H228&gt;0,OR(AUTOEVENTO&lt;&gt;"manual",$M228&lt;&gt;$A$15)),
        IF(Import.TipoArredondamento&lt;&gt;"TransfereGOV",
              ROUND(OFFSET($P228,0,AR$13),15-13*ORÇAMENTO!$AF$7)/$H228*OFFSET(ORÇAMENTO!$X$15,ROW(AR228)-ROW(AR$15),0),
              ROUND(ROUND(OFFSET($P228,0,AR$13),15-13*ORÇAMENTO!$AF$7)*OFFSET(ORÇAMENTO!$W$15,ROW(AR228)-ROW(AR$15),0),15-13*ORÇAMENTO!$AF$11)),
         0)</f>
        <v>0</v>
      </c>
      <c r="AS228" s="453">
        <f ca="1">IF(AND($D228="Serviço",AS$12&lt;&gt;0,$H228&gt;0,OR(AUTOEVENTO&lt;&gt;"manual",$M228&lt;&gt;$A$15)),
        IF(Import.TipoArredondamento&lt;&gt;"TransfereGOV",
              ROUND(OFFSET($P228,0,AS$13),15-13*ORÇAMENTO!$AF$7)/$H228*OFFSET(ORÇAMENTO!$X$15,ROW(AS228)-ROW(AS$15),0),
              ROUND(ROUND(OFFSET($P228,0,AS$13),15-13*ORÇAMENTO!$AF$7)*OFFSET(ORÇAMENTO!$W$15,ROW(AS228)-ROW(AS$15),0),15-13*ORÇAMENTO!$AF$11)),
         0)</f>
        <v>0</v>
      </c>
      <c r="AT228" s="453">
        <f ca="1">IF(AND($D228="Serviço",AT$12&lt;&gt;0,$H228&gt;0,OR(AUTOEVENTO&lt;&gt;"manual",$M228&lt;&gt;$A$15)),
        IF(Import.TipoArredondamento&lt;&gt;"TransfereGOV",
              ROUND(OFFSET($P228,0,AT$13),15-13*ORÇAMENTO!$AF$7)/$H228*OFFSET(ORÇAMENTO!$X$15,ROW(AT228)-ROW(AT$15),0),
              ROUND(ROUND(OFFSET($P228,0,AT$13),15-13*ORÇAMENTO!$AF$7)*OFFSET(ORÇAMENTO!$W$15,ROW(AT228)-ROW(AT$15),0),15-13*ORÇAMENTO!$AF$11)),
         0)</f>
        <v>0</v>
      </c>
      <c r="AU228" s="453">
        <f ca="1">IF(AND($D228="Serviço",AU$12&lt;&gt;0,$H228&gt;0,OR(AUTOEVENTO&lt;&gt;"manual",$M228&lt;&gt;$A$15)),
        IF(Import.TipoArredondamento&lt;&gt;"TransfereGOV",
              ROUND(OFFSET($P228,0,AU$13),15-13*ORÇAMENTO!$AF$7)/$H228*OFFSET(ORÇAMENTO!$X$15,ROW(AU228)-ROW(AU$15),0),
              ROUND(ROUND(OFFSET($P228,0,AU$13),15-13*ORÇAMENTO!$AF$7)*OFFSET(ORÇAMENTO!$W$15,ROW(AU228)-ROW(AU$15),0),15-13*ORÇAMENTO!$AF$11)),
         0)</f>
        <v>0</v>
      </c>
      <c r="AV228" s="453">
        <f ca="1">IF(AND($D228="Serviço",AV$12&lt;&gt;0,$H228&gt;0,OR(AUTOEVENTO&lt;&gt;"manual",$M228&lt;&gt;$A$15)),
        IF(Import.TipoArredondamento&lt;&gt;"TransfereGOV",
              ROUND(OFFSET($P228,0,AV$13),15-13*ORÇAMENTO!$AF$7)/$H228*OFFSET(ORÇAMENTO!$X$15,ROW(AV228)-ROW(AV$15),0),
              ROUND(ROUND(OFFSET($P228,0,AV$13),15-13*ORÇAMENTO!$AF$7)*OFFSET(ORÇAMENTO!$W$15,ROW(AV228)-ROW(AV$15),0),15-13*ORÇAMENTO!$AF$11)),
         0)</f>
        <v>0</v>
      </c>
      <c r="AW228" s="453">
        <f ca="1">IF(AND($D228="Serviço",AW$12&lt;&gt;0,$H228&gt;0,OR(AUTOEVENTO&lt;&gt;"manual",$M228&lt;&gt;$A$15)),
        IF(Import.TipoArredondamento&lt;&gt;"TransfereGOV",
              ROUND(OFFSET($P228,0,AW$13),15-13*ORÇAMENTO!$AF$7)/$H228*OFFSET(ORÇAMENTO!$X$15,ROW(AW228)-ROW(AW$15),0),
              ROUND(ROUND(OFFSET($P228,0,AW$13),15-13*ORÇAMENTO!$AF$7)*OFFSET(ORÇAMENTO!$W$15,ROW(AW228)-ROW(AW$15),0),15-13*ORÇAMENTO!$AF$11)),
         0)</f>
        <v>0</v>
      </c>
      <c r="AX228" s="453">
        <f ca="1">IF(AND($D228="Serviço",AX$12&lt;&gt;0,$H228&gt;0,OR(AUTOEVENTO&lt;&gt;"manual",$M228&lt;&gt;$A$15)),
        IF(Import.TipoArredondamento&lt;&gt;"TransfereGOV",
              ROUND(OFFSET($P228,0,AX$13),15-13*ORÇAMENTO!$AF$7)/$H228*OFFSET(ORÇAMENTO!$X$15,ROW(AX228)-ROW(AX$15),0),
              ROUND(ROUND(OFFSET($P228,0,AX$13),15-13*ORÇAMENTO!$AF$7)*OFFSET(ORÇAMENTO!$W$15,ROW(AX228)-ROW(AX$15),0),15-13*ORÇAMENTO!$AF$11)),
         0)</f>
        <v>0</v>
      </c>
      <c r="AY228" s="453">
        <f ca="1">IF(AND($D228="Serviço",AY$12&lt;&gt;0,$H228&gt;0,OR(AUTOEVENTO&lt;&gt;"manual",$M228&lt;&gt;$A$15)),
        IF(Import.TipoArredondamento&lt;&gt;"TransfereGOV",
              ROUND(OFFSET($P228,0,AY$13),15-13*ORÇAMENTO!$AF$7)/$H228*OFFSET(ORÇAMENTO!$X$15,ROW(AY228)-ROW(AY$15),0),
              ROUND(ROUND(OFFSET($P228,0,AY$13),15-13*ORÇAMENTO!$AF$7)*OFFSET(ORÇAMENTO!$W$15,ROW(AY228)-ROW(AY$15),0),15-13*ORÇAMENTO!$AF$11)),
         0)</f>
        <v>0</v>
      </c>
      <c r="AZ228" s="453">
        <f ca="1">IF(AND($D228="Serviço",AZ$12&lt;&gt;0,$H228&gt;0,OR(AUTOEVENTO&lt;&gt;"manual",$M228&lt;&gt;$A$15)),
        IF(Import.TipoArredondamento&lt;&gt;"TransfereGOV",
              ROUND(OFFSET($P228,0,AZ$13),15-13*ORÇAMENTO!$AF$7)/$H228*OFFSET(ORÇAMENTO!$X$15,ROW(AZ228)-ROW(AZ$15),0),
              ROUND(ROUND(OFFSET($P228,0,AZ$13),15-13*ORÇAMENTO!$AF$7)*OFFSET(ORÇAMENTO!$W$15,ROW(AZ228)-ROW(AZ$15),0),15-13*ORÇAMENTO!$AF$11)),
         0)</f>
        <v>0</v>
      </c>
      <c r="BA228" s="453">
        <f ca="1">IF(AND($D228="Serviço",BA$12&lt;&gt;0,$H228&gt;0,OR(AUTOEVENTO&lt;&gt;"manual",$M228&lt;&gt;$A$15)),
        IF(Import.TipoArredondamento&lt;&gt;"TransfereGOV",
              ROUND(OFFSET($P228,0,BA$13),15-13*ORÇAMENTO!$AF$7)/$H228*OFFSET(ORÇAMENTO!$X$15,ROW(BA228)-ROW(BA$15),0),
              ROUND(ROUND(OFFSET($P228,0,BA$13),15-13*ORÇAMENTO!$AF$7)*OFFSET(ORÇAMENTO!$W$15,ROW(BA228)-ROW(BA$15),0),15-13*ORÇAMENTO!$AF$11)),
         0)</f>
        <v>0</v>
      </c>
      <c r="BB228" s="453">
        <f ca="1">IF(AND($D228="Serviço",BB$12&lt;&gt;0,$H228&gt;0,OR(AUTOEVENTO&lt;&gt;"manual",$M228&lt;&gt;$A$15)),
        IF(Import.TipoArredondamento&lt;&gt;"TransfereGOV",
              ROUND(OFFSET($P228,0,BB$13),15-13*ORÇAMENTO!$AF$7)/$H228*OFFSET(ORÇAMENTO!$X$15,ROW(BB228)-ROW(BB$15),0),
              ROUND(ROUND(OFFSET($P228,0,BB$13),15-13*ORÇAMENTO!$AF$7)*OFFSET(ORÇAMENTO!$W$15,ROW(BB228)-ROW(BB$15),0),15-13*ORÇAMENTO!$AF$11)),
         0)</f>
        <v>0</v>
      </c>
      <c r="BC228" s="453">
        <f ca="1">IF(AND($D228="Serviço",BC$12&lt;&gt;0,$H228&gt;0,OR(AUTOEVENTO&lt;&gt;"manual",$M228&lt;&gt;$A$15)),
        IF(Import.TipoArredondamento&lt;&gt;"TransfereGOV",
              ROUND(OFFSET($P228,0,BC$13),15-13*ORÇAMENTO!$AF$7)/$H228*OFFSET(ORÇAMENTO!$X$15,ROW(BC228)-ROW(BC$15),0),
              ROUND(ROUND(OFFSET($P228,0,BC$13),15-13*ORÇAMENTO!$AF$7)*OFFSET(ORÇAMENTO!$W$15,ROW(BC228)-ROW(BC$15),0),15-13*ORÇAMENTO!$AF$11)),
         0)</f>
        <v>0</v>
      </c>
      <c r="BD228" s="453">
        <f ca="1">IF(AND($D228="Serviço",BD$12&lt;&gt;0,$H228&gt;0,OR(AUTOEVENTO&lt;&gt;"manual",$M228&lt;&gt;$A$15)),
        IF(Import.TipoArredondamento&lt;&gt;"TransfereGOV",
              ROUND(OFFSET($P228,0,BD$13),15-13*ORÇAMENTO!$AF$7)/$H228*OFFSET(ORÇAMENTO!$X$15,ROW(BD228)-ROW(BD$15),0),
              ROUND(ROUND(OFFSET($P228,0,BD$13),15-13*ORÇAMENTO!$AF$7)*OFFSET(ORÇAMENTO!$W$15,ROW(BD228)-ROW(BD$15),0),15-13*ORÇAMENTO!$AF$11)),
         0)</f>
        <v>0</v>
      </c>
      <c r="BE228" s="453">
        <f ca="1">IF(AND($D228="Serviço",BE$12&lt;&gt;0,$H228&gt;0,OR(AUTOEVENTO&lt;&gt;"manual",$M228&lt;&gt;$A$15)),
        IF(Import.TipoArredondamento&lt;&gt;"TransfereGOV",
              ROUND(OFFSET($P228,0,BE$13),15-13*ORÇAMENTO!$AF$7)/$H228*OFFSET(ORÇAMENTO!$X$15,ROW(BE228)-ROW(BE$15),0),
              ROUND(ROUND(OFFSET($P228,0,BE$13),15-13*ORÇAMENTO!$AF$7)*OFFSET(ORÇAMENTO!$W$15,ROW(BE228)-ROW(BE$15),0),15-13*ORÇAMENTO!$AF$11)),
         0)</f>
        <v>0</v>
      </c>
      <c r="BF228" s="453">
        <f ca="1">IF(AND($D228="Serviço",BF$12&lt;&gt;0,$H228&gt;0,OR(AUTOEVENTO&lt;&gt;"manual",$M228&lt;&gt;$A$15)),
        IF(Import.TipoArredondamento&lt;&gt;"TransfereGOV",
              ROUND(OFFSET($P228,0,BF$13),15-13*ORÇAMENTO!$AF$7)/$H228*OFFSET(ORÇAMENTO!$X$15,ROW(BF228)-ROW(BF$15),0),
              ROUND(ROUND(OFFSET($P228,0,BF$13),15-13*ORÇAMENTO!$AF$7)*OFFSET(ORÇAMENTO!$W$15,ROW(BF228)-ROW(BF$15),0),15-13*ORÇAMENTO!$AF$11)),
         0)</f>
        <v>0</v>
      </c>
      <c r="BG228" s="453">
        <f ca="1">IF(AND($D228="Serviço",BG$12&lt;&gt;0,$H228&gt;0,OR(AUTOEVENTO&lt;&gt;"manual",$M228&lt;&gt;$A$15)),
        IF(Import.TipoArredondamento&lt;&gt;"TransfereGOV",
              ROUND(OFFSET($P228,0,BG$13),15-13*ORÇAMENTO!$AF$7)/$H228*OFFSET(ORÇAMENTO!$X$15,ROW(BG228)-ROW(BG$15),0),
              ROUND(ROUND(OFFSET($P228,0,BG$13),15-13*ORÇAMENTO!$AF$7)*OFFSET(ORÇAMENTO!$W$15,ROW(BG228)-ROW(BG$15),0),15-13*ORÇAMENTO!$AF$11)),
         0)</f>
        <v>0</v>
      </c>
      <c r="BH228" s="453">
        <f ca="1">IF(AND($D228="Serviço",BH$12&lt;&gt;0,$H228&gt;0,OR(AUTOEVENTO&lt;&gt;"manual",$M228&lt;&gt;$A$15)),
        IF(Import.TipoArredondamento&lt;&gt;"TransfereGOV",
              ROUND(OFFSET($P228,0,BH$13),15-13*ORÇAMENTO!$AF$7)/$H228*OFFSET(ORÇAMENTO!$X$15,ROW(BH228)-ROW(BH$15),0),
              ROUND(ROUND(OFFSET($P228,0,BH$13),15-13*ORÇAMENTO!$AF$7)*OFFSET(ORÇAMENTO!$W$15,ROW(BH228)-ROW(BH$15),0),15-13*ORÇAMENTO!$AF$11)),
         0)</f>
        <v>0</v>
      </c>
      <c r="BI228" s="453">
        <f ca="1">IF(AND($D228="Serviço",BI$12&lt;&gt;0,$H228&gt;0,OR(AUTOEVENTO&lt;&gt;"manual",$M228&lt;&gt;$A$15)),
        IF(Import.TipoArredondamento&lt;&gt;"TransfereGOV",
              ROUND(OFFSET($P228,0,BI$13),15-13*ORÇAMENTO!$AF$7)/$H228*OFFSET(ORÇAMENTO!$X$15,ROW(BI228)-ROW(BI$15),0),
              ROUND(ROUND(OFFSET($P228,0,BI$13),15-13*ORÇAMENTO!$AF$7)*OFFSET(ORÇAMENTO!$W$15,ROW(BI228)-ROW(BI$15),0),15-13*ORÇAMENTO!$AF$11)),
         0)</f>
        <v>0</v>
      </c>
      <c r="BJ228" s="453">
        <f ca="1">IF(AND($D228="Serviço",BJ$12&lt;&gt;0,$H228&gt;0,OR(AUTOEVENTO&lt;&gt;"manual",$M228&lt;&gt;$A$15)),
        IF(Import.TipoArredondamento&lt;&gt;"TransfereGOV",
              ROUND(OFFSET($P228,0,BJ$13),15-13*ORÇAMENTO!$AF$7)/$H228*OFFSET(ORÇAMENTO!$X$15,ROW(BJ228)-ROW(BJ$15),0),
              ROUND(ROUND(OFFSET($P228,0,BJ$13),15-13*ORÇAMENTO!$AF$7)*OFFSET(ORÇAMENTO!$W$15,ROW(BJ228)-ROW(BJ$15),0),15-13*ORÇAMENTO!$AF$11)),
         0)</f>
        <v>0</v>
      </c>
      <c r="BK228" s="453">
        <f ca="1">IF(AND($D228="Serviço",BK$12&lt;&gt;0,$H228&gt;0,OR(AUTOEVENTO&lt;&gt;"manual",$M228&lt;&gt;$A$15)),
        IF(Import.TipoArredondamento&lt;&gt;"TransfereGOV",
              ROUND(OFFSET($P228,0,BK$13),15-13*ORÇAMENTO!$AF$7)/$H228*OFFSET(ORÇAMENTO!$X$15,ROW(BK228)-ROW(BK$15),0),
              ROUND(ROUND(OFFSET($P228,0,BK$13),15-13*ORÇAMENTO!$AF$7)*OFFSET(ORÇAMENTO!$W$15,ROW(BK228)-ROW(BK$15),0),15-13*ORÇAMENTO!$AF$11)),
         0)</f>
        <v>0</v>
      </c>
      <c r="BL228" s="453">
        <f ca="1">IF(AND($D228="Serviço",BL$12&lt;&gt;0,$H228&gt;0,OR(AUTOEVENTO&lt;&gt;"manual",$M228&lt;&gt;$A$15)),
        IF(Import.TipoArredondamento&lt;&gt;"TransfereGOV",
              ROUND(OFFSET($P228,0,BL$13),15-13*ORÇAMENTO!$AF$7)/$H228*OFFSET(ORÇAMENTO!$X$15,ROW(BL228)-ROW(BL$15),0),
              ROUND(ROUND(OFFSET($P228,0,BL$13),15-13*ORÇAMENTO!$AF$7)*OFFSET(ORÇAMENTO!$W$15,ROW(BL228)-ROW(BL$15),0),15-13*ORÇAMENTO!$AF$11)),
         0)</f>
        <v>0</v>
      </c>
      <c r="BM228" s="453">
        <f ca="1">IF(AND($D228="Serviço",BM$12&lt;&gt;0,$H228&gt;0,OR(AUTOEVENTO&lt;&gt;"manual",$M228&lt;&gt;$A$15)),
        IF(Import.TipoArredondamento&lt;&gt;"TransfereGOV",
              ROUND(OFFSET($P228,0,BM$13),15-13*ORÇAMENTO!$AF$7)/$H228*OFFSET(ORÇAMENTO!$X$15,ROW(BM228)-ROW(BM$15),0),
              ROUND(ROUND(OFFSET($P228,0,BM$13),15-13*ORÇAMENTO!$AF$7)*OFFSET(ORÇAMENTO!$W$15,ROW(BM228)-ROW(BM$15),0),15-13*ORÇAMENTO!$AF$11)),
         0)</f>
        <v>0</v>
      </c>
      <c r="BN228" s="453">
        <f ca="1">IF(AND($D228="Serviço",BN$12&lt;&gt;0,$H228&gt;0,OR(AUTOEVENTO&lt;&gt;"manual",$M228&lt;&gt;$A$15)),
        IF(Import.TipoArredondamento&lt;&gt;"TransfereGOV",
              ROUND(OFFSET($P228,0,BN$13),15-13*ORÇAMENTO!$AF$7)/$H228*OFFSET(ORÇAMENTO!$X$15,ROW(BN228)-ROW(BN$15),0),
              ROUND(ROUND(OFFSET($P228,0,BN$13),15-13*ORÇAMENTO!$AF$7)*OFFSET(ORÇAMENTO!$W$15,ROW(BN228)-ROW(BN$15),0),15-13*ORÇAMENTO!$AF$11)),
         0)</f>
        <v>0</v>
      </c>
      <c r="BO228" s="453">
        <f ca="1">IF(AND($D228="Serviço",BO$12&lt;&gt;0,$H228&gt;0,OR(AUTOEVENTO&lt;&gt;"manual",$M228&lt;&gt;$A$15)),
        IF(Import.TipoArredondamento&lt;&gt;"TransfereGOV",
              ROUND(OFFSET($P228,0,BO$13),15-13*ORÇAMENTO!$AF$7)/$H228*OFFSET(ORÇAMENTO!$X$15,ROW(BO228)-ROW(BO$15),0),
              ROUND(ROUND(OFFSET($P228,0,BO$13),15-13*ORÇAMENTO!$AF$7)*OFFSET(ORÇAMENTO!$W$15,ROW(BO228)-ROW(BO$15),0),15-13*ORÇAMENTO!$AF$11)),
         0)</f>
        <v>0</v>
      </c>
      <c r="BP228" s="453">
        <f ca="1">IF(AND($D228="Serviço",BP$12&lt;&gt;0,$H228&gt;0,OR(AUTOEVENTO&lt;&gt;"manual",$M228&lt;&gt;$A$15)),
        IF(Import.TipoArredondamento&lt;&gt;"TransfereGOV",
              ROUND(OFFSET($P228,0,BP$13),15-13*ORÇAMENTO!$AF$7)/$H228*OFFSET(ORÇAMENTO!$X$15,ROW(BP228)-ROW(BP$15),0),
              ROUND(ROUND(OFFSET($P228,0,BP$13),15-13*ORÇAMENTO!$AF$7)*OFFSET(ORÇAMENTO!$W$15,ROW(BP228)-ROW(BP$15),0),15-13*ORÇAMENTO!$AF$11)),
         0)</f>
        <v>0</v>
      </c>
      <c r="BQ228" s="453">
        <f ca="1">IF(AND($D228="Serviço",BQ$12&lt;&gt;0,$H228&gt;0,OR(AUTOEVENTO&lt;&gt;"manual",$M228&lt;&gt;$A$15)),
        IF(Import.TipoArredondamento&lt;&gt;"TransfereGOV",
              ROUND(OFFSET($P228,0,BQ$13),15-13*ORÇAMENTO!$AF$7)/$H228*OFFSET(ORÇAMENTO!$X$15,ROW(BQ228)-ROW(BQ$15),0),
              ROUND(ROUND(OFFSET($P228,0,BQ$13),15-13*ORÇAMENTO!$AF$7)*OFFSET(ORÇAMENTO!$W$15,ROW(BQ228)-ROW(BQ$15),0),15-13*ORÇAMENTO!$AF$11)),
         0)</f>
        <v>0</v>
      </c>
      <c r="BS228" s="171">
        <f ca="1">IF(OR($D228&lt;&gt;"Serviço",AND(AUTOEVENTO="Manual",$M228=$A$15)),0,
         IF(OFFSET(CRONOPLE!$F$15,$M228-$A$15,BS$13)=0,10^12,OFFSET(CRONOPLE!$F$15,$M228-$A$15,BS$13)))</f>
        <v>1</v>
      </c>
      <c r="BT228" s="171">
        <f ca="1">IF(OR($D228&lt;&gt;"Serviço",AND(AUTOEVENTO="Manual",$M228=$A$15)),0,
         IF(OFFSET(CRONOPLE!$F$15,$M228-$A$15,BT$13)=0,10^12,OFFSET(CRONOPLE!$F$15,$M228-$A$15,BT$13)))</f>
        <v>2</v>
      </c>
      <c r="BU228" s="171">
        <f ca="1">IF(OR($D228&lt;&gt;"Serviço",AND(AUTOEVENTO="Manual",$M228=$A$15)),0,
         IF(OFFSET(CRONOPLE!$F$15,$M228-$A$15,BU$13)=0,10^12,OFFSET(CRONOPLE!$F$15,$M228-$A$15,BU$13)))</f>
        <v>3</v>
      </c>
      <c r="BV228" s="171">
        <f ca="1">IF(OR($D228&lt;&gt;"Serviço",AND(AUTOEVENTO="Manual",$M228=$A$15)),0,
         IF(OFFSET(CRONOPLE!$F$15,$M228-$A$15,BV$13)=0,10^12,OFFSET(CRONOPLE!$F$15,$M228-$A$15,BV$13)))</f>
        <v>4</v>
      </c>
      <c r="BW228" s="171">
        <f ca="1">IF(OR($D228&lt;&gt;"Serviço",AND(AUTOEVENTO="Manual",$M228=$A$15)),0,
         IF(OFFSET(CRONOPLE!$F$15,$M228-$A$15,BW$13)=0,10^12,OFFSET(CRONOPLE!$F$15,$M228-$A$15,BW$13)))</f>
        <v>5</v>
      </c>
      <c r="BX228" s="171">
        <f ca="1">IF(OR($D228&lt;&gt;"Serviço",AND(AUTOEVENTO="Manual",$M228=$A$15)),0,
         IF(OFFSET(CRONOPLE!$F$15,$M228-$A$15,BX$13)=0,10^12,OFFSET(CRONOPLE!$F$15,$M228-$A$15,BX$13)))</f>
        <v>6</v>
      </c>
      <c r="BY228" s="171">
        <f ca="1">IF(OR($D228&lt;&gt;"Serviço",AND(AUTOEVENTO="Manual",$M228=$A$15)),0,
         IF(OFFSET(CRONOPLE!$F$15,$M228-$A$15,BY$13)=0,10^12,OFFSET(CRONOPLE!$F$15,$M228-$A$15,BY$13)))</f>
        <v>7</v>
      </c>
      <c r="BZ228" s="171">
        <f ca="1">IF(OR($D228&lt;&gt;"Serviço",AND(AUTOEVENTO="Manual",$M228=$A$15)),0,
         IF(OFFSET(CRONOPLE!$F$15,$M228-$A$15,BZ$13)=0,10^12,OFFSET(CRONOPLE!$F$15,$M228-$A$15,BZ$13)))</f>
        <v>8</v>
      </c>
      <c r="CA228" s="171">
        <f ca="1">IF(OR($D228&lt;&gt;"Serviço",AND(AUTOEVENTO="Manual",$M228=$A$15)),0,
         IF(OFFSET(CRONOPLE!$F$15,$M228-$A$15,CA$13)=0,10^12,OFFSET(CRONOPLE!$F$15,$M228-$A$15,CA$13)))</f>
        <v>9</v>
      </c>
      <c r="CB228" s="171">
        <f ca="1">IF(OR($D228&lt;&gt;"Serviço",AND(AUTOEVENTO="Manual",$M228=$A$15)),0,
         IF(OFFSET(CRONOPLE!$F$15,$M228-$A$15,CB$13)=0,10^12,OFFSET(CRONOPLE!$F$15,$M228-$A$15,CB$13)))</f>
        <v>10</v>
      </c>
      <c r="CC228" s="171">
        <f ca="1">IF(OR($D228&lt;&gt;"Serviço",AND(AUTOEVENTO="Manual",$M228=$A$15)),0,
         IF(OFFSET(CRONOPLE!$F$15,$M228-$A$15,CC$13)=0,10^12,OFFSET(CRONOPLE!$F$15,$M228-$A$15,CC$13)))</f>
        <v>11</v>
      </c>
      <c r="CD228" s="171">
        <f ca="1">IF(OR($D228&lt;&gt;"Serviço",AND(AUTOEVENTO="Manual",$M228=$A$15)),0,
         IF(OFFSET(CRONOPLE!$F$15,$M228-$A$15,CD$13)=0,10^12,OFFSET(CRONOPLE!$F$15,$M228-$A$15,CD$13)))</f>
        <v>12</v>
      </c>
      <c r="CE228" s="171">
        <f ca="1">IF(OR($D228&lt;&gt;"Serviço",AND(AUTOEVENTO="Manual",$M228=$A$15)),0,
         IF(OFFSET(CRONOPLE!$F$15,$M228-$A$15,CE$13)=0,10^12,OFFSET(CRONOPLE!$F$15,$M228-$A$15,CE$13)))</f>
        <v>13</v>
      </c>
      <c r="CF228" s="171">
        <f ca="1">IF(OR($D228&lt;&gt;"Serviço",AND(AUTOEVENTO="Manual",$M228=$A$15)),0,
         IF(OFFSET(CRONOPLE!$F$15,$M228-$A$15,CF$13)=0,10^12,OFFSET(CRONOPLE!$F$15,$M228-$A$15,CF$13)))</f>
        <v>14</v>
      </c>
      <c r="CG228" s="171">
        <f ca="1">IF(OR($D228&lt;&gt;"Serviço",AND(AUTOEVENTO="Manual",$M228=$A$15)),0,
         IF(OFFSET(CRONOPLE!$F$15,$M228-$A$15,CG$13)=0,10^12,OFFSET(CRONOPLE!$F$15,$M228-$A$15,CG$13)))</f>
        <v>15</v>
      </c>
      <c r="CH228" s="171">
        <f ca="1">IF(OR($D228&lt;&gt;"Serviço",AND(AUTOEVENTO="Manual",$M228=$A$15)),0,
         IF(OFFSET(CRONOPLE!$F$15,$M228-$A$15,CH$13)=0,10^12,OFFSET(CRONOPLE!$F$15,$M228-$A$15,CH$13)))</f>
        <v>16</v>
      </c>
      <c r="CI228" s="171">
        <f ca="1">IF(OR($D228&lt;&gt;"Serviço",AND(AUTOEVENTO="Manual",$M228=$A$15)),0,
         IF(OFFSET(CRONOPLE!$F$15,$M228-$A$15,CI$13)=0,10^12,OFFSET(CRONOPLE!$F$15,$M228-$A$15,CI$13)))</f>
        <v>17</v>
      </c>
      <c r="CJ228" s="171">
        <f ca="1">IF(OR($D228&lt;&gt;"Serviço",AND(AUTOEVENTO="Manual",$M228=$A$15)),0,
         IF(OFFSET(CRONOPLE!$F$15,$M228-$A$15,CJ$13)=0,10^12,OFFSET(CRONOPLE!$F$15,$M228-$A$15,CJ$13)))</f>
        <v>18</v>
      </c>
      <c r="CK228" s="171">
        <f ca="1">IF(OR($D228&lt;&gt;"Serviço",AND(AUTOEVENTO="Manual",$M228=$A$15)),0,
         IF(OFFSET(CRONOPLE!$F$15,$M228-$A$15,CK$13)=0,10^12,OFFSET(CRONOPLE!$F$15,$M228-$A$15,CK$13)))</f>
        <v>19</v>
      </c>
      <c r="CL228" s="171">
        <f ca="1">IF(OR($D228&lt;&gt;"Serviço",AND(AUTOEVENTO="Manual",$M228=$A$15)),0,
         IF(OFFSET(CRONOPLE!$F$15,$M228-$A$15,CL$13)=0,10^12,OFFSET(CRONOPLE!$F$15,$M228-$A$15,CL$13)))</f>
        <v>20</v>
      </c>
      <c r="CM228" s="171">
        <f ca="1">IF(OR($D228&lt;&gt;"Serviço",AND(AUTOEVENTO="Manual",$M228=$A$15)),0,
         IF(OFFSET(CRONOPLE!$F$15,$M228-$A$15,CM$13)=0,10^12,OFFSET(CRONOPLE!$F$15,$M228-$A$15,CM$13)))</f>
        <v>1000000000000</v>
      </c>
      <c r="CN228" s="171">
        <f ca="1">IF(OR($D228&lt;&gt;"Serviço",AND(AUTOEVENTO="Manual",$M228=$A$15)),0,
         IF(OFFSET(CRONOPLE!$F$15,$M228-$A$15,CN$13)=0,10^12,OFFSET(CRONOPLE!$F$15,$M228-$A$15,CN$13)))</f>
        <v>1000000000000</v>
      </c>
      <c r="CO228" s="171">
        <f ca="1">IF(OR($D228&lt;&gt;"Serviço",AND(AUTOEVENTO="Manual",$M228=$A$15)),0,
         IF(OFFSET(CRONOPLE!$F$15,$M228-$A$15,CO$13)=0,10^12,OFFSET(CRONOPLE!$F$15,$M228-$A$15,CO$13)))</f>
        <v>1000000000000</v>
      </c>
      <c r="CP228" s="171">
        <f ca="1">IF(OR($D228&lt;&gt;"Serviço",AND(AUTOEVENTO="Manual",$M228=$A$15)),0,
         IF(OFFSET(CRONOPLE!$F$15,$M228-$A$15,CP$13)=0,10^12,OFFSET(CRONOPLE!$F$15,$M228-$A$15,CP$13)))</f>
        <v>1000000000000</v>
      </c>
      <c r="CQ228" s="171">
        <f ca="1">IF(OR($D228&lt;&gt;"Serviço",AND(AUTOEVENTO="Manual",$M228=$A$15)),0,
         IF(OFFSET(CRONOPLE!$F$15,$M228-$A$15,CQ$13)=0,10^12,OFFSET(CRONOPLE!$F$15,$M228-$A$15,CQ$13)))</f>
        <v>1000000000000</v>
      </c>
      <c r="CR228" s="171">
        <f ca="1">IF(OR($D228&lt;&gt;"Serviço",AND(AUTOEVENTO="Manual",$M228=$A$15)),0,
         IF(OFFSET(CRONOPLE!$F$15,$M228-$A$15,CR$13)=0,10^12,OFFSET(CRONOPLE!$F$15,$M228-$A$15,CR$13)))</f>
        <v>1000000000000</v>
      </c>
      <c r="CT228" s="172" cm="1">
        <f t="array" aca="1" ref="CT228" ca="1">IF(OR($D228&lt;&gt;"Serviço",AND(AUTOEVENTO="Manual",$M228=$A$15),$M228&gt;(ROW(PLE.lastrow)-ROW(PLE.firstrow))),0,
           IF(OFFSET(PLE!$G$15,$M228-$A$15,CT$13)="",10^12,OFFSET(PLE!$G$15,$M228-$A$15,CT$13)))</f>
        <v>1000000000000</v>
      </c>
      <c r="CU228" s="172" cm="1">
        <f t="array" aca="1" ref="CU228" ca="1">IF(OR($D228&lt;&gt;"Serviço",AND(AUTOEVENTO="Manual",$M228=$A$15),$M228&gt;(ROW(PLE.lastrow)-ROW(PLE.firstrow))),0,
           IF(OFFSET(PLE!$G$15,$M228-$A$15,CU$13)="",10^12,OFFSET(PLE!$G$15,$M228-$A$15,CU$13)))</f>
        <v>1000000000000</v>
      </c>
      <c r="CV228" s="172" cm="1">
        <f t="array" aca="1" ref="CV228" ca="1">IF(OR($D228&lt;&gt;"Serviço",AND(AUTOEVENTO="Manual",$M228=$A$15),$M228&gt;(ROW(PLE.lastrow)-ROW(PLE.firstrow))),0,
           IF(OFFSET(PLE!$G$15,$M228-$A$15,CV$13)="",10^12,OFFSET(PLE!$G$15,$M228-$A$15,CV$13)))</f>
        <v>1000000000000</v>
      </c>
      <c r="CW228" s="172" cm="1">
        <f t="array" aca="1" ref="CW228" ca="1">IF(OR($D228&lt;&gt;"Serviço",AND(AUTOEVENTO="Manual",$M228=$A$15),$M228&gt;(ROW(PLE.lastrow)-ROW(PLE.firstrow))),0,
           IF(OFFSET(PLE!$G$15,$M228-$A$15,CW$13)="",10^12,OFFSET(PLE!$G$15,$M228-$A$15,CW$13)))</f>
        <v>1000000000000</v>
      </c>
      <c r="CX228" s="172" cm="1">
        <f t="array" aca="1" ref="CX228" ca="1">IF(OR($D228&lt;&gt;"Serviço",AND(AUTOEVENTO="Manual",$M228=$A$15),$M228&gt;(ROW(PLE.lastrow)-ROW(PLE.firstrow))),0,
           IF(OFFSET(PLE!$G$15,$M228-$A$15,CX$13)="",10^12,OFFSET(PLE!$G$15,$M228-$A$15,CX$13)))</f>
        <v>1000000000000</v>
      </c>
      <c r="CY228" s="172" cm="1">
        <f t="array" aca="1" ref="CY228" ca="1">IF(OR($D228&lt;&gt;"Serviço",AND(AUTOEVENTO="Manual",$M228=$A$15),$M228&gt;(ROW(PLE.lastrow)-ROW(PLE.firstrow))),0,
           IF(OFFSET(PLE!$G$15,$M228-$A$15,CY$13)="",10^12,OFFSET(PLE!$G$15,$M228-$A$15,CY$13)))</f>
        <v>1000000000000</v>
      </c>
      <c r="CZ228" s="172" cm="1">
        <f t="array" aca="1" ref="CZ228" ca="1">IF(OR($D228&lt;&gt;"Serviço",AND(AUTOEVENTO="Manual",$M228=$A$15),$M228&gt;(ROW(PLE.lastrow)-ROW(PLE.firstrow))),0,
           IF(OFFSET(PLE!$G$15,$M228-$A$15,CZ$13)="",10^12,OFFSET(PLE!$G$15,$M228-$A$15,CZ$13)))</f>
        <v>1000000000000</v>
      </c>
      <c r="DA228" s="172" cm="1">
        <f t="array" aca="1" ref="DA228" ca="1">IF(OR($D228&lt;&gt;"Serviço",AND(AUTOEVENTO="Manual",$M228=$A$15),$M228&gt;(ROW(PLE.lastrow)-ROW(PLE.firstrow))),0,
           IF(OFFSET(PLE!$G$15,$M228-$A$15,DA$13)="",10^12,OFFSET(PLE!$G$15,$M228-$A$15,DA$13)))</f>
        <v>1000000000000</v>
      </c>
      <c r="DB228" s="172" cm="1">
        <f t="array" aca="1" ref="DB228" ca="1">IF(OR($D228&lt;&gt;"Serviço",AND(AUTOEVENTO="Manual",$M228=$A$15),$M228&gt;(ROW(PLE.lastrow)-ROW(PLE.firstrow))),0,
           IF(OFFSET(PLE!$G$15,$M228-$A$15,DB$13)="",10^12,OFFSET(PLE!$G$15,$M228-$A$15,DB$13)))</f>
        <v>1000000000000</v>
      </c>
      <c r="DC228" s="172" cm="1">
        <f t="array" aca="1" ref="DC228" ca="1">IF(OR($D228&lt;&gt;"Serviço",AND(AUTOEVENTO="Manual",$M228=$A$15),$M228&gt;(ROW(PLE.lastrow)-ROW(PLE.firstrow))),0,
           IF(OFFSET(PLE!$G$15,$M228-$A$15,DC$13)="",10^12,OFFSET(PLE!$G$15,$M228-$A$15,DC$13)))</f>
        <v>1000000000000</v>
      </c>
      <c r="DD228" s="172" cm="1">
        <f t="array" aca="1" ref="DD228" ca="1">IF(OR($D228&lt;&gt;"Serviço",AND(AUTOEVENTO="Manual",$M228=$A$15),$M228&gt;(ROW(PLE.lastrow)-ROW(PLE.firstrow))),0,
           IF(OFFSET(PLE!$G$15,$M228-$A$15,DD$13)="",10^12,OFFSET(PLE!$G$15,$M228-$A$15,DD$13)))</f>
        <v>1000000000000</v>
      </c>
      <c r="DE228" s="172" cm="1">
        <f t="array" aca="1" ref="DE228" ca="1">IF(OR($D228&lt;&gt;"Serviço",AND(AUTOEVENTO="Manual",$M228=$A$15),$M228&gt;(ROW(PLE.lastrow)-ROW(PLE.firstrow))),0,
           IF(OFFSET(PLE!$G$15,$M228-$A$15,DE$13)="",10^12,OFFSET(PLE!$G$15,$M228-$A$15,DE$13)))</f>
        <v>1000000000000</v>
      </c>
      <c r="DF228" s="172" cm="1">
        <f t="array" aca="1" ref="DF228" ca="1">IF(OR($D228&lt;&gt;"Serviço",AND(AUTOEVENTO="Manual",$M228=$A$15),$M228&gt;(ROW(PLE.lastrow)-ROW(PLE.firstrow))),0,
           IF(OFFSET(PLE!$G$15,$M228-$A$15,DF$13)="",10^12,OFFSET(PLE!$G$15,$M228-$A$15,DF$13)))</f>
        <v>1000000000000</v>
      </c>
      <c r="DG228" s="172" cm="1">
        <f t="array" aca="1" ref="DG228" ca="1">IF(OR($D228&lt;&gt;"Serviço",AND(AUTOEVENTO="Manual",$M228=$A$15),$M228&gt;(ROW(PLE.lastrow)-ROW(PLE.firstrow))),0,
           IF(OFFSET(PLE!$G$15,$M228-$A$15,DG$13)="",10^12,OFFSET(PLE!$G$15,$M228-$A$15,DG$13)))</f>
        <v>1000000000000</v>
      </c>
      <c r="DH228" s="172" cm="1">
        <f t="array" aca="1" ref="DH228" ca="1">IF(OR($D228&lt;&gt;"Serviço",AND(AUTOEVENTO="Manual",$M228=$A$15),$M228&gt;(ROW(PLE.lastrow)-ROW(PLE.firstrow))),0,
           IF(OFFSET(PLE!$G$15,$M228-$A$15,DH$13)="",10^12,OFFSET(PLE!$G$15,$M228-$A$15,DH$13)))</f>
        <v>1000000000000</v>
      </c>
      <c r="DI228" s="172" cm="1">
        <f t="array" aca="1" ref="DI228" ca="1">IF(OR($D228&lt;&gt;"Serviço",AND(AUTOEVENTO="Manual",$M228=$A$15),$M228&gt;(ROW(PLE.lastrow)-ROW(PLE.firstrow))),0,
           IF(OFFSET(PLE!$G$15,$M228-$A$15,DI$13)="",10^12,OFFSET(PLE!$G$15,$M228-$A$15,DI$13)))</f>
        <v>1000000000000</v>
      </c>
      <c r="DJ228" s="172" cm="1">
        <f t="array" aca="1" ref="DJ228" ca="1">IF(OR($D228&lt;&gt;"Serviço",AND(AUTOEVENTO="Manual",$M228=$A$15),$M228&gt;(ROW(PLE.lastrow)-ROW(PLE.firstrow))),0,
           IF(OFFSET(PLE!$G$15,$M228-$A$15,DJ$13)="",10^12,OFFSET(PLE!$G$15,$M228-$A$15,DJ$13)))</f>
        <v>1000000000000</v>
      </c>
      <c r="DK228" s="172" cm="1">
        <f t="array" aca="1" ref="DK228" ca="1">IF(OR($D228&lt;&gt;"Serviço",AND(AUTOEVENTO="Manual",$M228=$A$15),$M228&gt;(ROW(PLE.lastrow)-ROW(PLE.firstrow))),0,
           IF(OFFSET(PLE!$G$15,$M228-$A$15,DK$13)="",10^12,OFFSET(PLE!$G$15,$M228-$A$15,DK$13)))</f>
        <v>1000000000000</v>
      </c>
      <c r="DL228" s="172" cm="1">
        <f t="array" aca="1" ref="DL228" ca="1">IF(OR($D228&lt;&gt;"Serviço",AND(AUTOEVENTO="Manual",$M228=$A$15),$M228&gt;(ROW(PLE.lastrow)-ROW(PLE.firstrow))),0,
           IF(OFFSET(PLE!$G$15,$M228-$A$15,DL$13)="",10^12,OFFSET(PLE!$G$15,$M228-$A$15,DL$13)))</f>
        <v>1000000000000</v>
      </c>
      <c r="DM228" s="172" cm="1">
        <f t="array" aca="1" ref="DM228" ca="1">IF(OR($D228&lt;&gt;"Serviço",AND(AUTOEVENTO="Manual",$M228=$A$15),$M228&gt;(ROW(PLE.lastrow)-ROW(PLE.firstrow))),0,
           IF(OFFSET(PLE!$G$15,$M228-$A$15,DM$13)="",10^12,OFFSET(PLE!$G$15,$M228-$A$15,DM$13)))</f>
        <v>1000000000000</v>
      </c>
      <c r="DN228" s="172" cm="1">
        <f t="array" aca="1" ref="DN228" ca="1">IF(OR($D228&lt;&gt;"Serviço",AND(AUTOEVENTO="Manual",$M228=$A$15),$M228&gt;(ROW(PLE.lastrow)-ROW(PLE.firstrow))),0,
           IF(OFFSET(PLE!$G$15,$M228-$A$15,DN$13)="",10^12,OFFSET(PLE!$G$15,$M228-$A$15,DN$13)))</f>
        <v>1000000000000</v>
      </c>
      <c r="DO228" s="172" cm="1">
        <f t="array" aca="1" ref="DO228" ca="1">IF(OR($D228&lt;&gt;"Serviço",AND(AUTOEVENTO="Manual",$M228=$A$15),$M228&gt;(ROW(PLE.lastrow)-ROW(PLE.firstrow))),0,
           IF(OFFSET(PLE!$G$15,$M228-$A$15,DO$13)="",10^12,OFFSET(PLE!$G$15,$M228-$A$15,DO$13)))</f>
        <v>1000000000000</v>
      </c>
      <c r="DP228" s="172" cm="1">
        <f t="array" aca="1" ref="DP228" ca="1">IF(OR($D228&lt;&gt;"Serviço",AND(AUTOEVENTO="Manual",$M228=$A$15),$M228&gt;(ROW(PLE.lastrow)-ROW(PLE.firstrow))),0,
           IF(OFFSET(PLE!$G$15,$M228-$A$15,DP$13)="",10^12,OFFSET(PLE!$G$15,$M228-$A$15,DP$13)))</f>
        <v>1000000000000</v>
      </c>
      <c r="DQ228" s="172" cm="1">
        <f t="array" aca="1" ref="DQ228" ca="1">IF(OR($D228&lt;&gt;"Serviço",AND(AUTOEVENTO="Manual",$M228=$A$15),$M228&gt;(ROW(PLE.lastrow)-ROW(PLE.firstrow))),0,
           IF(OFFSET(PLE!$G$15,$M228-$A$15,DQ$13)="",10^12,OFFSET(PLE!$G$15,$M228-$A$15,DQ$13)))</f>
        <v>1000000000000</v>
      </c>
      <c r="DR228" s="172" cm="1">
        <f t="array" aca="1" ref="DR228" ca="1">IF(OR($D228&lt;&gt;"Serviço",AND(AUTOEVENTO="Manual",$M228=$A$15),$M228&gt;(ROW(PLE.lastrow)-ROW(PLE.firstrow))),0,
           IF(OFFSET(PLE!$G$15,$M228-$A$15,DR$13)="",10^12,OFFSET(PLE!$G$15,$M228-$A$15,DR$13)))</f>
        <v>1000000000000</v>
      </c>
      <c r="DS228" s="172" cm="1">
        <f t="array" aca="1" ref="DS228" ca="1">IF(OR($D228&lt;&gt;"Serviço",AND(AUTOEVENTO="Manual",$M228=$A$15),$M228&gt;(ROW(PLE.lastrow)-ROW(PLE.firstrow))),0,
           IF(OFFSET(PLE!$G$15,$M228-$A$15,DS$13)="",10^12,OFFSET(PLE!$G$15,$M228-$A$15,DS$13)))</f>
        <v>1000000000000</v>
      </c>
    </row>
    <row r="229" spans="1:123" ht="51" x14ac:dyDescent="0.2">
      <c r="A229" s="7">
        <f t="shared" ca="1" si="19"/>
        <v>9</v>
      </c>
      <c r="B229" s="7" t="str">
        <f ca="1">OFFSET(ORÇAMENTO!C$15,$L229,0)</f>
        <v>S</v>
      </c>
      <c r="C229" s="7" t="str">
        <f ca="1">OFFSET(ORÇAMENTO!L$15,$L229,0)</f>
        <v/>
      </c>
      <c r="D229" s="116" t="str">
        <f ca="1">OFFSET(ORÇAMENTO!N$15,$L229,0)</f>
        <v>Serviço</v>
      </c>
      <c r="E229" s="117" t="str">
        <f ca="1">OFFSET(ORÇAMENTO!O$15,$L229,0)</f>
        <v>-</v>
      </c>
      <c r="F229" s="163" t="str">
        <f ca="1">OFFSET(ORÇAMENTO!R$15,$L229,0)</f>
        <v>(Código não identificado nas referências)</v>
      </c>
      <c r="G229" s="164" t="str">
        <f ca="1">IF($D229&lt;&gt;"Serviço","",OFFSET(ORÇAMENTO!S$15,$L229,0))</f>
        <v>-</v>
      </c>
      <c r="H229" s="122" cm="1">
        <f t="array" aca="1" ref="H229" ca="1">IF($D229&lt;&gt;"Serviço",0,IF(ACOMPANHAMENTO="BM",ROUND(OFFSET(ORÇAMENTO!AJ$15,$L229,0),15-13*ORÇAMENTO!$AF$7),IF(IFERROR(CÁLCULO.FrentesPreenchidas,0)=0,0,SUM(ROUND(OFFSET($P229,0,1,1,CÁLCULO.FrentesPreenchidas),15-13*ORÇAMENTO!$AF$7)))))</f>
        <v>20</v>
      </c>
      <c r="I229" s="468" t="s">
        <v>1235</v>
      </c>
      <c r="J229" s="651" t="str" cm="1">
        <f t="array" aca="1" ref="J229" ca="1">IF(OR(B229&lt;&gt;"S",CÁLCULO.FrentesPreenchidas=0),"",IF(AND(ACOMPANHAMENTO="PLE",AUTOEVENTO="Manual",OR(H229&gt;0,ORÇAMENTO!AC229="QUANT."),OR(K229="",M229=0,N229="")),"►E",IF(AND(ACOMPANHAMENTO="PLE",ORÇAMENTO!AC229="QUANT."),"►Q",IF(AND(ACOMPANHAMENTO="PLE",H229&lt;&gt;SUMPRODUCT(($Q$1:$AQ$1=1)*ROUND(Q229:AQ229,15))),"►S",IF(AND(COUNTIF($P$11:$AQ$11,"▼")=0,H229&gt;0,I229=""),"◄M","")))))</f>
        <v/>
      </c>
      <c r="K229" s="652" t="s">
        <v>1257</v>
      </c>
      <c r="L229" s="165">
        <f t="shared" ca="1" si="20"/>
        <v>214</v>
      </c>
      <c r="M229" s="166">
        <f ca="1">IF($D229&lt;&gt;"Serviço","",
          IF(AUTOEVENTO="manual",$A229,
                IF(ISERROR(MATCH($A229,$A$15:OFFSET($A229,-1,0),0)),MAX($M$15:OFFSET(M229,-1,0))+1,
                      INDEX($M$15:OFFSET(M229,-1,0),MATCH($A229,$A$15:OFFSET($A229,-1,0),0)))))</f>
        <v>9</v>
      </c>
      <c r="N229" s="167" t="str">
        <f ca="1">IF($D229&lt;&gt;"Serviço","",
         IF(AUTOEVENTO="Manual",
                IF($A229=0,"&lt;-- defina o número do agrupador",
                       OFFSET(EVENTOS!$D$15,$A229-$A$15,0)),
                OFFSET($F$15,$A229,0)))</f>
        <v>INSTALAÇÕES</v>
      </c>
      <c r="O229" s="168"/>
      <c r="Q229" s="168">
        <v>1</v>
      </c>
      <c r="R229" s="169">
        <v>1</v>
      </c>
      <c r="S229" s="169">
        <v>1</v>
      </c>
      <c r="T229" s="169">
        <v>1</v>
      </c>
      <c r="U229" s="169">
        <v>1</v>
      </c>
      <c r="V229" s="169">
        <v>1</v>
      </c>
      <c r="W229" s="169">
        <v>1</v>
      </c>
      <c r="X229" s="169">
        <v>1</v>
      </c>
      <c r="Y229" s="169">
        <v>1</v>
      </c>
      <c r="Z229" s="170">
        <v>1</v>
      </c>
      <c r="AA229" s="169">
        <v>1</v>
      </c>
      <c r="AB229" s="169">
        <v>1</v>
      </c>
      <c r="AC229" s="169">
        <v>1</v>
      </c>
      <c r="AD229" s="169">
        <v>1</v>
      </c>
      <c r="AE229" s="169">
        <v>1</v>
      </c>
      <c r="AF229" s="169">
        <v>1</v>
      </c>
      <c r="AG229" s="169">
        <v>1</v>
      </c>
      <c r="AH229" s="170">
        <v>1</v>
      </c>
      <c r="AI229" s="169">
        <v>1</v>
      </c>
      <c r="AJ229" s="169">
        <v>1</v>
      </c>
      <c r="AK229" s="169"/>
      <c r="AL229" s="169"/>
      <c r="AM229" s="169"/>
      <c r="AN229" s="169"/>
      <c r="AO229" s="169"/>
      <c r="AP229" s="170"/>
      <c r="AR229" s="453">
        <f ca="1">IF(AND($D229="Serviço",AR$12&lt;&gt;0,$H229&gt;0,OR(AUTOEVENTO&lt;&gt;"manual",$M229&lt;&gt;$A$15)),
        IF(Import.TipoArredondamento&lt;&gt;"TransfereGOV",
              ROUND(OFFSET($P229,0,AR$13),15-13*ORÇAMENTO!$AF$7)/$H229*OFFSET(ORÇAMENTO!$X$15,ROW(AR229)-ROW(AR$15),0),
              ROUND(ROUND(OFFSET($P229,0,AR$13),15-13*ORÇAMENTO!$AF$7)*OFFSET(ORÇAMENTO!$W$15,ROW(AR229)-ROW(AR$15),0),15-13*ORÇAMENTO!$AF$11)),
         0)</f>
        <v>0</v>
      </c>
      <c r="AS229" s="453">
        <f ca="1">IF(AND($D229="Serviço",AS$12&lt;&gt;0,$H229&gt;0,OR(AUTOEVENTO&lt;&gt;"manual",$M229&lt;&gt;$A$15)),
        IF(Import.TipoArredondamento&lt;&gt;"TransfereGOV",
              ROUND(OFFSET($P229,0,AS$13),15-13*ORÇAMENTO!$AF$7)/$H229*OFFSET(ORÇAMENTO!$X$15,ROW(AS229)-ROW(AS$15),0),
              ROUND(ROUND(OFFSET($P229,0,AS$13),15-13*ORÇAMENTO!$AF$7)*OFFSET(ORÇAMENTO!$W$15,ROW(AS229)-ROW(AS$15),0),15-13*ORÇAMENTO!$AF$11)),
         0)</f>
        <v>0</v>
      </c>
      <c r="AT229" s="453">
        <f ca="1">IF(AND($D229="Serviço",AT$12&lt;&gt;0,$H229&gt;0,OR(AUTOEVENTO&lt;&gt;"manual",$M229&lt;&gt;$A$15)),
        IF(Import.TipoArredondamento&lt;&gt;"TransfereGOV",
              ROUND(OFFSET($P229,0,AT$13),15-13*ORÇAMENTO!$AF$7)/$H229*OFFSET(ORÇAMENTO!$X$15,ROW(AT229)-ROW(AT$15),0),
              ROUND(ROUND(OFFSET($P229,0,AT$13),15-13*ORÇAMENTO!$AF$7)*OFFSET(ORÇAMENTO!$W$15,ROW(AT229)-ROW(AT$15),0),15-13*ORÇAMENTO!$AF$11)),
         0)</f>
        <v>0</v>
      </c>
      <c r="AU229" s="453">
        <f ca="1">IF(AND($D229="Serviço",AU$12&lt;&gt;0,$H229&gt;0,OR(AUTOEVENTO&lt;&gt;"manual",$M229&lt;&gt;$A$15)),
        IF(Import.TipoArredondamento&lt;&gt;"TransfereGOV",
              ROUND(OFFSET($P229,0,AU$13),15-13*ORÇAMENTO!$AF$7)/$H229*OFFSET(ORÇAMENTO!$X$15,ROW(AU229)-ROW(AU$15),0),
              ROUND(ROUND(OFFSET($P229,0,AU$13),15-13*ORÇAMENTO!$AF$7)*OFFSET(ORÇAMENTO!$W$15,ROW(AU229)-ROW(AU$15),0),15-13*ORÇAMENTO!$AF$11)),
         0)</f>
        <v>0</v>
      </c>
      <c r="AV229" s="453">
        <f ca="1">IF(AND($D229="Serviço",AV$12&lt;&gt;0,$H229&gt;0,OR(AUTOEVENTO&lt;&gt;"manual",$M229&lt;&gt;$A$15)),
        IF(Import.TipoArredondamento&lt;&gt;"TransfereGOV",
              ROUND(OFFSET($P229,0,AV$13),15-13*ORÇAMENTO!$AF$7)/$H229*OFFSET(ORÇAMENTO!$X$15,ROW(AV229)-ROW(AV$15),0),
              ROUND(ROUND(OFFSET($P229,0,AV$13),15-13*ORÇAMENTO!$AF$7)*OFFSET(ORÇAMENTO!$W$15,ROW(AV229)-ROW(AV$15),0),15-13*ORÇAMENTO!$AF$11)),
         0)</f>
        <v>0</v>
      </c>
      <c r="AW229" s="453">
        <f ca="1">IF(AND($D229="Serviço",AW$12&lt;&gt;0,$H229&gt;0,OR(AUTOEVENTO&lt;&gt;"manual",$M229&lt;&gt;$A$15)),
        IF(Import.TipoArredondamento&lt;&gt;"TransfereGOV",
              ROUND(OFFSET($P229,0,AW$13),15-13*ORÇAMENTO!$AF$7)/$H229*OFFSET(ORÇAMENTO!$X$15,ROW(AW229)-ROW(AW$15),0),
              ROUND(ROUND(OFFSET($P229,0,AW$13),15-13*ORÇAMENTO!$AF$7)*OFFSET(ORÇAMENTO!$W$15,ROW(AW229)-ROW(AW$15),0),15-13*ORÇAMENTO!$AF$11)),
         0)</f>
        <v>0</v>
      </c>
      <c r="AX229" s="453">
        <f ca="1">IF(AND($D229="Serviço",AX$12&lt;&gt;0,$H229&gt;0,OR(AUTOEVENTO&lt;&gt;"manual",$M229&lt;&gt;$A$15)),
        IF(Import.TipoArredondamento&lt;&gt;"TransfereGOV",
              ROUND(OFFSET($P229,0,AX$13),15-13*ORÇAMENTO!$AF$7)/$H229*OFFSET(ORÇAMENTO!$X$15,ROW(AX229)-ROW(AX$15),0),
              ROUND(ROUND(OFFSET($P229,0,AX$13),15-13*ORÇAMENTO!$AF$7)*OFFSET(ORÇAMENTO!$W$15,ROW(AX229)-ROW(AX$15),0),15-13*ORÇAMENTO!$AF$11)),
         0)</f>
        <v>0</v>
      </c>
      <c r="AY229" s="453">
        <f ca="1">IF(AND($D229="Serviço",AY$12&lt;&gt;0,$H229&gt;0,OR(AUTOEVENTO&lt;&gt;"manual",$M229&lt;&gt;$A$15)),
        IF(Import.TipoArredondamento&lt;&gt;"TransfereGOV",
              ROUND(OFFSET($P229,0,AY$13),15-13*ORÇAMENTO!$AF$7)/$H229*OFFSET(ORÇAMENTO!$X$15,ROW(AY229)-ROW(AY$15),0),
              ROUND(ROUND(OFFSET($P229,0,AY$13),15-13*ORÇAMENTO!$AF$7)*OFFSET(ORÇAMENTO!$W$15,ROW(AY229)-ROW(AY$15),0),15-13*ORÇAMENTO!$AF$11)),
         0)</f>
        <v>0</v>
      </c>
      <c r="AZ229" s="453">
        <f ca="1">IF(AND($D229="Serviço",AZ$12&lt;&gt;0,$H229&gt;0,OR(AUTOEVENTO&lt;&gt;"manual",$M229&lt;&gt;$A$15)),
        IF(Import.TipoArredondamento&lt;&gt;"TransfereGOV",
              ROUND(OFFSET($P229,0,AZ$13),15-13*ORÇAMENTO!$AF$7)/$H229*OFFSET(ORÇAMENTO!$X$15,ROW(AZ229)-ROW(AZ$15),0),
              ROUND(ROUND(OFFSET($P229,0,AZ$13),15-13*ORÇAMENTO!$AF$7)*OFFSET(ORÇAMENTO!$W$15,ROW(AZ229)-ROW(AZ$15),0),15-13*ORÇAMENTO!$AF$11)),
         0)</f>
        <v>0</v>
      </c>
      <c r="BA229" s="453">
        <f ca="1">IF(AND($D229="Serviço",BA$12&lt;&gt;0,$H229&gt;0,OR(AUTOEVENTO&lt;&gt;"manual",$M229&lt;&gt;$A$15)),
        IF(Import.TipoArredondamento&lt;&gt;"TransfereGOV",
              ROUND(OFFSET($P229,0,BA$13),15-13*ORÇAMENTO!$AF$7)/$H229*OFFSET(ORÇAMENTO!$X$15,ROW(BA229)-ROW(BA$15),0),
              ROUND(ROUND(OFFSET($P229,0,BA$13),15-13*ORÇAMENTO!$AF$7)*OFFSET(ORÇAMENTO!$W$15,ROW(BA229)-ROW(BA$15),0),15-13*ORÇAMENTO!$AF$11)),
         0)</f>
        <v>0</v>
      </c>
      <c r="BB229" s="453">
        <f ca="1">IF(AND($D229="Serviço",BB$12&lt;&gt;0,$H229&gt;0,OR(AUTOEVENTO&lt;&gt;"manual",$M229&lt;&gt;$A$15)),
        IF(Import.TipoArredondamento&lt;&gt;"TransfereGOV",
              ROUND(OFFSET($P229,0,BB$13),15-13*ORÇAMENTO!$AF$7)/$H229*OFFSET(ORÇAMENTO!$X$15,ROW(BB229)-ROW(BB$15),0),
              ROUND(ROUND(OFFSET($P229,0,BB$13),15-13*ORÇAMENTO!$AF$7)*OFFSET(ORÇAMENTO!$W$15,ROW(BB229)-ROW(BB$15),0),15-13*ORÇAMENTO!$AF$11)),
         0)</f>
        <v>0</v>
      </c>
      <c r="BC229" s="453">
        <f ca="1">IF(AND($D229="Serviço",BC$12&lt;&gt;0,$H229&gt;0,OR(AUTOEVENTO&lt;&gt;"manual",$M229&lt;&gt;$A$15)),
        IF(Import.TipoArredondamento&lt;&gt;"TransfereGOV",
              ROUND(OFFSET($P229,0,BC$13),15-13*ORÇAMENTO!$AF$7)/$H229*OFFSET(ORÇAMENTO!$X$15,ROW(BC229)-ROW(BC$15),0),
              ROUND(ROUND(OFFSET($P229,0,BC$13),15-13*ORÇAMENTO!$AF$7)*OFFSET(ORÇAMENTO!$W$15,ROW(BC229)-ROW(BC$15),0),15-13*ORÇAMENTO!$AF$11)),
         0)</f>
        <v>0</v>
      </c>
      <c r="BD229" s="453">
        <f ca="1">IF(AND($D229="Serviço",BD$12&lt;&gt;0,$H229&gt;0,OR(AUTOEVENTO&lt;&gt;"manual",$M229&lt;&gt;$A$15)),
        IF(Import.TipoArredondamento&lt;&gt;"TransfereGOV",
              ROUND(OFFSET($P229,0,BD$13),15-13*ORÇAMENTO!$AF$7)/$H229*OFFSET(ORÇAMENTO!$X$15,ROW(BD229)-ROW(BD$15),0),
              ROUND(ROUND(OFFSET($P229,0,BD$13),15-13*ORÇAMENTO!$AF$7)*OFFSET(ORÇAMENTO!$W$15,ROW(BD229)-ROW(BD$15),0),15-13*ORÇAMENTO!$AF$11)),
         0)</f>
        <v>0</v>
      </c>
      <c r="BE229" s="453">
        <f ca="1">IF(AND($D229="Serviço",BE$12&lt;&gt;0,$H229&gt;0,OR(AUTOEVENTO&lt;&gt;"manual",$M229&lt;&gt;$A$15)),
        IF(Import.TipoArredondamento&lt;&gt;"TransfereGOV",
              ROUND(OFFSET($P229,0,BE$13),15-13*ORÇAMENTO!$AF$7)/$H229*OFFSET(ORÇAMENTO!$X$15,ROW(BE229)-ROW(BE$15),0),
              ROUND(ROUND(OFFSET($P229,0,BE$13),15-13*ORÇAMENTO!$AF$7)*OFFSET(ORÇAMENTO!$W$15,ROW(BE229)-ROW(BE$15),0),15-13*ORÇAMENTO!$AF$11)),
         0)</f>
        <v>0</v>
      </c>
      <c r="BF229" s="453">
        <f ca="1">IF(AND($D229="Serviço",BF$12&lt;&gt;0,$H229&gt;0,OR(AUTOEVENTO&lt;&gt;"manual",$M229&lt;&gt;$A$15)),
        IF(Import.TipoArredondamento&lt;&gt;"TransfereGOV",
              ROUND(OFFSET($P229,0,BF$13),15-13*ORÇAMENTO!$AF$7)/$H229*OFFSET(ORÇAMENTO!$X$15,ROW(BF229)-ROW(BF$15),0),
              ROUND(ROUND(OFFSET($P229,0,BF$13),15-13*ORÇAMENTO!$AF$7)*OFFSET(ORÇAMENTO!$W$15,ROW(BF229)-ROW(BF$15),0),15-13*ORÇAMENTO!$AF$11)),
         0)</f>
        <v>0</v>
      </c>
      <c r="BG229" s="453">
        <f ca="1">IF(AND($D229="Serviço",BG$12&lt;&gt;0,$H229&gt;0,OR(AUTOEVENTO&lt;&gt;"manual",$M229&lt;&gt;$A$15)),
        IF(Import.TipoArredondamento&lt;&gt;"TransfereGOV",
              ROUND(OFFSET($P229,0,BG$13),15-13*ORÇAMENTO!$AF$7)/$H229*OFFSET(ORÇAMENTO!$X$15,ROW(BG229)-ROW(BG$15),0),
              ROUND(ROUND(OFFSET($P229,0,BG$13),15-13*ORÇAMENTO!$AF$7)*OFFSET(ORÇAMENTO!$W$15,ROW(BG229)-ROW(BG$15),0),15-13*ORÇAMENTO!$AF$11)),
         0)</f>
        <v>0</v>
      </c>
      <c r="BH229" s="453">
        <f ca="1">IF(AND($D229="Serviço",BH$12&lt;&gt;0,$H229&gt;0,OR(AUTOEVENTO&lt;&gt;"manual",$M229&lt;&gt;$A$15)),
        IF(Import.TipoArredondamento&lt;&gt;"TransfereGOV",
              ROUND(OFFSET($P229,0,BH$13),15-13*ORÇAMENTO!$AF$7)/$H229*OFFSET(ORÇAMENTO!$X$15,ROW(BH229)-ROW(BH$15),0),
              ROUND(ROUND(OFFSET($P229,0,BH$13),15-13*ORÇAMENTO!$AF$7)*OFFSET(ORÇAMENTO!$W$15,ROW(BH229)-ROW(BH$15),0),15-13*ORÇAMENTO!$AF$11)),
         0)</f>
        <v>0</v>
      </c>
      <c r="BI229" s="453">
        <f ca="1">IF(AND($D229="Serviço",BI$12&lt;&gt;0,$H229&gt;0,OR(AUTOEVENTO&lt;&gt;"manual",$M229&lt;&gt;$A$15)),
        IF(Import.TipoArredondamento&lt;&gt;"TransfereGOV",
              ROUND(OFFSET($P229,0,BI$13),15-13*ORÇAMENTO!$AF$7)/$H229*OFFSET(ORÇAMENTO!$X$15,ROW(BI229)-ROW(BI$15),0),
              ROUND(ROUND(OFFSET($P229,0,BI$13),15-13*ORÇAMENTO!$AF$7)*OFFSET(ORÇAMENTO!$W$15,ROW(BI229)-ROW(BI$15),0),15-13*ORÇAMENTO!$AF$11)),
         0)</f>
        <v>0</v>
      </c>
      <c r="BJ229" s="453">
        <f ca="1">IF(AND($D229="Serviço",BJ$12&lt;&gt;0,$H229&gt;0,OR(AUTOEVENTO&lt;&gt;"manual",$M229&lt;&gt;$A$15)),
        IF(Import.TipoArredondamento&lt;&gt;"TransfereGOV",
              ROUND(OFFSET($P229,0,BJ$13),15-13*ORÇAMENTO!$AF$7)/$H229*OFFSET(ORÇAMENTO!$X$15,ROW(BJ229)-ROW(BJ$15),0),
              ROUND(ROUND(OFFSET($P229,0,BJ$13),15-13*ORÇAMENTO!$AF$7)*OFFSET(ORÇAMENTO!$W$15,ROW(BJ229)-ROW(BJ$15),0),15-13*ORÇAMENTO!$AF$11)),
         0)</f>
        <v>0</v>
      </c>
      <c r="BK229" s="453">
        <f ca="1">IF(AND($D229="Serviço",BK$12&lt;&gt;0,$H229&gt;0,OR(AUTOEVENTO&lt;&gt;"manual",$M229&lt;&gt;$A$15)),
        IF(Import.TipoArredondamento&lt;&gt;"TransfereGOV",
              ROUND(OFFSET($P229,0,BK$13),15-13*ORÇAMENTO!$AF$7)/$H229*OFFSET(ORÇAMENTO!$X$15,ROW(BK229)-ROW(BK$15),0),
              ROUND(ROUND(OFFSET($P229,0,BK$13),15-13*ORÇAMENTO!$AF$7)*OFFSET(ORÇAMENTO!$W$15,ROW(BK229)-ROW(BK$15),0),15-13*ORÇAMENTO!$AF$11)),
         0)</f>
        <v>0</v>
      </c>
      <c r="BL229" s="453">
        <f ca="1">IF(AND($D229="Serviço",BL$12&lt;&gt;0,$H229&gt;0,OR(AUTOEVENTO&lt;&gt;"manual",$M229&lt;&gt;$A$15)),
        IF(Import.TipoArredondamento&lt;&gt;"TransfereGOV",
              ROUND(OFFSET($P229,0,BL$13),15-13*ORÇAMENTO!$AF$7)/$H229*OFFSET(ORÇAMENTO!$X$15,ROW(BL229)-ROW(BL$15),0),
              ROUND(ROUND(OFFSET($P229,0,BL$13),15-13*ORÇAMENTO!$AF$7)*OFFSET(ORÇAMENTO!$W$15,ROW(BL229)-ROW(BL$15),0),15-13*ORÇAMENTO!$AF$11)),
         0)</f>
        <v>0</v>
      </c>
      <c r="BM229" s="453">
        <f ca="1">IF(AND($D229="Serviço",BM$12&lt;&gt;0,$H229&gt;0,OR(AUTOEVENTO&lt;&gt;"manual",$M229&lt;&gt;$A$15)),
        IF(Import.TipoArredondamento&lt;&gt;"TransfereGOV",
              ROUND(OFFSET($P229,0,BM$13),15-13*ORÇAMENTO!$AF$7)/$H229*OFFSET(ORÇAMENTO!$X$15,ROW(BM229)-ROW(BM$15),0),
              ROUND(ROUND(OFFSET($P229,0,BM$13),15-13*ORÇAMENTO!$AF$7)*OFFSET(ORÇAMENTO!$W$15,ROW(BM229)-ROW(BM$15),0),15-13*ORÇAMENTO!$AF$11)),
         0)</f>
        <v>0</v>
      </c>
      <c r="BN229" s="453">
        <f ca="1">IF(AND($D229="Serviço",BN$12&lt;&gt;0,$H229&gt;0,OR(AUTOEVENTO&lt;&gt;"manual",$M229&lt;&gt;$A$15)),
        IF(Import.TipoArredondamento&lt;&gt;"TransfereGOV",
              ROUND(OFFSET($P229,0,BN$13),15-13*ORÇAMENTO!$AF$7)/$H229*OFFSET(ORÇAMENTO!$X$15,ROW(BN229)-ROW(BN$15),0),
              ROUND(ROUND(OFFSET($P229,0,BN$13),15-13*ORÇAMENTO!$AF$7)*OFFSET(ORÇAMENTO!$W$15,ROW(BN229)-ROW(BN$15),0),15-13*ORÇAMENTO!$AF$11)),
         0)</f>
        <v>0</v>
      </c>
      <c r="BO229" s="453">
        <f ca="1">IF(AND($D229="Serviço",BO$12&lt;&gt;0,$H229&gt;0,OR(AUTOEVENTO&lt;&gt;"manual",$M229&lt;&gt;$A$15)),
        IF(Import.TipoArredondamento&lt;&gt;"TransfereGOV",
              ROUND(OFFSET($P229,0,BO$13),15-13*ORÇAMENTO!$AF$7)/$H229*OFFSET(ORÇAMENTO!$X$15,ROW(BO229)-ROW(BO$15),0),
              ROUND(ROUND(OFFSET($P229,0,BO$13),15-13*ORÇAMENTO!$AF$7)*OFFSET(ORÇAMENTO!$W$15,ROW(BO229)-ROW(BO$15),0),15-13*ORÇAMENTO!$AF$11)),
         0)</f>
        <v>0</v>
      </c>
      <c r="BP229" s="453">
        <f ca="1">IF(AND($D229="Serviço",BP$12&lt;&gt;0,$H229&gt;0,OR(AUTOEVENTO&lt;&gt;"manual",$M229&lt;&gt;$A$15)),
        IF(Import.TipoArredondamento&lt;&gt;"TransfereGOV",
              ROUND(OFFSET($P229,0,BP$13),15-13*ORÇAMENTO!$AF$7)/$H229*OFFSET(ORÇAMENTO!$X$15,ROW(BP229)-ROW(BP$15),0),
              ROUND(ROUND(OFFSET($P229,0,BP$13),15-13*ORÇAMENTO!$AF$7)*OFFSET(ORÇAMENTO!$W$15,ROW(BP229)-ROW(BP$15),0),15-13*ORÇAMENTO!$AF$11)),
         0)</f>
        <v>0</v>
      </c>
      <c r="BQ229" s="453">
        <f ca="1">IF(AND($D229="Serviço",BQ$12&lt;&gt;0,$H229&gt;0,OR(AUTOEVENTO&lt;&gt;"manual",$M229&lt;&gt;$A$15)),
        IF(Import.TipoArredondamento&lt;&gt;"TransfereGOV",
              ROUND(OFFSET($P229,0,BQ$13),15-13*ORÇAMENTO!$AF$7)/$H229*OFFSET(ORÇAMENTO!$X$15,ROW(BQ229)-ROW(BQ$15),0),
              ROUND(ROUND(OFFSET($P229,0,BQ$13),15-13*ORÇAMENTO!$AF$7)*OFFSET(ORÇAMENTO!$W$15,ROW(BQ229)-ROW(BQ$15),0),15-13*ORÇAMENTO!$AF$11)),
         0)</f>
        <v>0</v>
      </c>
      <c r="BS229" s="171">
        <f ca="1">IF(OR($D229&lt;&gt;"Serviço",AND(AUTOEVENTO="Manual",$M229=$A$15)),0,
         IF(OFFSET(CRONOPLE!$F$15,$M229-$A$15,BS$13)=0,10^12,OFFSET(CRONOPLE!$F$15,$M229-$A$15,BS$13)))</f>
        <v>1</v>
      </c>
      <c r="BT229" s="171">
        <f ca="1">IF(OR($D229&lt;&gt;"Serviço",AND(AUTOEVENTO="Manual",$M229=$A$15)),0,
         IF(OFFSET(CRONOPLE!$F$15,$M229-$A$15,BT$13)=0,10^12,OFFSET(CRONOPLE!$F$15,$M229-$A$15,BT$13)))</f>
        <v>2</v>
      </c>
      <c r="BU229" s="171">
        <f ca="1">IF(OR($D229&lt;&gt;"Serviço",AND(AUTOEVENTO="Manual",$M229=$A$15)),0,
         IF(OFFSET(CRONOPLE!$F$15,$M229-$A$15,BU$13)=0,10^12,OFFSET(CRONOPLE!$F$15,$M229-$A$15,BU$13)))</f>
        <v>3</v>
      </c>
      <c r="BV229" s="171">
        <f ca="1">IF(OR($D229&lt;&gt;"Serviço",AND(AUTOEVENTO="Manual",$M229=$A$15)),0,
         IF(OFFSET(CRONOPLE!$F$15,$M229-$A$15,BV$13)=0,10^12,OFFSET(CRONOPLE!$F$15,$M229-$A$15,BV$13)))</f>
        <v>4</v>
      </c>
      <c r="BW229" s="171">
        <f ca="1">IF(OR($D229&lt;&gt;"Serviço",AND(AUTOEVENTO="Manual",$M229=$A$15)),0,
         IF(OFFSET(CRONOPLE!$F$15,$M229-$A$15,BW$13)=0,10^12,OFFSET(CRONOPLE!$F$15,$M229-$A$15,BW$13)))</f>
        <v>5</v>
      </c>
      <c r="BX229" s="171">
        <f ca="1">IF(OR($D229&lt;&gt;"Serviço",AND(AUTOEVENTO="Manual",$M229=$A$15)),0,
         IF(OFFSET(CRONOPLE!$F$15,$M229-$A$15,BX$13)=0,10^12,OFFSET(CRONOPLE!$F$15,$M229-$A$15,BX$13)))</f>
        <v>6</v>
      </c>
      <c r="BY229" s="171">
        <f ca="1">IF(OR($D229&lt;&gt;"Serviço",AND(AUTOEVENTO="Manual",$M229=$A$15)),0,
         IF(OFFSET(CRONOPLE!$F$15,$M229-$A$15,BY$13)=0,10^12,OFFSET(CRONOPLE!$F$15,$M229-$A$15,BY$13)))</f>
        <v>7</v>
      </c>
      <c r="BZ229" s="171">
        <f ca="1">IF(OR($D229&lt;&gt;"Serviço",AND(AUTOEVENTO="Manual",$M229=$A$15)),0,
         IF(OFFSET(CRONOPLE!$F$15,$M229-$A$15,BZ$13)=0,10^12,OFFSET(CRONOPLE!$F$15,$M229-$A$15,BZ$13)))</f>
        <v>8</v>
      </c>
      <c r="CA229" s="171">
        <f ca="1">IF(OR($D229&lt;&gt;"Serviço",AND(AUTOEVENTO="Manual",$M229=$A$15)),0,
         IF(OFFSET(CRONOPLE!$F$15,$M229-$A$15,CA$13)=0,10^12,OFFSET(CRONOPLE!$F$15,$M229-$A$15,CA$13)))</f>
        <v>9</v>
      </c>
      <c r="CB229" s="171">
        <f ca="1">IF(OR($D229&lt;&gt;"Serviço",AND(AUTOEVENTO="Manual",$M229=$A$15)),0,
         IF(OFFSET(CRONOPLE!$F$15,$M229-$A$15,CB$13)=0,10^12,OFFSET(CRONOPLE!$F$15,$M229-$A$15,CB$13)))</f>
        <v>10</v>
      </c>
      <c r="CC229" s="171">
        <f ca="1">IF(OR($D229&lt;&gt;"Serviço",AND(AUTOEVENTO="Manual",$M229=$A$15)),0,
         IF(OFFSET(CRONOPLE!$F$15,$M229-$A$15,CC$13)=0,10^12,OFFSET(CRONOPLE!$F$15,$M229-$A$15,CC$13)))</f>
        <v>11</v>
      </c>
      <c r="CD229" s="171">
        <f ca="1">IF(OR($D229&lt;&gt;"Serviço",AND(AUTOEVENTO="Manual",$M229=$A$15)),0,
         IF(OFFSET(CRONOPLE!$F$15,$M229-$A$15,CD$13)=0,10^12,OFFSET(CRONOPLE!$F$15,$M229-$A$15,CD$13)))</f>
        <v>12</v>
      </c>
      <c r="CE229" s="171">
        <f ca="1">IF(OR($D229&lt;&gt;"Serviço",AND(AUTOEVENTO="Manual",$M229=$A$15)),0,
         IF(OFFSET(CRONOPLE!$F$15,$M229-$A$15,CE$13)=0,10^12,OFFSET(CRONOPLE!$F$15,$M229-$A$15,CE$13)))</f>
        <v>13</v>
      </c>
      <c r="CF229" s="171">
        <f ca="1">IF(OR($D229&lt;&gt;"Serviço",AND(AUTOEVENTO="Manual",$M229=$A$15)),0,
         IF(OFFSET(CRONOPLE!$F$15,$M229-$A$15,CF$13)=0,10^12,OFFSET(CRONOPLE!$F$15,$M229-$A$15,CF$13)))</f>
        <v>14</v>
      </c>
      <c r="CG229" s="171">
        <f ca="1">IF(OR($D229&lt;&gt;"Serviço",AND(AUTOEVENTO="Manual",$M229=$A$15)),0,
         IF(OFFSET(CRONOPLE!$F$15,$M229-$A$15,CG$13)=0,10^12,OFFSET(CRONOPLE!$F$15,$M229-$A$15,CG$13)))</f>
        <v>15</v>
      </c>
      <c r="CH229" s="171">
        <f ca="1">IF(OR($D229&lt;&gt;"Serviço",AND(AUTOEVENTO="Manual",$M229=$A$15)),0,
         IF(OFFSET(CRONOPLE!$F$15,$M229-$A$15,CH$13)=0,10^12,OFFSET(CRONOPLE!$F$15,$M229-$A$15,CH$13)))</f>
        <v>16</v>
      </c>
      <c r="CI229" s="171">
        <f ca="1">IF(OR($D229&lt;&gt;"Serviço",AND(AUTOEVENTO="Manual",$M229=$A$15)),0,
         IF(OFFSET(CRONOPLE!$F$15,$M229-$A$15,CI$13)=0,10^12,OFFSET(CRONOPLE!$F$15,$M229-$A$15,CI$13)))</f>
        <v>17</v>
      </c>
      <c r="CJ229" s="171">
        <f ca="1">IF(OR($D229&lt;&gt;"Serviço",AND(AUTOEVENTO="Manual",$M229=$A$15)),0,
         IF(OFFSET(CRONOPLE!$F$15,$M229-$A$15,CJ$13)=0,10^12,OFFSET(CRONOPLE!$F$15,$M229-$A$15,CJ$13)))</f>
        <v>18</v>
      </c>
      <c r="CK229" s="171">
        <f ca="1">IF(OR($D229&lt;&gt;"Serviço",AND(AUTOEVENTO="Manual",$M229=$A$15)),0,
         IF(OFFSET(CRONOPLE!$F$15,$M229-$A$15,CK$13)=0,10^12,OFFSET(CRONOPLE!$F$15,$M229-$A$15,CK$13)))</f>
        <v>19</v>
      </c>
      <c r="CL229" s="171">
        <f ca="1">IF(OR($D229&lt;&gt;"Serviço",AND(AUTOEVENTO="Manual",$M229=$A$15)),0,
         IF(OFFSET(CRONOPLE!$F$15,$M229-$A$15,CL$13)=0,10^12,OFFSET(CRONOPLE!$F$15,$M229-$A$15,CL$13)))</f>
        <v>20</v>
      </c>
      <c r="CM229" s="171">
        <f ca="1">IF(OR($D229&lt;&gt;"Serviço",AND(AUTOEVENTO="Manual",$M229=$A$15)),0,
         IF(OFFSET(CRONOPLE!$F$15,$M229-$A$15,CM$13)=0,10^12,OFFSET(CRONOPLE!$F$15,$M229-$A$15,CM$13)))</f>
        <v>1000000000000</v>
      </c>
      <c r="CN229" s="171">
        <f ca="1">IF(OR($D229&lt;&gt;"Serviço",AND(AUTOEVENTO="Manual",$M229=$A$15)),0,
         IF(OFFSET(CRONOPLE!$F$15,$M229-$A$15,CN$13)=0,10^12,OFFSET(CRONOPLE!$F$15,$M229-$A$15,CN$13)))</f>
        <v>1000000000000</v>
      </c>
      <c r="CO229" s="171">
        <f ca="1">IF(OR($D229&lt;&gt;"Serviço",AND(AUTOEVENTO="Manual",$M229=$A$15)),0,
         IF(OFFSET(CRONOPLE!$F$15,$M229-$A$15,CO$13)=0,10^12,OFFSET(CRONOPLE!$F$15,$M229-$A$15,CO$13)))</f>
        <v>1000000000000</v>
      </c>
      <c r="CP229" s="171">
        <f ca="1">IF(OR($D229&lt;&gt;"Serviço",AND(AUTOEVENTO="Manual",$M229=$A$15)),0,
         IF(OFFSET(CRONOPLE!$F$15,$M229-$A$15,CP$13)=0,10^12,OFFSET(CRONOPLE!$F$15,$M229-$A$15,CP$13)))</f>
        <v>1000000000000</v>
      </c>
      <c r="CQ229" s="171">
        <f ca="1">IF(OR($D229&lt;&gt;"Serviço",AND(AUTOEVENTO="Manual",$M229=$A$15)),0,
         IF(OFFSET(CRONOPLE!$F$15,$M229-$A$15,CQ$13)=0,10^12,OFFSET(CRONOPLE!$F$15,$M229-$A$15,CQ$13)))</f>
        <v>1000000000000</v>
      </c>
      <c r="CR229" s="171">
        <f ca="1">IF(OR($D229&lt;&gt;"Serviço",AND(AUTOEVENTO="Manual",$M229=$A$15)),0,
         IF(OFFSET(CRONOPLE!$F$15,$M229-$A$15,CR$13)=0,10^12,OFFSET(CRONOPLE!$F$15,$M229-$A$15,CR$13)))</f>
        <v>1000000000000</v>
      </c>
      <c r="CT229" s="172" cm="1">
        <f t="array" aca="1" ref="CT229" ca="1">IF(OR($D229&lt;&gt;"Serviço",AND(AUTOEVENTO="Manual",$M229=$A$15),$M229&gt;(ROW(PLE.lastrow)-ROW(PLE.firstrow))),0,
           IF(OFFSET(PLE!$G$15,$M229-$A$15,CT$13)="",10^12,OFFSET(PLE!$G$15,$M229-$A$15,CT$13)))</f>
        <v>1000000000000</v>
      </c>
      <c r="CU229" s="172" cm="1">
        <f t="array" aca="1" ref="CU229" ca="1">IF(OR($D229&lt;&gt;"Serviço",AND(AUTOEVENTO="Manual",$M229=$A$15),$M229&gt;(ROW(PLE.lastrow)-ROW(PLE.firstrow))),0,
           IF(OFFSET(PLE!$G$15,$M229-$A$15,CU$13)="",10^12,OFFSET(PLE!$G$15,$M229-$A$15,CU$13)))</f>
        <v>1000000000000</v>
      </c>
      <c r="CV229" s="172" cm="1">
        <f t="array" aca="1" ref="CV229" ca="1">IF(OR($D229&lt;&gt;"Serviço",AND(AUTOEVENTO="Manual",$M229=$A$15),$M229&gt;(ROW(PLE.lastrow)-ROW(PLE.firstrow))),0,
           IF(OFFSET(PLE!$G$15,$M229-$A$15,CV$13)="",10^12,OFFSET(PLE!$G$15,$M229-$A$15,CV$13)))</f>
        <v>1000000000000</v>
      </c>
      <c r="CW229" s="172" cm="1">
        <f t="array" aca="1" ref="CW229" ca="1">IF(OR($D229&lt;&gt;"Serviço",AND(AUTOEVENTO="Manual",$M229=$A$15),$M229&gt;(ROW(PLE.lastrow)-ROW(PLE.firstrow))),0,
           IF(OFFSET(PLE!$G$15,$M229-$A$15,CW$13)="",10^12,OFFSET(PLE!$G$15,$M229-$A$15,CW$13)))</f>
        <v>1000000000000</v>
      </c>
      <c r="CX229" s="172" cm="1">
        <f t="array" aca="1" ref="CX229" ca="1">IF(OR($D229&lt;&gt;"Serviço",AND(AUTOEVENTO="Manual",$M229=$A$15),$M229&gt;(ROW(PLE.lastrow)-ROW(PLE.firstrow))),0,
           IF(OFFSET(PLE!$G$15,$M229-$A$15,CX$13)="",10^12,OFFSET(PLE!$G$15,$M229-$A$15,CX$13)))</f>
        <v>1000000000000</v>
      </c>
      <c r="CY229" s="172" cm="1">
        <f t="array" aca="1" ref="CY229" ca="1">IF(OR($D229&lt;&gt;"Serviço",AND(AUTOEVENTO="Manual",$M229=$A$15),$M229&gt;(ROW(PLE.lastrow)-ROW(PLE.firstrow))),0,
           IF(OFFSET(PLE!$G$15,$M229-$A$15,CY$13)="",10^12,OFFSET(PLE!$G$15,$M229-$A$15,CY$13)))</f>
        <v>1000000000000</v>
      </c>
      <c r="CZ229" s="172" cm="1">
        <f t="array" aca="1" ref="CZ229" ca="1">IF(OR($D229&lt;&gt;"Serviço",AND(AUTOEVENTO="Manual",$M229=$A$15),$M229&gt;(ROW(PLE.lastrow)-ROW(PLE.firstrow))),0,
           IF(OFFSET(PLE!$G$15,$M229-$A$15,CZ$13)="",10^12,OFFSET(PLE!$G$15,$M229-$A$15,CZ$13)))</f>
        <v>1000000000000</v>
      </c>
      <c r="DA229" s="172" cm="1">
        <f t="array" aca="1" ref="DA229" ca="1">IF(OR($D229&lt;&gt;"Serviço",AND(AUTOEVENTO="Manual",$M229=$A$15),$M229&gt;(ROW(PLE.lastrow)-ROW(PLE.firstrow))),0,
           IF(OFFSET(PLE!$G$15,$M229-$A$15,DA$13)="",10^12,OFFSET(PLE!$G$15,$M229-$A$15,DA$13)))</f>
        <v>1000000000000</v>
      </c>
      <c r="DB229" s="172" cm="1">
        <f t="array" aca="1" ref="DB229" ca="1">IF(OR($D229&lt;&gt;"Serviço",AND(AUTOEVENTO="Manual",$M229=$A$15),$M229&gt;(ROW(PLE.lastrow)-ROW(PLE.firstrow))),0,
           IF(OFFSET(PLE!$G$15,$M229-$A$15,DB$13)="",10^12,OFFSET(PLE!$G$15,$M229-$A$15,DB$13)))</f>
        <v>1000000000000</v>
      </c>
      <c r="DC229" s="172" cm="1">
        <f t="array" aca="1" ref="DC229" ca="1">IF(OR($D229&lt;&gt;"Serviço",AND(AUTOEVENTO="Manual",$M229=$A$15),$M229&gt;(ROW(PLE.lastrow)-ROW(PLE.firstrow))),0,
           IF(OFFSET(PLE!$G$15,$M229-$A$15,DC$13)="",10^12,OFFSET(PLE!$G$15,$M229-$A$15,DC$13)))</f>
        <v>1000000000000</v>
      </c>
      <c r="DD229" s="172" cm="1">
        <f t="array" aca="1" ref="DD229" ca="1">IF(OR($D229&lt;&gt;"Serviço",AND(AUTOEVENTO="Manual",$M229=$A$15),$M229&gt;(ROW(PLE.lastrow)-ROW(PLE.firstrow))),0,
           IF(OFFSET(PLE!$G$15,$M229-$A$15,DD$13)="",10^12,OFFSET(PLE!$G$15,$M229-$A$15,DD$13)))</f>
        <v>1000000000000</v>
      </c>
      <c r="DE229" s="172" cm="1">
        <f t="array" aca="1" ref="DE229" ca="1">IF(OR($D229&lt;&gt;"Serviço",AND(AUTOEVENTO="Manual",$M229=$A$15),$M229&gt;(ROW(PLE.lastrow)-ROW(PLE.firstrow))),0,
           IF(OFFSET(PLE!$G$15,$M229-$A$15,DE$13)="",10^12,OFFSET(PLE!$G$15,$M229-$A$15,DE$13)))</f>
        <v>1000000000000</v>
      </c>
      <c r="DF229" s="172" cm="1">
        <f t="array" aca="1" ref="DF229" ca="1">IF(OR($D229&lt;&gt;"Serviço",AND(AUTOEVENTO="Manual",$M229=$A$15),$M229&gt;(ROW(PLE.lastrow)-ROW(PLE.firstrow))),0,
           IF(OFFSET(PLE!$G$15,$M229-$A$15,DF$13)="",10^12,OFFSET(PLE!$G$15,$M229-$A$15,DF$13)))</f>
        <v>1000000000000</v>
      </c>
      <c r="DG229" s="172" cm="1">
        <f t="array" aca="1" ref="DG229" ca="1">IF(OR($D229&lt;&gt;"Serviço",AND(AUTOEVENTO="Manual",$M229=$A$15),$M229&gt;(ROW(PLE.lastrow)-ROW(PLE.firstrow))),0,
           IF(OFFSET(PLE!$G$15,$M229-$A$15,DG$13)="",10^12,OFFSET(PLE!$G$15,$M229-$A$15,DG$13)))</f>
        <v>1000000000000</v>
      </c>
      <c r="DH229" s="172" cm="1">
        <f t="array" aca="1" ref="DH229" ca="1">IF(OR($D229&lt;&gt;"Serviço",AND(AUTOEVENTO="Manual",$M229=$A$15),$M229&gt;(ROW(PLE.lastrow)-ROW(PLE.firstrow))),0,
           IF(OFFSET(PLE!$G$15,$M229-$A$15,DH$13)="",10^12,OFFSET(PLE!$G$15,$M229-$A$15,DH$13)))</f>
        <v>1000000000000</v>
      </c>
      <c r="DI229" s="172" cm="1">
        <f t="array" aca="1" ref="DI229" ca="1">IF(OR($D229&lt;&gt;"Serviço",AND(AUTOEVENTO="Manual",$M229=$A$15),$M229&gt;(ROW(PLE.lastrow)-ROW(PLE.firstrow))),0,
           IF(OFFSET(PLE!$G$15,$M229-$A$15,DI$13)="",10^12,OFFSET(PLE!$G$15,$M229-$A$15,DI$13)))</f>
        <v>1000000000000</v>
      </c>
      <c r="DJ229" s="172" cm="1">
        <f t="array" aca="1" ref="DJ229" ca="1">IF(OR($D229&lt;&gt;"Serviço",AND(AUTOEVENTO="Manual",$M229=$A$15),$M229&gt;(ROW(PLE.lastrow)-ROW(PLE.firstrow))),0,
           IF(OFFSET(PLE!$G$15,$M229-$A$15,DJ$13)="",10^12,OFFSET(PLE!$G$15,$M229-$A$15,DJ$13)))</f>
        <v>1000000000000</v>
      </c>
      <c r="DK229" s="172" cm="1">
        <f t="array" aca="1" ref="DK229" ca="1">IF(OR($D229&lt;&gt;"Serviço",AND(AUTOEVENTO="Manual",$M229=$A$15),$M229&gt;(ROW(PLE.lastrow)-ROW(PLE.firstrow))),0,
           IF(OFFSET(PLE!$G$15,$M229-$A$15,DK$13)="",10^12,OFFSET(PLE!$G$15,$M229-$A$15,DK$13)))</f>
        <v>1000000000000</v>
      </c>
      <c r="DL229" s="172" cm="1">
        <f t="array" aca="1" ref="DL229" ca="1">IF(OR($D229&lt;&gt;"Serviço",AND(AUTOEVENTO="Manual",$M229=$A$15),$M229&gt;(ROW(PLE.lastrow)-ROW(PLE.firstrow))),0,
           IF(OFFSET(PLE!$G$15,$M229-$A$15,DL$13)="",10^12,OFFSET(PLE!$G$15,$M229-$A$15,DL$13)))</f>
        <v>1000000000000</v>
      </c>
      <c r="DM229" s="172" cm="1">
        <f t="array" aca="1" ref="DM229" ca="1">IF(OR($D229&lt;&gt;"Serviço",AND(AUTOEVENTO="Manual",$M229=$A$15),$M229&gt;(ROW(PLE.lastrow)-ROW(PLE.firstrow))),0,
           IF(OFFSET(PLE!$G$15,$M229-$A$15,DM$13)="",10^12,OFFSET(PLE!$G$15,$M229-$A$15,DM$13)))</f>
        <v>1000000000000</v>
      </c>
      <c r="DN229" s="172" cm="1">
        <f t="array" aca="1" ref="DN229" ca="1">IF(OR($D229&lt;&gt;"Serviço",AND(AUTOEVENTO="Manual",$M229=$A$15),$M229&gt;(ROW(PLE.lastrow)-ROW(PLE.firstrow))),0,
           IF(OFFSET(PLE!$G$15,$M229-$A$15,DN$13)="",10^12,OFFSET(PLE!$G$15,$M229-$A$15,DN$13)))</f>
        <v>1000000000000</v>
      </c>
      <c r="DO229" s="172" cm="1">
        <f t="array" aca="1" ref="DO229" ca="1">IF(OR($D229&lt;&gt;"Serviço",AND(AUTOEVENTO="Manual",$M229=$A$15),$M229&gt;(ROW(PLE.lastrow)-ROW(PLE.firstrow))),0,
           IF(OFFSET(PLE!$G$15,$M229-$A$15,DO$13)="",10^12,OFFSET(PLE!$G$15,$M229-$A$15,DO$13)))</f>
        <v>1000000000000</v>
      </c>
      <c r="DP229" s="172" cm="1">
        <f t="array" aca="1" ref="DP229" ca="1">IF(OR($D229&lt;&gt;"Serviço",AND(AUTOEVENTO="Manual",$M229=$A$15),$M229&gt;(ROW(PLE.lastrow)-ROW(PLE.firstrow))),0,
           IF(OFFSET(PLE!$G$15,$M229-$A$15,DP$13)="",10^12,OFFSET(PLE!$G$15,$M229-$A$15,DP$13)))</f>
        <v>1000000000000</v>
      </c>
      <c r="DQ229" s="172" cm="1">
        <f t="array" aca="1" ref="DQ229" ca="1">IF(OR($D229&lt;&gt;"Serviço",AND(AUTOEVENTO="Manual",$M229=$A$15),$M229&gt;(ROW(PLE.lastrow)-ROW(PLE.firstrow))),0,
           IF(OFFSET(PLE!$G$15,$M229-$A$15,DQ$13)="",10^12,OFFSET(PLE!$G$15,$M229-$A$15,DQ$13)))</f>
        <v>1000000000000</v>
      </c>
      <c r="DR229" s="172" cm="1">
        <f t="array" aca="1" ref="DR229" ca="1">IF(OR($D229&lt;&gt;"Serviço",AND(AUTOEVENTO="Manual",$M229=$A$15),$M229&gt;(ROW(PLE.lastrow)-ROW(PLE.firstrow))),0,
           IF(OFFSET(PLE!$G$15,$M229-$A$15,DR$13)="",10^12,OFFSET(PLE!$G$15,$M229-$A$15,DR$13)))</f>
        <v>1000000000000</v>
      </c>
      <c r="DS229" s="172" cm="1">
        <f t="array" aca="1" ref="DS229" ca="1">IF(OR($D229&lt;&gt;"Serviço",AND(AUTOEVENTO="Manual",$M229=$A$15),$M229&gt;(ROW(PLE.lastrow)-ROW(PLE.firstrow))),0,
           IF(OFFSET(PLE!$G$15,$M229-$A$15,DS$13)="",10^12,OFFSET(PLE!$G$15,$M229-$A$15,DS$13)))</f>
        <v>1000000000000</v>
      </c>
    </row>
    <row r="230" spans="1:123" ht="25.5" x14ac:dyDescent="0.2">
      <c r="A230" s="7">
        <f t="shared" ca="1" si="19"/>
        <v>9</v>
      </c>
      <c r="B230" s="7" t="str">
        <f ca="1">OFFSET(ORÇAMENTO!C$15,$L230,0)</f>
        <v>S</v>
      </c>
      <c r="C230" s="7" t="str">
        <f ca="1">OFFSET(ORÇAMENTO!L$15,$L230,0)</f>
        <v/>
      </c>
      <c r="D230" s="116" t="str">
        <f ca="1">OFFSET(ORÇAMENTO!N$15,$L230,0)</f>
        <v>Serviço</v>
      </c>
      <c r="E230" s="117" t="str">
        <f ca="1">OFFSET(ORÇAMENTO!O$15,$L230,0)</f>
        <v>-</v>
      </c>
      <c r="F230" s="163" t="str">
        <f ca="1">OFFSET(ORÇAMENTO!R$15,$L230,0)</f>
        <v>(Código não identificado nas referências)</v>
      </c>
      <c r="G230" s="164" t="str">
        <f ca="1">IF($D230&lt;&gt;"Serviço","",OFFSET(ORÇAMENTO!S$15,$L230,0))</f>
        <v>-</v>
      </c>
      <c r="H230" s="122" cm="1">
        <f t="array" aca="1" ref="H230" ca="1">IF($D230&lt;&gt;"Serviço",0,IF(ACOMPANHAMENTO="BM",ROUND(OFFSET(ORÇAMENTO!AJ$15,$L230,0),15-13*ORÇAMENTO!$AF$7),IF(IFERROR(CÁLCULO.FrentesPreenchidas,0)=0,0,SUM(ROUND(OFFSET($P230,0,1,1,CÁLCULO.FrentesPreenchidas),15-13*ORÇAMENTO!$AF$7)))))</f>
        <v>20</v>
      </c>
      <c r="I230" s="468" t="s">
        <v>1235</v>
      </c>
      <c r="J230" s="651" t="str" cm="1">
        <f t="array" aca="1" ref="J230" ca="1">IF(OR(B230&lt;&gt;"S",CÁLCULO.FrentesPreenchidas=0),"",IF(AND(ACOMPANHAMENTO="PLE",AUTOEVENTO="Manual",OR(H230&gt;0,ORÇAMENTO!AC230="QUANT."),OR(K230="",M230=0,N230="")),"►E",IF(AND(ACOMPANHAMENTO="PLE",ORÇAMENTO!AC230="QUANT."),"►Q",IF(AND(ACOMPANHAMENTO="PLE",H230&lt;&gt;SUMPRODUCT(($Q$1:$AQ$1=1)*ROUND(Q230:AQ230,15))),"►S",IF(AND(COUNTIF($P$11:$AQ$11,"▼")=0,H230&gt;0,I230=""),"◄M","")))))</f>
        <v/>
      </c>
      <c r="K230" s="652" t="s">
        <v>1257</v>
      </c>
      <c r="L230" s="165">
        <f t="shared" ca="1" si="20"/>
        <v>215</v>
      </c>
      <c r="M230" s="166">
        <f ca="1">IF($D230&lt;&gt;"Serviço","",
          IF(AUTOEVENTO="manual",$A230,
                IF(ISERROR(MATCH($A230,$A$15:OFFSET($A230,-1,0),0)),MAX($M$15:OFFSET(M230,-1,0))+1,
                      INDEX($M$15:OFFSET(M230,-1,0),MATCH($A230,$A$15:OFFSET($A230,-1,0),0)))))</f>
        <v>9</v>
      </c>
      <c r="N230" s="167" t="str">
        <f ca="1">IF($D230&lt;&gt;"Serviço","",
         IF(AUTOEVENTO="Manual",
                IF($A230=0,"&lt;-- defina o número do agrupador",
                       OFFSET(EVENTOS!$D$15,$A230-$A$15,0)),
                OFFSET($F$15,$A230,0)))</f>
        <v>INSTALAÇÕES</v>
      </c>
      <c r="O230" s="168"/>
      <c r="Q230" s="168">
        <v>1</v>
      </c>
      <c r="R230" s="169">
        <v>1</v>
      </c>
      <c r="S230" s="169">
        <v>1</v>
      </c>
      <c r="T230" s="169">
        <v>1</v>
      </c>
      <c r="U230" s="169">
        <v>1</v>
      </c>
      <c r="V230" s="169">
        <v>1</v>
      </c>
      <c r="W230" s="169">
        <v>1</v>
      </c>
      <c r="X230" s="169">
        <v>1</v>
      </c>
      <c r="Y230" s="169">
        <v>1</v>
      </c>
      <c r="Z230" s="170">
        <v>1</v>
      </c>
      <c r="AA230" s="169">
        <v>1</v>
      </c>
      <c r="AB230" s="169">
        <v>1</v>
      </c>
      <c r="AC230" s="169">
        <v>1</v>
      </c>
      <c r="AD230" s="169">
        <v>1</v>
      </c>
      <c r="AE230" s="169">
        <v>1</v>
      </c>
      <c r="AF230" s="169">
        <v>1</v>
      </c>
      <c r="AG230" s="169">
        <v>1</v>
      </c>
      <c r="AH230" s="170">
        <v>1</v>
      </c>
      <c r="AI230" s="169">
        <v>1</v>
      </c>
      <c r="AJ230" s="169">
        <v>1</v>
      </c>
      <c r="AK230" s="169"/>
      <c r="AL230" s="169"/>
      <c r="AM230" s="169"/>
      <c r="AN230" s="169"/>
      <c r="AO230" s="169"/>
      <c r="AP230" s="170"/>
      <c r="AR230" s="453">
        <f ca="1">IF(AND($D230="Serviço",AR$12&lt;&gt;0,$H230&gt;0,OR(AUTOEVENTO&lt;&gt;"manual",$M230&lt;&gt;$A$15)),
        IF(Import.TipoArredondamento&lt;&gt;"TransfereGOV",
              ROUND(OFFSET($P230,0,AR$13),15-13*ORÇAMENTO!$AF$7)/$H230*OFFSET(ORÇAMENTO!$X$15,ROW(AR230)-ROW(AR$15),0),
              ROUND(ROUND(OFFSET($P230,0,AR$13),15-13*ORÇAMENTO!$AF$7)*OFFSET(ORÇAMENTO!$W$15,ROW(AR230)-ROW(AR$15),0),15-13*ORÇAMENTO!$AF$11)),
         0)</f>
        <v>0</v>
      </c>
      <c r="AS230" s="453">
        <f ca="1">IF(AND($D230="Serviço",AS$12&lt;&gt;0,$H230&gt;0,OR(AUTOEVENTO&lt;&gt;"manual",$M230&lt;&gt;$A$15)),
        IF(Import.TipoArredondamento&lt;&gt;"TransfereGOV",
              ROUND(OFFSET($P230,0,AS$13),15-13*ORÇAMENTO!$AF$7)/$H230*OFFSET(ORÇAMENTO!$X$15,ROW(AS230)-ROW(AS$15),0),
              ROUND(ROUND(OFFSET($P230,0,AS$13),15-13*ORÇAMENTO!$AF$7)*OFFSET(ORÇAMENTO!$W$15,ROW(AS230)-ROW(AS$15),0),15-13*ORÇAMENTO!$AF$11)),
         0)</f>
        <v>0</v>
      </c>
      <c r="AT230" s="453">
        <f ca="1">IF(AND($D230="Serviço",AT$12&lt;&gt;0,$H230&gt;0,OR(AUTOEVENTO&lt;&gt;"manual",$M230&lt;&gt;$A$15)),
        IF(Import.TipoArredondamento&lt;&gt;"TransfereGOV",
              ROUND(OFFSET($P230,0,AT$13),15-13*ORÇAMENTO!$AF$7)/$H230*OFFSET(ORÇAMENTO!$X$15,ROW(AT230)-ROW(AT$15),0),
              ROUND(ROUND(OFFSET($P230,0,AT$13),15-13*ORÇAMENTO!$AF$7)*OFFSET(ORÇAMENTO!$W$15,ROW(AT230)-ROW(AT$15),0),15-13*ORÇAMENTO!$AF$11)),
         0)</f>
        <v>0</v>
      </c>
      <c r="AU230" s="453">
        <f ca="1">IF(AND($D230="Serviço",AU$12&lt;&gt;0,$H230&gt;0,OR(AUTOEVENTO&lt;&gt;"manual",$M230&lt;&gt;$A$15)),
        IF(Import.TipoArredondamento&lt;&gt;"TransfereGOV",
              ROUND(OFFSET($P230,0,AU$13),15-13*ORÇAMENTO!$AF$7)/$H230*OFFSET(ORÇAMENTO!$X$15,ROW(AU230)-ROW(AU$15),0),
              ROUND(ROUND(OFFSET($P230,0,AU$13),15-13*ORÇAMENTO!$AF$7)*OFFSET(ORÇAMENTO!$W$15,ROW(AU230)-ROW(AU$15),0),15-13*ORÇAMENTO!$AF$11)),
         0)</f>
        <v>0</v>
      </c>
      <c r="AV230" s="453">
        <f ca="1">IF(AND($D230="Serviço",AV$12&lt;&gt;0,$H230&gt;0,OR(AUTOEVENTO&lt;&gt;"manual",$M230&lt;&gt;$A$15)),
        IF(Import.TipoArredondamento&lt;&gt;"TransfereGOV",
              ROUND(OFFSET($P230,0,AV$13),15-13*ORÇAMENTO!$AF$7)/$H230*OFFSET(ORÇAMENTO!$X$15,ROW(AV230)-ROW(AV$15),0),
              ROUND(ROUND(OFFSET($P230,0,AV$13),15-13*ORÇAMENTO!$AF$7)*OFFSET(ORÇAMENTO!$W$15,ROW(AV230)-ROW(AV$15),0),15-13*ORÇAMENTO!$AF$11)),
         0)</f>
        <v>0</v>
      </c>
      <c r="AW230" s="453">
        <f ca="1">IF(AND($D230="Serviço",AW$12&lt;&gt;0,$H230&gt;0,OR(AUTOEVENTO&lt;&gt;"manual",$M230&lt;&gt;$A$15)),
        IF(Import.TipoArredondamento&lt;&gt;"TransfereGOV",
              ROUND(OFFSET($P230,0,AW$13),15-13*ORÇAMENTO!$AF$7)/$H230*OFFSET(ORÇAMENTO!$X$15,ROW(AW230)-ROW(AW$15),0),
              ROUND(ROUND(OFFSET($P230,0,AW$13),15-13*ORÇAMENTO!$AF$7)*OFFSET(ORÇAMENTO!$W$15,ROW(AW230)-ROW(AW$15),0),15-13*ORÇAMENTO!$AF$11)),
         0)</f>
        <v>0</v>
      </c>
      <c r="AX230" s="453">
        <f ca="1">IF(AND($D230="Serviço",AX$12&lt;&gt;0,$H230&gt;0,OR(AUTOEVENTO&lt;&gt;"manual",$M230&lt;&gt;$A$15)),
        IF(Import.TipoArredondamento&lt;&gt;"TransfereGOV",
              ROUND(OFFSET($P230,0,AX$13),15-13*ORÇAMENTO!$AF$7)/$H230*OFFSET(ORÇAMENTO!$X$15,ROW(AX230)-ROW(AX$15),0),
              ROUND(ROUND(OFFSET($P230,0,AX$13),15-13*ORÇAMENTO!$AF$7)*OFFSET(ORÇAMENTO!$W$15,ROW(AX230)-ROW(AX$15),0),15-13*ORÇAMENTO!$AF$11)),
         0)</f>
        <v>0</v>
      </c>
      <c r="AY230" s="453">
        <f ca="1">IF(AND($D230="Serviço",AY$12&lt;&gt;0,$H230&gt;0,OR(AUTOEVENTO&lt;&gt;"manual",$M230&lt;&gt;$A$15)),
        IF(Import.TipoArredondamento&lt;&gt;"TransfereGOV",
              ROUND(OFFSET($P230,0,AY$13),15-13*ORÇAMENTO!$AF$7)/$H230*OFFSET(ORÇAMENTO!$X$15,ROW(AY230)-ROW(AY$15),0),
              ROUND(ROUND(OFFSET($P230,0,AY$13),15-13*ORÇAMENTO!$AF$7)*OFFSET(ORÇAMENTO!$W$15,ROW(AY230)-ROW(AY$15),0),15-13*ORÇAMENTO!$AF$11)),
         0)</f>
        <v>0</v>
      </c>
      <c r="AZ230" s="453">
        <f ca="1">IF(AND($D230="Serviço",AZ$12&lt;&gt;0,$H230&gt;0,OR(AUTOEVENTO&lt;&gt;"manual",$M230&lt;&gt;$A$15)),
        IF(Import.TipoArredondamento&lt;&gt;"TransfereGOV",
              ROUND(OFFSET($P230,0,AZ$13),15-13*ORÇAMENTO!$AF$7)/$H230*OFFSET(ORÇAMENTO!$X$15,ROW(AZ230)-ROW(AZ$15),0),
              ROUND(ROUND(OFFSET($P230,0,AZ$13),15-13*ORÇAMENTO!$AF$7)*OFFSET(ORÇAMENTO!$W$15,ROW(AZ230)-ROW(AZ$15),0),15-13*ORÇAMENTO!$AF$11)),
         0)</f>
        <v>0</v>
      </c>
      <c r="BA230" s="453">
        <f ca="1">IF(AND($D230="Serviço",BA$12&lt;&gt;0,$H230&gt;0,OR(AUTOEVENTO&lt;&gt;"manual",$M230&lt;&gt;$A$15)),
        IF(Import.TipoArredondamento&lt;&gt;"TransfereGOV",
              ROUND(OFFSET($P230,0,BA$13),15-13*ORÇAMENTO!$AF$7)/$H230*OFFSET(ORÇAMENTO!$X$15,ROW(BA230)-ROW(BA$15),0),
              ROUND(ROUND(OFFSET($P230,0,BA$13),15-13*ORÇAMENTO!$AF$7)*OFFSET(ORÇAMENTO!$W$15,ROW(BA230)-ROW(BA$15),0),15-13*ORÇAMENTO!$AF$11)),
         0)</f>
        <v>0</v>
      </c>
      <c r="BB230" s="453">
        <f ca="1">IF(AND($D230="Serviço",BB$12&lt;&gt;0,$H230&gt;0,OR(AUTOEVENTO&lt;&gt;"manual",$M230&lt;&gt;$A$15)),
        IF(Import.TipoArredondamento&lt;&gt;"TransfereGOV",
              ROUND(OFFSET($P230,0,BB$13),15-13*ORÇAMENTO!$AF$7)/$H230*OFFSET(ORÇAMENTO!$X$15,ROW(BB230)-ROW(BB$15),0),
              ROUND(ROUND(OFFSET($P230,0,BB$13),15-13*ORÇAMENTO!$AF$7)*OFFSET(ORÇAMENTO!$W$15,ROW(BB230)-ROW(BB$15),0),15-13*ORÇAMENTO!$AF$11)),
         0)</f>
        <v>0</v>
      </c>
      <c r="BC230" s="453">
        <f ca="1">IF(AND($D230="Serviço",BC$12&lt;&gt;0,$H230&gt;0,OR(AUTOEVENTO&lt;&gt;"manual",$M230&lt;&gt;$A$15)),
        IF(Import.TipoArredondamento&lt;&gt;"TransfereGOV",
              ROUND(OFFSET($P230,0,BC$13),15-13*ORÇAMENTO!$AF$7)/$H230*OFFSET(ORÇAMENTO!$X$15,ROW(BC230)-ROW(BC$15),0),
              ROUND(ROUND(OFFSET($P230,0,BC$13),15-13*ORÇAMENTO!$AF$7)*OFFSET(ORÇAMENTO!$W$15,ROW(BC230)-ROW(BC$15),0),15-13*ORÇAMENTO!$AF$11)),
         0)</f>
        <v>0</v>
      </c>
      <c r="BD230" s="453">
        <f ca="1">IF(AND($D230="Serviço",BD$12&lt;&gt;0,$H230&gt;0,OR(AUTOEVENTO&lt;&gt;"manual",$M230&lt;&gt;$A$15)),
        IF(Import.TipoArredondamento&lt;&gt;"TransfereGOV",
              ROUND(OFFSET($P230,0,BD$13),15-13*ORÇAMENTO!$AF$7)/$H230*OFFSET(ORÇAMENTO!$X$15,ROW(BD230)-ROW(BD$15),0),
              ROUND(ROUND(OFFSET($P230,0,BD$13),15-13*ORÇAMENTO!$AF$7)*OFFSET(ORÇAMENTO!$W$15,ROW(BD230)-ROW(BD$15),0),15-13*ORÇAMENTO!$AF$11)),
         0)</f>
        <v>0</v>
      </c>
      <c r="BE230" s="453">
        <f ca="1">IF(AND($D230="Serviço",BE$12&lt;&gt;0,$H230&gt;0,OR(AUTOEVENTO&lt;&gt;"manual",$M230&lt;&gt;$A$15)),
        IF(Import.TipoArredondamento&lt;&gt;"TransfereGOV",
              ROUND(OFFSET($P230,0,BE$13),15-13*ORÇAMENTO!$AF$7)/$H230*OFFSET(ORÇAMENTO!$X$15,ROW(BE230)-ROW(BE$15),0),
              ROUND(ROUND(OFFSET($P230,0,BE$13),15-13*ORÇAMENTO!$AF$7)*OFFSET(ORÇAMENTO!$W$15,ROW(BE230)-ROW(BE$15),0),15-13*ORÇAMENTO!$AF$11)),
         0)</f>
        <v>0</v>
      </c>
      <c r="BF230" s="453">
        <f ca="1">IF(AND($D230="Serviço",BF$12&lt;&gt;0,$H230&gt;0,OR(AUTOEVENTO&lt;&gt;"manual",$M230&lt;&gt;$A$15)),
        IF(Import.TipoArredondamento&lt;&gt;"TransfereGOV",
              ROUND(OFFSET($P230,0,BF$13),15-13*ORÇAMENTO!$AF$7)/$H230*OFFSET(ORÇAMENTO!$X$15,ROW(BF230)-ROW(BF$15),0),
              ROUND(ROUND(OFFSET($P230,0,BF$13),15-13*ORÇAMENTO!$AF$7)*OFFSET(ORÇAMENTO!$W$15,ROW(BF230)-ROW(BF$15),0),15-13*ORÇAMENTO!$AF$11)),
         0)</f>
        <v>0</v>
      </c>
      <c r="BG230" s="453">
        <f ca="1">IF(AND($D230="Serviço",BG$12&lt;&gt;0,$H230&gt;0,OR(AUTOEVENTO&lt;&gt;"manual",$M230&lt;&gt;$A$15)),
        IF(Import.TipoArredondamento&lt;&gt;"TransfereGOV",
              ROUND(OFFSET($P230,0,BG$13),15-13*ORÇAMENTO!$AF$7)/$H230*OFFSET(ORÇAMENTO!$X$15,ROW(BG230)-ROW(BG$15),0),
              ROUND(ROUND(OFFSET($P230,0,BG$13),15-13*ORÇAMENTO!$AF$7)*OFFSET(ORÇAMENTO!$W$15,ROW(BG230)-ROW(BG$15),0),15-13*ORÇAMENTO!$AF$11)),
         0)</f>
        <v>0</v>
      </c>
      <c r="BH230" s="453">
        <f ca="1">IF(AND($D230="Serviço",BH$12&lt;&gt;0,$H230&gt;0,OR(AUTOEVENTO&lt;&gt;"manual",$M230&lt;&gt;$A$15)),
        IF(Import.TipoArredondamento&lt;&gt;"TransfereGOV",
              ROUND(OFFSET($P230,0,BH$13),15-13*ORÇAMENTO!$AF$7)/$H230*OFFSET(ORÇAMENTO!$X$15,ROW(BH230)-ROW(BH$15),0),
              ROUND(ROUND(OFFSET($P230,0,BH$13),15-13*ORÇAMENTO!$AF$7)*OFFSET(ORÇAMENTO!$W$15,ROW(BH230)-ROW(BH$15),0),15-13*ORÇAMENTO!$AF$11)),
         0)</f>
        <v>0</v>
      </c>
      <c r="BI230" s="453">
        <f ca="1">IF(AND($D230="Serviço",BI$12&lt;&gt;0,$H230&gt;0,OR(AUTOEVENTO&lt;&gt;"manual",$M230&lt;&gt;$A$15)),
        IF(Import.TipoArredondamento&lt;&gt;"TransfereGOV",
              ROUND(OFFSET($P230,0,BI$13),15-13*ORÇAMENTO!$AF$7)/$H230*OFFSET(ORÇAMENTO!$X$15,ROW(BI230)-ROW(BI$15),0),
              ROUND(ROUND(OFFSET($P230,0,BI$13),15-13*ORÇAMENTO!$AF$7)*OFFSET(ORÇAMENTO!$W$15,ROW(BI230)-ROW(BI$15),0),15-13*ORÇAMENTO!$AF$11)),
         0)</f>
        <v>0</v>
      </c>
      <c r="BJ230" s="453">
        <f ca="1">IF(AND($D230="Serviço",BJ$12&lt;&gt;0,$H230&gt;0,OR(AUTOEVENTO&lt;&gt;"manual",$M230&lt;&gt;$A$15)),
        IF(Import.TipoArredondamento&lt;&gt;"TransfereGOV",
              ROUND(OFFSET($P230,0,BJ$13),15-13*ORÇAMENTO!$AF$7)/$H230*OFFSET(ORÇAMENTO!$X$15,ROW(BJ230)-ROW(BJ$15),0),
              ROUND(ROUND(OFFSET($P230,0,BJ$13),15-13*ORÇAMENTO!$AF$7)*OFFSET(ORÇAMENTO!$W$15,ROW(BJ230)-ROW(BJ$15),0),15-13*ORÇAMENTO!$AF$11)),
         0)</f>
        <v>0</v>
      </c>
      <c r="BK230" s="453">
        <f ca="1">IF(AND($D230="Serviço",BK$12&lt;&gt;0,$H230&gt;0,OR(AUTOEVENTO&lt;&gt;"manual",$M230&lt;&gt;$A$15)),
        IF(Import.TipoArredondamento&lt;&gt;"TransfereGOV",
              ROUND(OFFSET($P230,0,BK$13),15-13*ORÇAMENTO!$AF$7)/$H230*OFFSET(ORÇAMENTO!$X$15,ROW(BK230)-ROW(BK$15),0),
              ROUND(ROUND(OFFSET($P230,0,BK$13),15-13*ORÇAMENTO!$AF$7)*OFFSET(ORÇAMENTO!$W$15,ROW(BK230)-ROW(BK$15),0),15-13*ORÇAMENTO!$AF$11)),
         0)</f>
        <v>0</v>
      </c>
      <c r="BL230" s="453">
        <f ca="1">IF(AND($D230="Serviço",BL$12&lt;&gt;0,$H230&gt;0,OR(AUTOEVENTO&lt;&gt;"manual",$M230&lt;&gt;$A$15)),
        IF(Import.TipoArredondamento&lt;&gt;"TransfereGOV",
              ROUND(OFFSET($P230,0,BL$13),15-13*ORÇAMENTO!$AF$7)/$H230*OFFSET(ORÇAMENTO!$X$15,ROW(BL230)-ROW(BL$15),0),
              ROUND(ROUND(OFFSET($P230,0,BL$13),15-13*ORÇAMENTO!$AF$7)*OFFSET(ORÇAMENTO!$W$15,ROW(BL230)-ROW(BL$15),0),15-13*ORÇAMENTO!$AF$11)),
         0)</f>
        <v>0</v>
      </c>
      <c r="BM230" s="453">
        <f ca="1">IF(AND($D230="Serviço",BM$12&lt;&gt;0,$H230&gt;0,OR(AUTOEVENTO&lt;&gt;"manual",$M230&lt;&gt;$A$15)),
        IF(Import.TipoArredondamento&lt;&gt;"TransfereGOV",
              ROUND(OFFSET($P230,0,BM$13),15-13*ORÇAMENTO!$AF$7)/$H230*OFFSET(ORÇAMENTO!$X$15,ROW(BM230)-ROW(BM$15),0),
              ROUND(ROUND(OFFSET($P230,0,BM$13),15-13*ORÇAMENTO!$AF$7)*OFFSET(ORÇAMENTO!$W$15,ROW(BM230)-ROW(BM$15),0),15-13*ORÇAMENTO!$AF$11)),
         0)</f>
        <v>0</v>
      </c>
      <c r="BN230" s="453">
        <f ca="1">IF(AND($D230="Serviço",BN$12&lt;&gt;0,$H230&gt;0,OR(AUTOEVENTO&lt;&gt;"manual",$M230&lt;&gt;$A$15)),
        IF(Import.TipoArredondamento&lt;&gt;"TransfereGOV",
              ROUND(OFFSET($P230,0,BN$13),15-13*ORÇAMENTO!$AF$7)/$H230*OFFSET(ORÇAMENTO!$X$15,ROW(BN230)-ROW(BN$15),0),
              ROUND(ROUND(OFFSET($P230,0,BN$13),15-13*ORÇAMENTO!$AF$7)*OFFSET(ORÇAMENTO!$W$15,ROW(BN230)-ROW(BN$15),0),15-13*ORÇAMENTO!$AF$11)),
         0)</f>
        <v>0</v>
      </c>
      <c r="BO230" s="453">
        <f ca="1">IF(AND($D230="Serviço",BO$12&lt;&gt;0,$H230&gt;0,OR(AUTOEVENTO&lt;&gt;"manual",$M230&lt;&gt;$A$15)),
        IF(Import.TipoArredondamento&lt;&gt;"TransfereGOV",
              ROUND(OFFSET($P230,0,BO$13),15-13*ORÇAMENTO!$AF$7)/$H230*OFFSET(ORÇAMENTO!$X$15,ROW(BO230)-ROW(BO$15),0),
              ROUND(ROUND(OFFSET($P230,0,BO$13),15-13*ORÇAMENTO!$AF$7)*OFFSET(ORÇAMENTO!$W$15,ROW(BO230)-ROW(BO$15),0),15-13*ORÇAMENTO!$AF$11)),
         0)</f>
        <v>0</v>
      </c>
      <c r="BP230" s="453">
        <f ca="1">IF(AND($D230="Serviço",BP$12&lt;&gt;0,$H230&gt;0,OR(AUTOEVENTO&lt;&gt;"manual",$M230&lt;&gt;$A$15)),
        IF(Import.TipoArredondamento&lt;&gt;"TransfereGOV",
              ROUND(OFFSET($P230,0,BP$13),15-13*ORÇAMENTO!$AF$7)/$H230*OFFSET(ORÇAMENTO!$X$15,ROW(BP230)-ROW(BP$15),0),
              ROUND(ROUND(OFFSET($P230,0,BP$13),15-13*ORÇAMENTO!$AF$7)*OFFSET(ORÇAMENTO!$W$15,ROW(BP230)-ROW(BP$15),0),15-13*ORÇAMENTO!$AF$11)),
         0)</f>
        <v>0</v>
      </c>
      <c r="BQ230" s="453">
        <f ca="1">IF(AND($D230="Serviço",BQ$12&lt;&gt;0,$H230&gt;0,OR(AUTOEVENTO&lt;&gt;"manual",$M230&lt;&gt;$A$15)),
        IF(Import.TipoArredondamento&lt;&gt;"TransfereGOV",
              ROUND(OFFSET($P230,0,BQ$13),15-13*ORÇAMENTO!$AF$7)/$H230*OFFSET(ORÇAMENTO!$X$15,ROW(BQ230)-ROW(BQ$15),0),
              ROUND(ROUND(OFFSET($P230,0,BQ$13),15-13*ORÇAMENTO!$AF$7)*OFFSET(ORÇAMENTO!$W$15,ROW(BQ230)-ROW(BQ$15),0),15-13*ORÇAMENTO!$AF$11)),
         0)</f>
        <v>0</v>
      </c>
      <c r="BS230" s="171">
        <f ca="1">IF(OR($D230&lt;&gt;"Serviço",AND(AUTOEVENTO="Manual",$M230=$A$15)),0,
         IF(OFFSET(CRONOPLE!$F$15,$M230-$A$15,BS$13)=0,10^12,OFFSET(CRONOPLE!$F$15,$M230-$A$15,BS$13)))</f>
        <v>1</v>
      </c>
      <c r="BT230" s="171">
        <f ca="1">IF(OR($D230&lt;&gt;"Serviço",AND(AUTOEVENTO="Manual",$M230=$A$15)),0,
         IF(OFFSET(CRONOPLE!$F$15,$M230-$A$15,BT$13)=0,10^12,OFFSET(CRONOPLE!$F$15,$M230-$A$15,BT$13)))</f>
        <v>2</v>
      </c>
      <c r="BU230" s="171">
        <f ca="1">IF(OR($D230&lt;&gt;"Serviço",AND(AUTOEVENTO="Manual",$M230=$A$15)),0,
         IF(OFFSET(CRONOPLE!$F$15,$M230-$A$15,BU$13)=0,10^12,OFFSET(CRONOPLE!$F$15,$M230-$A$15,BU$13)))</f>
        <v>3</v>
      </c>
      <c r="BV230" s="171">
        <f ca="1">IF(OR($D230&lt;&gt;"Serviço",AND(AUTOEVENTO="Manual",$M230=$A$15)),0,
         IF(OFFSET(CRONOPLE!$F$15,$M230-$A$15,BV$13)=0,10^12,OFFSET(CRONOPLE!$F$15,$M230-$A$15,BV$13)))</f>
        <v>4</v>
      </c>
      <c r="BW230" s="171">
        <f ca="1">IF(OR($D230&lt;&gt;"Serviço",AND(AUTOEVENTO="Manual",$M230=$A$15)),0,
         IF(OFFSET(CRONOPLE!$F$15,$M230-$A$15,BW$13)=0,10^12,OFFSET(CRONOPLE!$F$15,$M230-$A$15,BW$13)))</f>
        <v>5</v>
      </c>
      <c r="BX230" s="171">
        <f ca="1">IF(OR($D230&lt;&gt;"Serviço",AND(AUTOEVENTO="Manual",$M230=$A$15)),0,
         IF(OFFSET(CRONOPLE!$F$15,$M230-$A$15,BX$13)=0,10^12,OFFSET(CRONOPLE!$F$15,$M230-$A$15,BX$13)))</f>
        <v>6</v>
      </c>
      <c r="BY230" s="171">
        <f ca="1">IF(OR($D230&lt;&gt;"Serviço",AND(AUTOEVENTO="Manual",$M230=$A$15)),0,
         IF(OFFSET(CRONOPLE!$F$15,$M230-$A$15,BY$13)=0,10^12,OFFSET(CRONOPLE!$F$15,$M230-$A$15,BY$13)))</f>
        <v>7</v>
      </c>
      <c r="BZ230" s="171">
        <f ca="1">IF(OR($D230&lt;&gt;"Serviço",AND(AUTOEVENTO="Manual",$M230=$A$15)),0,
         IF(OFFSET(CRONOPLE!$F$15,$M230-$A$15,BZ$13)=0,10^12,OFFSET(CRONOPLE!$F$15,$M230-$A$15,BZ$13)))</f>
        <v>8</v>
      </c>
      <c r="CA230" s="171">
        <f ca="1">IF(OR($D230&lt;&gt;"Serviço",AND(AUTOEVENTO="Manual",$M230=$A$15)),0,
         IF(OFFSET(CRONOPLE!$F$15,$M230-$A$15,CA$13)=0,10^12,OFFSET(CRONOPLE!$F$15,$M230-$A$15,CA$13)))</f>
        <v>9</v>
      </c>
      <c r="CB230" s="171">
        <f ca="1">IF(OR($D230&lt;&gt;"Serviço",AND(AUTOEVENTO="Manual",$M230=$A$15)),0,
         IF(OFFSET(CRONOPLE!$F$15,$M230-$A$15,CB$13)=0,10^12,OFFSET(CRONOPLE!$F$15,$M230-$A$15,CB$13)))</f>
        <v>10</v>
      </c>
      <c r="CC230" s="171">
        <f ca="1">IF(OR($D230&lt;&gt;"Serviço",AND(AUTOEVENTO="Manual",$M230=$A$15)),0,
         IF(OFFSET(CRONOPLE!$F$15,$M230-$A$15,CC$13)=0,10^12,OFFSET(CRONOPLE!$F$15,$M230-$A$15,CC$13)))</f>
        <v>11</v>
      </c>
      <c r="CD230" s="171">
        <f ca="1">IF(OR($D230&lt;&gt;"Serviço",AND(AUTOEVENTO="Manual",$M230=$A$15)),0,
         IF(OFFSET(CRONOPLE!$F$15,$M230-$A$15,CD$13)=0,10^12,OFFSET(CRONOPLE!$F$15,$M230-$A$15,CD$13)))</f>
        <v>12</v>
      </c>
      <c r="CE230" s="171">
        <f ca="1">IF(OR($D230&lt;&gt;"Serviço",AND(AUTOEVENTO="Manual",$M230=$A$15)),0,
         IF(OFFSET(CRONOPLE!$F$15,$M230-$A$15,CE$13)=0,10^12,OFFSET(CRONOPLE!$F$15,$M230-$A$15,CE$13)))</f>
        <v>13</v>
      </c>
      <c r="CF230" s="171">
        <f ca="1">IF(OR($D230&lt;&gt;"Serviço",AND(AUTOEVENTO="Manual",$M230=$A$15)),0,
         IF(OFFSET(CRONOPLE!$F$15,$M230-$A$15,CF$13)=0,10^12,OFFSET(CRONOPLE!$F$15,$M230-$A$15,CF$13)))</f>
        <v>14</v>
      </c>
      <c r="CG230" s="171">
        <f ca="1">IF(OR($D230&lt;&gt;"Serviço",AND(AUTOEVENTO="Manual",$M230=$A$15)),0,
         IF(OFFSET(CRONOPLE!$F$15,$M230-$A$15,CG$13)=0,10^12,OFFSET(CRONOPLE!$F$15,$M230-$A$15,CG$13)))</f>
        <v>15</v>
      </c>
      <c r="CH230" s="171">
        <f ca="1">IF(OR($D230&lt;&gt;"Serviço",AND(AUTOEVENTO="Manual",$M230=$A$15)),0,
         IF(OFFSET(CRONOPLE!$F$15,$M230-$A$15,CH$13)=0,10^12,OFFSET(CRONOPLE!$F$15,$M230-$A$15,CH$13)))</f>
        <v>16</v>
      </c>
      <c r="CI230" s="171">
        <f ca="1">IF(OR($D230&lt;&gt;"Serviço",AND(AUTOEVENTO="Manual",$M230=$A$15)),0,
         IF(OFFSET(CRONOPLE!$F$15,$M230-$A$15,CI$13)=0,10^12,OFFSET(CRONOPLE!$F$15,$M230-$A$15,CI$13)))</f>
        <v>17</v>
      </c>
      <c r="CJ230" s="171">
        <f ca="1">IF(OR($D230&lt;&gt;"Serviço",AND(AUTOEVENTO="Manual",$M230=$A$15)),0,
         IF(OFFSET(CRONOPLE!$F$15,$M230-$A$15,CJ$13)=0,10^12,OFFSET(CRONOPLE!$F$15,$M230-$A$15,CJ$13)))</f>
        <v>18</v>
      </c>
      <c r="CK230" s="171">
        <f ca="1">IF(OR($D230&lt;&gt;"Serviço",AND(AUTOEVENTO="Manual",$M230=$A$15)),0,
         IF(OFFSET(CRONOPLE!$F$15,$M230-$A$15,CK$13)=0,10^12,OFFSET(CRONOPLE!$F$15,$M230-$A$15,CK$13)))</f>
        <v>19</v>
      </c>
      <c r="CL230" s="171">
        <f ca="1">IF(OR($D230&lt;&gt;"Serviço",AND(AUTOEVENTO="Manual",$M230=$A$15)),0,
         IF(OFFSET(CRONOPLE!$F$15,$M230-$A$15,CL$13)=0,10^12,OFFSET(CRONOPLE!$F$15,$M230-$A$15,CL$13)))</f>
        <v>20</v>
      </c>
      <c r="CM230" s="171">
        <f ca="1">IF(OR($D230&lt;&gt;"Serviço",AND(AUTOEVENTO="Manual",$M230=$A$15)),0,
         IF(OFFSET(CRONOPLE!$F$15,$M230-$A$15,CM$13)=0,10^12,OFFSET(CRONOPLE!$F$15,$M230-$A$15,CM$13)))</f>
        <v>1000000000000</v>
      </c>
      <c r="CN230" s="171">
        <f ca="1">IF(OR($D230&lt;&gt;"Serviço",AND(AUTOEVENTO="Manual",$M230=$A$15)),0,
         IF(OFFSET(CRONOPLE!$F$15,$M230-$A$15,CN$13)=0,10^12,OFFSET(CRONOPLE!$F$15,$M230-$A$15,CN$13)))</f>
        <v>1000000000000</v>
      </c>
      <c r="CO230" s="171">
        <f ca="1">IF(OR($D230&lt;&gt;"Serviço",AND(AUTOEVENTO="Manual",$M230=$A$15)),0,
         IF(OFFSET(CRONOPLE!$F$15,$M230-$A$15,CO$13)=0,10^12,OFFSET(CRONOPLE!$F$15,$M230-$A$15,CO$13)))</f>
        <v>1000000000000</v>
      </c>
      <c r="CP230" s="171">
        <f ca="1">IF(OR($D230&lt;&gt;"Serviço",AND(AUTOEVENTO="Manual",$M230=$A$15)),0,
         IF(OFFSET(CRONOPLE!$F$15,$M230-$A$15,CP$13)=0,10^12,OFFSET(CRONOPLE!$F$15,$M230-$A$15,CP$13)))</f>
        <v>1000000000000</v>
      </c>
      <c r="CQ230" s="171">
        <f ca="1">IF(OR($D230&lt;&gt;"Serviço",AND(AUTOEVENTO="Manual",$M230=$A$15)),0,
         IF(OFFSET(CRONOPLE!$F$15,$M230-$A$15,CQ$13)=0,10^12,OFFSET(CRONOPLE!$F$15,$M230-$A$15,CQ$13)))</f>
        <v>1000000000000</v>
      </c>
      <c r="CR230" s="171">
        <f ca="1">IF(OR($D230&lt;&gt;"Serviço",AND(AUTOEVENTO="Manual",$M230=$A$15)),0,
         IF(OFFSET(CRONOPLE!$F$15,$M230-$A$15,CR$13)=0,10^12,OFFSET(CRONOPLE!$F$15,$M230-$A$15,CR$13)))</f>
        <v>1000000000000</v>
      </c>
      <c r="CT230" s="172" cm="1">
        <f t="array" aca="1" ref="CT230" ca="1">IF(OR($D230&lt;&gt;"Serviço",AND(AUTOEVENTO="Manual",$M230=$A$15),$M230&gt;(ROW(PLE.lastrow)-ROW(PLE.firstrow))),0,
           IF(OFFSET(PLE!$G$15,$M230-$A$15,CT$13)="",10^12,OFFSET(PLE!$G$15,$M230-$A$15,CT$13)))</f>
        <v>1000000000000</v>
      </c>
      <c r="CU230" s="172" cm="1">
        <f t="array" aca="1" ref="CU230" ca="1">IF(OR($D230&lt;&gt;"Serviço",AND(AUTOEVENTO="Manual",$M230=$A$15),$M230&gt;(ROW(PLE.lastrow)-ROW(PLE.firstrow))),0,
           IF(OFFSET(PLE!$G$15,$M230-$A$15,CU$13)="",10^12,OFFSET(PLE!$G$15,$M230-$A$15,CU$13)))</f>
        <v>1000000000000</v>
      </c>
      <c r="CV230" s="172" cm="1">
        <f t="array" aca="1" ref="CV230" ca="1">IF(OR($D230&lt;&gt;"Serviço",AND(AUTOEVENTO="Manual",$M230=$A$15),$M230&gt;(ROW(PLE.lastrow)-ROW(PLE.firstrow))),0,
           IF(OFFSET(PLE!$G$15,$M230-$A$15,CV$13)="",10^12,OFFSET(PLE!$G$15,$M230-$A$15,CV$13)))</f>
        <v>1000000000000</v>
      </c>
      <c r="CW230" s="172" cm="1">
        <f t="array" aca="1" ref="CW230" ca="1">IF(OR($D230&lt;&gt;"Serviço",AND(AUTOEVENTO="Manual",$M230=$A$15),$M230&gt;(ROW(PLE.lastrow)-ROW(PLE.firstrow))),0,
           IF(OFFSET(PLE!$G$15,$M230-$A$15,CW$13)="",10^12,OFFSET(PLE!$G$15,$M230-$A$15,CW$13)))</f>
        <v>1000000000000</v>
      </c>
      <c r="CX230" s="172" cm="1">
        <f t="array" aca="1" ref="CX230" ca="1">IF(OR($D230&lt;&gt;"Serviço",AND(AUTOEVENTO="Manual",$M230=$A$15),$M230&gt;(ROW(PLE.lastrow)-ROW(PLE.firstrow))),0,
           IF(OFFSET(PLE!$G$15,$M230-$A$15,CX$13)="",10^12,OFFSET(PLE!$G$15,$M230-$A$15,CX$13)))</f>
        <v>1000000000000</v>
      </c>
      <c r="CY230" s="172" cm="1">
        <f t="array" aca="1" ref="CY230" ca="1">IF(OR($D230&lt;&gt;"Serviço",AND(AUTOEVENTO="Manual",$M230=$A$15),$M230&gt;(ROW(PLE.lastrow)-ROW(PLE.firstrow))),0,
           IF(OFFSET(PLE!$G$15,$M230-$A$15,CY$13)="",10^12,OFFSET(PLE!$G$15,$M230-$A$15,CY$13)))</f>
        <v>1000000000000</v>
      </c>
      <c r="CZ230" s="172" cm="1">
        <f t="array" aca="1" ref="CZ230" ca="1">IF(OR($D230&lt;&gt;"Serviço",AND(AUTOEVENTO="Manual",$M230=$A$15),$M230&gt;(ROW(PLE.lastrow)-ROW(PLE.firstrow))),0,
           IF(OFFSET(PLE!$G$15,$M230-$A$15,CZ$13)="",10^12,OFFSET(PLE!$G$15,$M230-$A$15,CZ$13)))</f>
        <v>1000000000000</v>
      </c>
      <c r="DA230" s="172" cm="1">
        <f t="array" aca="1" ref="DA230" ca="1">IF(OR($D230&lt;&gt;"Serviço",AND(AUTOEVENTO="Manual",$M230=$A$15),$M230&gt;(ROW(PLE.lastrow)-ROW(PLE.firstrow))),0,
           IF(OFFSET(PLE!$G$15,$M230-$A$15,DA$13)="",10^12,OFFSET(PLE!$G$15,$M230-$A$15,DA$13)))</f>
        <v>1000000000000</v>
      </c>
      <c r="DB230" s="172" cm="1">
        <f t="array" aca="1" ref="DB230" ca="1">IF(OR($D230&lt;&gt;"Serviço",AND(AUTOEVENTO="Manual",$M230=$A$15),$M230&gt;(ROW(PLE.lastrow)-ROW(PLE.firstrow))),0,
           IF(OFFSET(PLE!$G$15,$M230-$A$15,DB$13)="",10^12,OFFSET(PLE!$G$15,$M230-$A$15,DB$13)))</f>
        <v>1000000000000</v>
      </c>
      <c r="DC230" s="172" cm="1">
        <f t="array" aca="1" ref="DC230" ca="1">IF(OR($D230&lt;&gt;"Serviço",AND(AUTOEVENTO="Manual",$M230=$A$15),$M230&gt;(ROW(PLE.lastrow)-ROW(PLE.firstrow))),0,
           IF(OFFSET(PLE!$G$15,$M230-$A$15,DC$13)="",10^12,OFFSET(PLE!$G$15,$M230-$A$15,DC$13)))</f>
        <v>1000000000000</v>
      </c>
      <c r="DD230" s="172" cm="1">
        <f t="array" aca="1" ref="DD230" ca="1">IF(OR($D230&lt;&gt;"Serviço",AND(AUTOEVENTO="Manual",$M230=$A$15),$M230&gt;(ROW(PLE.lastrow)-ROW(PLE.firstrow))),0,
           IF(OFFSET(PLE!$G$15,$M230-$A$15,DD$13)="",10^12,OFFSET(PLE!$G$15,$M230-$A$15,DD$13)))</f>
        <v>1000000000000</v>
      </c>
      <c r="DE230" s="172" cm="1">
        <f t="array" aca="1" ref="DE230" ca="1">IF(OR($D230&lt;&gt;"Serviço",AND(AUTOEVENTO="Manual",$M230=$A$15),$M230&gt;(ROW(PLE.lastrow)-ROW(PLE.firstrow))),0,
           IF(OFFSET(PLE!$G$15,$M230-$A$15,DE$13)="",10^12,OFFSET(PLE!$G$15,$M230-$A$15,DE$13)))</f>
        <v>1000000000000</v>
      </c>
      <c r="DF230" s="172" cm="1">
        <f t="array" aca="1" ref="DF230" ca="1">IF(OR($D230&lt;&gt;"Serviço",AND(AUTOEVENTO="Manual",$M230=$A$15),$M230&gt;(ROW(PLE.lastrow)-ROW(PLE.firstrow))),0,
           IF(OFFSET(PLE!$G$15,$M230-$A$15,DF$13)="",10^12,OFFSET(PLE!$G$15,$M230-$A$15,DF$13)))</f>
        <v>1000000000000</v>
      </c>
      <c r="DG230" s="172" cm="1">
        <f t="array" aca="1" ref="DG230" ca="1">IF(OR($D230&lt;&gt;"Serviço",AND(AUTOEVENTO="Manual",$M230=$A$15),$M230&gt;(ROW(PLE.lastrow)-ROW(PLE.firstrow))),0,
           IF(OFFSET(PLE!$G$15,$M230-$A$15,DG$13)="",10^12,OFFSET(PLE!$G$15,$M230-$A$15,DG$13)))</f>
        <v>1000000000000</v>
      </c>
      <c r="DH230" s="172" cm="1">
        <f t="array" aca="1" ref="DH230" ca="1">IF(OR($D230&lt;&gt;"Serviço",AND(AUTOEVENTO="Manual",$M230=$A$15),$M230&gt;(ROW(PLE.lastrow)-ROW(PLE.firstrow))),0,
           IF(OFFSET(PLE!$G$15,$M230-$A$15,DH$13)="",10^12,OFFSET(PLE!$G$15,$M230-$A$15,DH$13)))</f>
        <v>1000000000000</v>
      </c>
      <c r="DI230" s="172" cm="1">
        <f t="array" aca="1" ref="DI230" ca="1">IF(OR($D230&lt;&gt;"Serviço",AND(AUTOEVENTO="Manual",$M230=$A$15),$M230&gt;(ROW(PLE.lastrow)-ROW(PLE.firstrow))),0,
           IF(OFFSET(PLE!$G$15,$M230-$A$15,DI$13)="",10^12,OFFSET(PLE!$G$15,$M230-$A$15,DI$13)))</f>
        <v>1000000000000</v>
      </c>
      <c r="DJ230" s="172" cm="1">
        <f t="array" aca="1" ref="DJ230" ca="1">IF(OR($D230&lt;&gt;"Serviço",AND(AUTOEVENTO="Manual",$M230=$A$15),$M230&gt;(ROW(PLE.lastrow)-ROW(PLE.firstrow))),0,
           IF(OFFSET(PLE!$G$15,$M230-$A$15,DJ$13)="",10^12,OFFSET(PLE!$G$15,$M230-$A$15,DJ$13)))</f>
        <v>1000000000000</v>
      </c>
      <c r="DK230" s="172" cm="1">
        <f t="array" aca="1" ref="DK230" ca="1">IF(OR($D230&lt;&gt;"Serviço",AND(AUTOEVENTO="Manual",$M230=$A$15),$M230&gt;(ROW(PLE.lastrow)-ROW(PLE.firstrow))),0,
           IF(OFFSET(PLE!$G$15,$M230-$A$15,DK$13)="",10^12,OFFSET(PLE!$G$15,$M230-$A$15,DK$13)))</f>
        <v>1000000000000</v>
      </c>
      <c r="DL230" s="172" cm="1">
        <f t="array" aca="1" ref="DL230" ca="1">IF(OR($D230&lt;&gt;"Serviço",AND(AUTOEVENTO="Manual",$M230=$A$15),$M230&gt;(ROW(PLE.lastrow)-ROW(PLE.firstrow))),0,
           IF(OFFSET(PLE!$G$15,$M230-$A$15,DL$13)="",10^12,OFFSET(PLE!$G$15,$M230-$A$15,DL$13)))</f>
        <v>1000000000000</v>
      </c>
      <c r="DM230" s="172" cm="1">
        <f t="array" aca="1" ref="DM230" ca="1">IF(OR($D230&lt;&gt;"Serviço",AND(AUTOEVENTO="Manual",$M230=$A$15),$M230&gt;(ROW(PLE.lastrow)-ROW(PLE.firstrow))),0,
           IF(OFFSET(PLE!$G$15,$M230-$A$15,DM$13)="",10^12,OFFSET(PLE!$G$15,$M230-$A$15,DM$13)))</f>
        <v>1000000000000</v>
      </c>
      <c r="DN230" s="172" cm="1">
        <f t="array" aca="1" ref="DN230" ca="1">IF(OR($D230&lt;&gt;"Serviço",AND(AUTOEVENTO="Manual",$M230=$A$15),$M230&gt;(ROW(PLE.lastrow)-ROW(PLE.firstrow))),0,
           IF(OFFSET(PLE!$G$15,$M230-$A$15,DN$13)="",10^12,OFFSET(PLE!$G$15,$M230-$A$15,DN$13)))</f>
        <v>1000000000000</v>
      </c>
      <c r="DO230" s="172" cm="1">
        <f t="array" aca="1" ref="DO230" ca="1">IF(OR($D230&lt;&gt;"Serviço",AND(AUTOEVENTO="Manual",$M230=$A$15),$M230&gt;(ROW(PLE.lastrow)-ROW(PLE.firstrow))),0,
           IF(OFFSET(PLE!$G$15,$M230-$A$15,DO$13)="",10^12,OFFSET(PLE!$G$15,$M230-$A$15,DO$13)))</f>
        <v>1000000000000</v>
      </c>
      <c r="DP230" s="172" cm="1">
        <f t="array" aca="1" ref="DP230" ca="1">IF(OR($D230&lt;&gt;"Serviço",AND(AUTOEVENTO="Manual",$M230=$A$15),$M230&gt;(ROW(PLE.lastrow)-ROW(PLE.firstrow))),0,
           IF(OFFSET(PLE!$G$15,$M230-$A$15,DP$13)="",10^12,OFFSET(PLE!$G$15,$M230-$A$15,DP$13)))</f>
        <v>1000000000000</v>
      </c>
      <c r="DQ230" s="172" cm="1">
        <f t="array" aca="1" ref="DQ230" ca="1">IF(OR($D230&lt;&gt;"Serviço",AND(AUTOEVENTO="Manual",$M230=$A$15),$M230&gt;(ROW(PLE.lastrow)-ROW(PLE.firstrow))),0,
           IF(OFFSET(PLE!$G$15,$M230-$A$15,DQ$13)="",10^12,OFFSET(PLE!$G$15,$M230-$A$15,DQ$13)))</f>
        <v>1000000000000</v>
      </c>
      <c r="DR230" s="172" cm="1">
        <f t="array" aca="1" ref="DR230" ca="1">IF(OR($D230&lt;&gt;"Serviço",AND(AUTOEVENTO="Manual",$M230=$A$15),$M230&gt;(ROW(PLE.lastrow)-ROW(PLE.firstrow))),0,
           IF(OFFSET(PLE!$G$15,$M230-$A$15,DR$13)="",10^12,OFFSET(PLE!$G$15,$M230-$A$15,DR$13)))</f>
        <v>1000000000000</v>
      </c>
      <c r="DS230" s="172" cm="1">
        <f t="array" aca="1" ref="DS230" ca="1">IF(OR($D230&lt;&gt;"Serviço",AND(AUTOEVENTO="Manual",$M230=$A$15),$M230&gt;(ROW(PLE.lastrow)-ROW(PLE.firstrow))),0,
           IF(OFFSET(PLE!$G$15,$M230-$A$15,DS$13)="",10^12,OFFSET(PLE!$G$15,$M230-$A$15,DS$13)))</f>
        <v>1000000000000</v>
      </c>
    </row>
    <row r="231" spans="1:123" ht="25.5" x14ac:dyDescent="0.2">
      <c r="A231" s="7">
        <f t="shared" ca="1" si="19"/>
        <v>9</v>
      </c>
      <c r="B231" s="7" t="str">
        <f ca="1">OFFSET(ORÇAMENTO!C$15,$L231,0)</f>
        <v>S</v>
      </c>
      <c r="C231" s="7" t="str">
        <f ca="1">OFFSET(ORÇAMENTO!L$15,$L231,0)</f>
        <v/>
      </c>
      <c r="D231" s="116" t="str">
        <f ca="1">OFFSET(ORÇAMENTO!N$15,$L231,0)</f>
        <v>Serviço</v>
      </c>
      <c r="E231" s="117" t="str">
        <f ca="1">OFFSET(ORÇAMENTO!O$15,$L231,0)</f>
        <v>-</v>
      </c>
      <c r="F231" s="163" t="str">
        <f ca="1">OFFSET(ORÇAMENTO!R$15,$L231,0)</f>
        <v>(Código não identificado nas referências)</v>
      </c>
      <c r="G231" s="164" t="str">
        <f ca="1">IF($D231&lt;&gt;"Serviço","",OFFSET(ORÇAMENTO!S$15,$L231,0))</f>
        <v>-</v>
      </c>
      <c r="H231" s="122" cm="1">
        <f t="array" aca="1" ref="H231" ca="1">IF($D231&lt;&gt;"Serviço",0,IF(ACOMPANHAMENTO="BM",ROUND(OFFSET(ORÇAMENTO!AJ$15,$L231,0),15-13*ORÇAMENTO!$AF$7),IF(IFERROR(CÁLCULO.FrentesPreenchidas,0)=0,0,SUM(ROUND(OFFSET($P231,0,1,1,CÁLCULO.FrentesPreenchidas),15-13*ORÇAMENTO!$AF$7)))))</f>
        <v>20</v>
      </c>
      <c r="I231" s="468" t="s">
        <v>1235</v>
      </c>
      <c r="J231" s="651" t="str" cm="1">
        <f t="array" aca="1" ref="J231" ca="1">IF(OR(B231&lt;&gt;"S",CÁLCULO.FrentesPreenchidas=0),"",IF(AND(ACOMPANHAMENTO="PLE",AUTOEVENTO="Manual",OR(H231&gt;0,ORÇAMENTO!AC231="QUANT."),OR(K231="",M231=0,N231="")),"►E",IF(AND(ACOMPANHAMENTO="PLE",ORÇAMENTO!AC231="QUANT."),"►Q",IF(AND(ACOMPANHAMENTO="PLE",H231&lt;&gt;SUMPRODUCT(($Q$1:$AQ$1=1)*ROUND(Q231:AQ231,15))),"►S",IF(AND(COUNTIF($P$11:$AQ$11,"▼")=0,H231&gt;0,I231=""),"◄M","")))))</f>
        <v/>
      </c>
      <c r="K231" s="652" t="s">
        <v>1257</v>
      </c>
      <c r="L231" s="165">
        <f t="shared" ca="1" si="20"/>
        <v>216</v>
      </c>
      <c r="M231" s="166">
        <f ca="1">IF($D231&lt;&gt;"Serviço","",
          IF(AUTOEVENTO="manual",$A231,
                IF(ISERROR(MATCH($A231,$A$15:OFFSET($A231,-1,0),0)),MAX($M$15:OFFSET(M231,-1,0))+1,
                      INDEX($M$15:OFFSET(M231,-1,0),MATCH($A231,$A$15:OFFSET($A231,-1,0),0)))))</f>
        <v>9</v>
      </c>
      <c r="N231" s="167" t="str">
        <f ca="1">IF($D231&lt;&gt;"Serviço","",
         IF(AUTOEVENTO="Manual",
                IF($A231=0,"&lt;-- defina o número do agrupador",
                       OFFSET(EVENTOS!$D$15,$A231-$A$15,0)),
                OFFSET($F$15,$A231,0)))</f>
        <v>INSTALAÇÕES</v>
      </c>
      <c r="O231" s="168"/>
      <c r="Q231" s="168">
        <v>1</v>
      </c>
      <c r="R231" s="169">
        <v>1</v>
      </c>
      <c r="S231" s="169">
        <v>1</v>
      </c>
      <c r="T231" s="169">
        <v>1</v>
      </c>
      <c r="U231" s="169">
        <v>1</v>
      </c>
      <c r="V231" s="169">
        <v>1</v>
      </c>
      <c r="W231" s="169">
        <v>1</v>
      </c>
      <c r="X231" s="169">
        <v>1</v>
      </c>
      <c r="Y231" s="169">
        <v>1</v>
      </c>
      <c r="Z231" s="170">
        <v>1</v>
      </c>
      <c r="AA231" s="169">
        <v>1</v>
      </c>
      <c r="AB231" s="169">
        <v>1</v>
      </c>
      <c r="AC231" s="169">
        <v>1</v>
      </c>
      <c r="AD231" s="169">
        <v>1</v>
      </c>
      <c r="AE231" s="169">
        <v>1</v>
      </c>
      <c r="AF231" s="169">
        <v>1</v>
      </c>
      <c r="AG231" s="169">
        <v>1</v>
      </c>
      <c r="AH231" s="170">
        <v>1</v>
      </c>
      <c r="AI231" s="169">
        <v>1</v>
      </c>
      <c r="AJ231" s="169">
        <v>1</v>
      </c>
      <c r="AK231" s="169"/>
      <c r="AL231" s="169"/>
      <c r="AM231" s="169"/>
      <c r="AN231" s="169"/>
      <c r="AO231" s="169"/>
      <c r="AP231" s="170"/>
      <c r="AR231" s="453">
        <f ca="1">IF(AND($D231="Serviço",AR$12&lt;&gt;0,$H231&gt;0,OR(AUTOEVENTO&lt;&gt;"manual",$M231&lt;&gt;$A$15)),
        IF(Import.TipoArredondamento&lt;&gt;"TransfereGOV",
              ROUND(OFFSET($P231,0,AR$13),15-13*ORÇAMENTO!$AF$7)/$H231*OFFSET(ORÇAMENTO!$X$15,ROW(AR231)-ROW(AR$15),0),
              ROUND(ROUND(OFFSET($P231,0,AR$13),15-13*ORÇAMENTO!$AF$7)*OFFSET(ORÇAMENTO!$W$15,ROW(AR231)-ROW(AR$15),0),15-13*ORÇAMENTO!$AF$11)),
         0)</f>
        <v>0</v>
      </c>
      <c r="AS231" s="453">
        <f ca="1">IF(AND($D231="Serviço",AS$12&lt;&gt;0,$H231&gt;0,OR(AUTOEVENTO&lt;&gt;"manual",$M231&lt;&gt;$A$15)),
        IF(Import.TipoArredondamento&lt;&gt;"TransfereGOV",
              ROUND(OFFSET($P231,0,AS$13),15-13*ORÇAMENTO!$AF$7)/$H231*OFFSET(ORÇAMENTO!$X$15,ROW(AS231)-ROW(AS$15),0),
              ROUND(ROUND(OFFSET($P231,0,AS$13),15-13*ORÇAMENTO!$AF$7)*OFFSET(ORÇAMENTO!$W$15,ROW(AS231)-ROW(AS$15),0),15-13*ORÇAMENTO!$AF$11)),
         0)</f>
        <v>0</v>
      </c>
      <c r="AT231" s="453">
        <f ca="1">IF(AND($D231="Serviço",AT$12&lt;&gt;0,$H231&gt;0,OR(AUTOEVENTO&lt;&gt;"manual",$M231&lt;&gt;$A$15)),
        IF(Import.TipoArredondamento&lt;&gt;"TransfereGOV",
              ROUND(OFFSET($P231,0,AT$13),15-13*ORÇAMENTO!$AF$7)/$H231*OFFSET(ORÇAMENTO!$X$15,ROW(AT231)-ROW(AT$15),0),
              ROUND(ROUND(OFFSET($P231,0,AT$13),15-13*ORÇAMENTO!$AF$7)*OFFSET(ORÇAMENTO!$W$15,ROW(AT231)-ROW(AT$15),0),15-13*ORÇAMENTO!$AF$11)),
         0)</f>
        <v>0</v>
      </c>
      <c r="AU231" s="453">
        <f ca="1">IF(AND($D231="Serviço",AU$12&lt;&gt;0,$H231&gt;0,OR(AUTOEVENTO&lt;&gt;"manual",$M231&lt;&gt;$A$15)),
        IF(Import.TipoArredondamento&lt;&gt;"TransfereGOV",
              ROUND(OFFSET($P231,0,AU$13),15-13*ORÇAMENTO!$AF$7)/$H231*OFFSET(ORÇAMENTO!$X$15,ROW(AU231)-ROW(AU$15),0),
              ROUND(ROUND(OFFSET($P231,0,AU$13),15-13*ORÇAMENTO!$AF$7)*OFFSET(ORÇAMENTO!$W$15,ROW(AU231)-ROW(AU$15),0),15-13*ORÇAMENTO!$AF$11)),
         0)</f>
        <v>0</v>
      </c>
      <c r="AV231" s="453">
        <f ca="1">IF(AND($D231="Serviço",AV$12&lt;&gt;0,$H231&gt;0,OR(AUTOEVENTO&lt;&gt;"manual",$M231&lt;&gt;$A$15)),
        IF(Import.TipoArredondamento&lt;&gt;"TransfereGOV",
              ROUND(OFFSET($P231,0,AV$13),15-13*ORÇAMENTO!$AF$7)/$H231*OFFSET(ORÇAMENTO!$X$15,ROW(AV231)-ROW(AV$15),0),
              ROUND(ROUND(OFFSET($P231,0,AV$13),15-13*ORÇAMENTO!$AF$7)*OFFSET(ORÇAMENTO!$W$15,ROW(AV231)-ROW(AV$15),0),15-13*ORÇAMENTO!$AF$11)),
         0)</f>
        <v>0</v>
      </c>
      <c r="AW231" s="453">
        <f ca="1">IF(AND($D231="Serviço",AW$12&lt;&gt;0,$H231&gt;0,OR(AUTOEVENTO&lt;&gt;"manual",$M231&lt;&gt;$A$15)),
        IF(Import.TipoArredondamento&lt;&gt;"TransfereGOV",
              ROUND(OFFSET($P231,0,AW$13),15-13*ORÇAMENTO!$AF$7)/$H231*OFFSET(ORÇAMENTO!$X$15,ROW(AW231)-ROW(AW$15),0),
              ROUND(ROUND(OFFSET($P231,0,AW$13),15-13*ORÇAMENTO!$AF$7)*OFFSET(ORÇAMENTO!$W$15,ROW(AW231)-ROW(AW$15),0),15-13*ORÇAMENTO!$AF$11)),
         0)</f>
        <v>0</v>
      </c>
      <c r="AX231" s="453">
        <f ca="1">IF(AND($D231="Serviço",AX$12&lt;&gt;0,$H231&gt;0,OR(AUTOEVENTO&lt;&gt;"manual",$M231&lt;&gt;$A$15)),
        IF(Import.TipoArredondamento&lt;&gt;"TransfereGOV",
              ROUND(OFFSET($P231,0,AX$13),15-13*ORÇAMENTO!$AF$7)/$H231*OFFSET(ORÇAMENTO!$X$15,ROW(AX231)-ROW(AX$15),0),
              ROUND(ROUND(OFFSET($P231,0,AX$13),15-13*ORÇAMENTO!$AF$7)*OFFSET(ORÇAMENTO!$W$15,ROW(AX231)-ROW(AX$15),0),15-13*ORÇAMENTO!$AF$11)),
         0)</f>
        <v>0</v>
      </c>
      <c r="AY231" s="453">
        <f ca="1">IF(AND($D231="Serviço",AY$12&lt;&gt;0,$H231&gt;0,OR(AUTOEVENTO&lt;&gt;"manual",$M231&lt;&gt;$A$15)),
        IF(Import.TipoArredondamento&lt;&gt;"TransfereGOV",
              ROUND(OFFSET($P231,0,AY$13),15-13*ORÇAMENTO!$AF$7)/$H231*OFFSET(ORÇAMENTO!$X$15,ROW(AY231)-ROW(AY$15),0),
              ROUND(ROUND(OFFSET($P231,0,AY$13),15-13*ORÇAMENTO!$AF$7)*OFFSET(ORÇAMENTO!$W$15,ROW(AY231)-ROW(AY$15),0),15-13*ORÇAMENTO!$AF$11)),
         0)</f>
        <v>0</v>
      </c>
      <c r="AZ231" s="453">
        <f ca="1">IF(AND($D231="Serviço",AZ$12&lt;&gt;0,$H231&gt;0,OR(AUTOEVENTO&lt;&gt;"manual",$M231&lt;&gt;$A$15)),
        IF(Import.TipoArredondamento&lt;&gt;"TransfereGOV",
              ROUND(OFFSET($P231,0,AZ$13),15-13*ORÇAMENTO!$AF$7)/$H231*OFFSET(ORÇAMENTO!$X$15,ROW(AZ231)-ROW(AZ$15),0),
              ROUND(ROUND(OFFSET($P231,0,AZ$13),15-13*ORÇAMENTO!$AF$7)*OFFSET(ORÇAMENTO!$W$15,ROW(AZ231)-ROW(AZ$15),0),15-13*ORÇAMENTO!$AF$11)),
         0)</f>
        <v>0</v>
      </c>
      <c r="BA231" s="453">
        <f ca="1">IF(AND($D231="Serviço",BA$12&lt;&gt;0,$H231&gt;0,OR(AUTOEVENTO&lt;&gt;"manual",$M231&lt;&gt;$A$15)),
        IF(Import.TipoArredondamento&lt;&gt;"TransfereGOV",
              ROUND(OFFSET($P231,0,BA$13),15-13*ORÇAMENTO!$AF$7)/$H231*OFFSET(ORÇAMENTO!$X$15,ROW(BA231)-ROW(BA$15),0),
              ROUND(ROUND(OFFSET($P231,0,BA$13),15-13*ORÇAMENTO!$AF$7)*OFFSET(ORÇAMENTO!$W$15,ROW(BA231)-ROW(BA$15),0),15-13*ORÇAMENTO!$AF$11)),
         0)</f>
        <v>0</v>
      </c>
      <c r="BB231" s="453">
        <f ca="1">IF(AND($D231="Serviço",BB$12&lt;&gt;0,$H231&gt;0,OR(AUTOEVENTO&lt;&gt;"manual",$M231&lt;&gt;$A$15)),
        IF(Import.TipoArredondamento&lt;&gt;"TransfereGOV",
              ROUND(OFFSET($P231,0,BB$13),15-13*ORÇAMENTO!$AF$7)/$H231*OFFSET(ORÇAMENTO!$X$15,ROW(BB231)-ROW(BB$15),0),
              ROUND(ROUND(OFFSET($P231,0,BB$13),15-13*ORÇAMENTO!$AF$7)*OFFSET(ORÇAMENTO!$W$15,ROW(BB231)-ROW(BB$15),0),15-13*ORÇAMENTO!$AF$11)),
         0)</f>
        <v>0</v>
      </c>
      <c r="BC231" s="453">
        <f ca="1">IF(AND($D231="Serviço",BC$12&lt;&gt;0,$H231&gt;0,OR(AUTOEVENTO&lt;&gt;"manual",$M231&lt;&gt;$A$15)),
        IF(Import.TipoArredondamento&lt;&gt;"TransfereGOV",
              ROUND(OFFSET($P231,0,BC$13),15-13*ORÇAMENTO!$AF$7)/$H231*OFFSET(ORÇAMENTO!$X$15,ROW(BC231)-ROW(BC$15),0),
              ROUND(ROUND(OFFSET($P231,0,BC$13),15-13*ORÇAMENTO!$AF$7)*OFFSET(ORÇAMENTO!$W$15,ROW(BC231)-ROW(BC$15),0),15-13*ORÇAMENTO!$AF$11)),
         0)</f>
        <v>0</v>
      </c>
      <c r="BD231" s="453">
        <f ca="1">IF(AND($D231="Serviço",BD$12&lt;&gt;0,$H231&gt;0,OR(AUTOEVENTO&lt;&gt;"manual",$M231&lt;&gt;$A$15)),
        IF(Import.TipoArredondamento&lt;&gt;"TransfereGOV",
              ROUND(OFFSET($P231,0,BD$13),15-13*ORÇAMENTO!$AF$7)/$H231*OFFSET(ORÇAMENTO!$X$15,ROW(BD231)-ROW(BD$15),0),
              ROUND(ROUND(OFFSET($P231,0,BD$13),15-13*ORÇAMENTO!$AF$7)*OFFSET(ORÇAMENTO!$W$15,ROW(BD231)-ROW(BD$15),0),15-13*ORÇAMENTO!$AF$11)),
         0)</f>
        <v>0</v>
      </c>
      <c r="BE231" s="453">
        <f ca="1">IF(AND($D231="Serviço",BE$12&lt;&gt;0,$H231&gt;0,OR(AUTOEVENTO&lt;&gt;"manual",$M231&lt;&gt;$A$15)),
        IF(Import.TipoArredondamento&lt;&gt;"TransfereGOV",
              ROUND(OFFSET($P231,0,BE$13),15-13*ORÇAMENTO!$AF$7)/$H231*OFFSET(ORÇAMENTO!$X$15,ROW(BE231)-ROW(BE$15),0),
              ROUND(ROUND(OFFSET($P231,0,BE$13),15-13*ORÇAMENTO!$AF$7)*OFFSET(ORÇAMENTO!$W$15,ROW(BE231)-ROW(BE$15),0),15-13*ORÇAMENTO!$AF$11)),
         0)</f>
        <v>0</v>
      </c>
      <c r="BF231" s="453">
        <f ca="1">IF(AND($D231="Serviço",BF$12&lt;&gt;0,$H231&gt;0,OR(AUTOEVENTO&lt;&gt;"manual",$M231&lt;&gt;$A$15)),
        IF(Import.TipoArredondamento&lt;&gt;"TransfereGOV",
              ROUND(OFFSET($P231,0,BF$13),15-13*ORÇAMENTO!$AF$7)/$H231*OFFSET(ORÇAMENTO!$X$15,ROW(BF231)-ROW(BF$15),0),
              ROUND(ROUND(OFFSET($P231,0,BF$13),15-13*ORÇAMENTO!$AF$7)*OFFSET(ORÇAMENTO!$W$15,ROW(BF231)-ROW(BF$15),0),15-13*ORÇAMENTO!$AF$11)),
         0)</f>
        <v>0</v>
      </c>
      <c r="BG231" s="453">
        <f ca="1">IF(AND($D231="Serviço",BG$12&lt;&gt;0,$H231&gt;0,OR(AUTOEVENTO&lt;&gt;"manual",$M231&lt;&gt;$A$15)),
        IF(Import.TipoArredondamento&lt;&gt;"TransfereGOV",
              ROUND(OFFSET($P231,0,BG$13),15-13*ORÇAMENTO!$AF$7)/$H231*OFFSET(ORÇAMENTO!$X$15,ROW(BG231)-ROW(BG$15),0),
              ROUND(ROUND(OFFSET($P231,0,BG$13),15-13*ORÇAMENTO!$AF$7)*OFFSET(ORÇAMENTO!$W$15,ROW(BG231)-ROW(BG$15),0),15-13*ORÇAMENTO!$AF$11)),
         0)</f>
        <v>0</v>
      </c>
      <c r="BH231" s="453">
        <f ca="1">IF(AND($D231="Serviço",BH$12&lt;&gt;0,$H231&gt;0,OR(AUTOEVENTO&lt;&gt;"manual",$M231&lt;&gt;$A$15)),
        IF(Import.TipoArredondamento&lt;&gt;"TransfereGOV",
              ROUND(OFFSET($P231,0,BH$13),15-13*ORÇAMENTO!$AF$7)/$H231*OFFSET(ORÇAMENTO!$X$15,ROW(BH231)-ROW(BH$15),0),
              ROUND(ROUND(OFFSET($P231,0,BH$13),15-13*ORÇAMENTO!$AF$7)*OFFSET(ORÇAMENTO!$W$15,ROW(BH231)-ROW(BH$15),0),15-13*ORÇAMENTO!$AF$11)),
         0)</f>
        <v>0</v>
      </c>
      <c r="BI231" s="453">
        <f ca="1">IF(AND($D231="Serviço",BI$12&lt;&gt;0,$H231&gt;0,OR(AUTOEVENTO&lt;&gt;"manual",$M231&lt;&gt;$A$15)),
        IF(Import.TipoArredondamento&lt;&gt;"TransfereGOV",
              ROUND(OFFSET($P231,0,BI$13),15-13*ORÇAMENTO!$AF$7)/$H231*OFFSET(ORÇAMENTO!$X$15,ROW(BI231)-ROW(BI$15),0),
              ROUND(ROUND(OFFSET($P231,0,BI$13),15-13*ORÇAMENTO!$AF$7)*OFFSET(ORÇAMENTO!$W$15,ROW(BI231)-ROW(BI$15),0),15-13*ORÇAMENTO!$AF$11)),
         0)</f>
        <v>0</v>
      </c>
      <c r="BJ231" s="453">
        <f ca="1">IF(AND($D231="Serviço",BJ$12&lt;&gt;0,$H231&gt;0,OR(AUTOEVENTO&lt;&gt;"manual",$M231&lt;&gt;$A$15)),
        IF(Import.TipoArredondamento&lt;&gt;"TransfereGOV",
              ROUND(OFFSET($P231,0,BJ$13),15-13*ORÇAMENTO!$AF$7)/$H231*OFFSET(ORÇAMENTO!$X$15,ROW(BJ231)-ROW(BJ$15),0),
              ROUND(ROUND(OFFSET($P231,0,BJ$13),15-13*ORÇAMENTO!$AF$7)*OFFSET(ORÇAMENTO!$W$15,ROW(BJ231)-ROW(BJ$15),0),15-13*ORÇAMENTO!$AF$11)),
         0)</f>
        <v>0</v>
      </c>
      <c r="BK231" s="453">
        <f ca="1">IF(AND($D231="Serviço",BK$12&lt;&gt;0,$H231&gt;0,OR(AUTOEVENTO&lt;&gt;"manual",$M231&lt;&gt;$A$15)),
        IF(Import.TipoArredondamento&lt;&gt;"TransfereGOV",
              ROUND(OFFSET($P231,0,BK$13),15-13*ORÇAMENTO!$AF$7)/$H231*OFFSET(ORÇAMENTO!$X$15,ROW(BK231)-ROW(BK$15),0),
              ROUND(ROUND(OFFSET($P231,0,BK$13),15-13*ORÇAMENTO!$AF$7)*OFFSET(ORÇAMENTO!$W$15,ROW(BK231)-ROW(BK$15),0),15-13*ORÇAMENTO!$AF$11)),
         0)</f>
        <v>0</v>
      </c>
      <c r="BL231" s="453">
        <f ca="1">IF(AND($D231="Serviço",BL$12&lt;&gt;0,$H231&gt;0,OR(AUTOEVENTO&lt;&gt;"manual",$M231&lt;&gt;$A$15)),
        IF(Import.TipoArredondamento&lt;&gt;"TransfereGOV",
              ROUND(OFFSET($P231,0,BL$13),15-13*ORÇAMENTO!$AF$7)/$H231*OFFSET(ORÇAMENTO!$X$15,ROW(BL231)-ROW(BL$15),0),
              ROUND(ROUND(OFFSET($P231,0,BL$13),15-13*ORÇAMENTO!$AF$7)*OFFSET(ORÇAMENTO!$W$15,ROW(BL231)-ROW(BL$15),0),15-13*ORÇAMENTO!$AF$11)),
         0)</f>
        <v>0</v>
      </c>
      <c r="BM231" s="453">
        <f ca="1">IF(AND($D231="Serviço",BM$12&lt;&gt;0,$H231&gt;0,OR(AUTOEVENTO&lt;&gt;"manual",$M231&lt;&gt;$A$15)),
        IF(Import.TipoArredondamento&lt;&gt;"TransfereGOV",
              ROUND(OFFSET($P231,0,BM$13),15-13*ORÇAMENTO!$AF$7)/$H231*OFFSET(ORÇAMENTO!$X$15,ROW(BM231)-ROW(BM$15),0),
              ROUND(ROUND(OFFSET($P231,0,BM$13),15-13*ORÇAMENTO!$AF$7)*OFFSET(ORÇAMENTO!$W$15,ROW(BM231)-ROW(BM$15),0),15-13*ORÇAMENTO!$AF$11)),
         0)</f>
        <v>0</v>
      </c>
      <c r="BN231" s="453">
        <f ca="1">IF(AND($D231="Serviço",BN$12&lt;&gt;0,$H231&gt;0,OR(AUTOEVENTO&lt;&gt;"manual",$M231&lt;&gt;$A$15)),
        IF(Import.TipoArredondamento&lt;&gt;"TransfereGOV",
              ROUND(OFFSET($P231,0,BN$13),15-13*ORÇAMENTO!$AF$7)/$H231*OFFSET(ORÇAMENTO!$X$15,ROW(BN231)-ROW(BN$15),0),
              ROUND(ROUND(OFFSET($P231,0,BN$13),15-13*ORÇAMENTO!$AF$7)*OFFSET(ORÇAMENTO!$W$15,ROW(BN231)-ROW(BN$15),0),15-13*ORÇAMENTO!$AF$11)),
         0)</f>
        <v>0</v>
      </c>
      <c r="BO231" s="453">
        <f ca="1">IF(AND($D231="Serviço",BO$12&lt;&gt;0,$H231&gt;0,OR(AUTOEVENTO&lt;&gt;"manual",$M231&lt;&gt;$A$15)),
        IF(Import.TipoArredondamento&lt;&gt;"TransfereGOV",
              ROUND(OFFSET($P231,0,BO$13),15-13*ORÇAMENTO!$AF$7)/$H231*OFFSET(ORÇAMENTO!$X$15,ROW(BO231)-ROW(BO$15),0),
              ROUND(ROUND(OFFSET($P231,0,BO$13),15-13*ORÇAMENTO!$AF$7)*OFFSET(ORÇAMENTO!$W$15,ROW(BO231)-ROW(BO$15),0),15-13*ORÇAMENTO!$AF$11)),
         0)</f>
        <v>0</v>
      </c>
      <c r="BP231" s="453">
        <f ca="1">IF(AND($D231="Serviço",BP$12&lt;&gt;0,$H231&gt;0,OR(AUTOEVENTO&lt;&gt;"manual",$M231&lt;&gt;$A$15)),
        IF(Import.TipoArredondamento&lt;&gt;"TransfereGOV",
              ROUND(OFFSET($P231,0,BP$13),15-13*ORÇAMENTO!$AF$7)/$H231*OFFSET(ORÇAMENTO!$X$15,ROW(BP231)-ROW(BP$15),0),
              ROUND(ROUND(OFFSET($P231,0,BP$13),15-13*ORÇAMENTO!$AF$7)*OFFSET(ORÇAMENTO!$W$15,ROW(BP231)-ROW(BP$15),0),15-13*ORÇAMENTO!$AF$11)),
         0)</f>
        <v>0</v>
      </c>
      <c r="BQ231" s="453">
        <f ca="1">IF(AND($D231="Serviço",BQ$12&lt;&gt;0,$H231&gt;0,OR(AUTOEVENTO&lt;&gt;"manual",$M231&lt;&gt;$A$15)),
        IF(Import.TipoArredondamento&lt;&gt;"TransfereGOV",
              ROUND(OFFSET($P231,0,BQ$13),15-13*ORÇAMENTO!$AF$7)/$H231*OFFSET(ORÇAMENTO!$X$15,ROW(BQ231)-ROW(BQ$15),0),
              ROUND(ROUND(OFFSET($P231,0,BQ$13),15-13*ORÇAMENTO!$AF$7)*OFFSET(ORÇAMENTO!$W$15,ROW(BQ231)-ROW(BQ$15),0),15-13*ORÇAMENTO!$AF$11)),
         0)</f>
        <v>0</v>
      </c>
      <c r="BS231" s="171">
        <f ca="1">IF(OR($D231&lt;&gt;"Serviço",AND(AUTOEVENTO="Manual",$M231=$A$15)),0,
         IF(OFFSET(CRONOPLE!$F$15,$M231-$A$15,BS$13)=0,10^12,OFFSET(CRONOPLE!$F$15,$M231-$A$15,BS$13)))</f>
        <v>1</v>
      </c>
      <c r="BT231" s="171">
        <f ca="1">IF(OR($D231&lt;&gt;"Serviço",AND(AUTOEVENTO="Manual",$M231=$A$15)),0,
         IF(OFFSET(CRONOPLE!$F$15,$M231-$A$15,BT$13)=0,10^12,OFFSET(CRONOPLE!$F$15,$M231-$A$15,BT$13)))</f>
        <v>2</v>
      </c>
      <c r="BU231" s="171">
        <f ca="1">IF(OR($D231&lt;&gt;"Serviço",AND(AUTOEVENTO="Manual",$M231=$A$15)),0,
         IF(OFFSET(CRONOPLE!$F$15,$M231-$A$15,BU$13)=0,10^12,OFFSET(CRONOPLE!$F$15,$M231-$A$15,BU$13)))</f>
        <v>3</v>
      </c>
      <c r="BV231" s="171">
        <f ca="1">IF(OR($D231&lt;&gt;"Serviço",AND(AUTOEVENTO="Manual",$M231=$A$15)),0,
         IF(OFFSET(CRONOPLE!$F$15,$M231-$A$15,BV$13)=0,10^12,OFFSET(CRONOPLE!$F$15,$M231-$A$15,BV$13)))</f>
        <v>4</v>
      </c>
      <c r="BW231" s="171">
        <f ca="1">IF(OR($D231&lt;&gt;"Serviço",AND(AUTOEVENTO="Manual",$M231=$A$15)),0,
         IF(OFFSET(CRONOPLE!$F$15,$M231-$A$15,BW$13)=0,10^12,OFFSET(CRONOPLE!$F$15,$M231-$A$15,BW$13)))</f>
        <v>5</v>
      </c>
      <c r="BX231" s="171">
        <f ca="1">IF(OR($D231&lt;&gt;"Serviço",AND(AUTOEVENTO="Manual",$M231=$A$15)),0,
         IF(OFFSET(CRONOPLE!$F$15,$M231-$A$15,BX$13)=0,10^12,OFFSET(CRONOPLE!$F$15,$M231-$A$15,BX$13)))</f>
        <v>6</v>
      </c>
      <c r="BY231" s="171">
        <f ca="1">IF(OR($D231&lt;&gt;"Serviço",AND(AUTOEVENTO="Manual",$M231=$A$15)),0,
         IF(OFFSET(CRONOPLE!$F$15,$M231-$A$15,BY$13)=0,10^12,OFFSET(CRONOPLE!$F$15,$M231-$A$15,BY$13)))</f>
        <v>7</v>
      </c>
      <c r="BZ231" s="171">
        <f ca="1">IF(OR($D231&lt;&gt;"Serviço",AND(AUTOEVENTO="Manual",$M231=$A$15)),0,
         IF(OFFSET(CRONOPLE!$F$15,$M231-$A$15,BZ$13)=0,10^12,OFFSET(CRONOPLE!$F$15,$M231-$A$15,BZ$13)))</f>
        <v>8</v>
      </c>
      <c r="CA231" s="171">
        <f ca="1">IF(OR($D231&lt;&gt;"Serviço",AND(AUTOEVENTO="Manual",$M231=$A$15)),0,
         IF(OFFSET(CRONOPLE!$F$15,$M231-$A$15,CA$13)=0,10^12,OFFSET(CRONOPLE!$F$15,$M231-$A$15,CA$13)))</f>
        <v>9</v>
      </c>
      <c r="CB231" s="171">
        <f ca="1">IF(OR($D231&lt;&gt;"Serviço",AND(AUTOEVENTO="Manual",$M231=$A$15)),0,
         IF(OFFSET(CRONOPLE!$F$15,$M231-$A$15,CB$13)=0,10^12,OFFSET(CRONOPLE!$F$15,$M231-$A$15,CB$13)))</f>
        <v>10</v>
      </c>
      <c r="CC231" s="171">
        <f ca="1">IF(OR($D231&lt;&gt;"Serviço",AND(AUTOEVENTO="Manual",$M231=$A$15)),0,
         IF(OFFSET(CRONOPLE!$F$15,$M231-$A$15,CC$13)=0,10^12,OFFSET(CRONOPLE!$F$15,$M231-$A$15,CC$13)))</f>
        <v>11</v>
      </c>
      <c r="CD231" s="171">
        <f ca="1">IF(OR($D231&lt;&gt;"Serviço",AND(AUTOEVENTO="Manual",$M231=$A$15)),0,
         IF(OFFSET(CRONOPLE!$F$15,$M231-$A$15,CD$13)=0,10^12,OFFSET(CRONOPLE!$F$15,$M231-$A$15,CD$13)))</f>
        <v>12</v>
      </c>
      <c r="CE231" s="171">
        <f ca="1">IF(OR($D231&lt;&gt;"Serviço",AND(AUTOEVENTO="Manual",$M231=$A$15)),0,
         IF(OFFSET(CRONOPLE!$F$15,$M231-$A$15,CE$13)=0,10^12,OFFSET(CRONOPLE!$F$15,$M231-$A$15,CE$13)))</f>
        <v>13</v>
      </c>
      <c r="CF231" s="171">
        <f ca="1">IF(OR($D231&lt;&gt;"Serviço",AND(AUTOEVENTO="Manual",$M231=$A$15)),0,
         IF(OFFSET(CRONOPLE!$F$15,$M231-$A$15,CF$13)=0,10^12,OFFSET(CRONOPLE!$F$15,$M231-$A$15,CF$13)))</f>
        <v>14</v>
      </c>
      <c r="CG231" s="171">
        <f ca="1">IF(OR($D231&lt;&gt;"Serviço",AND(AUTOEVENTO="Manual",$M231=$A$15)),0,
         IF(OFFSET(CRONOPLE!$F$15,$M231-$A$15,CG$13)=0,10^12,OFFSET(CRONOPLE!$F$15,$M231-$A$15,CG$13)))</f>
        <v>15</v>
      </c>
      <c r="CH231" s="171">
        <f ca="1">IF(OR($D231&lt;&gt;"Serviço",AND(AUTOEVENTO="Manual",$M231=$A$15)),0,
         IF(OFFSET(CRONOPLE!$F$15,$M231-$A$15,CH$13)=0,10^12,OFFSET(CRONOPLE!$F$15,$M231-$A$15,CH$13)))</f>
        <v>16</v>
      </c>
      <c r="CI231" s="171">
        <f ca="1">IF(OR($D231&lt;&gt;"Serviço",AND(AUTOEVENTO="Manual",$M231=$A$15)),0,
         IF(OFFSET(CRONOPLE!$F$15,$M231-$A$15,CI$13)=0,10^12,OFFSET(CRONOPLE!$F$15,$M231-$A$15,CI$13)))</f>
        <v>17</v>
      </c>
      <c r="CJ231" s="171">
        <f ca="1">IF(OR($D231&lt;&gt;"Serviço",AND(AUTOEVENTO="Manual",$M231=$A$15)),0,
         IF(OFFSET(CRONOPLE!$F$15,$M231-$A$15,CJ$13)=0,10^12,OFFSET(CRONOPLE!$F$15,$M231-$A$15,CJ$13)))</f>
        <v>18</v>
      </c>
      <c r="CK231" s="171">
        <f ca="1">IF(OR($D231&lt;&gt;"Serviço",AND(AUTOEVENTO="Manual",$M231=$A$15)),0,
         IF(OFFSET(CRONOPLE!$F$15,$M231-$A$15,CK$13)=0,10^12,OFFSET(CRONOPLE!$F$15,$M231-$A$15,CK$13)))</f>
        <v>19</v>
      </c>
      <c r="CL231" s="171">
        <f ca="1">IF(OR($D231&lt;&gt;"Serviço",AND(AUTOEVENTO="Manual",$M231=$A$15)),0,
         IF(OFFSET(CRONOPLE!$F$15,$M231-$A$15,CL$13)=0,10^12,OFFSET(CRONOPLE!$F$15,$M231-$A$15,CL$13)))</f>
        <v>20</v>
      </c>
      <c r="CM231" s="171">
        <f ca="1">IF(OR($D231&lt;&gt;"Serviço",AND(AUTOEVENTO="Manual",$M231=$A$15)),0,
         IF(OFFSET(CRONOPLE!$F$15,$M231-$A$15,CM$13)=0,10^12,OFFSET(CRONOPLE!$F$15,$M231-$A$15,CM$13)))</f>
        <v>1000000000000</v>
      </c>
      <c r="CN231" s="171">
        <f ca="1">IF(OR($D231&lt;&gt;"Serviço",AND(AUTOEVENTO="Manual",$M231=$A$15)),0,
         IF(OFFSET(CRONOPLE!$F$15,$M231-$A$15,CN$13)=0,10^12,OFFSET(CRONOPLE!$F$15,$M231-$A$15,CN$13)))</f>
        <v>1000000000000</v>
      </c>
      <c r="CO231" s="171">
        <f ca="1">IF(OR($D231&lt;&gt;"Serviço",AND(AUTOEVENTO="Manual",$M231=$A$15)),0,
         IF(OFFSET(CRONOPLE!$F$15,$M231-$A$15,CO$13)=0,10^12,OFFSET(CRONOPLE!$F$15,$M231-$A$15,CO$13)))</f>
        <v>1000000000000</v>
      </c>
      <c r="CP231" s="171">
        <f ca="1">IF(OR($D231&lt;&gt;"Serviço",AND(AUTOEVENTO="Manual",$M231=$A$15)),0,
         IF(OFFSET(CRONOPLE!$F$15,$M231-$A$15,CP$13)=0,10^12,OFFSET(CRONOPLE!$F$15,$M231-$A$15,CP$13)))</f>
        <v>1000000000000</v>
      </c>
      <c r="CQ231" s="171">
        <f ca="1">IF(OR($D231&lt;&gt;"Serviço",AND(AUTOEVENTO="Manual",$M231=$A$15)),0,
         IF(OFFSET(CRONOPLE!$F$15,$M231-$A$15,CQ$13)=0,10^12,OFFSET(CRONOPLE!$F$15,$M231-$A$15,CQ$13)))</f>
        <v>1000000000000</v>
      </c>
      <c r="CR231" s="171">
        <f ca="1">IF(OR($D231&lt;&gt;"Serviço",AND(AUTOEVENTO="Manual",$M231=$A$15)),0,
         IF(OFFSET(CRONOPLE!$F$15,$M231-$A$15,CR$13)=0,10^12,OFFSET(CRONOPLE!$F$15,$M231-$A$15,CR$13)))</f>
        <v>1000000000000</v>
      </c>
      <c r="CT231" s="172" cm="1">
        <f t="array" aca="1" ref="CT231" ca="1">IF(OR($D231&lt;&gt;"Serviço",AND(AUTOEVENTO="Manual",$M231=$A$15),$M231&gt;(ROW(PLE.lastrow)-ROW(PLE.firstrow))),0,
           IF(OFFSET(PLE!$G$15,$M231-$A$15,CT$13)="",10^12,OFFSET(PLE!$G$15,$M231-$A$15,CT$13)))</f>
        <v>1000000000000</v>
      </c>
      <c r="CU231" s="172" cm="1">
        <f t="array" aca="1" ref="CU231" ca="1">IF(OR($D231&lt;&gt;"Serviço",AND(AUTOEVENTO="Manual",$M231=$A$15),$M231&gt;(ROW(PLE.lastrow)-ROW(PLE.firstrow))),0,
           IF(OFFSET(PLE!$G$15,$M231-$A$15,CU$13)="",10^12,OFFSET(PLE!$G$15,$M231-$A$15,CU$13)))</f>
        <v>1000000000000</v>
      </c>
      <c r="CV231" s="172" cm="1">
        <f t="array" aca="1" ref="CV231" ca="1">IF(OR($D231&lt;&gt;"Serviço",AND(AUTOEVENTO="Manual",$M231=$A$15),$M231&gt;(ROW(PLE.lastrow)-ROW(PLE.firstrow))),0,
           IF(OFFSET(PLE!$G$15,$M231-$A$15,CV$13)="",10^12,OFFSET(PLE!$G$15,$M231-$A$15,CV$13)))</f>
        <v>1000000000000</v>
      </c>
      <c r="CW231" s="172" cm="1">
        <f t="array" aca="1" ref="CW231" ca="1">IF(OR($D231&lt;&gt;"Serviço",AND(AUTOEVENTO="Manual",$M231=$A$15),$M231&gt;(ROW(PLE.lastrow)-ROW(PLE.firstrow))),0,
           IF(OFFSET(PLE!$G$15,$M231-$A$15,CW$13)="",10^12,OFFSET(PLE!$G$15,$M231-$A$15,CW$13)))</f>
        <v>1000000000000</v>
      </c>
      <c r="CX231" s="172" cm="1">
        <f t="array" aca="1" ref="CX231" ca="1">IF(OR($D231&lt;&gt;"Serviço",AND(AUTOEVENTO="Manual",$M231=$A$15),$M231&gt;(ROW(PLE.lastrow)-ROW(PLE.firstrow))),0,
           IF(OFFSET(PLE!$G$15,$M231-$A$15,CX$13)="",10^12,OFFSET(PLE!$G$15,$M231-$A$15,CX$13)))</f>
        <v>1000000000000</v>
      </c>
      <c r="CY231" s="172" cm="1">
        <f t="array" aca="1" ref="CY231" ca="1">IF(OR($D231&lt;&gt;"Serviço",AND(AUTOEVENTO="Manual",$M231=$A$15),$M231&gt;(ROW(PLE.lastrow)-ROW(PLE.firstrow))),0,
           IF(OFFSET(PLE!$G$15,$M231-$A$15,CY$13)="",10^12,OFFSET(PLE!$G$15,$M231-$A$15,CY$13)))</f>
        <v>1000000000000</v>
      </c>
      <c r="CZ231" s="172" cm="1">
        <f t="array" aca="1" ref="CZ231" ca="1">IF(OR($D231&lt;&gt;"Serviço",AND(AUTOEVENTO="Manual",$M231=$A$15),$M231&gt;(ROW(PLE.lastrow)-ROW(PLE.firstrow))),0,
           IF(OFFSET(PLE!$G$15,$M231-$A$15,CZ$13)="",10^12,OFFSET(PLE!$G$15,$M231-$A$15,CZ$13)))</f>
        <v>1000000000000</v>
      </c>
      <c r="DA231" s="172" cm="1">
        <f t="array" aca="1" ref="DA231" ca="1">IF(OR($D231&lt;&gt;"Serviço",AND(AUTOEVENTO="Manual",$M231=$A$15),$M231&gt;(ROW(PLE.lastrow)-ROW(PLE.firstrow))),0,
           IF(OFFSET(PLE!$G$15,$M231-$A$15,DA$13)="",10^12,OFFSET(PLE!$G$15,$M231-$A$15,DA$13)))</f>
        <v>1000000000000</v>
      </c>
      <c r="DB231" s="172" cm="1">
        <f t="array" aca="1" ref="DB231" ca="1">IF(OR($D231&lt;&gt;"Serviço",AND(AUTOEVENTO="Manual",$M231=$A$15),$M231&gt;(ROW(PLE.lastrow)-ROW(PLE.firstrow))),0,
           IF(OFFSET(PLE!$G$15,$M231-$A$15,DB$13)="",10^12,OFFSET(PLE!$G$15,$M231-$A$15,DB$13)))</f>
        <v>1000000000000</v>
      </c>
      <c r="DC231" s="172" cm="1">
        <f t="array" aca="1" ref="DC231" ca="1">IF(OR($D231&lt;&gt;"Serviço",AND(AUTOEVENTO="Manual",$M231=$A$15),$M231&gt;(ROW(PLE.lastrow)-ROW(PLE.firstrow))),0,
           IF(OFFSET(PLE!$G$15,$M231-$A$15,DC$13)="",10^12,OFFSET(PLE!$G$15,$M231-$A$15,DC$13)))</f>
        <v>1000000000000</v>
      </c>
      <c r="DD231" s="172" cm="1">
        <f t="array" aca="1" ref="DD231" ca="1">IF(OR($D231&lt;&gt;"Serviço",AND(AUTOEVENTO="Manual",$M231=$A$15),$M231&gt;(ROW(PLE.lastrow)-ROW(PLE.firstrow))),0,
           IF(OFFSET(PLE!$G$15,$M231-$A$15,DD$13)="",10^12,OFFSET(PLE!$G$15,$M231-$A$15,DD$13)))</f>
        <v>1000000000000</v>
      </c>
      <c r="DE231" s="172" cm="1">
        <f t="array" aca="1" ref="DE231" ca="1">IF(OR($D231&lt;&gt;"Serviço",AND(AUTOEVENTO="Manual",$M231=$A$15),$M231&gt;(ROW(PLE.lastrow)-ROW(PLE.firstrow))),0,
           IF(OFFSET(PLE!$G$15,$M231-$A$15,DE$13)="",10^12,OFFSET(PLE!$G$15,$M231-$A$15,DE$13)))</f>
        <v>1000000000000</v>
      </c>
      <c r="DF231" s="172" cm="1">
        <f t="array" aca="1" ref="DF231" ca="1">IF(OR($D231&lt;&gt;"Serviço",AND(AUTOEVENTO="Manual",$M231=$A$15),$M231&gt;(ROW(PLE.lastrow)-ROW(PLE.firstrow))),0,
           IF(OFFSET(PLE!$G$15,$M231-$A$15,DF$13)="",10^12,OFFSET(PLE!$G$15,$M231-$A$15,DF$13)))</f>
        <v>1000000000000</v>
      </c>
      <c r="DG231" s="172" cm="1">
        <f t="array" aca="1" ref="DG231" ca="1">IF(OR($D231&lt;&gt;"Serviço",AND(AUTOEVENTO="Manual",$M231=$A$15),$M231&gt;(ROW(PLE.lastrow)-ROW(PLE.firstrow))),0,
           IF(OFFSET(PLE!$G$15,$M231-$A$15,DG$13)="",10^12,OFFSET(PLE!$G$15,$M231-$A$15,DG$13)))</f>
        <v>1000000000000</v>
      </c>
      <c r="DH231" s="172" cm="1">
        <f t="array" aca="1" ref="DH231" ca="1">IF(OR($D231&lt;&gt;"Serviço",AND(AUTOEVENTO="Manual",$M231=$A$15),$M231&gt;(ROW(PLE.lastrow)-ROW(PLE.firstrow))),0,
           IF(OFFSET(PLE!$G$15,$M231-$A$15,DH$13)="",10^12,OFFSET(PLE!$G$15,$M231-$A$15,DH$13)))</f>
        <v>1000000000000</v>
      </c>
      <c r="DI231" s="172" cm="1">
        <f t="array" aca="1" ref="DI231" ca="1">IF(OR($D231&lt;&gt;"Serviço",AND(AUTOEVENTO="Manual",$M231=$A$15),$M231&gt;(ROW(PLE.lastrow)-ROW(PLE.firstrow))),0,
           IF(OFFSET(PLE!$G$15,$M231-$A$15,DI$13)="",10^12,OFFSET(PLE!$G$15,$M231-$A$15,DI$13)))</f>
        <v>1000000000000</v>
      </c>
      <c r="DJ231" s="172" cm="1">
        <f t="array" aca="1" ref="DJ231" ca="1">IF(OR($D231&lt;&gt;"Serviço",AND(AUTOEVENTO="Manual",$M231=$A$15),$M231&gt;(ROW(PLE.lastrow)-ROW(PLE.firstrow))),0,
           IF(OFFSET(PLE!$G$15,$M231-$A$15,DJ$13)="",10^12,OFFSET(PLE!$G$15,$M231-$A$15,DJ$13)))</f>
        <v>1000000000000</v>
      </c>
      <c r="DK231" s="172" cm="1">
        <f t="array" aca="1" ref="DK231" ca="1">IF(OR($D231&lt;&gt;"Serviço",AND(AUTOEVENTO="Manual",$M231=$A$15),$M231&gt;(ROW(PLE.lastrow)-ROW(PLE.firstrow))),0,
           IF(OFFSET(PLE!$G$15,$M231-$A$15,DK$13)="",10^12,OFFSET(PLE!$G$15,$M231-$A$15,DK$13)))</f>
        <v>1000000000000</v>
      </c>
      <c r="DL231" s="172" cm="1">
        <f t="array" aca="1" ref="DL231" ca="1">IF(OR($D231&lt;&gt;"Serviço",AND(AUTOEVENTO="Manual",$M231=$A$15),$M231&gt;(ROW(PLE.lastrow)-ROW(PLE.firstrow))),0,
           IF(OFFSET(PLE!$G$15,$M231-$A$15,DL$13)="",10^12,OFFSET(PLE!$G$15,$M231-$A$15,DL$13)))</f>
        <v>1000000000000</v>
      </c>
      <c r="DM231" s="172" cm="1">
        <f t="array" aca="1" ref="DM231" ca="1">IF(OR($D231&lt;&gt;"Serviço",AND(AUTOEVENTO="Manual",$M231=$A$15),$M231&gt;(ROW(PLE.lastrow)-ROW(PLE.firstrow))),0,
           IF(OFFSET(PLE!$G$15,$M231-$A$15,DM$13)="",10^12,OFFSET(PLE!$G$15,$M231-$A$15,DM$13)))</f>
        <v>1000000000000</v>
      </c>
      <c r="DN231" s="172" cm="1">
        <f t="array" aca="1" ref="DN231" ca="1">IF(OR($D231&lt;&gt;"Serviço",AND(AUTOEVENTO="Manual",$M231=$A$15),$M231&gt;(ROW(PLE.lastrow)-ROW(PLE.firstrow))),0,
           IF(OFFSET(PLE!$G$15,$M231-$A$15,DN$13)="",10^12,OFFSET(PLE!$G$15,$M231-$A$15,DN$13)))</f>
        <v>1000000000000</v>
      </c>
      <c r="DO231" s="172" cm="1">
        <f t="array" aca="1" ref="DO231" ca="1">IF(OR($D231&lt;&gt;"Serviço",AND(AUTOEVENTO="Manual",$M231=$A$15),$M231&gt;(ROW(PLE.lastrow)-ROW(PLE.firstrow))),0,
           IF(OFFSET(PLE!$G$15,$M231-$A$15,DO$13)="",10^12,OFFSET(PLE!$G$15,$M231-$A$15,DO$13)))</f>
        <v>1000000000000</v>
      </c>
      <c r="DP231" s="172" cm="1">
        <f t="array" aca="1" ref="DP231" ca="1">IF(OR($D231&lt;&gt;"Serviço",AND(AUTOEVENTO="Manual",$M231=$A$15),$M231&gt;(ROW(PLE.lastrow)-ROW(PLE.firstrow))),0,
           IF(OFFSET(PLE!$G$15,$M231-$A$15,DP$13)="",10^12,OFFSET(PLE!$G$15,$M231-$A$15,DP$13)))</f>
        <v>1000000000000</v>
      </c>
      <c r="DQ231" s="172" cm="1">
        <f t="array" aca="1" ref="DQ231" ca="1">IF(OR($D231&lt;&gt;"Serviço",AND(AUTOEVENTO="Manual",$M231=$A$15),$M231&gt;(ROW(PLE.lastrow)-ROW(PLE.firstrow))),0,
           IF(OFFSET(PLE!$G$15,$M231-$A$15,DQ$13)="",10^12,OFFSET(PLE!$G$15,$M231-$A$15,DQ$13)))</f>
        <v>1000000000000</v>
      </c>
      <c r="DR231" s="172" cm="1">
        <f t="array" aca="1" ref="DR231" ca="1">IF(OR($D231&lt;&gt;"Serviço",AND(AUTOEVENTO="Manual",$M231=$A$15),$M231&gt;(ROW(PLE.lastrow)-ROW(PLE.firstrow))),0,
           IF(OFFSET(PLE!$G$15,$M231-$A$15,DR$13)="",10^12,OFFSET(PLE!$G$15,$M231-$A$15,DR$13)))</f>
        <v>1000000000000</v>
      </c>
      <c r="DS231" s="172" cm="1">
        <f t="array" aca="1" ref="DS231" ca="1">IF(OR($D231&lt;&gt;"Serviço",AND(AUTOEVENTO="Manual",$M231=$A$15),$M231&gt;(ROW(PLE.lastrow)-ROW(PLE.firstrow))),0,
           IF(OFFSET(PLE!$G$15,$M231-$A$15,DS$13)="",10^12,OFFSET(PLE!$G$15,$M231-$A$15,DS$13)))</f>
        <v>1000000000000</v>
      </c>
    </row>
    <row r="232" spans="1:123" ht="25.5" x14ac:dyDescent="0.2">
      <c r="A232" s="7">
        <f ca="1">IFERROR(IF(AUTOEVENTO="Manual",IF(K232&lt;&gt;"",MIN(VALUE(LEFT(K232,FIND(".",K232)-1)),COUNTA(EVENTOS.Lista)),0),IF(OR($B232&gt;AUTOEVENTO,$B232="S",$B232=0),SUBSTITUTE(OFFSET($A232,-1,0),IF($D232="Serviço",".",""),""),$L232&amp;".")),0)</f>
        <v>9</v>
      </c>
      <c r="B232" s="7" t="str">
        <f ca="1">OFFSET(ORÇAMENTO!C$15,$L232,0)</f>
        <v>S</v>
      </c>
      <c r="C232" s="7" t="str">
        <f ca="1">OFFSET(ORÇAMENTO!L$15,$L232,0)</f>
        <v/>
      </c>
      <c r="D232" s="116" t="str">
        <f ca="1">OFFSET(ORÇAMENTO!N$15,$L232,0)</f>
        <v>Serviço</v>
      </c>
      <c r="E232" s="117" t="str">
        <f ca="1">OFFSET(ORÇAMENTO!O$15,$L232,0)</f>
        <v>-</v>
      </c>
      <c r="F232" s="163" t="str">
        <f ca="1">OFFSET(ORÇAMENTO!R$15,$L232,0)</f>
        <v>(Código não identificado nas referências)</v>
      </c>
      <c r="G232" s="164" t="str">
        <f ca="1">IF($D232&lt;&gt;"Serviço","",OFFSET(ORÇAMENTO!S$15,$L232,0))</f>
        <v>-</v>
      </c>
      <c r="H232" s="122" cm="1">
        <f t="array" aca="1" ref="H232" ca="1">IF($D232&lt;&gt;"Serviço",0,IF(ACOMPANHAMENTO="BM",ROUND(OFFSET(ORÇAMENTO!AJ$15,$L232,0),15-13*ORÇAMENTO!$AF$7),IF(IFERROR(CÁLCULO.FrentesPreenchidas,0)=0,0,SUM(ROUND(OFFSET($P232,0,1,1,CÁLCULO.FrentesPreenchidas),15-13*ORÇAMENTO!$AF$7)))))</f>
        <v>2</v>
      </c>
      <c r="I232" s="468" t="s">
        <v>1261</v>
      </c>
      <c r="J232" s="651" t="str" cm="1">
        <f t="array" aca="1" ref="J232" ca="1">IF(OR(B232&lt;&gt;"S",CÁLCULO.FrentesPreenchidas=0),"",IF(AND(ACOMPANHAMENTO="PLE",AUTOEVENTO="Manual",OR(H232&gt;0,ORÇAMENTO!AC232="QUANT."),OR(K232="",M232=0,N232="")),"►E",IF(AND(ACOMPANHAMENTO="PLE",ORÇAMENTO!AC232="QUANT."),"►Q",IF(AND(ACOMPANHAMENTO="PLE",H232&lt;&gt;SUMPRODUCT(($Q$1:$AQ$1=1)*ROUND(Q232:AQ232,15))),"►S",IF(AND(COUNTIF($P$11:$AQ$11,"▼")=0,H232&gt;0,I232=""),"◄M","")))))</f>
        <v/>
      </c>
      <c r="K232" s="652" t="s">
        <v>1257</v>
      </c>
      <c r="L232" s="165">
        <f ca="1">OFFSET(L232,-1,0)+1</f>
        <v>217</v>
      </c>
      <c r="M232" s="166">
        <f ca="1">IF($D232&lt;&gt;"Serviço","",
          IF(AUTOEVENTO="manual",$A232,
                IF(ISERROR(MATCH($A232,$A$15:OFFSET($A232,-1,0),0)),MAX($M$15:OFFSET(M232,-1,0))+1,
                      INDEX($M$15:OFFSET(M232,-1,0),MATCH($A232,$A$15:OFFSET($A232,-1,0),0)))))</f>
        <v>9</v>
      </c>
      <c r="N232" s="167" t="str">
        <f ca="1">IF($D232&lt;&gt;"Serviço","",
         IF(AUTOEVENTO="Manual",
                IF($A232=0,"&lt;-- defina o número do agrupador",
                       OFFSET(EVENTOS!$D$15,$A232-$A$15,0)),
                OFFSET($F$15,$A232,0)))</f>
        <v>INSTALAÇÕES</v>
      </c>
      <c r="O232" s="168"/>
      <c r="Q232" s="168">
        <v>1</v>
      </c>
      <c r="R232" s="169">
        <v>1</v>
      </c>
      <c r="S232" s="169"/>
      <c r="T232" s="169"/>
      <c r="U232" s="169"/>
      <c r="V232" s="169"/>
      <c r="W232" s="169"/>
      <c r="X232" s="169"/>
      <c r="Y232" s="169"/>
      <c r="Z232" s="170"/>
      <c r="AA232" s="169"/>
      <c r="AB232" s="169"/>
      <c r="AC232" s="169"/>
      <c r="AD232" s="169"/>
      <c r="AE232" s="169"/>
      <c r="AF232" s="169"/>
      <c r="AG232" s="169"/>
      <c r="AH232" s="170"/>
      <c r="AI232" s="169"/>
      <c r="AJ232" s="169"/>
      <c r="AK232" s="169"/>
      <c r="AL232" s="169"/>
      <c r="AM232" s="169"/>
      <c r="AN232" s="169"/>
      <c r="AO232" s="169"/>
      <c r="AP232" s="170"/>
      <c r="AR232" s="453">
        <f ca="1">IF(AND($D232="Serviço",AR$12&lt;&gt;0,$H232&gt;0,OR(AUTOEVENTO&lt;&gt;"manual",$M232&lt;&gt;$A$15)),
        IF(Import.TipoArredondamento&lt;&gt;"TransfereGOV",
              ROUND(OFFSET($P232,0,AR$13),15-13*ORÇAMENTO!$AF$7)/$H232*OFFSET(ORÇAMENTO!$X$15,ROW(AR232)-ROW(AR$15),0),
              ROUND(ROUND(OFFSET($P232,0,AR$13),15-13*ORÇAMENTO!$AF$7)*OFFSET(ORÇAMENTO!$W$15,ROW(AR232)-ROW(AR$15),0),15-13*ORÇAMENTO!$AF$11)),
         0)</f>
        <v>0</v>
      </c>
      <c r="AS232" s="453">
        <f ca="1">IF(AND($D232="Serviço",AS$12&lt;&gt;0,$H232&gt;0,OR(AUTOEVENTO&lt;&gt;"manual",$M232&lt;&gt;$A$15)),
        IF(Import.TipoArredondamento&lt;&gt;"TransfereGOV",
              ROUND(OFFSET($P232,0,AS$13),15-13*ORÇAMENTO!$AF$7)/$H232*OFFSET(ORÇAMENTO!$X$15,ROW(AS232)-ROW(AS$15),0),
              ROUND(ROUND(OFFSET($P232,0,AS$13),15-13*ORÇAMENTO!$AF$7)*OFFSET(ORÇAMENTO!$W$15,ROW(AS232)-ROW(AS$15),0),15-13*ORÇAMENTO!$AF$11)),
         0)</f>
        <v>0</v>
      </c>
      <c r="AT232" s="453">
        <f ca="1">IF(AND($D232="Serviço",AT$12&lt;&gt;0,$H232&gt;0,OR(AUTOEVENTO&lt;&gt;"manual",$M232&lt;&gt;$A$15)),
        IF(Import.TipoArredondamento&lt;&gt;"TransfereGOV",
              ROUND(OFFSET($P232,0,AT$13),15-13*ORÇAMENTO!$AF$7)/$H232*OFFSET(ORÇAMENTO!$X$15,ROW(AT232)-ROW(AT$15),0),
              ROUND(ROUND(OFFSET($P232,0,AT$13),15-13*ORÇAMENTO!$AF$7)*OFFSET(ORÇAMENTO!$W$15,ROW(AT232)-ROW(AT$15),0),15-13*ORÇAMENTO!$AF$11)),
         0)</f>
        <v>0</v>
      </c>
      <c r="AU232" s="453">
        <f ca="1">IF(AND($D232="Serviço",AU$12&lt;&gt;0,$H232&gt;0,OR(AUTOEVENTO&lt;&gt;"manual",$M232&lt;&gt;$A$15)),
        IF(Import.TipoArredondamento&lt;&gt;"TransfereGOV",
              ROUND(OFFSET($P232,0,AU$13),15-13*ORÇAMENTO!$AF$7)/$H232*OFFSET(ORÇAMENTO!$X$15,ROW(AU232)-ROW(AU$15),0),
              ROUND(ROUND(OFFSET($P232,0,AU$13),15-13*ORÇAMENTO!$AF$7)*OFFSET(ORÇAMENTO!$W$15,ROW(AU232)-ROW(AU$15),0),15-13*ORÇAMENTO!$AF$11)),
         0)</f>
        <v>0</v>
      </c>
      <c r="AV232" s="453">
        <f ca="1">IF(AND($D232="Serviço",AV$12&lt;&gt;0,$H232&gt;0,OR(AUTOEVENTO&lt;&gt;"manual",$M232&lt;&gt;$A$15)),
        IF(Import.TipoArredondamento&lt;&gt;"TransfereGOV",
              ROUND(OFFSET($P232,0,AV$13),15-13*ORÇAMENTO!$AF$7)/$H232*OFFSET(ORÇAMENTO!$X$15,ROW(AV232)-ROW(AV$15),0),
              ROUND(ROUND(OFFSET($P232,0,AV$13),15-13*ORÇAMENTO!$AF$7)*OFFSET(ORÇAMENTO!$W$15,ROW(AV232)-ROW(AV$15),0),15-13*ORÇAMENTO!$AF$11)),
         0)</f>
        <v>0</v>
      </c>
      <c r="AW232" s="453">
        <f ca="1">IF(AND($D232="Serviço",AW$12&lt;&gt;0,$H232&gt;0,OR(AUTOEVENTO&lt;&gt;"manual",$M232&lt;&gt;$A$15)),
        IF(Import.TipoArredondamento&lt;&gt;"TransfereGOV",
              ROUND(OFFSET($P232,0,AW$13),15-13*ORÇAMENTO!$AF$7)/$H232*OFFSET(ORÇAMENTO!$X$15,ROW(AW232)-ROW(AW$15),0),
              ROUND(ROUND(OFFSET($P232,0,AW$13),15-13*ORÇAMENTO!$AF$7)*OFFSET(ORÇAMENTO!$W$15,ROW(AW232)-ROW(AW$15),0),15-13*ORÇAMENTO!$AF$11)),
         0)</f>
        <v>0</v>
      </c>
      <c r="AX232" s="453">
        <f ca="1">IF(AND($D232="Serviço",AX$12&lt;&gt;0,$H232&gt;0,OR(AUTOEVENTO&lt;&gt;"manual",$M232&lt;&gt;$A$15)),
        IF(Import.TipoArredondamento&lt;&gt;"TransfereGOV",
              ROUND(OFFSET($P232,0,AX$13),15-13*ORÇAMENTO!$AF$7)/$H232*OFFSET(ORÇAMENTO!$X$15,ROW(AX232)-ROW(AX$15),0),
              ROUND(ROUND(OFFSET($P232,0,AX$13),15-13*ORÇAMENTO!$AF$7)*OFFSET(ORÇAMENTO!$W$15,ROW(AX232)-ROW(AX$15),0),15-13*ORÇAMENTO!$AF$11)),
         0)</f>
        <v>0</v>
      </c>
      <c r="AY232" s="453">
        <f ca="1">IF(AND($D232="Serviço",AY$12&lt;&gt;0,$H232&gt;0,OR(AUTOEVENTO&lt;&gt;"manual",$M232&lt;&gt;$A$15)),
        IF(Import.TipoArredondamento&lt;&gt;"TransfereGOV",
              ROUND(OFFSET($P232,0,AY$13),15-13*ORÇAMENTO!$AF$7)/$H232*OFFSET(ORÇAMENTO!$X$15,ROW(AY232)-ROW(AY$15),0),
              ROUND(ROUND(OFFSET($P232,0,AY$13),15-13*ORÇAMENTO!$AF$7)*OFFSET(ORÇAMENTO!$W$15,ROW(AY232)-ROW(AY$15),0),15-13*ORÇAMENTO!$AF$11)),
         0)</f>
        <v>0</v>
      </c>
      <c r="AZ232" s="453">
        <f ca="1">IF(AND($D232="Serviço",AZ$12&lt;&gt;0,$H232&gt;0,OR(AUTOEVENTO&lt;&gt;"manual",$M232&lt;&gt;$A$15)),
        IF(Import.TipoArredondamento&lt;&gt;"TransfereGOV",
              ROUND(OFFSET($P232,0,AZ$13),15-13*ORÇAMENTO!$AF$7)/$H232*OFFSET(ORÇAMENTO!$X$15,ROW(AZ232)-ROW(AZ$15),0),
              ROUND(ROUND(OFFSET($P232,0,AZ$13),15-13*ORÇAMENTO!$AF$7)*OFFSET(ORÇAMENTO!$W$15,ROW(AZ232)-ROW(AZ$15),0),15-13*ORÇAMENTO!$AF$11)),
         0)</f>
        <v>0</v>
      </c>
      <c r="BA232" s="453">
        <f ca="1">IF(AND($D232="Serviço",BA$12&lt;&gt;0,$H232&gt;0,OR(AUTOEVENTO&lt;&gt;"manual",$M232&lt;&gt;$A$15)),
        IF(Import.TipoArredondamento&lt;&gt;"TransfereGOV",
              ROUND(OFFSET($P232,0,BA$13),15-13*ORÇAMENTO!$AF$7)/$H232*OFFSET(ORÇAMENTO!$X$15,ROW(BA232)-ROW(BA$15),0),
              ROUND(ROUND(OFFSET($P232,0,BA$13),15-13*ORÇAMENTO!$AF$7)*OFFSET(ORÇAMENTO!$W$15,ROW(BA232)-ROW(BA$15),0),15-13*ORÇAMENTO!$AF$11)),
         0)</f>
        <v>0</v>
      </c>
      <c r="BB232" s="453">
        <f ca="1">IF(AND($D232="Serviço",BB$12&lt;&gt;0,$H232&gt;0,OR(AUTOEVENTO&lt;&gt;"manual",$M232&lt;&gt;$A$15)),
        IF(Import.TipoArredondamento&lt;&gt;"TransfereGOV",
              ROUND(OFFSET($P232,0,BB$13),15-13*ORÇAMENTO!$AF$7)/$H232*OFFSET(ORÇAMENTO!$X$15,ROW(BB232)-ROW(BB$15),0),
              ROUND(ROUND(OFFSET($P232,0,BB$13),15-13*ORÇAMENTO!$AF$7)*OFFSET(ORÇAMENTO!$W$15,ROW(BB232)-ROW(BB$15),0),15-13*ORÇAMENTO!$AF$11)),
         0)</f>
        <v>0</v>
      </c>
      <c r="BC232" s="453">
        <f ca="1">IF(AND($D232="Serviço",BC$12&lt;&gt;0,$H232&gt;0,OR(AUTOEVENTO&lt;&gt;"manual",$M232&lt;&gt;$A$15)),
        IF(Import.TipoArredondamento&lt;&gt;"TransfereGOV",
              ROUND(OFFSET($P232,0,BC$13),15-13*ORÇAMENTO!$AF$7)/$H232*OFFSET(ORÇAMENTO!$X$15,ROW(BC232)-ROW(BC$15),0),
              ROUND(ROUND(OFFSET($P232,0,BC$13),15-13*ORÇAMENTO!$AF$7)*OFFSET(ORÇAMENTO!$W$15,ROW(BC232)-ROW(BC$15),0),15-13*ORÇAMENTO!$AF$11)),
         0)</f>
        <v>0</v>
      </c>
      <c r="BD232" s="453">
        <f ca="1">IF(AND($D232="Serviço",BD$12&lt;&gt;0,$H232&gt;0,OR(AUTOEVENTO&lt;&gt;"manual",$M232&lt;&gt;$A$15)),
        IF(Import.TipoArredondamento&lt;&gt;"TransfereGOV",
              ROUND(OFFSET($P232,0,BD$13),15-13*ORÇAMENTO!$AF$7)/$H232*OFFSET(ORÇAMENTO!$X$15,ROW(BD232)-ROW(BD$15),0),
              ROUND(ROUND(OFFSET($P232,0,BD$13),15-13*ORÇAMENTO!$AF$7)*OFFSET(ORÇAMENTO!$W$15,ROW(BD232)-ROW(BD$15),0),15-13*ORÇAMENTO!$AF$11)),
         0)</f>
        <v>0</v>
      </c>
      <c r="BE232" s="453">
        <f ca="1">IF(AND($D232="Serviço",BE$12&lt;&gt;0,$H232&gt;0,OR(AUTOEVENTO&lt;&gt;"manual",$M232&lt;&gt;$A$15)),
        IF(Import.TipoArredondamento&lt;&gt;"TransfereGOV",
              ROUND(OFFSET($P232,0,BE$13),15-13*ORÇAMENTO!$AF$7)/$H232*OFFSET(ORÇAMENTO!$X$15,ROW(BE232)-ROW(BE$15),0),
              ROUND(ROUND(OFFSET($P232,0,BE$13),15-13*ORÇAMENTO!$AF$7)*OFFSET(ORÇAMENTO!$W$15,ROW(BE232)-ROW(BE$15),0),15-13*ORÇAMENTO!$AF$11)),
         0)</f>
        <v>0</v>
      </c>
      <c r="BF232" s="453">
        <f ca="1">IF(AND($D232="Serviço",BF$12&lt;&gt;0,$H232&gt;0,OR(AUTOEVENTO&lt;&gt;"manual",$M232&lt;&gt;$A$15)),
        IF(Import.TipoArredondamento&lt;&gt;"TransfereGOV",
              ROUND(OFFSET($P232,0,BF$13),15-13*ORÇAMENTO!$AF$7)/$H232*OFFSET(ORÇAMENTO!$X$15,ROW(BF232)-ROW(BF$15),0),
              ROUND(ROUND(OFFSET($P232,0,BF$13),15-13*ORÇAMENTO!$AF$7)*OFFSET(ORÇAMENTO!$W$15,ROW(BF232)-ROW(BF$15),0),15-13*ORÇAMENTO!$AF$11)),
         0)</f>
        <v>0</v>
      </c>
      <c r="BG232" s="453">
        <f ca="1">IF(AND($D232="Serviço",BG$12&lt;&gt;0,$H232&gt;0,OR(AUTOEVENTO&lt;&gt;"manual",$M232&lt;&gt;$A$15)),
        IF(Import.TipoArredondamento&lt;&gt;"TransfereGOV",
              ROUND(OFFSET($P232,0,BG$13),15-13*ORÇAMENTO!$AF$7)/$H232*OFFSET(ORÇAMENTO!$X$15,ROW(BG232)-ROW(BG$15),0),
              ROUND(ROUND(OFFSET($P232,0,BG$13),15-13*ORÇAMENTO!$AF$7)*OFFSET(ORÇAMENTO!$W$15,ROW(BG232)-ROW(BG$15),0),15-13*ORÇAMENTO!$AF$11)),
         0)</f>
        <v>0</v>
      </c>
      <c r="BH232" s="453">
        <f ca="1">IF(AND($D232="Serviço",BH$12&lt;&gt;0,$H232&gt;0,OR(AUTOEVENTO&lt;&gt;"manual",$M232&lt;&gt;$A$15)),
        IF(Import.TipoArredondamento&lt;&gt;"TransfereGOV",
              ROUND(OFFSET($P232,0,BH$13),15-13*ORÇAMENTO!$AF$7)/$H232*OFFSET(ORÇAMENTO!$X$15,ROW(BH232)-ROW(BH$15),0),
              ROUND(ROUND(OFFSET($P232,0,BH$13),15-13*ORÇAMENTO!$AF$7)*OFFSET(ORÇAMENTO!$W$15,ROW(BH232)-ROW(BH$15),0),15-13*ORÇAMENTO!$AF$11)),
         0)</f>
        <v>0</v>
      </c>
      <c r="BI232" s="453">
        <f ca="1">IF(AND($D232="Serviço",BI$12&lt;&gt;0,$H232&gt;0,OR(AUTOEVENTO&lt;&gt;"manual",$M232&lt;&gt;$A$15)),
        IF(Import.TipoArredondamento&lt;&gt;"TransfereGOV",
              ROUND(OFFSET($P232,0,BI$13),15-13*ORÇAMENTO!$AF$7)/$H232*OFFSET(ORÇAMENTO!$X$15,ROW(BI232)-ROW(BI$15),0),
              ROUND(ROUND(OFFSET($P232,0,BI$13),15-13*ORÇAMENTO!$AF$7)*OFFSET(ORÇAMENTO!$W$15,ROW(BI232)-ROW(BI$15),0),15-13*ORÇAMENTO!$AF$11)),
         0)</f>
        <v>0</v>
      </c>
      <c r="BJ232" s="453">
        <f ca="1">IF(AND($D232="Serviço",BJ$12&lt;&gt;0,$H232&gt;0,OR(AUTOEVENTO&lt;&gt;"manual",$M232&lt;&gt;$A$15)),
        IF(Import.TipoArredondamento&lt;&gt;"TransfereGOV",
              ROUND(OFFSET($P232,0,BJ$13),15-13*ORÇAMENTO!$AF$7)/$H232*OFFSET(ORÇAMENTO!$X$15,ROW(BJ232)-ROW(BJ$15),0),
              ROUND(ROUND(OFFSET($P232,0,BJ$13),15-13*ORÇAMENTO!$AF$7)*OFFSET(ORÇAMENTO!$W$15,ROW(BJ232)-ROW(BJ$15),0),15-13*ORÇAMENTO!$AF$11)),
         0)</f>
        <v>0</v>
      </c>
      <c r="BK232" s="453">
        <f ca="1">IF(AND($D232="Serviço",BK$12&lt;&gt;0,$H232&gt;0,OR(AUTOEVENTO&lt;&gt;"manual",$M232&lt;&gt;$A$15)),
        IF(Import.TipoArredondamento&lt;&gt;"TransfereGOV",
              ROUND(OFFSET($P232,0,BK$13),15-13*ORÇAMENTO!$AF$7)/$H232*OFFSET(ORÇAMENTO!$X$15,ROW(BK232)-ROW(BK$15),0),
              ROUND(ROUND(OFFSET($P232,0,BK$13),15-13*ORÇAMENTO!$AF$7)*OFFSET(ORÇAMENTO!$W$15,ROW(BK232)-ROW(BK$15),0),15-13*ORÇAMENTO!$AF$11)),
         0)</f>
        <v>0</v>
      </c>
      <c r="BL232" s="453">
        <f ca="1">IF(AND($D232="Serviço",BL$12&lt;&gt;0,$H232&gt;0,OR(AUTOEVENTO&lt;&gt;"manual",$M232&lt;&gt;$A$15)),
        IF(Import.TipoArredondamento&lt;&gt;"TransfereGOV",
              ROUND(OFFSET($P232,0,BL$13),15-13*ORÇAMENTO!$AF$7)/$H232*OFFSET(ORÇAMENTO!$X$15,ROW(BL232)-ROW(BL$15),0),
              ROUND(ROUND(OFFSET($P232,0,BL$13),15-13*ORÇAMENTO!$AF$7)*OFFSET(ORÇAMENTO!$W$15,ROW(BL232)-ROW(BL$15),0),15-13*ORÇAMENTO!$AF$11)),
         0)</f>
        <v>0</v>
      </c>
      <c r="BM232" s="453">
        <f ca="1">IF(AND($D232="Serviço",BM$12&lt;&gt;0,$H232&gt;0,OR(AUTOEVENTO&lt;&gt;"manual",$M232&lt;&gt;$A$15)),
        IF(Import.TipoArredondamento&lt;&gt;"TransfereGOV",
              ROUND(OFFSET($P232,0,BM$13),15-13*ORÇAMENTO!$AF$7)/$H232*OFFSET(ORÇAMENTO!$X$15,ROW(BM232)-ROW(BM$15),0),
              ROUND(ROUND(OFFSET($P232,0,BM$13),15-13*ORÇAMENTO!$AF$7)*OFFSET(ORÇAMENTO!$W$15,ROW(BM232)-ROW(BM$15),0),15-13*ORÇAMENTO!$AF$11)),
         0)</f>
        <v>0</v>
      </c>
      <c r="BN232" s="453">
        <f ca="1">IF(AND($D232="Serviço",BN$12&lt;&gt;0,$H232&gt;0,OR(AUTOEVENTO&lt;&gt;"manual",$M232&lt;&gt;$A$15)),
        IF(Import.TipoArredondamento&lt;&gt;"TransfereGOV",
              ROUND(OFFSET($P232,0,BN$13),15-13*ORÇAMENTO!$AF$7)/$H232*OFFSET(ORÇAMENTO!$X$15,ROW(BN232)-ROW(BN$15),0),
              ROUND(ROUND(OFFSET($P232,0,BN$13),15-13*ORÇAMENTO!$AF$7)*OFFSET(ORÇAMENTO!$W$15,ROW(BN232)-ROW(BN$15),0),15-13*ORÇAMENTO!$AF$11)),
         0)</f>
        <v>0</v>
      </c>
      <c r="BO232" s="453">
        <f ca="1">IF(AND($D232="Serviço",BO$12&lt;&gt;0,$H232&gt;0,OR(AUTOEVENTO&lt;&gt;"manual",$M232&lt;&gt;$A$15)),
        IF(Import.TipoArredondamento&lt;&gt;"TransfereGOV",
              ROUND(OFFSET($P232,0,BO$13),15-13*ORÇAMENTO!$AF$7)/$H232*OFFSET(ORÇAMENTO!$X$15,ROW(BO232)-ROW(BO$15),0),
              ROUND(ROUND(OFFSET($P232,0,BO$13),15-13*ORÇAMENTO!$AF$7)*OFFSET(ORÇAMENTO!$W$15,ROW(BO232)-ROW(BO$15),0),15-13*ORÇAMENTO!$AF$11)),
         0)</f>
        <v>0</v>
      </c>
      <c r="BP232" s="453">
        <f ca="1">IF(AND($D232="Serviço",BP$12&lt;&gt;0,$H232&gt;0,OR(AUTOEVENTO&lt;&gt;"manual",$M232&lt;&gt;$A$15)),
        IF(Import.TipoArredondamento&lt;&gt;"TransfereGOV",
              ROUND(OFFSET($P232,0,BP$13),15-13*ORÇAMENTO!$AF$7)/$H232*OFFSET(ORÇAMENTO!$X$15,ROW(BP232)-ROW(BP$15),0),
              ROUND(ROUND(OFFSET($P232,0,BP$13),15-13*ORÇAMENTO!$AF$7)*OFFSET(ORÇAMENTO!$W$15,ROW(BP232)-ROW(BP$15),0),15-13*ORÇAMENTO!$AF$11)),
         0)</f>
        <v>0</v>
      </c>
      <c r="BQ232" s="453">
        <f ca="1">IF(AND($D232="Serviço",BQ$12&lt;&gt;0,$H232&gt;0,OR(AUTOEVENTO&lt;&gt;"manual",$M232&lt;&gt;$A$15)),
        IF(Import.TipoArredondamento&lt;&gt;"TransfereGOV",
              ROUND(OFFSET($P232,0,BQ$13),15-13*ORÇAMENTO!$AF$7)/$H232*OFFSET(ORÇAMENTO!$X$15,ROW(BQ232)-ROW(BQ$15),0),
              ROUND(ROUND(OFFSET($P232,0,BQ$13),15-13*ORÇAMENTO!$AF$7)*OFFSET(ORÇAMENTO!$W$15,ROW(BQ232)-ROW(BQ$15),0),15-13*ORÇAMENTO!$AF$11)),
         0)</f>
        <v>0</v>
      </c>
      <c r="BS232" s="171">
        <f ca="1">IF(OR($D232&lt;&gt;"Serviço",AND(AUTOEVENTO="Manual",$M232=$A$15)),0,
         IF(OFFSET(CRONOPLE!$F$15,$M232-$A$15,BS$13)=0,10^12,OFFSET(CRONOPLE!$F$15,$M232-$A$15,BS$13)))</f>
        <v>1</v>
      </c>
      <c r="BT232" s="171">
        <f ca="1">IF(OR($D232&lt;&gt;"Serviço",AND(AUTOEVENTO="Manual",$M232=$A$15)),0,
         IF(OFFSET(CRONOPLE!$F$15,$M232-$A$15,BT$13)=0,10^12,OFFSET(CRONOPLE!$F$15,$M232-$A$15,BT$13)))</f>
        <v>2</v>
      </c>
      <c r="BU232" s="171">
        <f ca="1">IF(OR($D232&lt;&gt;"Serviço",AND(AUTOEVENTO="Manual",$M232=$A$15)),0,
         IF(OFFSET(CRONOPLE!$F$15,$M232-$A$15,BU$13)=0,10^12,OFFSET(CRONOPLE!$F$15,$M232-$A$15,BU$13)))</f>
        <v>3</v>
      </c>
      <c r="BV232" s="171">
        <f ca="1">IF(OR($D232&lt;&gt;"Serviço",AND(AUTOEVENTO="Manual",$M232=$A$15)),0,
         IF(OFFSET(CRONOPLE!$F$15,$M232-$A$15,BV$13)=0,10^12,OFFSET(CRONOPLE!$F$15,$M232-$A$15,BV$13)))</f>
        <v>4</v>
      </c>
      <c r="BW232" s="171">
        <f ca="1">IF(OR($D232&lt;&gt;"Serviço",AND(AUTOEVENTO="Manual",$M232=$A$15)),0,
         IF(OFFSET(CRONOPLE!$F$15,$M232-$A$15,BW$13)=0,10^12,OFFSET(CRONOPLE!$F$15,$M232-$A$15,BW$13)))</f>
        <v>5</v>
      </c>
      <c r="BX232" s="171">
        <f ca="1">IF(OR($D232&lt;&gt;"Serviço",AND(AUTOEVENTO="Manual",$M232=$A$15)),0,
         IF(OFFSET(CRONOPLE!$F$15,$M232-$A$15,BX$13)=0,10^12,OFFSET(CRONOPLE!$F$15,$M232-$A$15,BX$13)))</f>
        <v>6</v>
      </c>
      <c r="BY232" s="171">
        <f ca="1">IF(OR($D232&lt;&gt;"Serviço",AND(AUTOEVENTO="Manual",$M232=$A$15)),0,
         IF(OFFSET(CRONOPLE!$F$15,$M232-$A$15,BY$13)=0,10^12,OFFSET(CRONOPLE!$F$15,$M232-$A$15,BY$13)))</f>
        <v>7</v>
      </c>
      <c r="BZ232" s="171">
        <f ca="1">IF(OR($D232&lt;&gt;"Serviço",AND(AUTOEVENTO="Manual",$M232=$A$15)),0,
         IF(OFFSET(CRONOPLE!$F$15,$M232-$A$15,BZ$13)=0,10^12,OFFSET(CRONOPLE!$F$15,$M232-$A$15,BZ$13)))</f>
        <v>8</v>
      </c>
      <c r="CA232" s="171">
        <f ca="1">IF(OR($D232&lt;&gt;"Serviço",AND(AUTOEVENTO="Manual",$M232=$A$15)),0,
         IF(OFFSET(CRONOPLE!$F$15,$M232-$A$15,CA$13)=0,10^12,OFFSET(CRONOPLE!$F$15,$M232-$A$15,CA$13)))</f>
        <v>9</v>
      </c>
      <c r="CB232" s="171">
        <f ca="1">IF(OR($D232&lt;&gt;"Serviço",AND(AUTOEVENTO="Manual",$M232=$A$15)),0,
         IF(OFFSET(CRONOPLE!$F$15,$M232-$A$15,CB$13)=0,10^12,OFFSET(CRONOPLE!$F$15,$M232-$A$15,CB$13)))</f>
        <v>10</v>
      </c>
      <c r="CC232" s="171">
        <f ca="1">IF(OR($D232&lt;&gt;"Serviço",AND(AUTOEVENTO="Manual",$M232=$A$15)),0,
         IF(OFFSET(CRONOPLE!$F$15,$M232-$A$15,CC$13)=0,10^12,OFFSET(CRONOPLE!$F$15,$M232-$A$15,CC$13)))</f>
        <v>11</v>
      </c>
      <c r="CD232" s="171">
        <f ca="1">IF(OR($D232&lt;&gt;"Serviço",AND(AUTOEVENTO="Manual",$M232=$A$15)),0,
         IF(OFFSET(CRONOPLE!$F$15,$M232-$A$15,CD$13)=0,10^12,OFFSET(CRONOPLE!$F$15,$M232-$A$15,CD$13)))</f>
        <v>12</v>
      </c>
      <c r="CE232" s="171">
        <f ca="1">IF(OR($D232&lt;&gt;"Serviço",AND(AUTOEVENTO="Manual",$M232=$A$15)),0,
         IF(OFFSET(CRONOPLE!$F$15,$M232-$A$15,CE$13)=0,10^12,OFFSET(CRONOPLE!$F$15,$M232-$A$15,CE$13)))</f>
        <v>13</v>
      </c>
      <c r="CF232" s="171">
        <f ca="1">IF(OR($D232&lt;&gt;"Serviço",AND(AUTOEVENTO="Manual",$M232=$A$15)),0,
         IF(OFFSET(CRONOPLE!$F$15,$M232-$A$15,CF$13)=0,10^12,OFFSET(CRONOPLE!$F$15,$M232-$A$15,CF$13)))</f>
        <v>14</v>
      </c>
      <c r="CG232" s="171">
        <f ca="1">IF(OR($D232&lt;&gt;"Serviço",AND(AUTOEVENTO="Manual",$M232=$A$15)),0,
         IF(OFFSET(CRONOPLE!$F$15,$M232-$A$15,CG$13)=0,10^12,OFFSET(CRONOPLE!$F$15,$M232-$A$15,CG$13)))</f>
        <v>15</v>
      </c>
      <c r="CH232" s="171">
        <f ca="1">IF(OR($D232&lt;&gt;"Serviço",AND(AUTOEVENTO="Manual",$M232=$A$15)),0,
         IF(OFFSET(CRONOPLE!$F$15,$M232-$A$15,CH$13)=0,10^12,OFFSET(CRONOPLE!$F$15,$M232-$A$15,CH$13)))</f>
        <v>16</v>
      </c>
      <c r="CI232" s="171">
        <f ca="1">IF(OR($D232&lt;&gt;"Serviço",AND(AUTOEVENTO="Manual",$M232=$A$15)),0,
         IF(OFFSET(CRONOPLE!$F$15,$M232-$A$15,CI$13)=0,10^12,OFFSET(CRONOPLE!$F$15,$M232-$A$15,CI$13)))</f>
        <v>17</v>
      </c>
      <c r="CJ232" s="171">
        <f ca="1">IF(OR($D232&lt;&gt;"Serviço",AND(AUTOEVENTO="Manual",$M232=$A$15)),0,
         IF(OFFSET(CRONOPLE!$F$15,$M232-$A$15,CJ$13)=0,10^12,OFFSET(CRONOPLE!$F$15,$M232-$A$15,CJ$13)))</f>
        <v>18</v>
      </c>
      <c r="CK232" s="171">
        <f ca="1">IF(OR($D232&lt;&gt;"Serviço",AND(AUTOEVENTO="Manual",$M232=$A$15)),0,
         IF(OFFSET(CRONOPLE!$F$15,$M232-$A$15,CK$13)=0,10^12,OFFSET(CRONOPLE!$F$15,$M232-$A$15,CK$13)))</f>
        <v>19</v>
      </c>
      <c r="CL232" s="171">
        <f ca="1">IF(OR($D232&lt;&gt;"Serviço",AND(AUTOEVENTO="Manual",$M232=$A$15)),0,
         IF(OFFSET(CRONOPLE!$F$15,$M232-$A$15,CL$13)=0,10^12,OFFSET(CRONOPLE!$F$15,$M232-$A$15,CL$13)))</f>
        <v>20</v>
      </c>
      <c r="CM232" s="171">
        <f ca="1">IF(OR($D232&lt;&gt;"Serviço",AND(AUTOEVENTO="Manual",$M232=$A$15)),0,
         IF(OFFSET(CRONOPLE!$F$15,$M232-$A$15,CM$13)=0,10^12,OFFSET(CRONOPLE!$F$15,$M232-$A$15,CM$13)))</f>
        <v>1000000000000</v>
      </c>
      <c r="CN232" s="171">
        <f ca="1">IF(OR($D232&lt;&gt;"Serviço",AND(AUTOEVENTO="Manual",$M232=$A$15)),0,
         IF(OFFSET(CRONOPLE!$F$15,$M232-$A$15,CN$13)=0,10^12,OFFSET(CRONOPLE!$F$15,$M232-$A$15,CN$13)))</f>
        <v>1000000000000</v>
      </c>
      <c r="CO232" s="171">
        <f ca="1">IF(OR($D232&lt;&gt;"Serviço",AND(AUTOEVENTO="Manual",$M232=$A$15)),0,
         IF(OFFSET(CRONOPLE!$F$15,$M232-$A$15,CO$13)=0,10^12,OFFSET(CRONOPLE!$F$15,$M232-$A$15,CO$13)))</f>
        <v>1000000000000</v>
      </c>
      <c r="CP232" s="171">
        <f ca="1">IF(OR($D232&lt;&gt;"Serviço",AND(AUTOEVENTO="Manual",$M232=$A$15)),0,
         IF(OFFSET(CRONOPLE!$F$15,$M232-$A$15,CP$13)=0,10^12,OFFSET(CRONOPLE!$F$15,$M232-$A$15,CP$13)))</f>
        <v>1000000000000</v>
      </c>
      <c r="CQ232" s="171">
        <f ca="1">IF(OR($D232&lt;&gt;"Serviço",AND(AUTOEVENTO="Manual",$M232=$A$15)),0,
         IF(OFFSET(CRONOPLE!$F$15,$M232-$A$15,CQ$13)=0,10^12,OFFSET(CRONOPLE!$F$15,$M232-$A$15,CQ$13)))</f>
        <v>1000000000000</v>
      </c>
      <c r="CR232" s="171">
        <f ca="1">IF(OR($D232&lt;&gt;"Serviço",AND(AUTOEVENTO="Manual",$M232=$A$15)),0,
         IF(OFFSET(CRONOPLE!$F$15,$M232-$A$15,CR$13)=0,10^12,OFFSET(CRONOPLE!$F$15,$M232-$A$15,CR$13)))</f>
        <v>1000000000000</v>
      </c>
      <c r="CT232" s="172" cm="1">
        <f t="array" aca="1" ref="CT232" ca="1">IF(OR($D232&lt;&gt;"Serviço",AND(AUTOEVENTO="Manual",$M232=$A$15),$M232&gt;(ROW(PLE.lastrow)-ROW(PLE.firstrow))),0,
           IF(OFFSET(PLE!$G$15,$M232-$A$15,CT$13)="",10^12,OFFSET(PLE!$G$15,$M232-$A$15,CT$13)))</f>
        <v>1000000000000</v>
      </c>
      <c r="CU232" s="172" cm="1">
        <f t="array" aca="1" ref="CU232" ca="1">IF(OR($D232&lt;&gt;"Serviço",AND(AUTOEVENTO="Manual",$M232=$A$15),$M232&gt;(ROW(PLE.lastrow)-ROW(PLE.firstrow))),0,
           IF(OFFSET(PLE!$G$15,$M232-$A$15,CU$13)="",10^12,OFFSET(PLE!$G$15,$M232-$A$15,CU$13)))</f>
        <v>1000000000000</v>
      </c>
      <c r="CV232" s="172" cm="1">
        <f t="array" aca="1" ref="CV232" ca="1">IF(OR($D232&lt;&gt;"Serviço",AND(AUTOEVENTO="Manual",$M232=$A$15),$M232&gt;(ROW(PLE.lastrow)-ROW(PLE.firstrow))),0,
           IF(OFFSET(PLE!$G$15,$M232-$A$15,CV$13)="",10^12,OFFSET(PLE!$G$15,$M232-$A$15,CV$13)))</f>
        <v>1000000000000</v>
      </c>
      <c r="CW232" s="172" cm="1">
        <f t="array" aca="1" ref="CW232" ca="1">IF(OR($D232&lt;&gt;"Serviço",AND(AUTOEVENTO="Manual",$M232=$A$15),$M232&gt;(ROW(PLE.lastrow)-ROW(PLE.firstrow))),0,
           IF(OFFSET(PLE!$G$15,$M232-$A$15,CW$13)="",10^12,OFFSET(PLE!$G$15,$M232-$A$15,CW$13)))</f>
        <v>1000000000000</v>
      </c>
      <c r="CX232" s="172" cm="1">
        <f t="array" aca="1" ref="CX232" ca="1">IF(OR($D232&lt;&gt;"Serviço",AND(AUTOEVENTO="Manual",$M232=$A$15),$M232&gt;(ROW(PLE.lastrow)-ROW(PLE.firstrow))),0,
           IF(OFFSET(PLE!$G$15,$M232-$A$15,CX$13)="",10^12,OFFSET(PLE!$G$15,$M232-$A$15,CX$13)))</f>
        <v>1000000000000</v>
      </c>
      <c r="CY232" s="172" cm="1">
        <f t="array" aca="1" ref="CY232" ca="1">IF(OR($D232&lt;&gt;"Serviço",AND(AUTOEVENTO="Manual",$M232=$A$15),$M232&gt;(ROW(PLE.lastrow)-ROW(PLE.firstrow))),0,
           IF(OFFSET(PLE!$G$15,$M232-$A$15,CY$13)="",10^12,OFFSET(PLE!$G$15,$M232-$A$15,CY$13)))</f>
        <v>1000000000000</v>
      </c>
      <c r="CZ232" s="172" cm="1">
        <f t="array" aca="1" ref="CZ232" ca="1">IF(OR($D232&lt;&gt;"Serviço",AND(AUTOEVENTO="Manual",$M232=$A$15),$M232&gt;(ROW(PLE.lastrow)-ROW(PLE.firstrow))),0,
           IF(OFFSET(PLE!$G$15,$M232-$A$15,CZ$13)="",10^12,OFFSET(PLE!$G$15,$M232-$A$15,CZ$13)))</f>
        <v>1000000000000</v>
      </c>
      <c r="DA232" s="172" cm="1">
        <f t="array" aca="1" ref="DA232" ca="1">IF(OR($D232&lt;&gt;"Serviço",AND(AUTOEVENTO="Manual",$M232=$A$15),$M232&gt;(ROW(PLE.lastrow)-ROW(PLE.firstrow))),0,
           IF(OFFSET(PLE!$G$15,$M232-$A$15,DA$13)="",10^12,OFFSET(PLE!$G$15,$M232-$A$15,DA$13)))</f>
        <v>1000000000000</v>
      </c>
      <c r="DB232" s="172" cm="1">
        <f t="array" aca="1" ref="DB232" ca="1">IF(OR($D232&lt;&gt;"Serviço",AND(AUTOEVENTO="Manual",$M232=$A$15),$M232&gt;(ROW(PLE.lastrow)-ROW(PLE.firstrow))),0,
           IF(OFFSET(PLE!$G$15,$M232-$A$15,DB$13)="",10^12,OFFSET(PLE!$G$15,$M232-$A$15,DB$13)))</f>
        <v>1000000000000</v>
      </c>
      <c r="DC232" s="172" cm="1">
        <f t="array" aca="1" ref="DC232" ca="1">IF(OR($D232&lt;&gt;"Serviço",AND(AUTOEVENTO="Manual",$M232=$A$15),$M232&gt;(ROW(PLE.lastrow)-ROW(PLE.firstrow))),0,
           IF(OFFSET(PLE!$G$15,$M232-$A$15,DC$13)="",10^12,OFFSET(PLE!$G$15,$M232-$A$15,DC$13)))</f>
        <v>1000000000000</v>
      </c>
      <c r="DD232" s="172" cm="1">
        <f t="array" aca="1" ref="DD232" ca="1">IF(OR($D232&lt;&gt;"Serviço",AND(AUTOEVENTO="Manual",$M232=$A$15),$M232&gt;(ROW(PLE.lastrow)-ROW(PLE.firstrow))),0,
           IF(OFFSET(PLE!$G$15,$M232-$A$15,DD$13)="",10^12,OFFSET(PLE!$G$15,$M232-$A$15,DD$13)))</f>
        <v>1000000000000</v>
      </c>
      <c r="DE232" s="172" cm="1">
        <f t="array" aca="1" ref="DE232" ca="1">IF(OR($D232&lt;&gt;"Serviço",AND(AUTOEVENTO="Manual",$M232=$A$15),$M232&gt;(ROW(PLE.lastrow)-ROW(PLE.firstrow))),0,
           IF(OFFSET(PLE!$G$15,$M232-$A$15,DE$13)="",10^12,OFFSET(PLE!$G$15,$M232-$A$15,DE$13)))</f>
        <v>1000000000000</v>
      </c>
      <c r="DF232" s="172" cm="1">
        <f t="array" aca="1" ref="DF232" ca="1">IF(OR($D232&lt;&gt;"Serviço",AND(AUTOEVENTO="Manual",$M232=$A$15),$M232&gt;(ROW(PLE.lastrow)-ROW(PLE.firstrow))),0,
           IF(OFFSET(PLE!$G$15,$M232-$A$15,DF$13)="",10^12,OFFSET(PLE!$G$15,$M232-$A$15,DF$13)))</f>
        <v>1000000000000</v>
      </c>
      <c r="DG232" s="172" cm="1">
        <f t="array" aca="1" ref="DG232" ca="1">IF(OR($D232&lt;&gt;"Serviço",AND(AUTOEVENTO="Manual",$M232=$A$15),$M232&gt;(ROW(PLE.lastrow)-ROW(PLE.firstrow))),0,
           IF(OFFSET(PLE!$G$15,$M232-$A$15,DG$13)="",10^12,OFFSET(PLE!$G$15,$M232-$A$15,DG$13)))</f>
        <v>1000000000000</v>
      </c>
      <c r="DH232" s="172" cm="1">
        <f t="array" aca="1" ref="DH232" ca="1">IF(OR($D232&lt;&gt;"Serviço",AND(AUTOEVENTO="Manual",$M232=$A$15),$M232&gt;(ROW(PLE.lastrow)-ROW(PLE.firstrow))),0,
           IF(OFFSET(PLE!$G$15,$M232-$A$15,DH$13)="",10^12,OFFSET(PLE!$G$15,$M232-$A$15,DH$13)))</f>
        <v>1000000000000</v>
      </c>
      <c r="DI232" s="172" cm="1">
        <f t="array" aca="1" ref="DI232" ca="1">IF(OR($D232&lt;&gt;"Serviço",AND(AUTOEVENTO="Manual",$M232=$A$15),$M232&gt;(ROW(PLE.lastrow)-ROW(PLE.firstrow))),0,
           IF(OFFSET(PLE!$G$15,$M232-$A$15,DI$13)="",10^12,OFFSET(PLE!$G$15,$M232-$A$15,DI$13)))</f>
        <v>1000000000000</v>
      </c>
      <c r="DJ232" s="172" cm="1">
        <f t="array" aca="1" ref="DJ232" ca="1">IF(OR($D232&lt;&gt;"Serviço",AND(AUTOEVENTO="Manual",$M232=$A$15),$M232&gt;(ROW(PLE.lastrow)-ROW(PLE.firstrow))),0,
           IF(OFFSET(PLE!$G$15,$M232-$A$15,DJ$13)="",10^12,OFFSET(PLE!$G$15,$M232-$A$15,DJ$13)))</f>
        <v>1000000000000</v>
      </c>
      <c r="DK232" s="172" cm="1">
        <f t="array" aca="1" ref="DK232" ca="1">IF(OR($D232&lt;&gt;"Serviço",AND(AUTOEVENTO="Manual",$M232=$A$15),$M232&gt;(ROW(PLE.lastrow)-ROW(PLE.firstrow))),0,
           IF(OFFSET(PLE!$G$15,$M232-$A$15,DK$13)="",10^12,OFFSET(PLE!$G$15,$M232-$A$15,DK$13)))</f>
        <v>1000000000000</v>
      </c>
      <c r="DL232" s="172" cm="1">
        <f t="array" aca="1" ref="DL232" ca="1">IF(OR($D232&lt;&gt;"Serviço",AND(AUTOEVENTO="Manual",$M232=$A$15),$M232&gt;(ROW(PLE.lastrow)-ROW(PLE.firstrow))),0,
           IF(OFFSET(PLE!$G$15,$M232-$A$15,DL$13)="",10^12,OFFSET(PLE!$G$15,$M232-$A$15,DL$13)))</f>
        <v>1000000000000</v>
      </c>
      <c r="DM232" s="172" cm="1">
        <f t="array" aca="1" ref="DM232" ca="1">IF(OR($D232&lt;&gt;"Serviço",AND(AUTOEVENTO="Manual",$M232=$A$15),$M232&gt;(ROW(PLE.lastrow)-ROW(PLE.firstrow))),0,
           IF(OFFSET(PLE!$G$15,$M232-$A$15,DM$13)="",10^12,OFFSET(PLE!$G$15,$M232-$A$15,DM$13)))</f>
        <v>1000000000000</v>
      </c>
      <c r="DN232" s="172" cm="1">
        <f t="array" aca="1" ref="DN232" ca="1">IF(OR($D232&lt;&gt;"Serviço",AND(AUTOEVENTO="Manual",$M232=$A$15),$M232&gt;(ROW(PLE.lastrow)-ROW(PLE.firstrow))),0,
           IF(OFFSET(PLE!$G$15,$M232-$A$15,DN$13)="",10^12,OFFSET(PLE!$G$15,$M232-$A$15,DN$13)))</f>
        <v>1000000000000</v>
      </c>
      <c r="DO232" s="172" cm="1">
        <f t="array" aca="1" ref="DO232" ca="1">IF(OR($D232&lt;&gt;"Serviço",AND(AUTOEVENTO="Manual",$M232=$A$15),$M232&gt;(ROW(PLE.lastrow)-ROW(PLE.firstrow))),0,
           IF(OFFSET(PLE!$G$15,$M232-$A$15,DO$13)="",10^12,OFFSET(PLE!$G$15,$M232-$A$15,DO$13)))</f>
        <v>1000000000000</v>
      </c>
      <c r="DP232" s="172" cm="1">
        <f t="array" aca="1" ref="DP232" ca="1">IF(OR($D232&lt;&gt;"Serviço",AND(AUTOEVENTO="Manual",$M232=$A$15),$M232&gt;(ROW(PLE.lastrow)-ROW(PLE.firstrow))),0,
           IF(OFFSET(PLE!$G$15,$M232-$A$15,DP$13)="",10^12,OFFSET(PLE!$G$15,$M232-$A$15,DP$13)))</f>
        <v>1000000000000</v>
      </c>
      <c r="DQ232" s="172" cm="1">
        <f t="array" aca="1" ref="DQ232" ca="1">IF(OR($D232&lt;&gt;"Serviço",AND(AUTOEVENTO="Manual",$M232=$A$15),$M232&gt;(ROW(PLE.lastrow)-ROW(PLE.firstrow))),0,
           IF(OFFSET(PLE!$G$15,$M232-$A$15,DQ$13)="",10^12,OFFSET(PLE!$G$15,$M232-$A$15,DQ$13)))</f>
        <v>1000000000000</v>
      </c>
      <c r="DR232" s="172" cm="1">
        <f t="array" aca="1" ref="DR232" ca="1">IF(OR($D232&lt;&gt;"Serviço",AND(AUTOEVENTO="Manual",$M232=$A$15),$M232&gt;(ROW(PLE.lastrow)-ROW(PLE.firstrow))),0,
           IF(OFFSET(PLE!$G$15,$M232-$A$15,DR$13)="",10^12,OFFSET(PLE!$G$15,$M232-$A$15,DR$13)))</f>
        <v>1000000000000</v>
      </c>
      <c r="DS232" s="172" cm="1">
        <f t="array" aca="1" ref="DS232" ca="1">IF(OR($D232&lt;&gt;"Serviço",AND(AUTOEVENTO="Manual",$M232=$A$15),$M232&gt;(ROW(PLE.lastrow)-ROW(PLE.firstrow))),0,
           IF(OFFSET(PLE!$G$15,$M232-$A$15,DS$13)="",10^12,OFFSET(PLE!$G$15,$M232-$A$15,DS$13)))</f>
        <v>1000000000000</v>
      </c>
    </row>
    <row r="233" spans="1:123" ht="12.75" x14ac:dyDescent="0.2">
      <c r="A233" s="7">
        <f ca="1">IFERROR(IF(AUTOEVENTO="Manual",IF(K233&lt;&gt;"",MIN(VALUE(LEFT(K233,FIND(".",K233)-1)),COUNTA(EVENTOS.Lista)),0),IF(OR($B233&gt;AUTOEVENTO,$B233="S",$B233=0),SUBSTITUTE(OFFSET($A233,-1,0),IF($D233="Serviço",".",""),""),$L233&amp;".")),0)</f>
        <v>0</v>
      </c>
      <c r="B233" s="7">
        <f ca="1">OFFSET(ORÇAMENTO!C$15,$L233,0)</f>
        <v>1</v>
      </c>
      <c r="C233" s="7" t="str">
        <f ca="1">OFFSET(ORÇAMENTO!L$15,$L233,0)</f>
        <v>F</v>
      </c>
      <c r="D233" s="116" t="str">
        <f ca="1">OFFSET(ORÇAMENTO!N$15,$L233,0)</f>
        <v>Meta</v>
      </c>
      <c r="E233" s="117" t="str">
        <f ca="1">OFFSET(ORÇAMENTO!O$15,$L233,0)</f>
        <v>10.</v>
      </c>
      <c r="F233" s="163" t="str">
        <f ca="1">OFFSET(ORÇAMENTO!R$15,$L233,0)</f>
        <v>COMPLEMENTAÇÕES</v>
      </c>
      <c r="G233" s="164" t="str">
        <f ca="1">IF($D233&lt;&gt;"Serviço","",OFFSET(ORÇAMENTO!S$15,$L233,0))</f>
        <v/>
      </c>
      <c r="H233" s="122" cm="1">
        <f t="array" aca="1" ref="H233" ca="1">IF($D233&lt;&gt;"Serviço",0,IF(ACOMPANHAMENTO="BM",ROUND(OFFSET(ORÇAMENTO!AJ$15,$L233,0),15-13*ORÇAMENTO!$AF$7),IF(IFERROR(CÁLCULO.FrentesPreenchidas,0)=0,0,SUM(ROUND(OFFSET($P233,0,1,1,CÁLCULO.FrentesPreenchidas),15-13*ORÇAMENTO!$AF$7)))))</f>
        <v>0</v>
      </c>
      <c r="I233" s="468"/>
      <c r="J233" s="651" t="str" cm="1">
        <f t="array" aca="1" ref="J233" ca="1">IF(OR(B233&lt;&gt;"S",CÁLCULO.FrentesPreenchidas=0),"",IF(AND(ACOMPANHAMENTO="PLE",AUTOEVENTO="Manual",OR(H233&gt;0,ORÇAMENTO!AC233="QUANT."),OR(K233="",M233=0,N233="")),"►E",IF(AND(ACOMPANHAMENTO="PLE",ORÇAMENTO!AC233="QUANT."),"►Q",IF(AND(ACOMPANHAMENTO="PLE",H233&lt;&gt;SUMPRODUCT(($Q$1:$AQ$1=1)*ROUND(Q233:AQ233,15))),"►S",IF(AND(COUNTIF($P$11:$AQ$11,"▼")=0,H233&gt;0,I233=""),"◄M","")))))</f>
        <v/>
      </c>
      <c r="K233" s="652"/>
      <c r="L233" s="165">
        <f ca="1">OFFSET(L233,-1,0)+1</f>
        <v>218</v>
      </c>
      <c r="M233" s="166" t="str">
        <f ca="1">IF($D233&lt;&gt;"Serviço","",
          IF(AUTOEVENTO="manual",$A233,
                IF(ISERROR(MATCH($A233,$A$15:OFFSET($A233,-1,0),0)),MAX($M$15:OFFSET(M233,-1,0))+1,
                      INDEX($M$15:OFFSET(M233,-1,0),MATCH($A233,$A$15:OFFSET($A233,-1,0),0)))))</f>
        <v/>
      </c>
      <c r="N233" s="167" t="str">
        <f ca="1">IF($D233&lt;&gt;"Serviço","",
         IF(AUTOEVENTO="Manual",
                IF($A233=0,"&lt;-- defina o número do agrupador",
                       OFFSET(EVENTOS!$D$15,$A233-$A$15,0)),
                OFFSET($F$15,$A233,0)))</f>
        <v/>
      </c>
      <c r="O233" s="168"/>
      <c r="Q233" s="168"/>
      <c r="R233" s="169"/>
      <c r="S233" s="169"/>
      <c r="T233" s="169"/>
      <c r="U233" s="169"/>
      <c r="V233" s="169"/>
      <c r="W233" s="169"/>
      <c r="X233" s="169"/>
      <c r="Y233" s="169"/>
      <c r="Z233" s="170"/>
      <c r="AA233" s="169"/>
      <c r="AB233" s="169"/>
      <c r="AC233" s="169"/>
      <c r="AD233" s="169"/>
      <c r="AE233" s="169"/>
      <c r="AF233" s="169"/>
      <c r="AG233" s="169"/>
      <c r="AH233" s="170"/>
      <c r="AI233" s="169"/>
      <c r="AJ233" s="169"/>
      <c r="AK233" s="169"/>
      <c r="AL233" s="169"/>
      <c r="AM233" s="169"/>
      <c r="AN233" s="169"/>
      <c r="AO233" s="169"/>
      <c r="AP233" s="170"/>
      <c r="AR233" s="453">
        <f ca="1">IF(AND($D233="Serviço",AR$12&lt;&gt;0,$H233&gt;0,OR(AUTOEVENTO&lt;&gt;"manual",$M233&lt;&gt;$A$15)),
        IF(Import.TipoArredondamento&lt;&gt;"TransfereGOV",
              ROUND(OFFSET($P233,0,AR$13),15-13*ORÇAMENTO!$AF$7)/$H233*OFFSET(ORÇAMENTO!$X$15,ROW(AR233)-ROW(AR$15),0),
              ROUND(ROUND(OFFSET($P233,0,AR$13),15-13*ORÇAMENTO!$AF$7)*OFFSET(ORÇAMENTO!$W$15,ROW(AR233)-ROW(AR$15),0),15-13*ORÇAMENTO!$AF$11)),
         0)</f>
        <v>0</v>
      </c>
      <c r="AS233" s="453">
        <f ca="1">IF(AND($D233="Serviço",AS$12&lt;&gt;0,$H233&gt;0,OR(AUTOEVENTO&lt;&gt;"manual",$M233&lt;&gt;$A$15)),
        IF(Import.TipoArredondamento&lt;&gt;"TransfereGOV",
              ROUND(OFFSET($P233,0,AS$13),15-13*ORÇAMENTO!$AF$7)/$H233*OFFSET(ORÇAMENTO!$X$15,ROW(AS233)-ROW(AS$15),0),
              ROUND(ROUND(OFFSET($P233,0,AS$13),15-13*ORÇAMENTO!$AF$7)*OFFSET(ORÇAMENTO!$W$15,ROW(AS233)-ROW(AS$15),0),15-13*ORÇAMENTO!$AF$11)),
         0)</f>
        <v>0</v>
      </c>
      <c r="AT233" s="453">
        <f ca="1">IF(AND($D233="Serviço",AT$12&lt;&gt;0,$H233&gt;0,OR(AUTOEVENTO&lt;&gt;"manual",$M233&lt;&gt;$A$15)),
        IF(Import.TipoArredondamento&lt;&gt;"TransfereGOV",
              ROUND(OFFSET($P233,0,AT$13),15-13*ORÇAMENTO!$AF$7)/$H233*OFFSET(ORÇAMENTO!$X$15,ROW(AT233)-ROW(AT$15),0),
              ROUND(ROUND(OFFSET($P233,0,AT$13),15-13*ORÇAMENTO!$AF$7)*OFFSET(ORÇAMENTO!$W$15,ROW(AT233)-ROW(AT$15),0),15-13*ORÇAMENTO!$AF$11)),
         0)</f>
        <v>0</v>
      </c>
      <c r="AU233" s="453">
        <f ca="1">IF(AND($D233="Serviço",AU$12&lt;&gt;0,$H233&gt;0,OR(AUTOEVENTO&lt;&gt;"manual",$M233&lt;&gt;$A$15)),
        IF(Import.TipoArredondamento&lt;&gt;"TransfereGOV",
              ROUND(OFFSET($P233,0,AU$13),15-13*ORÇAMENTO!$AF$7)/$H233*OFFSET(ORÇAMENTO!$X$15,ROW(AU233)-ROW(AU$15),0),
              ROUND(ROUND(OFFSET($P233,0,AU$13),15-13*ORÇAMENTO!$AF$7)*OFFSET(ORÇAMENTO!$W$15,ROW(AU233)-ROW(AU$15),0),15-13*ORÇAMENTO!$AF$11)),
         0)</f>
        <v>0</v>
      </c>
      <c r="AV233" s="453">
        <f ca="1">IF(AND($D233="Serviço",AV$12&lt;&gt;0,$H233&gt;0,OR(AUTOEVENTO&lt;&gt;"manual",$M233&lt;&gt;$A$15)),
        IF(Import.TipoArredondamento&lt;&gt;"TransfereGOV",
              ROUND(OFFSET($P233,0,AV$13),15-13*ORÇAMENTO!$AF$7)/$H233*OFFSET(ORÇAMENTO!$X$15,ROW(AV233)-ROW(AV$15),0),
              ROUND(ROUND(OFFSET($P233,0,AV$13),15-13*ORÇAMENTO!$AF$7)*OFFSET(ORÇAMENTO!$W$15,ROW(AV233)-ROW(AV$15),0),15-13*ORÇAMENTO!$AF$11)),
         0)</f>
        <v>0</v>
      </c>
      <c r="AW233" s="453">
        <f ca="1">IF(AND($D233="Serviço",AW$12&lt;&gt;0,$H233&gt;0,OR(AUTOEVENTO&lt;&gt;"manual",$M233&lt;&gt;$A$15)),
        IF(Import.TipoArredondamento&lt;&gt;"TransfereGOV",
              ROUND(OFFSET($P233,0,AW$13),15-13*ORÇAMENTO!$AF$7)/$H233*OFFSET(ORÇAMENTO!$X$15,ROW(AW233)-ROW(AW$15),0),
              ROUND(ROUND(OFFSET($P233,0,AW$13),15-13*ORÇAMENTO!$AF$7)*OFFSET(ORÇAMENTO!$W$15,ROW(AW233)-ROW(AW$15),0),15-13*ORÇAMENTO!$AF$11)),
         0)</f>
        <v>0</v>
      </c>
      <c r="AX233" s="453">
        <f ca="1">IF(AND($D233="Serviço",AX$12&lt;&gt;0,$H233&gt;0,OR(AUTOEVENTO&lt;&gt;"manual",$M233&lt;&gt;$A$15)),
        IF(Import.TipoArredondamento&lt;&gt;"TransfereGOV",
              ROUND(OFFSET($P233,0,AX$13),15-13*ORÇAMENTO!$AF$7)/$H233*OFFSET(ORÇAMENTO!$X$15,ROW(AX233)-ROW(AX$15),0),
              ROUND(ROUND(OFFSET($P233,0,AX$13),15-13*ORÇAMENTO!$AF$7)*OFFSET(ORÇAMENTO!$W$15,ROW(AX233)-ROW(AX$15),0),15-13*ORÇAMENTO!$AF$11)),
         0)</f>
        <v>0</v>
      </c>
      <c r="AY233" s="453">
        <f ca="1">IF(AND($D233="Serviço",AY$12&lt;&gt;0,$H233&gt;0,OR(AUTOEVENTO&lt;&gt;"manual",$M233&lt;&gt;$A$15)),
        IF(Import.TipoArredondamento&lt;&gt;"TransfereGOV",
              ROUND(OFFSET($P233,0,AY$13),15-13*ORÇAMENTO!$AF$7)/$H233*OFFSET(ORÇAMENTO!$X$15,ROW(AY233)-ROW(AY$15),0),
              ROUND(ROUND(OFFSET($P233,0,AY$13),15-13*ORÇAMENTO!$AF$7)*OFFSET(ORÇAMENTO!$W$15,ROW(AY233)-ROW(AY$15),0),15-13*ORÇAMENTO!$AF$11)),
         0)</f>
        <v>0</v>
      </c>
      <c r="AZ233" s="453">
        <f ca="1">IF(AND($D233="Serviço",AZ$12&lt;&gt;0,$H233&gt;0,OR(AUTOEVENTO&lt;&gt;"manual",$M233&lt;&gt;$A$15)),
        IF(Import.TipoArredondamento&lt;&gt;"TransfereGOV",
              ROUND(OFFSET($P233,0,AZ$13),15-13*ORÇAMENTO!$AF$7)/$H233*OFFSET(ORÇAMENTO!$X$15,ROW(AZ233)-ROW(AZ$15),0),
              ROUND(ROUND(OFFSET($P233,0,AZ$13),15-13*ORÇAMENTO!$AF$7)*OFFSET(ORÇAMENTO!$W$15,ROW(AZ233)-ROW(AZ$15),0),15-13*ORÇAMENTO!$AF$11)),
         0)</f>
        <v>0</v>
      </c>
      <c r="BA233" s="453">
        <f ca="1">IF(AND($D233="Serviço",BA$12&lt;&gt;0,$H233&gt;0,OR(AUTOEVENTO&lt;&gt;"manual",$M233&lt;&gt;$A$15)),
        IF(Import.TipoArredondamento&lt;&gt;"TransfereGOV",
              ROUND(OFFSET($P233,0,BA$13),15-13*ORÇAMENTO!$AF$7)/$H233*OFFSET(ORÇAMENTO!$X$15,ROW(BA233)-ROW(BA$15),0),
              ROUND(ROUND(OFFSET($P233,0,BA$13),15-13*ORÇAMENTO!$AF$7)*OFFSET(ORÇAMENTO!$W$15,ROW(BA233)-ROW(BA$15),0),15-13*ORÇAMENTO!$AF$11)),
         0)</f>
        <v>0</v>
      </c>
      <c r="BB233" s="453">
        <f ca="1">IF(AND($D233="Serviço",BB$12&lt;&gt;0,$H233&gt;0,OR(AUTOEVENTO&lt;&gt;"manual",$M233&lt;&gt;$A$15)),
        IF(Import.TipoArredondamento&lt;&gt;"TransfereGOV",
              ROUND(OFFSET($P233,0,BB$13),15-13*ORÇAMENTO!$AF$7)/$H233*OFFSET(ORÇAMENTO!$X$15,ROW(BB233)-ROW(BB$15),0),
              ROUND(ROUND(OFFSET($P233,0,BB$13),15-13*ORÇAMENTO!$AF$7)*OFFSET(ORÇAMENTO!$W$15,ROW(BB233)-ROW(BB$15),0),15-13*ORÇAMENTO!$AF$11)),
         0)</f>
        <v>0</v>
      </c>
      <c r="BC233" s="453">
        <f ca="1">IF(AND($D233="Serviço",BC$12&lt;&gt;0,$H233&gt;0,OR(AUTOEVENTO&lt;&gt;"manual",$M233&lt;&gt;$A$15)),
        IF(Import.TipoArredondamento&lt;&gt;"TransfereGOV",
              ROUND(OFFSET($P233,0,BC$13),15-13*ORÇAMENTO!$AF$7)/$H233*OFFSET(ORÇAMENTO!$X$15,ROW(BC233)-ROW(BC$15),0),
              ROUND(ROUND(OFFSET($P233,0,BC$13),15-13*ORÇAMENTO!$AF$7)*OFFSET(ORÇAMENTO!$W$15,ROW(BC233)-ROW(BC$15),0),15-13*ORÇAMENTO!$AF$11)),
         0)</f>
        <v>0</v>
      </c>
      <c r="BD233" s="453">
        <f ca="1">IF(AND($D233="Serviço",BD$12&lt;&gt;0,$H233&gt;0,OR(AUTOEVENTO&lt;&gt;"manual",$M233&lt;&gt;$A$15)),
        IF(Import.TipoArredondamento&lt;&gt;"TransfereGOV",
              ROUND(OFFSET($P233,0,BD$13),15-13*ORÇAMENTO!$AF$7)/$H233*OFFSET(ORÇAMENTO!$X$15,ROW(BD233)-ROW(BD$15),0),
              ROUND(ROUND(OFFSET($P233,0,BD$13),15-13*ORÇAMENTO!$AF$7)*OFFSET(ORÇAMENTO!$W$15,ROW(BD233)-ROW(BD$15),0),15-13*ORÇAMENTO!$AF$11)),
         0)</f>
        <v>0</v>
      </c>
      <c r="BE233" s="453">
        <f ca="1">IF(AND($D233="Serviço",BE$12&lt;&gt;0,$H233&gt;0,OR(AUTOEVENTO&lt;&gt;"manual",$M233&lt;&gt;$A$15)),
        IF(Import.TipoArredondamento&lt;&gt;"TransfereGOV",
              ROUND(OFFSET($P233,0,BE$13),15-13*ORÇAMENTO!$AF$7)/$H233*OFFSET(ORÇAMENTO!$X$15,ROW(BE233)-ROW(BE$15),0),
              ROUND(ROUND(OFFSET($P233,0,BE$13),15-13*ORÇAMENTO!$AF$7)*OFFSET(ORÇAMENTO!$W$15,ROW(BE233)-ROW(BE$15),0),15-13*ORÇAMENTO!$AF$11)),
         0)</f>
        <v>0</v>
      </c>
      <c r="BF233" s="453">
        <f ca="1">IF(AND($D233="Serviço",BF$12&lt;&gt;0,$H233&gt;0,OR(AUTOEVENTO&lt;&gt;"manual",$M233&lt;&gt;$A$15)),
        IF(Import.TipoArredondamento&lt;&gt;"TransfereGOV",
              ROUND(OFFSET($P233,0,BF$13),15-13*ORÇAMENTO!$AF$7)/$H233*OFFSET(ORÇAMENTO!$X$15,ROW(BF233)-ROW(BF$15),0),
              ROUND(ROUND(OFFSET($P233,0,BF$13),15-13*ORÇAMENTO!$AF$7)*OFFSET(ORÇAMENTO!$W$15,ROW(BF233)-ROW(BF$15),0),15-13*ORÇAMENTO!$AF$11)),
         0)</f>
        <v>0</v>
      </c>
      <c r="BG233" s="453">
        <f ca="1">IF(AND($D233="Serviço",BG$12&lt;&gt;0,$H233&gt;0,OR(AUTOEVENTO&lt;&gt;"manual",$M233&lt;&gt;$A$15)),
        IF(Import.TipoArredondamento&lt;&gt;"TransfereGOV",
              ROUND(OFFSET($P233,0,BG$13),15-13*ORÇAMENTO!$AF$7)/$H233*OFFSET(ORÇAMENTO!$X$15,ROW(BG233)-ROW(BG$15),0),
              ROUND(ROUND(OFFSET($P233,0,BG$13),15-13*ORÇAMENTO!$AF$7)*OFFSET(ORÇAMENTO!$W$15,ROW(BG233)-ROW(BG$15),0),15-13*ORÇAMENTO!$AF$11)),
         0)</f>
        <v>0</v>
      </c>
      <c r="BH233" s="453">
        <f ca="1">IF(AND($D233="Serviço",BH$12&lt;&gt;0,$H233&gt;0,OR(AUTOEVENTO&lt;&gt;"manual",$M233&lt;&gt;$A$15)),
        IF(Import.TipoArredondamento&lt;&gt;"TransfereGOV",
              ROUND(OFFSET($P233,0,BH$13),15-13*ORÇAMENTO!$AF$7)/$H233*OFFSET(ORÇAMENTO!$X$15,ROW(BH233)-ROW(BH$15),0),
              ROUND(ROUND(OFFSET($P233,0,BH$13),15-13*ORÇAMENTO!$AF$7)*OFFSET(ORÇAMENTO!$W$15,ROW(BH233)-ROW(BH$15),0),15-13*ORÇAMENTO!$AF$11)),
         0)</f>
        <v>0</v>
      </c>
      <c r="BI233" s="453">
        <f ca="1">IF(AND($D233="Serviço",BI$12&lt;&gt;0,$H233&gt;0,OR(AUTOEVENTO&lt;&gt;"manual",$M233&lt;&gt;$A$15)),
        IF(Import.TipoArredondamento&lt;&gt;"TransfereGOV",
              ROUND(OFFSET($P233,0,BI$13),15-13*ORÇAMENTO!$AF$7)/$H233*OFFSET(ORÇAMENTO!$X$15,ROW(BI233)-ROW(BI$15),0),
              ROUND(ROUND(OFFSET($P233,0,BI$13),15-13*ORÇAMENTO!$AF$7)*OFFSET(ORÇAMENTO!$W$15,ROW(BI233)-ROW(BI$15),0),15-13*ORÇAMENTO!$AF$11)),
         0)</f>
        <v>0</v>
      </c>
      <c r="BJ233" s="453">
        <f ca="1">IF(AND($D233="Serviço",BJ$12&lt;&gt;0,$H233&gt;0,OR(AUTOEVENTO&lt;&gt;"manual",$M233&lt;&gt;$A$15)),
        IF(Import.TipoArredondamento&lt;&gt;"TransfereGOV",
              ROUND(OFFSET($P233,0,BJ$13),15-13*ORÇAMENTO!$AF$7)/$H233*OFFSET(ORÇAMENTO!$X$15,ROW(BJ233)-ROW(BJ$15),0),
              ROUND(ROUND(OFFSET($P233,0,BJ$13),15-13*ORÇAMENTO!$AF$7)*OFFSET(ORÇAMENTO!$W$15,ROW(BJ233)-ROW(BJ$15),0),15-13*ORÇAMENTO!$AF$11)),
         0)</f>
        <v>0</v>
      </c>
      <c r="BK233" s="453">
        <f ca="1">IF(AND($D233="Serviço",BK$12&lt;&gt;0,$H233&gt;0,OR(AUTOEVENTO&lt;&gt;"manual",$M233&lt;&gt;$A$15)),
        IF(Import.TipoArredondamento&lt;&gt;"TransfereGOV",
              ROUND(OFFSET($P233,0,BK$13),15-13*ORÇAMENTO!$AF$7)/$H233*OFFSET(ORÇAMENTO!$X$15,ROW(BK233)-ROW(BK$15),0),
              ROUND(ROUND(OFFSET($P233,0,BK$13),15-13*ORÇAMENTO!$AF$7)*OFFSET(ORÇAMENTO!$W$15,ROW(BK233)-ROW(BK$15),0),15-13*ORÇAMENTO!$AF$11)),
         0)</f>
        <v>0</v>
      </c>
      <c r="BL233" s="453">
        <f ca="1">IF(AND($D233="Serviço",BL$12&lt;&gt;0,$H233&gt;0,OR(AUTOEVENTO&lt;&gt;"manual",$M233&lt;&gt;$A$15)),
        IF(Import.TipoArredondamento&lt;&gt;"TransfereGOV",
              ROUND(OFFSET($P233,0,BL$13),15-13*ORÇAMENTO!$AF$7)/$H233*OFFSET(ORÇAMENTO!$X$15,ROW(BL233)-ROW(BL$15),0),
              ROUND(ROUND(OFFSET($P233,0,BL$13),15-13*ORÇAMENTO!$AF$7)*OFFSET(ORÇAMENTO!$W$15,ROW(BL233)-ROW(BL$15),0),15-13*ORÇAMENTO!$AF$11)),
         0)</f>
        <v>0</v>
      </c>
      <c r="BM233" s="453">
        <f ca="1">IF(AND($D233="Serviço",BM$12&lt;&gt;0,$H233&gt;0,OR(AUTOEVENTO&lt;&gt;"manual",$M233&lt;&gt;$A$15)),
        IF(Import.TipoArredondamento&lt;&gt;"TransfereGOV",
              ROUND(OFFSET($P233,0,BM$13),15-13*ORÇAMENTO!$AF$7)/$H233*OFFSET(ORÇAMENTO!$X$15,ROW(BM233)-ROW(BM$15),0),
              ROUND(ROUND(OFFSET($P233,0,BM$13),15-13*ORÇAMENTO!$AF$7)*OFFSET(ORÇAMENTO!$W$15,ROW(BM233)-ROW(BM$15),0),15-13*ORÇAMENTO!$AF$11)),
         0)</f>
        <v>0</v>
      </c>
      <c r="BN233" s="453">
        <f ca="1">IF(AND($D233="Serviço",BN$12&lt;&gt;0,$H233&gt;0,OR(AUTOEVENTO&lt;&gt;"manual",$M233&lt;&gt;$A$15)),
        IF(Import.TipoArredondamento&lt;&gt;"TransfereGOV",
              ROUND(OFFSET($P233,0,BN$13),15-13*ORÇAMENTO!$AF$7)/$H233*OFFSET(ORÇAMENTO!$X$15,ROW(BN233)-ROW(BN$15),0),
              ROUND(ROUND(OFFSET($P233,0,BN$13),15-13*ORÇAMENTO!$AF$7)*OFFSET(ORÇAMENTO!$W$15,ROW(BN233)-ROW(BN$15),0),15-13*ORÇAMENTO!$AF$11)),
         0)</f>
        <v>0</v>
      </c>
      <c r="BO233" s="453">
        <f ca="1">IF(AND($D233="Serviço",BO$12&lt;&gt;0,$H233&gt;0,OR(AUTOEVENTO&lt;&gt;"manual",$M233&lt;&gt;$A$15)),
        IF(Import.TipoArredondamento&lt;&gt;"TransfereGOV",
              ROUND(OFFSET($P233,0,BO$13),15-13*ORÇAMENTO!$AF$7)/$H233*OFFSET(ORÇAMENTO!$X$15,ROW(BO233)-ROW(BO$15),0),
              ROUND(ROUND(OFFSET($P233,0,BO$13),15-13*ORÇAMENTO!$AF$7)*OFFSET(ORÇAMENTO!$W$15,ROW(BO233)-ROW(BO$15),0),15-13*ORÇAMENTO!$AF$11)),
         0)</f>
        <v>0</v>
      </c>
      <c r="BP233" s="453">
        <f ca="1">IF(AND($D233="Serviço",BP$12&lt;&gt;0,$H233&gt;0,OR(AUTOEVENTO&lt;&gt;"manual",$M233&lt;&gt;$A$15)),
        IF(Import.TipoArredondamento&lt;&gt;"TransfereGOV",
              ROUND(OFFSET($P233,0,BP$13),15-13*ORÇAMENTO!$AF$7)/$H233*OFFSET(ORÇAMENTO!$X$15,ROW(BP233)-ROW(BP$15),0),
              ROUND(ROUND(OFFSET($P233,0,BP$13),15-13*ORÇAMENTO!$AF$7)*OFFSET(ORÇAMENTO!$W$15,ROW(BP233)-ROW(BP$15),0),15-13*ORÇAMENTO!$AF$11)),
         0)</f>
        <v>0</v>
      </c>
      <c r="BQ233" s="453">
        <f ca="1">IF(AND($D233="Serviço",BQ$12&lt;&gt;0,$H233&gt;0,OR(AUTOEVENTO&lt;&gt;"manual",$M233&lt;&gt;$A$15)),
        IF(Import.TipoArredondamento&lt;&gt;"TransfereGOV",
              ROUND(OFFSET($P233,0,BQ$13),15-13*ORÇAMENTO!$AF$7)/$H233*OFFSET(ORÇAMENTO!$X$15,ROW(BQ233)-ROW(BQ$15),0),
              ROUND(ROUND(OFFSET($P233,0,BQ$13),15-13*ORÇAMENTO!$AF$7)*OFFSET(ORÇAMENTO!$W$15,ROW(BQ233)-ROW(BQ$15),0),15-13*ORÇAMENTO!$AF$11)),
         0)</f>
        <v>0</v>
      </c>
      <c r="BS233" s="171">
        <f ca="1">IF(OR($D233&lt;&gt;"Serviço",AND(AUTOEVENTO="Manual",$M233=$A$15)),0,
         IF(OFFSET(CRONOPLE!$F$15,$M233-$A$15,BS$13)=0,10^12,OFFSET(CRONOPLE!$F$15,$M233-$A$15,BS$13)))</f>
        <v>0</v>
      </c>
      <c r="BT233" s="171">
        <f ca="1">IF(OR($D233&lt;&gt;"Serviço",AND(AUTOEVENTO="Manual",$M233=$A$15)),0,
         IF(OFFSET(CRONOPLE!$F$15,$M233-$A$15,BT$13)=0,10^12,OFFSET(CRONOPLE!$F$15,$M233-$A$15,BT$13)))</f>
        <v>0</v>
      </c>
      <c r="BU233" s="171">
        <f ca="1">IF(OR($D233&lt;&gt;"Serviço",AND(AUTOEVENTO="Manual",$M233=$A$15)),0,
         IF(OFFSET(CRONOPLE!$F$15,$M233-$A$15,BU$13)=0,10^12,OFFSET(CRONOPLE!$F$15,$M233-$A$15,BU$13)))</f>
        <v>0</v>
      </c>
      <c r="BV233" s="171">
        <f ca="1">IF(OR($D233&lt;&gt;"Serviço",AND(AUTOEVENTO="Manual",$M233=$A$15)),0,
         IF(OFFSET(CRONOPLE!$F$15,$M233-$A$15,BV$13)=0,10^12,OFFSET(CRONOPLE!$F$15,$M233-$A$15,BV$13)))</f>
        <v>0</v>
      </c>
      <c r="BW233" s="171">
        <f ca="1">IF(OR($D233&lt;&gt;"Serviço",AND(AUTOEVENTO="Manual",$M233=$A$15)),0,
         IF(OFFSET(CRONOPLE!$F$15,$M233-$A$15,BW$13)=0,10^12,OFFSET(CRONOPLE!$F$15,$M233-$A$15,BW$13)))</f>
        <v>0</v>
      </c>
      <c r="BX233" s="171">
        <f ca="1">IF(OR($D233&lt;&gt;"Serviço",AND(AUTOEVENTO="Manual",$M233=$A$15)),0,
         IF(OFFSET(CRONOPLE!$F$15,$M233-$A$15,BX$13)=0,10^12,OFFSET(CRONOPLE!$F$15,$M233-$A$15,BX$13)))</f>
        <v>0</v>
      </c>
      <c r="BY233" s="171">
        <f ca="1">IF(OR($D233&lt;&gt;"Serviço",AND(AUTOEVENTO="Manual",$M233=$A$15)),0,
         IF(OFFSET(CRONOPLE!$F$15,$M233-$A$15,BY$13)=0,10^12,OFFSET(CRONOPLE!$F$15,$M233-$A$15,BY$13)))</f>
        <v>0</v>
      </c>
      <c r="BZ233" s="171">
        <f ca="1">IF(OR($D233&lt;&gt;"Serviço",AND(AUTOEVENTO="Manual",$M233=$A$15)),0,
         IF(OFFSET(CRONOPLE!$F$15,$M233-$A$15,BZ$13)=0,10^12,OFFSET(CRONOPLE!$F$15,$M233-$A$15,BZ$13)))</f>
        <v>0</v>
      </c>
      <c r="CA233" s="171">
        <f ca="1">IF(OR($D233&lt;&gt;"Serviço",AND(AUTOEVENTO="Manual",$M233=$A$15)),0,
         IF(OFFSET(CRONOPLE!$F$15,$M233-$A$15,CA$13)=0,10^12,OFFSET(CRONOPLE!$F$15,$M233-$A$15,CA$13)))</f>
        <v>0</v>
      </c>
      <c r="CB233" s="171">
        <f ca="1">IF(OR($D233&lt;&gt;"Serviço",AND(AUTOEVENTO="Manual",$M233=$A$15)),0,
         IF(OFFSET(CRONOPLE!$F$15,$M233-$A$15,CB$13)=0,10^12,OFFSET(CRONOPLE!$F$15,$M233-$A$15,CB$13)))</f>
        <v>0</v>
      </c>
      <c r="CC233" s="171">
        <f ca="1">IF(OR($D233&lt;&gt;"Serviço",AND(AUTOEVENTO="Manual",$M233=$A$15)),0,
         IF(OFFSET(CRONOPLE!$F$15,$M233-$A$15,CC$13)=0,10^12,OFFSET(CRONOPLE!$F$15,$M233-$A$15,CC$13)))</f>
        <v>0</v>
      </c>
      <c r="CD233" s="171">
        <f ca="1">IF(OR($D233&lt;&gt;"Serviço",AND(AUTOEVENTO="Manual",$M233=$A$15)),0,
         IF(OFFSET(CRONOPLE!$F$15,$M233-$A$15,CD$13)=0,10^12,OFFSET(CRONOPLE!$F$15,$M233-$A$15,CD$13)))</f>
        <v>0</v>
      </c>
      <c r="CE233" s="171">
        <f ca="1">IF(OR($D233&lt;&gt;"Serviço",AND(AUTOEVENTO="Manual",$M233=$A$15)),0,
         IF(OFFSET(CRONOPLE!$F$15,$M233-$A$15,CE$13)=0,10^12,OFFSET(CRONOPLE!$F$15,$M233-$A$15,CE$13)))</f>
        <v>0</v>
      </c>
      <c r="CF233" s="171">
        <f ca="1">IF(OR($D233&lt;&gt;"Serviço",AND(AUTOEVENTO="Manual",$M233=$A$15)),0,
         IF(OFFSET(CRONOPLE!$F$15,$M233-$A$15,CF$13)=0,10^12,OFFSET(CRONOPLE!$F$15,$M233-$A$15,CF$13)))</f>
        <v>0</v>
      </c>
      <c r="CG233" s="171">
        <f ca="1">IF(OR($D233&lt;&gt;"Serviço",AND(AUTOEVENTO="Manual",$M233=$A$15)),0,
         IF(OFFSET(CRONOPLE!$F$15,$M233-$A$15,CG$13)=0,10^12,OFFSET(CRONOPLE!$F$15,$M233-$A$15,CG$13)))</f>
        <v>0</v>
      </c>
      <c r="CH233" s="171">
        <f ca="1">IF(OR($D233&lt;&gt;"Serviço",AND(AUTOEVENTO="Manual",$M233=$A$15)),0,
         IF(OFFSET(CRONOPLE!$F$15,$M233-$A$15,CH$13)=0,10^12,OFFSET(CRONOPLE!$F$15,$M233-$A$15,CH$13)))</f>
        <v>0</v>
      </c>
      <c r="CI233" s="171">
        <f ca="1">IF(OR($D233&lt;&gt;"Serviço",AND(AUTOEVENTO="Manual",$M233=$A$15)),0,
         IF(OFFSET(CRONOPLE!$F$15,$M233-$A$15,CI$13)=0,10^12,OFFSET(CRONOPLE!$F$15,$M233-$A$15,CI$13)))</f>
        <v>0</v>
      </c>
      <c r="CJ233" s="171">
        <f ca="1">IF(OR($D233&lt;&gt;"Serviço",AND(AUTOEVENTO="Manual",$M233=$A$15)),0,
         IF(OFFSET(CRONOPLE!$F$15,$M233-$A$15,CJ$13)=0,10^12,OFFSET(CRONOPLE!$F$15,$M233-$A$15,CJ$13)))</f>
        <v>0</v>
      </c>
      <c r="CK233" s="171">
        <f ca="1">IF(OR($D233&lt;&gt;"Serviço",AND(AUTOEVENTO="Manual",$M233=$A$15)),0,
         IF(OFFSET(CRONOPLE!$F$15,$M233-$A$15,CK$13)=0,10^12,OFFSET(CRONOPLE!$F$15,$M233-$A$15,CK$13)))</f>
        <v>0</v>
      </c>
      <c r="CL233" s="171">
        <f ca="1">IF(OR($D233&lt;&gt;"Serviço",AND(AUTOEVENTO="Manual",$M233=$A$15)),0,
         IF(OFFSET(CRONOPLE!$F$15,$M233-$A$15,CL$13)=0,10^12,OFFSET(CRONOPLE!$F$15,$M233-$A$15,CL$13)))</f>
        <v>0</v>
      </c>
      <c r="CM233" s="171">
        <f ca="1">IF(OR($D233&lt;&gt;"Serviço",AND(AUTOEVENTO="Manual",$M233=$A$15)),0,
         IF(OFFSET(CRONOPLE!$F$15,$M233-$A$15,CM$13)=0,10^12,OFFSET(CRONOPLE!$F$15,$M233-$A$15,CM$13)))</f>
        <v>0</v>
      </c>
      <c r="CN233" s="171">
        <f ca="1">IF(OR($D233&lt;&gt;"Serviço",AND(AUTOEVENTO="Manual",$M233=$A$15)),0,
         IF(OFFSET(CRONOPLE!$F$15,$M233-$A$15,CN$13)=0,10^12,OFFSET(CRONOPLE!$F$15,$M233-$A$15,CN$13)))</f>
        <v>0</v>
      </c>
      <c r="CO233" s="171">
        <f ca="1">IF(OR($D233&lt;&gt;"Serviço",AND(AUTOEVENTO="Manual",$M233=$A$15)),0,
         IF(OFFSET(CRONOPLE!$F$15,$M233-$A$15,CO$13)=0,10^12,OFFSET(CRONOPLE!$F$15,$M233-$A$15,CO$13)))</f>
        <v>0</v>
      </c>
      <c r="CP233" s="171">
        <f ca="1">IF(OR($D233&lt;&gt;"Serviço",AND(AUTOEVENTO="Manual",$M233=$A$15)),0,
         IF(OFFSET(CRONOPLE!$F$15,$M233-$A$15,CP$13)=0,10^12,OFFSET(CRONOPLE!$F$15,$M233-$A$15,CP$13)))</f>
        <v>0</v>
      </c>
      <c r="CQ233" s="171">
        <f ca="1">IF(OR($D233&lt;&gt;"Serviço",AND(AUTOEVENTO="Manual",$M233=$A$15)),0,
         IF(OFFSET(CRONOPLE!$F$15,$M233-$A$15,CQ$13)=0,10^12,OFFSET(CRONOPLE!$F$15,$M233-$A$15,CQ$13)))</f>
        <v>0</v>
      </c>
      <c r="CR233" s="171">
        <f ca="1">IF(OR($D233&lt;&gt;"Serviço",AND(AUTOEVENTO="Manual",$M233=$A$15)),0,
         IF(OFFSET(CRONOPLE!$F$15,$M233-$A$15,CR$13)=0,10^12,OFFSET(CRONOPLE!$F$15,$M233-$A$15,CR$13)))</f>
        <v>0</v>
      </c>
      <c r="CT233" s="172" cm="1">
        <f t="array" aca="1" ref="CT233" ca="1">IF(OR($D233&lt;&gt;"Serviço",AND(AUTOEVENTO="Manual",$M233=$A$15),$M233&gt;(ROW(PLE.lastrow)-ROW(PLE.firstrow))),0,
           IF(OFFSET(PLE!$G$15,$M233-$A$15,CT$13)="",10^12,OFFSET(PLE!$G$15,$M233-$A$15,CT$13)))</f>
        <v>0</v>
      </c>
      <c r="CU233" s="172" cm="1">
        <f t="array" aca="1" ref="CU233" ca="1">IF(OR($D233&lt;&gt;"Serviço",AND(AUTOEVENTO="Manual",$M233=$A$15),$M233&gt;(ROW(PLE.lastrow)-ROW(PLE.firstrow))),0,
           IF(OFFSET(PLE!$G$15,$M233-$A$15,CU$13)="",10^12,OFFSET(PLE!$G$15,$M233-$A$15,CU$13)))</f>
        <v>0</v>
      </c>
      <c r="CV233" s="172" cm="1">
        <f t="array" aca="1" ref="CV233" ca="1">IF(OR($D233&lt;&gt;"Serviço",AND(AUTOEVENTO="Manual",$M233=$A$15),$M233&gt;(ROW(PLE.lastrow)-ROW(PLE.firstrow))),0,
           IF(OFFSET(PLE!$G$15,$M233-$A$15,CV$13)="",10^12,OFFSET(PLE!$G$15,$M233-$A$15,CV$13)))</f>
        <v>0</v>
      </c>
      <c r="CW233" s="172" cm="1">
        <f t="array" aca="1" ref="CW233" ca="1">IF(OR($D233&lt;&gt;"Serviço",AND(AUTOEVENTO="Manual",$M233=$A$15),$M233&gt;(ROW(PLE.lastrow)-ROW(PLE.firstrow))),0,
           IF(OFFSET(PLE!$G$15,$M233-$A$15,CW$13)="",10^12,OFFSET(PLE!$G$15,$M233-$A$15,CW$13)))</f>
        <v>0</v>
      </c>
      <c r="CX233" s="172" cm="1">
        <f t="array" aca="1" ref="CX233" ca="1">IF(OR($D233&lt;&gt;"Serviço",AND(AUTOEVENTO="Manual",$M233=$A$15),$M233&gt;(ROW(PLE.lastrow)-ROW(PLE.firstrow))),0,
           IF(OFFSET(PLE!$G$15,$M233-$A$15,CX$13)="",10^12,OFFSET(PLE!$G$15,$M233-$A$15,CX$13)))</f>
        <v>0</v>
      </c>
      <c r="CY233" s="172" cm="1">
        <f t="array" aca="1" ref="CY233" ca="1">IF(OR($D233&lt;&gt;"Serviço",AND(AUTOEVENTO="Manual",$M233=$A$15),$M233&gt;(ROW(PLE.lastrow)-ROW(PLE.firstrow))),0,
           IF(OFFSET(PLE!$G$15,$M233-$A$15,CY$13)="",10^12,OFFSET(PLE!$G$15,$M233-$A$15,CY$13)))</f>
        <v>0</v>
      </c>
      <c r="CZ233" s="172" cm="1">
        <f t="array" aca="1" ref="CZ233" ca="1">IF(OR($D233&lt;&gt;"Serviço",AND(AUTOEVENTO="Manual",$M233=$A$15),$M233&gt;(ROW(PLE.lastrow)-ROW(PLE.firstrow))),0,
           IF(OFFSET(PLE!$G$15,$M233-$A$15,CZ$13)="",10^12,OFFSET(PLE!$G$15,$M233-$A$15,CZ$13)))</f>
        <v>0</v>
      </c>
      <c r="DA233" s="172" cm="1">
        <f t="array" aca="1" ref="DA233" ca="1">IF(OR($D233&lt;&gt;"Serviço",AND(AUTOEVENTO="Manual",$M233=$A$15),$M233&gt;(ROW(PLE.lastrow)-ROW(PLE.firstrow))),0,
           IF(OFFSET(PLE!$G$15,$M233-$A$15,DA$13)="",10^12,OFFSET(PLE!$G$15,$M233-$A$15,DA$13)))</f>
        <v>0</v>
      </c>
      <c r="DB233" s="172" cm="1">
        <f t="array" aca="1" ref="DB233" ca="1">IF(OR($D233&lt;&gt;"Serviço",AND(AUTOEVENTO="Manual",$M233=$A$15),$M233&gt;(ROW(PLE.lastrow)-ROW(PLE.firstrow))),0,
           IF(OFFSET(PLE!$G$15,$M233-$A$15,DB$13)="",10^12,OFFSET(PLE!$G$15,$M233-$A$15,DB$13)))</f>
        <v>0</v>
      </c>
      <c r="DC233" s="172" cm="1">
        <f t="array" aca="1" ref="DC233" ca="1">IF(OR($D233&lt;&gt;"Serviço",AND(AUTOEVENTO="Manual",$M233=$A$15),$M233&gt;(ROW(PLE.lastrow)-ROW(PLE.firstrow))),0,
           IF(OFFSET(PLE!$G$15,$M233-$A$15,DC$13)="",10^12,OFFSET(PLE!$G$15,$M233-$A$15,DC$13)))</f>
        <v>0</v>
      </c>
      <c r="DD233" s="172" cm="1">
        <f t="array" aca="1" ref="DD233" ca="1">IF(OR($D233&lt;&gt;"Serviço",AND(AUTOEVENTO="Manual",$M233=$A$15),$M233&gt;(ROW(PLE.lastrow)-ROW(PLE.firstrow))),0,
           IF(OFFSET(PLE!$G$15,$M233-$A$15,DD$13)="",10^12,OFFSET(PLE!$G$15,$M233-$A$15,DD$13)))</f>
        <v>0</v>
      </c>
      <c r="DE233" s="172" cm="1">
        <f t="array" aca="1" ref="DE233" ca="1">IF(OR($D233&lt;&gt;"Serviço",AND(AUTOEVENTO="Manual",$M233=$A$15),$M233&gt;(ROW(PLE.lastrow)-ROW(PLE.firstrow))),0,
           IF(OFFSET(PLE!$G$15,$M233-$A$15,DE$13)="",10^12,OFFSET(PLE!$G$15,$M233-$A$15,DE$13)))</f>
        <v>0</v>
      </c>
      <c r="DF233" s="172" cm="1">
        <f t="array" aca="1" ref="DF233" ca="1">IF(OR($D233&lt;&gt;"Serviço",AND(AUTOEVENTO="Manual",$M233=$A$15),$M233&gt;(ROW(PLE.lastrow)-ROW(PLE.firstrow))),0,
           IF(OFFSET(PLE!$G$15,$M233-$A$15,DF$13)="",10^12,OFFSET(PLE!$G$15,$M233-$A$15,DF$13)))</f>
        <v>0</v>
      </c>
      <c r="DG233" s="172" cm="1">
        <f t="array" aca="1" ref="DG233" ca="1">IF(OR($D233&lt;&gt;"Serviço",AND(AUTOEVENTO="Manual",$M233=$A$15),$M233&gt;(ROW(PLE.lastrow)-ROW(PLE.firstrow))),0,
           IF(OFFSET(PLE!$G$15,$M233-$A$15,DG$13)="",10^12,OFFSET(PLE!$G$15,$M233-$A$15,DG$13)))</f>
        <v>0</v>
      </c>
      <c r="DH233" s="172" cm="1">
        <f t="array" aca="1" ref="DH233" ca="1">IF(OR($D233&lt;&gt;"Serviço",AND(AUTOEVENTO="Manual",$M233=$A$15),$M233&gt;(ROW(PLE.lastrow)-ROW(PLE.firstrow))),0,
           IF(OFFSET(PLE!$G$15,$M233-$A$15,DH$13)="",10^12,OFFSET(PLE!$G$15,$M233-$A$15,DH$13)))</f>
        <v>0</v>
      </c>
      <c r="DI233" s="172" cm="1">
        <f t="array" aca="1" ref="DI233" ca="1">IF(OR($D233&lt;&gt;"Serviço",AND(AUTOEVENTO="Manual",$M233=$A$15),$M233&gt;(ROW(PLE.lastrow)-ROW(PLE.firstrow))),0,
           IF(OFFSET(PLE!$G$15,$M233-$A$15,DI$13)="",10^12,OFFSET(PLE!$G$15,$M233-$A$15,DI$13)))</f>
        <v>0</v>
      </c>
      <c r="DJ233" s="172" cm="1">
        <f t="array" aca="1" ref="DJ233" ca="1">IF(OR($D233&lt;&gt;"Serviço",AND(AUTOEVENTO="Manual",$M233=$A$15),$M233&gt;(ROW(PLE.lastrow)-ROW(PLE.firstrow))),0,
           IF(OFFSET(PLE!$G$15,$M233-$A$15,DJ$13)="",10^12,OFFSET(PLE!$G$15,$M233-$A$15,DJ$13)))</f>
        <v>0</v>
      </c>
      <c r="DK233" s="172" cm="1">
        <f t="array" aca="1" ref="DK233" ca="1">IF(OR($D233&lt;&gt;"Serviço",AND(AUTOEVENTO="Manual",$M233=$A$15),$M233&gt;(ROW(PLE.lastrow)-ROW(PLE.firstrow))),0,
           IF(OFFSET(PLE!$G$15,$M233-$A$15,DK$13)="",10^12,OFFSET(PLE!$G$15,$M233-$A$15,DK$13)))</f>
        <v>0</v>
      </c>
      <c r="DL233" s="172" cm="1">
        <f t="array" aca="1" ref="DL233" ca="1">IF(OR($D233&lt;&gt;"Serviço",AND(AUTOEVENTO="Manual",$M233=$A$15),$M233&gt;(ROW(PLE.lastrow)-ROW(PLE.firstrow))),0,
           IF(OFFSET(PLE!$G$15,$M233-$A$15,DL$13)="",10^12,OFFSET(PLE!$G$15,$M233-$A$15,DL$13)))</f>
        <v>0</v>
      </c>
      <c r="DM233" s="172" cm="1">
        <f t="array" aca="1" ref="DM233" ca="1">IF(OR($D233&lt;&gt;"Serviço",AND(AUTOEVENTO="Manual",$M233=$A$15),$M233&gt;(ROW(PLE.lastrow)-ROW(PLE.firstrow))),0,
           IF(OFFSET(PLE!$G$15,$M233-$A$15,DM$13)="",10^12,OFFSET(PLE!$G$15,$M233-$A$15,DM$13)))</f>
        <v>0</v>
      </c>
      <c r="DN233" s="172" cm="1">
        <f t="array" aca="1" ref="DN233" ca="1">IF(OR($D233&lt;&gt;"Serviço",AND(AUTOEVENTO="Manual",$M233=$A$15),$M233&gt;(ROW(PLE.lastrow)-ROW(PLE.firstrow))),0,
           IF(OFFSET(PLE!$G$15,$M233-$A$15,DN$13)="",10^12,OFFSET(PLE!$G$15,$M233-$A$15,DN$13)))</f>
        <v>0</v>
      </c>
      <c r="DO233" s="172" cm="1">
        <f t="array" aca="1" ref="DO233" ca="1">IF(OR($D233&lt;&gt;"Serviço",AND(AUTOEVENTO="Manual",$M233=$A$15),$M233&gt;(ROW(PLE.lastrow)-ROW(PLE.firstrow))),0,
           IF(OFFSET(PLE!$G$15,$M233-$A$15,DO$13)="",10^12,OFFSET(PLE!$G$15,$M233-$A$15,DO$13)))</f>
        <v>0</v>
      </c>
      <c r="DP233" s="172" cm="1">
        <f t="array" aca="1" ref="DP233" ca="1">IF(OR($D233&lt;&gt;"Serviço",AND(AUTOEVENTO="Manual",$M233=$A$15),$M233&gt;(ROW(PLE.lastrow)-ROW(PLE.firstrow))),0,
           IF(OFFSET(PLE!$G$15,$M233-$A$15,DP$13)="",10^12,OFFSET(PLE!$G$15,$M233-$A$15,DP$13)))</f>
        <v>0</v>
      </c>
      <c r="DQ233" s="172" cm="1">
        <f t="array" aca="1" ref="DQ233" ca="1">IF(OR($D233&lt;&gt;"Serviço",AND(AUTOEVENTO="Manual",$M233=$A$15),$M233&gt;(ROW(PLE.lastrow)-ROW(PLE.firstrow))),0,
           IF(OFFSET(PLE!$G$15,$M233-$A$15,DQ$13)="",10^12,OFFSET(PLE!$G$15,$M233-$A$15,DQ$13)))</f>
        <v>0</v>
      </c>
      <c r="DR233" s="172" cm="1">
        <f t="array" aca="1" ref="DR233" ca="1">IF(OR($D233&lt;&gt;"Serviço",AND(AUTOEVENTO="Manual",$M233=$A$15),$M233&gt;(ROW(PLE.lastrow)-ROW(PLE.firstrow))),0,
           IF(OFFSET(PLE!$G$15,$M233-$A$15,DR$13)="",10^12,OFFSET(PLE!$G$15,$M233-$A$15,DR$13)))</f>
        <v>0</v>
      </c>
      <c r="DS233" s="172" cm="1">
        <f t="array" aca="1" ref="DS233" ca="1">IF(OR($D233&lt;&gt;"Serviço",AND(AUTOEVENTO="Manual",$M233=$A$15),$M233&gt;(ROW(PLE.lastrow)-ROW(PLE.firstrow))),0,
           IF(OFFSET(PLE!$G$15,$M233-$A$15,DS$13)="",10^12,OFFSET(PLE!$G$15,$M233-$A$15,DS$13)))</f>
        <v>0</v>
      </c>
    </row>
    <row r="234" spans="1:123" ht="12.75" x14ac:dyDescent="0.2">
      <c r="A234" s="7">
        <f t="shared" ca="1" si="19"/>
        <v>0</v>
      </c>
      <c r="B234" s="7">
        <f ca="1">OFFSET(ORÇAMENTO!C$15,$L234,0)</f>
        <v>2</v>
      </c>
      <c r="C234" s="7" t="str">
        <f ca="1">OFFSET(ORÇAMENTO!L$15,$L234,0)</f>
        <v>F</v>
      </c>
      <c r="D234" s="116" t="str">
        <f ca="1">OFFSET(ORÇAMENTO!N$15,$L234,0)</f>
        <v>Nível 2</v>
      </c>
      <c r="E234" s="117" t="str">
        <f ca="1">OFFSET(ORÇAMENTO!O$15,$L234,0)</f>
        <v>10.1.</v>
      </c>
      <c r="F234" s="163" t="str">
        <f ca="1">OFFSET(ORÇAMENTO!R$15,$L234,0)</f>
        <v>CALAFETE / LIMPEZA</v>
      </c>
      <c r="G234" s="164" t="str">
        <f ca="1">IF($D234&lt;&gt;"Serviço","",OFFSET(ORÇAMENTO!S$15,$L234,0))</f>
        <v/>
      </c>
      <c r="H234" s="122" cm="1">
        <f t="array" aca="1" ref="H234" ca="1">IF($D234&lt;&gt;"Serviço",0,IF(ACOMPANHAMENTO="BM",ROUND(OFFSET(ORÇAMENTO!AJ$15,$L234,0),15-13*ORÇAMENTO!$AF$7),IF(IFERROR(CÁLCULO.FrentesPreenchidas,0)=0,0,SUM(ROUND(OFFSET($P234,0,1,1,CÁLCULO.FrentesPreenchidas),15-13*ORÇAMENTO!$AF$7)))))</f>
        <v>0</v>
      </c>
      <c r="I234" s="468"/>
      <c r="J234" s="651" t="str" cm="1">
        <f t="array" aca="1" ref="J234" ca="1">IF(OR(B234&lt;&gt;"S",CÁLCULO.FrentesPreenchidas=0),"",IF(AND(ACOMPANHAMENTO="PLE",AUTOEVENTO="Manual",OR(H234&gt;0,ORÇAMENTO!AC234="QUANT."),OR(K234="",M234=0,N234="")),"►E",IF(AND(ACOMPANHAMENTO="PLE",ORÇAMENTO!AC234="QUANT."),"►Q",IF(AND(ACOMPANHAMENTO="PLE",H234&lt;&gt;SUMPRODUCT(($Q$1:$AQ$1=1)*ROUND(Q234:AQ234,15))),"►S",IF(AND(COUNTIF($P$11:$AQ$11,"▼")=0,H234&gt;0,I234=""),"◄M","")))))</f>
        <v/>
      </c>
      <c r="K234" s="652"/>
      <c r="L234" s="165">
        <f t="shared" ca="1" si="20"/>
        <v>219</v>
      </c>
      <c r="M234" s="166" t="str">
        <f ca="1">IF($D234&lt;&gt;"Serviço","",
          IF(AUTOEVENTO="manual",$A234,
                IF(ISERROR(MATCH($A234,$A$15:OFFSET($A234,-1,0),0)),MAX($M$15:OFFSET(M234,-1,0))+1,
                      INDEX($M$15:OFFSET(M234,-1,0),MATCH($A234,$A$15:OFFSET($A234,-1,0),0)))))</f>
        <v/>
      </c>
      <c r="N234" s="167" t="str">
        <f ca="1">IF($D234&lt;&gt;"Serviço","",
         IF(AUTOEVENTO="Manual",
                IF($A234=0,"&lt;-- defina o número do agrupador",
                       OFFSET(EVENTOS!$D$15,$A234-$A$15,0)),
                OFFSET($F$15,$A234,0)))</f>
        <v/>
      </c>
      <c r="O234" s="168"/>
      <c r="Q234" s="168"/>
      <c r="R234" s="169"/>
      <c r="S234" s="169"/>
      <c r="T234" s="169"/>
      <c r="U234" s="169"/>
      <c r="V234" s="169"/>
      <c r="W234" s="169"/>
      <c r="X234" s="169"/>
      <c r="Y234" s="169"/>
      <c r="Z234" s="170"/>
      <c r="AA234" s="169"/>
      <c r="AB234" s="169"/>
      <c r="AC234" s="169"/>
      <c r="AD234" s="169"/>
      <c r="AE234" s="169"/>
      <c r="AF234" s="169"/>
      <c r="AG234" s="169"/>
      <c r="AH234" s="170"/>
      <c r="AI234" s="169"/>
      <c r="AJ234" s="169"/>
      <c r="AK234" s="169"/>
      <c r="AL234" s="169"/>
      <c r="AM234" s="169"/>
      <c r="AN234" s="169"/>
      <c r="AO234" s="169"/>
      <c r="AP234" s="170"/>
      <c r="AR234" s="453">
        <f ca="1">IF(AND($D234="Serviço",AR$12&lt;&gt;0,$H234&gt;0,OR(AUTOEVENTO&lt;&gt;"manual",$M234&lt;&gt;$A$15)),
        IF(Import.TipoArredondamento&lt;&gt;"TransfereGOV",
              ROUND(OFFSET($P234,0,AR$13),15-13*ORÇAMENTO!$AF$7)/$H234*OFFSET(ORÇAMENTO!$X$15,ROW(AR234)-ROW(AR$15),0),
              ROUND(ROUND(OFFSET($P234,0,AR$13),15-13*ORÇAMENTO!$AF$7)*OFFSET(ORÇAMENTO!$W$15,ROW(AR234)-ROW(AR$15),0),15-13*ORÇAMENTO!$AF$11)),
         0)</f>
        <v>0</v>
      </c>
      <c r="AS234" s="453">
        <f ca="1">IF(AND($D234="Serviço",AS$12&lt;&gt;0,$H234&gt;0,OR(AUTOEVENTO&lt;&gt;"manual",$M234&lt;&gt;$A$15)),
        IF(Import.TipoArredondamento&lt;&gt;"TransfereGOV",
              ROUND(OFFSET($P234,0,AS$13),15-13*ORÇAMENTO!$AF$7)/$H234*OFFSET(ORÇAMENTO!$X$15,ROW(AS234)-ROW(AS$15),0),
              ROUND(ROUND(OFFSET($P234,0,AS$13),15-13*ORÇAMENTO!$AF$7)*OFFSET(ORÇAMENTO!$W$15,ROW(AS234)-ROW(AS$15),0),15-13*ORÇAMENTO!$AF$11)),
         0)</f>
        <v>0</v>
      </c>
      <c r="AT234" s="453">
        <f ca="1">IF(AND($D234="Serviço",AT$12&lt;&gt;0,$H234&gt;0,OR(AUTOEVENTO&lt;&gt;"manual",$M234&lt;&gt;$A$15)),
        IF(Import.TipoArredondamento&lt;&gt;"TransfereGOV",
              ROUND(OFFSET($P234,0,AT$13),15-13*ORÇAMENTO!$AF$7)/$H234*OFFSET(ORÇAMENTO!$X$15,ROW(AT234)-ROW(AT$15),0),
              ROUND(ROUND(OFFSET($P234,0,AT$13),15-13*ORÇAMENTO!$AF$7)*OFFSET(ORÇAMENTO!$W$15,ROW(AT234)-ROW(AT$15),0),15-13*ORÇAMENTO!$AF$11)),
         0)</f>
        <v>0</v>
      </c>
      <c r="AU234" s="453">
        <f ca="1">IF(AND($D234="Serviço",AU$12&lt;&gt;0,$H234&gt;0,OR(AUTOEVENTO&lt;&gt;"manual",$M234&lt;&gt;$A$15)),
        IF(Import.TipoArredondamento&lt;&gt;"TransfereGOV",
              ROUND(OFFSET($P234,0,AU$13),15-13*ORÇAMENTO!$AF$7)/$H234*OFFSET(ORÇAMENTO!$X$15,ROW(AU234)-ROW(AU$15),0),
              ROUND(ROUND(OFFSET($P234,0,AU$13),15-13*ORÇAMENTO!$AF$7)*OFFSET(ORÇAMENTO!$W$15,ROW(AU234)-ROW(AU$15),0),15-13*ORÇAMENTO!$AF$11)),
         0)</f>
        <v>0</v>
      </c>
      <c r="AV234" s="453">
        <f ca="1">IF(AND($D234="Serviço",AV$12&lt;&gt;0,$H234&gt;0,OR(AUTOEVENTO&lt;&gt;"manual",$M234&lt;&gt;$A$15)),
        IF(Import.TipoArredondamento&lt;&gt;"TransfereGOV",
              ROUND(OFFSET($P234,0,AV$13),15-13*ORÇAMENTO!$AF$7)/$H234*OFFSET(ORÇAMENTO!$X$15,ROW(AV234)-ROW(AV$15),0),
              ROUND(ROUND(OFFSET($P234,0,AV$13),15-13*ORÇAMENTO!$AF$7)*OFFSET(ORÇAMENTO!$W$15,ROW(AV234)-ROW(AV$15),0),15-13*ORÇAMENTO!$AF$11)),
         0)</f>
        <v>0</v>
      </c>
      <c r="AW234" s="453">
        <f ca="1">IF(AND($D234="Serviço",AW$12&lt;&gt;0,$H234&gt;0,OR(AUTOEVENTO&lt;&gt;"manual",$M234&lt;&gt;$A$15)),
        IF(Import.TipoArredondamento&lt;&gt;"TransfereGOV",
              ROUND(OFFSET($P234,0,AW$13),15-13*ORÇAMENTO!$AF$7)/$H234*OFFSET(ORÇAMENTO!$X$15,ROW(AW234)-ROW(AW$15),0),
              ROUND(ROUND(OFFSET($P234,0,AW$13),15-13*ORÇAMENTO!$AF$7)*OFFSET(ORÇAMENTO!$W$15,ROW(AW234)-ROW(AW$15),0),15-13*ORÇAMENTO!$AF$11)),
         0)</f>
        <v>0</v>
      </c>
      <c r="AX234" s="453">
        <f ca="1">IF(AND($D234="Serviço",AX$12&lt;&gt;0,$H234&gt;0,OR(AUTOEVENTO&lt;&gt;"manual",$M234&lt;&gt;$A$15)),
        IF(Import.TipoArredondamento&lt;&gt;"TransfereGOV",
              ROUND(OFFSET($P234,0,AX$13),15-13*ORÇAMENTO!$AF$7)/$H234*OFFSET(ORÇAMENTO!$X$15,ROW(AX234)-ROW(AX$15),0),
              ROUND(ROUND(OFFSET($P234,0,AX$13),15-13*ORÇAMENTO!$AF$7)*OFFSET(ORÇAMENTO!$W$15,ROW(AX234)-ROW(AX$15),0),15-13*ORÇAMENTO!$AF$11)),
         0)</f>
        <v>0</v>
      </c>
      <c r="AY234" s="453">
        <f ca="1">IF(AND($D234="Serviço",AY$12&lt;&gt;0,$H234&gt;0,OR(AUTOEVENTO&lt;&gt;"manual",$M234&lt;&gt;$A$15)),
        IF(Import.TipoArredondamento&lt;&gt;"TransfereGOV",
              ROUND(OFFSET($P234,0,AY$13),15-13*ORÇAMENTO!$AF$7)/$H234*OFFSET(ORÇAMENTO!$X$15,ROW(AY234)-ROW(AY$15),0),
              ROUND(ROUND(OFFSET($P234,0,AY$13),15-13*ORÇAMENTO!$AF$7)*OFFSET(ORÇAMENTO!$W$15,ROW(AY234)-ROW(AY$15),0),15-13*ORÇAMENTO!$AF$11)),
         0)</f>
        <v>0</v>
      </c>
      <c r="AZ234" s="453">
        <f ca="1">IF(AND($D234="Serviço",AZ$12&lt;&gt;0,$H234&gt;0,OR(AUTOEVENTO&lt;&gt;"manual",$M234&lt;&gt;$A$15)),
        IF(Import.TipoArredondamento&lt;&gt;"TransfereGOV",
              ROUND(OFFSET($P234,0,AZ$13),15-13*ORÇAMENTO!$AF$7)/$H234*OFFSET(ORÇAMENTO!$X$15,ROW(AZ234)-ROW(AZ$15),0),
              ROUND(ROUND(OFFSET($P234,0,AZ$13),15-13*ORÇAMENTO!$AF$7)*OFFSET(ORÇAMENTO!$W$15,ROW(AZ234)-ROW(AZ$15),0),15-13*ORÇAMENTO!$AF$11)),
         0)</f>
        <v>0</v>
      </c>
      <c r="BA234" s="453">
        <f ca="1">IF(AND($D234="Serviço",BA$12&lt;&gt;0,$H234&gt;0,OR(AUTOEVENTO&lt;&gt;"manual",$M234&lt;&gt;$A$15)),
        IF(Import.TipoArredondamento&lt;&gt;"TransfereGOV",
              ROUND(OFFSET($P234,0,BA$13),15-13*ORÇAMENTO!$AF$7)/$H234*OFFSET(ORÇAMENTO!$X$15,ROW(BA234)-ROW(BA$15),0),
              ROUND(ROUND(OFFSET($P234,0,BA$13),15-13*ORÇAMENTO!$AF$7)*OFFSET(ORÇAMENTO!$W$15,ROW(BA234)-ROW(BA$15),0),15-13*ORÇAMENTO!$AF$11)),
         0)</f>
        <v>0</v>
      </c>
      <c r="BB234" s="453">
        <f ca="1">IF(AND($D234="Serviço",BB$12&lt;&gt;0,$H234&gt;0,OR(AUTOEVENTO&lt;&gt;"manual",$M234&lt;&gt;$A$15)),
        IF(Import.TipoArredondamento&lt;&gt;"TransfereGOV",
              ROUND(OFFSET($P234,0,BB$13),15-13*ORÇAMENTO!$AF$7)/$H234*OFFSET(ORÇAMENTO!$X$15,ROW(BB234)-ROW(BB$15),0),
              ROUND(ROUND(OFFSET($P234,0,BB$13),15-13*ORÇAMENTO!$AF$7)*OFFSET(ORÇAMENTO!$W$15,ROW(BB234)-ROW(BB$15),0),15-13*ORÇAMENTO!$AF$11)),
         0)</f>
        <v>0</v>
      </c>
      <c r="BC234" s="453">
        <f ca="1">IF(AND($D234="Serviço",BC$12&lt;&gt;0,$H234&gt;0,OR(AUTOEVENTO&lt;&gt;"manual",$M234&lt;&gt;$A$15)),
        IF(Import.TipoArredondamento&lt;&gt;"TransfereGOV",
              ROUND(OFFSET($P234,0,BC$13),15-13*ORÇAMENTO!$AF$7)/$H234*OFFSET(ORÇAMENTO!$X$15,ROW(BC234)-ROW(BC$15),0),
              ROUND(ROUND(OFFSET($P234,0,BC$13),15-13*ORÇAMENTO!$AF$7)*OFFSET(ORÇAMENTO!$W$15,ROW(BC234)-ROW(BC$15),0),15-13*ORÇAMENTO!$AF$11)),
         0)</f>
        <v>0</v>
      </c>
      <c r="BD234" s="453">
        <f ca="1">IF(AND($D234="Serviço",BD$12&lt;&gt;0,$H234&gt;0,OR(AUTOEVENTO&lt;&gt;"manual",$M234&lt;&gt;$A$15)),
        IF(Import.TipoArredondamento&lt;&gt;"TransfereGOV",
              ROUND(OFFSET($P234,0,BD$13),15-13*ORÇAMENTO!$AF$7)/$H234*OFFSET(ORÇAMENTO!$X$15,ROW(BD234)-ROW(BD$15),0),
              ROUND(ROUND(OFFSET($P234,0,BD$13),15-13*ORÇAMENTO!$AF$7)*OFFSET(ORÇAMENTO!$W$15,ROW(BD234)-ROW(BD$15),0),15-13*ORÇAMENTO!$AF$11)),
         0)</f>
        <v>0</v>
      </c>
      <c r="BE234" s="453">
        <f ca="1">IF(AND($D234="Serviço",BE$12&lt;&gt;0,$H234&gt;0,OR(AUTOEVENTO&lt;&gt;"manual",$M234&lt;&gt;$A$15)),
        IF(Import.TipoArredondamento&lt;&gt;"TransfereGOV",
              ROUND(OFFSET($P234,0,BE$13),15-13*ORÇAMENTO!$AF$7)/$H234*OFFSET(ORÇAMENTO!$X$15,ROW(BE234)-ROW(BE$15),0),
              ROUND(ROUND(OFFSET($P234,0,BE$13),15-13*ORÇAMENTO!$AF$7)*OFFSET(ORÇAMENTO!$W$15,ROW(BE234)-ROW(BE$15),0),15-13*ORÇAMENTO!$AF$11)),
         0)</f>
        <v>0</v>
      </c>
      <c r="BF234" s="453">
        <f ca="1">IF(AND($D234="Serviço",BF$12&lt;&gt;0,$H234&gt;0,OR(AUTOEVENTO&lt;&gt;"manual",$M234&lt;&gt;$A$15)),
        IF(Import.TipoArredondamento&lt;&gt;"TransfereGOV",
              ROUND(OFFSET($P234,0,BF$13),15-13*ORÇAMENTO!$AF$7)/$H234*OFFSET(ORÇAMENTO!$X$15,ROW(BF234)-ROW(BF$15),0),
              ROUND(ROUND(OFFSET($P234,0,BF$13),15-13*ORÇAMENTO!$AF$7)*OFFSET(ORÇAMENTO!$W$15,ROW(BF234)-ROW(BF$15),0),15-13*ORÇAMENTO!$AF$11)),
         0)</f>
        <v>0</v>
      </c>
      <c r="BG234" s="453">
        <f ca="1">IF(AND($D234="Serviço",BG$12&lt;&gt;0,$H234&gt;0,OR(AUTOEVENTO&lt;&gt;"manual",$M234&lt;&gt;$A$15)),
        IF(Import.TipoArredondamento&lt;&gt;"TransfereGOV",
              ROUND(OFFSET($P234,0,BG$13),15-13*ORÇAMENTO!$AF$7)/$H234*OFFSET(ORÇAMENTO!$X$15,ROW(BG234)-ROW(BG$15),0),
              ROUND(ROUND(OFFSET($P234,0,BG$13),15-13*ORÇAMENTO!$AF$7)*OFFSET(ORÇAMENTO!$W$15,ROW(BG234)-ROW(BG$15),0),15-13*ORÇAMENTO!$AF$11)),
         0)</f>
        <v>0</v>
      </c>
      <c r="BH234" s="453">
        <f ca="1">IF(AND($D234="Serviço",BH$12&lt;&gt;0,$H234&gt;0,OR(AUTOEVENTO&lt;&gt;"manual",$M234&lt;&gt;$A$15)),
        IF(Import.TipoArredondamento&lt;&gt;"TransfereGOV",
              ROUND(OFFSET($P234,0,BH$13),15-13*ORÇAMENTO!$AF$7)/$H234*OFFSET(ORÇAMENTO!$X$15,ROW(BH234)-ROW(BH$15),0),
              ROUND(ROUND(OFFSET($P234,0,BH$13),15-13*ORÇAMENTO!$AF$7)*OFFSET(ORÇAMENTO!$W$15,ROW(BH234)-ROW(BH$15),0),15-13*ORÇAMENTO!$AF$11)),
         0)</f>
        <v>0</v>
      </c>
      <c r="BI234" s="453">
        <f ca="1">IF(AND($D234="Serviço",BI$12&lt;&gt;0,$H234&gt;0,OR(AUTOEVENTO&lt;&gt;"manual",$M234&lt;&gt;$A$15)),
        IF(Import.TipoArredondamento&lt;&gt;"TransfereGOV",
              ROUND(OFFSET($P234,0,BI$13),15-13*ORÇAMENTO!$AF$7)/$H234*OFFSET(ORÇAMENTO!$X$15,ROW(BI234)-ROW(BI$15),0),
              ROUND(ROUND(OFFSET($P234,0,BI$13),15-13*ORÇAMENTO!$AF$7)*OFFSET(ORÇAMENTO!$W$15,ROW(BI234)-ROW(BI$15),0),15-13*ORÇAMENTO!$AF$11)),
         0)</f>
        <v>0</v>
      </c>
      <c r="BJ234" s="453">
        <f ca="1">IF(AND($D234="Serviço",BJ$12&lt;&gt;0,$H234&gt;0,OR(AUTOEVENTO&lt;&gt;"manual",$M234&lt;&gt;$A$15)),
        IF(Import.TipoArredondamento&lt;&gt;"TransfereGOV",
              ROUND(OFFSET($P234,0,BJ$13),15-13*ORÇAMENTO!$AF$7)/$H234*OFFSET(ORÇAMENTO!$X$15,ROW(BJ234)-ROW(BJ$15),0),
              ROUND(ROUND(OFFSET($P234,0,BJ$13),15-13*ORÇAMENTO!$AF$7)*OFFSET(ORÇAMENTO!$W$15,ROW(BJ234)-ROW(BJ$15),0),15-13*ORÇAMENTO!$AF$11)),
         0)</f>
        <v>0</v>
      </c>
      <c r="BK234" s="453">
        <f ca="1">IF(AND($D234="Serviço",BK$12&lt;&gt;0,$H234&gt;0,OR(AUTOEVENTO&lt;&gt;"manual",$M234&lt;&gt;$A$15)),
        IF(Import.TipoArredondamento&lt;&gt;"TransfereGOV",
              ROUND(OFFSET($P234,0,BK$13),15-13*ORÇAMENTO!$AF$7)/$H234*OFFSET(ORÇAMENTO!$X$15,ROW(BK234)-ROW(BK$15),0),
              ROUND(ROUND(OFFSET($P234,0,BK$13),15-13*ORÇAMENTO!$AF$7)*OFFSET(ORÇAMENTO!$W$15,ROW(BK234)-ROW(BK$15),0),15-13*ORÇAMENTO!$AF$11)),
         0)</f>
        <v>0</v>
      </c>
      <c r="BL234" s="453">
        <f ca="1">IF(AND($D234="Serviço",BL$12&lt;&gt;0,$H234&gt;0,OR(AUTOEVENTO&lt;&gt;"manual",$M234&lt;&gt;$A$15)),
        IF(Import.TipoArredondamento&lt;&gt;"TransfereGOV",
              ROUND(OFFSET($P234,0,BL$13),15-13*ORÇAMENTO!$AF$7)/$H234*OFFSET(ORÇAMENTO!$X$15,ROW(BL234)-ROW(BL$15),0),
              ROUND(ROUND(OFFSET($P234,0,BL$13),15-13*ORÇAMENTO!$AF$7)*OFFSET(ORÇAMENTO!$W$15,ROW(BL234)-ROW(BL$15),0),15-13*ORÇAMENTO!$AF$11)),
         0)</f>
        <v>0</v>
      </c>
      <c r="BM234" s="453">
        <f ca="1">IF(AND($D234="Serviço",BM$12&lt;&gt;0,$H234&gt;0,OR(AUTOEVENTO&lt;&gt;"manual",$M234&lt;&gt;$A$15)),
        IF(Import.TipoArredondamento&lt;&gt;"TransfereGOV",
              ROUND(OFFSET($P234,0,BM$13),15-13*ORÇAMENTO!$AF$7)/$H234*OFFSET(ORÇAMENTO!$X$15,ROW(BM234)-ROW(BM$15),0),
              ROUND(ROUND(OFFSET($P234,0,BM$13),15-13*ORÇAMENTO!$AF$7)*OFFSET(ORÇAMENTO!$W$15,ROW(BM234)-ROW(BM$15),0),15-13*ORÇAMENTO!$AF$11)),
         0)</f>
        <v>0</v>
      </c>
      <c r="BN234" s="453">
        <f ca="1">IF(AND($D234="Serviço",BN$12&lt;&gt;0,$H234&gt;0,OR(AUTOEVENTO&lt;&gt;"manual",$M234&lt;&gt;$A$15)),
        IF(Import.TipoArredondamento&lt;&gt;"TransfereGOV",
              ROUND(OFFSET($P234,0,BN$13),15-13*ORÇAMENTO!$AF$7)/$H234*OFFSET(ORÇAMENTO!$X$15,ROW(BN234)-ROW(BN$15),0),
              ROUND(ROUND(OFFSET($P234,0,BN$13),15-13*ORÇAMENTO!$AF$7)*OFFSET(ORÇAMENTO!$W$15,ROW(BN234)-ROW(BN$15),0),15-13*ORÇAMENTO!$AF$11)),
         0)</f>
        <v>0</v>
      </c>
      <c r="BO234" s="453">
        <f ca="1">IF(AND($D234="Serviço",BO$12&lt;&gt;0,$H234&gt;0,OR(AUTOEVENTO&lt;&gt;"manual",$M234&lt;&gt;$A$15)),
        IF(Import.TipoArredondamento&lt;&gt;"TransfereGOV",
              ROUND(OFFSET($P234,0,BO$13),15-13*ORÇAMENTO!$AF$7)/$H234*OFFSET(ORÇAMENTO!$X$15,ROW(BO234)-ROW(BO$15),0),
              ROUND(ROUND(OFFSET($P234,0,BO$13),15-13*ORÇAMENTO!$AF$7)*OFFSET(ORÇAMENTO!$W$15,ROW(BO234)-ROW(BO$15),0),15-13*ORÇAMENTO!$AF$11)),
         0)</f>
        <v>0</v>
      </c>
      <c r="BP234" s="453">
        <f ca="1">IF(AND($D234="Serviço",BP$12&lt;&gt;0,$H234&gt;0,OR(AUTOEVENTO&lt;&gt;"manual",$M234&lt;&gt;$A$15)),
        IF(Import.TipoArredondamento&lt;&gt;"TransfereGOV",
              ROUND(OFFSET($P234,0,BP$13),15-13*ORÇAMENTO!$AF$7)/$H234*OFFSET(ORÇAMENTO!$X$15,ROW(BP234)-ROW(BP$15),0),
              ROUND(ROUND(OFFSET($P234,0,BP$13),15-13*ORÇAMENTO!$AF$7)*OFFSET(ORÇAMENTO!$W$15,ROW(BP234)-ROW(BP$15),0),15-13*ORÇAMENTO!$AF$11)),
         0)</f>
        <v>0</v>
      </c>
      <c r="BQ234" s="453">
        <f ca="1">IF(AND($D234="Serviço",BQ$12&lt;&gt;0,$H234&gt;0,OR(AUTOEVENTO&lt;&gt;"manual",$M234&lt;&gt;$A$15)),
        IF(Import.TipoArredondamento&lt;&gt;"TransfereGOV",
              ROUND(OFFSET($P234,0,BQ$13),15-13*ORÇAMENTO!$AF$7)/$H234*OFFSET(ORÇAMENTO!$X$15,ROW(BQ234)-ROW(BQ$15),0),
              ROUND(ROUND(OFFSET($P234,0,BQ$13),15-13*ORÇAMENTO!$AF$7)*OFFSET(ORÇAMENTO!$W$15,ROW(BQ234)-ROW(BQ$15),0),15-13*ORÇAMENTO!$AF$11)),
         0)</f>
        <v>0</v>
      </c>
      <c r="BS234" s="171">
        <f ca="1">IF(OR($D234&lt;&gt;"Serviço",AND(AUTOEVENTO="Manual",$M234=$A$15)),0,
         IF(OFFSET(CRONOPLE!$F$15,$M234-$A$15,BS$13)=0,10^12,OFFSET(CRONOPLE!$F$15,$M234-$A$15,BS$13)))</f>
        <v>0</v>
      </c>
      <c r="BT234" s="171">
        <f ca="1">IF(OR($D234&lt;&gt;"Serviço",AND(AUTOEVENTO="Manual",$M234=$A$15)),0,
         IF(OFFSET(CRONOPLE!$F$15,$M234-$A$15,BT$13)=0,10^12,OFFSET(CRONOPLE!$F$15,$M234-$A$15,BT$13)))</f>
        <v>0</v>
      </c>
      <c r="BU234" s="171">
        <f ca="1">IF(OR($D234&lt;&gt;"Serviço",AND(AUTOEVENTO="Manual",$M234=$A$15)),0,
         IF(OFFSET(CRONOPLE!$F$15,$M234-$A$15,BU$13)=0,10^12,OFFSET(CRONOPLE!$F$15,$M234-$A$15,BU$13)))</f>
        <v>0</v>
      </c>
      <c r="BV234" s="171">
        <f ca="1">IF(OR($D234&lt;&gt;"Serviço",AND(AUTOEVENTO="Manual",$M234=$A$15)),0,
         IF(OFFSET(CRONOPLE!$F$15,$M234-$A$15,BV$13)=0,10^12,OFFSET(CRONOPLE!$F$15,$M234-$A$15,BV$13)))</f>
        <v>0</v>
      </c>
      <c r="BW234" s="171">
        <f ca="1">IF(OR($D234&lt;&gt;"Serviço",AND(AUTOEVENTO="Manual",$M234=$A$15)),0,
         IF(OFFSET(CRONOPLE!$F$15,$M234-$A$15,BW$13)=0,10^12,OFFSET(CRONOPLE!$F$15,$M234-$A$15,BW$13)))</f>
        <v>0</v>
      </c>
      <c r="BX234" s="171">
        <f ca="1">IF(OR($D234&lt;&gt;"Serviço",AND(AUTOEVENTO="Manual",$M234=$A$15)),0,
         IF(OFFSET(CRONOPLE!$F$15,$M234-$A$15,BX$13)=0,10^12,OFFSET(CRONOPLE!$F$15,$M234-$A$15,BX$13)))</f>
        <v>0</v>
      </c>
      <c r="BY234" s="171">
        <f ca="1">IF(OR($D234&lt;&gt;"Serviço",AND(AUTOEVENTO="Manual",$M234=$A$15)),0,
         IF(OFFSET(CRONOPLE!$F$15,$M234-$A$15,BY$13)=0,10^12,OFFSET(CRONOPLE!$F$15,$M234-$A$15,BY$13)))</f>
        <v>0</v>
      </c>
      <c r="BZ234" s="171">
        <f ca="1">IF(OR($D234&lt;&gt;"Serviço",AND(AUTOEVENTO="Manual",$M234=$A$15)),0,
         IF(OFFSET(CRONOPLE!$F$15,$M234-$A$15,BZ$13)=0,10^12,OFFSET(CRONOPLE!$F$15,$M234-$A$15,BZ$13)))</f>
        <v>0</v>
      </c>
      <c r="CA234" s="171">
        <f ca="1">IF(OR($D234&lt;&gt;"Serviço",AND(AUTOEVENTO="Manual",$M234=$A$15)),0,
         IF(OFFSET(CRONOPLE!$F$15,$M234-$A$15,CA$13)=0,10^12,OFFSET(CRONOPLE!$F$15,$M234-$A$15,CA$13)))</f>
        <v>0</v>
      </c>
      <c r="CB234" s="171">
        <f ca="1">IF(OR($D234&lt;&gt;"Serviço",AND(AUTOEVENTO="Manual",$M234=$A$15)),0,
         IF(OFFSET(CRONOPLE!$F$15,$M234-$A$15,CB$13)=0,10^12,OFFSET(CRONOPLE!$F$15,$M234-$A$15,CB$13)))</f>
        <v>0</v>
      </c>
      <c r="CC234" s="171">
        <f ca="1">IF(OR($D234&lt;&gt;"Serviço",AND(AUTOEVENTO="Manual",$M234=$A$15)),0,
         IF(OFFSET(CRONOPLE!$F$15,$M234-$A$15,CC$13)=0,10^12,OFFSET(CRONOPLE!$F$15,$M234-$A$15,CC$13)))</f>
        <v>0</v>
      </c>
      <c r="CD234" s="171">
        <f ca="1">IF(OR($D234&lt;&gt;"Serviço",AND(AUTOEVENTO="Manual",$M234=$A$15)),0,
         IF(OFFSET(CRONOPLE!$F$15,$M234-$A$15,CD$13)=0,10^12,OFFSET(CRONOPLE!$F$15,$M234-$A$15,CD$13)))</f>
        <v>0</v>
      </c>
      <c r="CE234" s="171">
        <f ca="1">IF(OR($D234&lt;&gt;"Serviço",AND(AUTOEVENTO="Manual",$M234=$A$15)),0,
         IF(OFFSET(CRONOPLE!$F$15,$M234-$A$15,CE$13)=0,10^12,OFFSET(CRONOPLE!$F$15,$M234-$A$15,CE$13)))</f>
        <v>0</v>
      </c>
      <c r="CF234" s="171">
        <f ca="1">IF(OR($D234&lt;&gt;"Serviço",AND(AUTOEVENTO="Manual",$M234=$A$15)),0,
         IF(OFFSET(CRONOPLE!$F$15,$M234-$A$15,CF$13)=0,10^12,OFFSET(CRONOPLE!$F$15,$M234-$A$15,CF$13)))</f>
        <v>0</v>
      </c>
      <c r="CG234" s="171">
        <f ca="1">IF(OR($D234&lt;&gt;"Serviço",AND(AUTOEVENTO="Manual",$M234=$A$15)),0,
         IF(OFFSET(CRONOPLE!$F$15,$M234-$A$15,CG$13)=0,10^12,OFFSET(CRONOPLE!$F$15,$M234-$A$15,CG$13)))</f>
        <v>0</v>
      </c>
      <c r="CH234" s="171">
        <f ca="1">IF(OR($D234&lt;&gt;"Serviço",AND(AUTOEVENTO="Manual",$M234=$A$15)),0,
         IF(OFFSET(CRONOPLE!$F$15,$M234-$A$15,CH$13)=0,10^12,OFFSET(CRONOPLE!$F$15,$M234-$A$15,CH$13)))</f>
        <v>0</v>
      </c>
      <c r="CI234" s="171">
        <f ca="1">IF(OR($D234&lt;&gt;"Serviço",AND(AUTOEVENTO="Manual",$M234=$A$15)),0,
         IF(OFFSET(CRONOPLE!$F$15,$M234-$A$15,CI$13)=0,10^12,OFFSET(CRONOPLE!$F$15,$M234-$A$15,CI$13)))</f>
        <v>0</v>
      </c>
      <c r="CJ234" s="171">
        <f ca="1">IF(OR($D234&lt;&gt;"Serviço",AND(AUTOEVENTO="Manual",$M234=$A$15)),0,
         IF(OFFSET(CRONOPLE!$F$15,$M234-$A$15,CJ$13)=0,10^12,OFFSET(CRONOPLE!$F$15,$M234-$A$15,CJ$13)))</f>
        <v>0</v>
      </c>
      <c r="CK234" s="171">
        <f ca="1">IF(OR($D234&lt;&gt;"Serviço",AND(AUTOEVENTO="Manual",$M234=$A$15)),0,
         IF(OFFSET(CRONOPLE!$F$15,$M234-$A$15,CK$13)=0,10^12,OFFSET(CRONOPLE!$F$15,$M234-$A$15,CK$13)))</f>
        <v>0</v>
      </c>
      <c r="CL234" s="171">
        <f ca="1">IF(OR($D234&lt;&gt;"Serviço",AND(AUTOEVENTO="Manual",$M234=$A$15)),0,
         IF(OFFSET(CRONOPLE!$F$15,$M234-$A$15,CL$13)=0,10^12,OFFSET(CRONOPLE!$F$15,$M234-$A$15,CL$13)))</f>
        <v>0</v>
      </c>
      <c r="CM234" s="171">
        <f ca="1">IF(OR($D234&lt;&gt;"Serviço",AND(AUTOEVENTO="Manual",$M234=$A$15)),0,
         IF(OFFSET(CRONOPLE!$F$15,$M234-$A$15,CM$13)=0,10^12,OFFSET(CRONOPLE!$F$15,$M234-$A$15,CM$13)))</f>
        <v>0</v>
      </c>
      <c r="CN234" s="171">
        <f ca="1">IF(OR($D234&lt;&gt;"Serviço",AND(AUTOEVENTO="Manual",$M234=$A$15)),0,
         IF(OFFSET(CRONOPLE!$F$15,$M234-$A$15,CN$13)=0,10^12,OFFSET(CRONOPLE!$F$15,$M234-$A$15,CN$13)))</f>
        <v>0</v>
      </c>
      <c r="CO234" s="171">
        <f ca="1">IF(OR($D234&lt;&gt;"Serviço",AND(AUTOEVENTO="Manual",$M234=$A$15)),0,
         IF(OFFSET(CRONOPLE!$F$15,$M234-$A$15,CO$13)=0,10^12,OFFSET(CRONOPLE!$F$15,$M234-$A$15,CO$13)))</f>
        <v>0</v>
      </c>
      <c r="CP234" s="171">
        <f ca="1">IF(OR($D234&lt;&gt;"Serviço",AND(AUTOEVENTO="Manual",$M234=$A$15)),0,
         IF(OFFSET(CRONOPLE!$F$15,$M234-$A$15,CP$13)=0,10^12,OFFSET(CRONOPLE!$F$15,$M234-$A$15,CP$13)))</f>
        <v>0</v>
      </c>
      <c r="CQ234" s="171">
        <f ca="1">IF(OR($D234&lt;&gt;"Serviço",AND(AUTOEVENTO="Manual",$M234=$A$15)),0,
         IF(OFFSET(CRONOPLE!$F$15,$M234-$A$15,CQ$13)=0,10^12,OFFSET(CRONOPLE!$F$15,$M234-$A$15,CQ$13)))</f>
        <v>0</v>
      </c>
      <c r="CR234" s="171">
        <f ca="1">IF(OR($D234&lt;&gt;"Serviço",AND(AUTOEVENTO="Manual",$M234=$A$15)),0,
         IF(OFFSET(CRONOPLE!$F$15,$M234-$A$15,CR$13)=0,10^12,OFFSET(CRONOPLE!$F$15,$M234-$A$15,CR$13)))</f>
        <v>0</v>
      </c>
      <c r="CT234" s="172" cm="1">
        <f t="array" aca="1" ref="CT234" ca="1">IF(OR($D234&lt;&gt;"Serviço",AND(AUTOEVENTO="Manual",$M234=$A$15),$M234&gt;(ROW(PLE.lastrow)-ROW(PLE.firstrow))),0,
           IF(OFFSET(PLE!$G$15,$M234-$A$15,CT$13)="",10^12,OFFSET(PLE!$G$15,$M234-$A$15,CT$13)))</f>
        <v>0</v>
      </c>
      <c r="CU234" s="172" cm="1">
        <f t="array" aca="1" ref="CU234" ca="1">IF(OR($D234&lt;&gt;"Serviço",AND(AUTOEVENTO="Manual",$M234=$A$15),$M234&gt;(ROW(PLE.lastrow)-ROW(PLE.firstrow))),0,
           IF(OFFSET(PLE!$G$15,$M234-$A$15,CU$13)="",10^12,OFFSET(PLE!$G$15,$M234-$A$15,CU$13)))</f>
        <v>0</v>
      </c>
      <c r="CV234" s="172" cm="1">
        <f t="array" aca="1" ref="CV234" ca="1">IF(OR($D234&lt;&gt;"Serviço",AND(AUTOEVENTO="Manual",$M234=$A$15),$M234&gt;(ROW(PLE.lastrow)-ROW(PLE.firstrow))),0,
           IF(OFFSET(PLE!$G$15,$M234-$A$15,CV$13)="",10^12,OFFSET(PLE!$G$15,$M234-$A$15,CV$13)))</f>
        <v>0</v>
      </c>
      <c r="CW234" s="172" cm="1">
        <f t="array" aca="1" ref="CW234" ca="1">IF(OR($D234&lt;&gt;"Serviço",AND(AUTOEVENTO="Manual",$M234=$A$15),$M234&gt;(ROW(PLE.lastrow)-ROW(PLE.firstrow))),0,
           IF(OFFSET(PLE!$G$15,$M234-$A$15,CW$13)="",10^12,OFFSET(PLE!$G$15,$M234-$A$15,CW$13)))</f>
        <v>0</v>
      </c>
      <c r="CX234" s="172" cm="1">
        <f t="array" aca="1" ref="CX234" ca="1">IF(OR($D234&lt;&gt;"Serviço",AND(AUTOEVENTO="Manual",$M234=$A$15),$M234&gt;(ROW(PLE.lastrow)-ROW(PLE.firstrow))),0,
           IF(OFFSET(PLE!$G$15,$M234-$A$15,CX$13)="",10^12,OFFSET(PLE!$G$15,$M234-$A$15,CX$13)))</f>
        <v>0</v>
      </c>
      <c r="CY234" s="172" cm="1">
        <f t="array" aca="1" ref="CY234" ca="1">IF(OR($D234&lt;&gt;"Serviço",AND(AUTOEVENTO="Manual",$M234=$A$15),$M234&gt;(ROW(PLE.lastrow)-ROW(PLE.firstrow))),0,
           IF(OFFSET(PLE!$G$15,$M234-$A$15,CY$13)="",10^12,OFFSET(PLE!$G$15,$M234-$A$15,CY$13)))</f>
        <v>0</v>
      </c>
      <c r="CZ234" s="172" cm="1">
        <f t="array" aca="1" ref="CZ234" ca="1">IF(OR($D234&lt;&gt;"Serviço",AND(AUTOEVENTO="Manual",$M234=$A$15),$M234&gt;(ROW(PLE.lastrow)-ROW(PLE.firstrow))),0,
           IF(OFFSET(PLE!$G$15,$M234-$A$15,CZ$13)="",10^12,OFFSET(PLE!$G$15,$M234-$A$15,CZ$13)))</f>
        <v>0</v>
      </c>
      <c r="DA234" s="172" cm="1">
        <f t="array" aca="1" ref="DA234" ca="1">IF(OR($D234&lt;&gt;"Serviço",AND(AUTOEVENTO="Manual",$M234=$A$15),$M234&gt;(ROW(PLE.lastrow)-ROW(PLE.firstrow))),0,
           IF(OFFSET(PLE!$G$15,$M234-$A$15,DA$13)="",10^12,OFFSET(PLE!$G$15,$M234-$A$15,DA$13)))</f>
        <v>0</v>
      </c>
      <c r="DB234" s="172" cm="1">
        <f t="array" aca="1" ref="DB234" ca="1">IF(OR($D234&lt;&gt;"Serviço",AND(AUTOEVENTO="Manual",$M234=$A$15),$M234&gt;(ROW(PLE.lastrow)-ROW(PLE.firstrow))),0,
           IF(OFFSET(PLE!$G$15,$M234-$A$15,DB$13)="",10^12,OFFSET(PLE!$G$15,$M234-$A$15,DB$13)))</f>
        <v>0</v>
      </c>
      <c r="DC234" s="172" cm="1">
        <f t="array" aca="1" ref="DC234" ca="1">IF(OR($D234&lt;&gt;"Serviço",AND(AUTOEVENTO="Manual",$M234=$A$15),$M234&gt;(ROW(PLE.lastrow)-ROW(PLE.firstrow))),0,
           IF(OFFSET(PLE!$G$15,$M234-$A$15,DC$13)="",10^12,OFFSET(PLE!$G$15,$M234-$A$15,DC$13)))</f>
        <v>0</v>
      </c>
      <c r="DD234" s="172" cm="1">
        <f t="array" aca="1" ref="DD234" ca="1">IF(OR($D234&lt;&gt;"Serviço",AND(AUTOEVENTO="Manual",$M234=$A$15),$M234&gt;(ROW(PLE.lastrow)-ROW(PLE.firstrow))),0,
           IF(OFFSET(PLE!$G$15,$M234-$A$15,DD$13)="",10^12,OFFSET(PLE!$G$15,$M234-$A$15,DD$13)))</f>
        <v>0</v>
      </c>
      <c r="DE234" s="172" cm="1">
        <f t="array" aca="1" ref="DE234" ca="1">IF(OR($D234&lt;&gt;"Serviço",AND(AUTOEVENTO="Manual",$M234=$A$15),$M234&gt;(ROW(PLE.lastrow)-ROW(PLE.firstrow))),0,
           IF(OFFSET(PLE!$G$15,$M234-$A$15,DE$13)="",10^12,OFFSET(PLE!$G$15,$M234-$A$15,DE$13)))</f>
        <v>0</v>
      </c>
      <c r="DF234" s="172" cm="1">
        <f t="array" aca="1" ref="DF234" ca="1">IF(OR($D234&lt;&gt;"Serviço",AND(AUTOEVENTO="Manual",$M234=$A$15),$M234&gt;(ROW(PLE.lastrow)-ROW(PLE.firstrow))),0,
           IF(OFFSET(PLE!$G$15,$M234-$A$15,DF$13)="",10^12,OFFSET(PLE!$G$15,$M234-$A$15,DF$13)))</f>
        <v>0</v>
      </c>
      <c r="DG234" s="172" cm="1">
        <f t="array" aca="1" ref="DG234" ca="1">IF(OR($D234&lt;&gt;"Serviço",AND(AUTOEVENTO="Manual",$M234=$A$15),$M234&gt;(ROW(PLE.lastrow)-ROW(PLE.firstrow))),0,
           IF(OFFSET(PLE!$G$15,$M234-$A$15,DG$13)="",10^12,OFFSET(PLE!$G$15,$M234-$A$15,DG$13)))</f>
        <v>0</v>
      </c>
      <c r="DH234" s="172" cm="1">
        <f t="array" aca="1" ref="DH234" ca="1">IF(OR($D234&lt;&gt;"Serviço",AND(AUTOEVENTO="Manual",$M234=$A$15),$M234&gt;(ROW(PLE.lastrow)-ROW(PLE.firstrow))),0,
           IF(OFFSET(PLE!$G$15,$M234-$A$15,DH$13)="",10^12,OFFSET(PLE!$G$15,$M234-$A$15,DH$13)))</f>
        <v>0</v>
      </c>
      <c r="DI234" s="172" cm="1">
        <f t="array" aca="1" ref="DI234" ca="1">IF(OR($D234&lt;&gt;"Serviço",AND(AUTOEVENTO="Manual",$M234=$A$15),$M234&gt;(ROW(PLE.lastrow)-ROW(PLE.firstrow))),0,
           IF(OFFSET(PLE!$G$15,$M234-$A$15,DI$13)="",10^12,OFFSET(PLE!$G$15,$M234-$A$15,DI$13)))</f>
        <v>0</v>
      </c>
      <c r="DJ234" s="172" cm="1">
        <f t="array" aca="1" ref="DJ234" ca="1">IF(OR($D234&lt;&gt;"Serviço",AND(AUTOEVENTO="Manual",$M234=$A$15),$M234&gt;(ROW(PLE.lastrow)-ROW(PLE.firstrow))),0,
           IF(OFFSET(PLE!$G$15,$M234-$A$15,DJ$13)="",10^12,OFFSET(PLE!$G$15,$M234-$A$15,DJ$13)))</f>
        <v>0</v>
      </c>
      <c r="DK234" s="172" cm="1">
        <f t="array" aca="1" ref="DK234" ca="1">IF(OR($D234&lt;&gt;"Serviço",AND(AUTOEVENTO="Manual",$M234=$A$15),$M234&gt;(ROW(PLE.lastrow)-ROW(PLE.firstrow))),0,
           IF(OFFSET(PLE!$G$15,$M234-$A$15,DK$13)="",10^12,OFFSET(PLE!$G$15,$M234-$A$15,DK$13)))</f>
        <v>0</v>
      </c>
      <c r="DL234" s="172" cm="1">
        <f t="array" aca="1" ref="DL234" ca="1">IF(OR($D234&lt;&gt;"Serviço",AND(AUTOEVENTO="Manual",$M234=$A$15),$M234&gt;(ROW(PLE.lastrow)-ROW(PLE.firstrow))),0,
           IF(OFFSET(PLE!$G$15,$M234-$A$15,DL$13)="",10^12,OFFSET(PLE!$G$15,$M234-$A$15,DL$13)))</f>
        <v>0</v>
      </c>
      <c r="DM234" s="172" cm="1">
        <f t="array" aca="1" ref="DM234" ca="1">IF(OR($D234&lt;&gt;"Serviço",AND(AUTOEVENTO="Manual",$M234=$A$15),$M234&gt;(ROW(PLE.lastrow)-ROW(PLE.firstrow))),0,
           IF(OFFSET(PLE!$G$15,$M234-$A$15,DM$13)="",10^12,OFFSET(PLE!$G$15,$M234-$A$15,DM$13)))</f>
        <v>0</v>
      </c>
      <c r="DN234" s="172" cm="1">
        <f t="array" aca="1" ref="DN234" ca="1">IF(OR($D234&lt;&gt;"Serviço",AND(AUTOEVENTO="Manual",$M234=$A$15),$M234&gt;(ROW(PLE.lastrow)-ROW(PLE.firstrow))),0,
           IF(OFFSET(PLE!$G$15,$M234-$A$15,DN$13)="",10^12,OFFSET(PLE!$G$15,$M234-$A$15,DN$13)))</f>
        <v>0</v>
      </c>
      <c r="DO234" s="172" cm="1">
        <f t="array" aca="1" ref="DO234" ca="1">IF(OR($D234&lt;&gt;"Serviço",AND(AUTOEVENTO="Manual",$M234=$A$15),$M234&gt;(ROW(PLE.lastrow)-ROW(PLE.firstrow))),0,
           IF(OFFSET(PLE!$G$15,$M234-$A$15,DO$13)="",10^12,OFFSET(PLE!$G$15,$M234-$A$15,DO$13)))</f>
        <v>0</v>
      </c>
      <c r="DP234" s="172" cm="1">
        <f t="array" aca="1" ref="DP234" ca="1">IF(OR($D234&lt;&gt;"Serviço",AND(AUTOEVENTO="Manual",$M234=$A$15),$M234&gt;(ROW(PLE.lastrow)-ROW(PLE.firstrow))),0,
           IF(OFFSET(PLE!$G$15,$M234-$A$15,DP$13)="",10^12,OFFSET(PLE!$G$15,$M234-$A$15,DP$13)))</f>
        <v>0</v>
      </c>
      <c r="DQ234" s="172" cm="1">
        <f t="array" aca="1" ref="DQ234" ca="1">IF(OR($D234&lt;&gt;"Serviço",AND(AUTOEVENTO="Manual",$M234=$A$15),$M234&gt;(ROW(PLE.lastrow)-ROW(PLE.firstrow))),0,
           IF(OFFSET(PLE!$G$15,$M234-$A$15,DQ$13)="",10^12,OFFSET(PLE!$G$15,$M234-$A$15,DQ$13)))</f>
        <v>0</v>
      </c>
      <c r="DR234" s="172" cm="1">
        <f t="array" aca="1" ref="DR234" ca="1">IF(OR($D234&lt;&gt;"Serviço",AND(AUTOEVENTO="Manual",$M234=$A$15),$M234&gt;(ROW(PLE.lastrow)-ROW(PLE.firstrow))),0,
           IF(OFFSET(PLE!$G$15,$M234-$A$15,DR$13)="",10^12,OFFSET(PLE!$G$15,$M234-$A$15,DR$13)))</f>
        <v>0</v>
      </c>
      <c r="DS234" s="172" cm="1">
        <f t="array" aca="1" ref="DS234" ca="1">IF(OR($D234&lt;&gt;"Serviço",AND(AUTOEVENTO="Manual",$M234=$A$15),$M234&gt;(ROW(PLE.lastrow)-ROW(PLE.firstrow))),0,
           IF(OFFSET(PLE!$G$15,$M234-$A$15,DS$13)="",10^12,OFFSET(PLE!$G$15,$M234-$A$15,DS$13)))</f>
        <v>0</v>
      </c>
    </row>
    <row r="235" spans="1:123" ht="25.5" x14ac:dyDescent="0.2">
      <c r="A235" s="7">
        <f t="shared" ca="1" si="19"/>
        <v>10</v>
      </c>
      <c r="B235" s="7" t="str">
        <f ca="1">OFFSET(ORÇAMENTO!C$15,$L235,0)</f>
        <v>S</v>
      </c>
      <c r="C235" s="7" t="str">
        <f ca="1">OFFSET(ORÇAMENTO!L$15,$L235,0)</f>
        <v/>
      </c>
      <c r="D235" s="116" t="str">
        <f ca="1">OFFSET(ORÇAMENTO!N$15,$L235,0)</f>
        <v>Serviço</v>
      </c>
      <c r="E235" s="117" t="str">
        <f ca="1">OFFSET(ORÇAMENTO!O$15,$L235,0)</f>
        <v>-</v>
      </c>
      <c r="F235" s="163" t="str">
        <f ca="1">OFFSET(ORÇAMENTO!R$15,$L235,0)</f>
        <v>(Código não identificado nas referências)</v>
      </c>
      <c r="G235" s="164" t="str">
        <f ca="1">IF($D235&lt;&gt;"Serviço","",OFFSET(ORÇAMENTO!S$15,$L235,0))</f>
        <v>-</v>
      </c>
      <c r="H235" s="122" cm="1">
        <f t="array" aca="1" ref="H235" ca="1">IF($D235&lt;&gt;"Serviço",0,IF(ACOMPANHAMENTO="BM",ROUND(OFFSET(ORÇAMENTO!AJ$15,$L235,0),15-13*ORÇAMENTO!$AF$7),IF(IFERROR(CÁLCULO.FrentesPreenchidas,0)=0,0,SUM(ROUND(OFFSET($P235,0,1,1,CÁLCULO.FrentesPreenchidas),15-13*ORÇAMENTO!$AF$7)))))</f>
        <v>20</v>
      </c>
      <c r="I235" s="468" t="s">
        <v>1235</v>
      </c>
      <c r="J235" s="651" t="str" cm="1">
        <f t="array" aca="1" ref="J235" ca="1">IF(OR(B235&lt;&gt;"S",CÁLCULO.FrentesPreenchidas=0),"",IF(AND(ACOMPANHAMENTO="PLE",AUTOEVENTO="Manual",OR(H235&gt;0,ORÇAMENTO!AC235="QUANT."),OR(K235="",M235=0,N235="")),"►E",IF(AND(ACOMPANHAMENTO="PLE",ORÇAMENTO!AC235="QUANT."),"►Q",IF(AND(ACOMPANHAMENTO="PLE",H235&lt;&gt;SUMPRODUCT(($Q$1:$AQ$1=1)*ROUND(Q235:AQ235,15))),"►S",IF(AND(COUNTIF($P$11:$AQ$11,"▼")=0,H235&gt;0,I235=""),"◄M","")))))</f>
        <v/>
      </c>
      <c r="K235" s="652" t="s">
        <v>1258</v>
      </c>
      <c r="L235" s="165">
        <f t="shared" ca="1" si="20"/>
        <v>220</v>
      </c>
      <c r="M235" s="166">
        <f ca="1">IF($D235&lt;&gt;"Serviço","",
          IF(AUTOEVENTO="manual",$A235,
                IF(ISERROR(MATCH($A235,$A$15:OFFSET($A235,-1,0),0)),MAX($M$15:OFFSET(M235,-1,0))+1,
                      INDEX($M$15:OFFSET(M235,-1,0),MATCH($A235,$A$15:OFFSET($A235,-1,0),0)))))</f>
        <v>10</v>
      </c>
      <c r="N235" s="167" t="str">
        <f ca="1">IF($D235&lt;&gt;"Serviço","",
         IF(AUTOEVENTO="Manual",
                IF($A235=0,"&lt;-- defina o número do agrupador",
                       OFFSET(EVENTOS!$D$15,$A235-$A$15,0)),
                OFFSET($F$15,$A235,0)))</f>
        <v>COMPLEMENTAÇÕES</v>
      </c>
      <c r="O235" s="168"/>
      <c r="Q235" s="168">
        <v>1</v>
      </c>
      <c r="R235" s="169">
        <v>1</v>
      </c>
      <c r="S235" s="169">
        <v>1</v>
      </c>
      <c r="T235" s="169">
        <v>1</v>
      </c>
      <c r="U235" s="169">
        <v>1</v>
      </c>
      <c r="V235" s="169">
        <v>1</v>
      </c>
      <c r="W235" s="169">
        <v>1</v>
      </c>
      <c r="X235" s="169">
        <v>1</v>
      </c>
      <c r="Y235" s="169">
        <v>1</v>
      </c>
      <c r="Z235" s="170">
        <v>1</v>
      </c>
      <c r="AA235" s="169">
        <v>1</v>
      </c>
      <c r="AB235" s="169">
        <v>1</v>
      </c>
      <c r="AC235" s="169">
        <v>1</v>
      </c>
      <c r="AD235" s="169">
        <v>1</v>
      </c>
      <c r="AE235" s="169">
        <v>1</v>
      </c>
      <c r="AF235" s="169">
        <v>1</v>
      </c>
      <c r="AG235" s="169">
        <v>1</v>
      </c>
      <c r="AH235" s="170">
        <v>1</v>
      </c>
      <c r="AI235" s="169">
        <v>1</v>
      </c>
      <c r="AJ235" s="169">
        <v>1</v>
      </c>
      <c r="AK235" s="169"/>
      <c r="AL235" s="169"/>
      <c r="AM235" s="169"/>
      <c r="AN235" s="169"/>
      <c r="AO235" s="169"/>
      <c r="AP235" s="170"/>
      <c r="AR235" s="453">
        <f ca="1">IF(AND($D235="Serviço",AR$12&lt;&gt;0,$H235&gt;0,OR(AUTOEVENTO&lt;&gt;"manual",$M235&lt;&gt;$A$15)),
        IF(Import.TipoArredondamento&lt;&gt;"TransfereGOV",
              ROUND(OFFSET($P235,0,AR$13),15-13*ORÇAMENTO!$AF$7)/$H235*OFFSET(ORÇAMENTO!$X$15,ROW(AR235)-ROW(AR$15),0),
              ROUND(ROUND(OFFSET($P235,0,AR$13),15-13*ORÇAMENTO!$AF$7)*OFFSET(ORÇAMENTO!$W$15,ROW(AR235)-ROW(AR$15),0),15-13*ORÇAMENTO!$AF$11)),
         0)</f>
        <v>0</v>
      </c>
      <c r="AS235" s="453">
        <f ca="1">IF(AND($D235="Serviço",AS$12&lt;&gt;0,$H235&gt;0,OR(AUTOEVENTO&lt;&gt;"manual",$M235&lt;&gt;$A$15)),
        IF(Import.TipoArredondamento&lt;&gt;"TransfereGOV",
              ROUND(OFFSET($P235,0,AS$13),15-13*ORÇAMENTO!$AF$7)/$H235*OFFSET(ORÇAMENTO!$X$15,ROW(AS235)-ROW(AS$15),0),
              ROUND(ROUND(OFFSET($P235,0,AS$13),15-13*ORÇAMENTO!$AF$7)*OFFSET(ORÇAMENTO!$W$15,ROW(AS235)-ROW(AS$15),0),15-13*ORÇAMENTO!$AF$11)),
         0)</f>
        <v>0</v>
      </c>
      <c r="AT235" s="453">
        <f ca="1">IF(AND($D235="Serviço",AT$12&lt;&gt;0,$H235&gt;0,OR(AUTOEVENTO&lt;&gt;"manual",$M235&lt;&gt;$A$15)),
        IF(Import.TipoArredondamento&lt;&gt;"TransfereGOV",
              ROUND(OFFSET($P235,0,AT$13),15-13*ORÇAMENTO!$AF$7)/$H235*OFFSET(ORÇAMENTO!$X$15,ROW(AT235)-ROW(AT$15),0),
              ROUND(ROUND(OFFSET($P235,0,AT$13),15-13*ORÇAMENTO!$AF$7)*OFFSET(ORÇAMENTO!$W$15,ROW(AT235)-ROW(AT$15),0),15-13*ORÇAMENTO!$AF$11)),
         0)</f>
        <v>0</v>
      </c>
      <c r="AU235" s="453">
        <f ca="1">IF(AND($D235="Serviço",AU$12&lt;&gt;0,$H235&gt;0,OR(AUTOEVENTO&lt;&gt;"manual",$M235&lt;&gt;$A$15)),
        IF(Import.TipoArredondamento&lt;&gt;"TransfereGOV",
              ROUND(OFFSET($P235,0,AU$13),15-13*ORÇAMENTO!$AF$7)/$H235*OFFSET(ORÇAMENTO!$X$15,ROW(AU235)-ROW(AU$15),0),
              ROUND(ROUND(OFFSET($P235,0,AU$13),15-13*ORÇAMENTO!$AF$7)*OFFSET(ORÇAMENTO!$W$15,ROW(AU235)-ROW(AU$15),0),15-13*ORÇAMENTO!$AF$11)),
         0)</f>
        <v>0</v>
      </c>
      <c r="AV235" s="453">
        <f ca="1">IF(AND($D235="Serviço",AV$12&lt;&gt;0,$H235&gt;0,OR(AUTOEVENTO&lt;&gt;"manual",$M235&lt;&gt;$A$15)),
        IF(Import.TipoArredondamento&lt;&gt;"TransfereGOV",
              ROUND(OFFSET($P235,0,AV$13),15-13*ORÇAMENTO!$AF$7)/$H235*OFFSET(ORÇAMENTO!$X$15,ROW(AV235)-ROW(AV$15),0),
              ROUND(ROUND(OFFSET($P235,0,AV$13),15-13*ORÇAMENTO!$AF$7)*OFFSET(ORÇAMENTO!$W$15,ROW(AV235)-ROW(AV$15),0),15-13*ORÇAMENTO!$AF$11)),
         0)</f>
        <v>0</v>
      </c>
      <c r="AW235" s="453">
        <f ca="1">IF(AND($D235="Serviço",AW$12&lt;&gt;0,$H235&gt;0,OR(AUTOEVENTO&lt;&gt;"manual",$M235&lt;&gt;$A$15)),
        IF(Import.TipoArredondamento&lt;&gt;"TransfereGOV",
              ROUND(OFFSET($P235,0,AW$13),15-13*ORÇAMENTO!$AF$7)/$H235*OFFSET(ORÇAMENTO!$X$15,ROW(AW235)-ROW(AW$15),0),
              ROUND(ROUND(OFFSET($P235,0,AW$13),15-13*ORÇAMENTO!$AF$7)*OFFSET(ORÇAMENTO!$W$15,ROW(AW235)-ROW(AW$15),0),15-13*ORÇAMENTO!$AF$11)),
         0)</f>
        <v>0</v>
      </c>
      <c r="AX235" s="453">
        <f ca="1">IF(AND($D235="Serviço",AX$12&lt;&gt;0,$H235&gt;0,OR(AUTOEVENTO&lt;&gt;"manual",$M235&lt;&gt;$A$15)),
        IF(Import.TipoArredondamento&lt;&gt;"TransfereGOV",
              ROUND(OFFSET($P235,0,AX$13),15-13*ORÇAMENTO!$AF$7)/$H235*OFFSET(ORÇAMENTO!$X$15,ROW(AX235)-ROW(AX$15),0),
              ROUND(ROUND(OFFSET($P235,0,AX$13),15-13*ORÇAMENTO!$AF$7)*OFFSET(ORÇAMENTO!$W$15,ROW(AX235)-ROW(AX$15),0),15-13*ORÇAMENTO!$AF$11)),
         0)</f>
        <v>0</v>
      </c>
      <c r="AY235" s="453">
        <f ca="1">IF(AND($D235="Serviço",AY$12&lt;&gt;0,$H235&gt;0,OR(AUTOEVENTO&lt;&gt;"manual",$M235&lt;&gt;$A$15)),
        IF(Import.TipoArredondamento&lt;&gt;"TransfereGOV",
              ROUND(OFFSET($P235,0,AY$13),15-13*ORÇAMENTO!$AF$7)/$H235*OFFSET(ORÇAMENTO!$X$15,ROW(AY235)-ROW(AY$15),0),
              ROUND(ROUND(OFFSET($P235,0,AY$13),15-13*ORÇAMENTO!$AF$7)*OFFSET(ORÇAMENTO!$W$15,ROW(AY235)-ROW(AY$15),0),15-13*ORÇAMENTO!$AF$11)),
         0)</f>
        <v>0</v>
      </c>
      <c r="AZ235" s="453">
        <f ca="1">IF(AND($D235="Serviço",AZ$12&lt;&gt;0,$H235&gt;0,OR(AUTOEVENTO&lt;&gt;"manual",$M235&lt;&gt;$A$15)),
        IF(Import.TipoArredondamento&lt;&gt;"TransfereGOV",
              ROUND(OFFSET($P235,0,AZ$13),15-13*ORÇAMENTO!$AF$7)/$H235*OFFSET(ORÇAMENTO!$X$15,ROW(AZ235)-ROW(AZ$15),0),
              ROUND(ROUND(OFFSET($P235,0,AZ$13),15-13*ORÇAMENTO!$AF$7)*OFFSET(ORÇAMENTO!$W$15,ROW(AZ235)-ROW(AZ$15),0),15-13*ORÇAMENTO!$AF$11)),
         0)</f>
        <v>0</v>
      </c>
      <c r="BA235" s="453">
        <f ca="1">IF(AND($D235="Serviço",BA$12&lt;&gt;0,$H235&gt;0,OR(AUTOEVENTO&lt;&gt;"manual",$M235&lt;&gt;$A$15)),
        IF(Import.TipoArredondamento&lt;&gt;"TransfereGOV",
              ROUND(OFFSET($P235,0,BA$13),15-13*ORÇAMENTO!$AF$7)/$H235*OFFSET(ORÇAMENTO!$X$15,ROW(BA235)-ROW(BA$15),0),
              ROUND(ROUND(OFFSET($P235,0,BA$13),15-13*ORÇAMENTO!$AF$7)*OFFSET(ORÇAMENTO!$W$15,ROW(BA235)-ROW(BA$15),0),15-13*ORÇAMENTO!$AF$11)),
         0)</f>
        <v>0</v>
      </c>
      <c r="BB235" s="453">
        <f ca="1">IF(AND($D235="Serviço",BB$12&lt;&gt;0,$H235&gt;0,OR(AUTOEVENTO&lt;&gt;"manual",$M235&lt;&gt;$A$15)),
        IF(Import.TipoArredondamento&lt;&gt;"TransfereGOV",
              ROUND(OFFSET($P235,0,BB$13),15-13*ORÇAMENTO!$AF$7)/$H235*OFFSET(ORÇAMENTO!$X$15,ROW(BB235)-ROW(BB$15),0),
              ROUND(ROUND(OFFSET($P235,0,BB$13),15-13*ORÇAMENTO!$AF$7)*OFFSET(ORÇAMENTO!$W$15,ROW(BB235)-ROW(BB$15),0),15-13*ORÇAMENTO!$AF$11)),
         0)</f>
        <v>0</v>
      </c>
      <c r="BC235" s="453">
        <f ca="1">IF(AND($D235="Serviço",BC$12&lt;&gt;0,$H235&gt;0,OR(AUTOEVENTO&lt;&gt;"manual",$M235&lt;&gt;$A$15)),
        IF(Import.TipoArredondamento&lt;&gt;"TransfereGOV",
              ROUND(OFFSET($P235,0,BC$13),15-13*ORÇAMENTO!$AF$7)/$H235*OFFSET(ORÇAMENTO!$X$15,ROW(BC235)-ROW(BC$15),0),
              ROUND(ROUND(OFFSET($P235,0,BC$13),15-13*ORÇAMENTO!$AF$7)*OFFSET(ORÇAMENTO!$W$15,ROW(BC235)-ROW(BC$15),0),15-13*ORÇAMENTO!$AF$11)),
         0)</f>
        <v>0</v>
      </c>
      <c r="BD235" s="453">
        <f ca="1">IF(AND($D235="Serviço",BD$12&lt;&gt;0,$H235&gt;0,OR(AUTOEVENTO&lt;&gt;"manual",$M235&lt;&gt;$A$15)),
        IF(Import.TipoArredondamento&lt;&gt;"TransfereGOV",
              ROUND(OFFSET($P235,0,BD$13),15-13*ORÇAMENTO!$AF$7)/$H235*OFFSET(ORÇAMENTO!$X$15,ROW(BD235)-ROW(BD$15),0),
              ROUND(ROUND(OFFSET($P235,0,BD$13),15-13*ORÇAMENTO!$AF$7)*OFFSET(ORÇAMENTO!$W$15,ROW(BD235)-ROW(BD$15),0),15-13*ORÇAMENTO!$AF$11)),
         0)</f>
        <v>0</v>
      </c>
      <c r="BE235" s="453">
        <f ca="1">IF(AND($D235="Serviço",BE$12&lt;&gt;0,$H235&gt;0,OR(AUTOEVENTO&lt;&gt;"manual",$M235&lt;&gt;$A$15)),
        IF(Import.TipoArredondamento&lt;&gt;"TransfereGOV",
              ROUND(OFFSET($P235,0,BE$13),15-13*ORÇAMENTO!$AF$7)/$H235*OFFSET(ORÇAMENTO!$X$15,ROW(BE235)-ROW(BE$15),0),
              ROUND(ROUND(OFFSET($P235,0,BE$13),15-13*ORÇAMENTO!$AF$7)*OFFSET(ORÇAMENTO!$W$15,ROW(BE235)-ROW(BE$15),0),15-13*ORÇAMENTO!$AF$11)),
         0)</f>
        <v>0</v>
      </c>
      <c r="BF235" s="453">
        <f ca="1">IF(AND($D235="Serviço",BF$12&lt;&gt;0,$H235&gt;0,OR(AUTOEVENTO&lt;&gt;"manual",$M235&lt;&gt;$A$15)),
        IF(Import.TipoArredondamento&lt;&gt;"TransfereGOV",
              ROUND(OFFSET($P235,0,BF$13),15-13*ORÇAMENTO!$AF$7)/$H235*OFFSET(ORÇAMENTO!$X$15,ROW(BF235)-ROW(BF$15),0),
              ROUND(ROUND(OFFSET($P235,0,BF$13),15-13*ORÇAMENTO!$AF$7)*OFFSET(ORÇAMENTO!$W$15,ROW(BF235)-ROW(BF$15),0),15-13*ORÇAMENTO!$AF$11)),
         0)</f>
        <v>0</v>
      </c>
      <c r="BG235" s="453">
        <f ca="1">IF(AND($D235="Serviço",BG$12&lt;&gt;0,$H235&gt;0,OR(AUTOEVENTO&lt;&gt;"manual",$M235&lt;&gt;$A$15)),
        IF(Import.TipoArredondamento&lt;&gt;"TransfereGOV",
              ROUND(OFFSET($P235,0,BG$13),15-13*ORÇAMENTO!$AF$7)/$H235*OFFSET(ORÇAMENTO!$X$15,ROW(BG235)-ROW(BG$15),0),
              ROUND(ROUND(OFFSET($P235,0,BG$13),15-13*ORÇAMENTO!$AF$7)*OFFSET(ORÇAMENTO!$W$15,ROW(BG235)-ROW(BG$15),0),15-13*ORÇAMENTO!$AF$11)),
         0)</f>
        <v>0</v>
      </c>
      <c r="BH235" s="453">
        <f ca="1">IF(AND($D235="Serviço",BH$12&lt;&gt;0,$H235&gt;0,OR(AUTOEVENTO&lt;&gt;"manual",$M235&lt;&gt;$A$15)),
        IF(Import.TipoArredondamento&lt;&gt;"TransfereGOV",
              ROUND(OFFSET($P235,0,BH$13),15-13*ORÇAMENTO!$AF$7)/$H235*OFFSET(ORÇAMENTO!$X$15,ROW(BH235)-ROW(BH$15),0),
              ROUND(ROUND(OFFSET($P235,0,BH$13),15-13*ORÇAMENTO!$AF$7)*OFFSET(ORÇAMENTO!$W$15,ROW(BH235)-ROW(BH$15),0),15-13*ORÇAMENTO!$AF$11)),
         0)</f>
        <v>0</v>
      </c>
      <c r="BI235" s="453">
        <f ca="1">IF(AND($D235="Serviço",BI$12&lt;&gt;0,$H235&gt;0,OR(AUTOEVENTO&lt;&gt;"manual",$M235&lt;&gt;$A$15)),
        IF(Import.TipoArredondamento&lt;&gt;"TransfereGOV",
              ROUND(OFFSET($P235,0,BI$13),15-13*ORÇAMENTO!$AF$7)/$H235*OFFSET(ORÇAMENTO!$X$15,ROW(BI235)-ROW(BI$15),0),
              ROUND(ROUND(OFFSET($P235,0,BI$13),15-13*ORÇAMENTO!$AF$7)*OFFSET(ORÇAMENTO!$W$15,ROW(BI235)-ROW(BI$15),0),15-13*ORÇAMENTO!$AF$11)),
         0)</f>
        <v>0</v>
      </c>
      <c r="BJ235" s="453">
        <f ca="1">IF(AND($D235="Serviço",BJ$12&lt;&gt;0,$H235&gt;0,OR(AUTOEVENTO&lt;&gt;"manual",$M235&lt;&gt;$A$15)),
        IF(Import.TipoArredondamento&lt;&gt;"TransfereGOV",
              ROUND(OFFSET($P235,0,BJ$13),15-13*ORÇAMENTO!$AF$7)/$H235*OFFSET(ORÇAMENTO!$X$15,ROW(BJ235)-ROW(BJ$15),0),
              ROUND(ROUND(OFFSET($P235,0,BJ$13),15-13*ORÇAMENTO!$AF$7)*OFFSET(ORÇAMENTO!$W$15,ROW(BJ235)-ROW(BJ$15),0),15-13*ORÇAMENTO!$AF$11)),
         0)</f>
        <v>0</v>
      </c>
      <c r="BK235" s="453">
        <f ca="1">IF(AND($D235="Serviço",BK$12&lt;&gt;0,$H235&gt;0,OR(AUTOEVENTO&lt;&gt;"manual",$M235&lt;&gt;$A$15)),
        IF(Import.TipoArredondamento&lt;&gt;"TransfereGOV",
              ROUND(OFFSET($P235,0,BK$13),15-13*ORÇAMENTO!$AF$7)/$H235*OFFSET(ORÇAMENTO!$X$15,ROW(BK235)-ROW(BK$15),0),
              ROUND(ROUND(OFFSET($P235,0,BK$13),15-13*ORÇAMENTO!$AF$7)*OFFSET(ORÇAMENTO!$W$15,ROW(BK235)-ROW(BK$15),0),15-13*ORÇAMENTO!$AF$11)),
         0)</f>
        <v>0</v>
      </c>
      <c r="BL235" s="453">
        <f ca="1">IF(AND($D235="Serviço",BL$12&lt;&gt;0,$H235&gt;0,OR(AUTOEVENTO&lt;&gt;"manual",$M235&lt;&gt;$A$15)),
        IF(Import.TipoArredondamento&lt;&gt;"TransfereGOV",
              ROUND(OFFSET($P235,0,BL$13),15-13*ORÇAMENTO!$AF$7)/$H235*OFFSET(ORÇAMENTO!$X$15,ROW(BL235)-ROW(BL$15),0),
              ROUND(ROUND(OFFSET($P235,0,BL$13),15-13*ORÇAMENTO!$AF$7)*OFFSET(ORÇAMENTO!$W$15,ROW(BL235)-ROW(BL$15),0),15-13*ORÇAMENTO!$AF$11)),
         0)</f>
        <v>0</v>
      </c>
      <c r="BM235" s="453">
        <f ca="1">IF(AND($D235="Serviço",BM$12&lt;&gt;0,$H235&gt;0,OR(AUTOEVENTO&lt;&gt;"manual",$M235&lt;&gt;$A$15)),
        IF(Import.TipoArredondamento&lt;&gt;"TransfereGOV",
              ROUND(OFFSET($P235,0,BM$13),15-13*ORÇAMENTO!$AF$7)/$H235*OFFSET(ORÇAMENTO!$X$15,ROW(BM235)-ROW(BM$15),0),
              ROUND(ROUND(OFFSET($P235,0,BM$13),15-13*ORÇAMENTO!$AF$7)*OFFSET(ORÇAMENTO!$W$15,ROW(BM235)-ROW(BM$15),0),15-13*ORÇAMENTO!$AF$11)),
         0)</f>
        <v>0</v>
      </c>
      <c r="BN235" s="453">
        <f ca="1">IF(AND($D235="Serviço",BN$12&lt;&gt;0,$H235&gt;0,OR(AUTOEVENTO&lt;&gt;"manual",$M235&lt;&gt;$A$15)),
        IF(Import.TipoArredondamento&lt;&gt;"TransfereGOV",
              ROUND(OFFSET($P235,0,BN$13),15-13*ORÇAMENTO!$AF$7)/$H235*OFFSET(ORÇAMENTO!$X$15,ROW(BN235)-ROW(BN$15),0),
              ROUND(ROUND(OFFSET($P235,0,BN$13),15-13*ORÇAMENTO!$AF$7)*OFFSET(ORÇAMENTO!$W$15,ROW(BN235)-ROW(BN$15),0),15-13*ORÇAMENTO!$AF$11)),
         0)</f>
        <v>0</v>
      </c>
      <c r="BO235" s="453">
        <f ca="1">IF(AND($D235="Serviço",BO$12&lt;&gt;0,$H235&gt;0,OR(AUTOEVENTO&lt;&gt;"manual",$M235&lt;&gt;$A$15)),
        IF(Import.TipoArredondamento&lt;&gt;"TransfereGOV",
              ROUND(OFFSET($P235,0,BO$13),15-13*ORÇAMENTO!$AF$7)/$H235*OFFSET(ORÇAMENTO!$X$15,ROW(BO235)-ROW(BO$15),0),
              ROUND(ROUND(OFFSET($P235,0,BO$13),15-13*ORÇAMENTO!$AF$7)*OFFSET(ORÇAMENTO!$W$15,ROW(BO235)-ROW(BO$15),0),15-13*ORÇAMENTO!$AF$11)),
         0)</f>
        <v>0</v>
      </c>
      <c r="BP235" s="453">
        <f ca="1">IF(AND($D235="Serviço",BP$12&lt;&gt;0,$H235&gt;0,OR(AUTOEVENTO&lt;&gt;"manual",$M235&lt;&gt;$A$15)),
        IF(Import.TipoArredondamento&lt;&gt;"TransfereGOV",
              ROUND(OFFSET($P235,0,BP$13),15-13*ORÇAMENTO!$AF$7)/$H235*OFFSET(ORÇAMENTO!$X$15,ROW(BP235)-ROW(BP$15),0),
              ROUND(ROUND(OFFSET($P235,0,BP$13),15-13*ORÇAMENTO!$AF$7)*OFFSET(ORÇAMENTO!$W$15,ROW(BP235)-ROW(BP$15),0),15-13*ORÇAMENTO!$AF$11)),
         0)</f>
        <v>0</v>
      </c>
      <c r="BQ235" s="453">
        <f ca="1">IF(AND($D235="Serviço",BQ$12&lt;&gt;0,$H235&gt;0,OR(AUTOEVENTO&lt;&gt;"manual",$M235&lt;&gt;$A$15)),
        IF(Import.TipoArredondamento&lt;&gt;"TransfereGOV",
              ROUND(OFFSET($P235,0,BQ$13),15-13*ORÇAMENTO!$AF$7)/$H235*OFFSET(ORÇAMENTO!$X$15,ROW(BQ235)-ROW(BQ$15),0),
              ROUND(ROUND(OFFSET($P235,0,BQ$13),15-13*ORÇAMENTO!$AF$7)*OFFSET(ORÇAMENTO!$W$15,ROW(BQ235)-ROW(BQ$15),0),15-13*ORÇAMENTO!$AF$11)),
         0)</f>
        <v>0</v>
      </c>
      <c r="BS235" s="171">
        <f ca="1">IF(OR($D235&lt;&gt;"Serviço",AND(AUTOEVENTO="Manual",$M235=$A$15)),0,
         IF(OFFSET(CRONOPLE!$F$15,$M235-$A$15,BS$13)=0,10^12,OFFSET(CRONOPLE!$F$15,$M235-$A$15,BS$13)))</f>
        <v>1</v>
      </c>
      <c r="BT235" s="171">
        <f ca="1">IF(OR($D235&lt;&gt;"Serviço",AND(AUTOEVENTO="Manual",$M235=$A$15)),0,
         IF(OFFSET(CRONOPLE!$F$15,$M235-$A$15,BT$13)=0,10^12,OFFSET(CRONOPLE!$F$15,$M235-$A$15,BT$13)))</f>
        <v>2</v>
      </c>
      <c r="BU235" s="171">
        <f ca="1">IF(OR($D235&lt;&gt;"Serviço",AND(AUTOEVENTO="Manual",$M235=$A$15)),0,
         IF(OFFSET(CRONOPLE!$F$15,$M235-$A$15,BU$13)=0,10^12,OFFSET(CRONOPLE!$F$15,$M235-$A$15,BU$13)))</f>
        <v>3</v>
      </c>
      <c r="BV235" s="171">
        <f ca="1">IF(OR($D235&lt;&gt;"Serviço",AND(AUTOEVENTO="Manual",$M235=$A$15)),0,
         IF(OFFSET(CRONOPLE!$F$15,$M235-$A$15,BV$13)=0,10^12,OFFSET(CRONOPLE!$F$15,$M235-$A$15,BV$13)))</f>
        <v>4</v>
      </c>
      <c r="BW235" s="171">
        <f ca="1">IF(OR($D235&lt;&gt;"Serviço",AND(AUTOEVENTO="Manual",$M235=$A$15)),0,
         IF(OFFSET(CRONOPLE!$F$15,$M235-$A$15,BW$13)=0,10^12,OFFSET(CRONOPLE!$F$15,$M235-$A$15,BW$13)))</f>
        <v>5</v>
      </c>
      <c r="BX235" s="171">
        <f ca="1">IF(OR($D235&lt;&gt;"Serviço",AND(AUTOEVENTO="Manual",$M235=$A$15)),0,
         IF(OFFSET(CRONOPLE!$F$15,$M235-$A$15,BX$13)=0,10^12,OFFSET(CRONOPLE!$F$15,$M235-$A$15,BX$13)))</f>
        <v>6</v>
      </c>
      <c r="BY235" s="171">
        <f ca="1">IF(OR($D235&lt;&gt;"Serviço",AND(AUTOEVENTO="Manual",$M235=$A$15)),0,
         IF(OFFSET(CRONOPLE!$F$15,$M235-$A$15,BY$13)=0,10^12,OFFSET(CRONOPLE!$F$15,$M235-$A$15,BY$13)))</f>
        <v>7</v>
      </c>
      <c r="BZ235" s="171">
        <f ca="1">IF(OR($D235&lt;&gt;"Serviço",AND(AUTOEVENTO="Manual",$M235=$A$15)),0,
         IF(OFFSET(CRONOPLE!$F$15,$M235-$A$15,BZ$13)=0,10^12,OFFSET(CRONOPLE!$F$15,$M235-$A$15,BZ$13)))</f>
        <v>8</v>
      </c>
      <c r="CA235" s="171">
        <f ca="1">IF(OR($D235&lt;&gt;"Serviço",AND(AUTOEVENTO="Manual",$M235=$A$15)),0,
         IF(OFFSET(CRONOPLE!$F$15,$M235-$A$15,CA$13)=0,10^12,OFFSET(CRONOPLE!$F$15,$M235-$A$15,CA$13)))</f>
        <v>9</v>
      </c>
      <c r="CB235" s="171">
        <f ca="1">IF(OR($D235&lt;&gt;"Serviço",AND(AUTOEVENTO="Manual",$M235=$A$15)),0,
         IF(OFFSET(CRONOPLE!$F$15,$M235-$A$15,CB$13)=0,10^12,OFFSET(CRONOPLE!$F$15,$M235-$A$15,CB$13)))</f>
        <v>10</v>
      </c>
      <c r="CC235" s="171">
        <f ca="1">IF(OR($D235&lt;&gt;"Serviço",AND(AUTOEVENTO="Manual",$M235=$A$15)),0,
         IF(OFFSET(CRONOPLE!$F$15,$M235-$A$15,CC$13)=0,10^12,OFFSET(CRONOPLE!$F$15,$M235-$A$15,CC$13)))</f>
        <v>11</v>
      </c>
      <c r="CD235" s="171">
        <f ca="1">IF(OR($D235&lt;&gt;"Serviço",AND(AUTOEVENTO="Manual",$M235=$A$15)),0,
         IF(OFFSET(CRONOPLE!$F$15,$M235-$A$15,CD$13)=0,10^12,OFFSET(CRONOPLE!$F$15,$M235-$A$15,CD$13)))</f>
        <v>12</v>
      </c>
      <c r="CE235" s="171">
        <f ca="1">IF(OR($D235&lt;&gt;"Serviço",AND(AUTOEVENTO="Manual",$M235=$A$15)),0,
         IF(OFFSET(CRONOPLE!$F$15,$M235-$A$15,CE$13)=0,10^12,OFFSET(CRONOPLE!$F$15,$M235-$A$15,CE$13)))</f>
        <v>13</v>
      </c>
      <c r="CF235" s="171">
        <f ca="1">IF(OR($D235&lt;&gt;"Serviço",AND(AUTOEVENTO="Manual",$M235=$A$15)),0,
         IF(OFFSET(CRONOPLE!$F$15,$M235-$A$15,CF$13)=0,10^12,OFFSET(CRONOPLE!$F$15,$M235-$A$15,CF$13)))</f>
        <v>14</v>
      </c>
      <c r="CG235" s="171">
        <f ca="1">IF(OR($D235&lt;&gt;"Serviço",AND(AUTOEVENTO="Manual",$M235=$A$15)),0,
         IF(OFFSET(CRONOPLE!$F$15,$M235-$A$15,CG$13)=0,10^12,OFFSET(CRONOPLE!$F$15,$M235-$A$15,CG$13)))</f>
        <v>15</v>
      </c>
      <c r="CH235" s="171">
        <f ca="1">IF(OR($D235&lt;&gt;"Serviço",AND(AUTOEVENTO="Manual",$M235=$A$15)),0,
         IF(OFFSET(CRONOPLE!$F$15,$M235-$A$15,CH$13)=0,10^12,OFFSET(CRONOPLE!$F$15,$M235-$A$15,CH$13)))</f>
        <v>16</v>
      </c>
      <c r="CI235" s="171">
        <f ca="1">IF(OR($D235&lt;&gt;"Serviço",AND(AUTOEVENTO="Manual",$M235=$A$15)),0,
         IF(OFFSET(CRONOPLE!$F$15,$M235-$A$15,CI$13)=0,10^12,OFFSET(CRONOPLE!$F$15,$M235-$A$15,CI$13)))</f>
        <v>17</v>
      </c>
      <c r="CJ235" s="171">
        <f ca="1">IF(OR($D235&lt;&gt;"Serviço",AND(AUTOEVENTO="Manual",$M235=$A$15)),0,
         IF(OFFSET(CRONOPLE!$F$15,$M235-$A$15,CJ$13)=0,10^12,OFFSET(CRONOPLE!$F$15,$M235-$A$15,CJ$13)))</f>
        <v>18</v>
      </c>
      <c r="CK235" s="171">
        <f ca="1">IF(OR($D235&lt;&gt;"Serviço",AND(AUTOEVENTO="Manual",$M235=$A$15)),0,
         IF(OFFSET(CRONOPLE!$F$15,$M235-$A$15,CK$13)=0,10^12,OFFSET(CRONOPLE!$F$15,$M235-$A$15,CK$13)))</f>
        <v>19</v>
      </c>
      <c r="CL235" s="171">
        <f ca="1">IF(OR($D235&lt;&gt;"Serviço",AND(AUTOEVENTO="Manual",$M235=$A$15)),0,
         IF(OFFSET(CRONOPLE!$F$15,$M235-$A$15,CL$13)=0,10^12,OFFSET(CRONOPLE!$F$15,$M235-$A$15,CL$13)))</f>
        <v>20</v>
      </c>
      <c r="CM235" s="171">
        <f ca="1">IF(OR($D235&lt;&gt;"Serviço",AND(AUTOEVENTO="Manual",$M235=$A$15)),0,
         IF(OFFSET(CRONOPLE!$F$15,$M235-$A$15,CM$13)=0,10^12,OFFSET(CRONOPLE!$F$15,$M235-$A$15,CM$13)))</f>
        <v>1000000000000</v>
      </c>
      <c r="CN235" s="171">
        <f ca="1">IF(OR($D235&lt;&gt;"Serviço",AND(AUTOEVENTO="Manual",$M235=$A$15)),0,
         IF(OFFSET(CRONOPLE!$F$15,$M235-$A$15,CN$13)=0,10^12,OFFSET(CRONOPLE!$F$15,$M235-$A$15,CN$13)))</f>
        <v>1000000000000</v>
      </c>
      <c r="CO235" s="171">
        <f ca="1">IF(OR($D235&lt;&gt;"Serviço",AND(AUTOEVENTO="Manual",$M235=$A$15)),0,
         IF(OFFSET(CRONOPLE!$F$15,$M235-$A$15,CO$13)=0,10^12,OFFSET(CRONOPLE!$F$15,$M235-$A$15,CO$13)))</f>
        <v>1000000000000</v>
      </c>
      <c r="CP235" s="171">
        <f ca="1">IF(OR($D235&lt;&gt;"Serviço",AND(AUTOEVENTO="Manual",$M235=$A$15)),0,
         IF(OFFSET(CRONOPLE!$F$15,$M235-$A$15,CP$13)=0,10^12,OFFSET(CRONOPLE!$F$15,$M235-$A$15,CP$13)))</f>
        <v>1000000000000</v>
      </c>
      <c r="CQ235" s="171">
        <f ca="1">IF(OR($D235&lt;&gt;"Serviço",AND(AUTOEVENTO="Manual",$M235=$A$15)),0,
         IF(OFFSET(CRONOPLE!$F$15,$M235-$A$15,CQ$13)=0,10^12,OFFSET(CRONOPLE!$F$15,$M235-$A$15,CQ$13)))</f>
        <v>1000000000000</v>
      </c>
      <c r="CR235" s="171">
        <f ca="1">IF(OR($D235&lt;&gt;"Serviço",AND(AUTOEVENTO="Manual",$M235=$A$15)),0,
         IF(OFFSET(CRONOPLE!$F$15,$M235-$A$15,CR$13)=0,10^12,OFFSET(CRONOPLE!$F$15,$M235-$A$15,CR$13)))</f>
        <v>1000000000000</v>
      </c>
      <c r="CT235" s="172" cm="1">
        <f t="array" aca="1" ref="CT235" ca="1">IF(OR($D235&lt;&gt;"Serviço",AND(AUTOEVENTO="Manual",$M235=$A$15),$M235&gt;(ROW(PLE.lastrow)-ROW(PLE.firstrow))),0,
           IF(OFFSET(PLE!$G$15,$M235-$A$15,CT$13)="",10^12,OFFSET(PLE!$G$15,$M235-$A$15,CT$13)))</f>
        <v>1000000000000</v>
      </c>
      <c r="CU235" s="172" cm="1">
        <f t="array" aca="1" ref="CU235" ca="1">IF(OR($D235&lt;&gt;"Serviço",AND(AUTOEVENTO="Manual",$M235=$A$15),$M235&gt;(ROW(PLE.lastrow)-ROW(PLE.firstrow))),0,
           IF(OFFSET(PLE!$G$15,$M235-$A$15,CU$13)="",10^12,OFFSET(PLE!$G$15,$M235-$A$15,CU$13)))</f>
        <v>1000000000000</v>
      </c>
      <c r="CV235" s="172" cm="1">
        <f t="array" aca="1" ref="CV235" ca="1">IF(OR($D235&lt;&gt;"Serviço",AND(AUTOEVENTO="Manual",$M235=$A$15),$M235&gt;(ROW(PLE.lastrow)-ROW(PLE.firstrow))),0,
           IF(OFFSET(PLE!$G$15,$M235-$A$15,CV$13)="",10^12,OFFSET(PLE!$G$15,$M235-$A$15,CV$13)))</f>
        <v>1000000000000</v>
      </c>
      <c r="CW235" s="172" cm="1">
        <f t="array" aca="1" ref="CW235" ca="1">IF(OR($D235&lt;&gt;"Serviço",AND(AUTOEVENTO="Manual",$M235=$A$15),$M235&gt;(ROW(PLE.lastrow)-ROW(PLE.firstrow))),0,
           IF(OFFSET(PLE!$G$15,$M235-$A$15,CW$13)="",10^12,OFFSET(PLE!$G$15,$M235-$A$15,CW$13)))</f>
        <v>1000000000000</v>
      </c>
      <c r="CX235" s="172" cm="1">
        <f t="array" aca="1" ref="CX235" ca="1">IF(OR($D235&lt;&gt;"Serviço",AND(AUTOEVENTO="Manual",$M235=$A$15),$M235&gt;(ROW(PLE.lastrow)-ROW(PLE.firstrow))),0,
           IF(OFFSET(PLE!$G$15,$M235-$A$15,CX$13)="",10^12,OFFSET(PLE!$G$15,$M235-$A$15,CX$13)))</f>
        <v>1000000000000</v>
      </c>
      <c r="CY235" s="172" cm="1">
        <f t="array" aca="1" ref="CY235" ca="1">IF(OR($D235&lt;&gt;"Serviço",AND(AUTOEVENTO="Manual",$M235=$A$15),$M235&gt;(ROW(PLE.lastrow)-ROW(PLE.firstrow))),0,
           IF(OFFSET(PLE!$G$15,$M235-$A$15,CY$13)="",10^12,OFFSET(PLE!$G$15,$M235-$A$15,CY$13)))</f>
        <v>1000000000000</v>
      </c>
      <c r="CZ235" s="172" cm="1">
        <f t="array" aca="1" ref="CZ235" ca="1">IF(OR($D235&lt;&gt;"Serviço",AND(AUTOEVENTO="Manual",$M235=$A$15),$M235&gt;(ROW(PLE.lastrow)-ROW(PLE.firstrow))),0,
           IF(OFFSET(PLE!$G$15,$M235-$A$15,CZ$13)="",10^12,OFFSET(PLE!$G$15,$M235-$A$15,CZ$13)))</f>
        <v>1000000000000</v>
      </c>
      <c r="DA235" s="172" cm="1">
        <f t="array" aca="1" ref="DA235" ca="1">IF(OR($D235&lt;&gt;"Serviço",AND(AUTOEVENTO="Manual",$M235=$A$15),$M235&gt;(ROW(PLE.lastrow)-ROW(PLE.firstrow))),0,
           IF(OFFSET(PLE!$G$15,$M235-$A$15,DA$13)="",10^12,OFFSET(PLE!$G$15,$M235-$A$15,DA$13)))</f>
        <v>1000000000000</v>
      </c>
      <c r="DB235" s="172" cm="1">
        <f t="array" aca="1" ref="DB235" ca="1">IF(OR($D235&lt;&gt;"Serviço",AND(AUTOEVENTO="Manual",$M235=$A$15),$M235&gt;(ROW(PLE.lastrow)-ROW(PLE.firstrow))),0,
           IF(OFFSET(PLE!$G$15,$M235-$A$15,DB$13)="",10^12,OFFSET(PLE!$G$15,$M235-$A$15,DB$13)))</f>
        <v>1000000000000</v>
      </c>
      <c r="DC235" s="172" cm="1">
        <f t="array" aca="1" ref="DC235" ca="1">IF(OR($D235&lt;&gt;"Serviço",AND(AUTOEVENTO="Manual",$M235=$A$15),$M235&gt;(ROW(PLE.lastrow)-ROW(PLE.firstrow))),0,
           IF(OFFSET(PLE!$G$15,$M235-$A$15,DC$13)="",10^12,OFFSET(PLE!$G$15,$M235-$A$15,DC$13)))</f>
        <v>1000000000000</v>
      </c>
      <c r="DD235" s="172" cm="1">
        <f t="array" aca="1" ref="DD235" ca="1">IF(OR($D235&lt;&gt;"Serviço",AND(AUTOEVENTO="Manual",$M235=$A$15),$M235&gt;(ROW(PLE.lastrow)-ROW(PLE.firstrow))),0,
           IF(OFFSET(PLE!$G$15,$M235-$A$15,DD$13)="",10^12,OFFSET(PLE!$G$15,$M235-$A$15,DD$13)))</f>
        <v>1000000000000</v>
      </c>
      <c r="DE235" s="172" cm="1">
        <f t="array" aca="1" ref="DE235" ca="1">IF(OR($D235&lt;&gt;"Serviço",AND(AUTOEVENTO="Manual",$M235=$A$15),$M235&gt;(ROW(PLE.lastrow)-ROW(PLE.firstrow))),0,
           IF(OFFSET(PLE!$G$15,$M235-$A$15,DE$13)="",10^12,OFFSET(PLE!$G$15,$M235-$A$15,DE$13)))</f>
        <v>1000000000000</v>
      </c>
      <c r="DF235" s="172" cm="1">
        <f t="array" aca="1" ref="DF235" ca="1">IF(OR($D235&lt;&gt;"Serviço",AND(AUTOEVENTO="Manual",$M235=$A$15),$M235&gt;(ROW(PLE.lastrow)-ROW(PLE.firstrow))),0,
           IF(OFFSET(PLE!$G$15,$M235-$A$15,DF$13)="",10^12,OFFSET(PLE!$G$15,$M235-$A$15,DF$13)))</f>
        <v>1000000000000</v>
      </c>
      <c r="DG235" s="172" cm="1">
        <f t="array" aca="1" ref="DG235" ca="1">IF(OR($D235&lt;&gt;"Serviço",AND(AUTOEVENTO="Manual",$M235=$A$15),$M235&gt;(ROW(PLE.lastrow)-ROW(PLE.firstrow))),0,
           IF(OFFSET(PLE!$G$15,$M235-$A$15,DG$13)="",10^12,OFFSET(PLE!$G$15,$M235-$A$15,DG$13)))</f>
        <v>1000000000000</v>
      </c>
      <c r="DH235" s="172" cm="1">
        <f t="array" aca="1" ref="DH235" ca="1">IF(OR($D235&lt;&gt;"Serviço",AND(AUTOEVENTO="Manual",$M235=$A$15),$M235&gt;(ROW(PLE.lastrow)-ROW(PLE.firstrow))),0,
           IF(OFFSET(PLE!$G$15,$M235-$A$15,DH$13)="",10^12,OFFSET(PLE!$G$15,$M235-$A$15,DH$13)))</f>
        <v>1000000000000</v>
      </c>
      <c r="DI235" s="172" cm="1">
        <f t="array" aca="1" ref="DI235" ca="1">IF(OR($D235&lt;&gt;"Serviço",AND(AUTOEVENTO="Manual",$M235=$A$15),$M235&gt;(ROW(PLE.lastrow)-ROW(PLE.firstrow))),0,
           IF(OFFSET(PLE!$G$15,$M235-$A$15,DI$13)="",10^12,OFFSET(PLE!$G$15,$M235-$A$15,DI$13)))</f>
        <v>1000000000000</v>
      </c>
      <c r="DJ235" s="172" cm="1">
        <f t="array" aca="1" ref="DJ235" ca="1">IF(OR($D235&lt;&gt;"Serviço",AND(AUTOEVENTO="Manual",$M235=$A$15),$M235&gt;(ROW(PLE.lastrow)-ROW(PLE.firstrow))),0,
           IF(OFFSET(PLE!$G$15,$M235-$A$15,DJ$13)="",10^12,OFFSET(PLE!$G$15,$M235-$A$15,DJ$13)))</f>
        <v>1000000000000</v>
      </c>
      <c r="DK235" s="172" cm="1">
        <f t="array" aca="1" ref="DK235" ca="1">IF(OR($D235&lt;&gt;"Serviço",AND(AUTOEVENTO="Manual",$M235=$A$15),$M235&gt;(ROW(PLE.lastrow)-ROW(PLE.firstrow))),0,
           IF(OFFSET(PLE!$G$15,$M235-$A$15,DK$13)="",10^12,OFFSET(PLE!$G$15,$M235-$A$15,DK$13)))</f>
        <v>1000000000000</v>
      </c>
      <c r="DL235" s="172" cm="1">
        <f t="array" aca="1" ref="DL235" ca="1">IF(OR($D235&lt;&gt;"Serviço",AND(AUTOEVENTO="Manual",$M235=$A$15),$M235&gt;(ROW(PLE.lastrow)-ROW(PLE.firstrow))),0,
           IF(OFFSET(PLE!$G$15,$M235-$A$15,DL$13)="",10^12,OFFSET(PLE!$G$15,$M235-$A$15,DL$13)))</f>
        <v>1000000000000</v>
      </c>
      <c r="DM235" s="172" cm="1">
        <f t="array" aca="1" ref="DM235" ca="1">IF(OR($D235&lt;&gt;"Serviço",AND(AUTOEVENTO="Manual",$M235=$A$15),$M235&gt;(ROW(PLE.lastrow)-ROW(PLE.firstrow))),0,
           IF(OFFSET(PLE!$G$15,$M235-$A$15,DM$13)="",10^12,OFFSET(PLE!$G$15,$M235-$A$15,DM$13)))</f>
        <v>1000000000000</v>
      </c>
      <c r="DN235" s="172" cm="1">
        <f t="array" aca="1" ref="DN235" ca="1">IF(OR($D235&lt;&gt;"Serviço",AND(AUTOEVENTO="Manual",$M235=$A$15),$M235&gt;(ROW(PLE.lastrow)-ROW(PLE.firstrow))),0,
           IF(OFFSET(PLE!$G$15,$M235-$A$15,DN$13)="",10^12,OFFSET(PLE!$G$15,$M235-$A$15,DN$13)))</f>
        <v>1000000000000</v>
      </c>
      <c r="DO235" s="172" cm="1">
        <f t="array" aca="1" ref="DO235" ca="1">IF(OR($D235&lt;&gt;"Serviço",AND(AUTOEVENTO="Manual",$M235=$A$15),$M235&gt;(ROW(PLE.lastrow)-ROW(PLE.firstrow))),0,
           IF(OFFSET(PLE!$G$15,$M235-$A$15,DO$13)="",10^12,OFFSET(PLE!$G$15,$M235-$A$15,DO$13)))</f>
        <v>1000000000000</v>
      </c>
      <c r="DP235" s="172" cm="1">
        <f t="array" aca="1" ref="DP235" ca="1">IF(OR($D235&lt;&gt;"Serviço",AND(AUTOEVENTO="Manual",$M235=$A$15),$M235&gt;(ROW(PLE.lastrow)-ROW(PLE.firstrow))),0,
           IF(OFFSET(PLE!$G$15,$M235-$A$15,DP$13)="",10^12,OFFSET(PLE!$G$15,$M235-$A$15,DP$13)))</f>
        <v>1000000000000</v>
      </c>
      <c r="DQ235" s="172" cm="1">
        <f t="array" aca="1" ref="DQ235" ca="1">IF(OR($D235&lt;&gt;"Serviço",AND(AUTOEVENTO="Manual",$M235=$A$15),$M235&gt;(ROW(PLE.lastrow)-ROW(PLE.firstrow))),0,
           IF(OFFSET(PLE!$G$15,$M235-$A$15,DQ$13)="",10^12,OFFSET(PLE!$G$15,$M235-$A$15,DQ$13)))</f>
        <v>1000000000000</v>
      </c>
      <c r="DR235" s="172" cm="1">
        <f t="array" aca="1" ref="DR235" ca="1">IF(OR($D235&lt;&gt;"Serviço",AND(AUTOEVENTO="Manual",$M235=$A$15),$M235&gt;(ROW(PLE.lastrow)-ROW(PLE.firstrow))),0,
           IF(OFFSET(PLE!$G$15,$M235-$A$15,DR$13)="",10^12,OFFSET(PLE!$G$15,$M235-$A$15,DR$13)))</f>
        <v>1000000000000</v>
      </c>
      <c r="DS235" s="172" cm="1">
        <f t="array" aca="1" ref="DS235" ca="1">IF(OR($D235&lt;&gt;"Serviço",AND(AUTOEVENTO="Manual",$M235=$A$15),$M235&gt;(ROW(PLE.lastrow)-ROW(PLE.firstrow))),0,
           IF(OFFSET(PLE!$G$15,$M235-$A$15,DS$13)="",10^12,OFFSET(PLE!$G$15,$M235-$A$15,DS$13)))</f>
        <v>1000000000000</v>
      </c>
    </row>
    <row r="236" spans="1:123" ht="25.5" x14ac:dyDescent="0.2">
      <c r="A236" s="7">
        <f ca="1">IFERROR(IF(AUTOEVENTO="Manual",IF(K236&lt;&gt;"",MIN(VALUE(LEFT(K236,FIND(".",K236)-1)),COUNTA(EVENTOS.Lista)),0),IF(OR($B236&gt;AUTOEVENTO,$B236="S",$B236=0),SUBSTITUTE(OFFSET($A236,-1,0),IF($D236="Serviço",".",""),""),$L236&amp;".")),0)</f>
        <v>10</v>
      </c>
      <c r="B236" s="7" t="str">
        <f ca="1">OFFSET(ORÇAMENTO!C$15,$L236,0)</f>
        <v>S</v>
      </c>
      <c r="C236" s="7" t="str">
        <f ca="1">OFFSET(ORÇAMENTO!L$15,$L236,0)</f>
        <v/>
      </c>
      <c r="D236" s="116" t="str">
        <f ca="1">OFFSET(ORÇAMENTO!N$15,$L236,0)</f>
        <v>Serviço</v>
      </c>
      <c r="E236" s="117" t="str">
        <f ca="1">OFFSET(ORÇAMENTO!O$15,$L236,0)</f>
        <v>-</v>
      </c>
      <c r="F236" s="163" t="str">
        <f ca="1">OFFSET(ORÇAMENTO!R$15,$L236,0)</f>
        <v>(Código não identificado nas referências)</v>
      </c>
      <c r="G236" s="164" t="str">
        <f ca="1">IF($D236&lt;&gt;"Serviço","",OFFSET(ORÇAMENTO!S$15,$L236,0))</f>
        <v>-</v>
      </c>
      <c r="H236" s="122" cm="1">
        <f t="array" aca="1" ref="H236" ca="1">IF($D236&lt;&gt;"Serviço",0,IF(ACOMPANHAMENTO="BM",ROUND(OFFSET(ORÇAMENTO!AJ$15,$L236,0),15-13*ORÇAMENTO!$AF$7),IF(IFERROR(CÁLCULO.FrentesPreenchidas,0)=0,0,SUM(ROUND(OFFSET($P236,0,1,1,CÁLCULO.FrentesPreenchidas),15-13*ORÇAMENTO!$AF$7)))))</f>
        <v>14.400000000000004</v>
      </c>
      <c r="I236" s="468" t="s">
        <v>1235</v>
      </c>
      <c r="J236" s="651" t="str" cm="1">
        <f t="array" aca="1" ref="J236" ca="1">IF(OR(B236&lt;&gt;"S",CÁLCULO.FrentesPreenchidas=0),"",IF(AND(ACOMPANHAMENTO="PLE",AUTOEVENTO="Manual",OR(H236&gt;0,ORÇAMENTO!AC236="QUANT."),OR(K236="",M236=0,N236="")),"►E",IF(AND(ACOMPANHAMENTO="PLE",ORÇAMENTO!AC236="QUANT."),"►Q",IF(AND(ACOMPANHAMENTO="PLE",H236&lt;&gt;SUMPRODUCT(($Q$1:$AQ$1=1)*ROUND(Q236:AQ236,15))),"►S",IF(AND(COUNTIF($P$11:$AQ$11,"▼")=0,H236&gt;0,I236=""),"◄M","")))))</f>
        <v/>
      </c>
      <c r="K236" s="652" t="s">
        <v>1258</v>
      </c>
      <c r="L236" s="165">
        <f ca="1">OFFSET(L236,-1,0)+1</f>
        <v>221</v>
      </c>
      <c r="M236" s="166">
        <f ca="1">IF($D236&lt;&gt;"Serviço","",
          IF(AUTOEVENTO="manual",$A236,
                IF(ISERROR(MATCH($A236,$A$15:OFFSET($A236,-1,0),0)),MAX($M$15:OFFSET(M236,-1,0))+1,
                      INDEX($M$15:OFFSET(M236,-1,0),MATCH($A236,$A$15:OFFSET($A236,-1,0),0)))))</f>
        <v>10</v>
      </c>
      <c r="N236" s="167" t="str">
        <f ca="1">IF($D236&lt;&gt;"Serviço","",
         IF(AUTOEVENTO="Manual",
                IF($A236=0,"&lt;-- defina o número do agrupador",
                       OFFSET(EVENTOS!$D$15,$A236-$A$15,0)),
                OFFSET($F$15,$A236,0)))</f>
        <v>COMPLEMENTAÇÕES</v>
      </c>
      <c r="O236" s="168"/>
      <c r="Q236" s="168">
        <v>0.72</v>
      </c>
      <c r="R236" s="169">
        <v>0.72</v>
      </c>
      <c r="S236" s="169">
        <v>0.72</v>
      </c>
      <c r="T236" s="169">
        <v>0.72</v>
      </c>
      <c r="U236" s="169">
        <v>0.72</v>
      </c>
      <c r="V236" s="169">
        <v>0.72</v>
      </c>
      <c r="W236" s="169">
        <v>0.72</v>
      </c>
      <c r="X236" s="169">
        <v>0.72</v>
      </c>
      <c r="Y236" s="169">
        <v>0.72</v>
      </c>
      <c r="Z236" s="170">
        <v>0.72</v>
      </c>
      <c r="AA236" s="169">
        <v>0.72</v>
      </c>
      <c r="AB236" s="169">
        <v>0.72</v>
      </c>
      <c r="AC236" s="169">
        <v>0.72</v>
      </c>
      <c r="AD236" s="169">
        <v>0.72</v>
      </c>
      <c r="AE236" s="169">
        <v>0.72</v>
      </c>
      <c r="AF236" s="169">
        <v>0.72</v>
      </c>
      <c r="AG236" s="169">
        <v>0.72</v>
      </c>
      <c r="AH236" s="170">
        <v>0.72</v>
      </c>
      <c r="AI236" s="169">
        <v>0.72</v>
      </c>
      <c r="AJ236" s="169">
        <v>0.72</v>
      </c>
      <c r="AK236" s="169"/>
      <c r="AL236" s="169"/>
      <c r="AM236" s="169"/>
      <c r="AN236" s="169"/>
      <c r="AO236" s="169"/>
      <c r="AP236" s="170"/>
      <c r="AR236" s="453">
        <f ca="1">IF(AND($D236="Serviço",AR$12&lt;&gt;0,$H236&gt;0,OR(AUTOEVENTO&lt;&gt;"manual",$M236&lt;&gt;$A$15)),
        IF(Import.TipoArredondamento&lt;&gt;"TransfereGOV",
              ROUND(OFFSET($P236,0,AR$13),15-13*ORÇAMENTO!$AF$7)/$H236*OFFSET(ORÇAMENTO!$X$15,ROW(AR236)-ROW(AR$15),0),
              ROUND(ROUND(OFFSET($P236,0,AR$13),15-13*ORÇAMENTO!$AF$7)*OFFSET(ORÇAMENTO!$W$15,ROW(AR236)-ROW(AR$15),0),15-13*ORÇAMENTO!$AF$11)),
         0)</f>
        <v>0</v>
      </c>
      <c r="AS236" s="453">
        <f ca="1">IF(AND($D236="Serviço",AS$12&lt;&gt;0,$H236&gt;0,OR(AUTOEVENTO&lt;&gt;"manual",$M236&lt;&gt;$A$15)),
        IF(Import.TipoArredondamento&lt;&gt;"TransfereGOV",
              ROUND(OFFSET($P236,0,AS$13),15-13*ORÇAMENTO!$AF$7)/$H236*OFFSET(ORÇAMENTO!$X$15,ROW(AS236)-ROW(AS$15),0),
              ROUND(ROUND(OFFSET($P236,0,AS$13),15-13*ORÇAMENTO!$AF$7)*OFFSET(ORÇAMENTO!$W$15,ROW(AS236)-ROW(AS$15),0),15-13*ORÇAMENTO!$AF$11)),
         0)</f>
        <v>0</v>
      </c>
      <c r="AT236" s="453">
        <f ca="1">IF(AND($D236="Serviço",AT$12&lt;&gt;0,$H236&gt;0,OR(AUTOEVENTO&lt;&gt;"manual",$M236&lt;&gt;$A$15)),
        IF(Import.TipoArredondamento&lt;&gt;"TransfereGOV",
              ROUND(OFFSET($P236,0,AT$13),15-13*ORÇAMENTO!$AF$7)/$H236*OFFSET(ORÇAMENTO!$X$15,ROW(AT236)-ROW(AT$15),0),
              ROUND(ROUND(OFFSET($P236,0,AT$13),15-13*ORÇAMENTO!$AF$7)*OFFSET(ORÇAMENTO!$W$15,ROW(AT236)-ROW(AT$15),0),15-13*ORÇAMENTO!$AF$11)),
         0)</f>
        <v>0</v>
      </c>
      <c r="AU236" s="453">
        <f ca="1">IF(AND($D236="Serviço",AU$12&lt;&gt;0,$H236&gt;0,OR(AUTOEVENTO&lt;&gt;"manual",$M236&lt;&gt;$A$15)),
        IF(Import.TipoArredondamento&lt;&gt;"TransfereGOV",
              ROUND(OFFSET($P236,0,AU$13),15-13*ORÇAMENTO!$AF$7)/$H236*OFFSET(ORÇAMENTO!$X$15,ROW(AU236)-ROW(AU$15),0),
              ROUND(ROUND(OFFSET($P236,0,AU$13),15-13*ORÇAMENTO!$AF$7)*OFFSET(ORÇAMENTO!$W$15,ROW(AU236)-ROW(AU$15),0),15-13*ORÇAMENTO!$AF$11)),
         0)</f>
        <v>0</v>
      </c>
      <c r="AV236" s="453">
        <f ca="1">IF(AND($D236="Serviço",AV$12&lt;&gt;0,$H236&gt;0,OR(AUTOEVENTO&lt;&gt;"manual",$M236&lt;&gt;$A$15)),
        IF(Import.TipoArredondamento&lt;&gt;"TransfereGOV",
              ROUND(OFFSET($P236,0,AV$13),15-13*ORÇAMENTO!$AF$7)/$H236*OFFSET(ORÇAMENTO!$X$15,ROW(AV236)-ROW(AV$15),0),
              ROUND(ROUND(OFFSET($P236,0,AV$13),15-13*ORÇAMENTO!$AF$7)*OFFSET(ORÇAMENTO!$W$15,ROW(AV236)-ROW(AV$15),0),15-13*ORÇAMENTO!$AF$11)),
         0)</f>
        <v>0</v>
      </c>
      <c r="AW236" s="453">
        <f ca="1">IF(AND($D236="Serviço",AW$12&lt;&gt;0,$H236&gt;0,OR(AUTOEVENTO&lt;&gt;"manual",$M236&lt;&gt;$A$15)),
        IF(Import.TipoArredondamento&lt;&gt;"TransfereGOV",
              ROUND(OFFSET($P236,0,AW$13),15-13*ORÇAMENTO!$AF$7)/$H236*OFFSET(ORÇAMENTO!$X$15,ROW(AW236)-ROW(AW$15),0),
              ROUND(ROUND(OFFSET($P236,0,AW$13),15-13*ORÇAMENTO!$AF$7)*OFFSET(ORÇAMENTO!$W$15,ROW(AW236)-ROW(AW$15),0),15-13*ORÇAMENTO!$AF$11)),
         0)</f>
        <v>0</v>
      </c>
      <c r="AX236" s="453">
        <f ca="1">IF(AND($D236="Serviço",AX$12&lt;&gt;0,$H236&gt;0,OR(AUTOEVENTO&lt;&gt;"manual",$M236&lt;&gt;$A$15)),
        IF(Import.TipoArredondamento&lt;&gt;"TransfereGOV",
              ROUND(OFFSET($P236,0,AX$13),15-13*ORÇAMENTO!$AF$7)/$H236*OFFSET(ORÇAMENTO!$X$15,ROW(AX236)-ROW(AX$15),0),
              ROUND(ROUND(OFFSET($P236,0,AX$13),15-13*ORÇAMENTO!$AF$7)*OFFSET(ORÇAMENTO!$W$15,ROW(AX236)-ROW(AX$15),0),15-13*ORÇAMENTO!$AF$11)),
         0)</f>
        <v>0</v>
      </c>
      <c r="AY236" s="453">
        <f ca="1">IF(AND($D236="Serviço",AY$12&lt;&gt;0,$H236&gt;0,OR(AUTOEVENTO&lt;&gt;"manual",$M236&lt;&gt;$A$15)),
        IF(Import.TipoArredondamento&lt;&gt;"TransfereGOV",
              ROUND(OFFSET($P236,0,AY$13),15-13*ORÇAMENTO!$AF$7)/$H236*OFFSET(ORÇAMENTO!$X$15,ROW(AY236)-ROW(AY$15),0),
              ROUND(ROUND(OFFSET($P236,0,AY$13),15-13*ORÇAMENTO!$AF$7)*OFFSET(ORÇAMENTO!$W$15,ROW(AY236)-ROW(AY$15),0),15-13*ORÇAMENTO!$AF$11)),
         0)</f>
        <v>0</v>
      </c>
      <c r="AZ236" s="453">
        <f ca="1">IF(AND($D236="Serviço",AZ$12&lt;&gt;0,$H236&gt;0,OR(AUTOEVENTO&lt;&gt;"manual",$M236&lt;&gt;$A$15)),
        IF(Import.TipoArredondamento&lt;&gt;"TransfereGOV",
              ROUND(OFFSET($P236,0,AZ$13),15-13*ORÇAMENTO!$AF$7)/$H236*OFFSET(ORÇAMENTO!$X$15,ROW(AZ236)-ROW(AZ$15),0),
              ROUND(ROUND(OFFSET($P236,0,AZ$13),15-13*ORÇAMENTO!$AF$7)*OFFSET(ORÇAMENTO!$W$15,ROW(AZ236)-ROW(AZ$15),0),15-13*ORÇAMENTO!$AF$11)),
         0)</f>
        <v>0</v>
      </c>
      <c r="BA236" s="453">
        <f ca="1">IF(AND($D236="Serviço",BA$12&lt;&gt;0,$H236&gt;0,OR(AUTOEVENTO&lt;&gt;"manual",$M236&lt;&gt;$A$15)),
        IF(Import.TipoArredondamento&lt;&gt;"TransfereGOV",
              ROUND(OFFSET($P236,0,BA$13),15-13*ORÇAMENTO!$AF$7)/$H236*OFFSET(ORÇAMENTO!$X$15,ROW(BA236)-ROW(BA$15),0),
              ROUND(ROUND(OFFSET($P236,0,BA$13),15-13*ORÇAMENTO!$AF$7)*OFFSET(ORÇAMENTO!$W$15,ROW(BA236)-ROW(BA$15),0),15-13*ORÇAMENTO!$AF$11)),
         0)</f>
        <v>0</v>
      </c>
      <c r="BB236" s="453">
        <f ca="1">IF(AND($D236="Serviço",BB$12&lt;&gt;0,$H236&gt;0,OR(AUTOEVENTO&lt;&gt;"manual",$M236&lt;&gt;$A$15)),
        IF(Import.TipoArredondamento&lt;&gt;"TransfereGOV",
              ROUND(OFFSET($P236,0,BB$13),15-13*ORÇAMENTO!$AF$7)/$H236*OFFSET(ORÇAMENTO!$X$15,ROW(BB236)-ROW(BB$15),0),
              ROUND(ROUND(OFFSET($P236,0,BB$13),15-13*ORÇAMENTO!$AF$7)*OFFSET(ORÇAMENTO!$W$15,ROW(BB236)-ROW(BB$15),0),15-13*ORÇAMENTO!$AF$11)),
         0)</f>
        <v>0</v>
      </c>
      <c r="BC236" s="453">
        <f ca="1">IF(AND($D236="Serviço",BC$12&lt;&gt;0,$H236&gt;0,OR(AUTOEVENTO&lt;&gt;"manual",$M236&lt;&gt;$A$15)),
        IF(Import.TipoArredondamento&lt;&gt;"TransfereGOV",
              ROUND(OFFSET($P236,0,BC$13),15-13*ORÇAMENTO!$AF$7)/$H236*OFFSET(ORÇAMENTO!$X$15,ROW(BC236)-ROW(BC$15),0),
              ROUND(ROUND(OFFSET($P236,0,BC$13),15-13*ORÇAMENTO!$AF$7)*OFFSET(ORÇAMENTO!$W$15,ROW(BC236)-ROW(BC$15),0),15-13*ORÇAMENTO!$AF$11)),
         0)</f>
        <v>0</v>
      </c>
      <c r="BD236" s="453">
        <f ca="1">IF(AND($D236="Serviço",BD$12&lt;&gt;0,$H236&gt;0,OR(AUTOEVENTO&lt;&gt;"manual",$M236&lt;&gt;$A$15)),
        IF(Import.TipoArredondamento&lt;&gt;"TransfereGOV",
              ROUND(OFFSET($P236,0,BD$13),15-13*ORÇAMENTO!$AF$7)/$H236*OFFSET(ORÇAMENTO!$X$15,ROW(BD236)-ROW(BD$15),0),
              ROUND(ROUND(OFFSET($P236,0,BD$13),15-13*ORÇAMENTO!$AF$7)*OFFSET(ORÇAMENTO!$W$15,ROW(BD236)-ROW(BD$15),0),15-13*ORÇAMENTO!$AF$11)),
         0)</f>
        <v>0</v>
      </c>
      <c r="BE236" s="453">
        <f ca="1">IF(AND($D236="Serviço",BE$12&lt;&gt;0,$H236&gt;0,OR(AUTOEVENTO&lt;&gt;"manual",$M236&lt;&gt;$A$15)),
        IF(Import.TipoArredondamento&lt;&gt;"TransfereGOV",
              ROUND(OFFSET($P236,0,BE$13),15-13*ORÇAMENTO!$AF$7)/$H236*OFFSET(ORÇAMENTO!$X$15,ROW(BE236)-ROW(BE$15),0),
              ROUND(ROUND(OFFSET($P236,0,BE$13),15-13*ORÇAMENTO!$AF$7)*OFFSET(ORÇAMENTO!$W$15,ROW(BE236)-ROW(BE$15),0),15-13*ORÇAMENTO!$AF$11)),
         0)</f>
        <v>0</v>
      </c>
      <c r="BF236" s="453">
        <f ca="1">IF(AND($D236="Serviço",BF$12&lt;&gt;0,$H236&gt;0,OR(AUTOEVENTO&lt;&gt;"manual",$M236&lt;&gt;$A$15)),
        IF(Import.TipoArredondamento&lt;&gt;"TransfereGOV",
              ROUND(OFFSET($P236,0,BF$13),15-13*ORÇAMENTO!$AF$7)/$H236*OFFSET(ORÇAMENTO!$X$15,ROW(BF236)-ROW(BF$15),0),
              ROUND(ROUND(OFFSET($P236,0,BF$13),15-13*ORÇAMENTO!$AF$7)*OFFSET(ORÇAMENTO!$W$15,ROW(BF236)-ROW(BF$15),0),15-13*ORÇAMENTO!$AF$11)),
         0)</f>
        <v>0</v>
      </c>
      <c r="BG236" s="453">
        <f ca="1">IF(AND($D236="Serviço",BG$12&lt;&gt;0,$H236&gt;0,OR(AUTOEVENTO&lt;&gt;"manual",$M236&lt;&gt;$A$15)),
        IF(Import.TipoArredondamento&lt;&gt;"TransfereGOV",
              ROUND(OFFSET($P236,0,BG$13),15-13*ORÇAMENTO!$AF$7)/$H236*OFFSET(ORÇAMENTO!$X$15,ROW(BG236)-ROW(BG$15),0),
              ROUND(ROUND(OFFSET($P236,0,BG$13),15-13*ORÇAMENTO!$AF$7)*OFFSET(ORÇAMENTO!$W$15,ROW(BG236)-ROW(BG$15),0),15-13*ORÇAMENTO!$AF$11)),
         0)</f>
        <v>0</v>
      </c>
      <c r="BH236" s="453">
        <f ca="1">IF(AND($D236="Serviço",BH$12&lt;&gt;0,$H236&gt;0,OR(AUTOEVENTO&lt;&gt;"manual",$M236&lt;&gt;$A$15)),
        IF(Import.TipoArredondamento&lt;&gt;"TransfereGOV",
              ROUND(OFFSET($P236,0,BH$13),15-13*ORÇAMENTO!$AF$7)/$H236*OFFSET(ORÇAMENTO!$X$15,ROW(BH236)-ROW(BH$15),0),
              ROUND(ROUND(OFFSET($P236,0,BH$13),15-13*ORÇAMENTO!$AF$7)*OFFSET(ORÇAMENTO!$W$15,ROW(BH236)-ROW(BH$15),0),15-13*ORÇAMENTO!$AF$11)),
         0)</f>
        <v>0</v>
      </c>
      <c r="BI236" s="453">
        <f ca="1">IF(AND($D236="Serviço",BI$12&lt;&gt;0,$H236&gt;0,OR(AUTOEVENTO&lt;&gt;"manual",$M236&lt;&gt;$A$15)),
        IF(Import.TipoArredondamento&lt;&gt;"TransfereGOV",
              ROUND(OFFSET($P236,0,BI$13),15-13*ORÇAMENTO!$AF$7)/$H236*OFFSET(ORÇAMENTO!$X$15,ROW(BI236)-ROW(BI$15),0),
              ROUND(ROUND(OFFSET($P236,0,BI$13),15-13*ORÇAMENTO!$AF$7)*OFFSET(ORÇAMENTO!$W$15,ROW(BI236)-ROW(BI$15),0),15-13*ORÇAMENTO!$AF$11)),
         0)</f>
        <v>0</v>
      </c>
      <c r="BJ236" s="453">
        <f ca="1">IF(AND($D236="Serviço",BJ$12&lt;&gt;0,$H236&gt;0,OR(AUTOEVENTO&lt;&gt;"manual",$M236&lt;&gt;$A$15)),
        IF(Import.TipoArredondamento&lt;&gt;"TransfereGOV",
              ROUND(OFFSET($P236,0,BJ$13),15-13*ORÇAMENTO!$AF$7)/$H236*OFFSET(ORÇAMENTO!$X$15,ROW(BJ236)-ROW(BJ$15),0),
              ROUND(ROUND(OFFSET($P236,0,BJ$13),15-13*ORÇAMENTO!$AF$7)*OFFSET(ORÇAMENTO!$W$15,ROW(BJ236)-ROW(BJ$15),0),15-13*ORÇAMENTO!$AF$11)),
         0)</f>
        <v>0</v>
      </c>
      <c r="BK236" s="453">
        <f ca="1">IF(AND($D236="Serviço",BK$12&lt;&gt;0,$H236&gt;0,OR(AUTOEVENTO&lt;&gt;"manual",$M236&lt;&gt;$A$15)),
        IF(Import.TipoArredondamento&lt;&gt;"TransfereGOV",
              ROUND(OFFSET($P236,0,BK$13),15-13*ORÇAMENTO!$AF$7)/$H236*OFFSET(ORÇAMENTO!$X$15,ROW(BK236)-ROW(BK$15),0),
              ROUND(ROUND(OFFSET($P236,0,BK$13),15-13*ORÇAMENTO!$AF$7)*OFFSET(ORÇAMENTO!$W$15,ROW(BK236)-ROW(BK$15),0),15-13*ORÇAMENTO!$AF$11)),
         0)</f>
        <v>0</v>
      </c>
      <c r="BL236" s="453">
        <f ca="1">IF(AND($D236="Serviço",BL$12&lt;&gt;0,$H236&gt;0,OR(AUTOEVENTO&lt;&gt;"manual",$M236&lt;&gt;$A$15)),
        IF(Import.TipoArredondamento&lt;&gt;"TransfereGOV",
              ROUND(OFFSET($P236,0,BL$13),15-13*ORÇAMENTO!$AF$7)/$H236*OFFSET(ORÇAMENTO!$X$15,ROW(BL236)-ROW(BL$15),0),
              ROUND(ROUND(OFFSET($P236,0,BL$13),15-13*ORÇAMENTO!$AF$7)*OFFSET(ORÇAMENTO!$W$15,ROW(BL236)-ROW(BL$15),0),15-13*ORÇAMENTO!$AF$11)),
         0)</f>
        <v>0</v>
      </c>
      <c r="BM236" s="453">
        <f ca="1">IF(AND($D236="Serviço",BM$12&lt;&gt;0,$H236&gt;0,OR(AUTOEVENTO&lt;&gt;"manual",$M236&lt;&gt;$A$15)),
        IF(Import.TipoArredondamento&lt;&gt;"TransfereGOV",
              ROUND(OFFSET($P236,0,BM$13),15-13*ORÇAMENTO!$AF$7)/$H236*OFFSET(ORÇAMENTO!$X$15,ROW(BM236)-ROW(BM$15),0),
              ROUND(ROUND(OFFSET($P236,0,BM$13),15-13*ORÇAMENTO!$AF$7)*OFFSET(ORÇAMENTO!$W$15,ROW(BM236)-ROW(BM$15),0),15-13*ORÇAMENTO!$AF$11)),
         0)</f>
        <v>0</v>
      </c>
      <c r="BN236" s="453">
        <f ca="1">IF(AND($D236="Serviço",BN$12&lt;&gt;0,$H236&gt;0,OR(AUTOEVENTO&lt;&gt;"manual",$M236&lt;&gt;$A$15)),
        IF(Import.TipoArredondamento&lt;&gt;"TransfereGOV",
              ROUND(OFFSET($P236,0,BN$13),15-13*ORÇAMENTO!$AF$7)/$H236*OFFSET(ORÇAMENTO!$X$15,ROW(BN236)-ROW(BN$15),0),
              ROUND(ROUND(OFFSET($P236,0,BN$13),15-13*ORÇAMENTO!$AF$7)*OFFSET(ORÇAMENTO!$W$15,ROW(BN236)-ROW(BN$15),0),15-13*ORÇAMENTO!$AF$11)),
         0)</f>
        <v>0</v>
      </c>
      <c r="BO236" s="453">
        <f ca="1">IF(AND($D236="Serviço",BO$12&lt;&gt;0,$H236&gt;0,OR(AUTOEVENTO&lt;&gt;"manual",$M236&lt;&gt;$A$15)),
        IF(Import.TipoArredondamento&lt;&gt;"TransfereGOV",
              ROUND(OFFSET($P236,0,BO$13),15-13*ORÇAMENTO!$AF$7)/$H236*OFFSET(ORÇAMENTO!$X$15,ROW(BO236)-ROW(BO$15),0),
              ROUND(ROUND(OFFSET($P236,0,BO$13),15-13*ORÇAMENTO!$AF$7)*OFFSET(ORÇAMENTO!$W$15,ROW(BO236)-ROW(BO$15),0),15-13*ORÇAMENTO!$AF$11)),
         0)</f>
        <v>0</v>
      </c>
      <c r="BP236" s="453">
        <f ca="1">IF(AND($D236="Serviço",BP$12&lt;&gt;0,$H236&gt;0,OR(AUTOEVENTO&lt;&gt;"manual",$M236&lt;&gt;$A$15)),
        IF(Import.TipoArredondamento&lt;&gt;"TransfereGOV",
              ROUND(OFFSET($P236,0,BP$13),15-13*ORÇAMENTO!$AF$7)/$H236*OFFSET(ORÇAMENTO!$X$15,ROW(BP236)-ROW(BP$15),0),
              ROUND(ROUND(OFFSET($P236,0,BP$13),15-13*ORÇAMENTO!$AF$7)*OFFSET(ORÇAMENTO!$W$15,ROW(BP236)-ROW(BP$15),0),15-13*ORÇAMENTO!$AF$11)),
         0)</f>
        <v>0</v>
      </c>
      <c r="BQ236" s="453">
        <f ca="1">IF(AND($D236="Serviço",BQ$12&lt;&gt;0,$H236&gt;0,OR(AUTOEVENTO&lt;&gt;"manual",$M236&lt;&gt;$A$15)),
        IF(Import.TipoArredondamento&lt;&gt;"TransfereGOV",
              ROUND(OFFSET($P236,0,BQ$13),15-13*ORÇAMENTO!$AF$7)/$H236*OFFSET(ORÇAMENTO!$X$15,ROW(BQ236)-ROW(BQ$15),0),
              ROUND(ROUND(OFFSET($P236,0,BQ$13),15-13*ORÇAMENTO!$AF$7)*OFFSET(ORÇAMENTO!$W$15,ROW(BQ236)-ROW(BQ$15),0),15-13*ORÇAMENTO!$AF$11)),
         0)</f>
        <v>0</v>
      </c>
      <c r="BS236" s="171">
        <f ca="1">IF(OR($D236&lt;&gt;"Serviço",AND(AUTOEVENTO="Manual",$M236=$A$15)),0,
         IF(OFFSET(CRONOPLE!$F$15,$M236-$A$15,BS$13)=0,10^12,OFFSET(CRONOPLE!$F$15,$M236-$A$15,BS$13)))</f>
        <v>1</v>
      </c>
      <c r="BT236" s="171">
        <f ca="1">IF(OR($D236&lt;&gt;"Serviço",AND(AUTOEVENTO="Manual",$M236=$A$15)),0,
         IF(OFFSET(CRONOPLE!$F$15,$M236-$A$15,BT$13)=0,10^12,OFFSET(CRONOPLE!$F$15,$M236-$A$15,BT$13)))</f>
        <v>2</v>
      </c>
      <c r="BU236" s="171">
        <f ca="1">IF(OR($D236&lt;&gt;"Serviço",AND(AUTOEVENTO="Manual",$M236=$A$15)),0,
         IF(OFFSET(CRONOPLE!$F$15,$M236-$A$15,BU$13)=0,10^12,OFFSET(CRONOPLE!$F$15,$M236-$A$15,BU$13)))</f>
        <v>3</v>
      </c>
      <c r="BV236" s="171">
        <f ca="1">IF(OR($D236&lt;&gt;"Serviço",AND(AUTOEVENTO="Manual",$M236=$A$15)),0,
         IF(OFFSET(CRONOPLE!$F$15,$M236-$A$15,BV$13)=0,10^12,OFFSET(CRONOPLE!$F$15,$M236-$A$15,BV$13)))</f>
        <v>4</v>
      </c>
      <c r="BW236" s="171">
        <f ca="1">IF(OR($D236&lt;&gt;"Serviço",AND(AUTOEVENTO="Manual",$M236=$A$15)),0,
         IF(OFFSET(CRONOPLE!$F$15,$M236-$A$15,BW$13)=0,10^12,OFFSET(CRONOPLE!$F$15,$M236-$A$15,BW$13)))</f>
        <v>5</v>
      </c>
      <c r="BX236" s="171">
        <f ca="1">IF(OR($D236&lt;&gt;"Serviço",AND(AUTOEVENTO="Manual",$M236=$A$15)),0,
         IF(OFFSET(CRONOPLE!$F$15,$M236-$A$15,BX$13)=0,10^12,OFFSET(CRONOPLE!$F$15,$M236-$A$15,BX$13)))</f>
        <v>6</v>
      </c>
      <c r="BY236" s="171">
        <f ca="1">IF(OR($D236&lt;&gt;"Serviço",AND(AUTOEVENTO="Manual",$M236=$A$15)),0,
         IF(OFFSET(CRONOPLE!$F$15,$M236-$A$15,BY$13)=0,10^12,OFFSET(CRONOPLE!$F$15,$M236-$A$15,BY$13)))</f>
        <v>7</v>
      </c>
      <c r="BZ236" s="171">
        <f ca="1">IF(OR($D236&lt;&gt;"Serviço",AND(AUTOEVENTO="Manual",$M236=$A$15)),0,
         IF(OFFSET(CRONOPLE!$F$15,$M236-$A$15,BZ$13)=0,10^12,OFFSET(CRONOPLE!$F$15,$M236-$A$15,BZ$13)))</f>
        <v>8</v>
      </c>
      <c r="CA236" s="171">
        <f ca="1">IF(OR($D236&lt;&gt;"Serviço",AND(AUTOEVENTO="Manual",$M236=$A$15)),0,
         IF(OFFSET(CRONOPLE!$F$15,$M236-$A$15,CA$13)=0,10^12,OFFSET(CRONOPLE!$F$15,$M236-$A$15,CA$13)))</f>
        <v>9</v>
      </c>
      <c r="CB236" s="171">
        <f ca="1">IF(OR($D236&lt;&gt;"Serviço",AND(AUTOEVENTO="Manual",$M236=$A$15)),0,
         IF(OFFSET(CRONOPLE!$F$15,$M236-$A$15,CB$13)=0,10^12,OFFSET(CRONOPLE!$F$15,$M236-$A$15,CB$13)))</f>
        <v>10</v>
      </c>
      <c r="CC236" s="171">
        <f ca="1">IF(OR($D236&lt;&gt;"Serviço",AND(AUTOEVENTO="Manual",$M236=$A$15)),0,
         IF(OFFSET(CRONOPLE!$F$15,$M236-$A$15,CC$13)=0,10^12,OFFSET(CRONOPLE!$F$15,$M236-$A$15,CC$13)))</f>
        <v>11</v>
      </c>
      <c r="CD236" s="171">
        <f ca="1">IF(OR($D236&lt;&gt;"Serviço",AND(AUTOEVENTO="Manual",$M236=$A$15)),0,
         IF(OFFSET(CRONOPLE!$F$15,$M236-$A$15,CD$13)=0,10^12,OFFSET(CRONOPLE!$F$15,$M236-$A$15,CD$13)))</f>
        <v>12</v>
      </c>
      <c r="CE236" s="171">
        <f ca="1">IF(OR($D236&lt;&gt;"Serviço",AND(AUTOEVENTO="Manual",$M236=$A$15)),0,
         IF(OFFSET(CRONOPLE!$F$15,$M236-$A$15,CE$13)=0,10^12,OFFSET(CRONOPLE!$F$15,$M236-$A$15,CE$13)))</f>
        <v>13</v>
      </c>
      <c r="CF236" s="171">
        <f ca="1">IF(OR($D236&lt;&gt;"Serviço",AND(AUTOEVENTO="Manual",$M236=$A$15)),0,
         IF(OFFSET(CRONOPLE!$F$15,$M236-$A$15,CF$13)=0,10^12,OFFSET(CRONOPLE!$F$15,$M236-$A$15,CF$13)))</f>
        <v>14</v>
      </c>
      <c r="CG236" s="171">
        <f ca="1">IF(OR($D236&lt;&gt;"Serviço",AND(AUTOEVENTO="Manual",$M236=$A$15)),0,
         IF(OFFSET(CRONOPLE!$F$15,$M236-$A$15,CG$13)=0,10^12,OFFSET(CRONOPLE!$F$15,$M236-$A$15,CG$13)))</f>
        <v>15</v>
      </c>
      <c r="CH236" s="171">
        <f ca="1">IF(OR($D236&lt;&gt;"Serviço",AND(AUTOEVENTO="Manual",$M236=$A$15)),0,
         IF(OFFSET(CRONOPLE!$F$15,$M236-$A$15,CH$13)=0,10^12,OFFSET(CRONOPLE!$F$15,$M236-$A$15,CH$13)))</f>
        <v>16</v>
      </c>
      <c r="CI236" s="171">
        <f ca="1">IF(OR($D236&lt;&gt;"Serviço",AND(AUTOEVENTO="Manual",$M236=$A$15)),0,
         IF(OFFSET(CRONOPLE!$F$15,$M236-$A$15,CI$13)=0,10^12,OFFSET(CRONOPLE!$F$15,$M236-$A$15,CI$13)))</f>
        <v>17</v>
      </c>
      <c r="CJ236" s="171">
        <f ca="1">IF(OR($D236&lt;&gt;"Serviço",AND(AUTOEVENTO="Manual",$M236=$A$15)),0,
         IF(OFFSET(CRONOPLE!$F$15,$M236-$A$15,CJ$13)=0,10^12,OFFSET(CRONOPLE!$F$15,$M236-$A$15,CJ$13)))</f>
        <v>18</v>
      </c>
      <c r="CK236" s="171">
        <f ca="1">IF(OR($D236&lt;&gt;"Serviço",AND(AUTOEVENTO="Manual",$M236=$A$15)),0,
         IF(OFFSET(CRONOPLE!$F$15,$M236-$A$15,CK$13)=0,10^12,OFFSET(CRONOPLE!$F$15,$M236-$A$15,CK$13)))</f>
        <v>19</v>
      </c>
      <c r="CL236" s="171">
        <f ca="1">IF(OR($D236&lt;&gt;"Serviço",AND(AUTOEVENTO="Manual",$M236=$A$15)),0,
         IF(OFFSET(CRONOPLE!$F$15,$M236-$A$15,CL$13)=0,10^12,OFFSET(CRONOPLE!$F$15,$M236-$A$15,CL$13)))</f>
        <v>20</v>
      </c>
      <c r="CM236" s="171">
        <f ca="1">IF(OR($D236&lt;&gt;"Serviço",AND(AUTOEVENTO="Manual",$M236=$A$15)),0,
         IF(OFFSET(CRONOPLE!$F$15,$M236-$A$15,CM$13)=0,10^12,OFFSET(CRONOPLE!$F$15,$M236-$A$15,CM$13)))</f>
        <v>1000000000000</v>
      </c>
      <c r="CN236" s="171">
        <f ca="1">IF(OR($D236&lt;&gt;"Serviço",AND(AUTOEVENTO="Manual",$M236=$A$15)),0,
         IF(OFFSET(CRONOPLE!$F$15,$M236-$A$15,CN$13)=0,10^12,OFFSET(CRONOPLE!$F$15,$M236-$A$15,CN$13)))</f>
        <v>1000000000000</v>
      </c>
      <c r="CO236" s="171">
        <f ca="1">IF(OR($D236&lt;&gt;"Serviço",AND(AUTOEVENTO="Manual",$M236=$A$15)),0,
         IF(OFFSET(CRONOPLE!$F$15,$M236-$A$15,CO$13)=0,10^12,OFFSET(CRONOPLE!$F$15,$M236-$A$15,CO$13)))</f>
        <v>1000000000000</v>
      </c>
      <c r="CP236" s="171">
        <f ca="1">IF(OR($D236&lt;&gt;"Serviço",AND(AUTOEVENTO="Manual",$M236=$A$15)),0,
         IF(OFFSET(CRONOPLE!$F$15,$M236-$A$15,CP$13)=0,10^12,OFFSET(CRONOPLE!$F$15,$M236-$A$15,CP$13)))</f>
        <v>1000000000000</v>
      </c>
      <c r="CQ236" s="171">
        <f ca="1">IF(OR($D236&lt;&gt;"Serviço",AND(AUTOEVENTO="Manual",$M236=$A$15)),0,
         IF(OFFSET(CRONOPLE!$F$15,$M236-$A$15,CQ$13)=0,10^12,OFFSET(CRONOPLE!$F$15,$M236-$A$15,CQ$13)))</f>
        <v>1000000000000</v>
      </c>
      <c r="CR236" s="171">
        <f ca="1">IF(OR($D236&lt;&gt;"Serviço",AND(AUTOEVENTO="Manual",$M236=$A$15)),0,
         IF(OFFSET(CRONOPLE!$F$15,$M236-$A$15,CR$13)=0,10^12,OFFSET(CRONOPLE!$F$15,$M236-$A$15,CR$13)))</f>
        <v>1000000000000</v>
      </c>
      <c r="CT236" s="172" cm="1">
        <f t="array" aca="1" ref="CT236" ca="1">IF(OR($D236&lt;&gt;"Serviço",AND(AUTOEVENTO="Manual",$M236=$A$15),$M236&gt;(ROW(PLE.lastrow)-ROW(PLE.firstrow))),0,
           IF(OFFSET(PLE!$G$15,$M236-$A$15,CT$13)="",10^12,OFFSET(PLE!$G$15,$M236-$A$15,CT$13)))</f>
        <v>1000000000000</v>
      </c>
      <c r="CU236" s="172" cm="1">
        <f t="array" aca="1" ref="CU236" ca="1">IF(OR($D236&lt;&gt;"Serviço",AND(AUTOEVENTO="Manual",$M236=$A$15),$M236&gt;(ROW(PLE.lastrow)-ROW(PLE.firstrow))),0,
           IF(OFFSET(PLE!$G$15,$M236-$A$15,CU$13)="",10^12,OFFSET(PLE!$G$15,$M236-$A$15,CU$13)))</f>
        <v>1000000000000</v>
      </c>
      <c r="CV236" s="172" cm="1">
        <f t="array" aca="1" ref="CV236" ca="1">IF(OR($D236&lt;&gt;"Serviço",AND(AUTOEVENTO="Manual",$M236=$A$15),$M236&gt;(ROW(PLE.lastrow)-ROW(PLE.firstrow))),0,
           IF(OFFSET(PLE!$G$15,$M236-$A$15,CV$13)="",10^12,OFFSET(PLE!$G$15,$M236-$A$15,CV$13)))</f>
        <v>1000000000000</v>
      </c>
      <c r="CW236" s="172" cm="1">
        <f t="array" aca="1" ref="CW236" ca="1">IF(OR($D236&lt;&gt;"Serviço",AND(AUTOEVENTO="Manual",$M236=$A$15),$M236&gt;(ROW(PLE.lastrow)-ROW(PLE.firstrow))),0,
           IF(OFFSET(PLE!$G$15,$M236-$A$15,CW$13)="",10^12,OFFSET(PLE!$G$15,$M236-$A$15,CW$13)))</f>
        <v>1000000000000</v>
      </c>
      <c r="CX236" s="172" cm="1">
        <f t="array" aca="1" ref="CX236" ca="1">IF(OR($D236&lt;&gt;"Serviço",AND(AUTOEVENTO="Manual",$M236=$A$15),$M236&gt;(ROW(PLE.lastrow)-ROW(PLE.firstrow))),0,
           IF(OFFSET(PLE!$G$15,$M236-$A$15,CX$13)="",10^12,OFFSET(PLE!$G$15,$M236-$A$15,CX$13)))</f>
        <v>1000000000000</v>
      </c>
      <c r="CY236" s="172" cm="1">
        <f t="array" aca="1" ref="CY236" ca="1">IF(OR($D236&lt;&gt;"Serviço",AND(AUTOEVENTO="Manual",$M236=$A$15),$M236&gt;(ROW(PLE.lastrow)-ROW(PLE.firstrow))),0,
           IF(OFFSET(PLE!$G$15,$M236-$A$15,CY$13)="",10^12,OFFSET(PLE!$G$15,$M236-$A$15,CY$13)))</f>
        <v>1000000000000</v>
      </c>
      <c r="CZ236" s="172" cm="1">
        <f t="array" aca="1" ref="CZ236" ca="1">IF(OR($D236&lt;&gt;"Serviço",AND(AUTOEVENTO="Manual",$M236=$A$15),$M236&gt;(ROW(PLE.lastrow)-ROW(PLE.firstrow))),0,
           IF(OFFSET(PLE!$G$15,$M236-$A$15,CZ$13)="",10^12,OFFSET(PLE!$G$15,$M236-$A$15,CZ$13)))</f>
        <v>1000000000000</v>
      </c>
      <c r="DA236" s="172" cm="1">
        <f t="array" aca="1" ref="DA236" ca="1">IF(OR($D236&lt;&gt;"Serviço",AND(AUTOEVENTO="Manual",$M236=$A$15),$M236&gt;(ROW(PLE.lastrow)-ROW(PLE.firstrow))),0,
           IF(OFFSET(PLE!$G$15,$M236-$A$15,DA$13)="",10^12,OFFSET(PLE!$G$15,$M236-$A$15,DA$13)))</f>
        <v>1000000000000</v>
      </c>
      <c r="DB236" s="172" cm="1">
        <f t="array" aca="1" ref="DB236" ca="1">IF(OR($D236&lt;&gt;"Serviço",AND(AUTOEVENTO="Manual",$M236=$A$15),$M236&gt;(ROW(PLE.lastrow)-ROW(PLE.firstrow))),0,
           IF(OFFSET(PLE!$G$15,$M236-$A$15,DB$13)="",10^12,OFFSET(PLE!$G$15,$M236-$A$15,DB$13)))</f>
        <v>1000000000000</v>
      </c>
      <c r="DC236" s="172" cm="1">
        <f t="array" aca="1" ref="DC236" ca="1">IF(OR($D236&lt;&gt;"Serviço",AND(AUTOEVENTO="Manual",$M236=$A$15),$M236&gt;(ROW(PLE.lastrow)-ROW(PLE.firstrow))),0,
           IF(OFFSET(PLE!$G$15,$M236-$A$15,DC$13)="",10^12,OFFSET(PLE!$G$15,$M236-$A$15,DC$13)))</f>
        <v>1000000000000</v>
      </c>
      <c r="DD236" s="172" cm="1">
        <f t="array" aca="1" ref="DD236" ca="1">IF(OR($D236&lt;&gt;"Serviço",AND(AUTOEVENTO="Manual",$M236=$A$15),$M236&gt;(ROW(PLE.lastrow)-ROW(PLE.firstrow))),0,
           IF(OFFSET(PLE!$G$15,$M236-$A$15,DD$13)="",10^12,OFFSET(PLE!$G$15,$M236-$A$15,DD$13)))</f>
        <v>1000000000000</v>
      </c>
      <c r="DE236" s="172" cm="1">
        <f t="array" aca="1" ref="DE236" ca="1">IF(OR($D236&lt;&gt;"Serviço",AND(AUTOEVENTO="Manual",$M236=$A$15),$M236&gt;(ROW(PLE.lastrow)-ROW(PLE.firstrow))),0,
           IF(OFFSET(PLE!$G$15,$M236-$A$15,DE$13)="",10^12,OFFSET(PLE!$G$15,$M236-$A$15,DE$13)))</f>
        <v>1000000000000</v>
      </c>
      <c r="DF236" s="172" cm="1">
        <f t="array" aca="1" ref="DF236" ca="1">IF(OR($D236&lt;&gt;"Serviço",AND(AUTOEVENTO="Manual",$M236=$A$15),$M236&gt;(ROW(PLE.lastrow)-ROW(PLE.firstrow))),0,
           IF(OFFSET(PLE!$G$15,$M236-$A$15,DF$13)="",10^12,OFFSET(PLE!$G$15,$M236-$A$15,DF$13)))</f>
        <v>1000000000000</v>
      </c>
      <c r="DG236" s="172" cm="1">
        <f t="array" aca="1" ref="DG236" ca="1">IF(OR($D236&lt;&gt;"Serviço",AND(AUTOEVENTO="Manual",$M236=$A$15),$M236&gt;(ROW(PLE.lastrow)-ROW(PLE.firstrow))),0,
           IF(OFFSET(PLE!$G$15,$M236-$A$15,DG$13)="",10^12,OFFSET(PLE!$G$15,$M236-$A$15,DG$13)))</f>
        <v>1000000000000</v>
      </c>
      <c r="DH236" s="172" cm="1">
        <f t="array" aca="1" ref="DH236" ca="1">IF(OR($D236&lt;&gt;"Serviço",AND(AUTOEVENTO="Manual",$M236=$A$15),$M236&gt;(ROW(PLE.lastrow)-ROW(PLE.firstrow))),0,
           IF(OFFSET(PLE!$G$15,$M236-$A$15,DH$13)="",10^12,OFFSET(PLE!$G$15,$M236-$A$15,DH$13)))</f>
        <v>1000000000000</v>
      </c>
      <c r="DI236" s="172" cm="1">
        <f t="array" aca="1" ref="DI236" ca="1">IF(OR($D236&lt;&gt;"Serviço",AND(AUTOEVENTO="Manual",$M236=$A$15),$M236&gt;(ROW(PLE.lastrow)-ROW(PLE.firstrow))),0,
           IF(OFFSET(PLE!$G$15,$M236-$A$15,DI$13)="",10^12,OFFSET(PLE!$G$15,$M236-$A$15,DI$13)))</f>
        <v>1000000000000</v>
      </c>
      <c r="DJ236" s="172" cm="1">
        <f t="array" aca="1" ref="DJ236" ca="1">IF(OR($D236&lt;&gt;"Serviço",AND(AUTOEVENTO="Manual",$M236=$A$15),$M236&gt;(ROW(PLE.lastrow)-ROW(PLE.firstrow))),0,
           IF(OFFSET(PLE!$G$15,$M236-$A$15,DJ$13)="",10^12,OFFSET(PLE!$G$15,$M236-$A$15,DJ$13)))</f>
        <v>1000000000000</v>
      </c>
      <c r="DK236" s="172" cm="1">
        <f t="array" aca="1" ref="DK236" ca="1">IF(OR($D236&lt;&gt;"Serviço",AND(AUTOEVENTO="Manual",$M236=$A$15),$M236&gt;(ROW(PLE.lastrow)-ROW(PLE.firstrow))),0,
           IF(OFFSET(PLE!$G$15,$M236-$A$15,DK$13)="",10^12,OFFSET(PLE!$G$15,$M236-$A$15,DK$13)))</f>
        <v>1000000000000</v>
      </c>
      <c r="DL236" s="172" cm="1">
        <f t="array" aca="1" ref="DL236" ca="1">IF(OR($D236&lt;&gt;"Serviço",AND(AUTOEVENTO="Manual",$M236=$A$15),$M236&gt;(ROW(PLE.lastrow)-ROW(PLE.firstrow))),0,
           IF(OFFSET(PLE!$G$15,$M236-$A$15,DL$13)="",10^12,OFFSET(PLE!$G$15,$M236-$A$15,DL$13)))</f>
        <v>1000000000000</v>
      </c>
      <c r="DM236" s="172" cm="1">
        <f t="array" aca="1" ref="DM236" ca="1">IF(OR($D236&lt;&gt;"Serviço",AND(AUTOEVENTO="Manual",$M236=$A$15),$M236&gt;(ROW(PLE.lastrow)-ROW(PLE.firstrow))),0,
           IF(OFFSET(PLE!$G$15,$M236-$A$15,DM$13)="",10^12,OFFSET(PLE!$G$15,$M236-$A$15,DM$13)))</f>
        <v>1000000000000</v>
      </c>
      <c r="DN236" s="172" cm="1">
        <f t="array" aca="1" ref="DN236" ca="1">IF(OR($D236&lt;&gt;"Serviço",AND(AUTOEVENTO="Manual",$M236=$A$15),$M236&gt;(ROW(PLE.lastrow)-ROW(PLE.firstrow))),0,
           IF(OFFSET(PLE!$G$15,$M236-$A$15,DN$13)="",10^12,OFFSET(PLE!$G$15,$M236-$A$15,DN$13)))</f>
        <v>1000000000000</v>
      </c>
      <c r="DO236" s="172" cm="1">
        <f t="array" aca="1" ref="DO236" ca="1">IF(OR($D236&lt;&gt;"Serviço",AND(AUTOEVENTO="Manual",$M236=$A$15),$M236&gt;(ROW(PLE.lastrow)-ROW(PLE.firstrow))),0,
           IF(OFFSET(PLE!$G$15,$M236-$A$15,DO$13)="",10^12,OFFSET(PLE!$G$15,$M236-$A$15,DO$13)))</f>
        <v>1000000000000</v>
      </c>
      <c r="DP236" s="172" cm="1">
        <f t="array" aca="1" ref="DP236" ca="1">IF(OR($D236&lt;&gt;"Serviço",AND(AUTOEVENTO="Manual",$M236=$A$15),$M236&gt;(ROW(PLE.lastrow)-ROW(PLE.firstrow))),0,
           IF(OFFSET(PLE!$G$15,$M236-$A$15,DP$13)="",10^12,OFFSET(PLE!$G$15,$M236-$A$15,DP$13)))</f>
        <v>1000000000000</v>
      </c>
      <c r="DQ236" s="172" cm="1">
        <f t="array" aca="1" ref="DQ236" ca="1">IF(OR($D236&lt;&gt;"Serviço",AND(AUTOEVENTO="Manual",$M236=$A$15),$M236&gt;(ROW(PLE.lastrow)-ROW(PLE.firstrow))),0,
           IF(OFFSET(PLE!$G$15,$M236-$A$15,DQ$13)="",10^12,OFFSET(PLE!$G$15,$M236-$A$15,DQ$13)))</f>
        <v>1000000000000</v>
      </c>
      <c r="DR236" s="172" cm="1">
        <f t="array" aca="1" ref="DR236" ca="1">IF(OR($D236&lt;&gt;"Serviço",AND(AUTOEVENTO="Manual",$M236=$A$15),$M236&gt;(ROW(PLE.lastrow)-ROW(PLE.firstrow))),0,
           IF(OFFSET(PLE!$G$15,$M236-$A$15,DR$13)="",10^12,OFFSET(PLE!$G$15,$M236-$A$15,DR$13)))</f>
        <v>1000000000000</v>
      </c>
      <c r="DS236" s="172" cm="1">
        <f t="array" aca="1" ref="DS236" ca="1">IF(OR($D236&lt;&gt;"Serviço",AND(AUTOEVENTO="Manual",$M236=$A$15),$M236&gt;(ROW(PLE.lastrow)-ROW(PLE.firstrow))),0,
           IF(OFFSET(PLE!$G$15,$M236-$A$15,DS$13)="",10^12,OFFSET(PLE!$G$15,$M236-$A$15,DS$13)))</f>
        <v>1000000000000</v>
      </c>
    </row>
    <row r="237" spans="1:123" ht="25.5" x14ac:dyDescent="0.2">
      <c r="A237" s="7">
        <f t="shared" ca="1" si="19"/>
        <v>10</v>
      </c>
      <c r="B237" s="7" t="str">
        <f ca="1">OFFSET(ORÇAMENTO!C$15,$L237,0)</f>
        <v>S</v>
      </c>
      <c r="C237" s="7" t="str">
        <f ca="1">OFFSET(ORÇAMENTO!L$15,$L237,0)</f>
        <v/>
      </c>
      <c r="D237" s="116" t="str">
        <f ca="1">OFFSET(ORÇAMENTO!N$15,$L237,0)</f>
        <v>Serviço</v>
      </c>
      <c r="E237" s="117" t="str">
        <f ca="1">OFFSET(ORÇAMENTO!O$15,$L237,0)</f>
        <v>-</v>
      </c>
      <c r="F237" s="163" t="str">
        <f ca="1">OFFSET(ORÇAMENTO!R$15,$L237,0)</f>
        <v>(Código não identificado nas referências)</v>
      </c>
      <c r="G237" s="164" t="str">
        <f ca="1">IF($D237&lt;&gt;"Serviço","",OFFSET(ORÇAMENTO!S$15,$L237,0))</f>
        <v>-</v>
      </c>
      <c r="H237" s="122" cm="1">
        <f t="array" aca="1" ref="H237" ca="1">IF($D237&lt;&gt;"Serviço",0,IF(ACOMPANHAMENTO="BM",ROUND(OFFSET(ORÇAMENTO!AJ$15,$L237,0),15-13*ORÇAMENTO!$AF$7),IF(IFERROR(CÁLCULO.FrentesPreenchidas,0)=0,0,SUM(ROUND(OFFSET($P237,0,1,1,CÁLCULO.FrentesPreenchidas),15-13*ORÇAMENTO!$AF$7)))))</f>
        <v>322.99999999999994</v>
      </c>
      <c r="I237" s="468" t="s">
        <v>1235</v>
      </c>
      <c r="J237" s="651" t="str" cm="1">
        <f t="array" aca="1" ref="J237" ca="1">IF(OR(B237&lt;&gt;"S",CÁLCULO.FrentesPreenchidas=0),"",IF(AND(ACOMPANHAMENTO="PLE",AUTOEVENTO="Manual",OR(H237&gt;0,ORÇAMENTO!AC237="QUANT."),OR(K237="",M237=0,N237="")),"►E",IF(AND(ACOMPANHAMENTO="PLE",ORÇAMENTO!AC237="QUANT."),"►Q",IF(AND(ACOMPANHAMENTO="PLE",H237&lt;&gt;SUMPRODUCT(($Q$1:$AQ$1=1)*ROUND(Q237:AQ237,15))),"►S",IF(AND(COUNTIF($P$11:$AQ$11,"▼")=0,H237&gt;0,I237=""),"◄M","")))))</f>
        <v/>
      </c>
      <c r="K237" s="652" t="s">
        <v>1258</v>
      </c>
      <c r="L237" s="165">
        <f t="shared" ca="1" si="20"/>
        <v>222</v>
      </c>
      <c r="M237" s="166">
        <f ca="1">IF($D237&lt;&gt;"Serviço","",
          IF(AUTOEVENTO="manual",$A237,
                IF(ISERROR(MATCH($A237,$A$15:OFFSET($A237,-1,0),0)),MAX($M$15:OFFSET(M237,-1,0))+1,
                      INDEX($M$15:OFFSET(M237,-1,0),MATCH($A237,$A$15:OFFSET($A237,-1,0),0)))))</f>
        <v>10</v>
      </c>
      <c r="N237" s="167" t="str">
        <f ca="1">IF($D237&lt;&gt;"Serviço","",
         IF(AUTOEVENTO="Manual",
                IF($A237=0,"&lt;-- defina o número do agrupador",
                       OFFSET(EVENTOS!$D$15,$A237-$A$15,0)),
                OFFSET($F$15,$A237,0)))</f>
        <v>COMPLEMENTAÇÕES</v>
      </c>
      <c r="O237" s="168"/>
      <c r="Q237" s="168">
        <v>16.149999999999999</v>
      </c>
      <c r="R237" s="169">
        <v>16.149999999999999</v>
      </c>
      <c r="S237" s="169">
        <v>16.149999999999999</v>
      </c>
      <c r="T237" s="169">
        <v>16.149999999999999</v>
      </c>
      <c r="U237" s="169">
        <v>16.149999999999999</v>
      </c>
      <c r="V237" s="169">
        <v>16.149999999999999</v>
      </c>
      <c r="W237" s="169">
        <v>16.149999999999999</v>
      </c>
      <c r="X237" s="169">
        <v>16.149999999999999</v>
      </c>
      <c r="Y237" s="169">
        <v>16.149999999999999</v>
      </c>
      <c r="Z237" s="170">
        <v>16.149999999999999</v>
      </c>
      <c r="AA237" s="169">
        <v>16.149999999999999</v>
      </c>
      <c r="AB237" s="169">
        <v>16.149999999999999</v>
      </c>
      <c r="AC237" s="169">
        <v>16.149999999999999</v>
      </c>
      <c r="AD237" s="169">
        <v>16.149999999999999</v>
      </c>
      <c r="AE237" s="169">
        <v>16.149999999999999</v>
      </c>
      <c r="AF237" s="169">
        <v>16.149999999999999</v>
      </c>
      <c r="AG237" s="169">
        <v>16.149999999999999</v>
      </c>
      <c r="AH237" s="170">
        <v>16.149999999999999</v>
      </c>
      <c r="AI237" s="169">
        <v>16.149999999999999</v>
      </c>
      <c r="AJ237" s="169">
        <v>16.149999999999999</v>
      </c>
      <c r="AK237" s="169"/>
      <c r="AL237" s="169"/>
      <c r="AM237" s="169"/>
      <c r="AN237" s="169"/>
      <c r="AO237" s="169"/>
      <c r="AP237" s="170"/>
      <c r="AR237" s="453">
        <f ca="1">IF(AND($D237="Serviço",AR$12&lt;&gt;0,$H237&gt;0,OR(AUTOEVENTO&lt;&gt;"manual",$M237&lt;&gt;$A$15)),
        IF(Import.TipoArredondamento&lt;&gt;"TransfereGOV",
              ROUND(OFFSET($P237,0,AR$13),15-13*ORÇAMENTO!$AF$7)/$H237*OFFSET(ORÇAMENTO!$X$15,ROW(AR237)-ROW(AR$15),0),
              ROUND(ROUND(OFFSET($P237,0,AR$13),15-13*ORÇAMENTO!$AF$7)*OFFSET(ORÇAMENTO!$W$15,ROW(AR237)-ROW(AR$15),0),15-13*ORÇAMENTO!$AF$11)),
         0)</f>
        <v>0</v>
      </c>
      <c r="AS237" s="453">
        <f ca="1">IF(AND($D237="Serviço",AS$12&lt;&gt;0,$H237&gt;0,OR(AUTOEVENTO&lt;&gt;"manual",$M237&lt;&gt;$A$15)),
        IF(Import.TipoArredondamento&lt;&gt;"TransfereGOV",
              ROUND(OFFSET($P237,0,AS$13),15-13*ORÇAMENTO!$AF$7)/$H237*OFFSET(ORÇAMENTO!$X$15,ROW(AS237)-ROW(AS$15),0),
              ROUND(ROUND(OFFSET($P237,0,AS$13),15-13*ORÇAMENTO!$AF$7)*OFFSET(ORÇAMENTO!$W$15,ROW(AS237)-ROW(AS$15),0),15-13*ORÇAMENTO!$AF$11)),
         0)</f>
        <v>0</v>
      </c>
      <c r="AT237" s="453">
        <f ca="1">IF(AND($D237="Serviço",AT$12&lt;&gt;0,$H237&gt;0,OR(AUTOEVENTO&lt;&gt;"manual",$M237&lt;&gt;$A$15)),
        IF(Import.TipoArredondamento&lt;&gt;"TransfereGOV",
              ROUND(OFFSET($P237,0,AT$13),15-13*ORÇAMENTO!$AF$7)/$H237*OFFSET(ORÇAMENTO!$X$15,ROW(AT237)-ROW(AT$15),0),
              ROUND(ROUND(OFFSET($P237,0,AT$13),15-13*ORÇAMENTO!$AF$7)*OFFSET(ORÇAMENTO!$W$15,ROW(AT237)-ROW(AT$15),0),15-13*ORÇAMENTO!$AF$11)),
         0)</f>
        <v>0</v>
      </c>
      <c r="AU237" s="453">
        <f ca="1">IF(AND($D237="Serviço",AU$12&lt;&gt;0,$H237&gt;0,OR(AUTOEVENTO&lt;&gt;"manual",$M237&lt;&gt;$A$15)),
        IF(Import.TipoArredondamento&lt;&gt;"TransfereGOV",
              ROUND(OFFSET($P237,0,AU$13),15-13*ORÇAMENTO!$AF$7)/$H237*OFFSET(ORÇAMENTO!$X$15,ROW(AU237)-ROW(AU$15),0),
              ROUND(ROUND(OFFSET($P237,0,AU$13),15-13*ORÇAMENTO!$AF$7)*OFFSET(ORÇAMENTO!$W$15,ROW(AU237)-ROW(AU$15),0),15-13*ORÇAMENTO!$AF$11)),
         0)</f>
        <v>0</v>
      </c>
      <c r="AV237" s="453">
        <f ca="1">IF(AND($D237="Serviço",AV$12&lt;&gt;0,$H237&gt;0,OR(AUTOEVENTO&lt;&gt;"manual",$M237&lt;&gt;$A$15)),
        IF(Import.TipoArredondamento&lt;&gt;"TransfereGOV",
              ROUND(OFFSET($P237,0,AV$13),15-13*ORÇAMENTO!$AF$7)/$H237*OFFSET(ORÇAMENTO!$X$15,ROW(AV237)-ROW(AV$15),0),
              ROUND(ROUND(OFFSET($P237,0,AV$13),15-13*ORÇAMENTO!$AF$7)*OFFSET(ORÇAMENTO!$W$15,ROW(AV237)-ROW(AV$15),0),15-13*ORÇAMENTO!$AF$11)),
         0)</f>
        <v>0</v>
      </c>
      <c r="AW237" s="453">
        <f ca="1">IF(AND($D237="Serviço",AW$12&lt;&gt;0,$H237&gt;0,OR(AUTOEVENTO&lt;&gt;"manual",$M237&lt;&gt;$A$15)),
        IF(Import.TipoArredondamento&lt;&gt;"TransfereGOV",
              ROUND(OFFSET($P237,0,AW$13),15-13*ORÇAMENTO!$AF$7)/$H237*OFFSET(ORÇAMENTO!$X$15,ROW(AW237)-ROW(AW$15),0),
              ROUND(ROUND(OFFSET($P237,0,AW$13),15-13*ORÇAMENTO!$AF$7)*OFFSET(ORÇAMENTO!$W$15,ROW(AW237)-ROW(AW$15),0),15-13*ORÇAMENTO!$AF$11)),
         0)</f>
        <v>0</v>
      </c>
      <c r="AX237" s="453">
        <f ca="1">IF(AND($D237="Serviço",AX$12&lt;&gt;0,$H237&gt;0,OR(AUTOEVENTO&lt;&gt;"manual",$M237&lt;&gt;$A$15)),
        IF(Import.TipoArredondamento&lt;&gt;"TransfereGOV",
              ROUND(OFFSET($P237,0,AX$13),15-13*ORÇAMENTO!$AF$7)/$H237*OFFSET(ORÇAMENTO!$X$15,ROW(AX237)-ROW(AX$15),0),
              ROUND(ROUND(OFFSET($P237,0,AX$13),15-13*ORÇAMENTO!$AF$7)*OFFSET(ORÇAMENTO!$W$15,ROW(AX237)-ROW(AX$15),0),15-13*ORÇAMENTO!$AF$11)),
         0)</f>
        <v>0</v>
      </c>
      <c r="AY237" s="453">
        <f ca="1">IF(AND($D237="Serviço",AY$12&lt;&gt;0,$H237&gt;0,OR(AUTOEVENTO&lt;&gt;"manual",$M237&lt;&gt;$A$15)),
        IF(Import.TipoArredondamento&lt;&gt;"TransfereGOV",
              ROUND(OFFSET($P237,0,AY$13),15-13*ORÇAMENTO!$AF$7)/$H237*OFFSET(ORÇAMENTO!$X$15,ROW(AY237)-ROW(AY$15),0),
              ROUND(ROUND(OFFSET($P237,0,AY$13),15-13*ORÇAMENTO!$AF$7)*OFFSET(ORÇAMENTO!$W$15,ROW(AY237)-ROW(AY$15),0),15-13*ORÇAMENTO!$AF$11)),
         0)</f>
        <v>0</v>
      </c>
      <c r="AZ237" s="453">
        <f ca="1">IF(AND($D237="Serviço",AZ$12&lt;&gt;0,$H237&gt;0,OR(AUTOEVENTO&lt;&gt;"manual",$M237&lt;&gt;$A$15)),
        IF(Import.TipoArredondamento&lt;&gt;"TransfereGOV",
              ROUND(OFFSET($P237,0,AZ$13),15-13*ORÇAMENTO!$AF$7)/$H237*OFFSET(ORÇAMENTO!$X$15,ROW(AZ237)-ROW(AZ$15),0),
              ROUND(ROUND(OFFSET($P237,0,AZ$13),15-13*ORÇAMENTO!$AF$7)*OFFSET(ORÇAMENTO!$W$15,ROW(AZ237)-ROW(AZ$15),0),15-13*ORÇAMENTO!$AF$11)),
         0)</f>
        <v>0</v>
      </c>
      <c r="BA237" s="453">
        <f ca="1">IF(AND($D237="Serviço",BA$12&lt;&gt;0,$H237&gt;0,OR(AUTOEVENTO&lt;&gt;"manual",$M237&lt;&gt;$A$15)),
        IF(Import.TipoArredondamento&lt;&gt;"TransfereGOV",
              ROUND(OFFSET($P237,0,BA$13),15-13*ORÇAMENTO!$AF$7)/$H237*OFFSET(ORÇAMENTO!$X$15,ROW(BA237)-ROW(BA$15),0),
              ROUND(ROUND(OFFSET($P237,0,BA$13),15-13*ORÇAMENTO!$AF$7)*OFFSET(ORÇAMENTO!$W$15,ROW(BA237)-ROW(BA$15),0),15-13*ORÇAMENTO!$AF$11)),
         0)</f>
        <v>0</v>
      </c>
      <c r="BB237" s="453">
        <f ca="1">IF(AND($D237="Serviço",BB$12&lt;&gt;0,$H237&gt;0,OR(AUTOEVENTO&lt;&gt;"manual",$M237&lt;&gt;$A$15)),
        IF(Import.TipoArredondamento&lt;&gt;"TransfereGOV",
              ROUND(OFFSET($P237,0,BB$13),15-13*ORÇAMENTO!$AF$7)/$H237*OFFSET(ORÇAMENTO!$X$15,ROW(BB237)-ROW(BB$15),0),
              ROUND(ROUND(OFFSET($P237,0,BB$13),15-13*ORÇAMENTO!$AF$7)*OFFSET(ORÇAMENTO!$W$15,ROW(BB237)-ROW(BB$15),0),15-13*ORÇAMENTO!$AF$11)),
         0)</f>
        <v>0</v>
      </c>
      <c r="BC237" s="453">
        <f ca="1">IF(AND($D237="Serviço",BC$12&lt;&gt;0,$H237&gt;0,OR(AUTOEVENTO&lt;&gt;"manual",$M237&lt;&gt;$A$15)),
        IF(Import.TipoArredondamento&lt;&gt;"TransfereGOV",
              ROUND(OFFSET($P237,0,BC$13),15-13*ORÇAMENTO!$AF$7)/$H237*OFFSET(ORÇAMENTO!$X$15,ROW(BC237)-ROW(BC$15),0),
              ROUND(ROUND(OFFSET($P237,0,BC$13),15-13*ORÇAMENTO!$AF$7)*OFFSET(ORÇAMENTO!$W$15,ROW(BC237)-ROW(BC$15),0),15-13*ORÇAMENTO!$AF$11)),
         0)</f>
        <v>0</v>
      </c>
      <c r="BD237" s="453">
        <f ca="1">IF(AND($D237="Serviço",BD$12&lt;&gt;0,$H237&gt;0,OR(AUTOEVENTO&lt;&gt;"manual",$M237&lt;&gt;$A$15)),
        IF(Import.TipoArredondamento&lt;&gt;"TransfereGOV",
              ROUND(OFFSET($P237,0,BD$13),15-13*ORÇAMENTO!$AF$7)/$H237*OFFSET(ORÇAMENTO!$X$15,ROW(BD237)-ROW(BD$15),0),
              ROUND(ROUND(OFFSET($P237,0,BD$13),15-13*ORÇAMENTO!$AF$7)*OFFSET(ORÇAMENTO!$W$15,ROW(BD237)-ROW(BD$15),0),15-13*ORÇAMENTO!$AF$11)),
         0)</f>
        <v>0</v>
      </c>
      <c r="BE237" s="453">
        <f ca="1">IF(AND($D237="Serviço",BE$12&lt;&gt;0,$H237&gt;0,OR(AUTOEVENTO&lt;&gt;"manual",$M237&lt;&gt;$A$15)),
        IF(Import.TipoArredondamento&lt;&gt;"TransfereGOV",
              ROUND(OFFSET($P237,0,BE$13),15-13*ORÇAMENTO!$AF$7)/$H237*OFFSET(ORÇAMENTO!$X$15,ROW(BE237)-ROW(BE$15),0),
              ROUND(ROUND(OFFSET($P237,0,BE$13),15-13*ORÇAMENTO!$AF$7)*OFFSET(ORÇAMENTO!$W$15,ROW(BE237)-ROW(BE$15),0),15-13*ORÇAMENTO!$AF$11)),
         0)</f>
        <v>0</v>
      </c>
      <c r="BF237" s="453">
        <f ca="1">IF(AND($D237="Serviço",BF$12&lt;&gt;0,$H237&gt;0,OR(AUTOEVENTO&lt;&gt;"manual",$M237&lt;&gt;$A$15)),
        IF(Import.TipoArredondamento&lt;&gt;"TransfereGOV",
              ROUND(OFFSET($P237,0,BF$13),15-13*ORÇAMENTO!$AF$7)/$H237*OFFSET(ORÇAMENTO!$X$15,ROW(BF237)-ROW(BF$15),0),
              ROUND(ROUND(OFFSET($P237,0,BF$13),15-13*ORÇAMENTO!$AF$7)*OFFSET(ORÇAMENTO!$W$15,ROW(BF237)-ROW(BF$15),0),15-13*ORÇAMENTO!$AF$11)),
         0)</f>
        <v>0</v>
      </c>
      <c r="BG237" s="453">
        <f ca="1">IF(AND($D237="Serviço",BG$12&lt;&gt;0,$H237&gt;0,OR(AUTOEVENTO&lt;&gt;"manual",$M237&lt;&gt;$A$15)),
        IF(Import.TipoArredondamento&lt;&gt;"TransfereGOV",
              ROUND(OFFSET($P237,0,BG$13),15-13*ORÇAMENTO!$AF$7)/$H237*OFFSET(ORÇAMENTO!$X$15,ROW(BG237)-ROW(BG$15),0),
              ROUND(ROUND(OFFSET($P237,0,BG$13),15-13*ORÇAMENTO!$AF$7)*OFFSET(ORÇAMENTO!$W$15,ROW(BG237)-ROW(BG$15),0),15-13*ORÇAMENTO!$AF$11)),
         0)</f>
        <v>0</v>
      </c>
      <c r="BH237" s="453">
        <f ca="1">IF(AND($D237="Serviço",BH$12&lt;&gt;0,$H237&gt;0,OR(AUTOEVENTO&lt;&gt;"manual",$M237&lt;&gt;$A$15)),
        IF(Import.TipoArredondamento&lt;&gt;"TransfereGOV",
              ROUND(OFFSET($P237,0,BH$13),15-13*ORÇAMENTO!$AF$7)/$H237*OFFSET(ORÇAMENTO!$X$15,ROW(BH237)-ROW(BH$15),0),
              ROUND(ROUND(OFFSET($P237,0,BH$13),15-13*ORÇAMENTO!$AF$7)*OFFSET(ORÇAMENTO!$W$15,ROW(BH237)-ROW(BH$15),0),15-13*ORÇAMENTO!$AF$11)),
         0)</f>
        <v>0</v>
      </c>
      <c r="BI237" s="453">
        <f ca="1">IF(AND($D237="Serviço",BI$12&lt;&gt;0,$H237&gt;0,OR(AUTOEVENTO&lt;&gt;"manual",$M237&lt;&gt;$A$15)),
        IF(Import.TipoArredondamento&lt;&gt;"TransfereGOV",
              ROUND(OFFSET($P237,0,BI$13),15-13*ORÇAMENTO!$AF$7)/$H237*OFFSET(ORÇAMENTO!$X$15,ROW(BI237)-ROW(BI$15),0),
              ROUND(ROUND(OFFSET($P237,0,BI$13),15-13*ORÇAMENTO!$AF$7)*OFFSET(ORÇAMENTO!$W$15,ROW(BI237)-ROW(BI$15),0),15-13*ORÇAMENTO!$AF$11)),
         0)</f>
        <v>0</v>
      </c>
      <c r="BJ237" s="453">
        <f ca="1">IF(AND($D237="Serviço",BJ$12&lt;&gt;0,$H237&gt;0,OR(AUTOEVENTO&lt;&gt;"manual",$M237&lt;&gt;$A$15)),
        IF(Import.TipoArredondamento&lt;&gt;"TransfereGOV",
              ROUND(OFFSET($P237,0,BJ$13),15-13*ORÇAMENTO!$AF$7)/$H237*OFFSET(ORÇAMENTO!$X$15,ROW(BJ237)-ROW(BJ$15),0),
              ROUND(ROUND(OFFSET($P237,0,BJ$13),15-13*ORÇAMENTO!$AF$7)*OFFSET(ORÇAMENTO!$W$15,ROW(BJ237)-ROW(BJ$15),0),15-13*ORÇAMENTO!$AF$11)),
         0)</f>
        <v>0</v>
      </c>
      <c r="BK237" s="453">
        <f ca="1">IF(AND($D237="Serviço",BK$12&lt;&gt;0,$H237&gt;0,OR(AUTOEVENTO&lt;&gt;"manual",$M237&lt;&gt;$A$15)),
        IF(Import.TipoArredondamento&lt;&gt;"TransfereGOV",
              ROUND(OFFSET($P237,0,BK$13),15-13*ORÇAMENTO!$AF$7)/$H237*OFFSET(ORÇAMENTO!$X$15,ROW(BK237)-ROW(BK$15),0),
              ROUND(ROUND(OFFSET($P237,0,BK$13),15-13*ORÇAMENTO!$AF$7)*OFFSET(ORÇAMENTO!$W$15,ROW(BK237)-ROW(BK$15),0),15-13*ORÇAMENTO!$AF$11)),
         0)</f>
        <v>0</v>
      </c>
      <c r="BL237" s="453">
        <f ca="1">IF(AND($D237="Serviço",BL$12&lt;&gt;0,$H237&gt;0,OR(AUTOEVENTO&lt;&gt;"manual",$M237&lt;&gt;$A$15)),
        IF(Import.TipoArredondamento&lt;&gt;"TransfereGOV",
              ROUND(OFFSET($P237,0,BL$13),15-13*ORÇAMENTO!$AF$7)/$H237*OFFSET(ORÇAMENTO!$X$15,ROW(BL237)-ROW(BL$15),0),
              ROUND(ROUND(OFFSET($P237,0,BL$13),15-13*ORÇAMENTO!$AF$7)*OFFSET(ORÇAMENTO!$W$15,ROW(BL237)-ROW(BL$15),0),15-13*ORÇAMENTO!$AF$11)),
         0)</f>
        <v>0</v>
      </c>
      <c r="BM237" s="453">
        <f ca="1">IF(AND($D237="Serviço",BM$12&lt;&gt;0,$H237&gt;0,OR(AUTOEVENTO&lt;&gt;"manual",$M237&lt;&gt;$A$15)),
        IF(Import.TipoArredondamento&lt;&gt;"TransfereGOV",
              ROUND(OFFSET($P237,0,BM$13),15-13*ORÇAMENTO!$AF$7)/$H237*OFFSET(ORÇAMENTO!$X$15,ROW(BM237)-ROW(BM$15),0),
              ROUND(ROUND(OFFSET($P237,0,BM$13),15-13*ORÇAMENTO!$AF$7)*OFFSET(ORÇAMENTO!$W$15,ROW(BM237)-ROW(BM$15),0),15-13*ORÇAMENTO!$AF$11)),
         0)</f>
        <v>0</v>
      </c>
      <c r="BN237" s="453">
        <f ca="1">IF(AND($D237="Serviço",BN$12&lt;&gt;0,$H237&gt;0,OR(AUTOEVENTO&lt;&gt;"manual",$M237&lt;&gt;$A$15)),
        IF(Import.TipoArredondamento&lt;&gt;"TransfereGOV",
              ROUND(OFFSET($P237,0,BN$13),15-13*ORÇAMENTO!$AF$7)/$H237*OFFSET(ORÇAMENTO!$X$15,ROW(BN237)-ROW(BN$15),0),
              ROUND(ROUND(OFFSET($P237,0,BN$13),15-13*ORÇAMENTO!$AF$7)*OFFSET(ORÇAMENTO!$W$15,ROW(BN237)-ROW(BN$15),0),15-13*ORÇAMENTO!$AF$11)),
         0)</f>
        <v>0</v>
      </c>
      <c r="BO237" s="453">
        <f ca="1">IF(AND($D237="Serviço",BO$12&lt;&gt;0,$H237&gt;0,OR(AUTOEVENTO&lt;&gt;"manual",$M237&lt;&gt;$A$15)),
        IF(Import.TipoArredondamento&lt;&gt;"TransfereGOV",
              ROUND(OFFSET($P237,0,BO$13),15-13*ORÇAMENTO!$AF$7)/$H237*OFFSET(ORÇAMENTO!$X$15,ROW(BO237)-ROW(BO$15),0),
              ROUND(ROUND(OFFSET($P237,0,BO$13),15-13*ORÇAMENTO!$AF$7)*OFFSET(ORÇAMENTO!$W$15,ROW(BO237)-ROW(BO$15),0),15-13*ORÇAMENTO!$AF$11)),
         0)</f>
        <v>0</v>
      </c>
      <c r="BP237" s="453">
        <f ca="1">IF(AND($D237="Serviço",BP$12&lt;&gt;0,$H237&gt;0,OR(AUTOEVENTO&lt;&gt;"manual",$M237&lt;&gt;$A$15)),
        IF(Import.TipoArredondamento&lt;&gt;"TransfereGOV",
              ROUND(OFFSET($P237,0,BP$13),15-13*ORÇAMENTO!$AF$7)/$H237*OFFSET(ORÇAMENTO!$X$15,ROW(BP237)-ROW(BP$15),0),
              ROUND(ROUND(OFFSET($P237,0,BP$13),15-13*ORÇAMENTO!$AF$7)*OFFSET(ORÇAMENTO!$W$15,ROW(BP237)-ROW(BP$15),0),15-13*ORÇAMENTO!$AF$11)),
         0)</f>
        <v>0</v>
      </c>
      <c r="BQ237" s="453">
        <f ca="1">IF(AND($D237="Serviço",BQ$12&lt;&gt;0,$H237&gt;0,OR(AUTOEVENTO&lt;&gt;"manual",$M237&lt;&gt;$A$15)),
        IF(Import.TipoArredondamento&lt;&gt;"TransfereGOV",
              ROUND(OFFSET($P237,0,BQ$13),15-13*ORÇAMENTO!$AF$7)/$H237*OFFSET(ORÇAMENTO!$X$15,ROW(BQ237)-ROW(BQ$15),0),
              ROUND(ROUND(OFFSET($P237,0,BQ$13),15-13*ORÇAMENTO!$AF$7)*OFFSET(ORÇAMENTO!$W$15,ROW(BQ237)-ROW(BQ$15),0),15-13*ORÇAMENTO!$AF$11)),
         0)</f>
        <v>0</v>
      </c>
      <c r="BS237" s="171">
        <f ca="1">IF(OR($D237&lt;&gt;"Serviço",AND(AUTOEVENTO="Manual",$M237=$A$15)),0,
         IF(OFFSET(CRONOPLE!$F$15,$M237-$A$15,BS$13)=0,10^12,OFFSET(CRONOPLE!$F$15,$M237-$A$15,BS$13)))</f>
        <v>1</v>
      </c>
      <c r="BT237" s="171">
        <f ca="1">IF(OR($D237&lt;&gt;"Serviço",AND(AUTOEVENTO="Manual",$M237=$A$15)),0,
         IF(OFFSET(CRONOPLE!$F$15,$M237-$A$15,BT$13)=0,10^12,OFFSET(CRONOPLE!$F$15,$M237-$A$15,BT$13)))</f>
        <v>2</v>
      </c>
      <c r="BU237" s="171">
        <f ca="1">IF(OR($D237&lt;&gt;"Serviço",AND(AUTOEVENTO="Manual",$M237=$A$15)),0,
         IF(OFFSET(CRONOPLE!$F$15,$M237-$A$15,BU$13)=0,10^12,OFFSET(CRONOPLE!$F$15,$M237-$A$15,BU$13)))</f>
        <v>3</v>
      </c>
      <c r="BV237" s="171">
        <f ca="1">IF(OR($D237&lt;&gt;"Serviço",AND(AUTOEVENTO="Manual",$M237=$A$15)),0,
         IF(OFFSET(CRONOPLE!$F$15,$M237-$A$15,BV$13)=0,10^12,OFFSET(CRONOPLE!$F$15,$M237-$A$15,BV$13)))</f>
        <v>4</v>
      </c>
      <c r="BW237" s="171">
        <f ca="1">IF(OR($D237&lt;&gt;"Serviço",AND(AUTOEVENTO="Manual",$M237=$A$15)),0,
         IF(OFFSET(CRONOPLE!$F$15,$M237-$A$15,BW$13)=0,10^12,OFFSET(CRONOPLE!$F$15,$M237-$A$15,BW$13)))</f>
        <v>5</v>
      </c>
      <c r="BX237" s="171">
        <f ca="1">IF(OR($D237&lt;&gt;"Serviço",AND(AUTOEVENTO="Manual",$M237=$A$15)),0,
         IF(OFFSET(CRONOPLE!$F$15,$M237-$A$15,BX$13)=0,10^12,OFFSET(CRONOPLE!$F$15,$M237-$A$15,BX$13)))</f>
        <v>6</v>
      </c>
      <c r="BY237" s="171">
        <f ca="1">IF(OR($D237&lt;&gt;"Serviço",AND(AUTOEVENTO="Manual",$M237=$A$15)),0,
         IF(OFFSET(CRONOPLE!$F$15,$M237-$A$15,BY$13)=0,10^12,OFFSET(CRONOPLE!$F$15,$M237-$A$15,BY$13)))</f>
        <v>7</v>
      </c>
      <c r="BZ237" s="171">
        <f ca="1">IF(OR($D237&lt;&gt;"Serviço",AND(AUTOEVENTO="Manual",$M237=$A$15)),0,
         IF(OFFSET(CRONOPLE!$F$15,$M237-$A$15,BZ$13)=0,10^12,OFFSET(CRONOPLE!$F$15,$M237-$A$15,BZ$13)))</f>
        <v>8</v>
      </c>
      <c r="CA237" s="171">
        <f ca="1">IF(OR($D237&lt;&gt;"Serviço",AND(AUTOEVENTO="Manual",$M237=$A$15)),0,
         IF(OFFSET(CRONOPLE!$F$15,$M237-$A$15,CA$13)=0,10^12,OFFSET(CRONOPLE!$F$15,$M237-$A$15,CA$13)))</f>
        <v>9</v>
      </c>
      <c r="CB237" s="171">
        <f ca="1">IF(OR($D237&lt;&gt;"Serviço",AND(AUTOEVENTO="Manual",$M237=$A$15)),0,
         IF(OFFSET(CRONOPLE!$F$15,$M237-$A$15,CB$13)=0,10^12,OFFSET(CRONOPLE!$F$15,$M237-$A$15,CB$13)))</f>
        <v>10</v>
      </c>
      <c r="CC237" s="171">
        <f ca="1">IF(OR($D237&lt;&gt;"Serviço",AND(AUTOEVENTO="Manual",$M237=$A$15)),0,
         IF(OFFSET(CRONOPLE!$F$15,$M237-$A$15,CC$13)=0,10^12,OFFSET(CRONOPLE!$F$15,$M237-$A$15,CC$13)))</f>
        <v>11</v>
      </c>
      <c r="CD237" s="171">
        <f ca="1">IF(OR($D237&lt;&gt;"Serviço",AND(AUTOEVENTO="Manual",$M237=$A$15)),0,
         IF(OFFSET(CRONOPLE!$F$15,$M237-$A$15,CD$13)=0,10^12,OFFSET(CRONOPLE!$F$15,$M237-$A$15,CD$13)))</f>
        <v>12</v>
      </c>
      <c r="CE237" s="171">
        <f ca="1">IF(OR($D237&lt;&gt;"Serviço",AND(AUTOEVENTO="Manual",$M237=$A$15)),0,
         IF(OFFSET(CRONOPLE!$F$15,$M237-$A$15,CE$13)=0,10^12,OFFSET(CRONOPLE!$F$15,$M237-$A$15,CE$13)))</f>
        <v>13</v>
      </c>
      <c r="CF237" s="171">
        <f ca="1">IF(OR($D237&lt;&gt;"Serviço",AND(AUTOEVENTO="Manual",$M237=$A$15)),0,
         IF(OFFSET(CRONOPLE!$F$15,$M237-$A$15,CF$13)=0,10^12,OFFSET(CRONOPLE!$F$15,$M237-$A$15,CF$13)))</f>
        <v>14</v>
      </c>
      <c r="CG237" s="171">
        <f ca="1">IF(OR($D237&lt;&gt;"Serviço",AND(AUTOEVENTO="Manual",$M237=$A$15)),0,
         IF(OFFSET(CRONOPLE!$F$15,$M237-$A$15,CG$13)=0,10^12,OFFSET(CRONOPLE!$F$15,$M237-$A$15,CG$13)))</f>
        <v>15</v>
      </c>
      <c r="CH237" s="171">
        <f ca="1">IF(OR($D237&lt;&gt;"Serviço",AND(AUTOEVENTO="Manual",$M237=$A$15)),0,
         IF(OFFSET(CRONOPLE!$F$15,$M237-$A$15,CH$13)=0,10^12,OFFSET(CRONOPLE!$F$15,$M237-$A$15,CH$13)))</f>
        <v>16</v>
      </c>
      <c r="CI237" s="171">
        <f ca="1">IF(OR($D237&lt;&gt;"Serviço",AND(AUTOEVENTO="Manual",$M237=$A$15)),0,
         IF(OFFSET(CRONOPLE!$F$15,$M237-$A$15,CI$13)=0,10^12,OFFSET(CRONOPLE!$F$15,$M237-$A$15,CI$13)))</f>
        <v>17</v>
      </c>
      <c r="CJ237" s="171">
        <f ca="1">IF(OR($D237&lt;&gt;"Serviço",AND(AUTOEVENTO="Manual",$M237=$A$15)),0,
         IF(OFFSET(CRONOPLE!$F$15,$M237-$A$15,CJ$13)=0,10^12,OFFSET(CRONOPLE!$F$15,$M237-$A$15,CJ$13)))</f>
        <v>18</v>
      </c>
      <c r="CK237" s="171">
        <f ca="1">IF(OR($D237&lt;&gt;"Serviço",AND(AUTOEVENTO="Manual",$M237=$A$15)),0,
         IF(OFFSET(CRONOPLE!$F$15,$M237-$A$15,CK$13)=0,10^12,OFFSET(CRONOPLE!$F$15,$M237-$A$15,CK$13)))</f>
        <v>19</v>
      </c>
      <c r="CL237" s="171">
        <f ca="1">IF(OR($D237&lt;&gt;"Serviço",AND(AUTOEVENTO="Manual",$M237=$A$15)),0,
         IF(OFFSET(CRONOPLE!$F$15,$M237-$A$15,CL$13)=0,10^12,OFFSET(CRONOPLE!$F$15,$M237-$A$15,CL$13)))</f>
        <v>20</v>
      </c>
      <c r="CM237" s="171">
        <f ca="1">IF(OR($D237&lt;&gt;"Serviço",AND(AUTOEVENTO="Manual",$M237=$A$15)),0,
         IF(OFFSET(CRONOPLE!$F$15,$M237-$A$15,CM$13)=0,10^12,OFFSET(CRONOPLE!$F$15,$M237-$A$15,CM$13)))</f>
        <v>1000000000000</v>
      </c>
      <c r="CN237" s="171">
        <f ca="1">IF(OR($D237&lt;&gt;"Serviço",AND(AUTOEVENTO="Manual",$M237=$A$15)),0,
         IF(OFFSET(CRONOPLE!$F$15,$M237-$A$15,CN$13)=0,10^12,OFFSET(CRONOPLE!$F$15,$M237-$A$15,CN$13)))</f>
        <v>1000000000000</v>
      </c>
      <c r="CO237" s="171">
        <f ca="1">IF(OR($D237&lt;&gt;"Serviço",AND(AUTOEVENTO="Manual",$M237=$A$15)),0,
         IF(OFFSET(CRONOPLE!$F$15,$M237-$A$15,CO$13)=0,10^12,OFFSET(CRONOPLE!$F$15,$M237-$A$15,CO$13)))</f>
        <v>1000000000000</v>
      </c>
      <c r="CP237" s="171">
        <f ca="1">IF(OR($D237&lt;&gt;"Serviço",AND(AUTOEVENTO="Manual",$M237=$A$15)),0,
         IF(OFFSET(CRONOPLE!$F$15,$M237-$A$15,CP$13)=0,10^12,OFFSET(CRONOPLE!$F$15,$M237-$A$15,CP$13)))</f>
        <v>1000000000000</v>
      </c>
      <c r="CQ237" s="171">
        <f ca="1">IF(OR($D237&lt;&gt;"Serviço",AND(AUTOEVENTO="Manual",$M237=$A$15)),0,
         IF(OFFSET(CRONOPLE!$F$15,$M237-$A$15,CQ$13)=0,10^12,OFFSET(CRONOPLE!$F$15,$M237-$A$15,CQ$13)))</f>
        <v>1000000000000</v>
      </c>
      <c r="CR237" s="171">
        <f ca="1">IF(OR($D237&lt;&gt;"Serviço",AND(AUTOEVENTO="Manual",$M237=$A$15)),0,
         IF(OFFSET(CRONOPLE!$F$15,$M237-$A$15,CR$13)=0,10^12,OFFSET(CRONOPLE!$F$15,$M237-$A$15,CR$13)))</f>
        <v>1000000000000</v>
      </c>
      <c r="CT237" s="172" cm="1">
        <f t="array" aca="1" ref="CT237" ca="1">IF(OR($D237&lt;&gt;"Serviço",AND(AUTOEVENTO="Manual",$M237=$A$15),$M237&gt;(ROW(PLE.lastrow)-ROW(PLE.firstrow))),0,
           IF(OFFSET(PLE!$G$15,$M237-$A$15,CT$13)="",10^12,OFFSET(PLE!$G$15,$M237-$A$15,CT$13)))</f>
        <v>1000000000000</v>
      </c>
      <c r="CU237" s="172" cm="1">
        <f t="array" aca="1" ref="CU237" ca="1">IF(OR($D237&lt;&gt;"Serviço",AND(AUTOEVENTO="Manual",$M237=$A$15),$M237&gt;(ROW(PLE.lastrow)-ROW(PLE.firstrow))),0,
           IF(OFFSET(PLE!$G$15,$M237-$A$15,CU$13)="",10^12,OFFSET(PLE!$G$15,$M237-$A$15,CU$13)))</f>
        <v>1000000000000</v>
      </c>
      <c r="CV237" s="172" cm="1">
        <f t="array" aca="1" ref="CV237" ca="1">IF(OR($D237&lt;&gt;"Serviço",AND(AUTOEVENTO="Manual",$M237=$A$15),$M237&gt;(ROW(PLE.lastrow)-ROW(PLE.firstrow))),0,
           IF(OFFSET(PLE!$G$15,$M237-$A$15,CV$13)="",10^12,OFFSET(PLE!$G$15,$M237-$A$15,CV$13)))</f>
        <v>1000000000000</v>
      </c>
      <c r="CW237" s="172" cm="1">
        <f t="array" aca="1" ref="CW237" ca="1">IF(OR($D237&lt;&gt;"Serviço",AND(AUTOEVENTO="Manual",$M237=$A$15),$M237&gt;(ROW(PLE.lastrow)-ROW(PLE.firstrow))),0,
           IF(OFFSET(PLE!$G$15,$M237-$A$15,CW$13)="",10^12,OFFSET(PLE!$G$15,$M237-$A$15,CW$13)))</f>
        <v>1000000000000</v>
      </c>
      <c r="CX237" s="172" cm="1">
        <f t="array" aca="1" ref="CX237" ca="1">IF(OR($D237&lt;&gt;"Serviço",AND(AUTOEVENTO="Manual",$M237=$A$15),$M237&gt;(ROW(PLE.lastrow)-ROW(PLE.firstrow))),0,
           IF(OFFSET(PLE!$G$15,$M237-$A$15,CX$13)="",10^12,OFFSET(PLE!$G$15,$M237-$A$15,CX$13)))</f>
        <v>1000000000000</v>
      </c>
      <c r="CY237" s="172" cm="1">
        <f t="array" aca="1" ref="CY237" ca="1">IF(OR($D237&lt;&gt;"Serviço",AND(AUTOEVENTO="Manual",$M237=$A$15),$M237&gt;(ROW(PLE.lastrow)-ROW(PLE.firstrow))),0,
           IF(OFFSET(PLE!$G$15,$M237-$A$15,CY$13)="",10^12,OFFSET(PLE!$G$15,$M237-$A$15,CY$13)))</f>
        <v>1000000000000</v>
      </c>
      <c r="CZ237" s="172" cm="1">
        <f t="array" aca="1" ref="CZ237" ca="1">IF(OR($D237&lt;&gt;"Serviço",AND(AUTOEVENTO="Manual",$M237=$A$15),$M237&gt;(ROW(PLE.lastrow)-ROW(PLE.firstrow))),0,
           IF(OFFSET(PLE!$G$15,$M237-$A$15,CZ$13)="",10^12,OFFSET(PLE!$G$15,$M237-$A$15,CZ$13)))</f>
        <v>1000000000000</v>
      </c>
      <c r="DA237" s="172" cm="1">
        <f t="array" aca="1" ref="DA237" ca="1">IF(OR($D237&lt;&gt;"Serviço",AND(AUTOEVENTO="Manual",$M237=$A$15),$M237&gt;(ROW(PLE.lastrow)-ROW(PLE.firstrow))),0,
           IF(OFFSET(PLE!$G$15,$M237-$A$15,DA$13)="",10^12,OFFSET(PLE!$G$15,$M237-$A$15,DA$13)))</f>
        <v>1000000000000</v>
      </c>
      <c r="DB237" s="172" cm="1">
        <f t="array" aca="1" ref="DB237" ca="1">IF(OR($D237&lt;&gt;"Serviço",AND(AUTOEVENTO="Manual",$M237=$A$15),$M237&gt;(ROW(PLE.lastrow)-ROW(PLE.firstrow))),0,
           IF(OFFSET(PLE!$G$15,$M237-$A$15,DB$13)="",10^12,OFFSET(PLE!$G$15,$M237-$A$15,DB$13)))</f>
        <v>1000000000000</v>
      </c>
      <c r="DC237" s="172" cm="1">
        <f t="array" aca="1" ref="DC237" ca="1">IF(OR($D237&lt;&gt;"Serviço",AND(AUTOEVENTO="Manual",$M237=$A$15),$M237&gt;(ROW(PLE.lastrow)-ROW(PLE.firstrow))),0,
           IF(OFFSET(PLE!$G$15,$M237-$A$15,DC$13)="",10^12,OFFSET(PLE!$G$15,$M237-$A$15,DC$13)))</f>
        <v>1000000000000</v>
      </c>
      <c r="DD237" s="172" cm="1">
        <f t="array" aca="1" ref="DD237" ca="1">IF(OR($D237&lt;&gt;"Serviço",AND(AUTOEVENTO="Manual",$M237=$A$15),$M237&gt;(ROW(PLE.lastrow)-ROW(PLE.firstrow))),0,
           IF(OFFSET(PLE!$G$15,$M237-$A$15,DD$13)="",10^12,OFFSET(PLE!$G$15,$M237-$A$15,DD$13)))</f>
        <v>1000000000000</v>
      </c>
      <c r="DE237" s="172" cm="1">
        <f t="array" aca="1" ref="DE237" ca="1">IF(OR($D237&lt;&gt;"Serviço",AND(AUTOEVENTO="Manual",$M237=$A$15),$M237&gt;(ROW(PLE.lastrow)-ROW(PLE.firstrow))),0,
           IF(OFFSET(PLE!$G$15,$M237-$A$15,DE$13)="",10^12,OFFSET(PLE!$G$15,$M237-$A$15,DE$13)))</f>
        <v>1000000000000</v>
      </c>
      <c r="DF237" s="172" cm="1">
        <f t="array" aca="1" ref="DF237" ca="1">IF(OR($D237&lt;&gt;"Serviço",AND(AUTOEVENTO="Manual",$M237=$A$15),$M237&gt;(ROW(PLE.lastrow)-ROW(PLE.firstrow))),0,
           IF(OFFSET(PLE!$G$15,$M237-$A$15,DF$13)="",10^12,OFFSET(PLE!$G$15,$M237-$A$15,DF$13)))</f>
        <v>1000000000000</v>
      </c>
      <c r="DG237" s="172" cm="1">
        <f t="array" aca="1" ref="DG237" ca="1">IF(OR($D237&lt;&gt;"Serviço",AND(AUTOEVENTO="Manual",$M237=$A$15),$M237&gt;(ROW(PLE.lastrow)-ROW(PLE.firstrow))),0,
           IF(OFFSET(PLE!$G$15,$M237-$A$15,DG$13)="",10^12,OFFSET(PLE!$G$15,$M237-$A$15,DG$13)))</f>
        <v>1000000000000</v>
      </c>
      <c r="DH237" s="172" cm="1">
        <f t="array" aca="1" ref="DH237" ca="1">IF(OR($D237&lt;&gt;"Serviço",AND(AUTOEVENTO="Manual",$M237=$A$15),$M237&gt;(ROW(PLE.lastrow)-ROW(PLE.firstrow))),0,
           IF(OFFSET(PLE!$G$15,$M237-$A$15,DH$13)="",10^12,OFFSET(PLE!$G$15,$M237-$A$15,DH$13)))</f>
        <v>1000000000000</v>
      </c>
      <c r="DI237" s="172" cm="1">
        <f t="array" aca="1" ref="DI237" ca="1">IF(OR($D237&lt;&gt;"Serviço",AND(AUTOEVENTO="Manual",$M237=$A$15),$M237&gt;(ROW(PLE.lastrow)-ROW(PLE.firstrow))),0,
           IF(OFFSET(PLE!$G$15,$M237-$A$15,DI$13)="",10^12,OFFSET(PLE!$G$15,$M237-$A$15,DI$13)))</f>
        <v>1000000000000</v>
      </c>
      <c r="DJ237" s="172" cm="1">
        <f t="array" aca="1" ref="DJ237" ca="1">IF(OR($D237&lt;&gt;"Serviço",AND(AUTOEVENTO="Manual",$M237=$A$15),$M237&gt;(ROW(PLE.lastrow)-ROW(PLE.firstrow))),0,
           IF(OFFSET(PLE!$G$15,$M237-$A$15,DJ$13)="",10^12,OFFSET(PLE!$G$15,$M237-$A$15,DJ$13)))</f>
        <v>1000000000000</v>
      </c>
      <c r="DK237" s="172" cm="1">
        <f t="array" aca="1" ref="DK237" ca="1">IF(OR($D237&lt;&gt;"Serviço",AND(AUTOEVENTO="Manual",$M237=$A$15),$M237&gt;(ROW(PLE.lastrow)-ROW(PLE.firstrow))),0,
           IF(OFFSET(PLE!$G$15,$M237-$A$15,DK$13)="",10^12,OFFSET(PLE!$G$15,$M237-$A$15,DK$13)))</f>
        <v>1000000000000</v>
      </c>
      <c r="DL237" s="172" cm="1">
        <f t="array" aca="1" ref="DL237" ca="1">IF(OR($D237&lt;&gt;"Serviço",AND(AUTOEVENTO="Manual",$M237=$A$15),$M237&gt;(ROW(PLE.lastrow)-ROW(PLE.firstrow))),0,
           IF(OFFSET(PLE!$G$15,$M237-$A$15,DL$13)="",10^12,OFFSET(PLE!$G$15,$M237-$A$15,DL$13)))</f>
        <v>1000000000000</v>
      </c>
      <c r="DM237" s="172" cm="1">
        <f t="array" aca="1" ref="DM237" ca="1">IF(OR($D237&lt;&gt;"Serviço",AND(AUTOEVENTO="Manual",$M237=$A$15),$M237&gt;(ROW(PLE.lastrow)-ROW(PLE.firstrow))),0,
           IF(OFFSET(PLE!$G$15,$M237-$A$15,DM$13)="",10^12,OFFSET(PLE!$G$15,$M237-$A$15,DM$13)))</f>
        <v>1000000000000</v>
      </c>
      <c r="DN237" s="172" cm="1">
        <f t="array" aca="1" ref="DN237" ca="1">IF(OR($D237&lt;&gt;"Serviço",AND(AUTOEVENTO="Manual",$M237=$A$15),$M237&gt;(ROW(PLE.lastrow)-ROW(PLE.firstrow))),0,
           IF(OFFSET(PLE!$G$15,$M237-$A$15,DN$13)="",10^12,OFFSET(PLE!$G$15,$M237-$A$15,DN$13)))</f>
        <v>1000000000000</v>
      </c>
      <c r="DO237" s="172" cm="1">
        <f t="array" aca="1" ref="DO237" ca="1">IF(OR($D237&lt;&gt;"Serviço",AND(AUTOEVENTO="Manual",$M237=$A$15),$M237&gt;(ROW(PLE.lastrow)-ROW(PLE.firstrow))),0,
           IF(OFFSET(PLE!$G$15,$M237-$A$15,DO$13)="",10^12,OFFSET(PLE!$G$15,$M237-$A$15,DO$13)))</f>
        <v>1000000000000</v>
      </c>
      <c r="DP237" s="172" cm="1">
        <f t="array" aca="1" ref="DP237" ca="1">IF(OR($D237&lt;&gt;"Serviço",AND(AUTOEVENTO="Manual",$M237=$A$15),$M237&gt;(ROW(PLE.lastrow)-ROW(PLE.firstrow))),0,
           IF(OFFSET(PLE!$G$15,$M237-$A$15,DP$13)="",10^12,OFFSET(PLE!$G$15,$M237-$A$15,DP$13)))</f>
        <v>1000000000000</v>
      </c>
      <c r="DQ237" s="172" cm="1">
        <f t="array" aca="1" ref="DQ237" ca="1">IF(OR($D237&lt;&gt;"Serviço",AND(AUTOEVENTO="Manual",$M237=$A$15),$M237&gt;(ROW(PLE.lastrow)-ROW(PLE.firstrow))),0,
           IF(OFFSET(PLE!$G$15,$M237-$A$15,DQ$13)="",10^12,OFFSET(PLE!$G$15,$M237-$A$15,DQ$13)))</f>
        <v>1000000000000</v>
      </c>
      <c r="DR237" s="172" cm="1">
        <f t="array" aca="1" ref="DR237" ca="1">IF(OR($D237&lt;&gt;"Serviço",AND(AUTOEVENTO="Manual",$M237=$A$15),$M237&gt;(ROW(PLE.lastrow)-ROW(PLE.firstrow))),0,
           IF(OFFSET(PLE!$G$15,$M237-$A$15,DR$13)="",10^12,OFFSET(PLE!$G$15,$M237-$A$15,DR$13)))</f>
        <v>1000000000000</v>
      </c>
      <c r="DS237" s="172" cm="1">
        <f t="array" aca="1" ref="DS237" ca="1">IF(OR($D237&lt;&gt;"Serviço",AND(AUTOEVENTO="Manual",$M237=$A$15),$M237&gt;(ROW(PLE.lastrow)-ROW(PLE.firstrow))),0,
           IF(OFFSET(PLE!$G$15,$M237-$A$15,DS$13)="",10^12,OFFSET(PLE!$G$15,$M237-$A$15,DS$13)))</f>
        <v>1000000000000</v>
      </c>
    </row>
    <row r="238" spans="1:123" ht="25.5" x14ac:dyDescent="0.2">
      <c r="A238" s="7">
        <f t="shared" ca="1" si="19"/>
        <v>10</v>
      </c>
      <c r="B238" s="7" t="str">
        <f ca="1">OFFSET(ORÇAMENTO!C$15,$L238,0)</f>
        <v>S</v>
      </c>
      <c r="C238" s="7" t="str">
        <f ca="1">OFFSET(ORÇAMENTO!L$15,$L238,0)</f>
        <v/>
      </c>
      <c r="D238" s="116" t="str">
        <f ca="1">OFFSET(ORÇAMENTO!N$15,$L238,0)</f>
        <v>Serviço</v>
      </c>
      <c r="E238" s="117" t="str">
        <f ca="1">OFFSET(ORÇAMENTO!O$15,$L238,0)</f>
        <v>-</v>
      </c>
      <c r="F238" s="163" t="str">
        <f ca="1">OFFSET(ORÇAMENTO!R$15,$L238,0)</f>
        <v>(Código não identificado nas referências)</v>
      </c>
      <c r="G238" s="164" t="str">
        <f ca="1">IF($D238&lt;&gt;"Serviço","",OFFSET(ORÇAMENTO!S$15,$L238,0))</f>
        <v>-</v>
      </c>
      <c r="H238" s="122" cm="1">
        <f t="array" aca="1" ref="H238" ca="1">IF($D238&lt;&gt;"Serviço",0,IF(ACOMPANHAMENTO="BM",ROUND(OFFSET(ORÇAMENTO!AJ$15,$L238,0),15-13*ORÇAMENTO!$AF$7),IF(IFERROR(CÁLCULO.FrentesPreenchidas,0)=0,0,SUM(ROUND(OFFSET($P238,0,1,1,CÁLCULO.FrentesPreenchidas),15-13*ORÇAMENTO!$AF$7)))))</f>
        <v>717.99999999999977</v>
      </c>
      <c r="I238" s="468" t="s">
        <v>1235</v>
      </c>
      <c r="J238" s="651" t="str" cm="1">
        <f t="array" aca="1" ref="J238" ca="1">IF(OR(B238&lt;&gt;"S",CÁLCULO.FrentesPreenchidas=0),"",IF(AND(ACOMPANHAMENTO="PLE",AUTOEVENTO="Manual",OR(H238&gt;0,ORÇAMENTO!AC238="QUANT."),OR(K238="",M238=0,N238="")),"►E",IF(AND(ACOMPANHAMENTO="PLE",ORÇAMENTO!AC238="QUANT."),"►Q",IF(AND(ACOMPANHAMENTO="PLE",H238&lt;&gt;SUMPRODUCT(($Q$1:$AQ$1=1)*ROUND(Q238:AQ238,15))),"►S",IF(AND(COUNTIF($P$11:$AQ$11,"▼")=0,H238&gt;0,I238=""),"◄M","")))))</f>
        <v/>
      </c>
      <c r="K238" s="652" t="s">
        <v>1258</v>
      </c>
      <c r="L238" s="165">
        <f t="shared" ca="1" si="20"/>
        <v>223</v>
      </c>
      <c r="M238" s="166">
        <f ca="1">IF($D238&lt;&gt;"Serviço","",
          IF(AUTOEVENTO="manual",$A238,
                IF(ISERROR(MATCH($A238,$A$15:OFFSET($A238,-1,0),0)),MAX($M$15:OFFSET(M238,-1,0))+1,
                      INDEX($M$15:OFFSET(M238,-1,0),MATCH($A238,$A$15:OFFSET($A238,-1,0),0)))))</f>
        <v>10</v>
      </c>
      <c r="N238" s="167" t="str">
        <f ca="1">IF($D238&lt;&gt;"Serviço","",
         IF(AUTOEVENTO="Manual",
                IF($A238=0,"&lt;-- defina o número do agrupador",
                       OFFSET(EVENTOS!$D$15,$A238-$A$15,0)),
                OFFSET($F$15,$A238,0)))</f>
        <v>COMPLEMENTAÇÕES</v>
      </c>
      <c r="O238" s="168"/>
      <c r="Q238" s="168">
        <v>35.900000000000006</v>
      </c>
      <c r="R238" s="169">
        <v>35.900000000000006</v>
      </c>
      <c r="S238" s="169">
        <v>35.900000000000006</v>
      </c>
      <c r="T238" s="169">
        <v>35.900000000000006</v>
      </c>
      <c r="U238" s="169">
        <v>35.900000000000006</v>
      </c>
      <c r="V238" s="169">
        <v>35.900000000000006</v>
      </c>
      <c r="W238" s="169">
        <v>35.900000000000006</v>
      </c>
      <c r="X238" s="169">
        <v>35.900000000000006</v>
      </c>
      <c r="Y238" s="169">
        <v>35.900000000000006</v>
      </c>
      <c r="Z238" s="170">
        <v>35.900000000000006</v>
      </c>
      <c r="AA238" s="169">
        <v>35.900000000000006</v>
      </c>
      <c r="AB238" s="169">
        <v>35.900000000000006</v>
      </c>
      <c r="AC238" s="169">
        <v>35.900000000000006</v>
      </c>
      <c r="AD238" s="169">
        <v>35.900000000000006</v>
      </c>
      <c r="AE238" s="169">
        <v>35.900000000000006</v>
      </c>
      <c r="AF238" s="169">
        <v>35.900000000000006</v>
      </c>
      <c r="AG238" s="169">
        <v>35.900000000000006</v>
      </c>
      <c r="AH238" s="170">
        <v>35.900000000000006</v>
      </c>
      <c r="AI238" s="169">
        <v>35.900000000000006</v>
      </c>
      <c r="AJ238" s="169">
        <v>35.900000000000006</v>
      </c>
      <c r="AK238" s="169"/>
      <c r="AL238" s="169"/>
      <c r="AM238" s="169"/>
      <c r="AN238" s="169"/>
      <c r="AO238" s="169"/>
      <c r="AP238" s="170"/>
      <c r="AR238" s="453">
        <f ca="1">IF(AND($D238="Serviço",AR$12&lt;&gt;0,$H238&gt;0,OR(AUTOEVENTO&lt;&gt;"manual",$M238&lt;&gt;$A$15)),
        IF(Import.TipoArredondamento&lt;&gt;"TransfereGOV",
              ROUND(OFFSET($P238,0,AR$13),15-13*ORÇAMENTO!$AF$7)/$H238*OFFSET(ORÇAMENTO!$X$15,ROW(AR238)-ROW(AR$15),0),
              ROUND(ROUND(OFFSET($P238,0,AR$13),15-13*ORÇAMENTO!$AF$7)*OFFSET(ORÇAMENTO!$W$15,ROW(AR238)-ROW(AR$15),0),15-13*ORÇAMENTO!$AF$11)),
         0)</f>
        <v>0</v>
      </c>
      <c r="AS238" s="453">
        <f ca="1">IF(AND($D238="Serviço",AS$12&lt;&gt;0,$H238&gt;0,OR(AUTOEVENTO&lt;&gt;"manual",$M238&lt;&gt;$A$15)),
        IF(Import.TipoArredondamento&lt;&gt;"TransfereGOV",
              ROUND(OFFSET($P238,0,AS$13),15-13*ORÇAMENTO!$AF$7)/$H238*OFFSET(ORÇAMENTO!$X$15,ROW(AS238)-ROW(AS$15),0),
              ROUND(ROUND(OFFSET($P238,0,AS$13),15-13*ORÇAMENTO!$AF$7)*OFFSET(ORÇAMENTO!$W$15,ROW(AS238)-ROW(AS$15),0),15-13*ORÇAMENTO!$AF$11)),
         0)</f>
        <v>0</v>
      </c>
      <c r="AT238" s="453">
        <f ca="1">IF(AND($D238="Serviço",AT$12&lt;&gt;0,$H238&gt;0,OR(AUTOEVENTO&lt;&gt;"manual",$M238&lt;&gt;$A$15)),
        IF(Import.TipoArredondamento&lt;&gt;"TransfereGOV",
              ROUND(OFFSET($P238,0,AT$13),15-13*ORÇAMENTO!$AF$7)/$H238*OFFSET(ORÇAMENTO!$X$15,ROW(AT238)-ROW(AT$15),0),
              ROUND(ROUND(OFFSET($P238,0,AT$13),15-13*ORÇAMENTO!$AF$7)*OFFSET(ORÇAMENTO!$W$15,ROW(AT238)-ROW(AT$15),0),15-13*ORÇAMENTO!$AF$11)),
         0)</f>
        <v>0</v>
      </c>
      <c r="AU238" s="453">
        <f ca="1">IF(AND($D238="Serviço",AU$12&lt;&gt;0,$H238&gt;0,OR(AUTOEVENTO&lt;&gt;"manual",$M238&lt;&gt;$A$15)),
        IF(Import.TipoArredondamento&lt;&gt;"TransfereGOV",
              ROUND(OFFSET($P238,0,AU$13),15-13*ORÇAMENTO!$AF$7)/$H238*OFFSET(ORÇAMENTO!$X$15,ROW(AU238)-ROW(AU$15),0),
              ROUND(ROUND(OFFSET($P238,0,AU$13),15-13*ORÇAMENTO!$AF$7)*OFFSET(ORÇAMENTO!$W$15,ROW(AU238)-ROW(AU$15),0),15-13*ORÇAMENTO!$AF$11)),
         0)</f>
        <v>0</v>
      </c>
      <c r="AV238" s="453">
        <f ca="1">IF(AND($D238="Serviço",AV$12&lt;&gt;0,$H238&gt;0,OR(AUTOEVENTO&lt;&gt;"manual",$M238&lt;&gt;$A$15)),
        IF(Import.TipoArredondamento&lt;&gt;"TransfereGOV",
              ROUND(OFFSET($P238,0,AV$13),15-13*ORÇAMENTO!$AF$7)/$H238*OFFSET(ORÇAMENTO!$X$15,ROW(AV238)-ROW(AV$15),0),
              ROUND(ROUND(OFFSET($P238,0,AV$13),15-13*ORÇAMENTO!$AF$7)*OFFSET(ORÇAMENTO!$W$15,ROW(AV238)-ROW(AV$15),0),15-13*ORÇAMENTO!$AF$11)),
         0)</f>
        <v>0</v>
      </c>
      <c r="AW238" s="453">
        <f ca="1">IF(AND($D238="Serviço",AW$12&lt;&gt;0,$H238&gt;0,OR(AUTOEVENTO&lt;&gt;"manual",$M238&lt;&gt;$A$15)),
        IF(Import.TipoArredondamento&lt;&gt;"TransfereGOV",
              ROUND(OFFSET($P238,0,AW$13),15-13*ORÇAMENTO!$AF$7)/$H238*OFFSET(ORÇAMENTO!$X$15,ROW(AW238)-ROW(AW$15),0),
              ROUND(ROUND(OFFSET($P238,0,AW$13),15-13*ORÇAMENTO!$AF$7)*OFFSET(ORÇAMENTO!$W$15,ROW(AW238)-ROW(AW$15),0),15-13*ORÇAMENTO!$AF$11)),
         0)</f>
        <v>0</v>
      </c>
      <c r="AX238" s="453">
        <f ca="1">IF(AND($D238="Serviço",AX$12&lt;&gt;0,$H238&gt;0,OR(AUTOEVENTO&lt;&gt;"manual",$M238&lt;&gt;$A$15)),
        IF(Import.TipoArredondamento&lt;&gt;"TransfereGOV",
              ROUND(OFFSET($P238,0,AX$13),15-13*ORÇAMENTO!$AF$7)/$H238*OFFSET(ORÇAMENTO!$X$15,ROW(AX238)-ROW(AX$15),0),
              ROUND(ROUND(OFFSET($P238,0,AX$13),15-13*ORÇAMENTO!$AF$7)*OFFSET(ORÇAMENTO!$W$15,ROW(AX238)-ROW(AX$15),0),15-13*ORÇAMENTO!$AF$11)),
         0)</f>
        <v>0</v>
      </c>
      <c r="AY238" s="453">
        <f ca="1">IF(AND($D238="Serviço",AY$12&lt;&gt;0,$H238&gt;0,OR(AUTOEVENTO&lt;&gt;"manual",$M238&lt;&gt;$A$15)),
        IF(Import.TipoArredondamento&lt;&gt;"TransfereGOV",
              ROUND(OFFSET($P238,0,AY$13),15-13*ORÇAMENTO!$AF$7)/$H238*OFFSET(ORÇAMENTO!$X$15,ROW(AY238)-ROW(AY$15),0),
              ROUND(ROUND(OFFSET($P238,0,AY$13),15-13*ORÇAMENTO!$AF$7)*OFFSET(ORÇAMENTO!$W$15,ROW(AY238)-ROW(AY$15),0),15-13*ORÇAMENTO!$AF$11)),
         0)</f>
        <v>0</v>
      </c>
      <c r="AZ238" s="453">
        <f ca="1">IF(AND($D238="Serviço",AZ$12&lt;&gt;0,$H238&gt;0,OR(AUTOEVENTO&lt;&gt;"manual",$M238&lt;&gt;$A$15)),
        IF(Import.TipoArredondamento&lt;&gt;"TransfereGOV",
              ROUND(OFFSET($P238,0,AZ$13),15-13*ORÇAMENTO!$AF$7)/$H238*OFFSET(ORÇAMENTO!$X$15,ROW(AZ238)-ROW(AZ$15),0),
              ROUND(ROUND(OFFSET($P238,0,AZ$13),15-13*ORÇAMENTO!$AF$7)*OFFSET(ORÇAMENTO!$W$15,ROW(AZ238)-ROW(AZ$15),0),15-13*ORÇAMENTO!$AF$11)),
         0)</f>
        <v>0</v>
      </c>
      <c r="BA238" s="453">
        <f ca="1">IF(AND($D238="Serviço",BA$12&lt;&gt;0,$H238&gt;0,OR(AUTOEVENTO&lt;&gt;"manual",$M238&lt;&gt;$A$15)),
        IF(Import.TipoArredondamento&lt;&gt;"TransfereGOV",
              ROUND(OFFSET($P238,0,BA$13),15-13*ORÇAMENTO!$AF$7)/$H238*OFFSET(ORÇAMENTO!$X$15,ROW(BA238)-ROW(BA$15),0),
              ROUND(ROUND(OFFSET($P238,0,BA$13),15-13*ORÇAMENTO!$AF$7)*OFFSET(ORÇAMENTO!$W$15,ROW(BA238)-ROW(BA$15),0),15-13*ORÇAMENTO!$AF$11)),
         0)</f>
        <v>0</v>
      </c>
      <c r="BB238" s="453">
        <f ca="1">IF(AND($D238="Serviço",BB$12&lt;&gt;0,$H238&gt;0,OR(AUTOEVENTO&lt;&gt;"manual",$M238&lt;&gt;$A$15)),
        IF(Import.TipoArredondamento&lt;&gt;"TransfereGOV",
              ROUND(OFFSET($P238,0,BB$13),15-13*ORÇAMENTO!$AF$7)/$H238*OFFSET(ORÇAMENTO!$X$15,ROW(BB238)-ROW(BB$15),0),
              ROUND(ROUND(OFFSET($P238,0,BB$13),15-13*ORÇAMENTO!$AF$7)*OFFSET(ORÇAMENTO!$W$15,ROW(BB238)-ROW(BB$15),0),15-13*ORÇAMENTO!$AF$11)),
         0)</f>
        <v>0</v>
      </c>
      <c r="BC238" s="453">
        <f ca="1">IF(AND($D238="Serviço",BC$12&lt;&gt;0,$H238&gt;0,OR(AUTOEVENTO&lt;&gt;"manual",$M238&lt;&gt;$A$15)),
        IF(Import.TipoArredondamento&lt;&gt;"TransfereGOV",
              ROUND(OFFSET($P238,0,BC$13),15-13*ORÇAMENTO!$AF$7)/$H238*OFFSET(ORÇAMENTO!$X$15,ROW(BC238)-ROW(BC$15),0),
              ROUND(ROUND(OFFSET($P238,0,BC$13),15-13*ORÇAMENTO!$AF$7)*OFFSET(ORÇAMENTO!$W$15,ROW(BC238)-ROW(BC$15),0),15-13*ORÇAMENTO!$AF$11)),
         0)</f>
        <v>0</v>
      </c>
      <c r="BD238" s="453">
        <f ca="1">IF(AND($D238="Serviço",BD$12&lt;&gt;0,$H238&gt;0,OR(AUTOEVENTO&lt;&gt;"manual",$M238&lt;&gt;$A$15)),
        IF(Import.TipoArredondamento&lt;&gt;"TransfereGOV",
              ROUND(OFFSET($P238,0,BD$13),15-13*ORÇAMENTO!$AF$7)/$H238*OFFSET(ORÇAMENTO!$X$15,ROW(BD238)-ROW(BD$15),0),
              ROUND(ROUND(OFFSET($P238,0,BD$13),15-13*ORÇAMENTO!$AF$7)*OFFSET(ORÇAMENTO!$W$15,ROW(BD238)-ROW(BD$15),0),15-13*ORÇAMENTO!$AF$11)),
         0)</f>
        <v>0</v>
      </c>
      <c r="BE238" s="453">
        <f ca="1">IF(AND($D238="Serviço",BE$12&lt;&gt;0,$H238&gt;0,OR(AUTOEVENTO&lt;&gt;"manual",$M238&lt;&gt;$A$15)),
        IF(Import.TipoArredondamento&lt;&gt;"TransfereGOV",
              ROUND(OFFSET($P238,0,BE$13),15-13*ORÇAMENTO!$AF$7)/$H238*OFFSET(ORÇAMENTO!$X$15,ROW(BE238)-ROW(BE$15),0),
              ROUND(ROUND(OFFSET($P238,0,BE$13),15-13*ORÇAMENTO!$AF$7)*OFFSET(ORÇAMENTO!$W$15,ROW(BE238)-ROW(BE$15),0),15-13*ORÇAMENTO!$AF$11)),
         0)</f>
        <v>0</v>
      </c>
      <c r="BF238" s="453">
        <f ca="1">IF(AND($D238="Serviço",BF$12&lt;&gt;0,$H238&gt;0,OR(AUTOEVENTO&lt;&gt;"manual",$M238&lt;&gt;$A$15)),
        IF(Import.TipoArredondamento&lt;&gt;"TransfereGOV",
              ROUND(OFFSET($P238,0,BF$13),15-13*ORÇAMENTO!$AF$7)/$H238*OFFSET(ORÇAMENTO!$X$15,ROW(BF238)-ROW(BF$15),0),
              ROUND(ROUND(OFFSET($P238,0,BF$13),15-13*ORÇAMENTO!$AF$7)*OFFSET(ORÇAMENTO!$W$15,ROW(BF238)-ROW(BF$15),0),15-13*ORÇAMENTO!$AF$11)),
         0)</f>
        <v>0</v>
      </c>
      <c r="BG238" s="453">
        <f ca="1">IF(AND($D238="Serviço",BG$12&lt;&gt;0,$H238&gt;0,OR(AUTOEVENTO&lt;&gt;"manual",$M238&lt;&gt;$A$15)),
        IF(Import.TipoArredondamento&lt;&gt;"TransfereGOV",
              ROUND(OFFSET($P238,0,BG$13),15-13*ORÇAMENTO!$AF$7)/$H238*OFFSET(ORÇAMENTO!$X$15,ROW(BG238)-ROW(BG$15),0),
              ROUND(ROUND(OFFSET($P238,0,BG$13),15-13*ORÇAMENTO!$AF$7)*OFFSET(ORÇAMENTO!$W$15,ROW(BG238)-ROW(BG$15),0),15-13*ORÇAMENTO!$AF$11)),
         0)</f>
        <v>0</v>
      </c>
      <c r="BH238" s="453">
        <f ca="1">IF(AND($D238="Serviço",BH$12&lt;&gt;0,$H238&gt;0,OR(AUTOEVENTO&lt;&gt;"manual",$M238&lt;&gt;$A$15)),
        IF(Import.TipoArredondamento&lt;&gt;"TransfereGOV",
              ROUND(OFFSET($P238,0,BH$13),15-13*ORÇAMENTO!$AF$7)/$H238*OFFSET(ORÇAMENTO!$X$15,ROW(BH238)-ROW(BH$15),0),
              ROUND(ROUND(OFFSET($P238,0,BH$13),15-13*ORÇAMENTO!$AF$7)*OFFSET(ORÇAMENTO!$W$15,ROW(BH238)-ROW(BH$15),0),15-13*ORÇAMENTO!$AF$11)),
         0)</f>
        <v>0</v>
      </c>
      <c r="BI238" s="453">
        <f ca="1">IF(AND($D238="Serviço",BI$12&lt;&gt;0,$H238&gt;0,OR(AUTOEVENTO&lt;&gt;"manual",$M238&lt;&gt;$A$15)),
        IF(Import.TipoArredondamento&lt;&gt;"TransfereGOV",
              ROUND(OFFSET($P238,0,BI$13),15-13*ORÇAMENTO!$AF$7)/$H238*OFFSET(ORÇAMENTO!$X$15,ROW(BI238)-ROW(BI$15),0),
              ROUND(ROUND(OFFSET($P238,0,BI$13),15-13*ORÇAMENTO!$AF$7)*OFFSET(ORÇAMENTO!$W$15,ROW(BI238)-ROW(BI$15),0),15-13*ORÇAMENTO!$AF$11)),
         0)</f>
        <v>0</v>
      </c>
      <c r="BJ238" s="453">
        <f ca="1">IF(AND($D238="Serviço",BJ$12&lt;&gt;0,$H238&gt;0,OR(AUTOEVENTO&lt;&gt;"manual",$M238&lt;&gt;$A$15)),
        IF(Import.TipoArredondamento&lt;&gt;"TransfereGOV",
              ROUND(OFFSET($P238,0,BJ$13),15-13*ORÇAMENTO!$AF$7)/$H238*OFFSET(ORÇAMENTO!$X$15,ROW(BJ238)-ROW(BJ$15),0),
              ROUND(ROUND(OFFSET($P238,0,BJ$13),15-13*ORÇAMENTO!$AF$7)*OFFSET(ORÇAMENTO!$W$15,ROW(BJ238)-ROW(BJ$15),0),15-13*ORÇAMENTO!$AF$11)),
         0)</f>
        <v>0</v>
      </c>
      <c r="BK238" s="453">
        <f ca="1">IF(AND($D238="Serviço",BK$12&lt;&gt;0,$H238&gt;0,OR(AUTOEVENTO&lt;&gt;"manual",$M238&lt;&gt;$A$15)),
        IF(Import.TipoArredondamento&lt;&gt;"TransfereGOV",
              ROUND(OFFSET($P238,0,BK$13),15-13*ORÇAMENTO!$AF$7)/$H238*OFFSET(ORÇAMENTO!$X$15,ROW(BK238)-ROW(BK$15),0),
              ROUND(ROUND(OFFSET($P238,0,BK$13),15-13*ORÇAMENTO!$AF$7)*OFFSET(ORÇAMENTO!$W$15,ROW(BK238)-ROW(BK$15),0),15-13*ORÇAMENTO!$AF$11)),
         0)</f>
        <v>0</v>
      </c>
      <c r="BL238" s="453">
        <f ca="1">IF(AND($D238="Serviço",BL$12&lt;&gt;0,$H238&gt;0,OR(AUTOEVENTO&lt;&gt;"manual",$M238&lt;&gt;$A$15)),
        IF(Import.TipoArredondamento&lt;&gt;"TransfereGOV",
              ROUND(OFFSET($P238,0,BL$13),15-13*ORÇAMENTO!$AF$7)/$H238*OFFSET(ORÇAMENTO!$X$15,ROW(BL238)-ROW(BL$15),0),
              ROUND(ROUND(OFFSET($P238,0,BL$13),15-13*ORÇAMENTO!$AF$7)*OFFSET(ORÇAMENTO!$W$15,ROW(BL238)-ROW(BL$15),0),15-13*ORÇAMENTO!$AF$11)),
         0)</f>
        <v>0</v>
      </c>
      <c r="BM238" s="453">
        <f ca="1">IF(AND($D238="Serviço",BM$12&lt;&gt;0,$H238&gt;0,OR(AUTOEVENTO&lt;&gt;"manual",$M238&lt;&gt;$A$15)),
        IF(Import.TipoArredondamento&lt;&gt;"TransfereGOV",
              ROUND(OFFSET($P238,0,BM$13),15-13*ORÇAMENTO!$AF$7)/$H238*OFFSET(ORÇAMENTO!$X$15,ROW(BM238)-ROW(BM$15),0),
              ROUND(ROUND(OFFSET($P238,0,BM$13),15-13*ORÇAMENTO!$AF$7)*OFFSET(ORÇAMENTO!$W$15,ROW(BM238)-ROW(BM$15),0),15-13*ORÇAMENTO!$AF$11)),
         0)</f>
        <v>0</v>
      </c>
      <c r="BN238" s="453">
        <f ca="1">IF(AND($D238="Serviço",BN$12&lt;&gt;0,$H238&gt;0,OR(AUTOEVENTO&lt;&gt;"manual",$M238&lt;&gt;$A$15)),
        IF(Import.TipoArredondamento&lt;&gt;"TransfereGOV",
              ROUND(OFFSET($P238,0,BN$13),15-13*ORÇAMENTO!$AF$7)/$H238*OFFSET(ORÇAMENTO!$X$15,ROW(BN238)-ROW(BN$15),0),
              ROUND(ROUND(OFFSET($P238,0,BN$13),15-13*ORÇAMENTO!$AF$7)*OFFSET(ORÇAMENTO!$W$15,ROW(BN238)-ROW(BN$15),0),15-13*ORÇAMENTO!$AF$11)),
         0)</f>
        <v>0</v>
      </c>
      <c r="BO238" s="453">
        <f ca="1">IF(AND($D238="Serviço",BO$12&lt;&gt;0,$H238&gt;0,OR(AUTOEVENTO&lt;&gt;"manual",$M238&lt;&gt;$A$15)),
        IF(Import.TipoArredondamento&lt;&gt;"TransfereGOV",
              ROUND(OFFSET($P238,0,BO$13),15-13*ORÇAMENTO!$AF$7)/$H238*OFFSET(ORÇAMENTO!$X$15,ROW(BO238)-ROW(BO$15),0),
              ROUND(ROUND(OFFSET($P238,0,BO$13),15-13*ORÇAMENTO!$AF$7)*OFFSET(ORÇAMENTO!$W$15,ROW(BO238)-ROW(BO$15),0),15-13*ORÇAMENTO!$AF$11)),
         0)</f>
        <v>0</v>
      </c>
      <c r="BP238" s="453">
        <f ca="1">IF(AND($D238="Serviço",BP$12&lt;&gt;0,$H238&gt;0,OR(AUTOEVENTO&lt;&gt;"manual",$M238&lt;&gt;$A$15)),
        IF(Import.TipoArredondamento&lt;&gt;"TransfereGOV",
              ROUND(OFFSET($P238,0,BP$13),15-13*ORÇAMENTO!$AF$7)/$H238*OFFSET(ORÇAMENTO!$X$15,ROW(BP238)-ROW(BP$15),0),
              ROUND(ROUND(OFFSET($P238,0,BP$13),15-13*ORÇAMENTO!$AF$7)*OFFSET(ORÇAMENTO!$W$15,ROW(BP238)-ROW(BP$15),0),15-13*ORÇAMENTO!$AF$11)),
         0)</f>
        <v>0</v>
      </c>
      <c r="BQ238" s="453">
        <f ca="1">IF(AND($D238="Serviço",BQ$12&lt;&gt;0,$H238&gt;0,OR(AUTOEVENTO&lt;&gt;"manual",$M238&lt;&gt;$A$15)),
        IF(Import.TipoArredondamento&lt;&gt;"TransfereGOV",
              ROUND(OFFSET($P238,0,BQ$13),15-13*ORÇAMENTO!$AF$7)/$H238*OFFSET(ORÇAMENTO!$X$15,ROW(BQ238)-ROW(BQ$15),0),
              ROUND(ROUND(OFFSET($P238,0,BQ$13),15-13*ORÇAMENTO!$AF$7)*OFFSET(ORÇAMENTO!$W$15,ROW(BQ238)-ROW(BQ$15),0),15-13*ORÇAMENTO!$AF$11)),
         0)</f>
        <v>0</v>
      </c>
      <c r="BS238" s="171">
        <f ca="1">IF(OR($D238&lt;&gt;"Serviço",AND(AUTOEVENTO="Manual",$M238=$A$15)),0,
         IF(OFFSET(CRONOPLE!$F$15,$M238-$A$15,BS$13)=0,10^12,OFFSET(CRONOPLE!$F$15,$M238-$A$15,BS$13)))</f>
        <v>1</v>
      </c>
      <c r="BT238" s="171">
        <f ca="1">IF(OR($D238&lt;&gt;"Serviço",AND(AUTOEVENTO="Manual",$M238=$A$15)),0,
         IF(OFFSET(CRONOPLE!$F$15,$M238-$A$15,BT$13)=0,10^12,OFFSET(CRONOPLE!$F$15,$M238-$A$15,BT$13)))</f>
        <v>2</v>
      </c>
      <c r="BU238" s="171">
        <f ca="1">IF(OR($D238&lt;&gt;"Serviço",AND(AUTOEVENTO="Manual",$M238=$A$15)),0,
         IF(OFFSET(CRONOPLE!$F$15,$M238-$A$15,BU$13)=0,10^12,OFFSET(CRONOPLE!$F$15,$M238-$A$15,BU$13)))</f>
        <v>3</v>
      </c>
      <c r="BV238" s="171">
        <f ca="1">IF(OR($D238&lt;&gt;"Serviço",AND(AUTOEVENTO="Manual",$M238=$A$15)),0,
         IF(OFFSET(CRONOPLE!$F$15,$M238-$A$15,BV$13)=0,10^12,OFFSET(CRONOPLE!$F$15,$M238-$A$15,BV$13)))</f>
        <v>4</v>
      </c>
      <c r="BW238" s="171">
        <f ca="1">IF(OR($D238&lt;&gt;"Serviço",AND(AUTOEVENTO="Manual",$M238=$A$15)),0,
         IF(OFFSET(CRONOPLE!$F$15,$M238-$A$15,BW$13)=0,10^12,OFFSET(CRONOPLE!$F$15,$M238-$A$15,BW$13)))</f>
        <v>5</v>
      </c>
      <c r="BX238" s="171">
        <f ca="1">IF(OR($D238&lt;&gt;"Serviço",AND(AUTOEVENTO="Manual",$M238=$A$15)),0,
         IF(OFFSET(CRONOPLE!$F$15,$M238-$A$15,BX$13)=0,10^12,OFFSET(CRONOPLE!$F$15,$M238-$A$15,BX$13)))</f>
        <v>6</v>
      </c>
      <c r="BY238" s="171">
        <f ca="1">IF(OR($D238&lt;&gt;"Serviço",AND(AUTOEVENTO="Manual",$M238=$A$15)),0,
         IF(OFFSET(CRONOPLE!$F$15,$M238-$A$15,BY$13)=0,10^12,OFFSET(CRONOPLE!$F$15,$M238-$A$15,BY$13)))</f>
        <v>7</v>
      </c>
      <c r="BZ238" s="171">
        <f ca="1">IF(OR($D238&lt;&gt;"Serviço",AND(AUTOEVENTO="Manual",$M238=$A$15)),0,
         IF(OFFSET(CRONOPLE!$F$15,$M238-$A$15,BZ$13)=0,10^12,OFFSET(CRONOPLE!$F$15,$M238-$A$15,BZ$13)))</f>
        <v>8</v>
      </c>
      <c r="CA238" s="171">
        <f ca="1">IF(OR($D238&lt;&gt;"Serviço",AND(AUTOEVENTO="Manual",$M238=$A$15)),0,
         IF(OFFSET(CRONOPLE!$F$15,$M238-$A$15,CA$13)=0,10^12,OFFSET(CRONOPLE!$F$15,$M238-$A$15,CA$13)))</f>
        <v>9</v>
      </c>
      <c r="CB238" s="171">
        <f ca="1">IF(OR($D238&lt;&gt;"Serviço",AND(AUTOEVENTO="Manual",$M238=$A$15)),0,
         IF(OFFSET(CRONOPLE!$F$15,$M238-$A$15,CB$13)=0,10^12,OFFSET(CRONOPLE!$F$15,$M238-$A$15,CB$13)))</f>
        <v>10</v>
      </c>
      <c r="CC238" s="171">
        <f ca="1">IF(OR($D238&lt;&gt;"Serviço",AND(AUTOEVENTO="Manual",$M238=$A$15)),0,
         IF(OFFSET(CRONOPLE!$F$15,$M238-$A$15,CC$13)=0,10^12,OFFSET(CRONOPLE!$F$15,$M238-$A$15,CC$13)))</f>
        <v>11</v>
      </c>
      <c r="CD238" s="171">
        <f ca="1">IF(OR($D238&lt;&gt;"Serviço",AND(AUTOEVENTO="Manual",$M238=$A$15)),0,
         IF(OFFSET(CRONOPLE!$F$15,$M238-$A$15,CD$13)=0,10^12,OFFSET(CRONOPLE!$F$15,$M238-$A$15,CD$13)))</f>
        <v>12</v>
      </c>
      <c r="CE238" s="171">
        <f ca="1">IF(OR($D238&lt;&gt;"Serviço",AND(AUTOEVENTO="Manual",$M238=$A$15)),0,
         IF(OFFSET(CRONOPLE!$F$15,$M238-$A$15,CE$13)=0,10^12,OFFSET(CRONOPLE!$F$15,$M238-$A$15,CE$13)))</f>
        <v>13</v>
      </c>
      <c r="CF238" s="171">
        <f ca="1">IF(OR($D238&lt;&gt;"Serviço",AND(AUTOEVENTO="Manual",$M238=$A$15)),0,
         IF(OFFSET(CRONOPLE!$F$15,$M238-$A$15,CF$13)=0,10^12,OFFSET(CRONOPLE!$F$15,$M238-$A$15,CF$13)))</f>
        <v>14</v>
      </c>
      <c r="CG238" s="171">
        <f ca="1">IF(OR($D238&lt;&gt;"Serviço",AND(AUTOEVENTO="Manual",$M238=$A$15)),0,
         IF(OFFSET(CRONOPLE!$F$15,$M238-$A$15,CG$13)=0,10^12,OFFSET(CRONOPLE!$F$15,$M238-$A$15,CG$13)))</f>
        <v>15</v>
      </c>
      <c r="CH238" s="171">
        <f ca="1">IF(OR($D238&lt;&gt;"Serviço",AND(AUTOEVENTO="Manual",$M238=$A$15)),0,
         IF(OFFSET(CRONOPLE!$F$15,$M238-$A$15,CH$13)=0,10^12,OFFSET(CRONOPLE!$F$15,$M238-$A$15,CH$13)))</f>
        <v>16</v>
      </c>
      <c r="CI238" s="171">
        <f ca="1">IF(OR($D238&lt;&gt;"Serviço",AND(AUTOEVENTO="Manual",$M238=$A$15)),0,
         IF(OFFSET(CRONOPLE!$F$15,$M238-$A$15,CI$13)=0,10^12,OFFSET(CRONOPLE!$F$15,$M238-$A$15,CI$13)))</f>
        <v>17</v>
      </c>
      <c r="CJ238" s="171">
        <f ca="1">IF(OR($D238&lt;&gt;"Serviço",AND(AUTOEVENTO="Manual",$M238=$A$15)),0,
         IF(OFFSET(CRONOPLE!$F$15,$M238-$A$15,CJ$13)=0,10^12,OFFSET(CRONOPLE!$F$15,$M238-$A$15,CJ$13)))</f>
        <v>18</v>
      </c>
      <c r="CK238" s="171">
        <f ca="1">IF(OR($D238&lt;&gt;"Serviço",AND(AUTOEVENTO="Manual",$M238=$A$15)),0,
         IF(OFFSET(CRONOPLE!$F$15,$M238-$A$15,CK$13)=0,10^12,OFFSET(CRONOPLE!$F$15,$M238-$A$15,CK$13)))</f>
        <v>19</v>
      </c>
      <c r="CL238" s="171">
        <f ca="1">IF(OR($D238&lt;&gt;"Serviço",AND(AUTOEVENTO="Manual",$M238=$A$15)),0,
         IF(OFFSET(CRONOPLE!$F$15,$M238-$A$15,CL$13)=0,10^12,OFFSET(CRONOPLE!$F$15,$M238-$A$15,CL$13)))</f>
        <v>20</v>
      </c>
      <c r="CM238" s="171">
        <f ca="1">IF(OR($D238&lt;&gt;"Serviço",AND(AUTOEVENTO="Manual",$M238=$A$15)),0,
         IF(OFFSET(CRONOPLE!$F$15,$M238-$A$15,CM$13)=0,10^12,OFFSET(CRONOPLE!$F$15,$M238-$A$15,CM$13)))</f>
        <v>1000000000000</v>
      </c>
      <c r="CN238" s="171">
        <f ca="1">IF(OR($D238&lt;&gt;"Serviço",AND(AUTOEVENTO="Manual",$M238=$A$15)),0,
         IF(OFFSET(CRONOPLE!$F$15,$M238-$A$15,CN$13)=0,10^12,OFFSET(CRONOPLE!$F$15,$M238-$A$15,CN$13)))</f>
        <v>1000000000000</v>
      </c>
      <c r="CO238" s="171">
        <f ca="1">IF(OR($D238&lt;&gt;"Serviço",AND(AUTOEVENTO="Manual",$M238=$A$15)),0,
         IF(OFFSET(CRONOPLE!$F$15,$M238-$A$15,CO$13)=0,10^12,OFFSET(CRONOPLE!$F$15,$M238-$A$15,CO$13)))</f>
        <v>1000000000000</v>
      </c>
      <c r="CP238" s="171">
        <f ca="1">IF(OR($D238&lt;&gt;"Serviço",AND(AUTOEVENTO="Manual",$M238=$A$15)),0,
         IF(OFFSET(CRONOPLE!$F$15,$M238-$A$15,CP$13)=0,10^12,OFFSET(CRONOPLE!$F$15,$M238-$A$15,CP$13)))</f>
        <v>1000000000000</v>
      </c>
      <c r="CQ238" s="171">
        <f ca="1">IF(OR($D238&lt;&gt;"Serviço",AND(AUTOEVENTO="Manual",$M238=$A$15)),0,
         IF(OFFSET(CRONOPLE!$F$15,$M238-$A$15,CQ$13)=0,10^12,OFFSET(CRONOPLE!$F$15,$M238-$A$15,CQ$13)))</f>
        <v>1000000000000</v>
      </c>
      <c r="CR238" s="171">
        <f ca="1">IF(OR($D238&lt;&gt;"Serviço",AND(AUTOEVENTO="Manual",$M238=$A$15)),0,
         IF(OFFSET(CRONOPLE!$F$15,$M238-$A$15,CR$13)=0,10^12,OFFSET(CRONOPLE!$F$15,$M238-$A$15,CR$13)))</f>
        <v>1000000000000</v>
      </c>
      <c r="CT238" s="172" cm="1">
        <f t="array" aca="1" ref="CT238" ca="1">IF(OR($D238&lt;&gt;"Serviço",AND(AUTOEVENTO="Manual",$M238=$A$15),$M238&gt;(ROW(PLE.lastrow)-ROW(PLE.firstrow))),0,
           IF(OFFSET(PLE!$G$15,$M238-$A$15,CT$13)="",10^12,OFFSET(PLE!$G$15,$M238-$A$15,CT$13)))</f>
        <v>1000000000000</v>
      </c>
      <c r="CU238" s="172" cm="1">
        <f t="array" aca="1" ref="CU238" ca="1">IF(OR($D238&lt;&gt;"Serviço",AND(AUTOEVENTO="Manual",$M238=$A$15),$M238&gt;(ROW(PLE.lastrow)-ROW(PLE.firstrow))),0,
           IF(OFFSET(PLE!$G$15,$M238-$A$15,CU$13)="",10^12,OFFSET(PLE!$G$15,$M238-$A$15,CU$13)))</f>
        <v>1000000000000</v>
      </c>
      <c r="CV238" s="172" cm="1">
        <f t="array" aca="1" ref="CV238" ca="1">IF(OR($D238&lt;&gt;"Serviço",AND(AUTOEVENTO="Manual",$M238=$A$15),$M238&gt;(ROW(PLE.lastrow)-ROW(PLE.firstrow))),0,
           IF(OFFSET(PLE!$G$15,$M238-$A$15,CV$13)="",10^12,OFFSET(PLE!$G$15,$M238-$A$15,CV$13)))</f>
        <v>1000000000000</v>
      </c>
      <c r="CW238" s="172" cm="1">
        <f t="array" aca="1" ref="CW238" ca="1">IF(OR($D238&lt;&gt;"Serviço",AND(AUTOEVENTO="Manual",$M238=$A$15),$M238&gt;(ROW(PLE.lastrow)-ROW(PLE.firstrow))),0,
           IF(OFFSET(PLE!$G$15,$M238-$A$15,CW$13)="",10^12,OFFSET(PLE!$G$15,$M238-$A$15,CW$13)))</f>
        <v>1000000000000</v>
      </c>
      <c r="CX238" s="172" cm="1">
        <f t="array" aca="1" ref="CX238" ca="1">IF(OR($D238&lt;&gt;"Serviço",AND(AUTOEVENTO="Manual",$M238=$A$15),$M238&gt;(ROW(PLE.lastrow)-ROW(PLE.firstrow))),0,
           IF(OFFSET(PLE!$G$15,$M238-$A$15,CX$13)="",10^12,OFFSET(PLE!$G$15,$M238-$A$15,CX$13)))</f>
        <v>1000000000000</v>
      </c>
      <c r="CY238" s="172" cm="1">
        <f t="array" aca="1" ref="CY238" ca="1">IF(OR($D238&lt;&gt;"Serviço",AND(AUTOEVENTO="Manual",$M238=$A$15),$M238&gt;(ROW(PLE.lastrow)-ROW(PLE.firstrow))),0,
           IF(OFFSET(PLE!$G$15,$M238-$A$15,CY$13)="",10^12,OFFSET(PLE!$G$15,$M238-$A$15,CY$13)))</f>
        <v>1000000000000</v>
      </c>
      <c r="CZ238" s="172" cm="1">
        <f t="array" aca="1" ref="CZ238" ca="1">IF(OR($D238&lt;&gt;"Serviço",AND(AUTOEVENTO="Manual",$M238=$A$15),$M238&gt;(ROW(PLE.lastrow)-ROW(PLE.firstrow))),0,
           IF(OFFSET(PLE!$G$15,$M238-$A$15,CZ$13)="",10^12,OFFSET(PLE!$G$15,$M238-$A$15,CZ$13)))</f>
        <v>1000000000000</v>
      </c>
      <c r="DA238" s="172" cm="1">
        <f t="array" aca="1" ref="DA238" ca="1">IF(OR($D238&lt;&gt;"Serviço",AND(AUTOEVENTO="Manual",$M238=$A$15),$M238&gt;(ROW(PLE.lastrow)-ROW(PLE.firstrow))),0,
           IF(OFFSET(PLE!$G$15,$M238-$A$15,DA$13)="",10^12,OFFSET(PLE!$G$15,$M238-$A$15,DA$13)))</f>
        <v>1000000000000</v>
      </c>
      <c r="DB238" s="172" cm="1">
        <f t="array" aca="1" ref="DB238" ca="1">IF(OR($D238&lt;&gt;"Serviço",AND(AUTOEVENTO="Manual",$M238=$A$15),$M238&gt;(ROW(PLE.lastrow)-ROW(PLE.firstrow))),0,
           IF(OFFSET(PLE!$G$15,$M238-$A$15,DB$13)="",10^12,OFFSET(PLE!$G$15,$M238-$A$15,DB$13)))</f>
        <v>1000000000000</v>
      </c>
      <c r="DC238" s="172" cm="1">
        <f t="array" aca="1" ref="DC238" ca="1">IF(OR($D238&lt;&gt;"Serviço",AND(AUTOEVENTO="Manual",$M238=$A$15),$M238&gt;(ROW(PLE.lastrow)-ROW(PLE.firstrow))),0,
           IF(OFFSET(PLE!$G$15,$M238-$A$15,DC$13)="",10^12,OFFSET(PLE!$G$15,$M238-$A$15,DC$13)))</f>
        <v>1000000000000</v>
      </c>
      <c r="DD238" s="172" cm="1">
        <f t="array" aca="1" ref="DD238" ca="1">IF(OR($D238&lt;&gt;"Serviço",AND(AUTOEVENTO="Manual",$M238=$A$15),$M238&gt;(ROW(PLE.lastrow)-ROW(PLE.firstrow))),0,
           IF(OFFSET(PLE!$G$15,$M238-$A$15,DD$13)="",10^12,OFFSET(PLE!$G$15,$M238-$A$15,DD$13)))</f>
        <v>1000000000000</v>
      </c>
      <c r="DE238" s="172" cm="1">
        <f t="array" aca="1" ref="DE238" ca="1">IF(OR($D238&lt;&gt;"Serviço",AND(AUTOEVENTO="Manual",$M238=$A$15),$M238&gt;(ROW(PLE.lastrow)-ROW(PLE.firstrow))),0,
           IF(OFFSET(PLE!$G$15,$M238-$A$15,DE$13)="",10^12,OFFSET(PLE!$G$15,$M238-$A$15,DE$13)))</f>
        <v>1000000000000</v>
      </c>
      <c r="DF238" s="172" cm="1">
        <f t="array" aca="1" ref="DF238" ca="1">IF(OR($D238&lt;&gt;"Serviço",AND(AUTOEVENTO="Manual",$M238=$A$15),$M238&gt;(ROW(PLE.lastrow)-ROW(PLE.firstrow))),0,
           IF(OFFSET(PLE!$G$15,$M238-$A$15,DF$13)="",10^12,OFFSET(PLE!$G$15,$M238-$A$15,DF$13)))</f>
        <v>1000000000000</v>
      </c>
      <c r="DG238" s="172" cm="1">
        <f t="array" aca="1" ref="DG238" ca="1">IF(OR($D238&lt;&gt;"Serviço",AND(AUTOEVENTO="Manual",$M238=$A$15),$M238&gt;(ROW(PLE.lastrow)-ROW(PLE.firstrow))),0,
           IF(OFFSET(PLE!$G$15,$M238-$A$15,DG$13)="",10^12,OFFSET(PLE!$G$15,$M238-$A$15,DG$13)))</f>
        <v>1000000000000</v>
      </c>
      <c r="DH238" s="172" cm="1">
        <f t="array" aca="1" ref="DH238" ca="1">IF(OR($D238&lt;&gt;"Serviço",AND(AUTOEVENTO="Manual",$M238=$A$15),$M238&gt;(ROW(PLE.lastrow)-ROW(PLE.firstrow))),0,
           IF(OFFSET(PLE!$G$15,$M238-$A$15,DH$13)="",10^12,OFFSET(PLE!$G$15,$M238-$A$15,DH$13)))</f>
        <v>1000000000000</v>
      </c>
      <c r="DI238" s="172" cm="1">
        <f t="array" aca="1" ref="DI238" ca="1">IF(OR($D238&lt;&gt;"Serviço",AND(AUTOEVENTO="Manual",$M238=$A$15),$M238&gt;(ROW(PLE.lastrow)-ROW(PLE.firstrow))),0,
           IF(OFFSET(PLE!$G$15,$M238-$A$15,DI$13)="",10^12,OFFSET(PLE!$G$15,$M238-$A$15,DI$13)))</f>
        <v>1000000000000</v>
      </c>
      <c r="DJ238" s="172" cm="1">
        <f t="array" aca="1" ref="DJ238" ca="1">IF(OR($D238&lt;&gt;"Serviço",AND(AUTOEVENTO="Manual",$M238=$A$15),$M238&gt;(ROW(PLE.lastrow)-ROW(PLE.firstrow))),0,
           IF(OFFSET(PLE!$G$15,$M238-$A$15,DJ$13)="",10^12,OFFSET(PLE!$G$15,$M238-$A$15,DJ$13)))</f>
        <v>1000000000000</v>
      </c>
      <c r="DK238" s="172" cm="1">
        <f t="array" aca="1" ref="DK238" ca="1">IF(OR($D238&lt;&gt;"Serviço",AND(AUTOEVENTO="Manual",$M238=$A$15),$M238&gt;(ROW(PLE.lastrow)-ROW(PLE.firstrow))),0,
           IF(OFFSET(PLE!$G$15,$M238-$A$15,DK$13)="",10^12,OFFSET(PLE!$G$15,$M238-$A$15,DK$13)))</f>
        <v>1000000000000</v>
      </c>
      <c r="DL238" s="172" cm="1">
        <f t="array" aca="1" ref="DL238" ca="1">IF(OR($D238&lt;&gt;"Serviço",AND(AUTOEVENTO="Manual",$M238=$A$15),$M238&gt;(ROW(PLE.lastrow)-ROW(PLE.firstrow))),0,
           IF(OFFSET(PLE!$G$15,$M238-$A$15,DL$13)="",10^12,OFFSET(PLE!$G$15,$M238-$A$15,DL$13)))</f>
        <v>1000000000000</v>
      </c>
      <c r="DM238" s="172" cm="1">
        <f t="array" aca="1" ref="DM238" ca="1">IF(OR($D238&lt;&gt;"Serviço",AND(AUTOEVENTO="Manual",$M238=$A$15),$M238&gt;(ROW(PLE.lastrow)-ROW(PLE.firstrow))),0,
           IF(OFFSET(PLE!$G$15,$M238-$A$15,DM$13)="",10^12,OFFSET(PLE!$G$15,$M238-$A$15,DM$13)))</f>
        <v>1000000000000</v>
      </c>
      <c r="DN238" s="172" cm="1">
        <f t="array" aca="1" ref="DN238" ca="1">IF(OR($D238&lt;&gt;"Serviço",AND(AUTOEVENTO="Manual",$M238=$A$15),$M238&gt;(ROW(PLE.lastrow)-ROW(PLE.firstrow))),0,
           IF(OFFSET(PLE!$G$15,$M238-$A$15,DN$13)="",10^12,OFFSET(PLE!$G$15,$M238-$A$15,DN$13)))</f>
        <v>1000000000000</v>
      </c>
      <c r="DO238" s="172" cm="1">
        <f t="array" aca="1" ref="DO238" ca="1">IF(OR($D238&lt;&gt;"Serviço",AND(AUTOEVENTO="Manual",$M238=$A$15),$M238&gt;(ROW(PLE.lastrow)-ROW(PLE.firstrow))),0,
           IF(OFFSET(PLE!$G$15,$M238-$A$15,DO$13)="",10^12,OFFSET(PLE!$G$15,$M238-$A$15,DO$13)))</f>
        <v>1000000000000</v>
      </c>
      <c r="DP238" s="172" cm="1">
        <f t="array" aca="1" ref="DP238" ca="1">IF(OR($D238&lt;&gt;"Serviço",AND(AUTOEVENTO="Manual",$M238=$A$15),$M238&gt;(ROW(PLE.lastrow)-ROW(PLE.firstrow))),0,
           IF(OFFSET(PLE!$G$15,$M238-$A$15,DP$13)="",10^12,OFFSET(PLE!$G$15,$M238-$A$15,DP$13)))</f>
        <v>1000000000000</v>
      </c>
      <c r="DQ238" s="172" cm="1">
        <f t="array" aca="1" ref="DQ238" ca="1">IF(OR($D238&lt;&gt;"Serviço",AND(AUTOEVENTO="Manual",$M238=$A$15),$M238&gt;(ROW(PLE.lastrow)-ROW(PLE.firstrow))),0,
           IF(OFFSET(PLE!$G$15,$M238-$A$15,DQ$13)="",10^12,OFFSET(PLE!$G$15,$M238-$A$15,DQ$13)))</f>
        <v>1000000000000</v>
      </c>
      <c r="DR238" s="172" cm="1">
        <f t="array" aca="1" ref="DR238" ca="1">IF(OR($D238&lt;&gt;"Serviço",AND(AUTOEVENTO="Manual",$M238=$A$15),$M238&gt;(ROW(PLE.lastrow)-ROW(PLE.firstrow))),0,
           IF(OFFSET(PLE!$G$15,$M238-$A$15,DR$13)="",10^12,OFFSET(PLE!$G$15,$M238-$A$15,DR$13)))</f>
        <v>1000000000000</v>
      </c>
      <c r="DS238" s="172" cm="1">
        <f t="array" aca="1" ref="DS238" ca="1">IF(OR($D238&lt;&gt;"Serviço",AND(AUTOEVENTO="Manual",$M238=$A$15),$M238&gt;(ROW(PLE.lastrow)-ROW(PLE.firstrow))),0,
           IF(OFFSET(PLE!$G$15,$M238-$A$15,DS$13)="",10^12,OFFSET(PLE!$G$15,$M238-$A$15,DS$13)))</f>
        <v>1000000000000</v>
      </c>
    </row>
    <row r="239" spans="1:123" ht="25.5" x14ac:dyDescent="0.2">
      <c r="A239" s="7">
        <f t="shared" ca="1" si="19"/>
        <v>10</v>
      </c>
      <c r="B239" s="7" t="str">
        <f ca="1">OFFSET(ORÇAMENTO!C$15,$L239,0)</f>
        <v>S</v>
      </c>
      <c r="C239" s="7" t="str">
        <f ca="1">OFFSET(ORÇAMENTO!L$15,$L239,0)</f>
        <v/>
      </c>
      <c r="D239" s="116" t="str">
        <f ca="1">OFFSET(ORÇAMENTO!N$15,$L239,0)</f>
        <v>Serviço</v>
      </c>
      <c r="E239" s="117" t="str">
        <f ca="1">OFFSET(ORÇAMENTO!O$15,$L239,0)</f>
        <v>-</v>
      </c>
      <c r="F239" s="163" t="str">
        <f ca="1">OFFSET(ORÇAMENTO!R$15,$L239,0)</f>
        <v>(Código não identificado nas referências)</v>
      </c>
      <c r="G239" s="164" t="str">
        <f ca="1">IF($D239&lt;&gt;"Serviço","",OFFSET(ORÇAMENTO!S$15,$L239,0))</f>
        <v>-</v>
      </c>
      <c r="H239" s="122" cm="1">
        <f t="array" aca="1" ref="H239" ca="1">IF($D239&lt;&gt;"Serviço",0,IF(ACOMPANHAMENTO="BM",ROUND(OFFSET(ORÇAMENTO!AJ$15,$L239,0),15-13*ORÇAMENTO!$AF$7),IF(IFERROR(CÁLCULO.FrentesPreenchidas,0)=0,0,SUM(ROUND(OFFSET($P239,0,1,1,CÁLCULO.FrentesPreenchidas),15-13*ORÇAMENTO!$AF$7)))))</f>
        <v>80</v>
      </c>
      <c r="I239" s="468" t="s">
        <v>1235</v>
      </c>
      <c r="J239" s="651" t="str" cm="1">
        <f t="array" aca="1" ref="J239" ca="1">IF(OR(B239&lt;&gt;"S",CÁLCULO.FrentesPreenchidas=0),"",IF(AND(ACOMPANHAMENTO="PLE",AUTOEVENTO="Manual",OR(H239&gt;0,ORÇAMENTO!AC239="QUANT."),OR(K239="",M239=0,N239="")),"►E",IF(AND(ACOMPANHAMENTO="PLE",ORÇAMENTO!AC239="QUANT."),"►Q",IF(AND(ACOMPANHAMENTO="PLE",H239&lt;&gt;SUMPRODUCT(($Q$1:$AQ$1=1)*ROUND(Q239:AQ239,15))),"►S",IF(AND(COUNTIF($P$11:$AQ$11,"▼")=0,H239&gt;0,I239=""),"◄M","")))))</f>
        <v/>
      </c>
      <c r="K239" s="652" t="s">
        <v>1258</v>
      </c>
      <c r="L239" s="165">
        <f t="shared" ca="1" si="20"/>
        <v>224</v>
      </c>
      <c r="M239" s="166">
        <f ca="1">IF($D239&lt;&gt;"Serviço","",
          IF(AUTOEVENTO="manual",$A239,
                IF(ISERROR(MATCH($A239,$A$15:OFFSET($A239,-1,0),0)),MAX($M$15:OFFSET(M239,-1,0))+1,
                      INDEX($M$15:OFFSET(M239,-1,0),MATCH($A239,$A$15:OFFSET($A239,-1,0),0)))))</f>
        <v>10</v>
      </c>
      <c r="N239" s="167" t="str">
        <f ca="1">IF($D239&lt;&gt;"Serviço","",
         IF(AUTOEVENTO="Manual",
                IF($A239=0,"&lt;-- defina o número do agrupador",
                       OFFSET(EVENTOS!$D$15,$A239-$A$15,0)),
                OFFSET($F$15,$A239,0)))</f>
        <v>COMPLEMENTAÇÕES</v>
      </c>
      <c r="O239" s="168"/>
      <c r="Q239" s="168">
        <v>3.9999999999999996</v>
      </c>
      <c r="R239" s="169">
        <v>3.9999999999999996</v>
      </c>
      <c r="S239" s="169">
        <v>3.9999999999999996</v>
      </c>
      <c r="T239" s="169">
        <v>3.9999999999999996</v>
      </c>
      <c r="U239" s="169">
        <v>3.9999999999999996</v>
      </c>
      <c r="V239" s="169">
        <v>3.9999999999999996</v>
      </c>
      <c r="W239" s="169">
        <v>3.9999999999999996</v>
      </c>
      <c r="X239" s="169">
        <v>3.9999999999999996</v>
      </c>
      <c r="Y239" s="169">
        <v>3.9999999999999996</v>
      </c>
      <c r="Z239" s="170">
        <v>3.9999999999999996</v>
      </c>
      <c r="AA239" s="169">
        <v>3.9999999999999996</v>
      </c>
      <c r="AB239" s="169">
        <v>3.9999999999999996</v>
      </c>
      <c r="AC239" s="169">
        <v>3.9999999999999996</v>
      </c>
      <c r="AD239" s="169">
        <v>3.9999999999999996</v>
      </c>
      <c r="AE239" s="169">
        <v>3.9999999999999996</v>
      </c>
      <c r="AF239" s="169">
        <v>3.9999999999999996</v>
      </c>
      <c r="AG239" s="169">
        <v>3.9999999999999996</v>
      </c>
      <c r="AH239" s="170">
        <v>3.9999999999999996</v>
      </c>
      <c r="AI239" s="169">
        <v>3.9999999999999996</v>
      </c>
      <c r="AJ239" s="169">
        <v>3.9999999999999996</v>
      </c>
      <c r="AK239" s="169"/>
      <c r="AL239" s="169"/>
      <c r="AM239" s="169"/>
      <c r="AN239" s="169"/>
      <c r="AO239" s="169"/>
      <c r="AP239" s="170"/>
      <c r="AR239" s="453">
        <f ca="1">IF(AND($D239="Serviço",AR$12&lt;&gt;0,$H239&gt;0,OR(AUTOEVENTO&lt;&gt;"manual",$M239&lt;&gt;$A$15)),
        IF(Import.TipoArredondamento&lt;&gt;"TransfereGOV",
              ROUND(OFFSET($P239,0,AR$13),15-13*ORÇAMENTO!$AF$7)/$H239*OFFSET(ORÇAMENTO!$X$15,ROW(AR239)-ROW(AR$15),0),
              ROUND(ROUND(OFFSET($P239,0,AR$13),15-13*ORÇAMENTO!$AF$7)*OFFSET(ORÇAMENTO!$W$15,ROW(AR239)-ROW(AR$15),0),15-13*ORÇAMENTO!$AF$11)),
         0)</f>
        <v>0</v>
      </c>
      <c r="AS239" s="453">
        <f ca="1">IF(AND($D239="Serviço",AS$12&lt;&gt;0,$H239&gt;0,OR(AUTOEVENTO&lt;&gt;"manual",$M239&lt;&gt;$A$15)),
        IF(Import.TipoArredondamento&lt;&gt;"TransfereGOV",
              ROUND(OFFSET($P239,0,AS$13),15-13*ORÇAMENTO!$AF$7)/$H239*OFFSET(ORÇAMENTO!$X$15,ROW(AS239)-ROW(AS$15),0),
              ROUND(ROUND(OFFSET($P239,0,AS$13),15-13*ORÇAMENTO!$AF$7)*OFFSET(ORÇAMENTO!$W$15,ROW(AS239)-ROW(AS$15),0),15-13*ORÇAMENTO!$AF$11)),
         0)</f>
        <v>0</v>
      </c>
      <c r="AT239" s="453">
        <f ca="1">IF(AND($D239="Serviço",AT$12&lt;&gt;0,$H239&gt;0,OR(AUTOEVENTO&lt;&gt;"manual",$M239&lt;&gt;$A$15)),
        IF(Import.TipoArredondamento&lt;&gt;"TransfereGOV",
              ROUND(OFFSET($P239,0,AT$13),15-13*ORÇAMENTO!$AF$7)/$H239*OFFSET(ORÇAMENTO!$X$15,ROW(AT239)-ROW(AT$15),0),
              ROUND(ROUND(OFFSET($P239,0,AT$13),15-13*ORÇAMENTO!$AF$7)*OFFSET(ORÇAMENTO!$W$15,ROW(AT239)-ROW(AT$15),0),15-13*ORÇAMENTO!$AF$11)),
         0)</f>
        <v>0</v>
      </c>
      <c r="AU239" s="453">
        <f ca="1">IF(AND($D239="Serviço",AU$12&lt;&gt;0,$H239&gt;0,OR(AUTOEVENTO&lt;&gt;"manual",$M239&lt;&gt;$A$15)),
        IF(Import.TipoArredondamento&lt;&gt;"TransfereGOV",
              ROUND(OFFSET($P239,0,AU$13),15-13*ORÇAMENTO!$AF$7)/$H239*OFFSET(ORÇAMENTO!$X$15,ROW(AU239)-ROW(AU$15),0),
              ROUND(ROUND(OFFSET($P239,0,AU$13),15-13*ORÇAMENTO!$AF$7)*OFFSET(ORÇAMENTO!$W$15,ROW(AU239)-ROW(AU$15),0),15-13*ORÇAMENTO!$AF$11)),
         0)</f>
        <v>0</v>
      </c>
      <c r="AV239" s="453">
        <f ca="1">IF(AND($D239="Serviço",AV$12&lt;&gt;0,$H239&gt;0,OR(AUTOEVENTO&lt;&gt;"manual",$M239&lt;&gt;$A$15)),
        IF(Import.TipoArredondamento&lt;&gt;"TransfereGOV",
              ROUND(OFFSET($P239,0,AV$13),15-13*ORÇAMENTO!$AF$7)/$H239*OFFSET(ORÇAMENTO!$X$15,ROW(AV239)-ROW(AV$15),0),
              ROUND(ROUND(OFFSET($P239,0,AV$13),15-13*ORÇAMENTO!$AF$7)*OFFSET(ORÇAMENTO!$W$15,ROW(AV239)-ROW(AV$15),0),15-13*ORÇAMENTO!$AF$11)),
         0)</f>
        <v>0</v>
      </c>
      <c r="AW239" s="453">
        <f ca="1">IF(AND($D239="Serviço",AW$12&lt;&gt;0,$H239&gt;0,OR(AUTOEVENTO&lt;&gt;"manual",$M239&lt;&gt;$A$15)),
        IF(Import.TipoArredondamento&lt;&gt;"TransfereGOV",
              ROUND(OFFSET($P239,0,AW$13),15-13*ORÇAMENTO!$AF$7)/$H239*OFFSET(ORÇAMENTO!$X$15,ROW(AW239)-ROW(AW$15),0),
              ROUND(ROUND(OFFSET($P239,0,AW$13),15-13*ORÇAMENTO!$AF$7)*OFFSET(ORÇAMENTO!$W$15,ROW(AW239)-ROW(AW$15),0),15-13*ORÇAMENTO!$AF$11)),
         0)</f>
        <v>0</v>
      </c>
      <c r="AX239" s="453">
        <f ca="1">IF(AND($D239="Serviço",AX$12&lt;&gt;0,$H239&gt;0,OR(AUTOEVENTO&lt;&gt;"manual",$M239&lt;&gt;$A$15)),
        IF(Import.TipoArredondamento&lt;&gt;"TransfereGOV",
              ROUND(OFFSET($P239,0,AX$13),15-13*ORÇAMENTO!$AF$7)/$H239*OFFSET(ORÇAMENTO!$X$15,ROW(AX239)-ROW(AX$15),0),
              ROUND(ROUND(OFFSET($P239,0,AX$13),15-13*ORÇAMENTO!$AF$7)*OFFSET(ORÇAMENTO!$W$15,ROW(AX239)-ROW(AX$15),0),15-13*ORÇAMENTO!$AF$11)),
         0)</f>
        <v>0</v>
      </c>
      <c r="AY239" s="453">
        <f ca="1">IF(AND($D239="Serviço",AY$12&lt;&gt;0,$H239&gt;0,OR(AUTOEVENTO&lt;&gt;"manual",$M239&lt;&gt;$A$15)),
        IF(Import.TipoArredondamento&lt;&gt;"TransfereGOV",
              ROUND(OFFSET($P239,0,AY$13),15-13*ORÇAMENTO!$AF$7)/$H239*OFFSET(ORÇAMENTO!$X$15,ROW(AY239)-ROW(AY$15),0),
              ROUND(ROUND(OFFSET($P239,0,AY$13),15-13*ORÇAMENTO!$AF$7)*OFFSET(ORÇAMENTO!$W$15,ROW(AY239)-ROW(AY$15),0),15-13*ORÇAMENTO!$AF$11)),
         0)</f>
        <v>0</v>
      </c>
      <c r="AZ239" s="453">
        <f ca="1">IF(AND($D239="Serviço",AZ$12&lt;&gt;0,$H239&gt;0,OR(AUTOEVENTO&lt;&gt;"manual",$M239&lt;&gt;$A$15)),
        IF(Import.TipoArredondamento&lt;&gt;"TransfereGOV",
              ROUND(OFFSET($P239,0,AZ$13),15-13*ORÇAMENTO!$AF$7)/$H239*OFFSET(ORÇAMENTO!$X$15,ROW(AZ239)-ROW(AZ$15),0),
              ROUND(ROUND(OFFSET($P239,0,AZ$13),15-13*ORÇAMENTO!$AF$7)*OFFSET(ORÇAMENTO!$W$15,ROW(AZ239)-ROW(AZ$15),0),15-13*ORÇAMENTO!$AF$11)),
         0)</f>
        <v>0</v>
      </c>
      <c r="BA239" s="453">
        <f ca="1">IF(AND($D239="Serviço",BA$12&lt;&gt;0,$H239&gt;0,OR(AUTOEVENTO&lt;&gt;"manual",$M239&lt;&gt;$A$15)),
        IF(Import.TipoArredondamento&lt;&gt;"TransfereGOV",
              ROUND(OFFSET($P239,0,BA$13),15-13*ORÇAMENTO!$AF$7)/$H239*OFFSET(ORÇAMENTO!$X$15,ROW(BA239)-ROW(BA$15),0),
              ROUND(ROUND(OFFSET($P239,0,BA$13),15-13*ORÇAMENTO!$AF$7)*OFFSET(ORÇAMENTO!$W$15,ROW(BA239)-ROW(BA$15),0),15-13*ORÇAMENTO!$AF$11)),
         0)</f>
        <v>0</v>
      </c>
      <c r="BB239" s="453">
        <f ca="1">IF(AND($D239="Serviço",BB$12&lt;&gt;0,$H239&gt;0,OR(AUTOEVENTO&lt;&gt;"manual",$M239&lt;&gt;$A$15)),
        IF(Import.TipoArredondamento&lt;&gt;"TransfereGOV",
              ROUND(OFFSET($P239,0,BB$13),15-13*ORÇAMENTO!$AF$7)/$H239*OFFSET(ORÇAMENTO!$X$15,ROW(BB239)-ROW(BB$15),0),
              ROUND(ROUND(OFFSET($P239,0,BB$13),15-13*ORÇAMENTO!$AF$7)*OFFSET(ORÇAMENTO!$W$15,ROW(BB239)-ROW(BB$15),0),15-13*ORÇAMENTO!$AF$11)),
         0)</f>
        <v>0</v>
      </c>
      <c r="BC239" s="453">
        <f ca="1">IF(AND($D239="Serviço",BC$12&lt;&gt;0,$H239&gt;0,OR(AUTOEVENTO&lt;&gt;"manual",$M239&lt;&gt;$A$15)),
        IF(Import.TipoArredondamento&lt;&gt;"TransfereGOV",
              ROUND(OFFSET($P239,0,BC$13),15-13*ORÇAMENTO!$AF$7)/$H239*OFFSET(ORÇAMENTO!$X$15,ROW(BC239)-ROW(BC$15),0),
              ROUND(ROUND(OFFSET($P239,0,BC$13),15-13*ORÇAMENTO!$AF$7)*OFFSET(ORÇAMENTO!$W$15,ROW(BC239)-ROW(BC$15),0),15-13*ORÇAMENTO!$AF$11)),
         0)</f>
        <v>0</v>
      </c>
      <c r="BD239" s="453">
        <f ca="1">IF(AND($D239="Serviço",BD$12&lt;&gt;0,$H239&gt;0,OR(AUTOEVENTO&lt;&gt;"manual",$M239&lt;&gt;$A$15)),
        IF(Import.TipoArredondamento&lt;&gt;"TransfereGOV",
              ROUND(OFFSET($P239,0,BD$13),15-13*ORÇAMENTO!$AF$7)/$H239*OFFSET(ORÇAMENTO!$X$15,ROW(BD239)-ROW(BD$15),0),
              ROUND(ROUND(OFFSET($P239,0,BD$13),15-13*ORÇAMENTO!$AF$7)*OFFSET(ORÇAMENTO!$W$15,ROW(BD239)-ROW(BD$15),0),15-13*ORÇAMENTO!$AF$11)),
         0)</f>
        <v>0</v>
      </c>
      <c r="BE239" s="453">
        <f ca="1">IF(AND($D239="Serviço",BE$12&lt;&gt;0,$H239&gt;0,OR(AUTOEVENTO&lt;&gt;"manual",$M239&lt;&gt;$A$15)),
        IF(Import.TipoArredondamento&lt;&gt;"TransfereGOV",
              ROUND(OFFSET($P239,0,BE$13),15-13*ORÇAMENTO!$AF$7)/$H239*OFFSET(ORÇAMENTO!$X$15,ROW(BE239)-ROW(BE$15),0),
              ROUND(ROUND(OFFSET($P239,0,BE$13),15-13*ORÇAMENTO!$AF$7)*OFFSET(ORÇAMENTO!$W$15,ROW(BE239)-ROW(BE$15),0),15-13*ORÇAMENTO!$AF$11)),
         0)</f>
        <v>0</v>
      </c>
      <c r="BF239" s="453">
        <f ca="1">IF(AND($D239="Serviço",BF$12&lt;&gt;0,$H239&gt;0,OR(AUTOEVENTO&lt;&gt;"manual",$M239&lt;&gt;$A$15)),
        IF(Import.TipoArredondamento&lt;&gt;"TransfereGOV",
              ROUND(OFFSET($P239,0,BF$13),15-13*ORÇAMENTO!$AF$7)/$H239*OFFSET(ORÇAMENTO!$X$15,ROW(BF239)-ROW(BF$15),0),
              ROUND(ROUND(OFFSET($P239,0,BF$13),15-13*ORÇAMENTO!$AF$7)*OFFSET(ORÇAMENTO!$W$15,ROW(BF239)-ROW(BF$15),0),15-13*ORÇAMENTO!$AF$11)),
         0)</f>
        <v>0</v>
      </c>
      <c r="BG239" s="453">
        <f ca="1">IF(AND($D239="Serviço",BG$12&lt;&gt;0,$H239&gt;0,OR(AUTOEVENTO&lt;&gt;"manual",$M239&lt;&gt;$A$15)),
        IF(Import.TipoArredondamento&lt;&gt;"TransfereGOV",
              ROUND(OFFSET($P239,0,BG$13),15-13*ORÇAMENTO!$AF$7)/$H239*OFFSET(ORÇAMENTO!$X$15,ROW(BG239)-ROW(BG$15),0),
              ROUND(ROUND(OFFSET($P239,0,BG$13),15-13*ORÇAMENTO!$AF$7)*OFFSET(ORÇAMENTO!$W$15,ROW(BG239)-ROW(BG$15),0),15-13*ORÇAMENTO!$AF$11)),
         0)</f>
        <v>0</v>
      </c>
      <c r="BH239" s="453">
        <f ca="1">IF(AND($D239="Serviço",BH$12&lt;&gt;0,$H239&gt;0,OR(AUTOEVENTO&lt;&gt;"manual",$M239&lt;&gt;$A$15)),
        IF(Import.TipoArredondamento&lt;&gt;"TransfereGOV",
              ROUND(OFFSET($P239,0,BH$13),15-13*ORÇAMENTO!$AF$7)/$H239*OFFSET(ORÇAMENTO!$X$15,ROW(BH239)-ROW(BH$15),0),
              ROUND(ROUND(OFFSET($P239,0,BH$13),15-13*ORÇAMENTO!$AF$7)*OFFSET(ORÇAMENTO!$W$15,ROW(BH239)-ROW(BH$15),0),15-13*ORÇAMENTO!$AF$11)),
         0)</f>
        <v>0</v>
      </c>
      <c r="BI239" s="453">
        <f ca="1">IF(AND($D239="Serviço",BI$12&lt;&gt;0,$H239&gt;0,OR(AUTOEVENTO&lt;&gt;"manual",$M239&lt;&gt;$A$15)),
        IF(Import.TipoArredondamento&lt;&gt;"TransfereGOV",
              ROUND(OFFSET($P239,0,BI$13),15-13*ORÇAMENTO!$AF$7)/$H239*OFFSET(ORÇAMENTO!$X$15,ROW(BI239)-ROW(BI$15),0),
              ROUND(ROUND(OFFSET($P239,0,BI$13),15-13*ORÇAMENTO!$AF$7)*OFFSET(ORÇAMENTO!$W$15,ROW(BI239)-ROW(BI$15),0),15-13*ORÇAMENTO!$AF$11)),
         0)</f>
        <v>0</v>
      </c>
      <c r="BJ239" s="453">
        <f ca="1">IF(AND($D239="Serviço",BJ$12&lt;&gt;0,$H239&gt;0,OR(AUTOEVENTO&lt;&gt;"manual",$M239&lt;&gt;$A$15)),
        IF(Import.TipoArredondamento&lt;&gt;"TransfereGOV",
              ROUND(OFFSET($P239,0,BJ$13),15-13*ORÇAMENTO!$AF$7)/$H239*OFFSET(ORÇAMENTO!$X$15,ROW(BJ239)-ROW(BJ$15),0),
              ROUND(ROUND(OFFSET($P239,0,BJ$13),15-13*ORÇAMENTO!$AF$7)*OFFSET(ORÇAMENTO!$W$15,ROW(BJ239)-ROW(BJ$15),0),15-13*ORÇAMENTO!$AF$11)),
         0)</f>
        <v>0</v>
      </c>
      <c r="BK239" s="453">
        <f ca="1">IF(AND($D239="Serviço",BK$12&lt;&gt;0,$H239&gt;0,OR(AUTOEVENTO&lt;&gt;"manual",$M239&lt;&gt;$A$15)),
        IF(Import.TipoArredondamento&lt;&gt;"TransfereGOV",
              ROUND(OFFSET($P239,0,BK$13),15-13*ORÇAMENTO!$AF$7)/$H239*OFFSET(ORÇAMENTO!$X$15,ROW(BK239)-ROW(BK$15),0),
              ROUND(ROUND(OFFSET($P239,0,BK$13),15-13*ORÇAMENTO!$AF$7)*OFFSET(ORÇAMENTO!$W$15,ROW(BK239)-ROW(BK$15),0),15-13*ORÇAMENTO!$AF$11)),
         0)</f>
        <v>0</v>
      </c>
      <c r="BL239" s="453">
        <f ca="1">IF(AND($D239="Serviço",BL$12&lt;&gt;0,$H239&gt;0,OR(AUTOEVENTO&lt;&gt;"manual",$M239&lt;&gt;$A$15)),
        IF(Import.TipoArredondamento&lt;&gt;"TransfereGOV",
              ROUND(OFFSET($P239,0,BL$13),15-13*ORÇAMENTO!$AF$7)/$H239*OFFSET(ORÇAMENTO!$X$15,ROW(BL239)-ROW(BL$15),0),
              ROUND(ROUND(OFFSET($P239,0,BL$13),15-13*ORÇAMENTO!$AF$7)*OFFSET(ORÇAMENTO!$W$15,ROW(BL239)-ROW(BL$15),0),15-13*ORÇAMENTO!$AF$11)),
         0)</f>
        <v>0</v>
      </c>
      <c r="BM239" s="453">
        <f ca="1">IF(AND($D239="Serviço",BM$12&lt;&gt;0,$H239&gt;0,OR(AUTOEVENTO&lt;&gt;"manual",$M239&lt;&gt;$A$15)),
        IF(Import.TipoArredondamento&lt;&gt;"TransfereGOV",
              ROUND(OFFSET($P239,0,BM$13),15-13*ORÇAMENTO!$AF$7)/$H239*OFFSET(ORÇAMENTO!$X$15,ROW(BM239)-ROW(BM$15),0),
              ROUND(ROUND(OFFSET($P239,0,BM$13),15-13*ORÇAMENTO!$AF$7)*OFFSET(ORÇAMENTO!$W$15,ROW(BM239)-ROW(BM$15),0),15-13*ORÇAMENTO!$AF$11)),
         0)</f>
        <v>0</v>
      </c>
      <c r="BN239" s="453">
        <f ca="1">IF(AND($D239="Serviço",BN$12&lt;&gt;0,$H239&gt;0,OR(AUTOEVENTO&lt;&gt;"manual",$M239&lt;&gt;$A$15)),
        IF(Import.TipoArredondamento&lt;&gt;"TransfereGOV",
              ROUND(OFFSET($P239,0,BN$13),15-13*ORÇAMENTO!$AF$7)/$H239*OFFSET(ORÇAMENTO!$X$15,ROW(BN239)-ROW(BN$15),0),
              ROUND(ROUND(OFFSET($P239,0,BN$13),15-13*ORÇAMENTO!$AF$7)*OFFSET(ORÇAMENTO!$W$15,ROW(BN239)-ROW(BN$15),0),15-13*ORÇAMENTO!$AF$11)),
         0)</f>
        <v>0</v>
      </c>
      <c r="BO239" s="453">
        <f ca="1">IF(AND($D239="Serviço",BO$12&lt;&gt;0,$H239&gt;0,OR(AUTOEVENTO&lt;&gt;"manual",$M239&lt;&gt;$A$15)),
        IF(Import.TipoArredondamento&lt;&gt;"TransfereGOV",
              ROUND(OFFSET($P239,0,BO$13),15-13*ORÇAMENTO!$AF$7)/$H239*OFFSET(ORÇAMENTO!$X$15,ROW(BO239)-ROW(BO$15),0),
              ROUND(ROUND(OFFSET($P239,0,BO$13),15-13*ORÇAMENTO!$AF$7)*OFFSET(ORÇAMENTO!$W$15,ROW(BO239)-ROW(BO$15),0),15-13*ORÇAMENTO!$AF$11)),
         0)</f>
        <v>0</v>
      </c>
      <c r="BP239" s="453">
        <f ca="1">IF(AND($D239="Serviço",BP$12&lt;&gt;0,$H239&gt;0,OR(AUTOEVENTO&lt;&gt;"manual",$M239&lt;&gt;$A$15)),
        IF(Import.TipoArredondamento&lt;&gt;"TransfereGOV",
              ROUND(OFFSET($P239,0,BP$13),15-13*ORÇAMENTO!$AF$7)/$H239*OFFSET(ORÇAMENTO!$X$15,ROW(BP239)-ROW(BP$15),0),
              ROUND(ROUND(OFFSET($P239,0,BP$13),15-13*ORÇAMENTO!$AF$7)*OFFSET(ORÇAMENTO!$W$15,ROW(BP239)-ROW(BP$15),0),15-13*ORÇAMENTO!$AF$11)),
         0)</f>
        <v>0</v>
      </c>
      <c r="BQ239" s="453">
        <f ca="1">IF(AND($D239="Serviço",BQ$12&lt;&gt;0,$H239&gt;0,OR(AUTOEVENTO&lt;&gt;"manual",$M239&lt;&gt;$A$15)),
        IF(Import.TipoArredondamento&lt;&gt;"TransfereGOV",
              ROUND(OFFSET($P239,0,BQ$13),15-13*ORÇAMENTO!$AF$7)/$H239*OFFSET(ORÇAMENTO!$X$15,ROW(BQ239)-ROW(BQ$15),0),
              ROUND(ROUND(OFFSET($P239,0,BQ$13),15-13*ORÇAMENTO!$AF$7)*OFFSET(ORÇAMENTO!$W$15,ROW(BQ239)-ROW(BQ$15),0),15-13*ORÇAMENTO!$AF$11)),
         0)</f>
        <v>0</v>
      </c>
      <c r="BS239" s="171">
        <f ca="1">IF(OR($D239&lt;&gt;"Serviço",AND(AUTOEVENTO="Manual",$M239=$A$15)),0,
         IF(OFFSET(CRONOPLE!$F$15,$M239-$A$15,BS$13)=0,10^12,OFFSET(CRONOPLE!$F$15,$M239-$A$15,BS$13)))</f>
        <v>1</v>
      </c>
      <c r="BT239" s="171">
        <f ca="1">IF(OR($D239&lt;&gt;"Serviço",AND(AUTOEVENTO="Manual",$M239=$A$15)),0,
         IF(OFFSET(CRONOPLE!$F$15,$M239-$A$15,BT$13)=0,10^12,OFFSET(CRONOPLE!$F$15,$M239-$A$15,BT$13)))</f>
        <v>2</v>
      </c>
      <c r="BU239" s="171">
        <f ca="1">IF(OR($D239&lt;&gt;"Serviço",AND(AUTOEVENTO="Manual",$M239=$A$15)),0,
         IF(OFFSET(CRONOPLE!$F$15,$M239-$A$15,BU$13)=0,10^12,OFFSET(CRONOPLE!$F$15,$M239-$A$15,BU$13)))</f>
        <v>3</v>
      </c>
      <c r="BV239" s="171">
        <f ca="1">IF(OR($D239&lt;&gt;"Serviço",AND(AUTOEVENTO="Manual",$M239=$A$15)),0,
         IF(OFFSET(CRONOPLE!$F$15,$M239-$A$15,BV$13)=0,10^12,OFFSET(CRONOPLE!$F$15,$M239-$A$15,BV$13)))</f>
        <v>4</v>
      </c>
      <c r="BW239" s="171">
        <f ca="1">IF(OR($D239&lt;&gt;"Serviço",AND(AUTOEVENTO="Manual",$M239=$A$15)),0,
         IF(OFFSET(CRONOPLE!$F$15,$M239-$A$15,BW$13)=0,10^12,OFFSET(CRONOPLE!$F$15,$M239-$A$15,BW$13)))</f>
        <v>5</v>
      </c>
      <c r="BX239" s="171">
        <f ca="1">IF(OR($D239&lt;&gt;"Serviço",AND(AUTOEVENTO="Manual",$M239=$A$15)),0,
         IF(OFFSET(CRONOPLE!$F$15,$M239-$A$15,BX$13)=0,10^12,OFFSET(CRONOPLE!$F$15,$M239-$A$15,BX$13)))</f>
        <v>6</v>
      </c>
      <c r="BY239" s="171">
        <f ca="1">IF(OR($D239&lt;&gt;"Serviço",AND(AUTOEVENTO="Manual",$M239=$A$15)),0,
         IF(OFFSET(CRONOPLE!$F$15,$M239-$A$15,BY$13)=0,10^12,OFFSET(CRONOPLE!$F$15,$M239-$A$15,BY$13)))</f>
        <v>7</v>
      </c>
      <c r="BZ239" s="171">
        <f ca="1">IF(OR($D239&lt;&gt;"Serviço",AND(AUTOEVENTO="Manual",$M239=$A$15)),0,
         IF(OFFSET(CRONOPLE!$F$15,$M239-$A$15,BZ$13)=0,10^12,OFFSET(CRONOPLE!$F$15,$M239-$A$15,BZ$13)))</f>
        <v>8</v>
      </c>
      <c r="CA239" s="171">
        <f ca="1">IF(OR($D239&lt;&gt;"Serviço",AND(AUTOEVENTO="Manual",$M239=$A$15)),0,
         IF(OFFSET(CRONOPLE!$F$15,$M239-$A$15,CA$13)=0,10^12,OFFSET(CRONOPLE!$F$15,$M239-$A$15,CA$13)))</f>
        <v>9</v>
      </c>
      <c r="CB239" s="171">
        <f ca="1">IF(OR($D239&lt;&gt;"Serviço",AND(AUTOEVENTO="Manual",$M239=$A$15)),0,
         IF(OFFSET(CRONOPLE!$F$15,$M239-$A$15,CB$13)=0,10^12,OFFSET(CRONOPLE!$F$15,$M239-$A$15,CB$13)))</f>
        <v>10</v>
      </c>
      <c r="CC239" s="171">
        <f ca="1">IF(OR($D239&lt;&gt;"Serviço",AND(AUTOEVENTO="Manual",$M239=$A$15)),0,
         IF(OFFSET(CRONOPLE!$F$15,$M239-$A$15,CC$13)=0,10^12,OFFSET(CRONOPLE!$F$15,$M239-$A$15,CC$13)))</f>
        <v>11</v>
      </c>
      <c r="CD239" s="171">
        <f ca="1">IF(OR($D239&lt;&gt;"Serviço",AND(AUTOEVENTO="Manual",$M239=$A$15)),0,
         IF(OFFSET(CRONOPLE!$F$15,$M239-$A$15,CD$13)=0,10^12,OFFSET(CRONOPLE!$F$15,$M239-$A$15,CD$13)))</f>
        <v>12</v>
      </c>
      <c r="CE239" s="171">
        <f ca="1">IF(OR($D239&lt;&gt;"Serviço",AND(AUTOEVENTO="Manual",$M239=$A$15)),0,
         IF(OFFSET(CRONOPLE!$F$15,$M239-$A$15,CE$13)=0,10^12,OFFSET(CRONOPLE!$F$15,$M239-$A$15,CE$13)))</f>
        <v>13</v>
      </c>
      <c r="CF239" s="171">
        <f ca="1">IF(OR($D239&lt;&gt;"Serviço",AND(AUTOEVENTO="Manual",$M239=$A$15)),0,
         IF(OFFSET(CRONOPLE!$F$15,$M239-$A$15,CF$13)=0,10^12,OFFSET(CRONOPLE!$F$15,$M239-$A$15,CF$13)))</f>
        <v>14</v>
      </c>
      <c r="CG239" s="171">
        <f ca="1">IF(OR($D239&lt;&gt;"Serviço",AND(AUTOEVENTO="Manual",$M239=$A$15)),0,
         IF(OFFSET(CRONOPLE!$F$15,$M239-$A$15,CG$13)=0,10^12,OFFSET(CRONOPLE!$F$15,$M239-$A$15,CG$13)))</f>
        <v>15</v>
      </c>
      <c r="CH239" s="171">
        <f ca="1">IF(OR($D239&lt;&gt;"Serviço",AND(AUTOEVENTO="Manual",$M239=$A$15)),0,
         IF(OFFSET(CRONOPLE!$F$15,$M239-$A$15,CH$13)=0,10^12,OFFSET(CRONOPLE!$F$15,$M239-$A$15,CH$13)))</f>
        <v>16</v>
      </c>
      <c r="CI239" s="171">
        <f ca="1">IF(OR($D239&lt;&gt;"Serviço",AND(AUTOEVENTO="Manual",$M239=$A$15)),0,
         IF(OFFSET(CRONOPLE!$F$15,$M239-$A$15,CI$13)=0,10^12,OFFSET(CRONOPLE!$F$15,$M239-$A$15,CI$13)))</f>
        <v>17</v>
      </c>
      <c r="CJ239" s="171">
        <f ca="1">IF(OR($D239&lt;&gt;"Serviço",AND(AUTOEVENTO="Manual",$M239=$A$15)),0,
         IF(OFFSET(CRONOPLE!$F$15,$M239-$A$15,CJ$13)=0,10^12,OFFSET(CRONOPLE!$F$15,$M239-$A$15,CJ$13)))</f>
        <v>18</v>
      </c>
      <c r="CK239" s="171">
        <f ca="1">IF(OR($D239&lt;&gt;"Serviço",AND(AUTOEVENTO="Manual",$M239=$A$15)),0,
         IF(OFFSET(CRONOPLE!$F$15,$M239-$A$15,CK$13)=0,10^12,OFFSET(CRONOPLE!$F$15,$M239-$A$15,CK$13)))</f>
        <v>19</v>
      </c>
      <c r="CL239" s="171">
        <f ca="1">IF(OR($D239&lt;&gt;"Serviço",AND(AUTOEVENTO="Manual",$M239=$A$15)),0,
         IF(OFFSET(CRONOPLE!$F$15,$M239-$A$15,CL$13)=0,10^12,OFFSET(CRONOPLE!$F$15,$M239-$A$15,CL$13)))</f>
        <v>20</v>
      </c>
      <c r="CM239" s="171">
        <f ca="1">IF(OR($D239&lt;&gt;"Serviço",AND(AUTOEVENTO="Manual",$M239=$A$15)),0,
         IF(OFFSET(CRONOPLE!$F$15,$M239-$A$15,CM$13)=0,10^12,OFFSET(CRONOPLE!$F$15,$M239-$A$15,CM$13)))</f>
        <v>1000000000000</v>
      </c>
      <c r="CN239" s="171">
        <f ca="1">IF(OR($D239&lt;&gt;"Serviço",AND(AUTOEVENTO="Manual",$M239=$A$15)),0,
         IF(OFFSET(CRONOPLE!$F$15,$M239-$A$15,CN$13)=0,10^12,OFFSET(CRONOPLE!$F$15,$M239-$A$15,CN$13)))</f>
        <v>1000000000000</v>
      </c>
      <c r="CO239" s="171">
        <f ca="1">IF(OR($D239&lt;&gt;"Serviço",AND(AUTOEVENTO="Manual",$M239=$A$15)),0,
         IF(OFFSET(CRONOPLE!$F$15,$M239-$A$15,CO$13)=0,10^12,OFFSET(CRONOPLE!$F$15,$M239-$A$15,CO$13)))</f>
        <v>1000000000000</v>
      </c>
      <c r="CP239" s="171">
        <f ca="1">IF(OR($D239&lt;&gt;"Serviço",AND(AUTOEVENTO="Manual",$M239=$A$15)),0,
         IF(OFFSET(CRONOPLE!$F$15,$M239-$A$15,CP$13)=0,10^12,OFFSET(CRONOPLE!$F$15,$M239-$A$15,CP$13)))</f>
        <v>1000000000000</v>
      </c>
      <c r="CQ239" s="171">
        <f ca="1">IF(OR($D239&lt;&gt;"Serviço",AND(AUTOEVENTO="Manual",$M239=$A$15)),0,
         IF(OFFSET(CRONOPLE!$F$15,$M239-$A$15,CQ$13)=0,10^12,OFFSET(CRONOPLE!$F$15,$M239-$A$15,CQ$13)))</f>
        <v>1000000000000</v>
      </c>
      <c r="CR239" s="171">
        <f ca="1">IF(OR($D239&lt;&gt;"Serviço",AND(AUTOEVENTO="Manual",$M239=$A$15)),0,
         IF(OFFSET(CRONOPLE!$F$15,$M239-$A$15,CR$13)=0,10^12,OFFSET(CRONOPLE!$F$15,$M239-$A$15,CR$13)))</f>
        <v>1000000000000</v>
      </c>
      <c r="CT239" s="172" cm="1">
        <f t="array" aca="1" ref="CT239" ca="1">IF(OR($D239&lt;&gt;"Serviço",AND(AUTOEVENTO="Manual",$M239=$A$15),$M239&gt;(ROW(PLE.lastrow)-ROW(PLE.firstrow))),0,
           IF(OFFSET(PLE!$G$15,$M239-$A$15,CT$13)="",10^12,OFFSET(PLE!$G$15,$M239-$A$15,CT$13)))</f>
        <v>1000000000000</v>
      </c>
      <c r="CU239" s="172" cm="1">
        <f t="array" aca="1" ref="CU239" ca="1">IF(OR($D239&lt;&gt;"Serviço",AND(AUTOEVENTO="Manual",$M239=$A$15),$M239&gt;(ROW(PLE.lastrow)-ROW(PLE.firstrow))),0,
           IF(OFFSET(PLE!$G$15,$M239-$A$15,CU$13)="",10^12,OFFSET(PLE!$G$15,$M239-$A$15,CU$13)))</f>
        <v>1000000000000</v>
      </c>
      <c r="CV239" s="172" cm="1">
        <f t="array" aca="1" ref="CV239" ca="1">IF(OR($D239&lt;&gt;"Serviço",AND(AUTOEVENTO="Manual",$M239=$A$15),$M239&gt;(ROW(PLE.lastrow)-ROW(PLE.firstrow))),0,
           IF(OFFSET(PLE!$G$15,$M239-$A$15,CV$13)="",10^12,OFFSET(PLE!$G$15,$M239-$A$15,CV$13)))</f>
        <v>1000000000000</v>
      </c>
      <c r="CW239" s="172" cm="1">
        <f t="array" aca="1" ref="CW239" ca="1">IF(OR($D239&lt;&gt;"Serviço",AND(AUTOEVENTO="Manual",$M239=$A$15),$M239&gt;(ROW(PLE.lastrow)-ROW(PLE.firstrow))),0,
           IF(OFFSET(PLE!$G$15,$M239-$A$15,CW$13)="",10^12,OFFSET(PLE!$G$15,$M239-$A$15,CW$13)))</f>
        <v>1000000000000</v>
      </c>
      <c r="CX239" s="172" cm="1">
        <f t="array" aca="1" ref="CX239" ca="1">IF(OR($D239&lt;&gt;"Serviço",AND(AUTOEVENTO="Manual",$M239=$A$15),$M239&gt;(ROW(PLE.lastrow)-ROW(PLE.firstrow))),0,
           IF(OFFSET(PLE!$G$15,$M239-$A$15,CX$13)="",10^12,OFFSET(PLE!$G$15,$M239-$A$15,CX$13)))</f>
        <v>1000000000000</v>
      </c>
      <c r="CY239" s="172" cm="1">
        <f t="array" aca="1" ref="CY239" ca="1">IF(OR($D239&lt;&gt;"Serviço",AND(AUTOEVENTO="Manual",$M239=$A$15),$M239&gt;(ROW(PLE.lastrow)-ROW(PLE.firstrow))),0,
           IF(OFFSET(PLE!$G$15,$M239-$A$15,CY$13)="",10^12,OFFSET(PLE!$G$15,$M239-$A$15,CY$13)))</f>
        <v>1000000000000</v>
      </c>
      <c r="CZ239" s="172" cm="1">
        <f t="array" aca="1" ref="CZ239" ca="1">IF(OR($D239&lt;&gt;"Serviço",AND(AUTOEVENTO="Manual",$M239=$A$15),$M239&gt;(ROW(PLE.lastrow)-ROW(PLE.firstrow))),0,
           IF(OFFSET(PLE!$G$15,$M239-$A$15,CZ$13)="",10^12,OFFSET(PLE!$G$15,$M239-$A$15,CZ$13)))</f>
        <v>1000000000000</v>
      </c>
      <c r="DA239" s="172" cm="1">
        <f t="array" aca="1" ref="DA239" ca="1">IF(OR($D239&lt;&gt;"Serviço",AND(AUTOEVENTO="Manual",$M239=$A$15),$M239&gt;(ROW(PLE.lastrow)-ROW(PLE.firstrow))),0,
           IF(OFFSET(PLE!$G$15,$M239-$A$15,DA$13)="",10^12,OFFSET(PLE!$G$15,$M239-$A$15,DA$13)))</f>
        <v>1000000000000</v>
      </c>
      <c r="DB239" s="172" cm="1">
        <f t="array" aca="1" ref="DB239" ca="1">IF(OR($D239&lt;&gt;"Serviço",AND(AUTOEVENTO="Manual",$M239=$A$15),$M239&gt;(ROW(PLE.lastrow)-ROW(PLE.firstrow))),0,
           IF(OFFSET(PLE!$G$15,$M239-$A$15,DB$13)="",10^12,OFFSET(PLE!$G$15,$M239-$A$15,DB$13)))</f>
        <v>1000000000000</v>
      </c>
      <c r="DC239" s="172" cm="1">
        <f t="array" aca="1" ref="DC239" ca="1">IF(OR($D239&lt;&gt;"Serviço",AND(AUTOEVENTO="Manual",$M239=$A$15),$M239&gt;(ROW(PLE.lastrow)-ROW(PLE.firstrow))),0,
           IF(OFFSET(PLE!$G$15,$M239-$A$15,DC$13)="",10^12,OFFSET(PLE!$G$15,$M239-$A$15,DC$13)))</f>
        <v>1000000000000</v>
      </c>
      <c r="DD239" s="172" cm="1">
        <f t="array" aca="1" ref="DD239" ca="1">IF(OR($D239&lt;&gt;"Serviço",AND(AUTOEVENTO="Manual",$M239=$A$15),$M239&gt;(ROW(PLE.lastrow)-ROW(PLE.firstrow))),0,
           IF(OFFSET(PLE!$G$15,$M239-$A$15,DD$13)="",10^12,OFFSET(PLE!$G$15,$M239-$A$15,DD$13)))</f>
        <v>1000000000000</v>
      </c>
      <c r="DE239" s="172" cm="1">
        <f t="array" aca="1" ref="DE239" ca="1">IF(OR($D239&lt;&gt;"Serviço",AND(AUTOEVENTO="Manual",$M239=$A$15),$M239&gt;(ROW(PLE.lastrow)-ROW(PLE.firstrow))),0,
           IF(OFFSET(PLE!$G$15,$M239-$A$15,DE$13)="",10^12,OFFSET(PLE!$G$15,$M239-$A$15,DE$13)))</f>
        <v>1000000000000</v>
      </c>
      <c r="DF239" s="172" cm="1">
        <f t="array" aca="1" ref="DF239" ca="1">IF(OR($D239&lt;&gt;"Serviço",AND(AUTOEVENTO="Manual",$M239=$A$15),$M239&gt;(ROW(PLE.lastrow)-ROW(PLE.firstrow))),0,
           IF(OFFSET(PLE!$G$15,$M239-$A$15,DF$13)="",10^12,OFFSET(PLE!$G$15,$M239-$A$15,DF$13)))</f>
        <v>1000000000000</v>
      </c>
      <c r="DG239" s="172" cm="1">
        <f t="array" aca="1" ref="DG239" ca="1">IF(OR($D239&lt;&gt;"Serviço",AND(AUTOEVENTO="Manual",$M239=$A$15),$M239&gt;(ROW(PLE.lastrow)-ROW(PLE.firstrow))),0,
           IF(OFFSET(PLE!$G$15,$M239-$A$15,DG$13)="",10^12,OFFSET(PLE!$G$15,$M239-$A$15,DG$13)))</f>
        <v>1000000000000</v>
      </c>
      <c r="DH239" s="172" cm="1">
        <f t="array" aca="1" ref="DH239" ca="1">IF(OR($D239&lt;&gt;"Serviço",AND(AUTOEVENTO="Manual",$M239=$A$15),$M239&gt;(ROW(PLE.lastrow)-ROW(PLE.firstrow))),0,
           IF(OFFSET(PLE!$G$15,$M239-$A$15,DH$13)="",10^12,OFFSET(PLE!$G$15,$M239-$A$15,DH$13)))</f>
        <v>1000000000000</v>
      </c>
      <c r="DI239" s="172" cm="1">
        <f t="array" aca="1" ref="DI239" ca="1">IF(OR($D239&lt;&gt;"Serviço",AND(AUTOEVENTO="Manual",$M239=$A$15),$M239&gt;(ROW(PLE.lastrow)-ROW(PLE.firstrow))),0,
           IF(OFFSET(PLE!$G$15,$M239-$A$15,DI$13)="",10^12,OFFSET(PLE!$G$15,$M239-$A$15,DI$13)))</f>
        <v>1000000000000</v>
      </c>
      <c r="DJ239" s="172" cm="1">
        <f t="array" aca="1" ref="DJ239" ca="1">IF(OR($D239&lt;&gt;"Serviço",AND(AUTOEVENTO="Manual",$M239=$A$15),$M239&gt;(ROW(PLE.lastrow)-ROW(PLE.firstrow))),0,
           IF(OFFSET(PLE!$G$15,$M239-$A$15,DJ$13)="",10^12,OFFSET(PLE!$G$15,$M239-$A$15,DJ$13)))</f>
        <v>1000000000000</v>
      </c>
      <c r="DK239" s="172" cm="1">
        <f t="array" aca="1" ref="DK239" ca="1">IF(OR($D239&lt;&gt;"Serviço",AND(AUTOEVENTO="Manual",$M239=$A$15),$M239&gt;(ROW(PLE.lastrow)-ROW(PLE.firstrow))),0,
           IF(OFFSET(PLE!$G$15,$M239-$A$15,DK$13)="",10^12,OFFSET(PLE!$G$15,$M239-$A$15,DK$13)))</f>
        <v>1000000000000</v>
      </c>
      <c r="DL239" s="172" cm="1">
        <f t="array" aca="1" ref="DL239" ca="1">IF(OR($D239&lt;&gt;"Serviço",AND(AUTOEVENTO="Manual",$M239=$A$15),$M239&gt;(ROW(PLE.lastrow)-ROW(PLE.firstrow))),0,
           IF(OFFSET(PLE!$G$15,$M239-$A$15,DL$13)="",10^12,OFFSET(PLE!$G$15,$M239-$A$15,DL$13)))</f>
        <v>1000000000000</v>
      </c>
      <c r="DM239" s="172" cm="1">
        <f t="array" aca="1" ref="DM239" ca="1">IF(OR($D239&lt;&gt;"Serviço",AND(AUTOEVENTO="Manual",$M239=$A$15),$M239&gt;(ROW(PLE.lastrow)-ROW(PLE.firstrow))),0,
           IF(OFFSET(PLE!$G$15,$M239-$A$15,DM$13)="",10^12,OFFSET(PLE!$G$15,$M239-$A$15,DM$13)))</f>
        <v>1000000000000</v>
      </c>
      <c r="DN239" s="172" cm="1">
        <f t="array" aca="1" ref="DN239" ca="1">IF(OR($D239&lt;&gt;"Serviço",AND(AUTOEVENTO="Manual",$M239=$A$15),$M239&gt;(ROW(PLE.lastrow)-ROW(PLE.firstrow))),0,
           IF(OFFSET(PLE!$G$15,$M239-$A$15,DN$13)="",10^12,OFFSET(PLE!$G$15,$M239-$A$15,DN$13)))</f>
        <v>1000000000000</v>
      </c>
      <c r="DO239" s="172" cm="1">
        <f t="array" aca="1" ref="DO239" ca="1">IF(OR($D239&lt;&gt;"Serviço",AND(AUTOEVENTO="Manual",$M239=$A$15),$M239&gt;(ROW(PLE.lastrow)-ROW(PLE.firstrow))),0,
           IF(OFFSET(PLE!$G$15,$M239-$A$15,DO$13)="",10^12,OFFSET(PLE!$G$15,$M239-$A$15,DO$13)))</f>
        <v>1000000000000</v>
      </c>
      <c r="DP239" s="172" cm="1">
        <f t="array" aca="1" ref="DP239" ca="1">IF(OR($D239&lt;&gt;"Serviço",AND(AUTOEVENTO="Manual",$M239=$A$15),$M239&gt;(ROW(PLE.lastrow)-ROW(PLE.firstrow))),0,
           IF(OFFSET(PLE!$G$15,$M239-$A$15,DP$13)="",10^12,OFFSET(PLE!$G$15,$M239-$A$15,DP$13)))</f>
        <v>1000000000000</v>
      </c>
      <c r="DQ239" s="172" cm="1">
        <f t="array" aca="1" ref="DQ239" ca="1">IF(OR($D239&lt;&gt;"Serviço",AND(AUTOEVENTO="Manual",$M239=$A$15),$M239&gt;(ROW(PLE.lastrow)-ROW(PLE.firstrow))),0,
           IF(OFFSET(PLE!$G$15,$M239-$A$15,DQ$13)="",10^12,OFFSET(PLE!$G$15,$M239-$A$15,DQ$13)))</f>
        <v>1000000000000</v>
      </c>
      <c r="DR239" s="172" cm="1">
        <f t="array" aca="1" ref="DR239" ca="1">IF(OR($D239&lt;&gt;"Serviço",AND(AUTOEVENTO="Manual",$M239=$A$15),$M239&gt;(ROW(PLE.lastrow)-ROW(PLE.firstrow))),0,
           IF(OFFSET(PLE!$G$15,$M239-$A$15,DR$13)="",10^12,OFFSET(PLE!$G$15,$M239-$A$15,DR$13)))</f>
        <v>1000000000000</v>
      </c>
      <c r="DS239" s="172" cm="1">
        <f t="array" aca="1" ref="DS239" ca="1">IF(OR($D239&lt;&gt;"Serviço",AND(AUTOEVENTO="Manual",$M239=$A$15),$M239&gt;(ROW(PLE.lastrow)-ROW(PLE.firstrow))),0,
           IF(OFFSET(PLE!$G$15,$M239-$A$15,DS$13)="",10^12,OFFSET(PLE!$G$15,$M239-$A$15,DS$13)))</f>
        <v>1000000000000</v>
      </c>
    </row>
    <row r="240" spans="1:123" ht="25.5" x14ac:dyDescent="0.2">
      <c r="A240" s="7">
        <f t="shared" ca="1" si="19"/>
        <v>10</v>
      </c>
      <c r="B240" s="7" t="str">
        <f ca="1">OFFSET(ORÇAMENTO!C$15,$L240,0)</f>
        <v>S</v>
      </c>
      <c r="C240" s="7" t="str">
        <f ca="1">OFFSET(ORÇAMENTO!L$15,$L240,0)</f>
        <v/>
      </c>
      <c r="D240" s="116" t="str">
        <f ca="1">OFFSET(ORÇAMENTO!N$15,$L240,0)</f>
        <v>Serviço</v>
      </c>
      <c r="E240" s="117" t="str">
        <f ca="1">OFFSET(ORÇAMENTO!O$15,$L240,0)</f>
        <v>-</v>
      </c>
      <c r="F240" s="163" t="str">
        <f ca="1">OFFSET(ORÇAMENTO!R$15,$L240,0)</f>
        <v>(Código não identificado nas referências)</v>
      </c>
      <c r="G240" s="164" t="str">
        <f ca="1">IF($D240&lt;&gt;"Serviço","",OFFSET(ORÇAMENTO!S$15,$L240,0))</f>
        <v>-</v>
      </c>
      <c r="H240" s="122" cm="1">
        <f t="array" aca="1" ref="H240" ca="1">IF($D240&lt;&gt;"Serviço",0,IF(ACOMPANHAMENTO="BM",ROUND(OFFSET(ORÇAMENTO!AJ$15,$L240,0),15-13*ORÇAMENTO!$AF$7),IF(IFERROR(CÁLCULO.FrentesPreenchidas,0)=0,0,SUM(ROUND(OFFSET($P240,0,1,1,CÁLCULO.FrentesPreenchidas),15-13*ORÇAMENTO!$AF$7)))))</f>
        <v>949.20000000000027</v>
      </c>
      <c r="I240" s="468" t="s">
        <v>1235</v>
      </c>
      <c r="J240" s="651" t="str" cm="1">
        <f t="array" aca="1" ref="J240" ca="1">IF(OR(B240&lt;&gt;"S",CÁLCULO.FrentesPreenchidas=0),"",IF(AND(ACOMPANHAMENTO="PLE",AUTOEVENTO="Manual",OR(H240&gt;0,ORÇAMENTO!AC240="QUANT."),OR(K240="",M240=0,N240="")),"►E",IF(AND(ACOMPANHAMENTO="PLE",ORÇAMENTO!AC240="QUANT."),"►Q",IF(AND(ACOMPANHAMENTO="PLE",H240&lt;&gt;SUMPRODUCT(($Q$1:$AQ$1=1)*ROUND(Q240:AQ240,15))),"►S",IF(AND(COUNTIF($P$11:$AQ$11,"▼")=0,H240&gt;0,I240=""),"◄M","")))))</f>
        <v/>
      </c>
      <c r="K240" s="652" t="s">
        <v>1258</v>
      </c>
      <c r="L240" s="165">
        <f t="shared" ca="1" si="20"/>
        <v>225</v>
      </c>
      <c r="M240" s="166">
        <f ca="1">IF($D240&lt;&gt;"Serviço","",
          IF(AUTOEVENTO="manual",$A240,
                IF(ISERROR(MATCH($A240,$A$15:OFFSET($A240,-1,0),0)),MAX($M$15:OFFSET(M240,-1,0))+1,
                      INDEX($M$15:OFFSET(M240,-1,0),MATCH($A240,$A$15:OFFSET($A240,-1,0),0)))))</f>
        <v>10</v>
      </c>
      <c r="N240" s="167" t="str">
        <f ca="1">IF($D240&lt;&gt;"Serviço","",
         IF(AUTOEVENTO="Manual",
                IF($A240=0,"&lt;-- defina o número do agrupador",
                       OFFSET(EVENTOS!$D$15,$A240-$A$15,0)),
                OFFSET($F$15,$A240,0)))</f>
        <v>COMPLEMENTAÇÕES</v>
      </c>
      <c r="O240" s="168"/>
      <c r="Q240" s="168">
        <v>47.46</v>
      </c>
      <c r="R240" s="169">
        <v>47.46</v>
      </c>
      <c r="S240" s="169">
        <v>47.46</v>
      </c>
      <c r="T240" s="169">
        <v>47.46</v>
      </c>
      <c r="U240" s="169">
        <v>47.46</v>
      </c>
      <c r="V240" s="169">
        <v>47.46</v>
      </c>
      <c r="W240" s="169">
        <v>47.46</v>
      </c>
      <c r="X240" s="169">
        <v>47.46</v>
      </c>
      <c r="Y240" s="169">
        <v>47.46</v>
      </c>
      <c r="Z240" s="170">
        <v>47.46</v>
      </c>
      <c r="AA240" s="169">
        <v>47.46</v>
      </c>
      <c r="AB240" s="169">
        <v>47.46</v>
      </c>
      <c r="AC240" s="169">
        <v>47.46</v>
      </c>
      <c r="AD240" s="169">
        <v>47.46</v>
      </c>
      <c r="AE240" s="169">
        <v>47.46</v>
      </c>
      <c r="AF240" s="169">
        <v>47.46</v>
      </c>
      <c r="AG240" s="169">
        <v>47.46</v>
      </c>
      <c r="AH240" s="170">
        <v>47.46</v>
      </c>
      <c r="AI240" s="169">
        <v>47.46</v>
      </c>
      <c r="AJ240" s="169">
        <v>47.46</v>
      </c>
      <c r="AK240" s="169"/>
      <c r="AL240" s="169"/>
      <c r="AM240" s="169"/>
      <c r="AN240" s="169"/>
      <c r="AO240" s="169"/>
      <c r="AP240" s="170"/>
      <c r="AR240" s="453">
        <f ca="1">IF(AND($D240="Serviço",AR$12&lt;&gt;0,$H240&gt;0,OR(AUTOEVENTO&lt;&gt;"manual",$M240&lt;&gt;$A$15)),
        IF(Import.TipoArredondamento&lt;&gt;"TransfereGOV",
              ROUND(OFFSET($P240,0,AR$13),15-13*ORÇAMENTO!$AF$7)/$H240*OFFSET(ORÇAMENTO!$X$15,ROW(AR240)-ROW(AR$15),0),
              ROUND(ROUND(OFFSET($P240,0,AR$13),15-13*ORÇAMENTO!$AF$7)*OFFSET(ORÇAMENTO!$W$15,ROW(AR240)-ROW(AR$15),0),15-13*ORÇAMENTO!$AF$11)),
         0)</f>
        <v>0</v>
      </c>
      <c r="AS240" s="453">
        <f ca="1">IF(AND($D240="Serviço",AS$12&lt;&gt;0,$H240&gt;0,OR(AUTOEVENTO&lt;&gt;"manual",$M240&lt;&gt;$A$15)),
        IF(Import.TipoArredondamento&lt;&gt;"TransfereGOV",
              ROUND(OFFSET($P240,0,AS$13),15-13*ORÇAMENTO!$AF$7)/$H240*OFFSET(ORÇAMENTO!$X$15,ROW(AS240)-ROW(AS$15),0),
              ROUND(ROUND(OFFSET($P240,0,AS$13),15-13*ORÇAMENTO!$AF$7)*OFFSET(ORÇAMENTO!$W$15,ROW(AS240)-ROW(AS$15),0),15-13*ORÇAMENTO!$AF$11)),
         0)</f>
        <v>0</v>
      </c>
      <c r="AT240" s="453">
        <f ca="1">IF(AND($D240="Serviço",AT$12&lt;&gt;0,$H240&gt;0,OR(AUTOEVENTO&lt;&gt;"manual",$M240&lt;&gt;$A$15)),
        IF(Import.TipoArredondamento&lt;&gt;"TransfereGOV",
              ROUND(OFFSET($P240,0,AT$13),15-13*ORÇAMENTO!$AF$7)/$H240*OFFSET(ORÇAMENTO!$X$15,ROW(AT240)-ROW(AT$15),0),
              ROUND(ROUND(OFFSET($P240,0,AT$13),15-13*ORÇAMENTO!$AF$7)*OFFSET(ORÇAMENTO!$W$15,ROW(AT240)-ROW(AT$15),0),15-13*ORÇAMENTO!$AF$11)),
         0)</f>
        <v>0</v>
      </c>
      <c r="AU240" s="453">
        <f ca="1">IF(AND($D240="Serviço",AU$12&lt;&gt;0,$H240&gt;0,OR(AUTOEVENTO&lt;&gt;"manual",$M240&lt;&gt;$A$15)),
        IF(Import.TipoArredondamento&lt;&gt;"TransfereGOV",
              ROUND(OFFSET($P240,0,AU$13),15-13*ORÇAMENTO!$AF$7)/$H240*OFFSET(ORÇAMENTO!$X$15,ROW(AU240)-ROW(AU$15),0),
              ROUND(ROUND(OFFSET($P240,0,AU$13),15-13*ORÇAMENTO!$AF$7)*OFFSET(ORÇAMENTO!$W$15,ROW(AU240)-ROW(AU$15),0),15-13*ORÇAMENTO!$AF$11)),
         0)</f>
        <v>0</v>
      </c>
      <c r="AV240" s="453">
        <f ca="1">IF(AND($D240="Serviço",AV$12&lt;&gt;0,$H240&gt;0,OR(AUTOEVENTO&lt;&gt;"manual",$M240&lt;&gt;$A$15)),
        IF(Import.TipoArredondamento&lt;&gt;"TransfereGOV",
              ROUND(OFFSET($P240,0,AV$13),15-13*ORÇAMENTO!$AF$7)/$H240*OFFSET(ORÇAMENTO!$X$15,ROW(AV240)-ROW(AV$15),0),
              ROUND(ROUND(OFFSET($P240,0,AV$13),15-13*ORÇAMENTO!$AF$7)*OFFSET(ORÇAMENTO!$W$15,ROW(AV240)-ROW(AV$15),0),15-13*ORÇAMENTO!$AF$11)),
         0)</f>
        <v>0</v>
      </c>
      <c r="AW240" s="453">
        <f ca="1">IF(AND($D240="Serviço",AW$12&lt;&gt;0,$H240&gt;0,OR(AUTOEVENTO&lt;&gt;"manual",$M240&lt;&gt;$A$15)),
        IF(Import.TipoArredondamento&lt;&gt;"TransfereGOV",
              ROUND(OFFSET($P240,0,AW$13),15-13*ORÇAMENTO!$AF$7)/$H240*OFFSET(ORÇAMENTO!$X$15,ROW(AW240)-ROW(AW$15),0),
              ROUND(ROUND(OFFSET($P240,0,AW$13),15-13*ORÇAMENTO!$AF$7)*OFFSET(ORÇAMENTO!$W$15,ROW(AW240)-ROW(AW$15),0),15-13*ORÇAMENTO!$AF$11)),
         0)</f>
        <v>0</v>
      </c>
      <c r="AX240" s="453">
        <f ca="1">IF(AND($D240="Serviço",AX$12&lt;&gt;0,$H240&gt;0,OR(AUTOEVENTO&lt;&gt;"manual",$M240&lt;&gt;$A$15)),
        IF(Import.TipoArredondamento&lt;&gt;"TransfereGOV",
              ROUND(OFFSET($P240,0,AX$13),15-13*ORÇAMENTO!$AF$7)/$H240*OFFSET(ORÇAMENTO!$X$15,ROW(AX240)-ROW(AX$15),0),
              ROUND(ROUND(OFFSET($P240,0,AX$13),15-13*ORÇAMENTO!$AF$7)*OFFSET(ORÇAMENTO!$W$15,ROW(AX240)-ROW(AX$15),0),15-13*ORÇAMENTO!$AF$11)),
         0)</f>
        <v>0</v>
      </c>
      <c r="AY240" s="453">
        <f ca="1">IF(AND($D240="Serviço",AY$12&lt;&gt;0,$H240&gt;0,OR(AUTOEVENTO&lt;&gt;"manual",$M240&lt;&gt;$A$15)),
        IF(Import.TipoArredondamento&lt;&gt;"TransfereGOV",
              ROUND(OFFSET($P240,0,AY$13),15-13*ORÇAMENTO!$AF$7)/$H240*OFFSET(ORÇAMENTO!$X$15,ROW(AY240)-ROW(AY$15),0),
              ROUND(ROUND(OFFSET($P240,0,AY$13),15-13*ORÇAMENTO!$AF$7)*OFFSET(ORÇAMENTO!$W$15,ROW(AY240)-ROW(AY$15),0),15-13*ORÇAMENTO!$AF$11)),
         0)</f>
        <v>0</v>
      </c>
      <c r="AZ240" s="453">
        <f ca="1">IF(AND($D240="Serviço",AZ$12&lt;&gt;0,$H240&gt;0,OR(AUTOEVENTO&lt;&gt;"manual",$M240&lt;&gt;$A$15)),
        IF(Import.TipoArredondamento&lt;&gt;"TransfereGOV",
              ROUND(OFFSET($P240,0,AZ$13),15-13*ORÇAMENTO!$AF$7)/$H240*OFFSET(ORÇAMENTO!$X$15,ROW(AZ240)-ROW(AZ$15),0),
              ROUND(ROUND(OFFSET($P240,0,AZ$13),15-13*ORÇAMENTO!$AF$7)*OFFSET(ORÇAMENTO!$W$15,ROW(AZ240)-ROW(AZ$15),0),15-13*ORÇAMENTO!$AF$11)),
         0)</f>
        <v>0</v>
      </c>
      <c r="BA240" s="453">
        <f ca="1">IF(AND($D240="Serviço",BA$12&lt;&gt;0,$H240&gt;0,OR(AUTOEVENTO&lt;&gt;"manual",$M240&lt;&gt;$A$15)),
        IF(Import.TipoArredondamento&lt;&gt;"TransfereGOV",
              ROUND(OFFSET($P240,0,BA$13),15-13*ORÇAMENTO!$AF$7)/$H240*OFFSET(ORÇAMENTO!$X$15,ROW(BA240)-ROW(BA$15),0),
              ROUND(ROUND(OFFSET($P240,0,BA$13),15-13*ORÇAMENTO!$AF$7)*OFFSET(ORÇAMENTO!$W$15,ROW(BA240)-ROW(BA$15),0),15-13*ORÇAMENTO!$AF$11)),
         0)</f>
        <v>0</v>
      </c>
      <c r="BB240" s="453">
        <f ca="1">IF(AND($D240="Serviço",BB$12&lt;&gt;0,$H240&gt;0,OR(AUTOEVENTO&lt;&gt;"manual",$M240&lt;&gt;$A$15)),
        IF(Import.TipoArredondamento&lt;&gt;"TransfereGOV",
              ROUND(OFFSET($P240,0,BB$13),15-13*ORÇAMENTO!$AF$7)/$H240*OFFSET(ORÇAMENTO!$X$15,ROW(BB240)-ROW(BB$15),0),
              ROUND(ROUND(OFFSET($P240,0,BB$13),15-13*ORÇAMENTO!$AF$7)*OFFSET(ORÇAMENTO!$W$15,ROW(BB240)-ROW(BB$15),0),15-13*ORÇAMENTO!$AF$11)),
         0)</f>
        <v>0</v>
      </c>
      <c r="BC240" s="453">
        <f ca="1">IF(AND($D240="Serviço",BC$12&lt;&gt;0,$H240&gt;0,OR(AUTOEVENTO&lt;&gt;"manual",$M240&lt;&gt;$A$15)),
        IF(Import.TipoArredondamento&lt;&gt;"TransfereGOV",
              ROUND(OFFSET($P240,0,BC$13),15-13*ORÇAMENTO!$AF$7)/$H240*OFFSET(ORÇAMENTO!$X$15,ROW(BC240)-ROW(BC$15),0),
              ROUND(ROUND(OFFSET($P240,0,BC$13),15-13*ORÇAMENTO!$AF$7)*OFFSET(ORÇAMENTO!$W$15,ROW(BC240)-ROW(BC$15),0),15-13*ORÇAMENTO!$AF$11)),
         0)</f>
        <v>0</v>
      </c>
      <c r="BD240" s="453">
        <f ca="1">IF(AND($D240="Serviço",BD$12&lt;&gt;0,$H240&gt;0,OR(AUTOEVENTO&lt;&gt;"manual",$M240&lt;&gt;$A$15)),
        IF(Import.TipoArredondamento&lt;&gt;"TransfereGOV",
              ROUND(OFFSET($P240,0,BD$13),15-13*ORÇAMENTO!$AF$7)/$H240*OFFSET(ORÇAMENTO!$X$15,ROW(BD240)-ROW(BD$15),0),
              ROUND(ROUND(OFFSET($P240,0,BD$13),15-13*ORÇAMENTO!$AF$7)*OFFSET(ORÇAMENTO!$W$15,ROW(BD240)-ROW(BD$15),0),15-13*ORÇAMENTO!$AF$11)),
         0)</f>
        <v>0</v>
      </c>
      <c r="BE240" s="453">
        <f ca="1">IF(AND($D240="Serviço",BE$12&lt;&gt;0,$H240&gt;0,OR(AUTOEVENTO&lt;&gt;"manual",$M240&lt;&gt;$A$15)),
        IF(Import.TipoArredondamento&lt;&gt;"TransfereGOV",
              ROUND(OFFSET($P240,0,BE$13),15-13*ORÇAMENTO!$AF$7)/$H240*OFFSET(ORÇAMENTO!$X$15,ROW(BE240)-ROW(BE$15),0),
              ROUND(ROUND(OFFSET($P240,0,BE$13),15-13*ORÇAMENTO!$AF$7)*OFFSET(ORÇAMENTO!$W$15,ROW(BE240)-ROW(BE$15),0),15-13*ORÇAMENTO!$AF$11)),
         0)</f>
        <v>0</v>
      </c>
      <c r="BF240" s="453">
        <f ca="1">IF(AND($D240="Serviço",BF$12&lt;&gt;0,$H240&gt;0,OR(AUTOEVENTO&lt;&gt;"manual",$M240&lt;&gt;$A$15)),
        IF(Import.TipoArredondamento&lt;&gt;"TransfereGOV",
              ROUND(OFFSET($P240,0,BF$13),15-13*ORÇAMENTO!$AF$7)/$H240*OFFSET(ORÇAMENTO!$X$15,ROW(BF240)-ROW(BF$15),0),
              ROUND(ROUND(OFFSET($P240,0,BF$13),15-13*ORÇAMENTO!$AF$7)*OFFSET(ORÇAMENTO!$W$15,ROW(BF240)-ROW(BF$15),0),15-13*ORÇAMENTO!$AF$11)),
         0)</f>
        <v>0</v>
      </c>
      <c r="BG240" s="453">
        <f ca="1">IF(AND($D240="Serviço",BG$12&lt;&gt;0,$H240&gt;0,OR(AUTOEVENTO&lt;&gt;"manual",$M240&lt;&gt;$A$15)),
        IF(Import.TipoArredondamento&lt;&gt;"TransfereGOV",
              ROUND(OFFSET($P240,0,BG$13),15-13*ORÇAMENTO!$AF$7)/$H240*OFFSET(ORÇAMENTO!$X$15,ROW(BG240)-ROW(BG$15),0),
              ROUND(ROUND(OFFSET($P240,0,BG$13),15-13*ORÇAMENTO!$AF$7)*OFFSET(ORÇAMENTO!$W$15,ROW(BG240)-ROW(BG$15),0),15-13*ORÇAMENTO!$AF$11)),
         0)</f>
        <v>0</v>
      </c>
      <c r="BH240" s="453">
        <f ca="1">IF(AND($D240="Serviço",BH$12&lt;&gt;0,$H240&gt;0,OR(AUTOEVENTO&lt;&gt;"manual",$M240&lt;&gt;$A$15)),
        IF(Import.TipoArredondamento&lt;&gt;"TransfereGOV",
              ROUND(OFFSET($P240,0,BH$13),15-13*ORÇAMENTO!$AF$7)/$H240*OFFSET(ORÇAMENTO!$X$15,ROW(BH240)-ROW(BH$15),0),
              ROUND(ROUND(OFFSET($P240,0,BH$13),15-13*ORÇAMENTO!$AF$7)*OFFSET(ORÇAMENTO!$W$15,ROW(BH240)-ROW(BH$15),0),15-13*ORÇAMENTO!$AF$11)),
         0)</f>
        <v>0</v>
      </c>
      <c r="BI240" s="453">
        <f ca="1">IF(AND($D240="Serviço",BI$12&lt;&gt;0,$H240&gt;0,OR(AUTOEVENTO&lt;&gt;"manual",$M240&lt;&gt;$A$15)),
        IF(Import.TipoArredondamento&lt;&gt;"TransfereGOV",
              ROUND(OFFSET($P240,0,BI$13),15-13*ORÇAMENTO!$AF$7)/$H240*OFFSET(ORÇAMENTO!$X$15,ROW(BI240)-ROW(BI$15),0),
              ROUND(ROUND(OFFSET($P240,0,BI$13),15-13*ORÇAMENTO!$AF$7)*OFFSET(ORÇAMENTO!$W$15,ROW(BI240)-ROW(BI$15),0),15-13*ORÇAMENTO!$AF$11)),
         0)</f>
        <v>0</v>
      </c>
      <c r="BJ240" s="453">
        <f ca="1">IF(AND($D240="Serviço",BJ$12&lt;&gt;0,$H240&gt;0,OR(AUTOEVENTO&lt;&gt;"manual",$M240&lt;&gt;$A$15)),
        IF(Import.TipoArredondamento&lt;&gt;"TransfereGOV",
              ROUND(OFFSET($P240,0,BJ$13),15-13*ORÇAMENTO!$AF$7)/$H240*OFFSET(ORÇAMENTO!$X$15,ROW(BJ240)-ROW(BJ$15),0),
              ROUND(ROUND(OFFSET($P240,0,BJ$13),15-13*ORÇAMENTO!$AF$7)*OFFSET(ORÇAMENTO!$W$15,ROW(BJ240)-ROW(BJ$15),0),15-13*ORÇAMENTO!$AF$11)),
         0)</f>
        <v>0</v>
      </c>
      <c r="BK240" s="453">
        <f ca="1">IF(AND($D240="Serviço",BK$12&lt;&gt;0,$H240&gt;0,OR(AUTOEVENTO&lt;&gt;"manual",$M240&lt;&gt;$A$15)),
        IF(Import.TipoArredondamento&lt;&gt;"TransfereGOV",
              ROUND(OFFSET($P240,0,BK$13),15-13*ORÇAMENTO!$AF$7)/$H240*OFFSET(ORÇAMENTO!$X$15,ROW(BK240)-ROW(BK$15),0),
              ROUND(ROUND(OFFSET($P240,0,BK$13),15-13*ORÇAMENTO!$AF$7)*OFFSET(ORÇAMENTO!$W$15,ROW(BK240)-ROW(BK$15),0),15-13*ORÇAMENTO!$AF$11)),
         0)</f>
        <v>0</v>
      </c>
      <c r="BL240" s="453">
        <f ca="1">IF(AND($D240="Serviço",BL$12&lt;&gt;0,$H240&gt;0,OR(AUTOEVENTO&lt;&gt;"manual",$M240&lt;&gt;$A$15)),
        IF(Import.TipoArredondamento&lt;&gt;"TransfereGOV",
              ROUND(OFFSET($P240,0,BL$13),15-13*ORÇAMENTO!$AF$7)/$H240*OFFSET(ORÇAMENTO!$X$15,ROW(BL240)-ROW(BL$15),0),
              ROUND(ROUND(OFFSET($P240,0,BL$13),15-13*ORÇAMENTO!$AF$7)*OFFSET(ORÇAMENTO!$W$15,ROW(BL240)-ROW(BL$15),0),15-13*ORÇAMENTO!$AF$11)),
         0)</f>
        <v>0</v>
      </c>
      <c r="BM240" s="453">
        <f ca="1">IF(AND($D240="Serviço",BM$12&lt;&gt;0,$H240&gt;0,OR(AUTOEVENTO&lt;&gt;"manual",$M240&lt;&gt;$A$15)),
        IF(Import.TipoArredondamento&lt;&gt;"TransfereGOV",
              ROUND(OFFSET($P240,0,BM$13),15-13*ORÇAMENTO!$AF$7)/$H240*OFFSET(ORÇAMENTO!$X$15,ROW(BM240)-ROW(BM$15),0),
              ROUND(ROUND(OFFSET($P240,0,BM$13),15-13*ORÇAMENTO!$AF$7)*OFFSET(ORÇAMENTO!$W$15,ROW(BM240)-ROW(BM$15),0),15-13*ORÇAMENTO!$AF$11)),
         0)</f>
        <v>0</v>
      </c>
      <c r="BN240" s="453">
        <f ca="1">IF(AND($D240="Serviço",BN$12&lt;&gt;0,$H240&gt;0,OR(AUTOEVENTO&lt;&gt;"manual",$M240&lt;&gt;$A$15)),
        IF(Import.TipoArredondamento&lt;&gt;"TransfereGOV",
              ROUND(OFFSET($P240,0,BN$13),15-13*ORÇAMENTO!$AF$7)/$H240*OFFSET(ORÇAMENTO!$X$15,ROW(BN240)-ROW(BN$15),0),
              ROUND(ROUND(OFFSET($P240,0,BN$13),15-13*ORÇAMENTO!$AF$7)*OFFSET(ORÇAMENTO!$W$15,ROW(BN240)-ROW(BN$15),0),15-13*ORÇAMENTO!$AF$11)),
         0)</f>
        <v>0</v>
      </c>
      <c r="BO240" s="453">
        <f ca="1">IF(AND($D240="Serviço",BO$12&lt;&gt;0,$H240&gt;0,OR(AUTOEVENTO&lt;&gt;"manual",$M240&lt;&gt;$A$15)),
        IF(Import.TipoArredondamento&lt;&gt;"TransfereGOV",
              ROUND(OFFSET($P240,0,BO$13),15-13*ORÇAMENTO!$AF$7)/$H240*OFFSET(ORÇAMENTO!$X$15,ROW(BO240)-ROW(BO$15),0),
              ROUND(ROUND(OFFSET($P240,0,BO$13),15-13*ORÇAMENTO!$AF$7)*OFFSET(ORÇAMENTO!$W$15,ROW(BO240)-ROW(BO$15),0),15-13*ORÇAMENTO!$AF$11)),
         0)</f>
        <v>0</v>
      </c>
      <c r="BP240" s="453">
        <f ca="1">IF(AND($D240="Serviço",BP$12&lt;&gt;0,$H240&gt;0,OR(AUTOEVENTO&lt;&gt;"manual",$M240&lt;&gt;$A$15)),
        IF(Import.TipoArredondamento&lt;&gt;"TransfereGOV",
              ROUND(OFFSET($P240,0,BP$13),15-13*ORÇAMENTO!$AF$7)/$H240*OFFSET(ORÇAMENTO!$X$15,ROW(BP240)-ROW(BP$15),0),
              ROUND(ROUND(OFFSET($P240,0,BP$13),15-13*ORÇAMENTO!$AF$7)*OFFSET(ORÇAMENTO!$W$15,ROW(BP240)-ROW(BP$15),0),15-13*ORÇAMENTO!$AF$11)),
         0)</f>
        <v>0</v>
      </c>
      <c r="BQ240" s="453">
        <f ca="1">IF(AND($D240="Serviço",BQ$12&lt;&gt;0,$H240&gt;0,OR(AUTOEVENTO&lt;&gt;"manual",$M240&lt;&gt;$A$15)),
        IF(Import.TipoArredondamento&lt;&gt;"TransfereGOV",
              ROUND(OFFSET($P240,0,BQ$13),15-13*ORÇAMENTO!$AF$7)/$H240*OFFSET(ORÇAMENTO!$X$15,ROW(BQ240)-ROW(BQ$15),0),
              ROUND(ROUND(OFFSET($P240,0,BQ$13),15-13*ORÇAMENTO!$AF$7)*OFFSET(ORÇAMENTO!$W$15,ROW(BQ240)-ROW(BQ$15),0),15-13*ORÇAMENTO!$AF$11)),
         0)</f>
        <v>0</v>
      </c>
      <c r="BS240" s="171">
        <f ca="1">IF(OR($D240&lt;&gt;"Serviço",AND(AUTOEVENTO="Manual",$M240=$A$15)),0,
         IF(OFFSET(CRONOPLE!$F$15,$M240-$A$15,BS$13)=0,10^12,OFFSET(CRONOPLE!$F$15,$M240-$A$15,BS$13)))</f>
        <v>1</v>
      </c>
      <c r="BT240" s="171">
        <f ca="1">IF(OR($D240&lt;&gt;"Serviço",AND(AUTOEVENTO="Manual",$M240=$A$15)),0,
         IF(OFFSET(CRONOPLE!$F$15,$M240-$A$15,BT$13)=0,10^12,OFFSET(CRONOPLE!$F$15,$M240-$A$15,BT$13)))</f>
        <v>2</v>
      </c>
      <c r="BU240" s="171">
        <f ca="1">IF(OR($D240&lt;&gt;"Serviço",AND(AUTOEVENTO="Manual",$M240=$A$15)),0,
         IF(OFFSET(CRONOPLE!$F$15,$M240-$A$15,BU$13)=0,10^12,OFFSET(CRONOPLE!$F$15,$M240-$A$15,BU$13)))</f>
        <v>3</v>
      </c>
      <c r="BV240" s="171">
        <f ca="1">IF(OR($D240&lt;&gt;"Serviço",AND(AUTOEVENTO="Manual",$M240=$A$15)),0,
         IF(OFFSET(CRONOPLE!$F$15,$M240-$A$15,BV$13)=0,10^12,OFFSET(CRONOPLE!$F$15,$M240-$A$15,BV$13)))</f>
        <v>4</v>
      </c>
      <c r="BW240" s="171">
        <f ca="1">IF(OR($D240&lt;&gt;"Serviço",AND(AUTOEVENTO="Manual",$M240=$A$15)),0,
         IF(OFFSET(CRONOPLE!$F$15,$M240-$A$15,BW$13)=0,10^12,OFFSET(CRONOPLE!$F$15,$M240-$A$15,BW$13)))</f>
        <v>5</v>
      </c>
      <c r="BX240" s="171">
        <f ca="1">IF(OR($D240&lt;&gt;"Serviço",AND(AUTOEVENTO="Manual",$M240=$A$15)),0,
         IF(OFFSET(CRONOPLE!$F$15,$M240-$A$15,BX$13)=0,10^12,OFFSET(CRONOPLE!$F$15,$M240-$A$15,BX$13)))</f>
        <v>6</v>
      </c>
      <c r="BY240" s="171">
        <f ca="1">IF(OR($D240&lt;&gt;"Serviço",AND(AUTOEVENTO="Manual",$M240=$A$15)),0,
         IF(OFFSET(CRONOPLE!$F$15,$M240-$A$15,BY$13)=0,10^12,OFFSET(CRONOPLE!$F$15,$M240-$A$15,BY$13)))</f>
        <v>7</v>
      </c>
      <c r="BZ240" s="171">
        <f ca="1">IF(OR($D240&lt;&gt;"Serviço",AND(AUTOEVENTO="Manual",$M240=$A$15)),0,
         IF(OFFSET(CRONOPLE!$F$15,$M240-$A$15,BZ$13)=0,10^12,OFFSET(CRONOPLE!$F$15,$M240-$A$15,BZ$13)))</f>
        <v>8</v>
      </c>
      <c r="CA240" s="171">
        <f ca="1">IF(OR($D240&lt;&gt;"Serviço",AND(AUTOEVENTO="Manual",$M240=$A$15)),0,
         IF(OFFSET(CRONOPLE!$F$15,$M240-$A$15,CA$13)=0,10^12,OFFSET(CRONOPLE!$F$15,$M240-$A$15,CA$13)))</f>
        <v>9</v>
      </c>
      <c r="CB240" s="171">
        <f ca="1">IF(OR($D240&lt;&gt;"Serviço",AND(AUTOEVENTO="Manual",$M240=$A$15)),0,
         IF(OFFSET(CRONOPLE!$F$15,$M240-$A$15,CB$13)=0,10^12,OFFSET(CRONOPLE!$F$15,$M240-$A$15,CB$13)))</f>
        <v>10</v>
      </c>
      <c r="CC240" s="171">
        <f ca="1">IF(OR($D240&lt;&gt;"Serviço",AND(AUTOEVENTO="Manual",$M240=$A$15)),0,
         IF(OFFSET(CRONOPLE!$F$15,$M240-$A$15,CC$13)=0,10^12,OFFSET(CRONOPLE!$F$15,$M240-$A$15,CC$13)))</f>
        <v>11</v>
      </c>
      <c r="CD240" s="171">
        <f ca="1">IF(OR($D240&lt;&gt;"Serviço",AND(AUTOEVENTO="Manual",$M240=$A$15)),0,
         IF(OFFSET(CRONOPLE!$F$15,$M240-$A$15,CD$13)=0,10^12,OFFSET(CRONOPLE!$F$15,$M240-$A$15,CD$13)))</f>
        <v>12</v>
      </c>
      <c r="CE240" s="171">
        <f ca="1">IF(OR($D240&lt;&gt;"Serviço",AND(AUTOEVENTO="Manual",$M240=$A$15)),0,
         IF(OFFSET(CRONOPLE!$F$15,$M240-$A$15,CE$13)=0,10^12,OFFSET(CRONOPLE!$F$15,$M240-$A$15,CE$13)))</f>
        <v>13</v>
      </c>
      <c r="CF240" s="171">
        <f ca="1">IF(OR($D240&lt;&gt;"Serviço",AND(AUTOEVENTO="Manual",$M240=$A$15)),0,
         IF(OFFSET(CRONOPLE!$F$15,$M240-$A$15,CF$13)=0,10^12,OFFSET(CRONOPLE!$F$15,$M240-$A$15,CF$13)))</f>
        <v>14</v>
      </c>
      <c r="CG240" s="171">
        <f ca="1">IF(OR($D240&lt;&gt;"Serviço",AND(AUTOEVENTO="Manual",$M240=$A$15)),0,
         IF(OFFSET(CRONOPLE!$F$15,$M240-$A$15,CG$13)=0,10^12,OFFSET(CRONOPLE!$F$15,$M240-$A$15,CG$13)))</f>
        <v>15</v>
      </c>
      <c r="CH240" s="171">
        <f ca="1">IF(OR($D240&lt;&gt;"Serviço",AND(AUTOEVENTO="Manual",$M240=$A$15)),0,
         IF(OFFSET(CRONOPLE!$F$15,$M240-$A$15,CH$13)=0,10^12,OFFSET(CRONOPLE!$F$15,$M240-$A$15,CH$13)))</f>
        <v>16</v>
      </c>
      <c r="CI240" s="171">
        <f ca="1">IF(OR($D240&lt;&gt;"Serviço",AND(AUTOEVENTO="Manual",$M240=$A$15)),0,
         IF(OFFSET(CRONOPLE!$F$15,$M240-$A$15,CI$13)=0,10^12,OFFSET(CRONOPLE!$F$15,$M240-$A$15,CI$13)))</f>
        <v>17</v>
      </c>
      <c r="CJ240" s="171">
        <f ca="1">IF(OR($D240&lt;&gt;"Serviço",AND(AUTOEVENTO="Manual",$M240=$A$15)),0,
         IF(OFFSET(CRONOPLE!$F$15,$M240-$A$15,CJ$13)=0,10^12,OFFSET(CRONOPLE!$F$15,$M240-$A$15,CJ$13)))</f>
        <v>18</v>
      </c>
      <c r="CK240" s="171">
        <f ca="1">IF(OR($D240&lt;&gt;"Serviço",AND(AUTOEVENTO="Manual",$M240=$A$15)),0,
         IF(OFFSET(CRONOPLE!$F$15,$M240-$A$15,CK$13)=0,10^12,OFFSET(CRONOPLE!$F$15,$M240-$A$15,CK$13)))</f>
        <v>19</v>
      </c>
      <c r="CL240" s="171">
        <f ca="1">IF(OR($D240&lt;&gt;"Serviço",AND(AUTOEVENTO="Manual",$M240=$A$15)),0,
         IF(OFFSET(CRONOPLE!$F$15,$M240-$A$15,CL$13)=0,10^12,OFFSET(CRONOPLE!$F$15,$M240-$A$15,CL$13)))</f>
        <v>20</v>
      </c>
      <c r="CM240" s="171">
        <f ca="1">IF(OR($D240&lt;&gt;"Serviço",AND(AUTOEVENTO="Manual",$M240=$A$15)),0,
         IF(OFFSET(CRONOPLE!$F$15,$M240-$A$15,CM$13)=0,10^12,OFFSET(CRONOPLE!$F$15,$M240-$A$15,CM$13)))</f>
        <v>1000000000000</v>
      </c>
      <c r="CN240" s="171">
        <f ca="1">IF(OR($D240&lt;&gt;"Serviço",AND(AUTOEVENTO="Manual",$M240=$A$15)),0,
         IF(OFFSET(CRONOPLE!$F$15,$M240-$A$15,CN$13)=0,10^12,OFFSET(CRONOPLE!$F$15,$M240-$A$15,CN$13)))</f>
        <v>1000000000000</v>
      </c>
      <c r="CO240" s="171">
        <f ca="1">IF(OR($D240&lt;&gt;"Serviço",AND(AUTOEVENTO="Manual",$M240=$A$15)),0,
         IF(OFFSET(CRONOPLE!$F$15,$M240-$A$15,CO$13)=0,10^12,OFFSET(CRONOPLE!$F$15,$M240-$A$15,CO$13)))</f>
        <v>1000000000000</v>
      </c>
      <c r="CP240" s="171">
        <f ca="1">IF(OR($D240&lt;&gt;"Serviço",AND(AUTOEVENTO="Manual",$M240=$A$15)),0,
         IF(OFFSET(CRONOPLE!$F$15,$M240-$A$15,CP$13)=0,10^12,OFFSET(CRONOPLE!$F$15,$M240-$A$15,CP$13)))</f>
        <v>1000000000000</v>
      </c>
      <c r="CQ240" s="171">
        <f ca="1">IF(OR($D240&lt;&gt;"Serviço",AND(AUTOEVENTO="Manual",$M240=$A$15)),0,
         IF(OFFSET(CRONOPLE!$F$15,$M240-$A$15,CQ$13)=0,10^12,OFFSET(CRONOPLE!$F$15,$M240-$A$15,CQ$13)))</f>
        <v>1000000000000</v>
      </c>
      <c r="CR240" s="171">
        <f ca="1">IF(OR($D240&lt;&gt;"Serviço",AND(AUTOEVENTO="Manual",$M240=$A$15)),0,
         IF(OFFSET(CRONOPLE!$F$15,$M240-$A$15,CR$13)=0,10^12,OFFSET(CRONOPLE!$F$15,$M240-$A$15,CR$13)))</f>
        <v>1000000000000</v>
      </c>
      <c r="CT240" s="172" cm="1">
        <f t="array" aca="1" ref="CT240" ca="1">IF(OR($D240&lt;&gt;"Serviço",AND(AUTOEVENTO="Manual",$M240=$A$15),$M240&gt;(ROW(PLE.lastrow)-ROW(PLE.firstrow))),0,
           IF(OFFSET(PLE!$G$15,$M240-$A$15,CT$13)="",10^12,OFFSET(PLE!$G$15,$M240-$A$15,CT$13)))</f>
        <v>1000000000000</v>
      </c>
      <c r="CU240" s="172" cm="1">
        <f t="array" aca="1" ref="CU240" ca="1">IF(OR($D240&lt;&gt;"Serviço",AND(AUTOEVENTO="Manual",$M240=$A$15),$M240&gt;(ROW(PLE.lastrow)-ROW(PLE.firstrow))),0,
           IF(OFFSET(PLE!$G$15,$M240-$A$15,CU$13)="",10^12,OFFSET(PLE!$G$15,$M240-$A$15,CU$13)))</f>
        <v>1000000000000</v>
      </c>
      <c r="CV240" s="172" cm="1">
        <f t="array" aca="1" ref="CV240" ca="1">IF(OR($D240&lt;&gt;"Serviço",AND(AUTOEVENTO="Manual",$M240=$A$15),$M240&gt;(ROW(PLE.lastrow)-ROW(PLE.firstrow))),0,
           IF(OFFSET(PLE!$G$15,$M240-$A$15,CV$13)="",10^12,OFFSET(PLE!$G$15,$M240-$A$15,CV$13)))</f>
        <v>1000000000000</v>
      </c>
      <c r="CW240" s="172" cm="1">
        <f t="array" aca="1" ref="CW240" ca="1">IF(OR($D240&lt;&gt;"Serviço",AND(AUTOEVENTO="Manual",$M240=$A$15),$M240&gt;(ROW(PLE.lastrow)-ROW(PLE.firstrow))),0,
           IF(OFFSET(PLE!$G$15,$M240-$A$15,CW$13)="",10^12,OFFSET(PLE!$G$15,$M240-$A$15,CW$13)))</f>
        <v>1000000000000</v>
      </c>
      <c r="CX240" s="172" cm="1">
        <f t="array" aca="1" ref="CX240" ca="1">IF(OR($D240&lt;&gt;"Serviço",AND(AUTOEVENTO="Manual",$M240=$A$15),$M240&gt;(ROW(PLE.lastrow)-ROW(PLE.firstrow))),0,
           IF(OFFSET(PLE!$G$15,$M240-$A$15,CX$13)="",10^12,OFFSET(PLE!$G$15,$M240-$A$15,CX$13)))</f>
        <v>1000000000000</v>
      </c>
      <c r="CY240" s="172" cm="1">
        <f t="array" aca="1" ref="CY240" ca="1">IF(OR($D240&lt;&gt;"Serviço",AND(AUTOEVENTO="Manual",$M240=$A$15),$M240&gt;(ROW(PLE.lastrow)-ROW(PLE.firstrow))),0,
           IF(OFFSET(PLE!$G$15,$M240-$A$15,CY$13)="",10^12,OFFSET(PLE!$G$15,$M240-$A$15,CY$13)))</f>
        <v>1000000000000</v>
      </c>
      <c r="CZ240" s="172" cm="1">
        <f t="array" aca="1" ref="CZ240" ca="1">IF(OR($D240&lt;&gt;"Serviço",AND(AUTOEVENTO="Manual",$M240=$A$15),$M240&gt;(ROW(PLE.lastrow)-ROW(PLE.firstrow))),0,
           IF(OFFSET(PLE!$G$15,$M240-$A$15,CZ$13)="",10^12,OFFSET(PLE!$G$15,$M240-$A$15,CZ$13)))</f>
        <v>1000000000000</v>
      </c>
      <c r="DA240" s="172" cm="1">
        <f t="array" aca="1" ref="DA240" ca="1">IF(OR($D240&lt;&gt;"Serviço",AND(AUTOEVENTO="Manual",$M240=$A$15),$M240&gt;(ROW(PLE.lastrow)-ROW(PLE.firstrow))),0,
           IF(OFFSET(PLE!$G$15,$M240-$A$15,DA$13)="",10^12,OFFSET(PLE!$G$15,$M240-$A$15,DA$13)))</f>
        <v>1000000000000</v>
      </c>
      <c r="DB240" s="172" cm="1">
        <f t="array" aca="1" ref="DB240" ca="1">IF(OR($D240&lt;&gt;"Serviço",AND(AUTOEVENTO="Manual",$M240=$A$15),$M240&gt;(ROW(PLE.lastrow)-ROW(PLE.firstrow))),0,
           IF(OFFSET(PLE!$G$15,$M240-$A$15,DB$13)="",10^12,OFFSET(PLE!$G$15,$M240-$A$15,DB$13)))</f>
        <v>1000000000000</v>
      </c>
      <c r="DC240" s="172" cm="1">
        <f t="array" aca="1" ref="DC240" ca="1">IF(OR($D240&lt;&gt;"Serviço",AND(AUTOEVENTO="Manual",$M240=$A$15),$M240&gt;(ROW(PLE.lastrow)-ROW(PLE.firstrow))),0,
           IF(OFFSET(PLE!$G$15,$M240-$A$15,DC$13)="",10^12,OFFSET(PLE!$G$15,$M240-$A$15,DC$13)))</f>
        <v>1000000000000</v>
      </c>
      <c r="DD240" s="172" cm="1">
        <f t="array" aca="1" ref="DD240" ca="1">IF(OR($D240&lt;&gt;"Serviço",AND(AUTOEVENTO="Manual",$M240=$A$15),$M240&gt;(ROW(PLE.lastrow)-ROW(PLE.firstrow))),0,
           IF(OFFSET(PLE!$G$15,$M240-$A$15,DD$13)="",10^12,OFFSET(PLE!$G$15,$M240-$A$15,DD$13)))</f>
        <v>1000000000000</v>
      </c>
      <c r="DE240" s="172" cm="1">
        <f t="array" aca="1" ref="DE240" ca="1">IF(OR($D240&lt;&gt;"Serviço",AND(AUTOEVENTO="Manual",$M240=$A$15),$M240&gt;(ROW(PLE.lastrow)-ROW(PLE.firstrow))),0,
           IF(OFFSET(PLE!$G$15,$M240-$A$15,DE$13)="",10^12,OFFSET(PLE!$G$15,$M240-$A$15,DE$13)))</f>
        <v>1000000000000</v>
      </c>
      <c r="DF240" s="172" cm="1">
        <f t="array" aca="1" ref="DF240" ca="1">IF(OR($D240&lt;&gt;"Serviço",AND(AUTOEVENTO="Manual",$M240=$A$15),$M240&gt;(ROW(PLE.lastrow)-ROW(PLE.firstrow))),0,
           IF(OFFSET(PLE!$G$15,$M240-$A$15,DF$13)="",10^12,OFFSET(PLE!$G$15,$M240-$A$15,DF$13)))</f>
        <v>1000000000000</v>
      </c>
      <c r="DG240" s="172" cm="1">
        <f t="array" aca="1" ref="DG240" ca="1">IF(OR($D240&lt;&gt;"Serviço",AND(AUTOEVENTO="Manual",$M240=$A$15),$M240&gt;(ROW(PLE.lastrow)-ROW(PLE.firstrow))),0,
           IF(OFFSET(PLE!$G$15,$M240-$A$15,DG$13)="",10^12,OFFSET(PLE!$G$15,$M240-$A$15,DG$13)))</f>
        <v>1000000000000</v>
      </c>
      <c r="DH240" s="172" cm="1">
        <f t="array" aca="1" ref="DH240" ca="1">IF(OR($D240&lt;&gt;"Serviço",AND(AUTOEVENTO="Manual",$M240=$A$15),$M240&gt;(ROW(PLE.lastrow)-ROW(PLE.firstrow))),0,
           IF(OFFSET(PLE!$G$15,$M240-$A$15,DH$13)="",10^12,OFFSET(PLE!$G$15,$M240-$A$15,DH$13)))</f>
        <v>1000000000000</v>
      </c>
      <c r="DI240" s="172" cm="1">
        <f t="array" aca="1" ref="DI240" ca="1">IF(OR($D240&lt;&gt;"Serviço",AND(AUTOEVENTO="Manual",$M240=$A$15),$M240&gt;(ROW(PLE.lastrow)-ROW(PLE.firstrow))),0,
           IF(OFFSET(PLE!$G$15,$M240-$A$15,DI$13)="",10^12,OFFSET(PLE!$G$15,$M240-$A$15,DI$13)))</f>
        <v>1000000000000</v>
      </c>
      <c r="DJ240" s="172" cm="1">
        <f t="array" aca="1" ref="DJ240" ca="1">IF(OR($D240&lt;&gt;"Serviço",AND(AUTOEVENTO="Manual",$M240=$A$15),$M240&gt;(ROW(PLE.lastrow)-ROW(PLE.firstrow))),0,
           IF(OFFSET(PLE!$G$15,$M240-$A$15,DJ$13)="",10^12,OFFSET(PLE!$G$15,$M240-$A$15,DJ$13)))</f>
        <v>1000000000000</v>
      </c>
      <c r="DK240" s="172" cm="1">
        <f t="array" aca="1" ref="DK240" ca="1">IF(OR($D240&lt;&gt;"Serviço",AND(AUTOEVENTO="Manual",$M240=$A$15),$M240&gt;(ROW(PLE.lastrow)-ROW(PLE.firstrow))),0,
           IF(OFFSET(PLE!$G$15,$M240-$A$15,DK$13)="",10^12,OFFSET(PLE!$G$15,$M240-$A$15,DK$13)))</f>
        <v>1000000000000</v>
      </c>
      <c r="DL240" s="172" cm="1">
        <f t="array" aca="1" ref="DL240" ca="1">IF(OR($D240&lt;&gt;"Serviço",AND(AUTOEVENTO="Manual",$M240=$A$15),$M240&gt;(ROW(PLE.lastrow)-ROW(PLE.firstrow))),0,
           IF(OFFSET(PLE!$G$15,$M240-$A$15,DL$13)="",10^12,OFFSET(PLE!$G$15,$M240-$A$15,DL$13)))</f>
        <v>1000000000000</v>
      </c>
      <c r="DM240" s="172" cm="1">
        <f t="array" aca="1" ref="DM240" ca="1">IF(OR($D240&lt;&gt;"Serviço",AND(AUTOEVENTO="Manual",$M240=$A$15),$M240&gt;(ROW(PLE.lastrow)-ROW(PLE.firstrow))),0,
           IF(OFFSET(PLE!$G$15,$M240-$A$15,DM$13)="",10^12,OFFSET(PLE!$G$15,$M240-$A$15,DM$13)))</f>
        <v>1000000000000</v>
      </c>
      <c r="DN240" s="172" cm="1">
        <f t="array" aca="1" ref="DN240" ca="1">IF(OR($D240&lt;&gt;"Serviço",AND(AUTOEVENTO="Manual",$M240=$A$15),$M240&gt;(ROW(PLE.lastrow)-ROW(PLE.firstrow))),0,
           IF(OFFSET(PLE!$G$15,$M240-$A$15,DN$13)="",10^12,OFFSET(PLE!$G$15,$M240-$A$15,DN$13)))</f>
        <v>1000000000000</v>
      </c>
      <c r="DO240" s="172" cm="1">
        <f t="array" aca="1" ref="DO240" ca="1">IF(OR($D240&lt;&gt;"Serviço",AND(AUTOEVENTO="Manual",$M240=$A$15),$M240&gt;(ROW(PLE.lastrow)-ROW(PLE.firstrow))),0,
           IF(OFFSET(PLE!$G$15,$M240-$A$15,DO$13)="",10^12,OFFSET(PLE!$G$15,$M240-$A$15,DO$13)))</f>
        <v>1000000000000</v>
      </c>
      <c r="DP240" s="172" cm="1">
        <f t="array" aca="1" ref="DP240" ca="1">IF(OR($D240&lt;&gt;"Serviço",AND(AUTOEVENTO="Manual",$M240=$A$15),$M240&gt;(ROW(PLE.lastrow)-ROW(PLE.firstrow))),0,
           IF(OFFSET(PLE!$G$15,$M240-$A$15,DP$13)="",10^12,OFFSET(PLE!$G$15,$M240-$A$15,DP$13)))</f>
        <v>1000000000000</v>
      </c>
      <c r="DQ240" s="172" cm="1">
        <f t="array" aca="1" ref="DQ240" ca="1">IF(OR($D240&lt;&gt;"Serviço",AND(AUTOEVENTO="Manual",$M240=$A$15),$M240&gt;(ROW(PLE.lastrow)-ROW(PLE.firstrow))),0,
           IF(OFFSET(PLE!$G$15,$M240-$A$15,DQ$13)="",10^12,OFFSET(PLE!$G$15,$M240-$A$15,DQ$13)))</f>
        <v>1000000000000</v>
      </c>
      <c r="DR240" s="172" cm="1">
        <f t="array" aca="1" ref="DR240" ca="1">IF(OR($D240&lt;&gt;"Serviço",AND(AUTOEVENTO="Manual",$M240=$A$15),$M240&gt;(ROW(PLE.lastrow)-ROW(PLE.firstrow))),0,
           IF(OFFSET(PLE!$G$15,$M240-$A$15,DR$13)="",10^12,OFFSET(PLE!$G$15,$M240-$A$15,DR$13)))</f>
        <v>1000000000000</v>
      </c>
      <c r="DS240" s="172" cm="1">
        <f t="array" aca="1" ref="DS240" ca="1">IF(OR($D240&lt;&gt;"Serviço",AND(AUTOEVENTO="Manual",$M240=$A$15),$M240&gt;(ROW(PLE.lastrow)-ROW(PLE.firstrow))),0,
           IF(OFFSET(PLE!$G$15,$M240-$A$15,DS$13)="",10^12,OFFSET(PLE!$G$15,$M240-$A$15,DS$13)))</f>
        <v>1000000000000</v>
      </c>
    </row>
    <row r="241" spans="1:123" ht="25.5" x14ac:dyDescent="0.2">
      <c r="A241" s="7">
        <f t="shared" ca="1" si="19"/>
        <v>10</v>
      </c>
      <c r="B241" s="7" t="str">
        <f ca="1">OFFSET(ORÇAMENTO!C$15,$L241,0)</f>
        <v>S</v>
      </c>
      <c r="C241" s="7" t="str">
        <f ca="1">OFFSET(ORÇAMENTO!L$15,$L241,0)</f>
        <v/>
      </c>
      <c r="D241" s="116" t="str">
        <f ca="1">OFFSET(ORÇAMENTO!N$15,$L241,0)</f>
        <v>Serviço</v>
      </c>
      <c r="E241" s="117" t="str">
        <f ca="1">OFFSET(ORÇAMENTO!O$15,$L241,0)</f>
        <v>-</v>
      </c>
      <c r="F241" s="163" t="str">
        <f ca="1">OFFSET(ORÇAMENTO!R$15,$L241,0)</f>
        <v>(Código não identificado nas referências)</v>
      </c>
      <c r="G241" s="164" t="str">
        <f ca="1">IF($D241&lt;&gt;"Serviço","",OFFSET(ORÇAMENTO!S$15,$L241,0))</f>
        <v>-</v>
      </c>
      <c r="H241" s="122" cm="1">
        <f t="array" aca="1" ref="H241" ca="1">IF($D241&lt;&gt;"Serviço",0,IF(ACOMPANHAMENTO="BM",ROUND(OFFSET(ORÇAMENTO!AJ$15,$L241,0),15-13*ORÇAMENTO!$AF$7),IF(IFERROR(CÁLCULO.FrentesPreenchidas,0)=0,0,SUM(ROUND(OFFSET($P241,0,1,1,CÁLCULO.FrentesPreenchidas),15-13*ORÇAMENTO!$AF$7)))))</f>
        <v>336.00000000000011</v>
      </c>
      <c r="I241" s="468" t="s">
        <v>1235</v>
      </c>
      <c r="J241" s="651" t="str" cm="1">
        <f t="array" aca="1" ref="J241" ca="1">IF(OR(B241&lt;&gt;"S",CÁLCULO.FrentesPreenchidas=0),"",IF(AND(ACOMPANHAMENTO="PLE",AUTOEVENTO="Manual",OR(H241&gt;0,ORÇAMENTO!AC241="QUANT."),OR(K241="",M241=0,N241="")),"►E",IF(AND(ACOMPANHAMENTO="PLE",ORÇAMENTO!AC241="QUANT."),"►Q",IF(AND(ACOMPANHAMENTO="PLE",H241&lt;&gt;SUMPRODUCT(($Q$1:$AQ$1=1)*ROUND(Q241:AQ241,15))),"►S",IF(AND(COUNTIF($P$11:$AQ$11,"▼")=0,H241&gt;0,I241=""),"◄M","")))))</f>
        <v/>
      </c>
      <c r="K241" s="652" t="s">
        <v>1258</v>
      </c>
      <c r="L241" s="165">
        <f t="shared" ca="1" si="20"/>
        <v>226</v>
      </c>
      <c r="M241" s="166">
        <f ca="1">IF($D241&lt;&gt;"Serviço","",
          IF(AUTOEVENTO="manual",$A241,
                IF(ISERROR(MATCH($A241,$A$15:OFFSET($A241,-1,0),0)),MAX($M$15:OFFSET(M241,-1,0))+1,
                      INDEX($M$15:OFFSET(M241,-1,0),MATCH($A241,$A$15:OFFSET($A241,-1,0),0)))))</f>
        <v>10</v>
      </c>
      <c r="N241" s="167" t="str">
        <f ca="1">IF($D241&lt;&gt;"Serviço","",
         IF(AUTOEVENTO="Manual",
                IF($A241=0,"&lt;-- defina o número do agrupador",
                       OFFSET(EVENTOS!$D$15,$A241-$A$15,0)),
                OFFSET($F$15,$A241,0)))</f>
        <v>COMPLEMENTAÇÕES</v>
      </c>
      <c r="O241" s="168"/>
      <c r="Q241" s="168">
        <v>16.8</v>
      </c>
      <c r="R241" s="169">
        <v>16.8</v>
      </c>
      <c r="S241" s="169">
        <v>16.8</v>
      </c>
      <c r="T241" s="169">
        <v>16.8</v>
      </c>
      <c r="U241" s="169">
        <v>16.8</v>
      </c>
      <c r="V241" s="169">
        <v>16.8</v>
      </c>
      <c r="W241" s="169">
        <v>16.8</v>
      </c>
      <c r="X241" s="169">
        <v>16.8</v>
      </c>
      <c r="Y241" s="169">
        <v>16.8</v>
      </c>
      <c r="Z241" s="170">
        <v>16.8</v>
      </c>
      <c r="AA241" s="169">
        <v>16.8</v>
      </c>
      <c r="AB241" s="169">
        <v>16.8</v>
      </c>
      <c r="AC241" s="169">
        <v>16.8</v>
      </c>
      <c r="AD241" s="169">
        <v>16.8</v>
      </c>
      <c r="AE241" s="169">
        <v>16.8</v>
      </c>
      <c r="AF241" s="169">
        <v>16.8</v>
      </c>
      <c r="AG241" s="169">
        <v>16.8</v>
      </c>
      <c r="AH241" s="170">
        <v>16.8</v>
      </c>
      <c r="AI241" s="169">
        <v>16.8</v>
      </c>
      <c r="AJ241" s="169">
        <v>16.8</v>
      </c>
      <c r="AK241" s="169"/>
      <c r="AL241" s="169"/>
      <c r="AM241" s="169"/>
      <c r="AN241" s="169"/>
      <c r="AO241" s="169"/>
      <c r="AP241" s="170"/>
      <c r="AR241" s="453">
        <f ca="1">IF(AND($D241="Serviço",AR$12&lt;&gt;0,$H241&gt;0,OR(AUTOEVENTO&lt;&gt;"manual",$M241&lt;&gt;$A$15)),
        IF(Import.TipoArredondamento&lt;&gt;"TransfereGOV",
              ROUND(OFFSET($P241,0,AR$13),15-13*ORÇAMENTO!$AF$7)/$H241*OFFSET(ORÇAMENTO!$X$15,ROW(AR241)-ROW(AR$15),0),
              ROUND(ROUND(OFFSET($P241,0,AR$13),15-13*ORÇAMENTO!$AF$7)*OFFSET(ORÇAMENTO!$W$15,ROW(AR241)-ROW(AR$15),0),15-13*ORÇAMENTO!$AF$11)),
         0)</f>
        <v>0</v>
      </c>
      <c r="AS241" s="453">
        <f ca="1">IF(AND($D241="Serviço",AS$12&lt;&gt;0,$H241&gt;0,OR(AUTOEVENTO&lt;&gt;"manual",$M241&lt;&gt;$A$15)),
        IF(Import.TipoArredondamento&lt;&gt;"TransfereGOV",
              ROUND(OFFSET($P241,0,AS$13),15-13*ORÇAMENTO!$AF$7)/$H241*OFFSET(ORÇAMENTO!$X$15,ROW(AS241)-ROW(AS$15),0),
              ROUND(ROUND(OFFSET($P241,0,AS$13),15-13*ORÇAMENTO!$AF$7)*OFFSET(ORÇAMENTO!$W$15,ROW(AS241)-ROW(AS$15),0),15-13*ORÇAMENTO!$AF$11)),
         0)</f>
        <v>0</v>
      </c>
      <c r="AT241" s="453">
        <f ca="1">IF(AND($D241="Serviço",AT$12&lt;&gt;0,$H241&gt;0,OR(AUTOEVENTO&lt;&gt;"manual",$M241&lt;&gt;$A$15)),
        IF(Import.TipoArredondamento&lt;&gt;"TransfereGOV",
              ROUND(OFFSET($P241,0,AT$13),15-13*ORÇAMENTO!$AF$7)/$H241*OFFSET(ORÇAMENTO!$X$15,ROW(AT241)-ROW(AT$15),0),
              ROUND(ROUND(OFFSET($P241,0,AT$13),15-13*ORÇAMENTO!$AF$7)*OFFSET(ORÇAMENTO!$W$15,ROW(AT241)-ROW(AT$15),0),15-13*ORÇAMENTO!$AF$11)),
         0)</f>
        <v>0</v>
      </c>
      <c r="AU241" s="453">
        <f ca="1">IF(AND($D241="Serviço",AU$12&lt;&gt;0,$H241&gt;0,OR(AUTOEVENTO&lt;&gt;"manual",$M241&lt;&gt;$A$15)),
        IF(Import.TipoArredondamento&lt;&gt;"TransfereGOV",
              ROUND(OFFSET($P241,0,AU$13),15-13*ORÇAMENTO!$AF$7)/$H241*OFFSET(ORÇAMENTO!$X$15,ROW(AU241)-ROW(AU$15),0),
              ROUND(ROUND(OFFSET($P241,0,AU$13),15-13*ORÇAMENTO!$AF$7)*OFFSET(ORÇAMENTO!$W$15,ROW(AU241)-ROW(AU$15),0),15-13*ORÇAMENTO!$AF$11)),
         0)</f>
        <v>0</v>
      </c>
      <c r="AV241" s="453">
        <f ca="1">IF(AND($D241="Serviço",AV$12&lt;&gt;0,$H241&gt;0,OR(AUTOEVENTO&lt;&gt;"manual",$M241&lt;&gt;$A$15)),
        IF(Import.TipoArredondamento&lt;&gt;"TransfereGOV",
              ROUND(OFFSET($P241,0,AV$13),15-13*ORÇAMENTO!$AF$7)/$H241*OFFSET(ORÇAMENTO!$X$15,ROW(AV241)-ROW(AV$15),0),
              ROUND(ROUND(OFFSET($P241,0,AV$13),15-13*ORÇAMENTO!$AF$7)*OFFSET(ORÇAMENTO!$W$15,ROW(AV241)-ROW(AV$15),0),15-13*ORÇAMENTO!$AF$11)),
         0)</f>
        <v>0</v>
      </c>
      <c r="AW241" s="453">
        <f ca="1">IF(AND($D241="Serviço",AW$12&lt;&gt;0,$H241&gt;0,OR(AUTOEVENTO&lt;&gt;"manual",$M241&lt;&gt;$A$15)),
        IF(Import.TipoArredondamento&lt;&gt;"TransfereGOV",
              ROUND(OFFSET($P241,0,AW$13),15-13*ORÇAMENTO!$AF$7)/$H241*OFFSET(ORÇAMENTO!$X$15,ROW(AW241)-ROW(AW$15),0),
              ROUND(ROUND(OFFSET($P241,0,AW$13),15-13*ORÇAMENTO!$AF$7)*OFFSET(ORÇAMENTO!$W$15,ROW(AW241)-ROW(AW$15),0),15-13*ORÇAMENTO!$AF$11)),
         0)</f>
        <v>0</v>
      </c>
      <c r="AX241" s="453">
        <f ca="1">IF(AND($D241="Serviço",AX$12&lt;&gt;0,$H241&gt;0,OR(AUTOEVENTO&lt;&gt;"manual",$M241&lt;&gt;$A$15)),
        IF(Import.TipoArredondamento&lt;&gt;"TransfereGOV",
              ROUND(OFFSET($P241,0,AX$13),15-13*ORÇAMENTO!$AF$7)/$H241*OFFSET(ORÇAMENTO!$X$15,ROW(AX241)-ROW(AX$15),0),
              ROUND(ROUND(OFFSET($P241,0,AX$13),15-13*ORÇAMENTO!$AF$7)*OFFSET(ORÇAMENTO!$W$15,ROW(AX241)-ROW(AX$15),0),15-13*ORÇAMENTO!$AF$11)),
         0)</f>
        <v>0</v>
      </c>
      <c r="AY241" s="453">
        <f ca="1">IF(AND($D241="Serviço",AY$12&lt;&gt;0,$H241&gt;0,OR(AUTOEVENTO&lt;&gt;"manual",$M241&lt;&gt;$A$15)),
        IF(Import.TipoArredondamento&lt;&gt;"TransfereGOV",
              ROUND(OFFSET($P241,0,AY$13),15-13*ORÇAMENTO!$AF$7)/$H241*OFFSET(ORÇAMENTO!$X$15,ROW(AY241)-ROW(AY$15),0),
              ROUND(ROUND(OFFSET($P241,0,AY$13),15-13*ORÇAMENTO!$AF$7)*OFFSET(ORÇAMENTO!$W$15,ROW(AY241)-ROW(AY$15),0),15-13*ORÇAMENTO!$AF$11)),
         0)</f>
        <v>0</v>
      </c>
      <c r="AZ241" s="453">
        <f ca="1">IF(AND($D241="Serviço",AZ$12&lt;&gt;0,$H241&gt;0,OR(AUTOEVENTO&lt;&gt;"manual",$M241&lt;&gt;$A$15)),
        IF(Import.TipoArredondamento&lt;&gt;"TransfereGOV",
              ROUND(OFFSET($P241,0,AZ$13),15-13*ORÇAMENTO!$AF$7)/$H241*OFFSET(ORÇAMENTO!$X$15,ROW(AZ241)-ROW(AZ$15),0),
              ROUND(ROUND(OFFSET($P241,0,AZ$13),15-13*ORÇAMENTO!$AF$7)*OFFSET(ORÇAMENTO!$W$15,ROW(AZ241)-ROW(AZ$15),0),15-13*ORÇAMENTO!$AF$11)),
         0)</f>
        <v>0</v>
      </c>
      <c r="BA241" s="453">
        <f ca="1">IF(AND($D241="Serviço",BA$12&lt;&gt;0,$H241&gt;0,OR(AUTOEVENTO&lt;&gt;"manual",$M241&lt;&gt;$A$15)),
        IF(Import.TipoArredondamento&lt;&gt;"TransfereGOV",
              ROUND(OFFSET($P241,0,BA$13),15-13*ORÇAMENTO!$AF$7)/$H241*OFFSET(ORÇAMENTO!$X$15,ROW(BA241)-ROW(BA$15),0),
              ROUND(ROUND(OFFSET($P241,0,BA$13),15-13*ORÇAMENTO!$AF$7)*OFFSET(ORÇAMENTO!$W$15,ROW(BA241)-ROW(BA$15),0),15-13*ORÇAMENTO!$AF$11)),
         0)</f>
        <v>0</v>
      </c>
      <c r="BB241" s="453">
        <f ca="1">IF(AND($D241="Serviço",BB$12&lt;&gt;0,$H241&gt;0,OR(AUTOEVENTO&lt;&gt;"manual",$M241&lt;&gt;$A$15)),
        IF(Import.TipoArredondamento&lt;&gt;"TransfereGOV",
              ROUND(OFFSET($P241,0,BB$13),15-13*ORÇAMENTO!$AF$7)/$H241*OFFSET(ORÇAMENTO!$X$15,ROW(BB241)-ROW(BB$15),0),
              ROUND(ROUND(OFFSET($P241,0,BB$13),15-13*ORÇAMENTO!$AF$7)*OFFSET(ORÇAMENTO!$W$15,ROW(BB241)-ROW(BB$15),0),15-13*ORÇAMENTO!$AF$11)),
         0)</f>
        <v>0</v>
      </c>
      <c r="BC241" s="453">
        <f ca="1">IF(AND($D241="Serviço",BC$12&lt;&gt;0,$H241&gt;0,OR(AUTOEVENTO&lt;&gt;"manual",$M241&lt;&gt;$A$15)),
        IF(Import.TipoArredondamento&lt;&gt;"TransfereGOV",
              ROUND(OFFSET($P241,0,BC$13),15-13*ORÇAMENTO!$AF$7)/$H241*OFFSET(ORÇAMENTO!$X$15,ROW(BC241)-ROW(BC$15),0),
              ROUND(ROUND(OFFSET($P241,0,BC$13),15-13*ORÇAMENTO!$AF$7)*OFFSET(ORÇAMENTO!$W$15,ROW(BC241)-ROW(BC$15),0),15-13*ORÇAMENTO!$AF$11)),
         0)</f>
        <v>0</v>
      </c>
      <c r="BD241" s="453">
        <f ca="1">IF(AND($D241="Serviço",BD$12&lt;&gt;0,$H241&gt;0,OR(AUTOEVENTO&lt;&gt;"manual",$M241&lt;&gt;$A$15)),
        IF(Import.TipoArredondamento&lt;&gt;"TransfereGOV",
              ROUND(OFFSET($P241,0,BD$13),15-13*ORÇAMENTO!$AF$7)/$H241*OFFSET(ORÇAMENTO!$X$15,ROW(BD241)-ROW(BD$15),0),
              ROUND(ROUND(OFFSET($P241,0,BD$13),15-13*ORÇAMENTO!$AF$7)*OFFSET(ORÇAMENTO!$W$15,ROW(BD241)-ROW(BD$15),0),15-13*ORÇAMENTO!$AF$11)),
         0)</f>
        <v>0</v>
      </c>
      <c r="BE241" s="453">
        <f ca="1">IF(AND($D241="Serviço",BE$12&lt;&gt;0,$H241&gt;0,OR(AUTOEVENTO&lt;&gt;"manual",$M241&lt;&gt;$A$15)),
        IF(Import.TipoArredondamento&lt;&gt;"TransfereGOV",
              ROUND(OFFSET($P241,0,BE$13),15-13*ORÇAMENTO!$AF$7)/$H241*OFFSET(ORÇAMENTO!$X$15,ROW(BE241)-ROW(BE$15),0),
              ROUND(ROUND(OFFSET($P241,0,BE$13),15-13*ORÇAMENTO!$AF$7)*OFFSET(ORÇAMENTO!$W$15,ROW(BE241)-ROW(BE$15),0),15-13*ORÇAMENTO!$AF$11)),
         0)</f>
        <v>0</v>
      </c>
      <c r="BF241" s="453">
        <f ca="1">IF(AND($D241="Serviço",BF$12&lt;&gt;0,$H241&gt;0,OR(AUTOEVENTO&lt;&gt;"manual",$M241&lt;&gt;$A$15)),
        IF(Import.TipoArredondamento&lt;&gt;"TransfereGOV",
              ROUND(OFFSET($P241,0,BF$13),15-13*ORÇAMENTO!$AF$7)/$H241*OFFSET(ORÇAMENTO!$X$15,ROW(BF241)-ROW(BF$15),0),
              ROUND(ROUND(OFFSET($P241,0,BF$13),15-13*ORÇAMENTO!$AF$7)*OFFSET(ORÇAMENTO!$W$15,ROW(BF241)-ROW(BF$15),0),15-13*ORÇAMENTO!$AF$11)),
         0)</f>
        <v>0</v>
      </c>
      <c r="BG241" s="453">
        <f ca="1">IF(AND($D241="Serviço",BG$12&lt;&gt;0,$H241&gt;0,OR(AUTOEVENTO&lt;&gt;"manual",$M241&lt;&gt;$A$15)),
        IF(Import.TipoArredondamento&lt;&gt;"TransfereGOV",
              ROUND(OFFSET($P241,0,BG$13),15-13*ORÇAMENTO!$AF$7)/$H241*OFFSET(ORÇAMENTO!$X$15,ROW(BG241)-ROW(BG$15),0),
              ROUND(ROUND(OFFSET($P241,0,BG$13),15-13*ORÇAMENTO!$AF$7)*OFFSET(ORÇAMENTO!$W$15,ROW(BG241)-ROW(BG$15),0),15-13*ORÇAMENTO!$AF$11)),
         0)</f>
        <v>0</v>
      </c>
      <c r="BH241" s="453">
        <f ca="1">IF(AND($D241="Serviço",BH$12&lt;&gt;0,$H241&gt;0,OR(AUTOEVENTO&lt;&gt;"manual",$M241&lt;&gt;$A$15)),
        IF(Import.TipoArredondamento&lt;&gt;"TransfereGOV",
              ROUND(OFFSET($P241,0,BH$13),15-13*ORÇAMENTO!$AF$7)/$H241*OFFSET(ORÇAMENTO!$X$15,ROW(BH241)-ROW(BH$15),0),
              ROUND(ROUND(OFFSET($P241,0,BH$13),15-13*ORÇAMENTO!$AF$7)*OFFSET(ORÇAMENTO!$W$15,ROW(BH241)-ROW(BH$15),0),15-13*ORÇAMENTO!$AF$11)),
         0)</f>
        <v>0</v>
      </c>
      <c r="BI241" s="453">
        <f ca="1">IF(AND($D241="Serviço",BI$12&lt;&gt;0,$H241&gt;0,OR(AUTOEVENTO&lt;&gt;"manual",$M241&lt;&gt;$A$15)),
        IF(Import.TipoArredondamento&lt;&gt;"TransfereGOV",
              ROUND(OFFSET($P241,0,BI$13),15-13*ORÇAMENTO!$AF$7)/$H241*OFFSET(ORÇAMENTO!$X$15,ROW(BI241)-ROW(BI$15),0),
              ROUND(ROUND(OFFSET($P241,0,BI$13),15-13*ORÇAMENTO!$AF$7)*OFFSET(ORÇAMENTO!$W$15,ROW(BI241)-ROW(BI$15),0),15-13*ORÇAMENTO!$AF$11)),
         0)</f>
        <v>0</v>
      </c>
      <c r="BJ241" s="453">
        <f ca="1">IF(AND($D241="Serviço",BJ$12&lt;&gt;0,$H241&gt;0,OR(AUTOEVENTO&lt;&gt;"manual",$M241&lt;&gt;$A$15)),
        IF(Import.TipoArredondamento&lt;&gt;"TransfereGOV",
              ROUND(OFFSET($P241,0,BJ$13),15-13*ORÇAMENTO!$AF$7)/$H241*OFFSET(ORÇAMENTO!$X$15,ROW(BJ241)-ROW(BJ$15),0),
              ROUND(ROUND(OFFSET($P241,0,BJ$13),15-13*ORÇAMENTO!$AF$7)*OFFSET(ORÇAMENTO!$W$15,ROW(BJ241)-ROW(BJ$15),0),15-13*ORÇAMENTO!$AF$11)),
         0)</f>
        <v>0</v>
      </c>
      <c r="BK241" s="453">
        <f ca="1">IF(AND($D241="Serviço",BK$12&lt;&gt;0,$H241&gt;0,OR(AUTOEVENTO&lt;&gt;"manual",$M241&lt;&gt;$A$15)),
        IF(Import.TipoArredondamento&lt;&gt;"TransfereGOV",
              ROUND(OFFSET($P241,0,BK$13),15-13*ORÇAMENTO!$AF$7)/$H241*OFFSET(ORÇAMENTO!$X$15,ROW(BK241)-ROW(BK$15),0),
              ROUND(ROUND(OFFSET($P241,0,BK$13),15-13*ORÇAMENTO!$AF$7)*OFFSET(ORÇAMENTO!$W$15,ROW(BK241)-ROW(BK$15),0),15-13*ORÇAMENTO!$AF$11)),
         0)</f>
        <v>0</v>
      </c>
      <c r="BL241" s="453">
        <f ca="1">IF(AND($D241="Serviço",BL$12&lt;&gt;0,$H241&gt;0,OR(AUTOEVENTO&lt;&gt;"manual",$M241&lt;&gt;$A$15)),
        IF(Import.TipoArredondamento&lt;&gt;"TransfereGOV",
              ROUND(OFFSET($P241,0,BL$13),15-13*ORÇAMENTO!$AF$7)/$H241*OFFSET(ORÇAMENTO!$X$15,ROW(BL241)-ROW(BL$15),0),
              ROUND(ROUND(OFFSET($P241,0,BL$13),15-13*ORÇAMENTO!$AF$7)*OFFSET(ORÇAMENTO!$W$15,ROW(BL241)-ROW(BL$15),0),15-13*ORÇAMENTO!$AF$11)),
         0)</f>
        <v>0</v>
      </c>
      <c r="BM241" s="453">
        <f ca="1">IF(AND($D241="Serviço",BM$12&lt;&gt;0,$H241&gt;0,OR(AUTOEVENTO&lt;&gt;"manual",$M241&lt;&gt;$A$15)),
        IF(Import.TipoArredondamento&lt;&gt;"TransfereGOV",
              ROUND(OFFSET($P241,0,BM$13),15-13*ORÇAMENTO!$AF$7)/$H241*OFFSET(ORÇAMENTO!$X$15,ROW(BM241)-ROW(BM$15),0),
              ROUND(ROUND(OFFSET($P241,0,BM$13),15-13*ORÇAMENTO!$AF$7)*OFFSET(ORÇAMENTO!$W$15,ROW(BM241)-ROW(BM$15),0),15-13*ORÇAMENTO!$AF$11)),
         0)</f>
        <v>0</v>
      </c>
      <c r="BN241" s="453">
        <f ca="1">IF(AND($D241="Serviço",BN$12&lt;&gt;0,$H241&gt;0,OR(AUTOEVENTO&lt;&gt;"manual",$M241&lt;&gt;$A$15)),
        IF(Import.TipoArredondamento&lt;&gt;"TransfereGOV",
              ROUND(OFFSET($P241,0,BN$13),15-13*ORÇAMENTO!$AF$7)/$H241*OFFSET(ORÇAMENTO!$X$15,ROW(BN241)-ROW(BN$15),0),
              ROUND(ROUND(OFFSET($P241,0,BN$13),15-13*ORÇAMENTO!$AF$7)*OFFSET(ORÇAMENTO!$W$15,ROW(BN241)-ROW(BN$15),0),15-13*ORÇAMENTO!$AF$11)),
         0)</f>
        <v>0</v>
      </c>
      <c r="BO241" s="453">
        <f ca="1">IF(AND($D241="Serviço",BO$12&lt;&gt;0,$H241&gt;0,OR(AUTOEVENTO&lt;&gt;"manual",$M241&lt;&gt;$A$15)),
        IF(Import.TipoArredondamento&lt;&gt;"TransfereGOV",
              ROUND(OFFSET($P241,0,BO$13),15-13*ORÇAMENTO!$AF$7)/$H241*OFFSET(ORÇAMENTO!$X$15,ROW(BO241)-ROW(BO$15),0),
              ROUND(ROUND(OFFSET($P241,0,BO$13),15-13*ORÇAMENTO!$AF$7)*OFFSET(ORÇAMENTO!$W$15,ROW(BO241)-ROW(BO$15),0),15-13*ORÇAMENTO!$AF$11)),
         0)</f>
        <v>0</v>
      </c>
      <c r="BP241" s="453">
        <f ca="1">IF(AND($D241="Serviço",BP$12&lt;&gt;0,$H241&gt;0,OR(AUTOEVENTO&lt;&gt;"manual",$M241&lt;&gt;$A$15)),
        IF(Import.TipoArredondamento&lt;&gt;"TransfereGOV",
              ROUND(OFFSET($P241,0,BP$13),15-13*ORÇAMENTO!$AF$7)/$H241*OFFSET(ORÇAMENTO!$X$15,ROW(BP241)-ROW(BP$15),0),
              ROUND(ROUND(OFFSET($P241,0,BP$13),15-13*ORÇAMENTO!$AF$7)*OFFSET(ORÇAMENTO!$W$15,ROW(BP241)-ROW(BP$15),0),15-13*ORÇAMENTO!$AF$11)),
         0)</f>
        <v>0</v>
      </c>
      <c r="BQ241" s="453">
        <f ca="1">IF(AND($D241="Serviço",BQ$12&lt;&gt;0,$H241&gt;0,OR(AUTOEVENTO&lt;&gt;"manual",$M241&lt;&gt;$A$15)),
        IF(Import.TipoArredondamento&lt;&gt;"TransfereGOV",
              ROUND(OFFSET($P241,0,BQ$13),15-13*ORÇAMENTO!$AF$7)/$H241*OFFSET(ORÇAMENTO!$X$15,ROW(BQ241)-ROW(BQ$15),0),
              ROUND(ROUND(OFFSET($P241,0,BQ$13),15-13*ORÇAMENTO!$AF$7)*OFFSET(ORÇAMENTO!$W$15,ROW(BQ241)-ROW(BQ$15),0),15-13*ORÇAMENTO!$AF$11)),
         0)</f>
        <v>0</v>
      </c>
      <c r="BS241" s="171">
        <f ca="1">IF(OR($D241&lt;&gt;"Serviço",AND(AUTOEVENTO="Manual",$M241=$A$15)),0,
         IF(OFFSET(CRONOPLE!$F$15,$M241-$A$15,BS$13)=0,10^12,OFFSET(CRONOPLE!$F$15,$M241-$A$15,BS$13)))</f>
        <v>1</v>
      </c>
      <c r="BT241" s="171">
        <f ca="1">IF(OR($D241&lt;&gt;"Serviço",AND(AUTOEVENTO="Manual",$M241=$A$15)),0,
         IF(OFFSET(CRONOPLE!$F$15,$M241-$A$15,BT$13)=0,10^12,OFFSET(CRONOPLE!$F$15,$M241-$A$15,BT$13)))</f>
        <v>2</v>
      </c>
      <c r="BU241" s="171">
        <f ca="1">IF(OR($D241&lt;&gt;"Serviço",AND(AUTOEVENTO="Manual",$M241=$A$15)),0,
         IF(OFFSET(CRONOPLE!$F$15,$M241-$A$15,BU$13)=0,10^12,OFFSET(CRONOPLE!$F$15,$M241-$A$15,BU$13)))</f>
        <v>3</v>
      </c>
      <c r="BV241" s="171">
        <f ca="1">IF(OR($D241&lt;&gt;"Serviço",AND(AUTOEVENTO="Manual",$M241=$A$15)),0,
         IF(OFFSET(CRONOPLE!$F$15,$M241-$A$15,BV$13)=0,10^12,OFFSET(CRONOPLE!$F$15,$M241-$A$15,BV$13)))</f>
        <v>4</v>
      </c>
      <c r="BW241" s="171">
        <f ca="1">IF(OR($D241&lt;&gt;"Serviço",AND(AUTOEVENTO="Manual",$M241=$A$15)),0,
         IF(OFFSET(CRONOPLE!$F$15,$M241-$A$15,BW$13)=0,10^12,OFFSET(CRONOPLE!$F$15,$M241-$A$15,BW$13)))</f>
        <v>5</v>
      </c>
      <c r="BX241" s="171">
        <f ca="1">IF(OR($D241&lt;&gt;"Serviço",AND(AUTOEVENTO="Manual",$M241=$A$15)),0,
         IF(OFFSET(CRONOPLE!$F$15,$M241-$A$15,BX$13)=0,10^12,OFFSET(CRONOPLE!$F$15,$M241-$A$15,BX$13)))</f>
        <v>6</v>
      </c>
      <c r="BY241" s="171">
        <f ca="1">IF(OR($D241&lt;&gt;"Serviço",AND(AUTOEVENTO="Manual",$M241=$A$15)),0,
         IF(OFFSET(CRONOPLE!$F$15,$M241-$A$15,BY$13)=0,10^12,OFFSET(CRONOPLE!$F$15,$M241-$A$15,BY$13)))</f>
        <v>7</v>
      </c>
      <c r="BZ241" s="171">
        <f ca="1">IF(OR($D241&lt;&gt;"Serviço",AND(AUTOEVENTO="Manual",$M241=$A$15)),0,
         IF(OFFSET(CRONOPLE!$F$15,$M241-$A$15,BZ$13)=0,10^12,OFFSET(CRONOPLE!$F$15,$M241-$A$15,BZ$13)))</f>
        <v>8</v>
      </c>
      <c r="CA241" s="171">
        <f ca="1">IF(OR($D241&lt;&gt;"Serviço",AND(AUTOEVENTO="Manual",$M241=$A$15)),0,
         IF(OFFSET(CRONOPLE!$F$15,$M241-$A$15,CA$13)=0,10^12,OFFSET(CRONOPLE!$F$15,$M241-$A$15,CA$13)))</f>
        <v>9</v>
      </c>
      <c r="CB241" s="171">
        <f ca="1">IF(OR($D241&lt;&gt;"Serviço",AND(AUTOEVENTO="Manual",$M241=$A$15)),0,
         IF(OFFSET(CRONOPLE!$F$15,$M241-$A$15,CB$13)=0,10^12,OFFSET(CRONOPLE!$F$15,$M241-$A$15,CB$13)))</f>
        <v>10</v>
      </c>
      <c r="CC241" s="171">
        <f ca="1">IF(OR($D241&lt;&gt;"Serviço",AND(AUTOEVENTO="Manual",$M241=$A$15)),0,
         IF(OFFSET(CRONOPLE!$F$15,$M241-$A$15,CC$13)=0,10^12,OFFSET(CRONOPLE!$F$15,$M241-$A$15,CC$13)))</f>
        <v>11</v>
      </c>
      <c r="CD241" s="171">
        <f ca="1">IF(OR($D241&lt;&gt;"Serviço",AND(AUTOEVENTO="Manual",$M241=$A$15)),0,
         IF(OFFSET(CRONOPLE!$F$15,$M241-$A$15,CD$13)=0,10^12,OFFSET(CRONOPLE!$F$15,$M241-$A$15,CD$13)))</f>
        <v>12</v>
      </c>
      <c r="CE241" s="171">
        <f ca="1">IF(OR($D241&lt;&gt;"Serviço",AND(AUTOEVENTO="Manual",$M241=$A$15)),0,
         IF(OFFSET(CRONOPLE!$F$15,$M241-$A$15,CE$13)=0,10^12,OFFSET(CRONOPLE!$F$15,$M241-$A$15,CE$13)))</f>
        <v>13</v>
      </c>
      <c r="CF241" s="171">
        <f ca="1">IF(OR($D241&lt;&gt;"Serviço",AND(AUTOEVENTO="Manual",$M241=$A$15)),0,
         IF(OFFSET(CRONOPLE!$F$15,$M241-$A$15,CF$13)=0,10^12,OFFSET(CRONOPLE!$F$15,$M241-$A$15,CF$13)))</f>
        <v>14</v>
      </c>
      <c r="CG241" s="171">
        <f ca="1">IF(OR($D241&lt;&gt;"Serviço",AND(AUTOEVENTO="Manual",$M241=$A$15)),0,
         IF(OFFSET(CRONOPLE!$F$15,$M241-$A$15,CG$13)=0,10^12,OFFSET(CRONOPLE!$F$15,$M241-$A$15,CG$13)))</f>
        <v>15</v>
      </c>
      <c r="CH241" s="171">
        <f ca="1">IF(OR($D241&lt;&gt;"Serviço",AND(AUTOEVENTO="Manual",$M241=$A$15)),0,
         IF(OFFSET(CRONOPLE!$F$15,$M241-$A$15,CH$13)=0,10^12,OFFSET(CRONOPLE!$F$15,$M241-$A$15,CH$13)))</f>
        <v>16</v>
      </c>
      <c r="CI241" s="171">
        <f ca="1">IF(OR($D241&lt;&gt;"Serviço",AND(AUTOEVENTO="Manual",$M241=$A$15)),0,
         IF(OFFSET(CRONOPLE!$F$15,$M241-$A$15,CI$13)=0,10^12,OFFSET(CRONOPLE!$F$15,$M241-$A$15,CI$13)))</f>
        <v>17</v>
      </c>
      <c r="CJ241" s="171">
        <f ca="1">IF(OR($D241&lt;&gt;"Serviço",AND(AUTOEVENTO="Manual",$M241=$A$15)),0,
         IF(OFFSET(CRONOPLE!$F$15,$M241-$A$15,CJ$13)=0,10^12,OFFSET(CRONOPLE!$F$15,$M241-$A$15,CJ$13)))</f>
        <v>18</v>
      </c>
      <c r="CK241" s="171">
        <f ca="1">IF(OR($D241&lt;&gt;"Serviço",AND(AUTOEVENTO="Manual",$M241=$A$15)),0,
         IF(OFFSET(CRONOPLE!$F$15,$M241-$A$15,CK$13)=0,10^12,OFFSET(CRONOPLE!$F$15,$M241-$A$15,CK$13)))</f>
        <v>19</v>
      </c>
      <c r="CL241" s="171">
        <f ca="1">IF(OR($D241&lt;&gt;"Serviço",AND(AUTOEVENTO="Manual",$M241=$A$15)),0,
         IF(OFFSET(CRONOPLE!$F$15,$M241-$A$15,CL$13)=0,10^12,OFFSET(CRONOPLE!$F$15,$M241-$A$15,CL$13)))</f>
        <v>20</v>
      </c>
      <c r="CM241" s="171">
        <f ca="1">IF(OR($D241&lt;&gt;"Serviço",AND(AUTOEVENTO="Manual",$M241=$A$15)),0,
         IF(OFFSET(CRONOPLE!$F$15,$M241-$A$15,CM$13)=0,10^12,OFFSET(CRONOPLE!$F$15,$M241-$A$15,CM$13)))</f>
        <v>1000000000000</v>
      </c>
      <c r="CN241" s="171">
        <f ca="1">IF(OR($D241&lt;&gt;"Serviço",AND(AUTOEVENTO="Manual",$M241=$A$15)),0,
         IF(OFFSET(CRONOPLE!$F$15,$M241-$A$15,CN$13)=0,10^12,OFFSET(CRONOPLE!$F$15,$M241-$A$15,CN$13)))</f>
        <v>1000000000000</v>
      </c>
      <c r="CO241" s="171">
        <f ca="1">IF(OR($D241&lt;&gt;"Serviço",AND(AUTOEVENTO="Manual",$M241=$A$15)),0,
         IF(OFFSET(CRONOPLE!$F$15,$M241-$A$15,CO$13)=0,10^12,OFFSET(CRONOPLE!$F$15,$M241-$A$15,CO$13)))</f>
        <v>1000000000000</v>
      </c>
      <c r="CP241" s="171">
        <f ca="1">IF(OR($D241&lt;&gt;"Serviço",AND(AUTOEVENTO="Manual",$M241=$A$15)),0,
         IF(OFFSET(CRONOPLE!$F$15,$M241-$A$15,CP$13)=0,10^12,OFFSET(CRONOPLE!$F$15,$M241-$A$15,CP$13)))</f>
        <v>1000000000000</v>
      </c>
      <c r="CQ241" s="171">
        <f ca="1">IF(OR($D241&lt;&gt;"Serviço",AND(AUTOEVENTO="Manual",$M241=$A$15)),0,
         IF(OFFSET(CRONOPLE!$F$15,$M241-$A$15,CQ$13)=0,10^12,OFFSET(CRONOPLE!$F$15,$M241-$A$15,CQ$13)))</f>
        <v>1000000000000</v>
      </c>
      <c r="CR241" s="171">
        <f ca="1">IF(OR($D241&lt;&gt;"Serviço",AND(AUTOEVENTO="Manual",$M241=$A$15)),0,
         IF(OFFSET(CRONOPLE!$F$15,$M241-$A$15,CR$13)=0,10^12,OFFSET(CRONOPLE!$F$15,$M241-$A$15,CR$13)))</f>
        <v>1000000000000</v>
      </c>
      <c r="CT241" s="172" cm="1">
        <f t="array" aca="1" ref="CT241" ca="1">IF(OR($D241&lt;&gt;"Serviço",AND(AUTOEVENTO="Manual",$M241=$A$15),$M241&gt;(ROW(PLE.lastrow)-ROW(PLE.firstrow))),0,
           IF(OFFSET(PLE!$G$15,$M241-$A$15,CT$13)="",10^12,OFFSET(PLE!$G$15,$M241-$A$15,CT$13)))</f>
        <v>1000000000000</v>
      </c>
      <c r="CU241" s="172" cm="1">
        <f t="array" aca="1" ref="CU241" ca="1">IF(OR($D241&lt;&gt;"Serviço",AND(AUTOEVENTO="Manual",$M241=$A$15),$M241&gt;(ROW(PLE.lastrow)-ROW(PLE.firstrow))),0,
           IF(OFFSET(PLE!$G$15,$M241-$A$15,CU$13)="",10^12,OFFSET(PLE!$G$15,$M241-$A$15,CU$13)))</f>
        <v>1000000000000</v>
      </c>
      <c r="CV241" s="172" cm="1">
        <f t="array" aca="1" ref="CV241" ca="1">IF(OR($D241&lt;&gt;"Serviço",AND(AUTOEVENTO="Manual",$M241=$A$15),$M241&gt;(ROW(PLE.lastrow)-ROW(PLE.firstrow))),0,
           IF(OFFSET(PLE!$G$15,$M241-$A$15,CV$13)="",10^12,OFFSET(PLE!$G$15,$M241-$A$15,CV$13)))</f>
        <v>1000000000000</v>
      </c>
      <c r="CW241" s="172" cm="1">
        <f t="array" aca="1" ref="CW241" ca="1">IF(OR($D241&lt;&gt;"Serviço",AND(AUTOEVENTO="Manual",$M241=$A$15),$M241&gt;(ROW(PLE.lastrow)-ROW(PLE.firstrow))),0,
           IF(OFFSET(PLE!$G$15,$M241-$A$15,CW$13)="",10^12,OFFSET(PLE!$G$15,$M241-$A$15,CW$13)))</f>
        <v>1000000000000</v>
      </c>
      <c r="CX241" s="172" cm="1">
        <f t="array" aca="1" ref="CX241" ca="1">IF(OR($D241&lt;&gt;"Serviço",AND(AUTOEVENTO="Manual",$M241=$A$15),$M241&gt;(ROW(PLE.lastrow)-ROW(PLE.firstrow))),0,
           IF(OFFSET(PLE!$G$15,$M241-$A$15,CX$13)="",10^12,OFFSET(PLE!$G$15,$M241-$A$15,CX$13)))</f>
        <v>1000000000000</v>
      </c>
      <c r="CY241" s="172" cm="1">
        <f t="array" aca="1" ref="CY241" ca="1">IF(OR($D241&lt;&gt;"Serviço",AND(AUTOEVENTO="Manual",$M241=$A$15),$M241&gt;(ROW(PLE.lastrow)-ROW(PLE.firstrow))),0,
           IF(OFFSET(PLE!$G$15,$M241-$A$15,CY$13)="",10^12,OFFSET(PLE!$G$15,$M241-$A$15,CY$13)))</f>
        <v>1000000000000</v>
      </c>
      <c r="CZ241" s="172" cm="1">
        <f t="array" aca="1" ref="CZ241" ca="1">IF(OR($D241&lt;&gt;"Serviço",AND(AUTOEVENTO="Manual",$M241=$A$15),$M241&gt;(ROW(PLE.lastrow)-ROW(PLE.firstrow))),0,
           IF(OFFSET(PLE!$G$15,$M241-$A$15,CZ$13)="",10^12,OFFSET(PLE!$G$15,$M241-$A$15,CZ$13)))</f>
        <v>1000000000000</v>
      </c>
      <c r="DA241" s="172" cm="1">
        <f t="array" aca="1" ref="DA241" ca="1">IF(OR($D241&lt;&gt;"Serviço",AND(AUTOEVENTO="Manual",$M241=$A$15),$M241&gt;(ROW(PLE.lastrow)-ROW(PLE.firstrow))),0,
           IF(OFFSET(PLE!$G$15,$M241-$A$15,DA$13)="",10^12,OFFSET(PLE!$G$15,$M241-$A$15,DA$13)))</f>
        <v>1000000000000</v>
      </c>
      <c r="DB241" s="172" cm="1">
        <f t="array" aca="1" ref="DB241" ca="1">IF(OR($D241&lt;&gt;"Serviço",AND(AUTOEVENTO="Manual",$M241=$A$15),$M241&gt;(ROW(PLE.lastrow)-ROW(PLE.firstrow))),0,
           IF(OFFSET(PLE!$G$15,$M241-$A$15,DB$13)="",10^12,OFFSET(PLE!$G$15,$M241-$A$15,DB$13)))</f>
        <v>1000000000000</v>
      </c>
      <c r="DC241" s="172" cm="1">
        <f t="array" aca="1" ref="DC241" ca="1">IF(OR($D241&lt;&gt;"Serviço",AND(AUTOEVENTO="Manual",$M241=$A$15),$M241&gt;(ROW(PLE.lastrow)-ROW(PLE.firstrow))),0,
           IF(OFFSET(PLE!$G$15,$M241-$A$15,DC$13)="",10^12,OFFSET(PLE!$G$15,$M241-$A$15,DC$13)))</f>
        <v>1000000000000</v>
      </c>
      <c r="DD241" s="172" cm="1">
        <f t="array" aca="1" ref="DD241" ca="1">IF(OR($D241&lt;&gt;"Serviço",AND(AUTOEVENTO="Manual",$M241=$A$15),$M241&gt;(ROW(PLE.lastrow)-ROW(PLE.firstrow))),0,
           IF(OFFSET(PLE!$G$15,$M241-$A$15,DD$13)="",10^12,OFFSET(PLE!$G$15,$M241-$A$15,DD$13)))</f>
        <v>1000000000000</v>
      </c>
      <c r="DE241" s="172" cm="1">
        <f t="array" aca="1" ref="DE241" ca="1">IF(OR($D241&lt;&gt;"Serviço",AND(AUTOEVENTO="Manual",$M241=$A$15),$M241&gt;(ROW(PLE.lastrow)-ROW(PLE.firstrow))),0,
           IF(OFFSET(PLE!$G$15,$M241-$A$15,DE$13)="",10^12,OFFSET(PLE!$G$15,$M241-$A$15,DE$13)))</f>
        <v>1000000000000</v>
      </c>
      <c r="DF241" s="172" cm="1">
        <f t="array" aca="1" ref="DF241" ca="1">IF(OR($D241&lt;&gt;"Serviço",AND(AUTOEVENTO="Manual",$M241=$A$15),$M241&gt;(ROW(PLE.lastrow)-ROW(PLE.firstrow))),0,
           IF(OFFSET(PLE!$G$15,$M241-$A$15,DF$13)="",10^12,OFFSET(PLE!$G$15,$M241-$A$15,DF$13)))</f>
        <v>1000000000000</v>
      </c>
      <c r="DG241" s="172" cm="1">
        <f t="array" aca="1" ref="DG241" ca="1">IF(OR($D241&lt;&gt;"Serviço",AND(AUTOEVENTO="Manual",$M241=$A$15),$M241&gt;(ROW(PLE.lastrow)-ROW(PLE.firstrow))),0,
           IF(OFFSET(PLE!$G$15,$M241-$A$15,DG$13)="",10^12,OFFSET(PLE!$G$15,$M241-$A$15,DG$13)))</f>
        <v>1000000000000</v>
      </c>
      <c r="DH241" s="172" cm="1">
        <f t="array" aca="1" ref="DH241" ca="1">IF(OR($D241&lt;&gt;"Serviço",AND(AUTOEVENTO="Manual",$M241=$A$15),$M241&gt;(ROW(PLE.lastrow)-ROW(PLE.firstrow))),0,
           IF(OFFSET(PLE!$G$15,$M241-$A$15,DH$13)="",10^12,OFFSET(PLE!$G$15,$M241-$A$15,DH$13)))</f>
        <v>1000000000000</v>
      </c>
      <c r="DI241" s="172" cm="1">
        <f t="array" aca="1" ref="DI241" ca="1">IF(OR($D241&lt;&gt;"Serviço",AND(AUTOEVENTO="Manual",$M241=$A$15),$M241&gt;(ROW(PLE.lastrow)-ROW(PLE.firstrow))),0,
           IF(OFFSET(PLE!$G$15,$M241-$A$15,DI$13)="",10^12,OFFSET(PLE!$G$15,$M241-$A$15,DI$13)))</f>
        <v>1000000000000</v>
      </c>
      <c r="DJ241" s="172" cm="1">
        <f t="array" aca="1" ref="DJ241" ca="1">IF(OR($D241&lt;&gt;"Serviço",AND(AUTOEVENTO="Manual",$M241=$A$15),$M241&gt;(ROW(PLE.lastrow)-ROW(PLE.firstrow))),0,
           IF(OFFSET(PLE!$G$15,$M241-$A$15,DJ$13)="",10^12,OFFSET(PLE!$G$15,$M241-$A$15,DJ$13)))</f>
        <v>1000000000000</v>
      </c>
      <c r="DK241" s="172" cm="1">
        <f t="array" aca="1" ref="DK241" ca="1">IF(OR($D241&lt;&gt;"Serviço",AND(AUTOEVENTO="Manual",$M241=$A$15),$M241&gt;(ROW(PLE.lastrow)-ROW(PLE.firstrow))),0,
           IF(OFFSET(PLE!$G$15,$M241-$A$15,DK$13)="",10^12,OFFSET(PLE!$G$15,$M241-$A$15,DK$13)))</f>
        <v>1000000000000</v>
      </c>
      <c r="DL241" s="172" cm="1">
        <f t="array" aca="1" ref="DL241" ca="1">IF(OR($D241&lt;&gt;"Serviço",AND(AUTOEVENTO="Manual",$M241=$A$15),$M241&gt;(ROW(PLE.lastrow)-ROW(PLE.firstrow))),0,
           IF(OFFSET(PLE!$G$15,$M241-$A$15,DL$13)="",10^12,OFFSET(PLE!$G$15,$M241-$A$15,DL$13)))</f>
        <v>1000000000000</v>
      </c>
      <c r="DM241" s="172" cm="1">
        <f t="array" aca="1" ref="DM241" ca="1">IF(OR($D241&lt;&gt;"Serviço",AND(AUTOEVENTO="Manual",$M241=$A$15),$M241&gt;(ROW(PLE.lastrow)-ROW(PLE.firstrow))),0,
           IF(OFFSET(PLE!$G$15,$M241-$A$15,DM$13)="",10^12,OFFSET(PLE!$G$15,$M241-$A$15,DM$13)))</f>
        <v>1000000000000</v>
      </c>
      <c r="DN241" s="172" cm="1">
        <f t="array" aca="1" ref="DN241" ca="1">IF(OR($D241&lt;&gt;"Serviço",AND(AUTOEVENTO="Manual",$M241=$A$15),$M241&gt;(ROW(PLE.lastrow)-ROW(PLE.firstrow))),0,
           IF(OFFSET(PLE!$G$15,$M241-$A$15,DN$13)="",10^12,OFFSET(PLE!$G$15,$M241-$A$15,DN$13)))</f>
        <v>1000000000000</v>
      </c>
      <c r="DO241" s="172" cm="1">
        <f t="array" aca="1" ref="DO241" ca="1">IF(OR($D241&lt;&gt;"Serviço",AND(AUTOEVENTO="Manual",$M241=$A$15),$M241&gt;(ROW(PLE.lastrow)-ROW(PLE.firstrow))),0,
           IF(OFFSET(PLE!$G$15,$M241-$A$15,DO$13)="",10^12,OFFSET(PLE!$G$15,$M241-$A$15,DO$13)))</f>
        <v>1000000000000</v>
      </c>
      <c r="DP241" s="172" cm="1">
        <f t="array" aca="1" ref="DP241" ca="1">IF(OR($D241&lt;&gt;"Serviço",AND(AUTOEVENTO="Manual",$M241=$A$15),$M241&gt;(ROW(PLE.lastrow)-ROW(PLE.firstrow))),0,
           IF(OFFSET(PLE!$G$15,$M241-$A$15,DP$13)="",10^12,OFFSET(PLE!$G$15,$M241-$A$15,DP$13)))</f>
        <v>1000000000000</v>
      </c>
      <c r="DQ241" s="172" cm="1">
        <f t="array" aca="1" ref="DQ241" ca="1">IF(OR($D241&lt;&gt;"Serviço",AND(AUTOEVENTO="Manual",$M241=$A$15),$M241&gt;(ROW(PLE.lastrow)-ROW(PLE.firstrow))),0,
           IF(OFFSET(PLE!$G$15,$M241-$A$15,DQ$13)="",10^12,OFFSET(PLE!$G$15,$M241-$A$15,DQ$13)))</f>
        <v>1000000000000</v>
      </c>
      <c r="DR241" s="172" cm="1">
        <f t="array" aca="1" ref="DR241" ca="1">IF(OR($D241&lt;&gt;"Serviço",AND(AUTOEVENTO="Manual",$M241=$A$15),$M241&gt;(ROW(PLE.lastrow)-ROW(PLE.firstrow))),0,
           IF(OFFSET(PLE!$G$15,$M241-$A$15,DR$13)="",10^12,OFFSET(PLE!$G$15,$M241-$A$15,DR$13)))</f>
        <v>1000000000000</v>
      </c>
      <c r="DS241" s="172" cm="1">
        <f t="array" aca="1" ref="DS241" ca="1">IF(OR($D241&lt;&gt;"Serviço",AND(AUTOEVENTO="Manual",$M241=$A$15),$M241&gt;(ROW(PLE.lastrow)-ROW(PLE.firstrow))),0,
           IF(OFFSET(PLE!$G$15,$M241-$A$15,DS$13)="",10^12,OFFSET(PLE!$G$15,$M241-$A$15,DS$13)))</f>
        <v>1000000000000</v>
      </c>
    </row>
    <row r="242" spans="1:123" ht="25.5" x14ac:dyDescent="0.2">
      <c r="A242" s="7">
        <f t="shared" ca="1" si="19"/>
        <v>10</v>
      </c>
      <c r="B242" s="7" t="str">
        <f ca="1">OFFSET(ORÇAMENTO!C$15,$L242,0)</f>
        <v>S</v>
      </c>
      <c r="C242" s="7" t="str">
        <f ca="1">OFFSET(ORÇAMENTO!L$15,$L242,0)</f>
        <v/>
      </c>
      <c r="D242" s="116" t="str">
        <f ca="1">OFFSET(ORÇAMENTO!N$15,$L242,0)</f>
        <v>Serviço</v>
      </c>
      <c r="E242" s="117" t="str">
        <f ca="1">OFFSET(ORÇAMENTO!O$15,$L242,0)</f>
        <v>-</v>
      </c>
      <c r="F242" s="163" t="str">
        <f ca="1">OFFSET(ORÇAMENTO!R$15,$L242,0)</f>
        <v>(Código não identificado nas referências)</v>
      </c>
      <c r="G242" s="164" t="str">
        <f ca="1">IF($D242&lt;&gt;"Serviço","",OFFSET(ORÇAMENTO!S$15,$L242,0))</f>
        <v>-</v>
      </c>
      <c r="H242" s="122" cm="1">
        <f t="array" aca="1" ref="H242" ca="1">IF($D242&lt;&gt;"Serviço",0,IF(ACOMPANHAMENTO="BM",ROUND(OFFSET(ORÇAMENTO!AJ$15,$L242,0),15-13*ORÇAMENTO!$AF$7),IF(IFERROR(CÁLCULO.FrentesPreenchidas,0)=0,0,SUM(ROUND(OFFSET($P242,0,1,1,CÁLCULO.FrentesPreenchidas),15-13*ORÇAMENTO!$AF$7)))))</f>
        <v>318.39999999999998</v>
      </c>
      <c r="I242" s="468" t="s">
        <v>1235</v>
      </c>
      <c r="J242" s="651" t="str" cm="1">
        <f t="array" aca="1" ref="J242" ca="1">IF(OR(B242&lt;&gt;"S",CÁLCULO.FrentesPreenchidas=0),"",IF(AND(ACOMPANHAMENTO="PLE",AUTOEVENTO="Manual",OR(H242&gt;0,ORÇAMENTO!AC242="QUANT."),OR(K242="",M242=0,N242="")),"►E",IF(AND(ACOMPANHAMENTO="PLE",ORÇAMENTO!AC242="QUANT."),"►Q",IF(AND(ACOMPANHAMENTO="PLE",H242&lt;&gt;SUMPRODUCT(($Q$1:$AQ$1=1)*ROUND(Q242:AQ242,15))),"►S",IF(AND(COUNTIF($P$11:$AQ$11,"▼")=0,H242&gt;0,I242=""),"◄M","")))))</f>
        <v/>
      </c>
      <c r="K242" s="652" t="s">
        <v>1258</v>
      </c>
      <c r="L242" s="165">
        <f t="shared" ca="1" si="20"/>
        <v>227</v>
      </c>
      <c r="M242" s="166">
        <f ca="1">IF($D242&lt;&gt;"Serviço","",
          IF(AUTOEVENTO="manual",$A242,
                IF(ISERROR(MATCH($A242,$A$15:OFFSET($A242,-1,0),0)),MAX($M$15:OFFSET(M242,-1,0))+1,
                      INDEX($M$15:OFFSET(M242,-1,0),MATCH($A242,$A$15:OFFSET($A242,-1,0),0)))))</f>
        <v>10</v>
      </c>
      <c r="N242" s="167" t="str">
        <f ca="1">IF($D242&lt;&gt;"Serviço","",
         IF(AUTOEVENTO="Manual",
                IF($A242=0,"&lt;-- defina o número do agrupador",
                       OFFSET(EVENTOS!$D$15,$A242-$A$15,0)),
                OFFSET($F$15,$A242,0)))</f>
        <v>COMPLEMENTAÇÕES</v>
      </c>
      <c r="O242" s="168"/>
      <c r="Q242" s="168">
        <v>15.92</v>
      </c>
      <c r="R242" s="169">
        <v>15.92</v>
      </c>
      <c r="S242" s="169">
        <v>15.92</v>
      </c>
      <c r="T242" s="169">
        <v>15.92</v>
      </c>
      <c r="U242" s="169">
        <v>15.92</v>
      </c>
      <c r="V242" s="169">
        <v>15.92</v>
      </c>
      <c r="W242" s="169">
        <v>15.92</v>
      </c>
      <c r="X242" s="169">
        <v>15.92</v>
      </c>
      <c r="Y242" s="169">
        <v>15.92</v>
      </c>
      <c r="Z242" s="170">
        <v>15.92</v>
      </c>
      <c r="AA242" s="169">
        <v>15.92</v>
      </c>
      <c r="AB242" s="169">
        <v>15.92</v>
      </c>
      <c r="AC242" s="169">
        <v>15.92</v>
      </c>
      <c r="AD242" s="169">
        <v>15.92</v>
      </c>
      <c r="AE242" s="169">
        <v>15.92</v>
      </c>
      <c r="AF242" s="169">
        <v>15.92</v>
      </c>
      <c r="AG242" s="169">
        <v>15.92</v>
      </c>
      <c r="AH242" s="170">
        <v>15.92</v>
      </c>
      <c r="AI242" s="169">
        <v>15.92</v>
      </c>
      <c r="AJ242" s="169">
        <v>15.92</v>
      </c>
      <c r="AK242" s="169"/>
      <c r="AL242" s="169"/>
      <c r="AM242" s="169"/>
      <c r="AN242" s="169"/>
      <c r="AO242" s="169"/>
      <c r="AP242" s="170"/>
      <c r="AR242" s="453">
        <f ca="1">IF(AND($D242="Serviço",AR$12&lt;&gt;0,$H242&gt;0,OR(AUTOEVENTO&lt;&gt;"manual",$M242&lt;&gt;$A$15)),
        IF(Import.TipoArredondamento&lt;&gt;"TransfereGOV",
              ROUND(OFFSET($P242,0,AR$13),15-13*ORÇAMENTO!$AF$7)/$H242*OFFSET(ORÇAMENTO!$X$15,ROW(AR242)-ROW(AR$15),0),
              ROUND(ROUND(OFFSET($P242,0,AR$13),15-13*ORÇAMENTO!$AF$7)*OFFSET(ORÇAMENTO!$W$15,ROW(AR242)-ROW(AR$15),0),15-13*ORÇAMENTO!$AF$11)),
         0)</f>
        <v>0</v>
      </c>
      <c r="AS242" s="453">
        <f ca="1">IF(AND($D242="Serviço",AS$12&lt;&gt;0,$H242&gt;0,OR(AUTOEVENTO&lt;&gt;"manual",$M242&lt;&gt;$A$15)),
        IF(Import.TipoArredondamento&lt;&gt;"TransfereGOV",
              ROUND(OFFSET($P242,0,AS$13),15-13*ORÇAMENTO!$AF$7)/$H242*OFFSET(ORÇAMENTO!$X$15,ROW(AS242)-ROW(AS$15),0),
              ROUND(ROUND(OFFSET($P242,0,AS$13),15-13*ORÇAMENTO!$AF$7)*OFFSET(ORÇAMENTO!$W$15,ROW(AS242)-ROW(AS$15),0),15-13*ORÇAMENTO!$AF$11)),
         0)</f>
        <v>0</v>
      </c>
      <c r="AT242" s="453">
        <f ca="1">IF(AND($D242="Serviço",AT$12&lt;&gt;0,$H242&gt;0,OR(AUTOEVENTO&lt;&gt;"manual",$M242&lt;&gt;$A$15)),
        IF(Import.TipoArredondamento&lt;&gt;"TransfereGOV",
              ROUND(OFFSET($P242,0,AT$13),15-13*ORÇAMENTO!$AF$7)/$H242*OFFSET(ORÇAMENTO!$X$15,ROW(AT242)-ROW(AT$15),0),
              ROUND(ROUND(OFFSET($P242,0,AT$13),15-13*ORÇAMENTO!$AF$7)*OFFSET(ORÇAMENTO!$W$15,ROW(AT242)-ROW(AT$15),0),15-13*ORÇAMENTO!$AF$11)),
         0)</f>
        <v>0</v>
      </c>
      <c r="AU242" s="453">
        <f ca="1">IF(AND($D242="Serviço",AU$12&lt;&gt;0,$H242&gt;0,OR(AUTOEVENTO&lt;&gt;"manual",$M242&lt;&gt;$A$15)),
        IF(Import.TipoArredondamento&lt;&gt;"TransfereGOV",
              ROUND(OFFSET($P242,0,AU$13),15-13*ORÇAMENTO!$AF$7)/$H242*OFFSET(ORÇAMENTO!$X$15,ROW(AU242)-ROW(AU$15),0),
              ROUND(ROUND(OFFSET($P242,0,AU$13),15-13*ORÇAMENTO!$AF$7)*OFFSET(ORÇAMENTO!$W$15,ROW(AU242)-ROW(AU$15),0),15-13*ORÇAMENTO!$AF$11)),
         0)</f>
        <v>0</v>
      </c>
      <c r="AV242" s="453">
        <f ca="1">IF(AND($D242="Serviço",AV$12&lt;&gt;0,$H242&gt;0,OR(AUTOEVENTO&lt;&gt;"manual",$M242&lt;&gt;$A$15)),
        IF(Import.TipoArredondamento&lt;&gt;"TransfereGOV",
              ROUND(OFFSET($P242,0,AV$13),15-13*ORÇAMENTO!$AF$7)/$H242*OFFSET(ORÇAMENTO!$X$15,ROW(AV242)-ROW(AV$15),0),
              ROUND(ROUND(OFFSET($P242,0,AV$13),15-13*ORÇAMENTO!$AF$7)*OFFSET(ORÇAMENTO!$W$15,ROW(AV242)-ROW(AV$15),0),15-13*ORÇAMENTO!$AF$11)),
         0)</f>
        <v>0</v>
      </c>
      <c r="AW242" s="453">
        <f ca="1">IF(AND($D242="Serviço",AW$12&lt;&gt;0,$H242&gt;0,OR(AUTOEVENTO&lt;&gt;"manual",$M242&lt;&gt;$A$15)),
        IF(Import.TipoArredondamento&lt;&gt;"TransfereGOV",
              ROUND(OFFSET($P242,0,AW$13),15-13*ORÇAMENTO!$AF$7)/$H242*OFFSET(ORÇAMENTO!$X$15,ROW(AW242)-ROW(AW$15),0),
              ROUND(ROUND(OFFSET($P242,0,AW$13),15-13*ORÇAMENTO!$AF$7)*OFFSET(ORÇAMENTO!$W$15,ROW(AW242)-ROW(AW$15),0),15-13*ORÇAMENTO!$AF$11)),
         0)</f>
        <v>0</v>
      </c>
      <c r="AX242" s="453">
        <f ca="1">IF(AND($D242="Serviço",AX$12&lt;&gt;0,$H242&gt;0,OR(AUTOEVENTO&lt;&gt;"manual",$M242&lt;&gt;$A$15)),
        IF(Import.TipoArredondamento&lt;&gt;"TransfereGOV",
              ROUND(OFFSET($P242,0,AX$13),15-13*ORÇAMENTO!$AF$7)/$H242*OFFSET(ORÇAMENTO!$X$15,ROW(AX242)-ROW(AX$15),0),
              ROUND(ROUND(OFFSET($P242,0,AX$13),15-13*ORÇAMENTO!$AF$7)*OFFSET(ORÇAMENTO!$W$15,ROW(AX242)-ROW(AX$15),0),15-13*ORÇAMENTO!$AF$11)),
         0)</f>
        <v>0</v>
      </c>
      <c r="AY242" s="453">
        <f ca="1">IF(AND($D242="Serviço",AY$12&lt;&gt;0,$H242&gt;0,OR(AUTOEVENTO&lt;&gt;"manual",$M242&lt;&gt;$A$15)),
        IF(Import.TipoArredondamento&lt;&gt;"TransfereGOV",
              ROUND(OFFSET($P242,0,AY$13),15-13*ORÇAMENTO!$AF$7)/$H242*OFFSET(ORÇAMENTO!$X$15,ROW(AY242)-ROW(AY$15),0),
              ROUND(ROUND(OFFSET($P242,0,AY$13),15-13*ORÇAMENTO!$AF$7)*OFFSET(ORÇAMENTO!$W$15,ROW(AY242)-ROW(AY$15),0),15-13*ORÇAMENTO!$AF$11)),
         0)</f>
        <v>0</v>
      </c>
      <c r="AZ242" s="453">
        <f ca="1">IF(AND($D242="Serviço",AZ$12&lt;&gt;0,$H242&gt;0,OR(AUTOEVENTO&lt;&gt;"manual",$M242&lt;&gt;$A$15)),
        IF(Import.TipoArredondamento&lt;&gt;"TransfereGOV",
              ROUND(OFFSET($P242,0,AZ$13),15-13*ORÇAMENTO!$AF$7)/$H242*OFFSET(ORÇAMENTO!$X$15,ROW(AZ242)-ROW(AZ$15),0),
              ROUND(ROUND(OFFSET($P242,0,AZ$13),15-13*ORÇAMENTO!$AF$7)*OFFSET(ORÇAMENTO!$W$15,ROW(AZ242)-ROW(AZ$15),0),15-13*ORÇAMENTO!$AF$11)),
         0)</f>
        <v>0</v>
      </c>
      <c r="BA242" s="453">
        <f ca="1">IF(AND($D242="Serviço",BA$12&lt;&gt;0,$H242&gt;0,OR(AUTOEVENTO&lt;&gt;"manual",$M242&lt;&gt;$A$15)),
        IF(Import.TipoArredondamento&lt;&gt;"TransfereGOV",
              ROUND(OFFSET($P242,0,BA$13),15-13*ORÇAMENTO!$AF$7)/$H242*OFFSET(ORÇAMENTO!$X$15,ROW(BA242)-ROW(BA$15),0),
              ROUND(ROUND(OFFSET($P242,0,BA$13),15-13*ORÇAMENTO!$AF$7)*OFFSET(ORÇAMENTO!$W$15,ROW(BA242)-ROW(BA$15),0),15-13*ORÇAMENTO!$AF$11)),
         0)</f>
        <v>0</v>
      </c>
      <c r="BB242" s="453">
        <f ca="1">IF(AND($D242="Serviço",BB$12&lt;&gt;0,$H242&gt;0,OR(AUTOEVENTO&lt;&gt;"manual",$M242&lt;&gt;$A$15)),
        IF(Import.TipoArredondamento&lt;&gt;"TransfereGOV",
              ROUND(OFFSET($P242,0,BB$13),15-13*ORÇAMENTO!$AF$7)/$H242*OFFSET(ORÇAMENTO!$X$15,ROW(BB242)-ROW(BB$15),0),
              ROUND(ROUND(OFFSET($P242,0,BB$13),15-13*ORÇAMENTO!$AF$7)*OFFSET(ORÇAMENTO!$W$15,ROW(BB242)-ROW(BB$15),0),15-13*ORÇAMENTO!$AF$11)),
         0)</f>
        <v>0</v>
      </c>
      <c r="BC242" s="453">
        <f ca="1">IF(AND($D242="Serviço",BC$12&lt;&gt;0,$H242&gt;0,OR(AUTOEVENTO&lt;&gt;"manual",$M242&lt;&gt;$A$15)),
        IF(Import.TipoArredondamento&lt;&gt;"TransfereGOV",
              ROUND(OFFSET($P242,0,BC$13),15-13*ORÇAMENTO!$AF$7)/$H242*OFFSET(ORÇAMENTO!$X$15,ROW(BC242)-ROW(BC$15),0),
              ROUND(ROUND(OFFSET($P242,0,BC$13),15-13*ORÇAMENTO!$AF$7)*OFFSET(ORÇAMENTO!$W$15,ROW(BC242)-ROW(BC$15),0),15-13*ORÇAMENTO!$AF$11)),
         0)</f>
        <v>0</v>
      </c>
      <c r="BD242" s="453">
        <f ca="1">IF(AND($D242="Serviço",BD$12&lt;&gt;0,$H242&gt;0,OR(AUTOEVENTO&lt;&gt;"manual",$M242&lt;&gt;$A$15)),
        IF(Import.TipoArredondamento&lt;&gt;"TransfereGOV",
              ROUND(OFFSET($P242,0,BD$13),15-13*ORÇAMENTO!$AF$7)/$H242*OFFSET(ORÇAMENTO!$X$15,ROW(BD242)-ROW(BD$15),0),
              ROUND(ROUND(OFFSET($P242,0,BD$13),15-13*ORÇAMENTO!$AF$7)*OFFSET(ORÇAMENTO!$W$15,ROW(BD242)-ROW(BD$15),0),15-13*ORÇAMENTO!$AF$11)),
         0)</f>
        <v>0</v>
      </c>
      <c r="BE242" s="453">
        <f ca="1">IF(AND($D242="Serviço",BE$12&lt;&gt;0,$H242&gt;0,OR(AUTOEVENTO&lt;&gt;"manual",$M242&lt;&gt;$A$15)),
        IF(Import.TipoArredondamento&lt;&gt;"TransfereGOV",
              ROUND(OFFSET($P242,0,BE$13),15-13*ORÇAMENTO!$AF$7)/$H242*OFFSET(ORÇAMENTO!$X$15,ROW(BE242)-ROW(BE$15),0),
              ROUND(ROUND(OFFSET($P242,0,BE$13),15-13*ORÇAMENTO!$AF$7)*OFFSET(ORÇAMENTO!$W$15,ROW(BE242)-ROW(BE$15),0),15-13*ORÇAMENTO!$AF$11)),
         0)</f>
        <v>0</v>
      </c>
      <c r="BF242" s="453">
        <f ca="1">IF(AND($D242="Serviço",BF$12&lt;&gt;0,$H242&gt;0,OR(AUTOEVENTO&lt;&gt;"manual",$M242&lt;&gt;$A$15)),
        IF(Import.TipoArredondamento&lt;&gt;"TransfereGOV",
              ROUND(OFFSET($P242,0,BF$13),15-13*ORÇAMENTO!$AF$7)/$H242*OFFSET(ORÇAMENTO!$X$15,ROW(BF242)-ROW(BF$15),0),
              ROUND(ROUND(OFFSET($P242,0,BF$13),15-13*ORÇAMENTO!$AF$7)*OFFSET(ORÇAMENTO!$W$15,ROW(BF242)-ROW(BF$15),0),15-13*ORÇAMENTO!$AF$11)),
         0)</f>
        <v>0</v>
      </c>
      <c r="BG242" s="453">
        <f ca="1">IF(AND($D242="Serviço",BG$12&lt;&gt;0,$H242&gt;0,OR(AUTOEVENTO&lt;&gt;"manual",$M242&lt;&gt;$A$15)),
        IF(Import.TipoArredondamento&lt;&gt;"TransfereGOV",
              ROUND(OFFSET($P242,0,BG$13),15-13*ORÇAMENTO!$AF$7)/$H242*OFFSET(ORÇAMENTO!$X$15,ROW(BG242)-ROW(BG$15),0),
              ROUND(ROUND(OFFSET($P242,0,BG$13),15-13*ORÇAMENTO!$AF$7)*OFFSET(ORÇAMENTO!$W$15,ROW(BG242)-ROW(BG$15),0),15-13*ORÇAMENTO!$AF$11)),
         0)</f>
        <v>0</v>
      </c>
      <c r="BH242" s="453">
        <f ca="1">IF(AND($D242="Serviço",BH$12&lt;&gt;0,$H242&gt;0,OR(AUTOEVENTO&lt;&gt;"manual",$M242&lt;&gt;$A$15)),
        IF(Import.TipoArredondamento&lt;&gt;"TransfereGOV",
              ROUND(OFFSET($P242,0,BH$13),15-13*ORÇAMENTO!$AF$7)/$H242*OFFSET(ORÇAMENTO!$X$15,ROW(BH242)-ROW(BH$15),0),
              ROUND(ROUND(OFFSET($P242,0,BH$13),15-13*ORÇAMENTO!$AF$7)*OFFSET(ORÇAMENTO!$W$15,ROW(BH242)-ROW(BH$15),0),15-13*ORÇAMENTO!$AF$11)),
         0)</f>
        <v>0</v>
      </c>
      <c r="BI242" s="453">
        <f ca="1">IF(AND($D242="Serviço",BI$12&lt;&gt;0,$H242&gt;0,OR(AUTOEVENTO&lt;&gt;"manual",$M242&lt;&gt;$A$15)),
        IF(Import.TipoArredondamento&lt;&gt;"TransfereGOV",
              ROUND(OFFSET($P242,0,BI$13),15-13*ORÇAMENTO!$AF$7)/$H242*OFFSET(ORÇAMENTO!$X$15,ROW(BI242)-ROW(BI$15),0),
              ROUND(ROUND(OFFSET($P242,0,BI$13),15-13*ORÇAMENTO!$AF$7)*OFFSET(ORÇAMENTO!$W$15,ROW(BI242)-ROW(BI$15),0),15-13*ORÇAMENTO!$AF$11)),
         0)</f>
        <v>0</v>
      </c>
      <c r="BJ242" s="453">
        <f ca="1">IF(AND($D242="Serviço",BJ$12&lt;&gt;0,$H242&gt;0,OR(AUTOEVENTO&lt;&gt;"manual",$M242&lt;&gt;$A$15)),
        IF(Import.TipoArredondamento&lt;&gt;"TransfereGOV",
              ROUND(OFFSET($P242,0,BJ$13),15-13*ORÇAMENTO!$AF$7)/$H242*OFFSET(ORÇAMENTO!$X$15,ROW(BJ242)-ROW(BJ$15),0),
              ROUND(ROUND(OFFSET($P242,0,BJ$13),15-13*ORÇAMENTO!$AF$7)*OFFSET(ORÇAMENTO!$W$15,ROW(BJ242)-ROW(BJ$15),0),15-13*ORÇAMENTO!$AF$11)),
         0)</f>
        <v>0</v>
      </c>
      <c r="BK242" s="453">
        <f ca="1">IF(AND($D242="Serviço",BK$12&lt;&gt;0,$H242&gt;0,OR(AUTOEVENTO&lt;&gt;"manual",$M242&lt;&gt;$A$15)),
        IF(Import.TipoArredondamento&lt;&gt;"TransfereGOV",
              ROUND(OFFSET($P242,0,BK$13),15-13*ORÇAMENTO!$AF$7)/$H242*OFFSET(ORÇAMENTO!$X$15,ROW(BK242)-ROW(BK$15),0),
              ROUND(ROUND(OFFSET($P242,0,BK$13),15-13*ORÇAMENTO!$AF$7)*OFFSET(ORÇAMENTO!$W$15,ROW(BK242)-ROW(BK$15),0),15-13*ORÇAMENTO!$AF$11)),
         0)</f>
        <v>0</v>
      </c>
      <c r="BL242" s="453">
        <f ca="1">IF(AND($D242="Serviço",BL$12&lt;&gt;0,$H242&gt;0,OR(AUTOEVENTO&lt;&gt;"manual",$M242&lt;&gt;$A$15)),
        IF(Import.TipoArredondamento&lt;&gt;"TransfereGOV",
              ROUND(OFFSET($P242,0,BL$13),15-13*ORÇAMENTO!$AF$7)/$H242*OFFSET(ORÇAMENTO!$X$15,ROW(BL242)-ROW(BL$15),0),
              ROUND(ROUND(OFFSET($P242,0,BL$13),15-13*ORÇAMENTO!$AF$7)*OFFSET(ORÇAMENTO!$W$15,ROW(BL242)-ROW(BL$15),0),15-13*ORÇAMENTO!$AF$11)),
         0)</f>
        <v>0</v>
      </c>
      <c r="BM242" s="453">
        <f ca="1">IF(AND($D242="Serviço",BM$12&lt;&gt;0,$H242&gt;0,OR(AUTOEVENTO&lt;&gt;"manual",$M242&lt;&gt;$A$15)),
        IF(Import.TipoArredondamento&lt;&gt;"TransfereGOV",
              ROUND(OFFSET($P242,0,BM$13),15-13*ORÇAMENTO!$AF$7)/$H242*OFFSET(ORÇAMENTO!$X$15,ROW(BM242)-ROW(BM$15),0),
              ROUND(ROUND(OFFSET($P242,0,BM$13),15-13*ORÇAMENTO!$AF$7)*OFFSET(ORÇAMENTO!$W$15,ROW(BM242)-ROW(BM$15),0),15-13*ORÇAMENTO!$AF$11)),
         0)</f>
        <v>0</v>
      </c>
      <c r="BN242" s="453">
        <f ca="1">IF(AND($D242="Serviço",BN$12&lt;&gt;0,$H242&gt;0,OR(AUTOEVENTO&lt;&gt;"manual",$M242&lt;&gt;$A$15)),
        IF(Import.TipoArredondamento&lt;&gt;"TransfereGOV",
              ROUND(OFFSET($P242,0,BN$13),15-13*ORÇAMENTO!$AF$7)/$H242*OFFSET(ORÇAMENTO!$X$15,ROW(BN242)-ROW(BN$15),0),
              ROUND(ROUND(OFFSET($P242,0,BN$13),15-13*ORÇAMENTO!$AF$7)*OFFSET(ORÇAMENTO!$W$15,ROW(BN242)-ROW(BN$15),0),15-13*ORÇAMENTO!$AF$11)),
         0)</f>
        <v>0</v>
      </c>
      <c r="BO242" s="453">
        <f ca="1">IF(AND($D242="Serviço",BO$12&lt;&gt;0,$H242&gt;0,OR(AUTOEVENTO&lt;&gt;"manual",$M242&lt;&gt;$A$15)),
        IF(Import.TipoArredondamento&lt;&gt;"TransfereGOV",
              ROUND(OFFSET($P242,0,BO$13),15-13*ORÇAMENTO!$AF$7)/$H242*OFFSET(ORÇAMENTO!$X$15,ROW(BO242)-ROW(BO$15),0),
              ROUND(ROUND(OFFSET($P242,0,BO$13),15-13*ORÇAMENTO!$AF$7)*OFFSET(ORÇAMENTO!$W$15,ROW(BO242)-ROW(BO$15),0),15-13*ORÇAMENTO!$AF$11)),
         0)</f>
        <v>0</v>
      </c>
      <c r="BP242" s="453">
        <f ca="1">IF(AND($D242="Serviço",BP$12&lt;&gt;0,$H242&gt;0,OR(AUTOEVENTO&lt;&gt;"manual",$M242&lt;&gt;$A$15)),
        IF(Import.TipoArredondamento&lt;&gt;"TransfereGOV",
              ROUND(OFFSET($P242,0,BP$13),15-13*ORÇAMENTO!$AF$7)/$H242*OFFSET(ORÇAMENTO!$X$15,ROW(BP242)-ROW(BP$15),0),
              ROUND(ROUND(OFFSET($P242,0,BP$13),15-13*ORÇAMENTO!$AF$7)*OFFSET(ORÇAMENTO!$W$15,ROW(BP242)-ROW(BP$15),0),15-13*ORÇAMENTO!$AF$11)),
         0)</f>
        <v>0</v>
      </c>
      <c r="BQ242" s="453">
        <f ca="1">IF(AND($D242="Serviço",BQ$12&lt;&gt;0,$H242&gt;0,OR(AUTOEVENTO&lt;&gt;"manual",$M242&lt;&gt;$A$15)),
        IF(Import.TipoArredondamento&lt;&gt;"TransfereGOV",
              ROUND(OFFSET($P242,0,BQ$13),15-13*ORÇAMENTO!$AF$7)/$H242*OFFSET(ORÇAMENTO!$X$15,ROW(BQ242)-ROW(BQ$15),0),
              ROUND(ROUND(OFFSET($P242,0,BQ$13),15-13*ORÇAMENTO!$AF$7)*OFFSET(ORÇAMENTO!$W$15,ROW(BQ242)-ROW(BQ$15),0),15-13*ORÇAMENTO!$AF$11)),
         0)</f>
        <v>0</v>
      </c>
      <c r="BS242" s="171">
        <f ca="1">IF(OR($D242&lt;&gt;"Serviço",AND(AUTOEVENTO="Manual",$M242=$A$15)),0,
         IF(OFFSET(CRONOPLE!$F$15,$M242-$A$15,BS$13)=0,10^12,OFFSET(CRONOPLE!$F$15,$M242-$A$15,BS$13)))</f>
        <v>1</v>
      </c>
      <c r="BT242" s="171">
        <f ca="1">IF(OR($D242&lt;&gt;"Serviço",AND(AUTOEVENTO="Manual",$M242=$A$15)),0,
         IF(OFFSET(CRONOPLE!$F$15,$M242-$A$15,BT$13)=0,10^12,OFFSET(CRONOPLE!$F$15,$M242-$A$15,BT$13)))</f>
        <v>2</v>
      </c>
      <c r="BU242" s="171">
        <f ca="1">IF(OR($D242&lt;&gt;"Serviço",AND(AUTOEVENTO="Manual",$M242=$A$15)),0,
         IF(OFFSET(CRONOPLE!$F$15,$M242-$A$15,BU$13)=0,10^12,OFFSET(CRONOPLE!$F$15,$M242-$A$15,BU$13)))</f>
        <v>3</v>
      </c>
      <c r="BV242" s="171">
        <f ca="1">IF(OR($D242&lt;&gt;"Serviço",AND(AUTOEVENTO="Manual",$M242=$A$15)),0,
         IF(OFFSET(CRONOPLE!$F$15,$M242-$A$15,BV$13)=0,10^12,OFFSET(CRONOPLE!$F$15,$M242-$A$15,BV$13)))</f>
        <v>4</v>
      </c>
      <c r="BW242" s="171">
        <f ca="1">IF(OR($D242&lt;&gt;"Serviço",AND(AUTOEVENTO="Manual",$M242=$A$15)),0,
         IF(OFFSET(CRONOPLE!$F$15,$M242-$A$15,BW$13)=0,10^12,OFFSET(CRONOPLE!$F$15,$M242-$A$15,BW$13)))</f>
        <v>5</v>
      </c>
      <c r="BX242" s="171">
        <f ca="1">IF(OR($D242&lt;&gt;"Serviço",AND(AUTOEVENTO="Manual",$M242=$A$15)),0,
         IF(OFFSET(CRONOPLE!$F$15,$M242-$A$15,BX$13)=0,10^12,OFFSET(CRONOPLE!$F$15,$M242-$A$15,BX$13)))</f>
        <v>6</v>
      </c>
      <c r="BY242" s="171">
        <f ca="1">IF(OR($D242&lt;&gt;"Serviço",AND(AUTOEVENTO="Manual",$M242=$A$15)),0,
         IF(OFFSET(CRONOPLE!$F$15,$M242-$A$15,BY$13)=0,10^12,OFFSET(CRONOPLE!$F$15,$M242-$A$15,BY$13)))</f>
        <v>7</v>
      </c>
      <c r="BZ242" s="171">
        <f ca="1">IF(OR($D242&lt;&gt;"Serviço",AND(AUTOEVENTO="Manual",$M242=$A$15)),0,
         IF(OFFSET(CRONOPLE!$F$15,$M242-$A$15,BZ$13)=0,10^12,OFFSET(CRONOPLE!$F$15,$M242-$A$15,BZ$13)))</f>
        <v>8</v>
      </c>
      <c r="CA242" s="171">
        <f ca="1">IF(OR($D242&lt;&gt;"Serviço",AND(AUTOEVENTO="Manual",$M242=$A$15)),0,
         IF(OFFSET(CRONOPLE!$F$15,$M242-$A$15,CA$13)=0,10^12,OFFSET(CRONOPLE!$F$15,$M242-$A$15,CA$13)))</f>
        <v>9</v>
      </c>
      <c r="CB242" s="171">
        <f ca="1">IF(OR($D242&lt;&gt;"Serviço",AND(AUTOEVENTO="Manual",$M242=$A$15)),0,
         IF(OFFSET(CRONOPLE!$F$15,$M242-$A$15,CB$13)=0,10^12,OFFSET(CRONOPLE!$F$15,$M242-$A$15,CB$13)))</f>
        <v>10</v>
      </c>
      <c r="CC242" s="171">
        <f ca="1">IF(OR($D242&lt;&gt;"Serviço",AND(AUTOEVENTO="Manual",$M242=$A$15)),0,
         IF(OFFSET(CRONOPLE!$F$15,$M242-$A$15,CC$13)=0,10^12,OFFSET(CRONOPLE!$F$15,$M242-$A$15,CC$13)))</f>
        <v>11</v>
      </c>
      <c r="CD242" s="171">
        <f ca="1">IF(OR($D242&lt;&gt;"Serviço",AND(AUTOEVENTO="Manual",$M242=$A$15)),0,
         IF(OFFSET(CRONOPLE!$F$15,$M242-$A$15,CD$13)=0,10^12,OFFSET(CRONOPLE!$F$15,$M242-$A$15,CD$13)))</f>
        <v>12</v>
      </c>
      <c r="CE242" s="171">
        <f ca="1">IF(OR($D242&lt;&gt;"Serviço",AND(AUTOEVENTO="Manual",$M242=$A$15)),0,
         IF(OFFSET(CRONOPLE!$F$15,$M242-$A$15,CE$13)=0,10^12,OFFSET(CRONOPLE!$F$15,$M242-$A$15,CE$13)))</f>
        <v>13</v>
      </c>
      <c r="CF242" s="171">
        <f ca="1">IF(OR($D242&lt;&gt;"Serviço",AND(AUTOEVENTO="Manual",$M242=$A$15)),0,
         IF(OFFSET(CRONOPLE!$F$15,$M242-$A$15,CF$13)=0,10^12,OFFSET(CRONOPLE!$F$15,$M242-$A$15,CF$13)))</f>
        <v>14</v>
      </c>
      <c r="CG242" s="171">
        <f ca="1">IF(OR($D242&lt;&gt;"Serviço",AND(AUTOEVENTO="Manual",$M242=$A$15)),0,
         IF(OFFSET(CRONOPLE!$F$15,$M242-$A$15,CG$13)=0,10^12,OFFSET(CRONOPLE!$F$15,$M242-$A$15,CG$13)))</f>
        <v>15</v>
      </c>
      <c r="CH242" s="171">
        <f ca="1">IF(OR($D242&lt;&gt;"Serviço",AND(AUTOEVENTO="Manual",$M242=$A$15)),0,
         IF(OFFSET(CRONOPLE!$F$15,$M242-$A$15,CH$13)=0,10^12,OFFSET(CRONOPLE!$F$15,$M242-$A$15,CH$13)))</f>
        <v>16</v>
      </c>
      <c r="CI242" s="171">
        <f ca="1">IF(OR($D242&lt;&gt;"Serviço",AND(AUTOEVENTO="Manual",$M242=$A$15)),0,
         IF(OFFSET(CRONOPLE!$F$15,$M242-$A$15,CI$13)=0,10^12,OFFSET(CRONOPLE!$F$15,$M242-$A$15,CI$13)))</f>
        <v>17</v>
      </c>
      <c r="CJ242" s="171">
        <f ca="1">IF(OR($D242&lt;&gt;"Serviço",AND(AUTOEVENTO="Manual",$M242=$A$15)),0,
         IF(OFFSET(CRONOPLE!$F$15,$M242-$A$15,CJ$13)=0,10^12,OFFSET(CRONOPLE!$F$15,$M242-$A$15,CJ$13)))</f>
        <v>18</v>
      </c>
      <c r="CK242" s="171">
        <f ca="1">IF(OR($D242&lt;&gt;"Serviço",AND(AUTOEVENTO="Manual",$M242=$A$15)),0,
         IF(OFFSET(CRONOPLE!$F$15,$M242-$A$15,CK$13)=0,10^12,OFFSET(CRONOPLE!$F$15,$M242-$A$15,CK$13)))</f>
        <v>19</v>
      </c>
      <c r="CL242" s="171">
        <f ca="1">IF(OR($D242&lt;&gt;"Serviço",AND(AUTOEVENTO="Manual",$M242=$A$15)),0,
         IF(OFFSET(CRONOPLE!$F$15,$M242-$A$15,CL$13)=0,10^12,OFFSET(CRONOPLE!$F$15,$M242-$A$15,CL$13)))</f>
        <v>20</v>
      </c>
      <c r="CM242" s="171">
        <f ca="1">IF(OR($D242&lt;&gt;"Serviço",AND(AUTOEVENTO="Manual",$M242=$A$15)),0,
         IF(OFFSET(CRONOPLE!$F$15,$M242-$A$15,CM$13)=0,10^12,OFFSET(CRONOPLE!$F$15,$M242-$A$15,CM$13)))</f>
        <v>1000000000000</v>
      </c>
      <c r="CN242" s="171">
        <f ca="1">IF(OR($D242&lt;&gt;"Serviço",AND(AUTOEVENTO="Manual",$M242=$A$15)),0,
         IF(OFFSET(CRONOPLE!$F$15,$M242-$A$15,CN$13)=0,10^12,OFFSET(CRONOPLE!$F$15,$M242-$A$15,CN$13)))</f>
        <v>1000000000000</v>
      </c>
      <c r="CO242" s="171">
        <f ca="1">IF(OR($D242&lt;&gt;"Serviço",AND(AUTOEVENTO="Manual",$M242=$A$15)),0,
         IF(OFFSET(CRONOPLE!$F$15,$M242-$A$15,CO$13)=0,10^12,OFFSET(CRONOPLE!$F$15,$M242-$A$15,CO$13)))</f>
        <v>1000000000000</v>
      </c>
      <c r="CP242" s="171">
        <f ca="1">IF(OR($D242&lt;&gt;"Serviço",AND(AUTOEVENTO="Manual",$M242=$A$15)),0,
         IF(OFFSET(CRONOPLE!$F$15,$M242-$A$15,CP$13)=0,10^12,OFFSET(CRONOPLE!$F$15,$M242-$A$15,CP$13)))</f>
        <v>1000000000000</v>
      </c>
      <c r="CQ242" s="171">
        <f ca="1">IF(OR($D242&lt;&gt;"Serviço",AND(AUTOEVENTO="Manual",$M242=$A$15)),0,
         IF(OFFSET(CRONOPLE!$F$15,$M242-$A$15,CQ$13)=0,10^12,OFFSET(CRONOPLE!$F$15,$M242-$A$15,CQ$13)))</f>
        <v>1000000000000</v>
      </c>
      <c r="CR242" s="171">
        <f ca="1">IF(OR($D242&lt;&gt;"Serviço",AND(AUTOEVENTO="Manual",$M242=$A$15)),0,
         IF(OFFSET(CRONOPLE!$F$15,$M242-$A$15,CR$13)=0,10^12,OFFSET(CRONOPLE!$F$15,$M242-$A$15,CR$13)))</f>
        <v>1000000000000</v>
      </c>
      <c r="CT242" s="172" cm="1">
        <f t="array" aca="1" ref="CT242" ca="1">IF(OR($D242&lt;&gt;"Serviço",AND(AUTOEVENTO="Manual",$M242=$A$15),$M242&gt;(ROW(PLE.lastrow)-ROW(PLE.firstrow))),0,
           IF(OFFSET(PLE!$G$15,$M242-$A$15,CT$13)="",10^12,OFFSET(PLE!$G$15,$M242-$A$15,CT$13)))</f>
        <v>1000000000000</v>
      </c>
      <c r="CU242" s="172" cm="1">
        <f t="array" aca="1" ref="CU242" ca="1">IF(OR($D242&lt;&gt;"Serviço",AND(AUTOEVENTO="Manual",$M242=$A$15),$M242&gt;(ROW(PLE.lastrow)-ROW(PLE.firstrow))),0,
           IF(OFFSET(PLE!$G$15,$M242-$A$15,CU$13)="",10^12,OFFSET(PLE!$G$15,$M242-$A$15,CU$13)))</f>
        <v>1000000000000</v>
      </c>
      <c r="CV242" s="172" cm="1">
        <f t="array" aca="1" ref="CV242" ca="1">IF(OR($D242&lt;&gt;"Serviço",AND(AUTOEVENTO="Manual",$M242=$A$15),$M242&gt;(ROW(PLE.lastrow)-ROW(PLE.firstrow))),0,
           IF(OFFSET(PLE!$G$15,$M242-$A$15,CV$13)="",10^12,OFFSET(PLE!$G$15,$M242-$A$15,CV$13)))</f>
        <v>1000000000000</v>
      </c>
      <c r="CW242" s="172" cm="1">
        <f t="array" aca="1" ref="CW242" ca="1">IF(OR($D242&lt;&gt;"Serviço",AND(AUTOEVENTO="Manual",$M242=$A$15),$M242&gt;(ROW(PLE.lastrow)-ROW(PLE.firstrow))),0,
           IF(OFFSET(PLE!$G$15,$M242-$A$15,CW$13)="",10^12,OFFSET(PLE!$G$15,$M242-$A$15,CW$13)))</f>
        <v>1000000000000</v>
      </c>
      <c r="CX242" s="172" cm="1">
        <f t="array" aca="1" ref="CX242" ca="1">IF(OR($D242&lt;&gt;"Serviço",AND(AUTOEVENTO="Manual",$M242=$A$15),$M242&gt;(ROW(PLE.lastrow)-ROW(PLE.firstrow))),0,
           IF(OFFSET(PLE!$G$15,$M242-$A$15,CX$13)="",10^12,OFFSET(PLE!$G$15,$M242-$A$15,CX$13)))</f>
        <v>1000000000000</v>
      </c>
      <c r="CY242" s="172" cm="1">
        <f t="array" aca="1" ref="CY242" ca="1">IF(OR($D242&lt;&gt;"Serviço",AND(AUTOEVENTO="Manual",$M242=$A$15),$M242&gt;(ROW(PLE.lastrow)-ROW(PLE.firstrow))),0,
           IF(OFFSET(PLE!$G$15,$M242-$A$15,CY$13)="",10^12,OFFSET(PLE!$G$15,$M242-$A$15,CY$13)))</f>
        <v>1000000000000</v>
      </c>
      <c r="CZ242" s="172" cm="1">
        <f t="array" aca="1" ref="CZ242" ca="1">IF(OR($D242&lt;&gt;"Serviço",AND(AUTOEVENTO="Manual",$M242=$A$15),$M242&gt;(ROW(PLE.lastrow)-ROW(PLE.firstrow))),0,
           IF(OFFSET(PLE!$G$15,$M242-$A$15,CZ$13)="",10^12,OFFSET(PLE!$G$15,$M242-$A$15,CZ$13)))</f>
        <v>1000000000000</v>
      </c>
      <c r="DA242" s="172" cm="1">
        <f t="array" aca="1" ref="DA242" ca="1">IF(OR($D242&lt;&gt;"Serviço",AND(AUTOEVENTO="Manual",$M242=$A$15),$M242&gt;(ROW(PLE.lastrow)-ROW(PLE.firstrow))),0,
           IF(OFFSET(PLE!$G$15,$M242-$A$15,DA$13)="",10^12,OFFSET(PLE!$G$15,$M242-$A$15,DA$13)))</f>
        <v>1000000000000</v>
      </c>
      <c r="DB242" s="172" cm="1">
        <f t="array" aca="1" ref="DB242" ca="1">IF(OR($D242&lt;&gt;"Serviço",AND(AUTOEVENTO="Manual",$M242=$A$15),$M242&gt;(ROW(PLE.lastrow)-ROW(PLE.firstrow))),0,
           IF(OFFSET(PLE!$G$15,$M242-$A$15,DB$13)="",10^12,OFFSET(PLE!$G$15,$M242-$A$15,DB$13)))</f>
        <v>1000000000000</v>
      </c>
      <c r="DC242" s="172" cm="1">
        <f t="array" aca="1" ref="DC242" ca="1">IF(OR($D242&lt;&gt;"Serviço",AND(AUTOEVENTO="Manual",$M242=$A$15),$M242&gt;(ROW(PLE.lastrow)-ROW(PLE.firstrow))),0,
           IF(OFFSET(PLE!$G$15,$M242-$A$15,DC$13)="",10^12,OFFSET(PLE!$G$15,$M242-$A$15,DC$13)))</f>
        <v>1000000000000</v>
      </c>
      <c r="DD242" s="172" cm="1">
        <f t="array" aca="1" ref="DD242" ca="1">IF(OR($D242&lt;&gt;"Serviço",AND(AUTOEVENTO="Manual",$M242=$A$15),$M242&gt;(ROW(PLE.lastrow)-ROW(PLE.firstrow))),0,
           IF(OFFSET(PLE!$G$15,$M242-$A$15,DD$13)="",10^12,OFFSET(PLE!$G$15,$M242-$A$15,DD$13)))</f>
        <v>1000000000000</v>
      </c>
      <c r="DE242" s="172" cm="1">
        <f t="array" aca="1" ref="DE242" ca="1">IF(OR($D242&lt;&gt;"Serviço",AND(AUTOEVENTO="Manual",$M242=$A$15),$M242&gt;(ROW(PLE.lastrow)-ROW(PLE.firstrow))),0,
           IF(OFFSET(PLE!$G$15,$M242-$A$15,DE$13)="",10^12,OFFSET(PLE!$G$15,$M242-$A$15,DE$13)))</f>
        <v>1000000000000</v>
      </c>
      <c r="DF242" s="172" cm="1">
        <f t="array" aca="1" ref="DF242" ca="1">IF(OR($D242&lt;&gt;"Serviço",AND(AUTOEVENTO="Manual",$M242=$A$15),$M242&gt;(ROW(PLE.lastrow)-ROW(PLE.firstrow))),0,
           IF(OFFSET(PLE!$G$15,$M242-$A$15,DF$13)="",10^12,OFFSET(PLE!$G$15,$M242-$A$15,DF$13)))</f>
        <v>1000000000000</v>
      </c>
      <c r="DG242" s="172" cm="1">
        <f t="array" aca="1" ref="DG242" ca="1">IF(OR($D242&lt;&gt;"Serviço",AND(AUTOEVENTO="Manual",$M242=$A$15),$M242&gt;(ROW(PLE.lastrow)-ROW(PLE.firstrow))),0,
           IF(OFFSET(PLE!$G$15,$M242-$A$15,DG$13)="",10^12,OFFSET(PLE!$G$15,$M242-$A$15,DG$13)))</f>
        <v>1000000000000</v>
      </c>
      <c r="DH242" s="172" cm="1">
        <f t="array" aca="1" ref="DH242" ca="1">IF(OR($D242&lt;&gt;"Serviço",AND(AUTOEVENTO="Manual",$M242=$A$15),$M242&gt;(ROW(PLE.lastrow)-ROW(PLE.firstrow))),0,
           IF(OFFSET(PLE!$G$15,$M242-$A$15,DH$13)="",10^12,OFFSET(PLE!$G$15,$M242-$A$15,DH$13)))</f>
        <v>1000000000000</v>
      </c>
      <c r="DI242" s="172" cm="1">
        <f t="array" aca="1" ref="DI242" ca="1">IF(OR($D242&lt;&gt;"Serviço",AND(AUTOEVENTO="Manual",$M242=$A$15),$M242&gt;(ROW(PLE.lastrow)-ROW(PLE.firstrow))),0,
           IF(OFFSET(PLE!$G$15,$M242-$A$15,DI$13)="",10^12,OFFSET(PLE!$G$15,$M242-$A$15,DI$13)))</f>
        <v>1000000000000</v>
      </c>
      <c r="DJ242" s="172" cm="1">
        <f t="array" aca="1" ref="DJ242" ca="1">IF(OR($D242&lt;&gt;"Serviço",AND(AUTOEVENTO="Manual",$M242=$A$15),$M242&gt;(ROW(PLE.lastrow)-ROW(PLE.firstrow))),0,
           IF(OFFSET(PLE!$G$15,$M242-$A$15,DJ$13)="",10^12,OFFSET(PLE!$G$15,$M242-$A$15,DJ$13)))</f>
        <v>1000000000000</v>
      </c>
      <c r="DK242" s="172" cm="1">
        <f t="array" aca="1" ref="DK242" ca="1">IF(OR($D242&lt;&gt;"Serviço",AND(AUTOEVENTO="Manual",$M242=$A$15),$M242&gt;(ROW(PLE.lastrow)-ROW(PLE.firstrow))),0,
           IF(OFFSET(PLE!$G$15,$M242-$A$15,DK$13)="",10^12,OFFSET(PLE!$G$15,$M242-$A$15,DK$13)))</f>
        <v>1000000000000</v>
      </c>
      <c r="DL242" s="172" cm="1">
        <f t="array" aca="1" ref="DL242" ca="1">IF(OR($D242&lt;&gt;"Serviço",AND(AUTOEVENTO="Manual",$M242=$A$15),$M242&gt;(ROW(PLE.lastrow)-ROW(PLE.firstrow))),0,
           IF(OFFSET(PLE!$G$15,$M242-$A$15,DL$13)="",10^12,OFFSET(PLE!$G$15,$M242-$A$15,DL$13)))</f>
        <v>1000000000000</v>
      </c>
      <c r="DM242" s="172" cm="1">
        <f t="array" aca="1" ref="DM242" ca="1">IF(OR($D242&lt;&gt;"Serviço",AND(AUTOEVENTO="Manual",$M242=$A$15),$M242&gt;(ROW(PLE.lastrow)-ROW(PLE.firstrow))),0,
           IF(OFFSET(PLE!$G$15,$M242-$A$15,DM$13)="",10^12,OFFSET(PLE!$G$15,$M242-$A$15,DM$13)))</f>
        <v>1000000000000</v>
      </c>
      <c r="DN242" s="172" cm="1">
        <f t="array" aca="1" ref="DN242" ca="1">IF(OR($D242&lt;&gt;"Serviço",AND(AUTOEVENTO="Manual",$M242=$A$15),$M242&gt;(ROW(PLE.lastrow)-ROW(PLE.firstrow))),0,
           IF(OFFSET(PLE!$G$15,$M242-$A$15,DN$13)="",10^12,OFFSET(PLE!$G$15,$M242-$A$15,DN$13)))</f>
        <v>1000000000000</v>
      </c>
      <c r="DO242" s="172" cm="1">
        <f t="array" aca="1" ref="DO242" ca="1">IF(OR($D242&lt;&gt;"Serviço",AND(AUTOEVENTO="Manual",$M242=$A$15),$M242&gt;(ROW(PLE.lastrow)-ROW(PLE.firstrow))),0,
           IF(OFFSET(PLE!$G$15,$M242-$A$15,DO$13)="",10^12,OFFSET(PLE!$G$15,$M242-$A$15,DO$13)))</f>
        <v>1000000000000</v>
      </c>
      <c r="DP242" s="172" cm="1">
        <f t="array" aca="1" ref="DP242" ca="1">IF(OR($D242&lt;&gt;"Serviço",AND(AUTOEVENTO="Manual",$M242=$A$15),$M242&gt;(ROW(PLE.lastrow)-ROW(PLE.firstrow))),0,
           IF(OFFSET(PLE!$G$15,$M242-$A$15,DP$13)="",10^12,OFFSET(PLE!$G$15,$M242-$A$15,DP$13)))</f>
        <v>1000000000000</v>
      </c>
      <c r="DQ242" s="172" cm="1">
        <f t="array" aca="1" ref="DQ242" ca="1">IF(OR($D242&lt;&gt;"Serviço",AND(AUTOEVENTO="Manual",$M242=$A$15),$M242&gt;(ROW(PLE.lastrow)-ROW(PLE.firstrow))),0,
           IF(OFFSET(PLE!$G$15,$M242-$A$15,DQ$13)="",10^12,OFFSET(PLE!$G$15,$M242-$A$15,DQ$13)))</f>
        <v>1000000000000</v>
      </c>
      <c r="DR242" s="172" cm="1">
        <f t="array" aca="1" ref="DR242" ca="1">IF(OR($D242&lt;&gt;"Serviço",AND(AUTOEVENTO="Manual",$M242=$A$15),$M242&gt;(ROW(PLE.lastrow)-ROW(PLE.firstrow))),0,
           IF(OFFSET(PLE!$G$15,$M242-$A$15,DR$13)="",10^12,OFFSET(PLE!$G$15,$M242-$A$15,DR$13)))</f>
        <v>1000000000000</v>
      </c>
      <c r="DS242" s="172" cm="1">
        <f t="array" aca="1" ref="DS242" ca="1">IF(OR($D242&lt;&gt;"Serviço",AND(AUTOEVENTO="Manual",$M242=$A$15),$M242&gt;(ROW(PLE.lastrow)-ROW(PLE.firstrow))),0,
           IF(OFFSET(PLE!$G$15,$M242-$A$15,DS$13)="",10^12,OFFSET(PLE!$G$15,$M242-$A$15,DS$13)))</f>
        <v>1000000000000</v>
      </c>
    </row>
    <row r="243" spans="1:123" ht="25.5" x14ac:dyDescent="0.2">
      <c r="A243" s="7">
        <f t="shared" ca="1" si="19"/>
        <v>10</v>
      </c>
      <c r="B243" s="7" t="str">
        <f ca="1">OFFSET(ORÇAMENTO!C$15,$L243,0)</f>
        <v>S</v>
      </c>
      <c r="C243" s="7" t="str">
        <f ca="1">OFFSET(ORÇAMENTO!L$15,$L243,0)</f>
        <v/>
      </c>
      <c r="D243" s="116" t="str">
        <f ca="1">OFFSET(ORÇAMENTO!N$15,$L243,0)</f>
        <v>Serviço</v>
      </c>
      <c r="E243" s="117" t="str">
        <f ca="1">OFFSET(ORÇAMENTO!O$15,$L243,0)</f>
        <v>-</v>
      </c>
      <c r="F243" s="163" t="str">
        <f ca="1">OFFSET(ORÇAMENTO!R$15,$L243,0)</f>
        <v>(Código não identificado nas referências)</v>
      </c>
      <c r="G243" s="164" t="str">
        <f ca="1">IF($D243&lt;&gt;"Serviço","",OFFSET(ORÇAMENTO!S$15,$L243,0))</f>
        <v>-</v>
      </c>
      <c r="H243" s="122" cm="1">
        <f t="array" aca="1" ref="H243" ca="1">IF($D243&lt;&gt;"Serviço",0,IF(ACOMPANHAMENTO="BM",ROUND(OFFSET(ORÇAMENTO!AJ$15,$L243,0),15-13*ORÇAMENTO!$AF$7),IF(IFERROR(CÁLCULO.FrentesPreenchidas,0)=0,0,SUM(ROUND(OFFSET($P243,0,1,1,CÁLCULO.FrentesPreenchidas),15-13*ORÇAMENTO!$AF$7)))))</f>
        <v>40</v>
      </c>
      <c r="I243" s="468" t="s">
        <v>1235</v>
      </c>
      <c r="J243" s="651" t="str" cm="1">
        <f t="array" aca="1" ref="J243" ca="1">IF(OR(B243&lt;&gt;"S",CÁLCULO.FrentesPreenchidas=0),"",IF(AND(ACOMPANHAMENTO="PLE",AUTOEVENTO="Manual",OR(H243&gt;0,ORÇAMENTO!AC243="QUANT."),OR(K243="",M243=0,N243="")),"►E",IF(AND(ACOMPANHAMENTO="PLE",ORÇAMENTO!AC243="QUANT."),"►Q",IF(AND(ACOMPANHAMENTO="PLE",H243&lt;&gt;SUMPRODUCT(($Q$1:$AQ$1=1)*ROUND(Q243:AQ243,15))),"►S",IF(AND(COUNTIF($P$11:$AQ$11,"▼")=0,H243&gt;0,I243=""),"◄M","")))))</f>
        <v/>
      </c>
      <c r="K243" s="652" t="s">
        <v>1258</v>
      </c>
      <c r="L243" s="165">
        <f t="shared" ca="1" si="20"/>
        <v>228</v>
      </c>
      <c r="M243" s="166">
        <f ca="1">IF($D243&lt;&gt;"Serviço","",
          IF(AUTOEVENTO="manual",$A243,
                IF(ISERROR(MATCH($A243,$A$15:OFFSET($A243,-1,0),0)),MAX($M$15:OFFSET(M243,-1,0))+1,
                      INDEX($M$15:OFFSET(M243,-1,0),MATCH($A243,$A$15:OFFSET($A243,-1,0),0)))))</f>
        <v>10</v>
      </c>
      <c r="N243" s="167" t="str">
        <f ca="1">IF($D243&lt;&gt;"Serviço","",
         IF(AUTOEVENTO="Manual",
                IF($A243=0,"&lt;-- defina o número do agrupador",
                       OFFSET(EVENTOS!$D$15,$A243-$A$15,0)),
                OFFSET($F$15,$A243,0)))</f>
        <v>COMPLEMENTAÇÕES</v>
      </c>
      <c r="O243" s="168"/>
      <c r="Q243" s="168">
        <v>2</v>
      </c>
      <c r="R243" s="169">
        <v>2</v>
      </c>
      <c r="S243" s="169">
        <v>2</v>
      </c>
      <c r="T243" s="169">
        <v>2</v>
      </c>
      <c r="U243" s="169">
        <v>2</v>
      </c>
      <c r="V243" s="169">
        <v>2</v>
      </c>
      <c r="W243" s="169">
        <v>2</v>
      </c>
      <c r="X243" s="169">
        <v>2</v>
      </c>
      <c r="Y243" s="169">
        <v>2</v>
      </c>
      <c r="Z243" s="170">
        <v>2</v>
      </c>
      <c r="AA243" s="169">
        <v>2</v>
      </c>
      <c r="AB243" s="169">
        <v>2</v>
      </c>
      <c r="AC243" s="169">
        <v>2</v>
      </c>
      <c r="AD243" s="169">
        <v>2</v>
      </c>
      <c r="AE243" s="169">
        <v>2</v>
      </c>
      <c r="AF243" s="169">
        <v>2</v>
      </c>
      <c r="AG243" s="169">
        <v>2</v>
      </c>
      <c r="AH243" s="170">
        <v>2</v>
      </c>
      <c r="AI243" s="169">
        <v>2</v>
      </c>
      <c r="AJ243" s="169">
        <v>2</v>
      </c>
      <c r="AK243" s="169"/>
      <c r="AL243" s="169"/>
      <c r="AM243" s="169"/>
      <c r="AN243" s="169"/>
      <c r="AO243" s="169"/>
      <c r="AP243" s="170"/>
      <c r="AR243" s="453">
        <f ca="1">IF(AND($D243="Serviço",AR$12&lt;&gt;0,$H243&gt;0,OR(AUTOEVENTO&lt;&gt;"manual",$M243&lt;&gt;$A$15)),
        IF(Import.TipoArredondamento&lt;&gt;"TransfereGOV",
              ROUND(OFFSET($P243,0,AR$13),15-13*ORÇAMENTO!$AF$7)/$H243*OFFSET(ORÇAMENTO!$X$15,ROW(AR243)-ROW(AR$15),0),
              ROUND(ROUND(OFFSET($P243,0,AR$13),15-13*ORÇAMENTO!$AF$7)*OFFSET(ORÇAMENTO!$W$15,ROW(AR243)-ROW(AR$15),0),15-13*ORÇAMENTO!$AF$11)),
         0)</f>
        <v>0</v>
      </c>
      <c r="AS243" s="453">
        <f ca="1">IF(AND($D243="Serviço",AS$12&lt;&gt;0,$H243&gt;0,OR(AUTOEVENTO&lt;&gt;"manual",$M243&lt;&gt;$A$15)),
        IF(Import.TipoArredondamento&lt;&gt;"TransfereGOV",
              ROUND(OFFSET($P243,0,AS$13),15-13*ORÇAMENTO!$AF$7)/$H243*OFFSET(ORÇAMENTO!$X$15,ROW(AS243)-ROW(AS$15),0),
              ROUND(ROUND(OFFSET($P243,0,AS$13),15-13*ORÇAMENTO!$AF$7)*OFFSET(ORÇAMENTO!$W$15,ROW(AS243)-ROW(AS$15),0),15-13*ORÇAMENTO!$AF$11)),
         0)</f>
        <v>0</v>
      </c>
      <c r="AT243" s="453">
        <f ca="1">IF(AND($D243="Serviço",AT$12&lt;&gt;0,$H243&gt;0,OR(AUTOEVENTO&lt;&gt;"manual",$M243&lt;&gt;$A$15)),
        IF(Import.TipoArredondamento&lt;&gt;"TransfereGOV",
              ROUND(OFFSET($P243,0,AT$13),15-13*ORÇAMENTO!$AF$7)/$H243*OFFSET(ORÇAMENTO!$X$15,ROW(AT243)-ROW(AT$15),0),
              ROUND(ROUND(OFFSET($P243,0,AT$13),15-13*ORÇAMENTO!$AF$7)*OFFSET(ORÇAMENTO!$W$15,ROW(AT243)-ROW(AT$15),0),15-13*ORÇAMENTO!$AF$11)),
         0)</f>
        <v>0</v>
      </c>
      <c r="AU243" s="453">
        <f ca="1">IF(AND($D243="Serviço",AU$12&lt;&gt;0,$H243&gt;0,OR(AUTOEVENTO&lt;&gt;"manual",$M243&lt;&gt;$A$15)),
        IF(Import.TipoArredondamento&lt;&gt;"TransfereGOV",
              ROUND(OFFSET($P243,0,AU$13),15-13*ORÇAMENTO!$AF$7)/$H243*OFFSET(ORÇAMENTO!$X$15,ROW(AU243)-ROW(AU$15),0),
              ROUND(ROUND(OFFSET($P243,0,AU$13),15-13*ORÇAMENTO!$AF$7)*OFFSET(ORÇAMENTO!$W$15,ROW(AU243)-ROW(AU$15),0),15-13*ORÇAMENTO!$AF$11)),
         0)</f>
        <v>0</v>
      </c>
      <c r="AV243" s="453">
        <f ca="1">IF(AND($D243="Serviço",AV$12&lt;&gt;0,$H243&gt;0,OR(AUTOEVENTO&lt;&gt;"manual",$M243&lt;&gt;$A$15)),
        IF(Import.TipoArredondamento&lt;&gt;"TransfereGOV",
              ROUND(OFFSET($P243,0,AV$13),15-13*ORÇAMENTO!$AF$7)/$H243*OFFSET(ORÇAMENTO!$X$15,ROW(AV243)-ROW(AV$15),0),
              ROUND(ROUND(OFFSET($P243,0,AV$13),15-13*ORÇAMENTO!$AF$7)*OFFSET(ORÇAMENTO!$W$15,ROW(AV243)-ROW(AV$15),0),15-13*ORÇAMENTO!$AF$11)),
         0)</f>
        <v>0</v>
      </c>
      <c r="AW243" s="453">
        <f ca="1">IF(AND($D243="Serviço",AW$12&lt;&gt;0,$H243&gt;0,OR(AUTOEVENTO&lt;&gt;"manual",$M243&lt;&gt;$A$15)),
        IF(Import.TipoArredondamento&lt;&gt;"TransfereGOV",
              ROUND(OFFSET($P243,0,AW$13),15-13*ORÇAMENTO!$AF$7)/$H243*OFFSET(ORÇAMENTO!$X$15,ROW(AW243)-ROW(AW$15),0),
              ROUND(ROUND(OFFSET($P243,0,AW$13),15-13*ORÇAMENTO!$AF$7)*OFFSET(ORÇAMENTO!$W$15,ROW(AW243)-ROW(AW$15),0),15-13*ORÇAMENTO!$AF$11)),
         0)</f>
        <v>0</v>
      </c>
      <c r="AX243" s="453">
        <f ca="1">IF(AND($D243="Serviço",AX$12&lt;&gt;0,$H243&gt;0,OR(AUTOEVENTO&lt;&gt;"manual",$M243&lt;&gt;$A$15)),
        IF(Import.TipoArredondamento&lt;&gt;"TransfereGOV",
              ROUND(OFFSET($P243,0,AX$13),15-13*ORÇAMENTO!$AF$7)/$H243*OFFSET(ORÇAMENTO!$X$15,ROW(AX243)-ROW(AX$15),0),
              ROUND(ROUND(OFFSET($P243,0,AX$13),15-13*ORÇAMENTO!$AF$7)*OFFSET(ORÇAMENTO!$W$15,ROW(AX243)-ROW(AX$15),0),15-13*ORÇAMENTO!$AF$11)),
         0)</f>
        <v>0</v>
      </c>
      <c r="AY243" s="453">
        <f ca="1">IF(AND($D243="Serviço",AY$12&lt;&gt;0,$H243&gt;0,OR(AUTOEVENTO&lt;&gt;"manual",$M243&lt;&gt;$A$15)),
        IF(Import.TipoArredondamento&lt;&gt;"TransfereGOV",
              ROUND(OFFSET($P243,0,AY$13),15-13*ORÇAMENTO!$AF$7)/$H243*OFFSET(ORÇAMENTO!$X$15,ROW(AY243)-ROW(AY$15),0),
              ROUND(ROUND(OFFSET($P243,0,AY$13),15-13*ORÇAMENTO!$AF$7)*OFFSET(ORÇAMENTO!$W$15,ROW(AY243)-ROW(AY$15),0),15-13*ORÇAMENTO!$AF$11)),
         0)</f>
        <v>0</v>
      </c>
      <c r="AZ243" s="453">
        <f ca="1">IF(AND($D243="Serviço",AZ$12&lt;&gt;0,$H243&gt;0,OR(AUTOEVENTO&lt;&gt;"manual",$M243&lt;&gt;$A$15)),
        IF(Import.TipoArredondamento&lt;&gt;"TransfereGOV",
              ROUND(OFFSET($P243,0,AZ$13),15-13*ORÇAMENTO!$AF$7)/$H243*OFFSET(ORÇAMENTO!$X$15,ROW(AZ243)-ROW(AZ$15),0),
              ROUND(ROUND(OFFSET($P243,0,AZ$13),15-13*ORÇAMENTO!$AF$7)*OFFSET(ORÇAMENTO!$W$15,ROW(AZ243)-ROW(AZ$15),0),15-13*ORÇAMENTO!$AF$11)),
         0)</f>
        <v>0</v>
      </c>
      <c r="BA243" s="453">
        <f ca="1">IF(AND($D243="Serviço",BA$12&lt;&gt;0,$H243&gt;0,OR(AUTOEVENTO&lt;&gt;"manual",$M243&lt;&gt;$A$15)),
        IF(Import.TipoArredondamento&lt;&gt;"TransfereGOV",
              ROUND(OFFSET($P243,0,BA$13),15-13*ORÇAMENTO!$AF$7)/$H243*OFFSET(ORÇAMENTO!$X$15,ROW(BA243)-ROW(BA$15),0),
              ROUND(ROUND(OFFSET($P243,0,BA$13),15-13*ORÇAMENTO!$AF$7)*OFFSET(ORÇAMENTO!$W$15,ROW(BA243)-ROW(BA$15),0),15-13*ORÇAMENTO!$AF$11)),
         0)</f>
        <v>0</v>
      </c>
      <c r="BB243" s="453">
        <f ca="1">IF(AND($D243="Serviço",BB$12&lt;&gt;0,$H243&gt;0,OR(AUTOEVENTO&lt;&gt;"manual",$M243&lt;&gt;$A$15)),
        IF(Import.TipoArredondamento&lt;&gt;"TransfereGOV",
              ROUND(OFFSET($P243,0,BB$13),15-13*ORÇAMENTO!$AF$7)/$H243*OFFSET(ORÇAMENTO!$X$15,ROW(BB243)-ROW(BB$15),0),
              ROUND(ROUND(OFFSET($P243,0,BB$13),15-13*ORÇAMENTO!$AF$7)*OFFSET(ORÇAMENTO!$W$15,ROW(BB243)-ROW(BB$15),0),15-13*ORÇAMENTO!$AF$11)),
         0)</f>
        <v>0</v>
      </c>
      <c r="BC243" s="453">
        <f ca="1">IF(AND($D243="Serviço",BC$12&lt;&gt;0,$H243&gt;0,OR(AUTOEVENTO&lt;&gt;"manual",$M243&lt;&gt;$A$15)),
        IF(Import.TipoArredondamento&lt;&gt;"TransfereGOV",
              ROUND(OFFSET($P243,0,BC$13),15-13*ORÇAMENTO!$AF$7)/$H243*OFFSET(ORÇAMENTO!$X$15,ROW(BC243)-ROW(BC$15),0),
              ROUND(ROUND(OFFSET($P243,0,BC$13),15-13*ORÇAMENTO!$AF$7)*OFFSET(ORÇAMENTO!$W$15,ROW(BC243)-ROW(BC$15),0),15-13*ORÇAMENTO!$AF$11)),
         0)</f>
        <v>0</v>
      </c>
      <c r="BD243" s="453">
        <f ca="1">IF(AND($D243="Serviço",BD$12&lt;&gt;0,$H243&gt;0,OR(AUTOEVENTO&lt;&gt;"manual",$M243&lt;&gt;$A$15)),
        IF(Import.TipoArredondamento&lt;&gt;"TransfereGOV",
              ROUND(OFFSET($P243,0,BD$13),15-13*ORÇAMENTO!$AF$7)/$H243*OFFSET(ORÇAMENTO!$X$15,ROW(BD243)-ROW(BD$15),0),
              ROUND(ROUND(OFFSET($P243,0,BD$13),15-13*ORÇAMENTO!$AF$7)*OFFSET(ORÇAMENTO!$W$15,ROW(BD243)-ROW(BD$15),0),15-13*ORÇAMENTO!$AF$11)),
         0)</f>
        <v>0</v>
      </c>
      <c r="BE243" s="453">
        <f ca="1">IF(AND($D243="Serviço",BE$12&lt;&gt;0,$H243&gt;0,OR(AUTOEVENTO&lt;&gt;"manual",$M243&lt;&gt;$A$15)),
        IF(Import.TipoArredondamento&lt;&gt;"TransfereGOV",
              ROUND(OFFSET($P243,0,BE$13),15-13*ORÇAMENTO!$AF$7)/$H243*OFFSET(ORÇAMENTO!$X$15,ROW(BE243)-ROW(BE$15),0),
              ROUND(ROUND(OFFSET($P243,0,BE$13),15-13*ORÇAMENTO!$AF$7)*OFFSET(ORÇAMENTO!$W$15,ROW(BE243)-ROW(BE$15),0),15-13*ORÇAMENTO!$AF$11)),
         0)</f>
        <v>0</v>
      </c>
      <c r="BF243" s="453">
        <f ca="1">IF(AND($D243="Serviço",BF$12&lt;&gt;0,$H243&gt;0,OR(AUTOEVENTO&lt;&gt;"manual",$M243&lt;&gt;$A$15)),
        IF(Import.TipoArredondamento&lt;&gt;"TransfereGOV",
              ROUND(OFFSET($P243,0,BF$13),15-13*ORÇAMENTO!$AF$7)/$H243*OFFSET(ORÇAMENTO!$X$15,ROW(BF243)-ROW(BF$15),0),
              ROUND(ROUND(OFFSET($P243,0,BF$13),15-13*ORÇAMENTO!$AF$7)*OFFSET(ORÇAMENTO!$W$15,ROW(BF243)-ROW(BF$15),0),15-13*ORÇAMENTO!$AF$11)),
         0)</f>
        <v>0</v>
      </c>
      <c r="BG243" s="453">
        <f ca="1">IF(AND($D243="Serviço",BG$12&lt;&gt;0,$H243&gt;0,OR(AUTOEVENTO&lt;&gt;"manual",$M243&lt;&gt;$A$15)),
        IF(Import.TipoArredondamento&lt;&gt;"TransfereGOV",
              ROUND(OFFSET($P243,0,BG$13),15-13*ORÇAMENTO!$AF$7)/$H243*OFFSET(ORÇAMENTO!$X$15,ROW(BG243)-ROW(BG$15),0),
              ROUND(ROUND(OFFSET($P243,0,BG$13),15-13*ORÇAMENTO!$AF$7)*OFFSET(ORÇAMENTO!$W$15,ROW(BG243)-ROW(BG$15),0),15-13*ORÇAMENTO!$AF$11)),
         0)</f>
        <v>0</v>
      </c>
      <c r="BH243" s="453">
        <f ca="1">IF(AND($D243="Serviço",BH$12&lt;&gt;0,$H243&gt;0,OR(AUTOEVENTO&lt;&gt;"manual",$M243&lt;&gt;$A$15)),
        IF(Import.TipoArredondamento&lt;&gt;"TransfereGOV",
              ROUND(OFFSET($P243,0,BH$13),15-13*ORÇAMENTO!$AF$7)/$H243*OFFSET(ORÇAMENTO!$X$15,ROW(BH243)-ROW(BH$15),0),
              ROUND(ROUND(OFFSET($P243,0,BH$13),15-13*ORÇAMENTO!$AF$7)*OFFSET(ORÇAMENTO!$W$15,ROW(BH243)-ROW(BH$15),0),15-13*ORÇAMENTO!$AF$11)),
         0)</f>
        <v>0</v>
      </c>
      <c r="BI243" s="453">
        <f ca="1">IF(AND($D243="Serviço",BI$12&lt;&gt;0,$H243&gt;0,OR(AUTOEVENTO&lt;&gt;"manual",$M243&lt;&gt;$A$15)),
        IF(Import.TipoArredondamento&lt;&gt;"TransfereGOV",
              ROUND(OFFSET($P243,0,BI$13),15-13*ORÇAMENTO!$AF$7)/$H243*OFFSET(ORÇAMENTO!$X$15,ROW(BI243)-ROW(BI$15),0),
              ROUND(ROUND(OFFSET($P243,0,BI$13),15-13*ORÇAMENTO!$AF$7)*OFFSET(ORÇAMENTO!$W$15,ROW(BI243)-ROW(BI$15),0),15-13*ORÇAMENTO!$AF$11)),
         0)</f>
        <v>0</v>
      </c>
      <c r="BJ243" s="453">
        <f ca="1">IF(AND($D243="Serviço",BJ$12&lt;&gt;0,$H243&gt;0,OR(AUTOEVENTO&lt;&gt;"manual",$M243&lt;&gt;$A$15)),
        IF(Import.TipoArredondamento&lt;&gt;"TransfereGOV",
              ROUND(OFFSET($P243,0,BJ$13),15-13*ORÇAMENTO!$AF$7)/$H243*OFFSET(ORÇAMENTO!$X$15,ROW(BJ243)-ROW(BJ$15),0),
              ROUND(ROUND(OFFSET($P243,0,BJ$13),15-13*ORÇAMENTO!$AF$7)*OFFSET(ORÇAMENTO!$W$15,ROW(BJ243)-ROW(BJ$15),0),15-13*ORÇAMENTO!$AF$11)),
         0)</f>
        <v>0</v>
      </c>
      <c r="BK243" s="453">
        <f ca="1">IF(AND($D243="Serviço",BK$12&lt;&gt;0,$H243&gt;0,OR(AUTOEVENTO&lt;&gt;"manual",$M243&lt;&gt;$A$15)),
        IF(Import.TipoArredondamento&lt;&gt;"TransfereGOV",
              ROUND(OFFSET($P243,0,BK$13),15-13*ORÇAMENTO!$AF$7)/$H243*OFFSET(ORÇAMENTO!$X$15,ROW(BK243)-ROW(BK$15),0),
              ROUND(ROUND(OFFSET($P243,0,BK$13),15-13*ORÇAMENTO!$AF$7)*OFFSET(ORÇAMENTO!$W$15,ROW(BK243)-ROW(BK$15),0),15-13*ORÇAMENTO!$AF$11)),
         0)</f>
        <v>0</v>
      </c>
      <c r="BL243" s="453">
        <f ca="1">IF(AND($D243="Serviço",BL$12&lt;&gt;0,$H243&gt;0,OR(AUTOEVENTO&lt;&gt;"manual",$M243&lt;&gt;$A$15)),
        IF(Import.TipoArredondamento&lt;&gt;"TransfereGOV",
              ROUND(OFFSET($P243,0,BL$13),15-13*ORÇAMENTO!$AF$7)/$H243*OFFSET(ORÇAMENTO!$X$15,ROW(BL243)-ROW(BL$15),0),
              ROUND(ROUND(OFFSET($P243,0,BL$13),15-13*ORÇAMENTO!$AF$7)*OFFSET(ORÇAMENTO!$W$15,ROW(BL243)-ROW(BL$15),0),15-13*ORÇAMENTO!$AF$11)),
         0)</f>
        <v>0</v>
      </c>
      <c r="BM243" s="453">
        <f ca="1">IF(AND($D243="Serviço",BM$12&lt;&gt;0,$H243&gt;0,OR(AUTOEVENTO&lt;&gt;"manual",$M243&lt;&gt;$A$15)),
        IF(Import.TipoArredondamento&lt;&gt;"TransfereGOV",
              ROUND(OFFSET($P243,0,BM$13),15-13*ORÇAMENTO!$AF$7)/$H243*OFFSET(ORÇAMENTO!$X$15,ROW(BM243)-ROW(BM$15),0),
              ROUND(ROUND(OFFSET($P243,0,BM$13),15-13*ORÇAMENTO!$AF$7)*OFFSET(ORÇAMENTO!$W$15,ROW(BM243)-ROW(BM$15),0),15-13*ORÇAMENTO!$AF$11)),
         0)</f>
        <v>0</v>
      </c>
      <c r="BN243" s="453">
        <f ca="1">IF(AND($D243="Serviço",BN$12&lt;&gt;0,$H243&gt;0,OR(AUTOEVENTO&lt;&gt;"manual",$M243&lt;&gt;$A$15)),
        IF(Import.TipoArredondamento&lt;&gt;"TransfereGOV",
              ROUND(OFFSET($P243,0,BN$13),15-13*ORÇAMENTO!$AF$7)/$H243*OFFSET(ORÇAMENTO!$X$15,ROW(BN243)-ROW(BN$15),0),
              ROUND(ROUND(OFFSET($P243,0,BN$13),15-13*ORÇAMENTO!$AF$7)*OFFSET(ORÇAMENTO!$W$15,ROW(BN243)-ROW(BN$15),0),15-13*ORÇAMENTO!$AF$11)),
         0)</f>
        <v>0</v>
      </c>
      <c r="BO243" s="453">
        <f ca="1">IF(AND($D243="Serviço",BO$12&lt;&gt;0,$H243&gt;0,OR(AUTOEVENTO&lt;&gt;"manual",$M243&lt;&gt;$A$15)),
        IF(Import.TipoArredondamento&lt;&gt;"TransfereGOV",
              ROUND(OFFSET($P243,0,BO$13),15-13*ORÇAMENTO!$AF$7)/$H243*OFFSET(ORÇAMENTO!$X$15,ROW(BO243)-ROW(BO$15),0),
              ROUND(ROUND(OFFSET($P243,0,BO$13),15-13*ORÇAMENTO!$AF$7)*OFFSET(ORÇAMENTO!$W$15,ROW(BO243)-ROW(BO$15),0),15-13*ORÇAMENTO!$AF$11)),
         0)</f>
        <v>0</v>
      </c>
      <c r="BP243" s="453">
        <f ca="1">IF(AND($D243="Serviço",BP$12&lt;&gt;0,$H243&gt;0,OR(AUTOEVENTO&lt;&gt;"manual",$M243&lt;&gt;$A$15)),
        IF(Import.TipoArredondamento&lt;&gt;"TransfereGOV",
              ROUND(OFFSET($P243,0,BP$13),15-13*ORÇAMENTO!$AF$7)/$H243*OFFSET(ORÇAMENTO!$X$15,ROW(BP243)-ROW(BP$15),0),
              ROUND(ROUND(OFFSET($P243,0,BP$13),15-13*ORÇAMENTO!$AF$7)*OFFSET(ORÇAMENTO!$W$15,ROW(BP243)-ROW(BP$15),0),15-13*ORÇAMENTO!$AF$11)),
         0)</f>
        <v>0</v>
      </c>
      <c r="BQ243" s="453">
        <f ca="1">IF(AND($D243="Serviço",BQ$12&lt;&gt;0,$H243&gt;0,OR(AUTOEVENTO&lt;&gt;"manual",$M243&lt;&gt;$A$15)),
        IF(Import.TipoArredondamento&lt;&gt;"TransfereGOV",
              ROUND(OFFSET($P243,0,BQ$13),15-13*ORÇAMENTO!$AF$7)/$H243*OFFSET(ORÇAMENTO!$X$15,ROW(BQ243)-ROW(BQ$15),0),
              ROUND(ROUND(OFFSET($P243,0,BQ$13),15-13*ORÇAMENTO!$AF$7)*OFFSET(ORÇAMENTO!$W$15,ROW(BQ243)-ROW(BQ$15),0),15-13*ORÇAMENTO!$AF$11)),
         0)</f>
        <v>0</v>
      </c>
      <c r="BS243" s="171">
        <f ca="1">IF(OR($D243&lt;&gt;"Serviço",AND(AUTOEVENTO="Manual",$M243=$A$15)),0,
         IF(OFFSET(CRONOPLE!$F$15,$M243-$A$15,BS$13)=0,10^12,OFFSET(CRONOPLE!$F$15,$M243-$A$15,BS$13)))</f>
        <v>1</v>
      </c>
      <c r="BT243" s="171">
        <f ca="1">IF(OR($D243&lt;&gt;"Serviço",AND(AUTOEVENTO="Manual",$M243=$A$15)),0,
         IF(OFFSET(CRONOPLE!$F$15,$M243-$A$15,BT$13)=0,10^12,OFFSET(CRONOPLE!$F$15,$M243-$A$15,BT$13)))</f>
        <v>2</v>
      </c>
      <c r="BU243" s="171">
        <f ca="1">IF(OR($D243&lt;&gt;"Serviço",AND(AUTOEVENTO="Manual",$M243=$A$15)),0,
         IF(OFFSET(CRONOPLE!$F$15,$M243-$A$15,BU$13)=0,10^12,OFFSET(CRONOPLE!$F$15,$M243-$A$15,BU$13)))</f>
        <v>3</v>
      </c>
      <c r="BV243" s="171">
        <f ca="1">IF(OR($D243&lt;&gt;"Serviço",AND(AUTOEVENTO="Manual",$M243=$A$15)),0,
         IF(OFFSET(CRONOPLE!$F$15,$M243-$A$15,BV$13)=0,10^12,OFFSET(CRONOPLE!$F$15,$M243-$A$15,BV$13)))</f>
        <v>4</v>
      </c>
      <c r="BW243" s="171">
        <f ca="1">IF(OR($D243&lt;&gt;"Serviço",AND(AUTOEVENTO="Manual",$M243=$A$15)),0,
         IF(OFFSET(CRONOPLE!$F$15,$M243-$A$15,BW$13)=0,10^12,OFFSET(CRONOPLE!$F$15,$M243-$A$15,BW$13)))</f>
        <v>5</v>
      </c>
      <c r="BX243" s="171">
        <f ca="1">IF(OR($D243&lt;&gt;"Serviço",AND(AUTOEVENTO="Manual",$M243=$A$15)),0,
         IF(OFFSET(CRONOPLE!$F$15,$M243-$A$15,BX$13)=0,10^12,OFFSET(CRONOPLE!$F$15,$M243-$A$15,BX$13)))</f>
        <v>6</v>
      </c>
      <c r="BY243" s="171">
        <f ca="1">IF(OR($D243&lt;&gt;"Serviço",AND(AUTOEVENTO="Manual",$M243=$A$15)),0,
         IF(OFFSET(CRONOPLE!$F$15,$M243-$A$15,BY$13)=0,10^12,OFFSET(CRONOPLE!$F$15,$M243-$A$15,BY$13)))</f>
        <v>7</v>
      </c>
      <c r="BZ243" s="171">
        <f ca="1">IF(OR($D243&lt;&gt;"Serviço",AND(AUTOEVENTO="Manual",$M243=$A$15)),0,
         IF(OFFSET(CRONOPLE!$F$15,$M243-$A$15,BZ$13)=0,10^12,OFFSET(CRONOPLE!$F$15,$M243-$A$15,BZ$13)))</f>
        <v>8</v>
      </c>
      <c r="CA243" s="171">
        <f ca="1">IF(OR($D243&lt;&gt;"Serviço",AND(AUTOEVENTO="Manual",$M243=$A$15)),0,
         IF(OFFSET(CRONOPLE!$F$15,$M243-$A$15,CA$13)=0,10^12,OFFSET(CRONOPLE!$F$15,$M243-$A$15,CA$13)))</f>
        <v>9</v>
      </c>
      <c r="CB243" s="171">
        <f ca="1">IF(OR($D243&lt;&gt;"Serviço",AND(AUTOEVENTO="Manual",$M243=$A$15)),0,
         IF(OFFSET(CRONOPLE!$F$15,$M243-$A$15,CB$13)=0,10^12,OFFSET(CRONOPLE!$F$15,$M243-$A$15,CB$13)))</f>
        <v>10</v>
      </c>
      <c r="CC243" s="171">
        <f ca="1">IF(OR($D243&lt;&gt;"Serviço",AND(AUTOEVENTO="Manual",$M243=$A$15)),0,
         IF(OFFSET(CRONOPLE!$F$15,$M243-$A$15,CC$13)=0,10^12,OFFSET(CRONOPLE!$F$15,$M243-$A$15,CC$13)))</f>
        <v>11</v>
      </c>
      <c r="CD243" s="171">
        <f ca="1">IF(OR($D243&lt;&gt;"Serviço",AND(AUTOEVENTO="Manual",$M243=$A$15)),0,
         IF(OFFSET(CRONOPLE!$F$15,$M243-$A$15,CD$13)=0,10^12,OFFSET(CRONOPLE!$F$15,$M243-$A$15,CD$13)))</f>
        <v>12</v>
      </c>
      <c r="CE243" s="171">
        <f ca="1">IF(OR($D243&lt;&gt;"Serviço",AND(AUTOEVENTO="Manual",$M243=$A$15)),0,
         IF(OFFSET(CRONOPLE!$F$15,$M243-$A$15,CE$13)=0,10^12,OFFSET(CRONOPLE!$F$15,$M243-$A$15,CE$13)))</f>
        <v>13</v>
      </c>
      <c r="CF243" s="171">
        <f ca="1">IF(OR($D243&lt;&gt;"Serviço",AND(AUTOEVENTO="Manual",$M243=$A$15)),0,
         IF(OFFSET(CRONOPLE!$F$15,$M243-$A$15,CF$13)=0,10^12,OFFSET(CRONOPLE!$F$15,$M243-$A$15,CF$13)))</f>
        <v>14</v>
      </c>
      <c r="CG243" s="171">
        <f ca="1">IF(OR($D243&lt;&gt;"Serviço",AND(AUTOEVENTO="Manual",$M243=$A$15)),0,
         IF(OFFSET(CRONOPLE!$F$15,$M243-$A$15,CG$13)=0,10^12,OFFSET(CRONOPLE!$F$15,$M243-$A$15,CG$13)))</f>
        <v>15</v>
      </c>
      <c r="CH243" s="171">
        <f ca="1">IF(OR($D243&lt;&gt;"Serviço",AND(AUTOEVENTO="Manual",$M243=$A$15)),0,
         IF(OFFSET(CRONOPLE!$F$15,$M243-$A$15,CH$13)=0,10^12,OFFSET(CRONOPLE!$F$15,$M243-$A$15,CH$13)))</f>
        <v>16</v>
      </c>
      <c r="CI243" s="171">
        <f ca="1">IF(OR($D243&lt;&gt;"Serviço",AND(AUTOEVENTO="Manual",$M243=$A$15)),0,
         IF(OFFSET(CRONOPLE!$F$15,$M243-$A$15,CI$13)=0,10^12,OFFSET(CRONOPLE!$F$15,$M243-$A$15,CI$13)))</f>
        <v>17</v>
      </c>
      <c r="CJ243" s="171">
        <f ca="1">IF(OR($D243&lt;&gt;"Serviço",AND(AUTOEVENTO="Manual",$M243=$A$15)),0,
         IF(OFFSET(CRONOPLE!$F$15,$M243-$A$15,CJ$13)=0,10^12,OFFSET(CRONOPLE!$F$15,$M243-$A$15,CJ$13)))</f>
        <v>18</v>
      </c>
      <c r="CK243" s="171">
        <f ca="1">IF(OR($D243&lt;&gt;"Serviço",AND(AUTOEVENTO="Manual",$M243=$A$15)),0,
         IF(OFFSET(CRONOPLE!$F$15,$M243-$A$15,CK$13)=0,10^12,OFFSET(CRONOPLE!$F$15,$M243-$A$15,CK$13)))</f>
        <v>19</v>
      </c>
      <c r="CL243" s="171">
        <f ca="1">IF(OR($D243&lt;&gt;"Serviço",AND(AUTOEVENTO="Manual",$M243=$A$15)),0,
         IF(OFFSET(CRONOPLE!$F$15,$M243-$A$15,CL$13)=0,10^12,OFFSET(CRONOPLE!$F$15,$M243-$A$15,CL$13)))</f>
        <v>20</v>
      </c>
      <c r="CM243" s="171">
        <f ca="1">IF(OR($D243&lt;&gt;"Serviço",AND(AUTOEVENTO="Manual",$M243=$A$15)),0,
         IF(OFFSET(CRONOPLE!$F$15,$M243-$A$15,CM$13)=0,10^12,OFFSET(CRONOPLE!$F$15,$M243-$A$15,CM$13)))</f>
        <v>1000000000000</v>
      </c>
      <c r="CN243" s="171">
        <f ca="1">IF(OR($D243&lt;&gt;"Serviço",AND(AUTOEVENTO="Manual",$M243=$A$15)),0,
         IF(OFFSET(CRONOPLE!$F$15,$M243-$A$15,CN$13)=0,10^12,OFFSET(CRONOPLE!$F$15,$M243-$A$15,CN$13)))</f>
        <v>1000000000000</v>
      </c>
      <c r="CO243" s="171">
        <f ca="1">IF(OR($D243&lt;&gt;"Serviço",AND(AUTOEVENTO="Manual",$M243=$A$15)),0,
         IF(OFFSET(CRONOPLE!$F$15,$M243-$A$15,CO$13)=0,10^12,OFFSET(CRONOPLE!$F$15,$M243-$A$15,CO$13)))</f>
        <v>1000000000000</v>
      </c>
      <c r="CP243" s="171">
        <f ca="1">IF(OR($D243&lt;&gt;"Serviço",AND(AUTOEVENTO="Manual",$M243=$A$15)),0,
         IF(OFFSET(CRONOPLE!$F$15,$M243-$A$15,CP$13)=0,10^12,OFFSET(CRONOPLE!$F$15,$M243-$A$15,CP$13)))</f>
        <v>1000000000000</v>
      </c>
      <c r="CQ243" s="171">
        <f ca="1">IF(OR($D243&lt;&gt;"Serviço",AND(AUTOEVENTO="Manual",$M243=$A$15)),0,
         IF(OFFSET(CRONOPLE!$F$15,$M243-$A$15,CQ$13)=0,10^12,OFFSET(CRONOPLE!$F$15,$M243-$A$15,CQ$13)))</f>
        <v>1000000000000</v>
      </c>
      <c r="CR243" s="171">
        <f ca="1">IF(OR($D243&lt;&gt;"Serviço",AND(AUTOEVENTO="Manual",$M243=$A$15)),0,
         IF(OFFSET(CRONOPLE!$F$15,$M243-$A$15,CR$13)=0,10^12,OFFSET(CRONOPLE!$F$15,$M243-$A$15,CR$13)))</f>
        <v>1000000000000</v>
      </c>
      <c r="CT243" s="172" cm="1">
        <f t="array" aca="1" ref="CT243" ca="1">IF(OR($D243&lt;&gt;"Serviço",AND(AUTOEVENTO="Manual",$M243=$A$15),$M243&gt;(ROW(PLE.lastrow)-ROW(PLE.firstrow))),0,
           IF(OFFSET(PLE!$G$15,$M243-$A$15,CT$13)="",10^12,OFFSET(PLE!$G$15,$M243-$A$15,CT$13)))</f>
        <v>1000000000000</v>
      </c>
      <c r="CU243" s="172" cm="1">
        <f t="array" aca="1" ref="CU243" ca="1">IF(OR($D243&lt;&gt;"Serviço",AND(AUTOEVENTO="Manual",$M243=$A$15),$M243&gt;(ROW(PLE.lastrow)-ROW(PLE.firstrow))),0,
           IF(OFFSET(PLE!$G$15,$M243-$A$15,CU$13)="",10^12,OFFSET(PLE!$G$15,$M243-$A$15,CU$13)))</f>
        <v>1000000000000</v>
      </c>
      <c r="CV243" s="172" cm="1">
        <f t="array" aca="1" ref="CV243" ca="1">IF(OR($D243&lt;&gt;"Serviço",AND(AUTOEVENTO="Manual",$M243=$A$15),$M243&gt;(ROW(PLE.lastrow)-ROW(PLE.firstrow))),0,
           IF(OFFSET(PLE!$G$15,$M243-$A$15,CV$13)="",10^12,OFFSET(PLE!$G$15,$M243-$A$15,CV$13)))</f>
        <v>1000000000000</v>
      </c>
      <c r="CW243" s="172" cm="1">
        <f t="array" aca="1" ref="CW243" ca="1">IF(OR($D243&lt;&gt;"Serviço",AND(AUTOEVENTO="Manual",$M243=$A$15),$M243&gt;(ROW(PLE.lastrow)-ROW(PLE.firstrow))),0,
           IF(OFFSET(PLE!$G$15,$M243-$A$15,CW$13)="",10^12,OFFSET(PLE!$G$15,$M243-$A$15,CW$13)))</f>
        <v>1000000000000</v>
      </c>
      <c r="CX243" s="172" cm="1">
        <f t="array" aca="1" ref="CX243" ca="1">IF(OR($D243&lt;&gt;"Serviço",AND(AUTOEVENTO="Manual",$M243=$A$15),$M243&gt;(ROW(PLE.lastrow)-ROW(PLE.firstrow))),0,
           IF(OFFSET(PLE!$G$15,$M243-$A$15,CX$13)="",10^12,OFFSET(PLE!$G$15,$M243-$A$15,CX$13)))</f>
        <v>1000000000000</v>
      </c>
      <c r="CY243" s="172" cm="1">
        <f t="array" aca="1" ref="CY243" ca="1">IF(OR($D243&lt;&gt;"Serviço",AND(AUTOEVENTO="Manual",$M243=$A$15),$M243&gt;(ROW(PLE.lastrow)-ROW(PLE.firstrow))),0,
           IF(OFFSET(PLE!$G$15,$M243-$A$15,CY$13)="",10^12,OFFSET(PLE!$G$15,$M243-$A$15,CY$13)))</f>
        <v>1000000000000</v>
      </c>
      <c r="CZ243" s="172" cm="1">
        <f t="array" aca="1" ref="CZ243" ca="1">IF(OR($D243&lt;&gt;"Serviço",AND(AUTOEVENTO="Manual",$M243=$A$15),$M243&gt;(ROW(PLE.lastrow)-ROW(PLE.firstrow))),0,
           IF(OFFSET(PLE!$G$15,$M243-$A$15,CZ$13)="",10^12,OFFSET(PLE!$G$15,$M243-$A$15,CZ$13)))</f>
        <v>1000000000000</v>
      </c>
      <c r="DA243" s="172" cm="1">
        <f t="array" aca="1" ref="DA243" ca="1">IF(OR($D243&lt;&gt;"Serviço",AND(AUTOEVENTO="Manual",$M243=$A$15),$M243&gt;(ROW(PLE.lastrow)-ROW(PLE.firstrow))),0,
           IF(OFFSET(PLE!$G$15,$M243-$A$15,DA$13)="",10^12,OFFSET(PLE!$G$15,$M243-$A$15,DA$13)))</f>
        <v>1000000000000</v>
      </c>
      <c r="DB243" s="172" cm="1">
        <f t="array" aca="1" ref="DB243" ca="1">IF(OR($D243&lt;&gt;"Serviço",AND(AUTOEVENTO="Manual",$M243=$A$15),$M243&gt;(ROW(PLE.lastrow)-ROW(PLE.firstrow))),0,
           IF(OFFSET(PLE!$G$15,$M243-$A$15,DB$13)="",10^12,OFFSET(PLE!$G$15,$M243-$A$15,DB$13)))</f>
        <v>1000000000000</v>
      </c>
      <c r="DC243" s="172" cm="1">
        <f t="array" aca="1" ref="DC243" ca="1">IF(OR($D243&lt;&gt;"Serviço",AND(AUTOEVENTO="Manual",$M243=$A$15),$M243&gt;(ROW(PLE.lastrow)-ROW(PLE.firstrow))),0,
           IF(OFFSET(PLE!$G$15,$M243-$A$15,DC$13)="",10^12,OFFSET(PLE!$G$15,$M243-$A$15,DC$13)))</f>
        <v>1000000000000</v>
      </c>
      <c r="DD243" s="172" cm="1">
        <f t="array" aca="1" ref="DD243" ca="1">IF(OR($D243&lt;&gt;"Serviço",AND(AUTOEVENTO="Manual",$M243=$A$15),$M243&gt;(ROW(PLE.lastrow)-ROW(PLE.firstrow))),0,
           IF(OFFSET(PLE!$G$15,$M243-$A$15,DD$13)="",10^12,OFFSET(PLE!$G$15,$M243-$A$15,DD$13)))</f>
        <v>1000000000000</v>
      </c>
      <c r="DE243" s="172" cm="1">
        <f t="array" aca="1" ref="DE243" ca="1">IF(OR($D243&lt;&gt;"Serviço",AND(AUTOEVENTO="Manual",$M243=$A$15),$M243&gt;(ROW(PLE.lastrow)-ROW(PLE.firstrow))),0,
           IF(OFFSET(PLE!$G$15,$M243-$A$15,DE$13)="",10^12,OFFSET(PLE!$G$15,$M243-$A$15,DE$13)))</f>
        <v>1000000000000</v>
      </c>
      <c r="DF243" s="172" cm="1">
        <f t="array" aca="1" ref="DF243" ca="1">IF(OR($D243&lt;&gt;"Serviço",AND(AUTOEVENTO="Manual",$M243=$A$15),$M243&gt;(ROW(PLE.lastrow)-ROW(PLE.firstrow))),0,
           IF(OFFSET(PLE!$G$15,$M243-$A$15,DF$13)="",10^12,OFFSET(PLE!$G$15,$M243-$A$15,DF$13)))</f>
        <v>1000000000000</v>
      </c>
      <c r="DG243" s="172" cm="1">
        <f t="array" aca="1" ref="DG243" ca="1">IF(OR($D243&lt;&gt;"Serviço",AND(AUTOEVENTO="Manual",$M243=$A$15),$M243&gt;(ROW(PLE.lastrow)-ROW(PLE.firstrow))),0,
           IF(OFFSET(PLE!$G$15,$M243-$A$15,DG$13)="",10^12,OFFSET(PLE!$G$15,$M243-$A$15,DG$13)))</f>
        <v>1000000000000</v>
      </c>
      <c r="DH243" s="172" cm="1">
        <f t="array" aca="1" ref="DH243" ca="1">IF(OR($D243&lt;&gt;"Serviço",AND(AUTOEVENTO="Manual",$M243=$A$15),$M243&gt;(ROW(PLE.lastrow)-ROW(PLE.firstrow))),0,
           IF(OFFSET(PLE!$G$15,$M243-$A$15,DH$13)="",10^12,OFFSET(PLE!$G$15,$M243-$A$15,DH$13)))</f>
        <v>1000000000000</v>
      </c>
      <c r="DI243" s="172" cm="1">
        <f t="array" aca="1" ref="DI243" ca="1">IF(OR($D243&lt;&gt;"Serviço",AND(AUTOEVENTO="Manual",$M243=$A$15),$M243&gt;(ROW(PLE.lastrow)-ROW(PLE.firstrow))),0,
           IF(OFFSET(PLE!$G$15,$M243-$A$15,DI$13)="",10^12,OFFSET(PLE!$G$15,$M243-$A$15,DI$13)))</f>
        <v>1000000000000</v>
      </c>
      <c r="DJ243" s="172" cm="1">
        <f t="array" aca="1" ref="DJ243" ca="1">IF(OR($D243&lt;&gt;"Serviço",AND(AUTOEVENTO="Manual",$M243=$A$15),$M243&gt;(ROW(PLE.lastrow)-ROW(PLE.firstrow))),0,
           IF(OFFSET(PLE!$G$15,$M243-$A$15,DJ$13)="",10^12,OFFSET(PLE!$G$15,$M243-$A$15,DJ$13)))</f>
        <v>1000000000000</v>
      </c>
      <c r="DK243" s="172" cm="1">
        <f t="array" aca="1" ref="DK243" ca="1">IF(OR($D243&lt;&gt;"Serviço",AND(AUTOEVENTO="Manual",$M243=$A$15),$M243&gt;(ROW(PLE.lastrow)-ROW(PLE.firstrow))),0,
           IF(OFFSET(PLE!$G$15,$M243-$A$15,DK$13)="",10^12,OFFSET(PLE!$G$15,$M243-$A$15,DK$13)))</f>
        <v>1000000000000</v>
      </c>
      <c r="DL243" s="172" cm="1">
        <f t="array" aca="1" ref="DL243" ca="1">IF(OR($D243&lt;&gt;"Serviço",AND(AUTOEVENTO="Manual",$M243=$A$15),$M243&gt;(ROW(PLE.lastrow)-ROW(PLE.firstrow))),0,
           IF(OFFSET(PLE!$G$15,$M243-$A$15,DL$13)="",10^12,OFFSET(PLE!$G$15,$M243-$A$15,DL$13)))</f>
        <v>1000000000000</v>
      </c>
      <c r="DM243" s="172" cm="1">
        <f t="array" aca="1" ref="DM243" ca="1">IF(OR($D243&lt;&gt;"Serviço",AND(AUTOEVENTO="Manual",$M243=$A$15),$M243&gt;(ROW(PLE.lastrow)-ROW(PLE.firstrow))),0,
           IF(OFFSET(PLE!$G$15,$M243-$A$15,DM$13)="",10^12,OFFSET(PLE!$G$15,$M243-$A$15,DM$13)))</f>
        <v>1000000000000</v>
      </c>
      <c r="DN243" s="172" cm="1">
        <f t="array" aca="1" ref="DN243" ca="1">IF(OR($D243&lt;&gt;"Serviço",AND(AUTOEVENTO="Manual",$M243=$A$15),$M243&gt;(ROW(PLE.lastrow)-ROW(PLE.firstrow))),0,
           IF(OFFSET(PLE!$G$15,$M243-$A$15,DN$13)="",10^12,OFFSET(PLE!$G$15,$M243-$A$15,DN$13)))</f>
        <v>1000000000000</v>
      </c>
      <c r="DO243" s="172" cm="1">
        <f t="array" aca="1" ref="DO243" ca="1">IF(OR($D243&lt;&gt;"Serviço",AND(AUTOEVENTO="Manual",$M243=$A$15),$M243&gt;(ROW(PLE.lastrow)-ROW(PLE.firstrow))),0,
           IF(OFFSET(PLE!$G$15,$M243-$A$15,DO$13)="",10^12,OFFSET(PLE!$G$15,$M243-$A$15,DO$13)))</f>
        <v>1000000000000</v>
      </c>
      <c r="DP243" s="172" cm="1">
        <f t="array" aca="1" ref="DP243" ca="1">IF(OR($D243&lt;&gt;"Serviço",AND(AUTOEVENTO="Manual",$M243=$A$15),$M243&gt;(ROW(PLE.lastrow)-ROW(PLE.firstrow))),0,
           IF(OFFSET(PLE!$G$15,$M243-$A$15,DP$13)="",10^12,OFFSET(PLE!$G$15,$M243-$A$15,DP$13)))</f>
        <v>1000000000000</v>
      </c>
      <c r="DQ243" s="172" cm="1">
        <f t="array" aca="1" ref="DQ243" ca="1">IF(OR($D243&lt;&gt;"Serviço",AND(AUTOEVENTO="Manual",$M243=$A$15),$M243&gt;(ROW(PLE.lastrow)-ROW(PLE.firstrow))),0,
           IF(OFFSET(PLE!$G$15,$M243-$A$15,DQ$13)="",10^12,OFFSET(PLE!$G$15,$M243-$A$15,DQ$13)))</f>
        <v>1000000000000</v>
      </c>
      <c r="DR243" s="172" cm="1">
        <f t="array" aca="1" ref="DR243" ca="1">IF(OR($D243&lt;&gt;"Serviço",AND(AUTOEVENTO="Manual",$M243=$A$15),$M243&gt;(ROW(PLE.lastrow)-ROW(PLE.firstrow))),0,
           IF(OFFSET(PLE!$G$15,$M243-$A$15,DR$13)="",10^12,OFFSET(PLE!$G$15,$M243-$A$15,DR$13)))</f>
        <v>1000000000000</v>
      </c>
      <c r="DS243" s="172" cm="1">
        <f t="array" aca="1" ref="DS243" ca="1">IF(OR($D243&lt;&gt;"Serviço",AND(AUTOEVENTO="Manual",$M243=$A$15),$M243&gt;(ROW(PLE.lastrow)-ROW(PLE.firstrow))),0,
           IF(OFFSET(PLE!$G$15,$M243-$A$15,DS$13)="",10^12,OFFSET(PLE!$G$15,$M243-$A$15,DS$13)))</f>
        <v>1000000000000</v>
      </c>
    </row>
    <row r="244" spans="1:123" ht="5.0999999999999996" customHeight="1" x14ac:dyDescent="0.2">
      <c r="B244" s="7">
        <f ca="1">OFFSET(ORÇAMENTO!C$15,ROW(B244)-ROW(B$15),0)</f>
        <v>-1</v>
      </c>
      <c r="C244" s="7" t="str">
        <f ca="1">OFFSET(ORÇAMENTO!L$15,ROW(C244)-ROW(C$15),0)</f>
        <v>F</v>
      </c>
      <c r="D244" s="634" t="s">
        <v>700</v>
      </c>
      <c r="E244" s="618"/>
      <c r="F244" s="619"/>
      <c r="G244" s="619"/>
      <c r="H244" s="619"/>
      <c r="I244" s="419"/>
      <c r="K244" s="569"/>
      <c r="L244" s="165">
        <f t="shared" ref="L244" ca="1" si="21">OFFSET(L244,-1,0)+1</f>
        <v>229</v>
      </c>
      <c r="M244" s="421"/>
      <c r="N244" s="420"/>
      <c r="O244" s="635"/>
      <c r="Q244" s="618"/>
      <c r="R244" s="619"/>
      <c r="S244" s="619"/>
      <c r="T244" s="619"/>
      <c r="U244" s="619"/>
      <c r="V244" s="619"/>
      <c r="W244" s="619"/>
      <c r="X244" s="619"/>
      <c r="Y244" s="619"/>
      <c r="Z244" s="419"/>
      <c r="AA244" s="619"/>
      <c r="AB244" s="619"/>
      <c r="AC244" s="619"/>
      <c r="AD244" s="619"/>
      <c r="AE244" s="619"/>
      <c r="AF244" s="619"/>
      <c r="AG244" s="619"/>
      <c r="AH244" s="419"/>
      <c r="AI244" s="619"/>
      <c r="AJ244" s="619"/>
      <c r="AK244" s="619"/>
      <c r="AL244" s="619"/>
      <c r="AM244" s="619"/>
      <c r="AN244" s="619"/>
      <c r="AO244" s="619"/>
      <c r="AP244" s="419"/>
      <c r="AR244" s="636"/>
      <c r="AS244" s="637"/>
      <c r="AT244" s="637"/>
      <c r="AU244" s="637"/>
      <c r="AV244" s="637"/>
      <c r="AW244" s="637"/>
      <c r="AX244" s="637"/>
      <c r="AY244" s="637"/>
      <c r="AZ244" s="637"/>
      <c r="BA244" s="133"/>
      <c r="BB244" s="637"/>
      <c r="BC244" s="637"/>
      <c r="BD244" s="637"/>
      <c r="BE244" s="637"/>
      <c r="BF244" s="637"/>
      <c r="BG244" s="637"/>
      <c r="BH244" s="637"/>
      <c r="BI244" s="133"/>
      <c r="BJ244" s="637"/>
      <c r="BK244" s="637"/>
      <c r="BL244" s="637"/>
      <c r="BM244" s="637"/>
      <c r="BN244" s="637"/>
      <c r="BO244" s="637"/>
      <c r="BP244" s="637"/>
      <c r="BQ244" s="133"/>
      <c r="BS244" s="636"/>
      <c r="BT244" s="637"/>
      <c r="BU244" s="637"/>
      <c r="BV244" s="637"/>
      <c r="BW244" s="637"/>
      <c r="BX244" s="637"/>
      <c r="BY244" s="637"/>
      <c r="BZ244" s="637"/>
      <c r="CA244" s="637"/>
      <c r="CB244" s="133"/>
      <c r="CC244" s="637"/>
      <c r="CD244" s="637"/>
      <c r="CE244" s="637"/>
      <c r="CF244" s="637"/>
      <c r="CG244" s="637"/>
      <c r="CH244" s="637"/>
      <c r="CI244" s="637"/>
      <c r="CJ244" s="133"/>
      <c r="CK244" s="637"/>
      <c r="CL244" s="637"/>
      <c r="CM244" s="637"/>
      <c r="CN244" s="637"/>
      <c r="CO244" s="637"/>
      <c r="CP244" s="637"/>
      <c r="CQ244" s="637"/>
      <c r="CR244" s="133"/>
      <c r="CT244" s="636"/>
      <c r="CU244" s="637"/>
      <c r="CV244" s="637"/>
      <c r="CW244" s="637"/>
      <c r="CX244" s="637"/>
      <c r="CY244" s="637"/>
      <c r="CZ244" s="637"/>
      <c r="DA244" s="637"/>
      <c r="DB244" s="637"/>
      <c r="DC244" s="133"/>
      <c r="DD244" s="637"/>
      <c r="DE244" s="637"/>
      <c r="DF244" s="637"/>
      <c r="DG244" s="637"/>
      <c r="DH244" s="637"/>
      <c r="DI244" s="637"/>
      <c r="DJ244" s="637"/>
      <c r="DK244" s="133"/>
      <c r="DL244" s="637"/>
      <c r="DM244" s="637"/>
      <c r="DN244" s="637"/>
      <c r="DO244" s="637"/>
      <c r="DP244" s="637"/>
      <c r="DQ244" s="637"/>
      <c r="DR244" s="637"/>
      <c r="DS244" s="133"/>
    </row>
    <row r="245" spans="1:123" ht="12.75" customHeight="1" x14ac:dyDescent="0.2"/>
    <row r="246" spans="1:123" ht="12.75" customHeight="1" x14ac:dyDescent="0.2"/>
    <row r="247" spans="1:123" ht="12.75" customHeight="1" x14ac:dyDescent="0.2"/>
    <row r="248" spans="1:123" ht="15" customHeight="1" x14ac:dyDescent="0.2">
      <c r="F248" s="179" t="str">
        <f>Import.Município</f>
        <v>Pedro Régis-PB</v>
      </c>
      <c r="I248" s="460"/>
      <c r="J248" s="460"/>
      <c r="K248" s="460"/>
      <c r="L248" s="460"/>
      <c r="M248" s="461"/>
      <c r="N248" s="417"/>
      <c r="T248" s="139"/>
      <c r="U248" s="139"/>
      <c r="V248" s="180"/>
      <c r="W248" s="180"/>
      <c r="X248" s="180"/>
      <c r="Y248" s="180"/>
      <c r="AB248" s="139"/>
      <c r="AC248" s="139"/>
      <c r="AD248" s="180"/>
      <c r="AE248" s="180"/>
      <c r="AF248" s="180"/>
      <c r="AG248" s="180"/>
      <c r="AJ248" s="139"/>
      <c r="AK248" s="139"/>
      <c r="AL248" s="180"/>
      <c r="AM248" s="180"/>
      <c r="AN248" s="180"/>
      <c r="AO248" s="180"/>
    </row>
    <row r="249" spans="1:123" ht="12.75" customHeight="1" x14ac:dyDescent="0.2">
      <c r="F249" s="9" t="s">
        <v>693</v>
      </c>
      <c r="I249" s="181" t="s">
        <v>696</v>
      </c>
      <c r="J249" s="181"/>
      <c r="K249" s="181"/>
      <c r="L249" s="181"/>
      <c r="T249" s="181" t="s">
        <v>696</v>
      </c>
      <c r="U249" s="181"/>
      <c r="AB249" s="181" t="s">
        <v>696</v>
      </c>
      <c r="AC249" s="181"/>
      <c r="AJ249" s="181" t="s">
        <v>696</v>
      </c>
      <c r="AK249" s="181"/>
    </row>
    <row r="250" spans="1:123" ht="12.75" customHeight="1" x14ac:dyDescent="0.2">
      <c r="I250" s="398" t="str">
        <f t="array" aca="1" ref="I250:I252" ca="1">OFFSET(Import.RespOrçamento,0,-1) &amp; " " &amp; Import.RespOrçamento</f>
        <v>Nome: Thales Mamede Galvão de Oliveira</v>
      </c>
      <c r="K250" s="79"/>
      <c r="L250" s="79"/>
      <c r="T250" s="398" t="str">
        <f t="array" aca="1" ref="T250:T252" ca="1">OFFSET(Import.RespOrçamento,0,-1) &amp; " " &amp; Import.RespOrçamento</f>
        <v>Nome: Thales Mamede Galvão de Oliveira</v>
      </c>
      <c r="U250" s="78"/>
      <c r="AB250" s="398" t="str">
        <f t="array" aca="1" ref="AB250:AB252" ca="1">OFFSET(Import.RespOrçamento,0,-1) &amp; " " &amp; Import.RespOrçamento</f>
        <v>Nome: Thales Mamede Galvão de Oliveira</v>
      </c>
      <c r="AC250" s="78"/>
      <c r="AJ250" s="398" t="str">
        <f t="array" aca="1" ref="AJ250:AJ252" ca="1">OFFSET(Import.RespOrçamento,0,-1) &amp; " " &amp; Import.RespOrçamento</f>
        <v>Nome: Thales Mamede Galvão de Oliveira</v>
      </c>
      <c r="AK250" s="78"/>
    </row>
    <row r="251" spans="1:123" ht="12.75" customHeight="1" x14ac:dyDescent="0.2">
      <c r="F251" s="459">
        <f>DADOS!$C$25</f>
        <v>45981</v>
      </c>
      <c r="I251" s="398" t="str">
        <f ca="1"/>
        <v>CREA/CAU: 162.151.440-4</v>
      </c>
      <c r="K251" s="79"/>
      <c r="L251" s="79"/>
      <c r="T251" s="398" t="str">
        <f ca="1"/>
        <v>CREA/CAU: 162.151.440-4</v>
      </c>
      <c r="U251" s="78"/>
      <c r="AB251" s="398" t="str">
        <f ca="1"/>
        <v>CREA/CAU: 162.151.440-4</v>
      </c>
      <c r="AC251" s="78"/>
      <c r="AJ251" s="398" t="str">
        <f ca="1"/>
        <v>CREA/CAU: 162.151.440-4</v>
      </c>
      <c r="AK251" s="78"/>
    </row>
    <row r="252" spans="1:123" ht="12.75" customHeight="1" x14ac:dyDescent="0.2">
      <c r="F252" s="140" t="s">
        <v>694</v>
      </c>
      <c r="I252" s="398" t="str">
        <f ca="1"/>
        <v>ART/RRT: -</v>
      </c>
      <c r="K252" s="79"/>
      <c r="L252" s="79"/>
      <c r="T252" s="398" t="str">
        <f ca="1"/>
        <v>ART/RRT: -</v>
      </c>
      <c r="U252" s="78"/>
      <c r="AB252" s="398" t="str">
        <f ca="1"/>
        <v>ART/RRT: -</v>
      </c>
      <c r="AC252" s="78"/>
      <c r="AJ252" s="398" t="str">
        <f ca="1"/>
        <v>ART/RRT: -</v>
      </c>
      <c r="AK252" s="78"/>
    </row>
    <row r="253" spans="1:123" ht="12.75" customHeight="1" x14ac:dyDescent="0.2">
      <c r="C253"/>
      <c r="M253"/>
    </row>
    <row r="254" spans="1:123" ht="12.75" customHeight="1" x14ac:dyDescent="0.2">
      <c r="C254"/>
      <c r="M254"/>
    </row>
    <row r="255" spans="1:123" ht="12.75" customHeight="1" x14ac:dyDescent="0.2">
      <c r="C255"/>
      <c r="M255"/>
    </row>
    <row r="256" spans="1:12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4331" spans="3:13" ht="12.75" customHeight="1" x14ac:dyDescent="0.2">
      <c r="C4331"/>
      <c r="M4331"/>
    </row>
    <row r="4332" spans="3:13" ht="12.75" customHeight="1" x14ac:dyDescent="0.2">
      <c r="C4332"/>
      <c r="M4332"/>
    </row>
    <row r="4333" spans="3:13" ht="12.75" customHeight="1" x14ac:dyDescent="0.2">
      <c r="C4333"/>
      <c r="M4333"/>
    </row>
    <row r="4334" spans="3:13" ht="12.75" customHeight="1" x14ac:dyDescent="0.2">
      <c r="C4334"/>
      <c r="M4334"/>
    </row>
    <row r="4335" spans="3:13" ht="12.75" customHeight="1" x14ac:dyDescent="0.2">
      <c r="C4335"/>
      <c r="M4335"/>
    </row>
    <row r="4336" spans="3:13" ht="12.75" customHeight="1" x14ac:dyDescent="0.2">
      <c r="C4336"/>
      <c r="M4336"/>
    </row>
    <row r="4337" spans="3:13" ht="12.75" customHeight="1" x14ac:dyDescent="0.2">
      <c r="C4337"/>
      <c r="M4337"/>
    </row>
    <row r="4338" spans="3:13" ht="12.75" customHeight="1" x14ac:dyDescent="0.2">
      <c r="C4338"/>
      <c r="M4338"/>
    </row>
    <row r="4339" spans="3:13" ht="12.75" customHeight="1" x14ac:dyDescent="0.2">
      <c r="C4339"/>
      <c r="M4339"/>
    </row>
    <row r="4340" spans="3:13" ht="12.75" customHeight="1" x14ac:dyDescent="0.2">
      <c r="C4340"/>
      <c r="M4340"/>
    </row>
    <row r="4341" spans="3:13" ht="12.75" customHeight="1" x14ac:dyDescent="0.2">
      <c r="C4341"/>
      <c r="M4341"/>
    </row>
    <row r="4342" spans="3:13" ht="12.75" customHeight="1" x14ac:dyDescent="0.2">
      <c r="C4342"/>
      <c r="M4342"/>
    </row>
    <row r="4343" spans="3:13" ht="12.75" customHeight="1" x14ac:dyDescent="0.2">
      <c r="C4343"/>
      <c r="M4343"/>
    </row>
    <row r="4344" spans="3:13" ht="12.75" customHeight="1" x14ac:dyDescent="0.2">
      <c r="C4344"/>
      <c r="M4344"/>
    </row>
    <row r="4345" spans="3:13" ht="12.75" customHeight="1" x14ac:dyDescent="0.2">
      <c r="C4345"/>
      <c r="M4345"/>
    </row>
    <row r="4346" spans="3:13" ht="12.75" customHeight="1" x14ac:dyDescent="0.2">
      <c r="C4346"/>
      <c r="M4346"/>
    </row>
    <row r="4347" spans="3:13" ht="12.75" customHeight="1" x14ac:dyDescent="0.2">
      <c r="C4347"/>
      <c r="M4347"/>
    </row>
    <row r="4348" spans="3:13" ht="12.75" customHeight="1" x14ac:dyDescent="0.2">
      <c r="C4348"/>
      <c r="M4348"/>
    </row>
    <row r="4349" spans="3:13" ht="12.75" customHeight="1" x14ac:dyDescent="0.2">
      <c r="C4349"/>
      <c r="M4349"/>
    </row>
    <row r="4350" spans="3:13" ht="12.75" customHeight="1" x14ac:dyDescent="0.2">
      <c r="C4350"/>
      <c r="M4350"/>
    </row>
    <row r="4351" spans="3:13" ht="12.75" customHeight="1" x14ac:dyDescent="0.2">
      <c r="C4351"/>
      <c r="M4351"/>
    </row>
    <row r="4352" spans="3:13" ht="12.75" customHeight="1" x14ac:dyDescent="0.2">
      <c r="C4352"/>
      <c r="M4352"/>
    </row>
    <row r="4353" spans="3:13" ht="12.75" customHeight="1" x14ac:dyDescent="0.2">
      <c r="C4353"/>
      <c r="M4353"/>
    </row>
    <row r="4354" spans="3:13" ht="12.75" customHeight="1" x14ac:dyDescent="0.2">
      <c r="C4354"/>
      <c r="M4354"/>
    </row>
    <row r="4355" spans="3:13" ht="12.75" customHeight="1" x14ac:dyDescent="0.2">
      <c r="C4355"/>
      <c r="M4355"/>
    </row>
    <row r="4356" spans="3:13" ht="12.75" customHeight="1" x14ac:dyDescent="0.2">
      <c r="C4356"/>
      <c r="M4356"/>
    </row>
    <row r="4357" spans="3:13" ht="12.75" customHeight="1" x14ac:dyDescent="0.2">
      <c r="C4357"/>
      <c r="M4357"/>
    </row>
    <row r="4358" spans="3:13" ht="12.75" customHeight="1" x14ac:dyDescent="0.2">
      <c r="C4358"/>
      <c r="M4358"/>
    </row>
    <row r="4359" spans="3:13" ht="12.75" customHeight="1" x14ac:dyDescent="0.2">
      <c r="C4359"/>
      <c r="M4359"/>
    </row>
    <row r="4360" spans="3:13" ht="12.75" customHeight="1" x14ac:dyDescent="0.2">
      <c r="C4360"/>
      <c r="M4360"/>
    </row>
    <row r="4361" spans="3:13" ht="12.75" customHeight="1" x14ac:dyDescent="0.2">
      <c r="C4361"/>
      <c r="M4361"/>
    </row>
    <row r="4362" spans="3:13" ht="12.75" customHeight="1" x14ac:dyDescent="0.2">
      <c r="C4362"/>
      <c r="M4362"/>
    </row>
    <row r="4363" spans="3:13" ht="12.75" customHeight="1" x14ac:dyDescent="0.2">
      <c r="C4363"/>
      <c r="M4363"/>
    </row>
    <row r="4364" spans="3:13" ht="12.75" customHeight="1" x14ac:dyDescent="0.2">
      <c r="C4364"/>
      <c r="M4364"/>
    </row>
    <row r="4365" spans="3:13" ht="12.75" customHeight="1" x14ac:dyDescent="0.2">
      <c r="C4365"/>
      <c r="M4365"/>
    </row>
    <row r="4366" spans="3:13" ht="12.75" customHeight="1" x14ac:dyDescent="0.2">
      <c r="C4366"/>
      <c r="M4366"/>
    </row>
    <row r="4367" spans="3:13" ht="12.75" customHeight="1" x14ac:dyDescent="0.2">
      <c r="C4367"/>
      <c r="M4367"/>
    </row>
    <row r="4368" spans="3:13" ht="12.75" customHeight="1" x14ac:dyDescent="0.2">
      <c r="C4368"/>
      <c r="M4368"/>
    </row>
    <row r="4369" spans="3:13" ht="12.75" customHeight="1" x14ac:dyDescent="0.2">
      <c r="C4369"/>
      <c r="M4369"/>
    </row>
    <row r="4370" spans="3:13" ht="12.75" customHeight="1" x14ac:dyDescent="0.2">
      <c r="C4370"/>
      <c r="M4370"/>
    </row>
    <row r="4371" spans="3:13" ht="12.75" customHeight="1" x14ac:dyDescent="0.2">
      <c r="C4371"/>
      <c r="M4371"/>
    </row>
    <row r="4372" spans="3:13" ht="12.75" customHeight="1" x14ac:dyDescent="0.2">
      <c r="C4372"/>
      <c r="M4372"/>
    </row>
    <row r="4373" spans="3:13" ht="12.75" customHeight="1" x14ac:dyDescent="0.2">
      <c r="C4373"/>
      <c r="M4373"/>
    </row>
    <row r="4374" spans="3:13" ht="12.75" customHeight="1" x14ac:dyDescent="0.2">
      <c r="C4374"/>
      <c r="M4374"/>
    </row>
    <row r="4375" spans="3:13" ht="12.75" customHeight="1" x14ac:dyDescent="0.2">
      <c r="C4375"/>
      <c r="M4375"/>
    </row>
    <row r="4376" spans="3:13" ht="12.75" customHeight="1" x14ac:dyDescent="0.2">
      <c r="C4376"/>
      <c r="M4376"/>
    </row>
    <row r="4377" spans="3:13" ht="12.75" customHeight="1" x14ac:dyDescent="0.2">
      <c r="C4377"/>
      <c r="M4377"/>
    </row>
    <row r="4378" spans="3:13" ht="12.75" customHeight="1" x14ac:dyDescent="0.2">
      <c r="C4378"/>
      <c r="M4378"/>
    </row>
    <row r="4379" spans="3:13" ht="12.75" customHeight="1" x14ac:dyDescent="0.2">
      <c r="C4379"/>
      <c r="M4379"/>
    </row>
    <row r="4380" spans="3:13" ht="12.75" customHeight="1" x14ac:dyDescent="0.2">
      <c r="C4380"/>
      <c r="M4380"/>
    </row>
    <row r="4381" spans="3:13" ht="12.75" customHeight="1" x14ac:dyDescent="0.2">
      <c r="C4381"/>
      <c r="M4381"/>
    </row>
    <row r="4382" spans="3:13" ht="12.75" customHeight="1" x14ac:dyDescent="0.2">
      <c r="C4382"/>
      <c r="M4382"/>
    </row>
    <row r="4383" spans="3:13" ht="12.75" customHeight="1" x14ac:dyDescent="0.2">
      <c r="C4383"/>
      <c r="M4383"/>
    </row>
    <row r="4384" spans="3:13" ht="12.75" customHeight="1" x14ac:dyDescent="0.2">
      <c r="C4384"/>
      <c r="M4384"/>
    </row>
    <row r="4385" spans="3:13" ht="12.75" customHeight="1" x14ac:dyDescent="0.2">
      <c r="C4385"/>
      <c r="M4385"/>
    </row>
    <row r="4386" spans="3:13" ht="12.75" customHeight="1" x14ac:dyDescent="0.2">
      <c r="C4386"/>
      <c r="M4386"/>
    </row>
    <row r="4387" spans="3:13" ht="12.75" customHeight="1" x14ac:dyDescent="0.2">
      <c r="C4387"/>
      <c r="M4387"/>
    </row>
    <row r="4388" spans="3:13" ht="12.75" customHeight="1" x14ac:dyDescent="0.2">
      <c r="C4388"/>
      <c r="M4388"/>
    </row>
    <row r="4389" spans="3:13" ht="12.75" customHeight="1" x14ac:dyDescent="0.2">
      <c r="C4389"/>
      <c r="M4389"/>
    </row>
    <row r="4390" spans="3:13" ht="12.75" customHeight="1" x14ac:dyDescent="0.2">
      <c r="C4390"/>
      <c r="M4390"/>
    </row>
    <row r="4391" spans="3:13" ht="12.75" customHeight="1" x14ac:dyDescent="0.2">
      <c r="C4391"/>
      <c r="M4391"/>
    </row>
    <row r="4392" spans="3:13" ht="12.75" customHeight="1" x14ac:dyDescent="0.2">
      <c r="C4392"/>
      <c r="M4392"/>
    </row>
    <row r="4393" spans="3:13" ht="12.75" customHeight="1" x14ac:dyDescent="0.2">
      <c r="C4393"/>
      <c r="M4393"/>
    </row>
    <row r="4394" spans="3:13" ht="12.75" customHeight="1" x14ac:dyDescent="0.2">
      <c r="C4394"/>
      <c r="M4394"/>
    </row>
    <row r="4395" spans="3:13" ht="12.75" customHeight="1" x14ac:dyDescent="0.2">
      <c r="C4395"/>
      <c r="M4395"/>
    </row>
    <row r="4396" spans="3:13" ht="12.75" customHeight="1" x14ac:dyDescent="0.2">
      <c r="C4396"/>
      <c r="M4396"/>
    </row>
    <row r="4397" spans="3:13" ht="12.75" customHeight="1" x14ac:dyDescent="0.2">
      <c r="C4397"/>
      <c r="M4397"/>
    </row>
    <row r="4398" spans="3:13" ht="12.75" customHeight="1" x14ac:dyDescent="0.2">
      <c r="C4398"/>
      <c r="M4398"/>
    </row>
    <row r="4399" spans="3:13" ht="12.75" customHeight="1" x14ac:dyDescent="0.2">
      <c r="C4399"/>
      <c r="M4399"/>
    </row>
    <row r="4400" spans="3:13" ht="12.75" customHeight="1" x14ac:dyDescent="0.2">
      <c r="C4400"/>
      <c r="M4400"/>
    </row>
    <row r="4401" spans="3:13" ht="12.75" customHeight="1" x14ac:dyDescent="0.2">
      <c r="C4401"/>
      <c r="M4401"/>
    </row>
    <row r="4402" spans="3:13" ht="12.75" customHeight="1" x14ac:dyDescent="0.2">
      <c r="C4402"/>
      <c r="M4402"/>
    </row>
    <row r="4403" spans="3:13" ht="12.75" customHeight="1" x14ac:dyDescent="0.2">
      <c r="C4403"/>
      <c r="M4403"/>
    </row>
    <row r="4404" spans="3:13" ht="12.75" customHeight="1" x14ac:dyDescent="0.2">
      <c r="C4404"/>
      <c r="M4404"/>
    </row>
    <row r="4405" spans="3:13" ht="12.75" customHeight="1" x14ac:dyDescent="0.2">
      <c r="C4405"/>
      <c r="M4405"/>
    </row>
    <row r="4406" spans="3:13" ht="12.75" customHeight="1" x14ac:dyDescent="0.2">
      <c r="C4406"/>
      <c r="M4406"/>
    </row>
    <row r="4407" spans="3:13" ht="12.75" customHeight="1" x14ac:dyDescent="0.2">
      <c r="C4407"/>
      <c r="M4407"/>
    </row>
    <row r="4408" spans="3:13" ht="12.75" customHeight="1" x14ac:dyDescent="0.2">
      <c r="C4408"/>
      <c r="M4408"/>
    </row>
    <row r="4409" spans="3:13" ht="12.75" customHeight="1" x14ac:dyDescent="0.2">
      <c r="C4409"/>
      <c r="M4409"/>
    </row>
    <row r="4410" spans="3:13" ht="12.75" customHeight="1" x14ac:dyDescent="0.2">
      <c r="C4410"/>
      <c r="M4410"/>
    </row>
    <row r="4411" spans="3:13" ht="12.75" customHeight="1" x14ac:dyDescent="0.2">
      <c r="C4411"/>
      <c r="M4411"/>
    </row>
    <row r="4412" spans="3:13" ht="12.75" customHeight="1" x14ac:dyDescent="0.2">
      <c r="C4412"/>
      <c r="M4412"/>
    </row>
    <row r="4413" spans="3:13" ht="12.75" customHeight="1" x14ac:dyDescent="0.2">
      <c r="C4413"/>
      <c r="M4413"/>
    </row>
    <row r="4414" spans="3:13" ht="12.75" customHeight="1" x14ac:dyDescent="0.2">
      <c r="C4414"/>
      <c r="M4414"/>
    </row>
    <row r="4415" spans="3:13" ht="12.75" customHeight="1" x14ac:dyDescent="0.2">
      <c r="C4415"/>
      <c r="M4415"/>
    </row>
    <row r="4416" spans="3:13" ht="12.75" customHeight="1" x14ac:dyDescent="0.2">
      <c r="C4416"/>
      <c r="M4416"/>
    </row>
    <row r="4417" spans="3:13" ht="12.75" customHeight="1" x14ac:dyDescent="0.2">
      <c r="C4417"/>
      <c r="M4417"/>
    </row>
    <row r="4418" spans="3:13" ht="12.75" customHeight="1" x14ac:dyDescent="0.2">
      <c r="C4418"/>
      <c r="M4418"/>
    </row>
    <row r="4419" spans="3:13" ht="12.75" customHeight="1" x14ac:dyDescent="0.2">
      <c r="C4419"/>
      <c r="M4419"/>
    </row>
    <row r="4420" spans="3:13" ht="12.75" customHeight="1" x14ac:dyDescent="0.2">
      <c r="C4420"/>
      <c r="M4420"/>
    </row>
    <row r="4421" spans="3:13" ht="12.75" customHeight="1" x14ac:dyDescent="0.2">
      <c r="C4421"/>
      <c r="M4421"/>
    </row>
    <row r="4422" spans="3:13" ht="12.75" customHeight="1" x14ac:dyDescent="0.2">
      <c r="C4422"/>
      <c r="M4422"/>
    </row>
    <row r="4423" spans="3:13" ht="12.75" customHeight="1" x14ac:dyDescent="0.2">
      <c r="C4423"/>
      <c r="M4423"/>
    </row>
    <row r="4424" spans="3:13" ht="12.75" customHeight="1" x14ac:dyDescent="0.2">
      <c r="C4424"/>
      <c r="M4424"/>
    </row>
    <row r="4425" spans="3:13" ht="12.75" customHeight="1" x14ac:dyDescent="0.2">
      <c r="C4425"/>
      <c r="M4425"/>
    </row>
    <row r="4426" spans="3:13" ht="12.75" customHeight="1" x14ac:dyDescent="0.2">
      <c r="C4426"/>
      <c r="M4426"/>
    </row>
    <row r="4427" spans="3:13" ht="12.75" customHeight="1" x14ac:dyDescent="0.2">
      <c r="C4427"/>
      <c r="M4427"/>
    </row>
    <row r="4428" spans="3:13" ht="12.75" customHeight="1" x14ac:dyDescent="0.2">
      <c r="C4428"/>
      <c r="M4428"/>
    </row>
    <row r="4429" spans="3:13" ht="12.75" customHeight="1" x14ac:dyDescent="0.2">
      <c r="C4429"/>
      <c r="M4429"/>
    </row>
    <row r="4430" spans="3:13" ht="12.75" customHeight="1" x14ac:dyDescent="0.2">
      <c r="C4430"/>
      <c r="M4430"/>
    </row>
    <row r="4431" spans="3:13" ht="12.75" customHeight="1" x14ac:dyDescent="0.2">
      <c r="C4431"/>
      <c r="M4431"/>
    </row>
    <row r="4432" spans="3:13" ht="12.75" customHeight="1" x14ac:dyDescent="0.2">
      <c r="C4432"/>
      <c r="M4432"/>
    </row>
    <row r="4433" spans="3:13" ht="12.75" customHeight="1" x14ac:dyDescent="0.2">
      <c r="C4433"/>
      <c r="M4433"/>
    </row>
    <row r="4434" spans="3:13" ht="12.75" customHeight="1" x14ac:dyDescent="0.2">
      <c r="C4434"/>
      <c r="M4434"/>
    </row>
    <row r="4435" spans="3:13" ht="12.75" customHeight="1" x14ac:dyDescent="0.2">
      <c r="C4435"/>
      <c r="M4435"/>
    </row>
    <row r="4436" spans="3:13" ht="12.75" customHeight="1" x14ac:dyDescent="0.2">
      <c r="C4436"/>
      <c r="M4436"/>
    </row>
    <row r="4437" spans="3:13" ht="12.75" customHeight="1" x14ac:dyDescent="0.2">
      <c r="C4437"/>
      <c r="M4437"/>
    </row>
    <row r="4438" spans="3:13" ht="12.75" customHeight="1" x14ac:dyDescent="0.2">
      <c r="C4438"/>
      <c r="M4438"/>
    </row>
    <row r="4439" spans="3:13" ht="12.75" customHeight="1" x14ac:dyDescent="0.2">
      <c r="C4439"/>
      <c r="M4439"/>
    </row>
    <row r="4440" spans="3:13" ht="12.75" customHeight="1" x14ac:dyDescent="0.2">
      <c r="C4440"/>
      <c r="M4440"/>
    </row>
    <row r="4441" spans="3:13" ht="12.75" customHeight="1" x14ac:dyDescent="0.2">
      <c r="C4441"/>
      <c r="M4441"/>
    </row>
    <row r="4442" spans="3:13" ht="12.75" customHeight="1" x14ac:dyDescent="0.2">
      <c r="C4442"/>
      <c r="M4442"/>
    </row>
    <row r="4443" spans="3:13" ht="12.75" customHeight="1" x14ac:dyDescent="0.2">
      <c r="C4443"/>
      <c r="M4443"/>
    </row>
    <row r="4444" spans="3:13" ht="12.75" customHeight="1" x14ac:dyDescent="0.2">
      <c r="C4444"/>
      <c r="M4444"/>
    </row>
    <row r="4445" spans="3:13" ht="12.75" customHeight="1" x14ac:dyDescent="0.2">
      <c r="C4445"/>
      <c r="M4445"/>
    </row>
    <row r="4446" spans="3:13" ht="12.75" customHeight="1" x14ac:dyDescent="0.2">
      <c r="C4446"/>
      <c r="M4446"/>
    </row>
    <row r="4447" spans="3:13" ht="12.75" customHeight="1" x14ac:dyDescent="0.2">
      <c r="C4447"/>
      <c r="M4447"/>
    </row>
    <row r="4448" spans="3:13" ht="12.75" customHeight="1" x14ac:dyDescent="0.2">
      <c r="C4448"/>
      <c r="M4448"/>
    </row>
    <row r="4449" spans="3:13" ht="12.75" customHeight="1" x14ac:dyDescent="0.2">
      <c r="C4449"/>
      <c r="M4449"/>
    </row>
    <row r="4450" spans="3:13" ht="12.75" customHeight="1" x14ac:dyDescent="0.2">
      <c r="C4450"/>
      <c r="M4450"/>
    </row>
    <row r="4451" spans="3:13" ht="12.75" customHeight="1" x14ac:dyDescent="0.2">
      <c r="C4451"/>
      <c r="M4451"/>
    </row>
    <row r="4452" spans="3:13" ht="12.75" customHeight="1" x14ac:dyDescent="0.2">
      <c r="C4452"/>
      <c r="M4452"/>
    </row>
    <row r="4453" spans="3:13" ht="12.75" customHeight="1" x14ac:dyDescent="0.2">
      <c r="C4453"/>
      <c r="M4453"/>
    </row>
    <row r="4454" spans="3:13" ht="12.75" customHeight="1" x14ac:dyDescent="0.2">
      <c r="C4454"/>
      <c r="M4454"/>
    </row>
    <row r="4455" spans="3:13" ht="12.75" customHeight="1" x14ac:dyDescent="0.2">
      <c r="C4455"/>
      <c r="M4455"/>
    </row>
    <row r="4456" spans="3:13" ht="12.75" customHeight="1" x14ac:dyDescent="0.2">
      <c r="C4456"/>
      <c r="M4456"/>
    </row>
    <row r="4457" spans="3:13" ht="12.75" customHeight="1" x14ac:dyDescent="0.2">
      <c r="C4457"/>
      <c r="M4457"/>
    </row>
    <row r="4458" spans="3:13" ht="12.75" customHeight="1" x14ac:dyDescent="0.2">
      <c r="C4458"/>
      <c r="M4458"/>
    </row>
    <row r="4459" spans="3:13" ht="12.75" customHeight="1" x14ac:dyDescent="0.2">
      <c r="C4459"/>
      <c r="M4459"/>
    </row>
    <row r="4460" spans="3:13" ht="12.75" customHeight="1" x14ac:dyDescent="0.2">
      <c r="C4460"/>
      <c r="M4460"/>
    </row>
    <row r="4461" spans="3:13" ht="12.75" customHeight="1" x14ac:dyDescent="0.2">
      <c r="C4461"/>
      <c r="M4461"/>
    </row>
    <row r="4462" spans="3:13" ht="12.75" customHeight="1" x14ac:dyDescent="0.2">
      <c r="C4462"/>
      <c r="M4462"/>
    </row>
    <row r="4463" spans="3:13" ht="12.75" customHeight="1" x14ac:dyDescent="0.2">
      <c r="C4463"/>
      <c r="M4463"/>
    </row>
    <row r="4464" spans="3:13" ht="12.75" customHeight="1" x14ac:dyDescent="0.2">
      <c r="C4464"/>
      <c r="M4464"/>
    </row>
    <row r="4465" spans="3:13" ht="12.75" customHeight="1" x14ac:dyDescent="0.2">
      <c r="C4465"/>
      <c r="M4465"/>
    </row>
    <row r="4466" spans="3:13" ht="12.75" customHeight="1" x14ac:dyDescent="0.2">
      <c r="C4466"/>
      <c r="M4466"/>
    </row>
    <row r="4467" spans="3:13" ht="12.75" customHeight="1" x14ac:dyDescent="0.2">
      <c r="C4467"/>
      <c r="M4467"/>
    </row>
    <row r="4468" spans="3:13" ht="12.75" customHeight="1" x14ac:dyDescent="0.2">
      <c r="C4468"/>
      <c r="M4468"/>
    </row>
    <row r="4469" spans="3:13" ht="12.75" customHeight="1" x14ac:dyDescent="0.2">
      <c r="C4469"/>
      <c r="M4469"/>
    </row>
    <row r="4470" spans="3:13" ht="12.75" customHeight="1" x14ac:dyDescent="0.2">
      <c r="C4470"/>
      <c r="M4470"/>
    </row>
    <row r="4471" spans="3:13" ht="12.75" customHeight="1" x14ac:dyDescent="0.2">
      <c r="C4471"/>
      <c r="M4471"/>
    </row>
    <row r="4472" spans="3:13" ht="12.75" customHeight="1" x14ac:dyDescent="0.2">
      <c r="C4472"/>
      <c r="M4472"/>
    </row>
    <row r="4473" spans="3:13" ht="12.75" customHeight="1" x14ac:dyDescent="0.2">
      <c r="C4473"/>
      <c r="M4473"/>
    </row>
    <row r="4474" spans="3:13" ht="12.75" customHeight="1" x14ac:dyDescent="0.2">
      <c r="C4474"/>
      <c r="M4474"/>
    </row>
    <row r="4475" spans="3:13" ht="12.75" customHeight="1" x14ac:dyDescent="0.2">
      <c r="C4475"/>
      <c r="M4475"/>
    </row>
    <row r="4476" spans="3:13" ht="12.75" customHeight="1" x14ac:dyDescent="0.2">
      <c r="C4476"/>
      <c r="M4476"/>
    </row>
    <row r="4477" spans="3:13" ht="12.75" customHeight="1" x14ac:dyDescent="0.2">
      <c r="C4477"/>
      <c r="M4477"/>
    </row>
    <row r="4478" spans="3:13" ht="12.75" customHeight="1" x14ac:dyDescent="0.2">
      <c r="C4478"/>
      <c r="M4478"/>
    </row>
    <row r="4479" spans="3:13" ht="12.75" customHeight="1" x14ac:dyDescent="0.2">
      <c r="C4479"/>
      <c r="M4479"/>
    </row>
    <row r="4480" spans="3:13" ht="12.75" customHeight="1" x14ac:dyDescent="0.2">
      <c r="C4480"/>
      <c r="M4480"/>
    </row>
    <row r="4481" spans="3:13" ht="12.75" customHeight="1" x14ac:dyDescent="0.2">
      <c r="C4481"/>
      <c r="M4481"/>
    </row>
    <row r="4482" spans="3:13" ht="12.75" customHeight="1" x14ac:dyDescent="0.2">
      <c r="C4482"/>
      <c r="M4482"/>
    </row>
    <row r="4483" spans="3:13" ht="12.75" customHeight="1" x14ac:dyDescent="0.2">
      <c r="C4483"/>
      <c r="M4483"/>
    </row>
    <row r="4484" spans="3:13" ht="12.75" customHeight="1" x14ac:dyDescent="0.2">
      <c r="C4484"/>
      <c r="M4484"/>
    </row>
    <row r="4485" spans="3:13" ht="12.75" customHeight="1" x14ac:dyDescent="0.2">
      <c r="C4485"/>
      <c r="M4485"/>
    </row>
    <row r="4495" spans="3:13" ht="12.75" customHeight="1" x14ac:dyDescent="0.2">
      <c r="C4495"/>
      <c r="M4495"/>
    </row>
    <row r="4496" spans="3:13" ht="12.75" customHeight="1" x14ac:dyDescent="0.2">
      <c r="C4496"/>
      <c r="M4496"/>
    </row>
    <row r="4497" spans="3:13" ht="12.75" customHeight="1" x14ac:dyDescent="0.2">
      <c r="C4497"/>
      <c r="M4497"/>
    </row>
    <row r="4498" spans="3:13" ht="12.75" customHeight="1" x14ac:dyDescent="0.2">
      <c r="C4498"/>
      <c r="M4498"/>
    </row>
    <row r="61156" spans="3:13" ht="12.75" customHeight="1" x14ac:dyDescent="0.2">
      <c r="C61156"/>
      <c r="M61156"/>
    </row>
    <row r="61172" spans="3:13" ht="12.75" customHeight="1" x14ac:dyDescent="0.2">
      <c r="C61172"/>
      <c r="M61172"/>
    </row>
    <row r="61188" spans="3:13" ht="12.75" customHeight="1" x14ac:dyDescent="0.2">
      <c r="C61188"/>
      <c r="M61188"/>
    </row>
    <row r="61204" spans="3:13" ht="12.75" customHeight="1" x14ac:dyDescent="0.2">
      <c r="C61204"/>
      <c r="M61204"/>
    </row>
    <row r="61217" spans="3:13" ht="12.75" customHeight="1" x14ac:dyDescent="0.2">
      <c r="C61217"/>
      <c r="M61217"/>
    </row>
    <row r="61218" spans="3:13" ht="12.75" customHeight="1" x14ac:dyDescent="0.2">
      <c r="C61218"/>
      <c r="M61218"/>
    </row>
    <row r="61220" spans="3:13" ht="12.75" customHeight="1" x14ac:dyDescent="0.2">
      <c r="C61220"/>
      <c r="M61220"/>
    </row>
    <row r="61231" spans="3:13" ht="12.75" customHeight="1" x14ac:dyDescent="0.2">
      <c r="C61231"/>
      <c r="M61231"/>
    </row>
    <row r="61232" spans="3:13" ht="12.75" customHeight="1" x14ac:dyDescent="0.2">
      <c r="C61232"/>
      <c r="M61232"/>
    </row>
    <row r="61233" spans="3:13" ht="12.75" customHeight="1" x14ac:dyDescent="0.2">
      <c r="C61233"/>
      <c r="M61233"/>
    </row>
    <row r="61234" spans="3:13" ht="12.75" customHeight="1" x14ac:dyDescent="0.2">
      <c r="C61234"/>
      <c r="M61234"/>
    </row>
    <row r="61236" spans="3:13" ht="12.75" customHeight="1" x14ac:dyDescent="0.2">
      <c r="C61236"/>
      <c r="M61236"/>
    </row>
    <row r="61247" spans="3:13" ht="12.75" customHeight="1" x14ac:dyDescent="0.2">
      <c r="C61247"/>
      <c r="M61247"/>
    </row>
    <row r="61248" spans="3:13" ht="12.75" customHeight="1" x14ac:dyDescent="0.2">
      <c r="C61248"/>
      <c r="M61248"/>
    </row>
    <row r="61249" spans="3:13" ht="12.75" customHeight="1" x14ac:dyDescent="0.2">
      <c r="C61249"/>
      <c r="M61249"/>
    </row>
    <row r="61250" spans="3:13" ht="12.75" customHeight="1" x14ac:dyDescent="0.2">
      <c r="C61250"/>
      <c r="M61250"/>
    </row>
    <row r="61252" spans="3:13" ht="12.75" customHeight="1" x14ac:dyDescent="0.2">
      <c r="C61252"/>
      <c r="M61252"/>
    </row>
    <row r="61263" spans="3:13" ht="12.75" customHeight="1" x14ac:dyDescent="0.2">
      <c r="C61263"/>
      <c r="M61263"/>
    </row>
    <row r="61264" spans="3:13" ht="12.75" customHeight="1" x14ac:dyDescent="0.2">
      <c r="C61264"/>
      <c r="M61264"/>
    </row>
    <row r="61265" spans="3:13" ht="12.75" customHeight="1" x14ac:dyDescent="0.2">
      <c r="C61265"/>
      <c r="M61265"/>
    </row>
    <row r="61266" spans="3:13" ht="12.75" customHeight="1" x14ac:dyDescent="0.2">
      <c r="C61266"/>
      <c r="M61266"/>
    </row>
    <row r="61268" spans="3:13" ht="12.75" customHeight="1" x14ac:dyDescent="0.2">
      <c r="C61268"/>
      <c r="M61268"/>
    </row>
    <row r="61279" spans="3:13" ht="12.75" customHeight="1" x14ac:dyDescent="0.2">
      <c r="C61279"/>
      <c r="M61279"/>
    </row>
    <row r="61280" spans="3:13" ht="12.75" customHeight="1" x14ac:dyDescent="0.2">
      <c r="C61280"/>
      <c r="M61280"/>
    </row>
    <row r="61281" spans="3:13" ht="12.75" customHeight="1" x14ac:dyDescent="0.2">
      <c r="C61281"/>
      <c r="M61281"/>
    </row>
    <row r="61282" spans="3:13" ht="12.75" customHeight="1" x14ac:dyDescent="0.2">
      <c r="C61282"/>
      <c r="M61282"/>
    </row>
    <row r="61284" spans="3:13" ht="12.75" customHeight="1" x14ac:dyDescent="0.2">
      <c r="C61284"/>
      <c r="M61284"/>
    </row>
    <row r="61295" spans="3:13" ht="12.75" customHeight="1" x14ac:dyDescent="0.2">
      <c r="C61295"/>
      <c r="M61295"/>
    </row>
    <row r="61296" spans="3:13" ht="12.75" customHeight="1" x14ac:dyDescent="0.2">
      <c r="C61296"/>
      <c r="M61296"/>
    </row>
    <row r="61297" spans="3:13" ht="12.75" customHeight="1" x14ac:dyDescent="0.2">
      <c r="C61297"/>
      <c r="M61297"/>
    </row>
    <row r="61298" spans="3:13" ht="12.75" customHeight="1" x14ac:dyDescent="0.2">
      <c r="C61298"/>
      <c r="M61298"/>
    </row>
    <row r="61300" spans="3:13" ht="12.75" customHeight="1" x14ac:dyDescent="0.2">
      <c r="C61300"/>
      <c r="M61300"/>
    </row>
    <row r="61311" spans="3:13" ht="12.75" customHeight="1" x14ac:dyDescent="0.2">
      <c r="C61311"/>
      <c r="M61311"/>
    </row>
    <row r="61312" spans="3:13" ht="12.75" customHeight="1" x14ac:dyDescent="0.2">
      <c r="C61312"/>
      <c r="M61312"/>
    </row>
    <row r="61313" spans="3:13" ht="12.75" customHeight="1" x14ac:dyDescent="0.2">
      <c r="C61313"/>
      <c r="M61313"/>
    </row>
    <row r="61314" spans="3:13" ht="12.75" customHeight="1" x14ac:dyDescent="0.2">
      <c r="C61314"/>
      <c r="M61314"/>
    </row>
    <row r="61316" spans="3:13" ht="12.75" customHeight="1" x14ac:dyDescent="0.2">
      <c r="C61316"/>
      <c r="M61316"/>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2" spans="3:13" ht="12.75" customHeight="1" x14ac:dyDescent="0.2">
      <c r="C61332"/>
      <c r="M61332"/>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48" spans="3:13" ht="12.75" customHeight="1" x14ac:dyDescent="0.2">
      <c r="C61348"/>
      <c r="M61348"/>
    </row>
    <row r="61356" spans="3:13" ht="12.75" customHeight="1" x14ac:dyDescent="0.2">
      <c r="C61356"/>
      <c r="M61356"/>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4" spans="3:13" ht="12.75" customHeight="1" x14ac:dyDescent="0.2">
      <c r="C61364"/>
      <c r="M61364"/>
    </row>
    <row r="61372" spans="3:13" ht="12.75" customHeight="1" x14ac:dyDescent="0.2">
      <c r="C61372"/>
      <c r="M61372"/>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80" spans="3:13" ht="12.75" customHeight="1" x14ac:dyDescent="0.2">
      <c r="C61380"/>
      <c r="M61380"/>
    </row>
    <row r="61388" spans="3:13" ht="12.75" customHeight="1" x14ac:dyDescent="0.2">
      <c r="C61388"/>
      <c r="M61388"/>
    </row>
    <row r="61389" spans="3:13" ht="12.75" customHeight="1" x14ac:dyDescent="0.2">
      <c r="C61389"/>
      <c r="M61389"/>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6" spans="3:13" ht="12.75" customHeight="1" x14ac:dyDescent="0.2">
      <c r="C61396"/>
      <c r="M61396"/>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2" spans="3:13" ht="12.75" customHeight="1" x14ac:dyDescent="0.2">
      <c r="C61412"/>
      <c r="M61412"/>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8" spans="3:13" ht="12.75" customHeight="1" x14ac:dyDescent="0.2">
      <c r="C61428"/>
      <c r="M61428"/>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row r="65350" spans="3:13" ht="12.75" customHeight="1" x14ac:dyDescent="0.2">
      <c r="C65350"/>
      <c r="M65350"/>
    </row>
    <row r="65351" spans="3:13" ht="12.75" customHeight="1" x14ac:dyDescent="0.2">
      <c r="C65351"/>
      <c r="M65351"/>
    </row>
    <row r="65352" spans="3:13" ht="12.75" customHeight="1" x14ac:dyDescent="0.2">
      <c r="C65352"/>
      <c r="M65352"/>
    </row>
    <row r="65353" spans="3:13" ht="12.75" customHeight="1" x14ac:dyDescent="0.2">
      <c r="C65353"/>
      <c r="M65353"/>
    </row>
    <row r="65354" spans="3:13" ht="12.75" customHeight="1" x14ac:dyDescent="0.2">
      <c r="C65354"/>
      <c r="M65354"/>
    </row>
    <row r="65355" spans="3:13" ht="12.75" customHeight="1" x14ac:dyDescent="0.2">
      <c r="C65355"/>
      <c r="M65355"/>
    </row>
    <row r="65356" spans="3:13" ht="12.75" customHeight="1" x14ac:dyDescent="0.2">
      <c r="C65356"/>
      <c r="M65356"/>
    </row>
    <row r="65357" spans="3:13" ht="12.75" customHeight="1" x14ac:dyDescent="0.2">
      <c r="C65357"/>
      <c r="M65357"/>
    </row>
    <row r="65358" spans="3:13" ht="12.75" customHeight="1" x14ac:dyDescent="0.2">
      <c r="C65358"/>
      <c r="M65358"/>
    </row>
    <row r="65359" spans="3:13" ht="12.75" customHeight="1" x14ac:dyDescent="0.2">
      <c r="C65359"/>
      <c r="M65359"/>
    </row>
    <row r="65360" spans="3:13" ht="12.75" customHeight="1" x14ac:dyDescent="0.2">
      <c r="C65360"/>
      <c r="M65360"/>
    </row>
    <row r="65361" spans="3:13" ht="12.75" customHeight="1" x14ac:dyDescent="0.2">
      <c r="C65361"/>
      <c r="M65361"/>
    </row>
    <row r="65362" spans="3:13" ht="12.75" customHeight="1" x14ac:dyDescent="0.2">
      <c r="C65362"/>
      <c r="M65362"/>
    </row>
    <row r="65363" spans="3:13" ht="12.75" customHeight="1" x14ac:dyDescent="0.2">
      <c r="C65363"/>
      <c r="M65363"/>
    </row>
    <row r="65364" spans="3:13" ht="12.75" customHeight="1" x14ac:dyDescent="0.2">
      <c r="C65364"/>
      <c r="M65364"/>
    </row>
    <row r="65365" spans="3:13" ht="12.75" customHeight="1" x14ac:dyDescent="0.2">
      <c r="C65365"/>
      <c r="M65365"/>
    </row>
    <row r="65366" spans="3:13" ht="12.75" customHeight="1" x14ac:dyDescent="0.2">
      <c r="C65366"/>
      <c r="M65366"/>
    </row>
    <row r="65367" spans="3:13" ht="12.75" customHeight="1" x14ac:dyDescent="0.2">
      <c r="C65367"/>
      <c r="M65367"/>
    </row>
    <row r="65368" spans="3:13" ht="12.75" customHeight="1" x14ac:dyDescent="0.2">
      <c r="C65368"/>
      <c r="M65368"/>
    </row>
    <row r="65369" spans="3:13" ht="12.75" customHeight="1" x14ac:dyDescent="0.2">
      <c r="C65369"/>
      <c r="M65369"/>
    </row>
    <row r="65370" spans="3:13" ht="12.75" customHeight="1" x14ac:dyDescent="0.2">
      <c r="C65370"/>
      <c r="M65370"/>
    </row>
    <row r="65371" spans="3:13" ht="12.75" customHeight="1" x14ac:dyDescent="0.2">
      <c r="C65371"/>
      <c r="M65371"/>
    </row>
    <row r="65372" spans="3:13" ht="12.75" customHeight="1" x14ac:dyDescent="0.2">
      <c r="C65372"/>
      <c r="M65372"/>
    </row>
    <row r="65373" spans="3:13" ht="12.75" customHeight="1" x14ac:dyDescent="0.2">
      <c r="C65373"/>
      <c r="M65373"/>
    </row>
    <row r="65374" spans="3:13" ht="12.75" customHeight="1" x14ac:dyDescent="0.2">
      <c r="C65374"/>
      <c r="M65374"/>
    </row>
    <row r="65375" spans="3:13" ht="12.75" customHeight="1" x14ac:dyDescent="0.2">
      <c r="C65375"/>
      <c r="M65375"/>
    </row>
    <row r="65376" spans="3:13" ht="12.75" customHeight="1" x14ac:dyDescent="0.2">
      <c r="C65376"/>
      <c r="M65376"/>
    </row>
    <row r="65377" spans="3:13" ht="12.75" customHeight="1" x14ac:dyDescent="0.2">
      <c r="C65377"/>
      <c r="M65377"/>
    </row>
    <row r="65378" spans="3:13" ht="12.75" customHeight="1" x14ac:dyDescent="0.2">
      <c r="C65378"/>
      <c r="M65378"/>
    </row>
    <row r="65379" spans="3:13" ht="12.75" customHeight="1" x14ac:dyDescent="0.2">
      <c r="C65379"/>
      <c r="M65379"/>
    </row>
    <row r="65380" spans="3:13" ht="12.75" customHeight="1" x14ac:dyDescent="0.2">
      <c r="C65380"/>
      <c r="M65380"/>
    </row>
    <row r="65381" spans="3:13" ht="12.75" customHeight="1" x14ac:dyDescent="0.2">
      <c r="C65381"/>
      <c r="M65381"/>
    </row>
    <row r="65382" spans="3:13" ht="12.75" customHeight="1" x14ac:dyDescent="0.2">
      <c r="C65382"/>
      <c r="M65382"/>
    </row>
    <row r="65383" spans="3:13" ht="12.75" customHeight="1" x14ac:dyDescent="0.2">
      <c r="C65383"/>
      <c r="M65383"/>
    </row>
    <row r="65384" spans="3:13" ht="12.75" customHeight="1" x14ac:dyDescent="0.2">
      <c r="C65384"/>
      <c r="M65384"/>
    </row>
    <row r="65385" spans="3:13" ht="12.75" customHeight="1" x14ac:dyDescent="0.2">
      <c r="C65385"/>
      <c r="M65385"/>
    </row>
    <row r="65386" spans="3:13" ht="12.75" customHeight="1" x14ac:dyDescent="0.2">
      <c r="C65386"/>
      <c r="M65386"/>
    </row>
    <row r="65387" spans="3:13" ht="12.75" customHeight="1" x14ac:dyDescent="0.2">
      <c r="C65387"/>
      <c r="M65387"/>
    </row>
    <row r="65388" spans="3:13" ht="12.75" customHeight="1" x14ac:dyDescent="0.2">
      <c r="C65388"/>
      <c r="M65388"/>
    </row>
    <row r="65389" spans="3:13" ht="12.75" customHeight="1" x14ac:dyDescent="0.2">
      <c r="C65389"/>
      <c r="M65389"/>
    </row>
    <row r="65390" spans="3:13" ht="12.75" customHeight="1" x14ac:dyDescent="0.2">
      <c r="C65390"/>
      <c r="M65390"/>
    </row>
    <row r="65391" spans="3:13" ht="12.75" customHeight="1" x14ac:dyDescent="0.2">
      <c r="C65391"/>
      <c r="M65391"/>
    </row>
    <row r="65392" spans="3:13" ht="12.75" customHeight="1" x14ac:dyDescent="0.2">
      <c r="C65392"/>
      <c r="M65392"/>
    </row>
    <row r="65393" spans="3:13" ht="12.75" customHeight="1" x14ac:dyDescent="0.2">
      <c r="C65393"/>
      <c r="M65393"/>
    </row>
    <row r="65394" spans="3:13" ht="12.75" customHeight="1" x14ac:dyDescent="0.2">
      <c r="C65394"/>
      <c r="M65394"/>
    </row>
    <row r="65395" spans="3:13" ht="12.75" customHeight="1" x14ac:dyDescent="0.2">
      <c r="C65395"/>
      <c r="M65395"/>
    </row>
    <row r="65396" spans="3:13" ht="12.75" customHeight="1" x14ac:dyDescent="0.2">
      <c r="C65396"/>
      <c r="M65396"/>
    </row>
    <row r="65397" spans="3:13" ht="12.75" customHeight="1" x14ac:dyDescent="0.2">
      <c r="C65397"/>
      <c r="M65397"/>
    </row>
    <row r="65398" spans="3:13" ht="12.75" customHeight="1" x14ac:dyDescent="0.2">
      <c r="C65398"/>
      <c r="M65398"/>
    </row>
    <row r="65399" spans="3:13" ht="12.75" customHeight="1" x14ac:dyDescent="0.2">
      <c r="C65399"/>
      <c r="M65399"/>
    </row>
    <row r="65400" spans="3:13" ht="12.75" customHeight="1" x14ac:dyDescent="0.2">
      <c r="C65400"/>
      <c r="M65400"/>
    </row>
    <row r="65401" spans="3:13" ht="12.75" customHeight="1" x14ac:dyDescent="0.2">
      <c r="C65401"/>
      <c r="M65401"/>
    </row>
    <row r="65402" spans="3:13" ht="12.75" customHeight="1" x14ac:dyDescent="0.2">
      <c r="C65402"/>
      <c r="M65402"/>
    </row>
    <row r="65403" spans="3:13" ht="12.75" customHeight="1" x14ac:dyDescent="0.2">
      <c r="C65403"/>
      <c r="M65403"/>
    </row>
    <row r="65404" spans="3:13" ht="12.75" customHeight="1" x14ac:dyDescent="0.2">
      <c r="C65404"/>
      <c r="M65404"/>
    </row>
    <row r="65405" spans="3:13" ht="12.75" customHeight="1" x14ac:dyDescent="0.2">
      <c r="C65405"/>
      <c r="M65405"/>
    </row>
    <row r="65406" spans="3:13" ht="12.75" customHeight="1" x14ac:dyDescent="0.2">
      <c r="C65406"/>
      <c r="M65406"/>
    </row>
    <row r="65407" spans="3:13" ht="12.75" customHeight="1" x14ac:dyDescent="0.2">
      <c r="C65407"/>
      <c r="M65407"/>
    </row>
    <row r="65408" spans="3:13" ht="12.75" customHeight="1" x14ac:dyDescent="0.2">
      <c r="C65408"/>
      <c r="M65408"/>
    </row>
    <row r="65409" spans="3:13" ht="12.75" customHeight="1" x14ac:dyDescent="0.2">
      <c r="C65409"/>
      <c r="M65409"/>
    </row>
    <row r="65410" spans="3:13" ht="12.75" customHeight="1" x14ac:dyDescent="0.2">
      <c r="C65410"/>
      <c r="M65410"/>
    </row>
    <row r="65411" spans="3:13" ht="12.75" customHeight="1" x14ac:dyDescent="0.2">
      <c r="C65411"/>
      <c r="M65411"/>
    </row>
    <row r="65412" spans="3:13" ht="12.75" customHeight="1" x14ac:dyDescent="0.2">
      <c r="C65412"/>
      <c r="M65412"/>
    </row>
    <row r="65413" spans="3:13" ht="12.75" customHeight="1" x14ac:dyDescent="0.2">
      <c r="C65413"/>
      <c r="M65413"/>
    </row>
    <row r="65414" spans="3:13" ht="12.75" customHeight="1" x14ac:dyDescent="0.2">
      <c r="C65414"/>
      <c r="M65414"/>
    </row>
    <row r="65415" spans="3:13" ht="12.75" customHeight="1" x14ac:dyDescent="0.2">
      <c r="C65415"/>
      <c r="M65415"/>
    </row>
    <row r="65416" spans="3:13" ht="12.75" customHeight="1" x14ac:dyDescent="0.2">
      <c r="C65416"/>
      <c r="M65416"/>
    </row>
    <row r="65417" spans="3:13" ht="12.75" customHeight="1" x14ac:dyDescent="0.2">
      <c r="C65417"/>
      <c r="M65417"/>
    </row>
    <row r="65418" spans="3:13" ht="12.75" customHeight="1" x14ac:dyDescent="0.2">
      <c r="C65418"/>
      <c r="M65418"/>
    </row>
    <row r="65419" spans="3:13" ht="12.75" customHeight="1" x14ac:dyDescent="0.2">
      <c r="C65419"/>
      <c r="M65419"/>
    </row>
    <row r="65420" spans="3:13" ht="12.75" customHeight="1" x14ac:dyDescent="0.2">
      <c r="C65420"/>
      <c r="M65420"/>
    </row>
    <row r="65421" spans="3:13" ht="12.75" customHeight="1" x14ac:dyDescent="0.2">
      <c r="C65421"/>
      <c r="M65421"/>
    </row>
    <row r="65422" spans="3:13" ht="12.75" customHeight="1" x14ac:dyDescent="0.2">
      <c r="C65422"/>
      <c r="M65422"/>
    </row>
    <row r="65423" spans="3:13" ht="12.75" customHeight="1" x14ac:dyDescent="0.2">
      <c r="C65423"/>
      <c r="M65423"/>
    </row>
    <row r="65424" spans="3:13" ht="12.75" customHeight="1" x14ac:dyDescent="0.2">
      <c r="C65424"/>
      <c r="M65424"/>
    </row>
    <row r="65425" spans="3:13" ht="12.75" customHeight="1" x14ac:dyDescent="0.2">
      <c r="C65425"/>
      <c r="M65425"/>
    </row>
    <row r="65426" spans="3:13" ht="12.75" customHeight="1" x14ac:dyDescent="0.2">
      <c r="C65426"/>
      <c r="M65426"/>
    </row>
    <row r="65427" spans="3:13" ht="12.75" customHeight="1" x14ac:dyDescent="0.2">
      <c r="C65427"/>
      <c r="M65427"/>
    </row>
    <row r="65428" spans="3:13" ht="12.75" customHeight="1" x14ac:dyDescent="0.2">
      <c r="C65428"/>
      <c r="M65428"/>
    </row>
    <row r="65429" spans="3:13" ht="12.75" customHeight="1" x14ac:dyDescent="0.2">
      <c r="C65429"/>
      <c r="M65429"/>
    </row>
    <row r="65430" spans="3:13" ht="12.75" customHeight="1" x14ac:dyDescent="0.2">
      <c r="C65430"/>
      <c r="M65430"/>
    </row>
    <row r="65431" spans="3:13" ht="12.75" customHeight="1" x14ac:dyDescent="0.2">
      <c r="C65431"/>
      <c r="M65431"/>
    </row>
    <row r="65432" spans="3:13" ht="12.75" customHeight="1" x14ac:dyDescent="0.2">
      <c r="C65432"/>
      <c r="M65432"/>
    </row>
    <row r="65433" spans="3:13" ht="12.75" customHeight="1" x14ac:dyDescent="0.2">
      <c r="C65433"/>
      <c r="M65433"/>
    </row>
    <row r="65434" spans="3:13" ht="12.75" customHeight="1" x14ac:dyDescent="0.2">
      <c r="C65434"/>
      <c r="M65434"/>
    </row>
    <row r="65435" spans="3:13" ht="12.75" customHeight="1" x14ac:dyDescent="0.2">
      <c r="C65435"/>
      <c r="M65435"/>
    </row>
    <row r="65436" spans="3:13" ht="12.75" customHeight="1" x14ac:dyDescent="0.2">
      <c r="C65436"/>
      <c r="M65436"/>
    </row>
    <row r="65437" spans="3:13" ht="12.75" customHeight="1" x14ac:dyDescent="0.2">
      <c r="C65437"/>
      <c r="M65437"/>
    </row>
    <row r="65438" spans="3:13" ht="12.75" customHeight="1" x14ac:dyDescent="0.2">
      <c r="C65438"/>
      <c r="M65438"/>
    </row>
    <row r="65439" spans="3:13" ht="12.75" customHeight="1" x14ac:dyDescent="0.2">
      <c r="C65439"/>
      <c r="M65439"/>
    </row>
    <row r="65440" spans="3:13" ht="12.75" customHeight="1" x14ac:dyDescent="0.2">
      <c r="C65440"/>
      <c r="M65440"/>
    </row>
    <row r="65441" spans="3:13" ht="12.75" customHeight="1" x14ac:dyDescent="0.2">
      <c r="C65441"/>
      <c r="M65441"/>
    </row>
    <row r="65442" spans="3:13" ht="12.75" customHeight="1" x14ac:dyDescent="0.2">
      <c r="C65442"/>
      <c r="M65442"/>
    </row>
    <row r="65443" spans="3:13" ht="12.75" customHeight="1" x14ac:dyDescent="0.2">
      <c r="C65443"/>
      <c r="M65443"/>
    </row>
    <row r="65444" spans="3:13" ht="12.75" customHeight="1" x14ac:dyDescent="0.2">
      <c r="C65444"/>
      <c r="M65444"/>
    </row>
    <row r="65445" spans="3:13" ht="12.75" customHeight="1" x14ac:dyDescent="0.2">
      <c r="C65445"/>
      <c r="M65445"/>
    </row>
    <row r="65446" spans="3:13" ht="12.75" customHeight="1" x14ac:dyDescent="0.2">
      <c r="C65446"/>
      <c r="M65446"/>
    </row>
    <row r="65447" spans="3:13" ht="12.75" customHeight="1" x14ac:dyDescent="0.2">
      <c r="C65447"/>
      <c r="M65447"/>
    </row>
    <row r="65448" spans="3:13" ht="12.75" customHeight="1" x14ac:dyDescent="0.2">
      <c r="C65448"/>
      <c r="M65448"/>
    </row>
    <row r="65449" spans="3:13" ht="12.75" customHeight="1" x14ac:dyDescent="0.2">
      <c r="C65449"/>
      <c r="M65449"/>
    </row>
    <row r="65450" spans="3:13" ht="12.75" customHeight="1" x14ac:dyDescent="0.2">
      <c r="C65450"/>
      <c r="M65450"/>
    </row>
    <row r="65451" spans="3:13" ht="12.75" customHeight="1" x14ac:dyDescent="0.2">
      <c r="C65451"/>
      <c r="M65451"/>
    </row>
    <row r="65452" spans="3:13" ht="12.75" customHeight="1" x14ac:dyDescent="0.2">
      <c r="C65452"/>
      <c r="M65452"/>
    </row>
    <row r="65453" spans="3:13" ht="12.75" customHeight="1" x14ac:dyDescent="0.2">
      <c r="C65453"/>
      <c r="M65453"/>
    </row>
    <row r="65454" spans="3:13" ht="12.75" customHeight="1" x14ac:dyDescent="0.2">
      <c r="C65454"/>
      <c r="M65454"/>
    </row>
    <row r="65455" spans="3:13" ht="12.75" customHeight="1" x14ac:dyDescent="0.2">
      <c r="C65455"/>
      <c r="M65455"/>
    </row>
    <row r="65456" spans="3:13" ht="12.75" customHeight="1" x14ac:dyDescent="0.2">
      <c r="C65456"/>
      <c r="M65456"/>
    </row>
    <row r="65457" spans="3:13" ht="12.75" customHeight="1" x14ac:dyDescent="0.2">
      <c r="C65457"/>
      <c r="M65457"/>
    </row>
    <row r="65458" spans="3:13" ht="12.75" customHeight="1" x14ac:dyDescent="0.2">
      <c r="C65458"/>
      <c r="M65458"/>
    </row>
    <row r="65459" spans="3:13" ht="12.75" customHeight="1" x14ac:dyDescent="0.2">
      <c r="C65459"/>
      <c r="M65459"/>
    </row>
    <row r="65460" spans="3:13" ht="12.75" customHeight="1" x14ac:dyDescent="0.2">
      <c r="C65460"/>
      <c r="M65460"/>
    </row>
    <row r="65461" spans="3:13" ht="12.75" customHeight="1" x14ac:dyDescent="0.2">
      <c r="C65461"/>
      <c r="M65461"/>
    </row>
    <row r="65462" spans="3:13" ht="12.75" customHeight="1" x14ac:dyDescent="0.2">
      <c r="C65462"/>
      <c r="M65462"/>
    </row>
    <row r="65463" spans="3:13" ht="12.75" customHeight="1" x14ac:dyDescent="0.2">
      <c r="C65463"/>
      <c r="M65463"/>
    </row>
    <row r="65464" spans="3:13" ht="12.75" customHeight="1" x14ac:dyDescent="0.2">
      <c r="C65464"/>
      <c r="M65464"/>
    </row>
    <row r="65465" spans="3:13" ht="12.75" customHeight="1" x14ac:dyDescent="0.2">
      <c r="C65465"/>
      <c r="M65465"/>
    </row>
    <row r="65466" spans="3:13" ht="12.75" customHeight="1" x14ac:dyDescent="0.2">
      <c r="C65466"/>
      <c r="M65466"/>
    </row>
    <row r="65467" spans="3:13" ht="12.75" customHeight="1" x14ac:dyDescent="0.2">
      <c r="C65467"/>
      <c r="M65467"/>
    </row>
    <row r="65468" spans="3:13" ht="12.75" customHeight="1" x14ac:dyDescent="0.2">
      <c r="C65468"/>
      <c r="M65468"/>
    </row>
    <row r="65469" spans="3:13" ht="12.75" customHeight="1" x14ac:dyDescent="0.2">
      <c r="C65469"/>
      <c r="M65469"/>
    </row>
    <row r="65470" spans="3:13" ht="12.75" customHeight="1" x14ac:dyDescent="0.2">
      <c r="C65470"/>
      <c r="M65470"/>
    </row>
    <row r="65471" spans="3:13" ht="12.75" customHeight="1" x14ac:dyDescent="0.2">
      <c r="C65471"/>
      <c r="M65471"/>
    </row>
    <row r="65472" spans="3:13" ht="12.75" customHeight="1" x14ac:dyDescent="0.2">
      <c r="C65472"/>
      <c r="M65472"/>
    </row>
    <row r="65473" spans="3:13" ht="12.75" customHeight="1" x14ac:dyDescent="0.2">
      <c r="C65473"/>
      <c r="M65473"/>
    </row>
    <row r="65474" spans="3:13" ht="12.75" customHeight="1" x14ac:dyDescent="0.2">
      <c r="C65474"/>
      <c r="M65474"/>
    </row>
    <row r="65475" spans="3:13" ht="12.75" customHeight="1" x14ac:dyDescent="0.2">
      <c r="C65475"/>
      <c r="M65475"/>
    </row>
    <row r="65476" spans="3:13" ht="12.75" customHeight="1" x14ac:dyDescent="0.2">
      <c r="C65476"/>
      <c r="M65476"/>
    </row>
    <row r="65477" spans="3:13" ht="12.75" customHeight="1" x14ac:dyDescent="0.2">
      <c r="C65477"/>
      <c r="M65477"/>
    </row>
    <row r="65478" spans="3:13" ht="12.75" customHeight="1" x14ac:dyDescent="0.2">
      <c r="C65478"/>
      <c r="M65478"/>
    </row>
    <row r="65479" spans="3:13" ht="12.75" customHeight="1" x14ac:dyDescent="0.2">
      <c r="C65479"/>
      <c r="M65479"/>
    </row>
    <row r="65480" spans="3:13" ht="12.75" customHeight="1" x14ac:dyDescent="0.2">
      <c r="C65480"/>
      <c r="M65480"/>
    </row>
    <row r="65481" spans="3:13" ht="12.75" customHeight="1" x14ac:dyDescent="0.2">
      <c r="C65481"/>
      <c r="M65481"/>
    </row>
    <row r="65482" spans="3:13" ht="12.75" customHeight="1" x14ac:dyDescent="0.2">
      <c r="C65482"/>
      <c r="M65482"/>
    </row>
    <row r="65483" spans="3:13" ht="12.75" customHeight="1" x14ac:dyDescent="0.2">
      <c r="C65483"/>
      <c r="M65483"/>
    </row>
    <row r="65484" spans="3:13" ht="12.75" customHeight="1" x14ac:dyDescent="0.2">
      <c r="C65484"/>
      <c r="M65484"/>
    </row>
    <row r="65485" spans="3:13" ht="12.75" customHeight="1" x14ac:dyDescent="0.2">
      <c r="C65485"/>
      <c r="M65485"/>
    </row>
    <row r="65486" spans="3:13" ht="12.75" customHeight="1" x14ac:dyDescent="0.2">
      <c r="C65486"/>
      <c r="M65486"/>
    </row>
    <row r="65487" spans="3:13" ht="12.75" customHeight="1" x14ac:dyDescent="0.2">
      <c r="C65487"/>
      <c r="M65487"/>
    </row>
    <row r="65488" spans="3:13" ht="12.75" customHeight="1" x14ac:dyDescent="0.2">
      <c r="C65488"/>
      <c r="M65488"/>
    </row>
    <row r="65489" spans="3:13" ht="12.75" customHeight="1" x14ac:dyDescent="0.2">
      <c r="C65489"/>
      <c r="M65489"/>
    </row>
    <row r="65490" spans="3:13" ht="12.75" customHeight="1" x14ac:dyDescent="0.2">
      <c r="C65490"/>
      <c r="M65490"/>
    </row>
    <row r="65491" spans="3:13" ht="12.75" customHeight="1" x14ac:dyDescent="0.2">
      <c r="C65491"/>
      <c r="M65491"/>
    </row>
    <row r="65492" spans="3:13" ht="12.75" customHeight="1" x14ac:dyDescent="0.2">
      <c r="C65492"/>
      <c r="M65492"/>
    </row>
    <row r="65493" spans="3:13" ht="12.75" customHeight="1" x14ac:dyDescent="0.2">
      <c r="C65493"/>
      <c r="M65493"/>
    </row>
    <row r="65494" spans="3:13" ht="12.75" customHeight="1" x14ac:dyDescent="0.2">
      <c r="C65494"/>
      <c r="M65494"/>
    </row>
    <row r="65495" spans="3:13" ht="12.75" customHeight="1" x14ac:dyDescent="0.2">
      <c r="C65495"/>
      <c r="M65495"/>
    </row>
    <row r="65496" spans="3:13" ht="12.75" customHeight="1" x14ac:dyDescent="0.2">
      <c r="C65496"/>
      <c r="M65496"/>
    </row>
    <row r="65497" spans="3:13" ht="12.75" customHeight="1" x14ac:dyDescent="0.2">
      <c r="C65497"/>
      <c r="M65497"/>
    </row>
    <row r="65498" spans="3:13" ht="12.75" customHeight="1" x14ac:dyDescent="0.2">
      <c r="C65498"/>
      <c r="M65498"/>
    </row>
    <row r="65499" spans="3:13" ht="12.75" customHeight="1" x14ac:dyDescent="0.2">
      <c r="C65499"/>
      <c r="M65499"/>
    </row>
    <row r="65500" spans="3:13" ht="12.75" customHeight="1" x14ac:dyDescent="0.2">
      <c r="C65500"/>
      <c r="M65500"/>
    </row>
    <row r="65501" spans="3:13" ht="12.75" customHeight="1" x14ac:dyDescent="0.2">
      <c r="C65501"/>
      <c r="M65501"/>
    </row>
    <row r="65502" spans="3:13" ht="12.75" customHeight="1" x14ac:dyDescent="0.2">
      <c r="C65502"/>
      <c r="M65502"/>
    </row>
    <row r="65503" spans="3:13" ht="12.75" customHeight="1" x14ac:dyDescent="0.2">
      <c r="C65503"/>
      <c r="M65503"/>
    </row>
    <row r="65504" spans="3:13" ht="12.75" customHeight="1" x14ac:dyDescent="0.2">
      <c r="C65504"/>
      <c r="M65504"/>
    </row>
    <row r="65505" spans="3:13" ht="12.75" customHeight="1" x14ac:dyDescent="0.2">
      <c r="C65505"/>
      <c r="M65505"/>
    </row>
    <row r="65506" spans="3:13" ht="12.75" customHeight="1" x14ac:dyDescent="0.2">
      <c r="C65506"/>
      <c r="M65506"/>
    </row>
    <row r="65507" spans="3:13" ht="12.75" customHeight="1" x14ac:dyDescent="0.2">
      <c r="C65507"/>
      <c r="M65507"/>
    </row>
    <row r="65508" spans="3:13" ht="12.75" customHeight="1" x14ac:dyDescent="0.2">
      <c r="C65508"/>
      <c r="M65508"/>
    </row>
    <row r="65509" spans="3:13" ht="12.75" customHeight="1" x14ac:dyDescent="0.2">
      <c r="C65509"/>
      <c r="M65509"/>
    </row>
    <row r="65510" spans="3:13" ht="12.75" customHeight="1" x14ac:dyDescent="0.2">
      <c r="C65510"/>
      <c r="M65510"/>
    </row>
    <row r="65511" spans="3:13" ht="12.75" customHeight="1" x14ac:dyDescent="0.2">
      <c r="C65511"/>
      <c r="M65511"/>
    </row>
    <row r="65512" spans="3:13" ht="12.75" customHeight="1" x14ac:dyDescent="0.2">
      <c r="C65512"/>
      <c r="M65512"/>
    </row>
  </sheetData>
  <sheetProtection algorithmName="SHA-512" hashValue="SQmD9d+ylcg/Q8ekZ/ZlXzABQHMAmjucfny4gbD4YI53DQ3g2+qmNXBTqnJ4KhBTloT3blK1O9GD59xYrxRizA==" saltValue="n8vOYNyOgLsFFC/lPx2yKg==" spinCount="100000" sheet="1" objects="1" scenarios="1" autoFilter="0"/>
  <autoFilter ref="C15:C244" xr:uid="{00000000-0009-0000-0000-000005000000}"/>
  <mergeCells count="27">
    <mergeCell ref="AO6:AP6"/>
    <mergeCell ref="AO7:AP7"/>
    <mergeCell ref="AI9:AJ9"/>
    <mergeCell ref="AK9:AP9"/>
    <mergeCell ref="AI10:AJ10"/>
    <mergeCell ref="AK10:AP10"/>
    <mergeCell ref="AG6:AH6"/>
    <mergeCell ref="AG7:AH7"/>
    <mergeCell ref="AA9:AB9"/>
    <mergeCell ref="AC9:AH9"/>
    <mergeCell ref="AA10:AB10"/>
    <mergeCell ref="AC10:AH10"/>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G14 I14 D234:I235 D232:G233 I232:I233 D237:I243 D236:G236 I236 D225:I231 D223:G224 I223:I224 D17:I222">
    <cfRule type="expression" dxfId="391" priority="14661" stopIfTrue="1">
      <formula>$B14=1</formula>
    </cfRule>
    <cfRule type="expression" dxfId="390" priority="14662" stopIfTrue="1">
      <formula>OR($B14=0,$B14=2,$B14=3,$B14=4)</formula>
    </cfRule>
  </conditionalFormatting>
  <conditionalFormatting sqref="M12:N244">
    <cfRule type="expression" dxfId="389" priority="14663" stopIfTrue="1">
      <formula>ACOMPANHAMENTO="BM"</formula>
    </cfRule>
    <cfRule type="expression" dxfId="388" priority="14664" stopIfTrue="1">
      <formula>OR($B12=0,$B12=2,$B12=3,$B12=4)</formula>
    </cfRule>
    <cfRule type="expression" dxfId="387" priority="14665" stopIfTrue="1">
      <formula>$B12=1</formula>
    </cfRule>
  </conditionalFormatting>
  <conditionalFormatting sqref="K12:K244">
    <cfRule type="expression" dxfId="386" priority="14666" stopIfTrue="1">
      <formula>OR(ACOMPANHAMENTO="BM",$A$12&lt;&gt;"Manual")</formula>
    </cfRule>
    <cfRule type="expression" dxfId="385" priority="14667" stopIfTrue="1">
      <formula>$B12=1</formula>
    </cfRule>
    <cfRule type="expression" dxfId="384" priority="14668" stopIfTrue="1">
      <formula>OR($B12=2,$B12=3,$B12=4,$B12=0)</formula>
    </cfRule>
  </conditionalFormatting>
  <conditionalFormatting sqref="O12:AQ244">
    <cfRule type="expression" dxfId="383" priority="8252" stopIfTrue="1">
      <formula>ACOMPANHAMENTO="BM"</formula>
    </cfRule>
    <cfRule type="expression" dxfId="382" priority="14670" stopIfTrue="1">
      <formula>AND(O$12&lt;&gt;".",OR($B12=0,$B12=2,$B12=3,$B12=4,AND(O$12="",$B12&lt;&gt;"Empty"),OFFSET(O$1,0,-1)=0))</formula>
    </cfRule>
    <cfRule type="expression" dxfId="381" priority="14671" stopIfTrue="1">
      <formula>AND($B12=1,O$1=1)</formula>
    </cfRule>
  </conditionalFormatting>
  <conditionalFormatting sqref="Q15:AP15">
    <cfRule type="expression" dxfId="380" priority="14669">
      <formula>Q$11="▼"</formula>
    </cfRule>
  </conditionalFormatting>
  <conditionalFormatting sqref="O15">
    <cfRule type="expression" dxfId="379" priority="8251">
      <formula>O$11="▼"</formula>
    </cfRule>
  </conditionalFormatting>
  <conditionalFormatting sqref="N14 N17:N243">
    <cfRule type="expression" dxfId="378" priority="5286">
      <formula>$J14="►"</formula>
    </cfRule>
  </conditionalFormatting>
  <conditionalFormatting sqref="N12">
    <cfRule type="cellIs" dxfId="377" priority="5284" operator="notEqual">
      <formula>"FRENTES DE OBRA:"</formula>
    </cfRule>
  </conditionalFormatting>
  <conditionalFormatting sqref="Q14:AQ14 Q234:AQ243 Q18:AQ21">
    <cfRule type="expression" dxfId="376" priority="3069">
      <formula>Q14&lt;&gt;ROUND(Q14,2)</formula>
    </cfRule>
  </conditionalFormatting>
  <conditionalFormatting sqref="H14">
    <cfRule type="expression" dxfId="375" priority="2629" stopIfTrue="1">
      <formula>$B14=1</formula>
    </cfRule>
    <cfRule type="expression" dxfId="374" priority="2630" stopIfTrue="1">
      <formula>OR($B14=0,$B14=2,$B14=3,$B14=4)</formula>
    </cfRule>
  </conditionalFormatting>
  <conditionalFormatting sqref="H14 H17:H243">
    <cfRule type="expression" dxfId="373" priority="2628">
      <formula>$J14="►S"</formula>
    </cfRule>
  </conditionalFormatting>
  <conditionalFormatting sqref="D16:G16 I16">
    <cfRule type="expression" dxfId="372" priority="225" stopIfTrue="1">
      <formula>$B16=1</formula>
    </cfRule>
    <cfRule type="expression" dxfId="371" priority="226" stopIfTrue="1">
      <formula>OR($B16=0,$B16=2,$B16=3,$B16=4)</formula>
    </cfRule>
  </conditionalFormatting>
  <conditionalFormatting sqref="N16">
    <cfRule type="expression" dxfId="370" priority="224">
      <formula>$J16="►"</formula>
    </cfRule>
  </conditionalFormatting>
  <conditionalFormatting sqref="Q16:AQ16">
    <cfRule type="expression" dxfId="369" priority="223">
      <formula>Q16&lt;&gt;ROUND(Q16,2)</formula>
    </cfRule>
  </conditionalFormatting>
  <conditionalFormatting sqref="H16">
    <cfRule type="expression" dxfId="368" priority="221" stopIfTrue="1">
      <formula>$B16=1</formula>
    </cfRule>
    <cfRule type="expression" dxfId="367" priority="222" stopIfTrue="1">
      <formula>OR($B16=0,$B16=2,$B16=3,$B16=4)</formula>
    </cfRule>
  </conditionalFormatting>
  <conditionalFormatting sqref="H16">
    <cfRule type="expression" dxfId="366" priority="220">
      <formula>$J16="►S"</formula>
    </cfRule>
  </conditionalFormatting>
  <conditionalFormatting sqref="Q17:AQ17 Q25:AQ222 Q225:AQ231">
    <cfRule type="expression" dxfId="365" priority="27">
      <formula>Q17&lt;&gt;ROUND(Q17,2)</formula>
    </cfRule>
  </conditionalFormatting>
  <conditionalFormatting sqref="Q22:AQ24">
    <cfRule type="expression" dxfId="364" priority="20">
      <formula>Q22&lt;&gt;ROUND(Q22,2)</formula>
    </cfRule>
  </conditionalFormatting>
  <conditionalFormatting sqref="Q232:AQ232">
    <cfRule type="expression" dxfId="363" priority="11">
      <formula>Q232&lt;&gt;ROUND(Q232,2)</formula>
    </cfRule>
  </conditionalFormatting>
  <conditionalFormatting sqref="H232">
    <cfRule type="expression" dxfId="362" priority="9" stopIfTrue="1">
      <formula>$B232=1</formula>
    </cfRule>
    <cfRule type="expression" dxfId="361" priority="10" stopIfTrue="1">
      <formula>OR($B232=0,$B232=2,$B232=3,$B232=4)</formula>
    </cfRule>
  </conditionalFormatting>
  <conditionalFormatting sqref="Q233:AQ233">
    <cfRule type="expression" dxfId="360" priority="8">
      <formula>Q233&lt;&gt;ROUND(Q233,2)</formula>
    </cfRule>
  </conditionalFormatting>
  <conditionalFormatting sqref="H233">
    <cfRule type="expression" dxfId="359" priority="6" stopIfTrue="1">
      <formula>$B233=1</formula>
    </cfRule>
    <cfRule type="expression" dxfId="358" priority="7" stopIfTrue="1">
      <formula>OR($B233=0,$B233=2,$B233=3,$B233=4)</formula>
    </cfRule>
  </conditionalFormatting>
  <conditionalFormatting sqref="H236">
    <cfRule type="expression" dxfId="357" priority="4" stopIfTrue="1">
      <formula>$B236=1</formula>
    </cfRule>
    <cfRule type="expression" dxfId="356" priority="5" stopIfTrue="1">
      <formula>OR($B236=0,$B236=2,$B236=3,$B236=4)</formula>
    </cfRule>
  </conditionalFormatting>
  <conditionalFormatting sqref="Q223:AQ224">
    <cfRule type="expression" dxfId="355" priority="3">
      <formula>Q223&lt;&gt;ROUND(Q223,2)</formula>
    </cfRule>
  </conditionalFormatting>
  <conditionalFormatting sqref="H223:H224">
    <cfRule type="expression" dxfId="354" priority="1" stopIfTrue="1">
      <formula>$B223=1</formula>
    </cfRule>
    <cfRule type="expression" dxfId="353" priority="2" stopIfTrue="1">
      <formula>OR($B223=0,$B223=2,$B223=3,$B223=4)</formula>
    </cfRule>
  </conditionalFormatting>
  <dataValidations xWindow="1380" yWindow="832" count="4">
    <dataValidation type="decimal" operator="greaterThan" allowBlank="1" showErrorMessage="1" error="Apenas números decimais maiores que zero." sqref="O14 Q14:AP14 Q16:AP243 O16:O243"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243"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243"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43"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filterMode="1">
    <pageSetUpPr fitToPage="1"/>
  </sheetPr>
  <dimension ref="A1:BE79"/>
  <sheetViews>
    <sheetView showGridLines="0" tabSelected="1" zoomScale="85" zoomScaleNormal="85" zoomScaleSheetLayoutView="100" workbookViewId="0">
      <pane xSplit="3" ySplit="13" topLeftCell="D72" activePane="bottomRight" state="frozen"/>
      <selection pane="topRight"/>
      <selection pane="bottomLeft"/>
      <selection pane="bottomRight" activeCell="L72" sqref="L72:M72"/>
    </sheetView>
  </sheetViews>
  <sheetFormatPr defaultRowHeight="12.75" x14ac:dyDescent="0.2"/>
  <cols>
    <col min="1" max="1" width="3.5703125" customWidth="1"/>
    <col min="2" max="2" width="8.28515625" customWidth="1"/>
    <col min="3" max="3" width="36.7109375" customWidth="1"/>
    <col min="4" max="4" width="0.7109375" customWidth="1"/>
    <col min="5" max="6" width="9.28515625" hidden="1" customWidth="1"/>
    <col min="7" max="56" width="5.5703125" customWidth="1"/>
    <col min="57" max="57" width="5.5703125" hidden="1" customWidth="1"/>
  </cols>
  <sheetData>
    <row r="1" spans="1:56" hidden="1" x14ac:dyDescent="0.2">
      <c r="A1" s="7" t="e">
        <f ca="1">IF(AUTOEVENTO="Manual",IF(EVENTOS!$F1&gt;0,"F",""),IF(AND(B1&gt;0,B1&lt;=MAX(CÁLCULO!$M$15:$M$244)),"F",""))</f>
        <v>#REF!</v>
      </c>
      <c r="B1" s="247" t="e">
        <f ca="1">OFFSET(B1,-1,0)+1</f>
        <v>#REF!</v>
      </c>
      <c r="C1" s="514" t="e">
        <f ca="1">IF(AUTOEVENTO="Manual",IF($B1&gt;0,OFFSET(EVENTOS!$D$15,$B1-$B$15,0),0),IF(B1&lt;=MAX(CÁLCULO!$M$15:$M$244),VLOOKUP($B1,CÁLCULO!$M$15:$N$244,2,FALSE),0))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c r="AF1" s="553"/>
      <c r="AG1" s="553"/>
      <c r="AH1" s="553"/>
      <c r="AI1" s="553"/>
      <c r="AJ1" s="553"/>
      <c r="AK1" s="553"/>
      <c r="AL1" s="553"/>
      <c r="AM1" s="553"/>
      <c r="AN1" s="553"/>
      <c r="AO1" s="553"/>
      <c r="AP1" s="553"/>
      <c r="AQ1" s="553"/>
      <c r="AR1" s="553"/>
      <c r="AS1" s="553"/>
      <c r="AT1" s="553"/>
      <c r="AU1" s="553"/>
      <c r="AV1" s="553"/>
      <c r="AW1" s="553"/>
      <c r="AX1" s="553"/>
      <c r="AY1" s="553"/>
      <c r="AZ1" s="553"/>
      <c r="BA1" s="553"/>
      <c r="BB1" s="553"/>
      <c r="BC1" s="553"/>
      <c r="BD1" s="553"/>
    </row>
    <row r="2" spans="1:56" ht="30" customHeight="1" x14ac:dyDescent="0.2">
      <c r="G2" s="82" t="s">
        <v>777</v>
      </c>
      <c r="AC2" s="758" t="s">
        <v>757</v>
      </c>
      <c r="AD2" s="759"/>
      <c r="AE2" s="760"/>
      <c r="AF2" s="82" t="s">
        <v>777</v>
      </c>
      <c r="BB2" s="758" t="s">
        <v>757</v>
      </c>
      <c r="BC2" s="759"/>
      <c r="BD2" s="760"/>
    </row>
    <row r="3" spans="1:56" ht="12.75" customHeight="1" x14ac:dyDescent="0.2">
      <c r="G3" s="82"/>
      <c r="AD3" s="483"/>
      <c r="AE3" s="483"/>
      <c r="AF3" s="82"/>
      <c r="BC3" s="483"/>
      <c r="BD3" s="483"/>
    </row>
    <row r="4" spans="1:56" ht="12.75" customHeight="1" x14ac:dyDescent="0.2">
      <c r="B4" s="684" t="s">
        <v>652</v>
      </c>
      <c r="C4" s="684"/>
      <c r="D4" s="684"/>
      <c r="G4" s="722" t="s">
        <v>650</v>
      </c>
      <c r="H4" s="722"/>
      <c r="I4" s="722"/>
      <c r="J4" s="722" t="s">
        <v>707</v>
      </c>
      <c r="K4" s="722"/>
      <c r="L4" s="722"/>
      <c r="M4" s="208" t="s">
        <v>758</v>
      </c>
      <c r="N4" s="212"/>
      <c r="P4" s="186"/>
      <c r="Q4" s="186"/>
      <c r="R4" s="186"/>
      <c r="U4" s="484"/>
      <c r="V4" s="186"/>
      <c r="W4" s="186"/>
      <c r="X4" s="186"/>
      <c r="Y4" s="186"/>
      <c r="AD4" s="483"/>
      <c r="AE4" s="485"/>
      <c r="AF4" s="722" t="s">
        <v>650</v>
      </c>
      <c r="AG4" s="722"/>
      <c r="AH4" s="722"/>
      <c r="AI4" s="722" t="s">
        <v>707</v>
      </c>
      <c r="AJ4" s="722"/>
      <c r="AK4" s="722"/>
      <c r="AL4" s="208" t="s">
        <v>758</v>
      </c>
      <c r="AM4" s="212"/>
      <c r="AO4" s="186"/>
      <c r="AP4" s="186"/>
      <c r="AQ4" s="186"/>
      <c r="AT4" s="484"/>
      <c r="AU4" s="186"/>
      <c r="AV4" s="186"/>
      <c r="AW4" s="186"/>
      <c r="AX4" s="186"/>
      <c r="BC4" s="483"/>
      <c r="BD4" s="485"/>
    </row>
    <row r="5" spans="1:56" ht="12.75" customHeight="1" x14ac:dyDescent="0.2">
      <c r="B5" s="681" t="str">
        <f>Import.Proponente</f>
        <v>Prefeitura Municipal de Pedro Régis-PB</v>
      </c>
      <c r="C5" s="681"/>
      <c r="D5" s="681"/>
      <c r="G5" s="720" t="str">
        <f>Import.CR</f>
        <v>-</v>
      </c>
      <c r="H5" s="720"/>
      <c r="I5" s="720"/>
      <c r="J5" s="720" t="str">
        <f>Import.SICONV</f>
        <v>-</v>
      </c>
      <c r="K5" s="720"/>
      <c r="L5" s="720"/>
      <c r="M5" s="733" t="str">
        <f>Import.Apelido</f>
        <v>Casa térrea acessível, 2 quartos, Autil=47,46m², conforme Portaria MCID 1416/2023</v>
      </c>
      <c r="N5" s="734"/>
      <c r="O5" s="734"/>
      <c r="P5" s="734"/>
      <c r="Q5" s="734"/>
      <c r="R5" s="734"/>
      <c r="S5" s="734"/>
      <c r="T5" s="734"/>
      <c r="U5" s="734"/>
      <c r="V5" s="734"/>
      <c r="W5" s="734"/>
      <c r="X5" s="734"/>
      <c r="Y5" s="734"/>
      <c r="Z5" s="734"/>
      <c r="AA5" s="734"/>
      <c r="AB5" s="734"/>
      <c r="AC5" s="734"/>
      <c r="AD5" s="734"/>
      <c r="AE5" s="761"/>
      <c r="AF5" s="720" t="str">
        <f>Import.CR</f>
        <v>-</v>
      </c>
      <c r="AG5" s="720"/>
      <c r="AH5" s="720"/>
      <c r="AI5" s="720" t="str">
        <f>Import.SICONV</f>
        <v>-</v>
      </c>
      <c r="AJ5" s="720"/>
      <c r="AK5" s="720"/>
      <c r="AL5" s="733" t="str">
        <f>Import.Apelido</f>
        <v>Casa térrea acessível, 2 quartos, Autil=47,46m², conforme Portaria MCID 1416/2023</v>
      </c>
      <c r="AM5" s="734"/>
      <c r="AN5" s="734"/>
      <c r="AO5" s="734"/>
      <c r="AP5" s="734"/>
      <c r="AQ5" s="734"/>
      <c r="AR5" s="734"/>
      <c r="AS5" s="734"/>
      <c r="AT5" s="734"/>
      <c r="AU5" s="734"/>
      <c r="AV5" s="734"/>
      <c r="AW5" s="734"/>
      <c r="AX5" s="734"/>
      <c r="AY5" s="734"/>
      <c r="AZ5" s="734"/>
      <c r="BA5" s="734"/>
      <c r="BB5" s="734"/>
      <c r="BC5" s="734"/>
      <c r="BD5" s="761"/>
    </row>
    <row r="6" spans="1:56" ht="14.25" customHeight="1" x14ac:dyDescent="0.25">
      <c r="B6" s="249" t="str" cm="1">
        <f t="array" aca="1" ref="B6" ca="1">IF(ACOMPANHAMENTO="BM","NO ACOMPANHAMENTO POR BM, UTILIZE A ABA CRONO",
  IF(MAX($B$14:$B$57)&lt;MAX(CÁLCULO!$M$15:$M$244),"ERRO: NÚMERO DE EVENTOS INSUFICIENTE, CLIQUE EM ATUALIZAR LINHAS",
  IF(ROUND(OFFSET(CRONO!$AS$174,0,-1),2)&lt;&gt;CRONO!$R$165,"ERRO: CRONOGRAMA NÃO FECHA 100%","")))</f>
        <v/>
      </c>
    </row>
    <row r="7" spans="1:56" ht="15" customHeight="1" thickBot="1" x14ac:dyDescent="0.25">
      <c r="B7" s="522" t="str" cm="1">
        <f t="array" ref="B7">IF(AdmLocal="Automática","","1. Selecione o Título do Evento da Administração Local:")</f>
        <v>1. Selecione o Título do Evento da Administração Local:</v>
      </c>
    </row>
    <row r="8" spans="1:56" ht="13.5" thickBot="1" x14ac:dyDescent="0.25">
      <c r="A8" s="548" t="str">
        <f>MID(Import.EventoAdmLocal,1,SEARCH(".",Import.EventoAdmLocal)-1)</f>
        <v>2</v>
      </c>
      <c r="B8" s="729" t="s">
        <v>1251</v>
      </c>
      <c r="C8" s="730"/>
      <c r="D8" s="571" t="str">
        <f ca="1">IF($B$7="","",IF(AND($B$15=0,$B$8=""),"◄ Não foi indicado o Evento de Administração Local",IF(ISERROR(MATCH(Import.EventoAdmLocal,$F$15:$F$57,0)),"◄ Selecione um Título de Evento válido para a Administração Local","")))</f>
        <v/>
      </c>
    </row>
    <row r="9" spans="1:56" ht="4.1500000000000004" customHeight="1" x14ac:dyDescent="0.2">
      <c r="A9" s="548"/>
    </row>
    <row r="10" spans="1:56" ht="15" customHeight="1" x14ac:dyDescent="0.2">
      <c r="A10" s="548">
        <f ca="1">MATCH(VALUE(A8),CÁLCULO!$M$15:$M$244,0)-2</f>
        <v>8</v>
      </c>
      <c r="B10" s="522" t="str">
        <f>CONCATENATE(IF(AdmLocal="Automática",1,2),". Digite nas células em amarelo o número do período em que os eventos serão concluídos:")</f>
        <v>2. Digite nas células em amarelo o número do período em que os eventos serão concluídos:</v>
      </c>
    </row>
    <row r="11" spans="1:56" ht="65.25" customHeight="1" x14ac:dyDescent="0.2">
      <c r="A11" s="489" t="s">
        <v>655</v>
      </c>
      <c r="C11" s="251"/>
      <c r="E11" s="252" t="str">
        <f ca="1">IF(E$12&gt;CÁLCULO.FrentesPreenchidas,"",OFFSET(CÁLCULO!$P$12,0,E$12))</f>
        <v>Casa 1</v>
      </c>
      <c r="G11" s="252" t="str">
        <f ca="1">IF(G$12&gt;CÁLCULO.FrentesPreenchidas,"",OFFSET(CÁLCULO!$P$12,0,G$12))</f>
        <v>Casa 1</v>
      </c>
      <c r="H11" s="252" t="str">
        <f ca="1">IF(H$12&gt;CÁLCULO.FrentesPreenchidas,"",OFFSET(CÁLCULO!$P$12,0,H$12))</f>
        <v>Casa 2</v>
      </c>
      <c r="I11" s="252" t="str">
        <f ca="1">IF(I$12&gt;CÁLCULO.FrentesPreenchidas,"",OFFSET(CÁLCULO!$P$12,0,I$12))</f>
        <v>Casa 3</v>
      </c>
      <c r="J11" s="252" t="str">
        <f ca="1">IF(J$12&gt;CÁLCULO.FrentesPreenchidas,"",OFFSET(CÁLCULO!$P$12,0,J$12))</f>
        <v>Casa 4</v>
      </c>
      <c r="K11" s="252" t="str">
        <f ca="1">IF(K$12&gt;CÁLCULO.FrentesPreenchidas,"",OFFSET(CÁLCULO!$P$12,0,K$12))</f>
        <v>Casa 5</v>
      </c>
      <c r="L11" s="252" t="str">
        <f ca="1">IF(L$12&gt;CÁLCULO.FrentesPreenchidas,"",OFFSET(CÁLCULO!$P$12,0,L$12))</f>
        <v>Casa 6</v>
      </c>
      <c r="M11" s="252" t="str">
        <f ca="1">IF(M$12&gt;CÁLCULO.FrentesPreenchidas,"",OFFSET(CÁLCULO!$P$12,0,M$12))</f>
        <v>Casa 7</v>
      </c>
      <c r="N11" s="252" t="str">
        <f ca="1">IF(N$12&gt;CÁLCULO.FrentesPreenchidas,"",OFFSET(CÁLCULO!$P$12,0,N$12))</f>
        <v>Casa 8</v>
      </c>
      <c r="O11" s="252" t="str">
        <f ca="1">IF(O$12&gt;CÁLCULO.FrentesPreenchidas,"",OFFSET(CÁLCULO!$P$12,0,O$12))</f>
        <v>Casa 9</v>
      </c>
      <c r="P11" s="252" t="str">
        <f ca="1">IF(P$12&gt;CÁLCULO.FrentesPreenchidas,"",OFFSET(CÁLCULO!$P$12,0,P$12))</f>
        <v>Casa 10</v>
      </c>
      <c r="Q11" s="252" t="str">
        <f ca="1">IF(Q$12&gt;CÁLCULO.FrentesPreenchidas,"",OFFSET(CÁLCULO!$P$12,0,Q$12))</f>
        <v>Casa 11</v>
      </c>
      <c r="R11" s="252" t="str">
        <f ca="1">IF(R$12&gt;CÁLCULO.FrentesPreenchidas,"",OFFSET(CÁLCULO!$P$12,0,R$12))</f>
        <v>Casa 12</v>
      </c>
      <c r="S11" s="252" t="str">
        <f ca="1">IF(S$12&gt;CÁLCULO.FrentesPreenchidas,"",OFFSET(CÁLCULO!$P$12,0,S$12))</f>
        <v>Casa 13</v>
      </c>
      <c r="T11" s="252" t="str">
        <f ca="1">IF(T$12&gt;CÁLCULO.FrentesPreenchidas,"",OFFSET(CÁLCULO!$P$12,0,T$12))</f>
        <v>Casa 14</v>
      </c>
      <c r="U11" s="252" t="str">
        <f ca="1">IF(U$12&gt;CÁLCULO.FrentesPreenchidas,"",OFFSET(CÁLCULO!$P$12,0,U$12))</f>
        <v>Casa 15</v>
      </c>
      <c r="V11" s="252" t="str">
        <f ca="1">IF(V$12&gt;CÁLCULO.FrentesPreenchidas,"",OFFSET(CÁLCULO!$P$12,0,V$12))</f>
        <v>Casa 16</v>
      </c>
      <c r="W11" s="252" t="str">
        <f ca="1">IF(W$12&gt;CÁLCULO.FrentesPreenchidas,"",OFFSET(CÁLCULO!$P$12,0,W$12))</f>
        <v>Casa 17</v>
      </c>
      <c r="X11" s="252" t="str">
        <f ca="1">IF(X$12&gt;CÁLCULO.FrentesPreenchidas,"",OFFSET(CÁLCULO!$P$12,0,X$12))</f>
        <v>Casa 18</v>
      </c>
      <c r="Y11" s="252" t="str">
        <f ca="1">IF(Y$12&gt;CÁLCULO.FrentesPreenchidas,"",OFFSET(CÁLCULO!$P$12,0,Y$12))</f>
        <v>Casa 19</v>
      </c>
      <c r="Z11" s="252" t="str">
        <f ca="1">IF(Z$12&gt;CÁLCULO.FrentesPreenchidas,"",OFFSET(CÁLCULO!$P$12,0,Z$12))</f>
        <v>Casa 20</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c r="AF11" s="252" t="str">
        <f ca="1">IF(AF$12&gt;CÁLCULO.FrentesPreenchidas,"",OFFSET(CÁLCULO!$P$12,0,AF$12))</f>
        <v/>
      </c>
      <c r="AG11" s="252" t="str">
        <f ca="1">IF(AG$12&gt;CÁLCULO.FrentesPreenchidas,"",OFFSET(CÁLCULO!$P$12,0,AG$12))</f>
        <v/>
      </c>
      <c r="AH11" s="252" t="str">
        <f ca="1">IF(AH$12&gt;CÁLCULO.FrentesPreenchidas,"",OFFSET(CÁLCULO!$P$12,0,AH$12))</f>
        <v/>
      </c>
      <c r="AI11" s="252" t="str">
        <f ca="1">IF(AI$12&gt;CÁLCULO.FrentesPreenchidas,"",OFFSET(CÁLCULO!$P$12,0,AI$12))</f>
        <v/>
      </c>
      <c r="AJ11" s="252" t="str">
        <f ca="1">IF(AJ$12&gt;CÁLCULO.FrentesPreenchidas,"",OFFSET(CÁLCULO!$P$12,0,AJ$12))</f>
        <v/>
      </c>
      <c r="AK11" s="252" t="str">
        <f ca="1">IF(AK$12&gt;CÁLCULO.FrentesPreenchidas,"",OFFSET(CÁLCULO!$P$12,0,AK$12))</f>
        <v/>
      </c>
      <c r="AL11" s="252" t="str">
        <f ca="1">IF(AL$12&gt;CÁLCULO.FrentesPreenchidas,"",OFFSET(CÁLCULO!$P$12,0,AL$12))</f>
        <v/>
      </c>
      <c r="AM11" s="252" t="str">
        <f ca="1">IF(AM$12&gt;CÁLCULO.FrentesPreenchidas,"",OFFSET(CÁLCULO!$P$12,0,AM$12))</f>
        <v/>
      </c>
      <c r="AN11" s="252" t="str">
        <f ca="1">IF(AN$12&gt;CÁLCULO.FrentesPreenchidas,"",OFFSET(CÁLCULO!$P$12,0,AN$12))</f>
        <v/>
      </c>
      <c r="AO11" s="252" t="str">
        <f ca="1">IF(AO$12&gt;CÁLCULO.FrentesPreenchidas,"",OFFSET(CÁLCULO!$P$12,0,AO$12))</f>
        <v/>
      </c>
      <c r="AP11" s="252" t="str">
        <f ca="1">IF(AP$12&gt;CÁLCULO.FrentesPreenchidas,"",OFFSET(CÁLCULO!$P$12,0,AP$12))</f>
        <v/>
      </c>
      <c r="AQ11" s="252" t="str">
        <f ca="1">IF(AQ$12&gt;CÁLCULO.FrentesPreenchidas,"",OFFSET(CÁLCULO!$P$12,0,AQ$12))</f>
        <v/>
      </c>
      <c r="AR11" s="252" t="str">
        <f ca="1">IF(AR$12&gt;CÁLCULO.FrentesPreenchidas,"",OFFSET(CÁLCULO!$P$12,0,AR$12))</f>
        <v/>
      </c>
      <c r="AS11" s="252" t="str">
        <f ca="1">IF(AS$12&gt;CÁLCULO.FrentesPreenchidas,"",OFFSET(CÁLCULO!$P$12,0,AS$12))</f>
        <v/>
      </c>
      <c r="AT11" s="252" t="str">
        <f ca="1">IF(AT$12&gt;CÁLCULO.FrentesPreenchidas,"",OFFSET(CÁLCULO!$P$12,0,AT$12))</f>
        <v/>
      </c>
      <c r="AU11" s="252" t="str">
        <f ca="1">IF(AU$12&gt;CÁLCULO.FrentesPreenchidas,"",OFFSET(CÁLCULO!$P$12,0,AU$12))</f>
        <v/>
      </c>
      <c r="AV11" s="252" t="str">
        <f ca="1">IF(AV$12&gt;CÁLCULO.FrentesPreenchidas,"",OFFSET(CÁLCULO!$P$12,0,AV$12))</f>
        <v/>
      </c>
      <c r="AW11" s="252" t="str">
        <f ca="1">IF(AW$12&gt;CÁLCULO.FrentesPreenchidas,"",OFFSET(CÁLCULO!$P$12,0,AW$12))</f>
        <v/>
      </c>
      <c r="AX11" s="252" t="str">
        <f ca="1">IF(AX$12&gt;CÁLCULO.FrentesPreenchidas,"",OFFSET(CÁLCULO!$P$12,0,AX$12))</f>
        <v/>
      </c>
      <c r="AY11" s="252" t="str">
        <f ca="1">IF(AY$12&gt;CÁLCULO.FrentesPreenchidas,"",OFFSET(CÁLCULO!$P$12,0,AY$12))</f>
        <v/>
      </c>
      <c r="AZ11" s="252" t="str">
        <f ca="1">IF(AZ$12&gt;CÁLCULO.FrentesPreenchidas,"",OFFSET(CÁLCULO!$P$12,0,AZ$12))</f>
        <v/>
      </c>
      <c r="BA11" s="252" t="str">
        <f ca="1">IF(BA$12&gt;CÁLCULO.FrentesPreenchidas,"",OFFSET(CÁLCULO!$P$12,0,BA$12))</f>
        <v/>
      </c>
      <c r="BB11" s="252" t="str">
        <f ca="1">IF(BB$12&gt;CÁLCULO.FrentesPreenchidas,"",OFFSET(CÁLCULO!$P$12,0,BB$12))</f>
        <v/>
      </c>
      <c r="BC11" s="252" t="str">
        <f ca="1">IF(BC$12&gt;CÁLCULO.FrentesPreenchidas,"",OFFSET(CÁLCULO!$P$12,0,BC$12))</f>
        <v/>
      </c>
      <c r="BD11" s="252" t="str">
        <f ca="1">IF(BD$12&gt;CÁLCULO.FrentesPreenchidas,"",OFFSET(CÁLCULO!$P$12,0,BD$12))</f>
        <v/>
      </c>
    </row>
    <row r="12" spans="1:56" ht="12.75" customHeight="1" x14ac:dyDescent="0.2">
      <c r="A12" s="490" t="s">
        <v>660</v>
      </c>
      <c r="B12" s="762" t="s">
        <v>760</v>
      </c>
      <c r="C12" s="762"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c r="AF12" s="253">
        <f ca="1">OFFSET(AF12,0,-1)+1</f>
        <v>26</v>
      </c>
      <c r="AG12" s="253">
        <f ca="1">OFFSET(AG12,0,-1)+1</f>
        <v>27</v>
      </c>
      <c r="AH12" s="253">
        <f t="shared" ref="AH12:BD12" ca="1" si="1">OFFSET(AH12,0,-1)+1</f>
        <v>28</v>
      </c>
      <c r="AI12" s="253">
        <f t="shared" ca="1" si="1"/>
        <v>29</v>
      </c>
      <c r="AJ12" s="253">
        <f t="shared" ca="1" si="1"/>
        <v>30</v>
      </c>
      <c r="AK12" s="253">
        <f t="shared" ca="1" si="1"/>
        <v>31</v>
      </c>
      <c r="AL12" s="253">
        <f t="shared" ca="1" si="1"/>
        <v>32</v>
      </c>
      <c r="AM12" s="253">
        <f t="shared" ca="1" si="1"/>
        <v>33</v>
      </c>
      <c r="AN12" s="253">
        <f t="shared" ca="1" si="1"/>
        <v>34</v>
      </c>
      <c r="AO12" s="253">
        <f t="shared" ca="1" si="1"/>
        <v>35</v>
      </c>
      <c r="AP12" s="253">
        <f t="shared" ca="1" si="1"/>
        <v>36</v>
      </c>
      <c r="AQ12" s="253">
        <f t="shared" ca="1" si="1"/>
        <v>37</v>
      </c>
      <c r="AR12" s="253">
        <f t="shared" ca="1" si="1"/>
        <v>38</v>
      </c>
      <c r="AS12" s="253">
        <f t="shared" ca="1" si="1"/>
        <v>39</v>
      </c>
      <c r="AT12" s="253">
        <f t="shared" ca="1" si="1"/>
        <v>40</v>
      </c>
      <c r="AU12" s="253">
        <f t="shared" ca="1" si="1"/>
        <v>41</v>
      </c>
      <c r="AV12" s="253">
        <f t="shared" ca="1" si="1"/>
        <v>42</v>
      </c>
      <c r="AW12" s="253">
        <f t="shared" ca="1" si="1"/>
        <v>43</v>
      </c>
      <c r="AX12" s="253">
        <f t="shared" ca="1" si="1"/>
        <v>44</v>
      </c>
      <c r="AY12" s="253">
        <f t="shared" ca="1" si="1"/>
        <v>45</v>
      </c>
      <c r="AZ12" s="253">
        <f t="shared" ca="1" si="1"/>
        <v>46</v>
      </c>
      <c r="BA12" s="253">
        <f t="shared" ca="1" si="1"/>
        <v>47</v>
      </c>
      <c r="BB12" s="253">
        <f t="shared" ca="1" si="1"/>
        <v>48</v>
      </c>
      <c r="BC12" s="253">
        <f t="shared" ca="1" si="1"/>
        <v>49</v>
      </c>
      <c r="BD12" s="253">
        <f t="shared" ca="1" si="1"/>
        <v>50</v>
      </c>
    </row>
    <row r="13" spans="1:56" x14ac:dyDescent="0.2">
      <c r="A13" t="s">
        <v>655</v>
      </c>
      <c r="B13" s="762"/>
      <c r="C13" s="762"/>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c r="AF13" s="255"/>
      <c r="AG13" s="254"/>
      <c r="AH13" s="254"/>
      <c r="AI13" s="254"/>
      <c r="AJ13" s="254"/>
      <c r="AK13" s="254"/>
      <c r="AL13" s="576" t="str">
        <f ca="1">IF(CRONOPLE.Erro="ERRO: CRONOGRAMA NÃO FECHA 100%","Informe abaixo o NÚMERO DO PERÍODO em que os eventos serão concluídos","")</f>
        <v/>
      </c>
      <c r="AM13" s="254"/>
      <c r="AN13" s="254"/>
      <c r="AO13" s="254"/>
      <c r="AP13" s="254"/>
      <c r="AQ13" s="254"/>
      <c r="AR13" s="254"/>
      <c r="AS13" s="254"/>
      <c r="AT13" s="254"/>
      <c r="AU13" s="254"/>
      <c r="AV13" s="254"/>
      <c r="AW13" s="254"/>
      <c r="AX13" s="254"/>
      <c r="AY13" s="254"/>
      <c r="AZ13" s="254"/>
      <c r="BA13" s="254"/>
      <c r="BB13" s="254"/>
      <c r="BC13" s="254"/>
      <c r="BD13" s="256"/>
    </row>
    <row r="14" spans="1:56" ht="5.0999999999999996" customHeight="1" x14ac:dyDescent="0.2">
      <c r="A14" s="7" t="s">
        <v>536</v>
      </c>
    </row>
    <row r="15" spans="1:56" hidden="1" x14ac:dyDescent="0.2">
      <c r="A15" s="7" t="str">
        <f>IF(AUTOEVENTO="Manual",IF(EVENTOS!$F15&gt;0,"F",""),IF(AND(B15&gt;0,B15&lt;=MAX(CÁLCULO!$M$15:$M$244)),"F",""))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c r="AF15" s="260"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AG15" s="259"/>
      <c r="AH15" s="259"/>
      <c r="AI15" s="259"/>
      <c r="AJ15" s="259"/>
      <c r="AK15" s="259"/>
      <c r="AL15" s="259"/>
      <c r="AM15" s="259"/>
      <c r="AN15" s="259"/>
      <c r="AO15" s="259"/>
      <c r="AP15" s="259"/>
      <c r="AQ15" s="259"/>
      <c r="AR15" s="259"/>
      <c r="AS15" s="259"/>
      <c r="AT15" s="259"/>
      <c r="AU15" s="259"/>
      <c r="AV15" s="259"/>
      <c r="AW15" s="259"/>
      <c r="AX15" s="259"/>
      <c r="AY15" s="259"/>
      <c r="AZ15" s="259"/>
      <c r="BA15" s="259"/>
      <c r="BB15" s="259"/>
      <c r="BC15" s="259"/>
      <c r="BD15" s="261"/>
    </row>
    <row r="16" spans="1:56" x14ac:dyDescent="0.2">
      <c r="A16" s="7" t="str">
        <f ca="1">IF(AUTOEVENTO="Manual",IF(EVENTOS!$F16&gt;0,"F",""),IF(AND(B16&gt;0,B16&lt;=MAX(CÁLCULO!$M$15:$M$244)),"F",""))</f>
        <v/>
      </c>
      <c r="B16" s="247">
        <f t="shared" ref="B16:B56" ca="1" si="2">OFFSET(B16,-1,0)+1</f>
        <v>1</v>
      </c>
      <c r="C16" s="514" t="str">
        <f ca="1">IF(AUTOEVENTO="Manual",IF($B16&gt;0,OFFSET(EVENTOS!$D$15,$B16-$B$15,0),0),IF(B16&lt;=MAX(CÁLCULO!$M$15:$M$244),VLOOKUP($B16,CÁLCULO!$M$15:$N$244,2,FALSE),0))</f>
        <v>SERVIÇOS PRELIMINARES</v>
      </c>
      <c r="D16" s="554"/>
      <c r="E16" s="248"/>
      <c r="F16" t="str">
        <f t="shared" ref="F16:F56" ca="1" si="3">IF($C16=0,"",CONCATENATE($B16,". ",$C16))</f>
        <v>1. SERVIÇOS PRELIMINARES</v>
      </c>
      <c r="G16" s="553">
        <v>1</v>
      </c>
      <c r="H16" s="553">
        <v>2</v>
      </c>
      <c r="I16" s="553">
        <v>3</v>
      </c>
      <c r="J16" s="553">
        <v>4</v>
      </c>
      <c r="K16" s="553">
        <v>5</v>
      </c>
      <c r="L16" s="553">
        <v>6</v>
      </c>
      <c r="M16" s="553">
        <v>7</v>
      </c>
      <c r="N16" s="553">
        <v>8</v>
      </c>
      <c r="O16" s="553">
        <v>9</v>
      </c>
      <c r="P16" s="553">
        <v>10</v>
      </c>
      <c r="Q16" s="553">
        <v>11</v>
      </c>
      <c r="R16" s="553">
        <v>12</v>
      </c>
      <c r="S16" s="553">
        <v>13</v>
      </c>
      <c r="T16" s="553">
        <v>14</v>
      </c>
      <c r="U16" s="553">
        <v>15</v>
      </c>
      <c r="V16" s="553">
        <v>16</v>
      </c>
      <c r="W16" s="553">
        <v>17</v>
      </c>
      <c r="X16" s="553">
        <v>18</v>
      </c>
      <c r="Y16" s="553">
        <v>19</v>
      </c>
      <c r="Z16" s="553">
        <v>20</v>
      </c>
      <c r="AA16" s="553"/>
      <c r="AB16" s="553"/>
      <c r="AC16" s="553"/>
      <c r="AD16" s="553"/>
      <c r="AE16" s="553"/>
      <c r="AF16" s="553"/>
      <c r="AG16" s="553"/>
      <c r="AH16" s="553"/>
      <c r="AI16" s="553"/>
      <c r="AJ16" s="553"/>
      <c r="AK16" s="553"/>
      <c r="AL16" s="553"/>
      <c r="AM16" s="553"/>
      <c r="AN16" s="553"/>
      <c r="AO16" s="553"/>
      <c r="AP16" s="553"/>
      <c r="AQ16" s="553"/>
      <c r="AR16" s="553"/>
      <c r="AS16" s="553"/>
      <c r="AT16" s="553"/>
      <c r="AU16" s="553"/>
      <c r="AV16" s="553"/>
      <c r="AW16" s="553"/>
      <c r="AX16" s="553"/>
      <c r="AY16" s="553"/>
      <c r="AZ16" s="553"/>
      <c r="BA16" s="553"/>
      <c r="BB16" s="553"/>
      <c r="BC16" s="553"/>
      <c r="BD16" s="553"/>
    </row>
    <row r="17" spans="1:56" x14ac:dyDescent="0.2">
      <c r="A17" s="7" t="str">
        <f ca="1">IF(AUTOEVENTO="Manual",IF(EVENTOS!$F17&gt;0,"F",""),IF(AND(B17&gt;0,B17&lt;=MAX(CÁLCULO!$M$15:$M$244)),"F",""))</f>
        <v/>
      </c>
      <c r="B17" s="247">
        <f t="shared" ca="1" si="2"/>
        <v>2</v>
      </c>
      <c r="C17" s="514" t="str">
        <f ca="1">IF(AUTOEVENTO="Manual",IF($B17&gt;0,OFFSET(EVENTOS!$D$15,$B17-$B$15,0),0),IF(B17&lt;=MAX(CÁLCULO!$M$15:$M$244),VLOOKUP($B17,CÁLCULO!$M$15:$N$244,2,FALSE),0))</f>
        <v>ADMINISTRAÇÃO DA OBRA</v>
      </c>
      <c r="D17" s="554"/>
      <c r="E17" s="248"/>
      <c r="F17" t="str">
        <f t="shared" ca="1" si="3"/>
        <v>2. ADMINISTRAÇÃO DA OBRA</v>
      </c>
      <c r="G17" s="553">
        <v>1</v>
      </c>
      <c r="H17" s="553">
        <v>2</v>
      </c>
      <c r="I17" s="553">
        <v>3</v>
      </c>
      <c r="J17" s="553">
        <v>4</v>
      </c>
      <c r="K17" s="553">
        <v>5</v>
      </c>
      <c r="L17" s="553">
        <v>6</v>
      </c>
      <c r="M17" s="553">
        <v>7</v>
      </c>
      <c r="N17" s="553">
        <v>8</v>
      </c>
      <c r="O17" s="553">
        <v>9</v>
      </c>
      <c r="P17" s="553">
        <v>10</v>
      </c>
      <c r="Q17" s="553">
        <v>11</v>
      </c>
      <c r="R17" s="553">
        <v>12</v>
      </c>
      <c r="S17" s="553">
        <v>13</v>
      </c>
      <c r="T17" s="553">
        <v>14</v>
      </c>
      <c r="U17" s="553">
        <v>15</v>
      </c>
      <c r="V17" s="553">
        <v>16</v>
      </c>
      <c r="W17" s="553">
        <v>17</v>
      </c>
      <c r="X17" s="553">
        <v>18</v>
      </c>
      <c r="Y17" s="553">
        <v>19</v>
      </c>
      <c r="Z17" s="553">
        <v>20</v>
      </c>
      <c r="AA17" s="553"/>
      <c r="AB17" s="553"/>
      <c r="AC17" s="553"/>
      <c r="AD17" s="553"/>
      <c r="AE17" s="553"/>
      <c r="AF17" s="553"/>
      <c r="AG17" s="553"/>
      <c r="AH17" s="553"/>
      <c r="AI17" s="553"/>
      <c r="AJ17" s="553"/>
      <c r="AK17" s="553"/>
      <c r="AL17" s="553"/>
      <c r="AM17" s="553"/>
      <c r="AN17" s="553"/>
      <c r="AO17" s="553"/>
      <c r="AP17" s="553"/>
      <c r="AQ17" s="553"/>
      <c r="AR17" s="553"/>
      <c r="AS17" s="553"/>
      <c r="AT17" s="553"/>
      <c r="AU17" s="553"/>
      <c r="AV17" s="553"/>
      <c r="AW17" s="553"/>
      <c r="AX17" s="553"/>
      <c r="AY17" s="553"/>
      <c r="AZ17" s="553"/>
      <c r="BA17" s="553"/>
      <c r="BB17" s="553"/>
      <c r="BC17" s="553"/>
      <c r="BD17" s="553"/>
    </row>
    <row r="18" spans="1:56" x14ac:dyDescent="0.2">
      <c r="A18" s="7" t="str">
        <f ca="1">IF(AUTOEVENTO="Manual",IF(EVENTOS!$F18&gt;0,"F",""),IF(AND(B18&gt;0,B18&lt;=MAX(CÁLCULO!$M$15:$M$244)),"F",""))</f>
        <v/>
      </c>
      <c r="B18" s="247">
        <f t="shared" ca="1" si="2"/>
        <v>3</v>
      </c>
      <c r="C18" s="514" t="str">
        <f ca="1">IF(AUTOEVENTO="Manual",IF($B18&gt;0,OFFSET(EVENTOS!$D$15,$B18-$B$15,0),0),IF(B18&lt;=MAX(CÁLCULO!$M$15:$M$244),VLOOKUP($B18,CÁLCULO!$M$15:$N$244,2,FALSE),0))</f>
        <v>FUNDAÇÕES</v>
      </c>
      <c r="D18" s="554"/>
      <c r="E18" s="248"/>
      <c r="F18" t="str">
        <f t="shared" ca="1" si="3"/>
        <v>3. FUNDAÇÕES</v>
      </c>
      <c r="G18" s="553">
        <v>1</v>
      </c>
      <c r="H18" s="553">
        <v>2</v>
      </c>
      <c r="I18" s="553">
        <v>3</v>
      </c>
      <c r="J18" s="553">
        <v>4</v>
      </c>
      <c r="K18" s="553">
        <v>5</v>
      </c>
      <c r="L18" s="553">
        <v>6</v>
      </c>
      <c r="M18" s="553">
        <v>7</v>
      </c>
      <c r="N18" s="553">
        <v>8</v>
      </c>
      <c r="O18" s="553">
        <v>9</v>
      </c>
      <c r="P18" s="553">
        <v>10</v>
      </c>
      <c r="Q18" s="553">
        <v>11</v>
      </c>
      <c r="R18" s="553">
        <v>12</v>
      </c>
      <c r="S18" s="553">
        <v>13</v>
      </c>
      <c r="T18" s="553">
        <v>14</v>
      </c>
      <c r="U18" s="553">
        <v>15</v>
      </c>
      <c r="V18" s="553">
        <v>16</v>
      </c>
      <c r="W18" s="553">
        <v>17</v>
      </c>
      <c r="X18" s="553">
        <v>18</v>
      </c>
      <c r="Y18" s="553">
        <v>19</v>
      </c>
      <c r="Z18" s="553">
        <v>20</v>
      </c>
      <c r="AA18" s="553"/>
      <c r="AB18" s="553"/>
      <c r="AC18" s="553"/>
      <c r="AD18" s="553"/>
      <c r="AE18" s="553"/>
      <c r="AF18" s="553"/>
      <c r="AG18" s="553"/>
      <c r="AH18" s="553"/>
      <c r="AI18" s="553"/>
      <c r="AJ18" s="553"/>
      <c r="AK18" s="553"/>
      <c r="AL18" s="553"/>
      <c r="AM18" s="553"/>
      <c r="AN18" s="553"/>
      <c r="AO18" s="553"/>
      <c r="AP18" s="553"/>
      <c r="AQ18" s="553"/>
      <c r="AR18" s="553"/>
      <c r="AS18" s="553"/>
      <c r="AT18" s="553"/>
      <c r="AU18" s="553"/>
      <c r="AV18" s="553"/>
      <c r="AW18" s="553"/>
      <c r="AX18" s="553"/>
      <c r="AY18" s="553"/>
      <c r="AZ18" s="553"/>
      <c r="BA18" s="553"/>
      <c r="BB18" s="553"/>
      <c r="BC18" s="553"/>
      <c r="BD18" s="553"/>
    </row>
    <row r="19" spans="1:56" x14ac:dyDescent="0.2">
      <c r="A19" s="7" t="str">
        <f ca="1">IF(AUTOEVENTO="Manual",IF(EVENTOS!$F19&gt;0,"F",""),IF(AND(B19&gt;0,B19&lt;=MAX(CÁLCULO!$M$15:$M$244)),"F",""))</f>
        <v/>
      </c>
      <c r="B19" s="247">
        <f t="shared" ca="1" si="2"/>
        <v>4</v>
      </c>
      <c r="C19" s="514" t="str">
        <f ca="1">IF(AUTOEVENTO="Manual",IF($B19&gt;0,OFFSET(EVENTOS!$D$15,$B19-$B$15,0),0),IF(B19&lt;=MAX(CÁLCULO!$M$15:$M$244),VLOOKUP($B19,CÁLCULO!$M$15:$N$244,2,FALSE),0))</f>
        <v>SUPRAESTRUTURA</v>
      </c>
      <c r="D19" s="554"/>
      <c r="E19" s="248"/>
      <c r="F19" t="str">
        <f t="shared" ca="1" si="3"/>
        <v>4. SUPRAESTRUTURA</v>
      </c>
      <c r="G19" s="553">
        <v>1</v>
      </c>
      <c r="H19" s="553">
        <v>2</v>
      </c>
      <c r="I19" s="553">
        <v>3</v>
      </c>
      <c r="J19" s="553">
        <v>4</v>
      </c>
      <c r="K19" s="553">
        <v>5</v>
      </c>
      <c r="L19" s="553">
        <v>6</v>
      </c>
      <c r="M19" s="553">
        <v>7</v>
      </c>
      <c r="N19" s="553">
        <v>8</v>
      </c>
      <c r="O19" s="553">
        <v>9</v>
      </c>
      <c r="P19" s="553">
        <v>10</v>
      </c>
      <c r="Q19" s="553">
        <v>11</v>
      </c>
      <c r="R19" s="553">
        <v>12</v>
      </c>
      <c r="S19" s="553">
        <v>13</v>
      </c>
      <c r="T19" s="553">
        <v>14</v>
      </c>
      <c r="U19" s="553">
        <v>15</v>
      </c>
      <c r="V19" s="553">
        <v>16</v>
      </c>
      <c r="W19" s="553">
        <v>17</v>
      </c>
      <c r="X19" s="553">
        <v>18</v>
      </c>
      <c r="Y19" s="553">
        <v>19</v>
      </c>
      <c r="Z19" s="553">
        <v>20</v>
      </c>
      <c r="AA19" s="553"/>
      <c r="AB19" s="553"/>
      <c r="AC19" s="553"/>
      <c r="AD19" s="553"/>
      <c r="AE19" s="553"/>
      <c r="AF19" s="553"/>
      <c r="AG19" s="553"/>
      <c r="AH19" s="553"/>
      <c r="AI19" s="553"/>
      <c r="AJ19" s="553"/>
      <c r="AK19" s="553"/>
      <c r="AL19" s="553"/>
      <c r="AM19" s="553"/>
      <c r="AN19" s="553"/>
      <c r="AO19" s="553"/>
      <c r="AP19" s="553"/>
      <c r="AQ19" s="553"/>
      <c r="AR19" s="553"/>
      <c r="AS19" s="553"/>
      <c r="AT19" s="553"/>
      <c r="AU19" s="553"/>
      <c r="AV19" s="553"/>
      <c r="AW19" s="553"/>
      <c r="AX19" s="553"/>
      <c r="AY19" s="553"/>
      <c r="AZ19" s="553"/>
      <c r="BA19" s="553"/>
      <c r="BB19" s="553"/>
      <c r="BC19" s="553"/>
      <c r="BD19" s="553"/>
    </row>
    <row r="20" spans="1:56" x14ac:dyDescent="0.2">
      <c r="A20" s="7" t="str">
        <f ca="1">IF(AUTOEVENTO="Manual",IF(EVENTOS!$F20&gt;0,"F",""),IF(AND(B20&gt;0,B20&lt;=MAX(CÁLCULO!$M$15:$M$244)),"F",""))</f>
        <v/>
      </c>
      <c r="B20" s="247">
        <f t="shared" ca="1" si="2"/>
        <v>5</v>
      </c>
      <c r="C20" s="514" t="str">
        <f ca="1">IF(AUTOEVENTO="Manual",IF($B20&gt;0,OFFSET(EVENTOS!$D$15,$B20-$B$15,0),0),IF(B20&lt;=MAX(CÁLCULO!$M$15:$M$244),VLOOKUP($B20,CÁLCULO!$M$15:$N$244,2,FALSE),0))</f>
        <v>PAREDES E PAINÉIS</v>
      </c>
      <c r="D20" s="554"/>
      <c r="E20" s="248"/>
      <c r="F20" t="str">
        <f t="shared" ca="1" si="3"/>
        <v>5. PAREDES E PAINÉIS</v>
      </c>
      <c r="G20" s="553">
        <v>1</v>
      </c>
      <c r="H20" s="553">
        <v>2</v>
      </c>
      <c r="I20" s="553">
        <v>3</v>
      </c>
      <c r="J20" s="553">
        <v>4</v>
      </c>
      <c r="K20" s="553">
        <v>5</v>
      </c>
      <c r="L20" s="553">
        <v>6</v>
      </c>
      <c r="M20" s="553">
        <v>7</v>
      </c>
      <c r="N20" s="553">
        <v>8</v>
      </c>
      <c r="O20" s="553">
        <v>9</v>
      </c>
      <c r="P20" s="553">
        <v>10</v>
      </c>
      <c r="Q20" s="553">
        <v>11</v>
      </c>
      <c r="R20" s="553">
        <v>12</v>
      </c>
      <c r="S20" s="553">
        <v>13</v>
      </c>
      <c r="T20" s="553">
        <v>14</v>
      </c>
      <c r="U20" s="553">
        <v>15</v>
      </c>
      <c r="V20" s="553">
        <v>16</v>
      </c>
      <c r="W20" s="553">
        <v>17</v>
      </c>
      <c r="X20" s="553">
        <v>18</v>
      </c>
      <c r="Y20" s="553">
        <v>19</v>
      </c>
      <c r="Z20" s="553">
        <v>20</v>
      </c>
      <c r="AA20" s="553"/>
      <c r="AB20" s="553"/>
      <c r="AC20" s="553"/>
      <c r="AD20" s="553"/>
      <c r="AE20" s="553"/>
      <c r="AF20" s="553"/>
      <c r="AG20" s="553"/>
      <c r="AH20" s="553"/>
      <c r="AI20" s="553"/>
      <c r="AJ20" s="553"/>
      <c r="AK20" s="553"/>
      <c r="AL20" s="553"/>
      <c r="AM20" s="553"/>
      <c r="AN20" s="553"/>
      <c r="AO20" s="553"/>
      <c r="AP20" s="553"/>
      <c r="AQ20" s="553"/>
      <c r="AR20" s="553"/>
      <c r="AS20" s="553"/>
      <c r="AT20" s="553"/>
      <c r="AU20" s="553"/>
      <c r="AV20" s="553"/>
      <c r="AW20" s="553"/>
      <c r="AX20" s="553"/>
      <c r="AY20" s="553"/>
      <c r="AZ20" s="553"/>
      <c r="BA20" s="553"/>
      <c r="BB20" s="553"/>
      <c r="BC20" s="553"/>
      <c r="BD20" s="553"/>
    </row>
    <row r="21" spans="1:56" x14ac:dyDescent="0.2">
      <c r="A21" s="7" t="str">
        <f ca="1">IF(AUTOEVENTO="Manual",IF(EVENTOS!$F21&gt;0,"F",""),IF(AND(B21&gt;0,B21&lt;=MAX(CÁLCULO!$M$15:$M$244)),"F",""))</f>
        <v/>
      </c>
      <c r="B21" s="247">
        <f t="shared" ca="1" si="2"/>
        <v>6</v>
      </c>
      <c r="C21" s="514" t="str">
        <f ca="1">IF(AUTOEVENTO="Manual",IF($B21&gt;0,OFFSET(EVENTOS!$D$15,$B21-$B$15,0),0),IF(B21&lt;=MAX(CÁLCULO!$M$15:$M$244),VLOOKUP($B21,CÁLCULO!$M$15:$N$244,2,FALSE),0))</f>
        <v>COBERTURA E PROTEÇÕES</v>
      </c>
      <c r="D21" s="554"/>
      <c r="E21" s="248"/>
      <c r="F21" t="str">
        <f t="shared" ca="1" si="3"/>
        <v>6. COBERTURA E PROTEÇÕES</v>
      </c>
      <c r="G21" s="553">
        <v>1</v>
      </c>
      <c r="H21" s="553">
        <v>2</v>
      </c>
      <c r="I21" s="553">
        <v>3</v>
      </c>
      <c r="J21" s="553">
        <v>4</v>
      </c>
      <c r="K21" s="553">
        <v>5</v>
      </c>
      <c r="L21" s="553">
        <v>6</v>
      </c>
      <c r="M21" s="553">
        <v>7</v>
      </c>
      <c r="N21" s="553">
        <v>8</v>
      </c>
      <c r="O21" s="553">
        <v>9</v>
      </c>
      <c r="P21" s="553">
        <v>10</v>
      </c>
      <c r="Q21" s="553">
        <v>11</v>
      </c>
      <c r="R21" s="553">
        <v>12</v>
      </c>
      <c r="S21" s="553">
        <v>13</v>
      </c>
      <c r="T21" s="553">
        <v>14</v>
      </c>
      <c r="U21" s="553">
        <v>15</v>
      </c>
      <c r="V21" s="553">
        <v>16</v>
      </c>
      <c r="W21" s="553">
        <v>17</v>
      </c>
      <c r="X21" s="553">
        <v>18</v>
      </c>
      <c r="Y21" s="553">
        <v>19</v>
      </c>
      <c r="Z21" s="553">
        <v>20</v>
      </c>
      <c r="AA21" s="553"/>
      <c r="AB21" s="553"/>
      <c r="AC21" s="553"/>
      <c r="AD21" s="553"/>
      <c r="AE21" s="553"/>
      <c r="AF21" s="553"/>
      <c r="AG21" s="553"/>
      <c r="AH21" s="553"/>
      <c r="AI21" s="553"/>
      <c r="AJ21" s="553"/>
      <c r="AK21" s="553"/>
      <c r="AL21" s="553"/>
      <c r="AM21" s="553"/>
      <c r="AN21" s="553"/>
      <c r="AO21" s="553"/>
      <c r="AP21" s="553"/>
      <c r="AQ21" s="553"/>
      <c r="AR21" s="553"/>
      <c r="AS21" s="553"/>
      <c r="AT21" s="553"/>
      <c r="AU21" s="553"/>
      <c r="AV21" s="553"/>
      <c r="AW21" s="553"/>
      <c r="AX21" s="553"/>
      <c r="AY21" s="553"/>
      <c r="AZ21" s="553"/>
      <c r="BA21" s="553"/>
      <c r="BB21" s="553"/>
      <c r="BC21" s="553"/>
      <c r="BD21" s="553"/>
    </row>
    <row r="22" spans="1:56" x14ac:dyDescent="0.2">
      <c r="A22" s="7" t="str">
        <f ca="1">IF(AUTOEVENTO="Manual",IF(EVENTOS!$F22&gt;0,"F",""),IF(AND(B22&gt;0,B22&lt;=MAX(CÁLCULO!$M$15:$M$244)),"F",""))</f>
        <v/>
      </c>
      <c r="B22" s="247">
        <f t="shared" ca="1" si="2"/>
        <v>7</v>
      </c>
      <c r="C22" s="514" t="str">
        <f ca="1">IF(AUTOEVENTO="Manual",IF($B22&gt;0,OFFSET(EVENTOS!$D$15,$B22-$B$15,0),0),IF(B22&lt;=MAX(CÁLCULO!$M$15:$M$244),VLOOKUP($B22,CÁLCULO!$M$15:$N$244,2,FALSE),0))</f>
        <v>REVESTIMENTOS</v>
      </c>
      <c r="D22" s="554"/>
      <c r="E22" s="248"/>
      <c r="F22" t="str">
        <f t="shared" ca="1" si="3"/>
        <v>7. REVESTIMENTOS</v>
      </c>
      <c r="G22" s="553">
        <v>1</v>
      </c>
      <c r="H22" s="553">
        <v>2</v>
      </c>
      <c r="I22" s="553">
        <v>3</v>
      </c>
      <c r="J22" s="553">
        <v>4</v>
      </c>
      <c r="K22" s="553">
        <v>5</v>
      </c>
      <c r="L22" s="553">
        <v>6</v>
      </c>
      <c r="M22" s="553">
        <v>7</v>
      </c>
      <c r="N22" s="553">
        <v>8</v>
      </c>
      <c r="O22" s="553">
        <v>9</v>
      </c>
      <c r="P22" s="553">
        <v>10</v>
      </c>
      <c r="Q22" s="553">
        <v>11</v>
      </c>
      <c r="R22" s="553">
        <v>12</v>
      </c>
      <c r="S22" s="553">
        <v>13</v>
      </c>
      <c r="T22" s="553">
        <v>14</v>
      </c>
      <c r="U22" s="553">
        <v>15</v>
      </c>
      <c r="V22" s="553">
        <v>16</v>
      </c>
      <c r="W22" s="553">
        <v>17</v>
      </c>
      <c r="X22" s="553">
        <v>18</v>
      </c>
      <c r="Y22" s="553">
        <v>19</v>
      </c>
      <c r="Z22" s="553">
        <v>20</v>
      </c>
      <c r="AA22" s="553"/>
      <c r="AB22" s="553"/>
      <c r="AC22" s="553"/>
      <c r="AD22" s="553"/>
      <c r="AE22" s="553"/>
      <c r="AF22" s="553"/>
      <c r="AG22" s="553"/>
      <c r="AH22" s="553"/>
      <c r="AI22" s="553"/>
      <c r="AJ22" s="553"/>
      <c r="AK22" s="553"/>
      <c r="AL22" s="553"/>
      <c r="AM22" s="553"/>
      <c r="AN22" s="553"/>
      <c r="AO22" s="553"/>
      <c r="AP22" s="553"/>
      <c r="AQ22" s="553"/>
      <c r="AR22" s="553"/>
      <c r="AS22" s="553"/>
      <c r="AT22" s="553"/>
      <c r="AU22" s="553"/>
      <c r="AV22" s="553"/>
      <c r="AW22" s="553"/>
      <c r="AX22" s="553"/>
      <c r="AY22" s="553"/>
      <c r="AZ22" s="553"/>
      <c r="BA22" s="553"/>
      <c r="BB22" s="553"/>
      <c r="BC22" s="553"/>
      <c r="BD22" s="553"/>
    </row>
    <row r="23" spans="1:56" x14ac:dyDescent="0.2">
      <c r="A23" s="7" t="str">
        <f ca="1">IF(AUTOEVENTO="Manual",IF(EVENTOS!$F23&gt;0,"F",""),IF(AND(B23&gt;0,B23&lt;=MAX(CÁLCULO!$M$15:$M$244)),"F",""))</f>
        <v/>
      </c>
      <c r="B23" s="247">
        <f t="shared" ca="1" si="2"/>
        <v>8</v>
      </c>
      <c r="C23" s="514" t="str">
        <f ca="1">IF(AUTOEVENTO="Manual",IF($B23&gt;0,OFFSET(EVENTOS!$D$15,$B23-$B$15,0),0),IF(B23&lt;=MAX(CÁLCULO!$M$15:$M$244),VLOOKUP($B23,CÁLCULO!$M$15:$N$244,2,FALSE),0))</f>
        <v>PAVIMENTAÇÕES</v>
      </c>
      <c r="D23" s="554"/>
      <c r="E23" s="248"/>
      <c r="F23" t="str">
        <f t="shared" ca="1" si="3"/>
        <v>8. PAVIMENTAÇÕES</v>
      </c>
      <c r="G23" s="553">
        <v>1</v>
      </c>
      <c r="H23" s="553">
        <v>2</v>
      </c>
      <c r="I23" s="553">
        <v>3</v>
      </c>
      <c r="J23" s="553">
        <v>4</v>
      </c>
      <c r="K23" s="553">
        <v>5</v>
      </c>
      <c r="L23" s="553">
        <v>6</v>
      </c>
      <c r="M23" s="553">
        <v>7</v>
      </c>
      <c r="N23" s="553">
        <v>8</v>
      </c>
      <c r="O23" s="553">
        <v>9</v>
      </c>
      <c r="P23" s="553">
        <v>10</v>
      </c>
      <c r="Q23" s="553">
        <v>11</v>
      </c>
      <c r="R23" s="553">
        <v>12</v>
      </c>
      <c r="S23" s="553">
        <v>13</v>
      </c>
      <c r="T23" s="553">
        <v>14</v>
      </c>
      <c r="U23" s="553">
        <v>15</v>
      </c>
      <c r="V23" s="553">
        <v>16</v>
      </c>
      <c r="W23" s="553">
        <v>17</v>
      </c>
      <c r="X23" s="553">
        <v>18</v>
      </c>
      <c r="Y23" s="553">
        <v>19</v>
      </c>
      <c r="Z23" s="553">
        <v>20</v>
      </c>
      <c r="AA23" s="553"/>
      <c r="AB23" s="553"/>
      <c r="AC23" s="553"/>
      <c r="AD23" s="553"/>
      <c r="AE23" s="553"/>
      <c r="AF23" s="553"/>
      <c r="AG23" s="553"/>
      <c r="AH23" s="553"/>
      <c r="AI23" s="553"/>
      <c r="AJ23" s="553"/>
      <c r="AK23" s="553"/>
      <c r="AL23" s="553"/>
      <c r="AM23" s="553"/>
      <c r="AN23" s="553"/>
      <c r="AO23" s="553"/>
      <c r="AP23" s="553"/>
      <c r="AQ23" s="553"/>
      <c r="AR23" s="553"/>
      <c r="AS23" s="553"/>
      <c r="AT23" s="553"/>
      <c r="AU23" s="553"/>
      <c r="AV23" s="553"/>
      <c r="AW23" s="553"/>
      <c r="AX23" s="553"/>
      <c r="AY23" s="553"/>
      <c r="AZ23" s="553"/>
      <c r="BA23" s="553"/>
      <c r="BB23" s="553"/>
      <c r="BC23" s="553"/>
      <c r="BD23" s="553"/>
    </row>
    <row r="24" spans="1:56" x14ac:dyDescent="0.2">
      <c r="A24" s="7" t="str">
        <f ca="1">IF(AUTOEVENTO="Manual",IF(EVENTOS!$F24&gt;0,"F",""),IF(AND(B24&gt;0,B24&lt;=MAX(CÁLCULO!$M$15:$M$244)),"F",""))</f>
        <v/>
      </c>
      <c r="B24" s="247">
        <f t="shared" ca="1" si="2"/>
        <v>9</v>
      </c>
      <c r="C24" s="514" t="str">
        <f ca="1">IF(AUTOEVENTO="Manual",IF($B24&gt;0,OFFSET(EVENTOS!$D$15,$B24-$B$15,0),0),IF(B24&lt;=MAX(CÁLCULO!$M$15:$M$244),VLOOKUP($B24,CÁLCULO!$M$15:$N$244,2,FALSE),0))</f>
        <v>INSTALAÇÕES</v>
      </c>
      <c r="D24" s="554"/>
      <c r="E24" s="248"/>
      <c r="F24" t="str">
        <f t="shared" ca="1" si="3"/>
        <v>9. INSTALAÇÕES</v>
      </c>
      <c r="G24" s="553">
        <v>1</v>
      </c>
      <c r="H24" s="553">
        <v>2</v>
      </c>
      <c r="I24" s="553">
        <v>3</v>
      </c>
      <c r="J24" s="553">
        <v>4</v>
      </c>
      <c r="K24" s="553">
        <v>5</v>
      </c>
      <c r="L24" s="553">
        <v>6</v>
      </c>
      <c r="M24" s="553">
        <v>7</v>
      </c>
      <c r="N24" s="553">
        <v>8</v>
      </c>
      <c r="O24" s="553">
        <v>9</v>
      </c>
      <c r="P24" s="553">
        <v>10</v>
      </c>
      <c r="Q24" s="553">
        <v>11</v>
      </c>
      <c r="R24" s="553">
        <v>12</v>
      </c>
      <c r="S24" s="553">
        <v>13</v>
      </c>
      <c r="T24" s="553">
        <v>14</v>
      </c>
      <c r="U24" s="553">
        <v>15</v>
      </c>
      <c r="V24" s="553">
        <v>16</v>
      </c>
      <c r="W24" s="553">
        <v>17</v>
      </c>
      <c r="X24" s="553">
        <v>18</v>
      </c>
      <c r="Y24" s="553">
        <v>19</v>
      </c>
      <c r="Z24" s="553">
        <v>20</v>
      </c>
      <c r="AA24" s="553"/>
      <c r="AB24" s="553"/>
      <c r="AC24" s="553"/>
      <c r="AD24" s="553"/>
      <c r="AE24" s="553"/>
      <c r="AF24" s="553"/>
      <c r="AG24" s="553"/>
      <c r="AH24" s="553"/>
      <c r="AI24" s="553"/>
      <c r="AJ24" s="553"/>
      <c r="AK24" s="553"/>
      <c r="AL24" s="553"/>
      <c r="AM24" s="553"/>
      <c r="AN24" s="553"/>
      <c r="AO24" s="553"/>
      <c r="AP24" s="553"/>
      <c r="AQ24" s="553"/>
      <c r="AR24" s="553"/>
      <c r="AS24" s="553"/>
      <c r="AT24" s="553"/>
      <c r="AU24" s="553"/>
      <c r="AV24" s="553"/>
      <c r="AW24" s="553"/>
      <c r="AX24" s="553"/>
      <c r="AY24" s="553"/>
      <c r="AZ24" s="553"/>
      <c r="BA24" s="553"/>
      <c r="BB24" s="553"/>
      <c r="BC24" s="553"/>
      <c r="BD24" s="553"/>
    </row>
    <row r="25" spans="1:56" x14ac:dyDescent="0.2">
      <c r="A25" s="7" t="str">
        <f ca="1">IF(AUTOEVENTO="Manual",IF(EVENTOS!$F25&gt;0,"F",""),IF(AND(B25&gt;0,B25&lt;=MAX(CÁLCULO!$M$15:$M$244)),"F",""))</f>
        <v/>
      </c>
      <c r="B25" s="247">
        <f t="shared" ca="1" si="2"/>
        <v>10</v>
      </c>
      <c r="C25" s="514" t="str">
        <f ca="1">IF(AUTOEVENTO="Manual",IF($B25&gt;0,OFFSET(EVENTOS!$D$15,$B25-$B$15,0),0),IF(B25&lt;=MAX(CÁLCULO!$M$15:$M$244),VLOOKUP($B25,CÁLCULO!$M$15:$N$244,2,FALSE),0))</f>
        <v>COMPLEMENTAÇÕES</v>
      </c>
      <c r="D25" s="554"/>
      <c r="E25" s="248"/>
      <c r="F25" t="str">
        <f t="shared" ca="1" si="3"/>
        <v>10. COMPLEMENTAÇÕES</v>
      </c>
      <c r="G25" s="553">
        <v>1</v>
      </c>
      <c r="H25" s="553">
        <v>2</v>
      </c>
      <c r="I25" s="553">
        <v>3</v>
      </c>
      <c r="J25" s="553">
        <v>4</v>
      </c>
      <c r="K25" s="553">
        <v>5</v>
      </c>
      <c r="L25" s="553">
        <v>6</v>
      </c>
      <c r="M25" s="553">
        <v>7</v>
      </c>
      <c r="N25" s="553">
        <v>8</v>
      </c>
      <c r="O25" s="553">
        <v>9</v>
      </c>
      <c r="P25" s="553">
        <v>10</v>
      </c>
      <c r="Q25" s="553">
        <v>11</v>
      </c>
      <c r="R25" s="553">
        <v>12</v>
      </c>
      <c r="S25" s="553">
        <v>13</v>
      </c>
      <c r="T25" s="553">
        <v>14</v>
      </c>
      <c r="U25" s="553">
        <v>15</v>
      </c>
      <c r="V25" s="553">
        <v>16</v>
      </c>
      <c r="W25" s="553">
        <v>17</v>
      </c>
      <c r="X25" s="553">
        <v>18</v>
      </c>
      <c r="Y25" s="553">
        <v>19</v>
      </c>
      <c r="Z25" s="553">
        <v>20</v>
      </c>
      <c r="AA25" s="553"/>
      <c r="AB25" s="553"/>
      <c r="AC25" s="553"/>
      <c r="AD25" s="553"/>
      <c r="AE25" s="553"/>
      <c r="AF25" s="553"/>
      <c r="AG25" s="553"/>
      <c r="AH25" s="553"/>
      <c r="AI25" s="553"/>
      <c r="AJ25" s="553"/>
      <c r="AK25" s="553"/>
      <c r="AL25" s="553"/>
      <c r="AM25" s="553"/>
      <c r="AN25" s="553"/>
      <c r="AO25" s="553"/>
      <c r="AP25" s="553"/>
      <c r="AQ25" s="553"/>
      <c r="AR25" s="553"/>
      <c r="AS25" s="553"/>
      <c r="AT25" s="553"/>
      <c r="AU25" s="553"/>
      <c r="AV25" s="553"/>
      <c r="AW25" s="553"/>
      <c r="AX25" s="553"/>
      <c r="AY25" s="553"/>
      <c r="AZ25" s="553"/>
      <c r="BA25" s="553"/>
      <c r="BB25" s="553"/>
      <c r="BC25" s="553"/>
      <c r="BD25" s="553"/>
    </row>
    <row r="26" spans="1:56" hidden="1" x14ac:dyDescent="0.2">
      <c r="A26" s="7" t="str">
        <f ca="1">IF(AUTOEVENTO="Manual",IF(EVENTOS!$F26&gt;0,"F",""),IF(AND(B26&gt;0,B26&lt;=MAX(CÁLCULO!$M$15:$M$244)),"F",""))</f>
        <v/>
      </c>
      <c r="B26" s="247">
        <f t="shared" ca="1" si="2"/>
        <v>11</v>
      </c>
      <c r="C26" s="514">
        <f ca="1">IF(AUTOEVENTO="Manual",IF($B26&gt;0,OFFSET(EVENTOS!$D$15,$B26-$B$15,0),0),IF(B26&lt;=MAX(CÁLCULO!$M$15:$M$244),VLOOKUP($B26,CÁLCULO!$M$15:$N$244,2,FALSE),0))</f>
        <v>0</v>
      </c>
      <c r="D26" s="554"/>
      <c r="E26" s="248"/>
      <c r="F26" t="str">
        <f t="shared" ca="1" si="3"/>
        <v/>
      </c>
      <c r="G26" s="553">
        <v>1</v>
      </c>
      <c r="H26" s="553">
        <v>2</v>
      </c>
      <c r="I26" s="553">
        <v>3</v>
      </c>
      <c r="J26" s="553">
        <v>4</v>
      </c>
      <c r="K26" s="553">
        <v>5</v>
      </c>
      <c r="L26" s="553">
        <v>6</v>
      </c>
      <c r="M26" s="553">
        <v>7</v>
      </c>
      <c r="N26" s="553">
        <v>8</v>
      </c>
      <c r="O26" s="553">
        <v>9</v>
      </c>
      <c r="P26" s="553">
        <v>10</v>
      </c>
      <c r="Q26" s="553">
        <v>11</v>
      </c>
      <c r="R26" s="553">
        <v>12</v>
      </c>
      <c r="S26" s="553">
        <v>13</v>
      </c>
      <c r="T26" s="553">
        <v>14</v>
      </c>
      <c r="U26" s="553">
        <v>15</v>
      </c>
      <c r="V26" s="553">
        <v>16</v>
      </c>
      <c r="W26" s="553">
        <v>17</v>
      </c>
      <c r="X26" s="553">
        <v>18</v>
      </c>
      <c r="Y26" s="553">
        <v>19</v>
      </c>
      <c r="Z26" s="553">
        <v>20</v>
      </c>
      <c r="AA26" s="553"/>
      <c r="AB26" s="553"/>
      <c r="AC26" s="553"/>
      <c r="AD26" s="553"/>
      <c r="AE26" s="553"/>
      <c r="AF26" s="553"/>
      <c r="AG26" s="553"/>
      <c r="AH26" s="553"/>
      <c r="AI26" s="553"/>
      <c r="AJ26" s="553"/>
      <c r="AK26" s="553"/>
      <c r="AL26" s="553"/>
      <c r="AM26" s="553"/>
      <c r="AN26" s="553"/>
      <c r="AO26" s="553"/>
      <c r="AP26" s="553"/>
      <c r="AQ26" s="553"/>
      <c r="AR26" s="553"/>
      <c r="AS26" s="553"/>
      <c r="AT26" s="553"/>
      <c r="AU26" s="553"/>
      <c r="AV26" s="553"/>
      <c r="AW26" s="553"/>
      <c r="AX26" s="553"/>
      <c r="AY26" s="553"/>
      <c r="AZ26" s="553"/>
      <c r="BA26" s="553"/>
      <c r="BB26" s="553"/>
      <c r="BC26" s="553"/>
      <c r="BD26" s="553"/>
    </row>
    <row r="27" spans="1:56" hidden="1" x14ac:dyDescent="0.2">
      <c r="A27" s="7" t="str">
        <f ca="1">IF(AUTOEVENTO="Manual",IF(EVENTOS!$F27&gt;0,"F",""),IF(AND(B27&gt;0,B27&lt;=MAX(CÁLCULO!$M$15:$M$244)),"F",""))</f>
        <v/>
      </c>
      <c r="B27" s="247">
        <f t="shared" ca="1" si="2"/>
        <v>12</v>
      </c>
      <c r="C27" s="514">
        <f ca="1">IF(AUTOEVENTO="Manual",IF($B27&gt;0,OFFSET(EVENTOS!$D$15,$B27-$B$15,0),0),IF(B27&lt;=MAX(CÁLCULO!$M$15:$M$244),VLOOKUP($B27,CÁLCULO!$M$15:$N$244,2,FALSE),0))</f>
        <v>0</v>
      </c>
      <c r="D27" s="554"/>
      <c r="E27" s="248"/>
      <c r="F27" t="str">
        <f t="shared" ca="1" si="3"/>
        <v/>
      </c>
      <c r="G27" s="553">
        <v>1</v>
      </c>
      <c r="H27" s="553">
        <v>2</v>
      </c>
      <c r="I27" s="553">
        <v>3</v>
      </c>
      <c r="J27" s="553">
        <v>4</v>
      </c>
      <c r="K27" s="553">
        <v>5</v>
      </c>
      <c r="L27" s="553">
        <v>6</v>
      </c>
      <c r="M27" s="553">
        <v>7</v>
      </c>
      <c r="N27" s="553">
        <v>8</v>
      </c>
      <c r="O27" s="553">
        <v>9</v>
      </c>
      <c r="P27" s="553">
        <v>10</v>
      </c>
      <c r="Q27" s="553">
        <v>11</v>
      </c>
      <c r="R27" s="553">
        <v>12</v>
      </c>
      <c r="S27" s="553">
        <v>13</v>
      </c>
      <c r="T27" s="553">
        <v>14</v>
      </c>
      <c r="U27" s="553">
        <v>15</v>
      </c>
      <c r="V27" s="553">
        <v>16</v>
      </c>
      <c r="W27" s="553">
        <v>17</v>
      </c>
      <c r="X27" s="553">
        <v>18</v>
      </c>
      <c r="Y27" s="553">
        <v>19</v>
      </c>
      <c r="Z27" s="553">
        <v>20</v>
      </c>
      <c r="AA27" s="553"/>
      <c r="AB27" s="553"/>
      <c r="AC27" s="553"/>
      <c r="AD27" s="553"/>
      <c r="AE27" s="553"/>
      <c r="AF27" s="553"/>
      <c r="AG27" s="553"/>
      <c r="AH27" s="553"/>
      <c r="AI27" s="553"/>
      <c r="AJ27" s="553"/>
      <c r="AK27" s="553"/>
      <c r="AL27" s="553"/>
      <c r="AM27" s="553"/>
      <c r="AN27" s="553"/>
      <c r="AO27" s="553"/>
      <c r="AP27" s="553"/>
      <c r="AQ27" s="553"/>
      <c r="AR27" s="553"/>
      <c r="AS27" s="553"/>
      <c r="AT27" s="553"/>
      <c r="AU27" s="553"/>
      <c r="AV27" s="553"/>
      <c r="AW27" s="553"/>
      <c r="AX27" s="553"/>
      <c r="AY27" s="553"/>
      <c r="AZ27" s="553"/>
      <c r="BA27" s="553"/>
      <c r="BB27" s="553"/>
      <c r="BC27" s="553"/>
      <c r="BD27" s="553"/>
    </row>
    <row r="28" spans="1:56" hidden="1" x14ac:dyDescent="0.2">
      <c r="A28" s="7" t="str">
        <f ca="1">IF(AUTOEVENTO="Manual",IF(EVENTOS!$F28&gt;0,"F",""),IF(AND(B28&gt;0,B28&lt;=MAX(CÁLCULO!$M$15:$M$244)),"F",""))</f>
        <v/>
      </c>
      <c r="B28" s="247">
        <f t="shared" ca="1" si="2"/>
        <v>13</v>
      </c>
      <c r="C28" s="514">
        <f ca="1">IF(AUTOEVENTO="Manual",IF($B28&gt;0,OFFSET(EVENTOS!$D$15,$B28-$B$15,0),0),IF(B28&lt;=MAX(CÁLCULO!$M$15:$M$244),VLOOKUP($B28,CÁLCULO!$M$15:$N$244,2,FALSE),0))</f>
        <v>0</v>
      </c>
      <c r="D28" s="554"/>
      <c r="E28" s="248"/>
      <c r="F28" t="str">
        <f t="shared" ca="1" si="3"/>
        <v/>
      </c>
      <c r="G28" s="553">
        <v>1</v>
      </c>
      <c r="H28" s="553">
        <v>2</v>
      </c>
      <c r="I28" s="553">
        <v>3</v>
      </c>
      <c r="J28" s="553">
        <v>4</v>
      </c>
      <c r="K28" s="553">
        <v>5</v>
      </c>
      <c r="L28" s="553">
        <v>6</v>
      </c>
      <c r="M28" s="553">
        <v>7</v>
      </c>
      <c r="N28" s="553">
        <v>8</v>
      </c>
      <c r="O28" s="553">
        <v>9</v>
      </c>
      <c r="P28" s="553">
        <v>10</v>
      </c>
      <c r="Q28" s="553">
        <v>11</v>
      </c>
      <c r="R28" s="553">
        <v>12</v>
      </c>
      <c r="S28" s="553">
        <v>13</v>
      </c>
      <c r="T28" s="553">
        <v>14</v>
      </c>
      <c r="U28" s="553">
        <v>15</v>
      </c>
      <c r="V28" s="553">
        <v>16</v>
      </c>
      <c r="W28" s="553">
        <v>17</v>
      </c>
      <c r="X28" s="553">
        <v>18</v>
      </c>
      <c r="Y28" s="553">
        <v>19</v>
      </c>
      <c r="Z28" s="553">
        <v>20</v>
      </c>
      <c r="AA28" s="553"/>
      <c r="AB28" s="553"/>
      <c r="AC28" s="553"/>
      <c r="AD28" s="553"/>
      <c r="AE28" s="553"/>
      <c r="AF28" s="553"/>
      <c r="AG28" s="553"/>
      <c r="AH28" s="553"/>
      <c r="AI28" s="553"/>
      <c r="AJ28" s="553"/>
      <c r="AK28" s="553"/>
      <c r="AL28" s="553"/>
      <c r="AM28" s="553"/>
      <c r="AN28" s="553"/>
      <c r="AO28" s="553"/>
      <c r="AP28" s="553"/>
      <c r="AQ28" s="553"/>
      <c r="AR28" s="553"/>
      <c r="AS28" s="553"/>
      <c r="AT28" s="553"/>
      <c r="AU28" s="553"/>
      <c r="AV28" s="553"/>
      <c r="AW28" s="553"/>
      <c r="AX28" s="553"/>
      <c r="AY28" s="553"/>
      <c r="AZ28" s="553"/>
      <c r="BA28" s="553"/>
      <c r="BB28" s="553"/>
      <c r="BC28" s="553"/>
      <c r="BD28" s="553"/>
    </row>
    <row r="29" spans="1:56" hidden="1" x14ac:dyDescent="0.2">
      <c r="A29" s="7" t="str">
        <f ca="1">IF(AUTOEVENTO="Manual",IF(EVENTOS!$F29&gt;0,"F",""),IF(AND(B29&gt;0,B29&lt;=MAX(CÁLCULO!$M$15:$M$244)),"F",""))</f>
        <v/>
      </c>
      <c r="B29" s="247">
        <f t="shared" ca="1" si="2"/>
        <v>14</v>
      </c>
      <c r="C29" s="514">
        <f ca="1">IF(AUTOEVENTO="Manual",IF($B29&gt;0,OFFSET(EVENTOS!$D$15,$B29-$B$15,0),0),IF(B29&lt;=MAX(CÁLCULO!$M$15:$M$244),VLOOKUP($B29,CÁLCULO!$M$15:$N$244,2,FALSE),0))</f>
        <v>0</v>
      </c>
      <c r="D29" s="554"/>
      <c r="E29" s="248"/>
      <c r="F29" t="str">
        <f t="shared" ca="1" si="3"/>
        <v/>
      </c>
      <c r="G29" s="553">
        <v>1</v>
      </c>
      <c r="H29" s="553">
        <v>2</v>
      </c>
      <c r="I29" s="553">
        <v>3</v>
      </c>
      <c r="J29" s="553">
        <v>4</v>
      </c>
      <c r="K29" s="553">
        <v>5</v>
      </c>
      <c r="L29" s="553">
        <v>6</v>
      </c>
      <c r="M29" s="553">
        <v>7</v>
      </c>
      <c r="N29" s="553">
        <v>8</v>
      </c>
      <c r="O29" s="553">
        <v>9</v>
      </c>
      <c r="P29" s="553">
        <v>10</v>
      </c>
      <c r="Q29" s="553">
        <v>11</v>
      </c>
      <c r="R29" s="553">
        <v>12</v>
      </c>
      <c r="S29" s="553">
        <v>13</v>
      </c>
      <c r="T29" s="553">
        <v>14</v>
      </c>
      <c r="U29" s="553">
        <v>15</v>
      </c>
      <c r="V29" s="553">
        <v>16</v>
      </c>
      <c r="W29" s="553">
        <v>17</v>
      </c>
      <c r="X29" s="553">
        <v>18</v>
      </c>
      <c r="Y29" s="553">
        <v>19</v>
      </c>
      <c r="Z29" s="553">
        <v>20</v>
      </c>
      <c r="AA29" s="553"/>
      <c r="AB29" s="553"/>
      <c r="AC29" s="553"/>
      <c r="AD29" s="553"/>
      <c r="AE29" s="553"/>
      <c r="AF29" s="553"/>
      <c r="AG29" s="553"/>
      <c r="AH29" s="553"/>
      <c r="AI29" s="553"/>
      <c r="AJ29" s="553"/>
      <c r="AK29" s="553"/>
      <c r="AL29" s="553"/>
      <c r="AM29" s="553"/>
      <c r="AN29" s="553"/>
      <c r="AO29" s="553"/>
      <c r="AP29" s="553"/>
      <c r="AQ29" s="553"/>
      <c r="AR29" s="553"/>
      <c r="AS29" s="553"/>
      <c r="AT29" s="553"/>
      <c r="AU29" s="553"/>
      <c r="AV29" s="553"/>
      <c r="AW29" s="553"/>
      <c r="AX29" s="553"/>
      <c r="AY29" s="553"/>
      <c r="AZ29" s="553"/>
      <c r="BA29" s="553"/>
      <c r="BB29" s="553"/>
      <c r="BC29" s="553"/>
      <c r="BD29" s="553"/>
    </row>
    <row r="30" spans="1:56" hidden="1" x14ac:dyDescent="0.2">
      <c r="A30" s="7" t="str">
        <f ca="1">IF(AUTOEVENTO="Manual",IF(EVENTOS!$F30&gt;0,"F",""),IF(AND(B30&gt;0,B30&lt;=MAX(CÁLCULO!$M$15:$M$244)),"F",""))</f>
        <v/>
      </c>
      <c r="B30" s="247">
        <f t="shared" ca="1" si="2"/>
        <v>15</v>
      </c>
      <c r="C30" s="514">
        <f ca="1">IF(AUTOEVENTO="Manual",IF($B30&gt;0,OFFSET(EVENTOS!$D$15,$B30-$B$15,0),0),IF(B30&lt;=MAX(CÁLCULO!$M$15:$M$244),VLOOKUP($B30,CÁLCULO!$M$15:$N$244,2,FALSE),0))</f>
        <v>0</v>
      </c>
      <c r="D30" s="554"/>
      <c r="E30" s="248"/>
      <c r="F30" t="str">
        <f t="shared" ca="1" si="3"/>
        <v/>
      </c>
      <c r="G30" s="553">
        <v>1</v>
      </c>
      <c r="H30" s="553">
        <v>2</v>
      </c>
      <c r="I30" s="553">
        <v>3</v>
      </c>
      <c r="J30" s="553">
        <v>4</v>
      </c>
      <c r="K30" s="553">
        <v>5</v>
      </c>
      <c r="L30" s="553">
        <v>6</v>
      </c>
      <c r="M30" s="553">
        <v>7</v>
      </c>
      <c r="N30" s="553">
        <v>8</v>
      </c>
      <c r="O30" s="553">
        <v>9</v>
      </c>
      <c r="P30" s="553">
        <v>10</v>
      </c>
      <c r="Q30" s="553">
        <v>11</v>
      </c>
      <c r="R30" s="553">
        <v>12</v>
      </c>
      <c r="S30" s="553">
        <v>13</v>
      </c>
      <c r="T30" s="553">
        <v>14</v>
      </c>
      <c r="U30" s="553">
        <v>15</v>
      </c>
      <c r="V30" s="553">
        <v>16</v>
      </c>
      <c r="W30" s="553">
        <v>17</v>
      </c>
      <c r="X30" s="553">
        <v>18</v>
      </c>
      <c r="Y30" s="553">
        <v>19</v>
      </c>
      <c r="Z30" s="553">
        <v>20</v>
      </c>
      <c r="AA30" s="553"/>
      <c r="AB30" s="553"/>
      <c r="AC30" s="553"/>
      <c r="AD30" s="553"/>
      <c r="AE30" s="553"/>
      <c r="AF30" s="553"/>
      <c r="AG30" s="553"/>
      <c r="AH30" s="553"/>
      <c r="AI30" s="553"/>
      <c r="AJ30" s="553"/>
      <c r="AK30" s="553"/>
      <c r="AL30" s="553"/>
      <c r="AM30" s="553"/>
      <c r="AN30" s="553"/>
      <c r="AO30" s="553"/>
      <c r="AP30" s="553"/>
      <c r="AQ30" s="553"/>
      <c r="AR30" s="553"/>
      <c r="AS30" s="553"/>
      <c r="AT30" s="553"/>
      <c r="AU30" s="553"/>
      <c r="AV30" s="553"/>
      <c r="AW30" s="553"/>
      <c r="AX30" s="553"/>
      <c r="AY30" s="553"/>
      <c r="AZ30" s="553"/>
      <c r="BA30" s="553"/>
      <c r="BB30" s="553"/>
      <c r="BC30" s="553"/>
      <c r="BD30" s="553"/>
    </row>
    <row r="31" spans="1:56" hidden="1" x14ac:dyDescent="0.2">
      <c r="A31" s="7" t="str">
        <f ca="1">IF(AUTOEVENTO="Manual",IF(EVENTOS!$F31&gt;0,"F",""),IF(AND(B31&gt;0,B31&lt;=MAX(CÁLCULO!$M$15:$M$244)),"F",""))</f>
        <v/>
      </c>
      <c r="B31" s="247">
        <f t="shared" ca="1" si="2"/>
        <v>16</v>
      </c>
      <c r="C31" s="514">
        <f ca="1">IF(AUTOEVENTO="Manual",IF($B31&gt;0,OFFSET(EVENTOS!$D$15,$B31-$B$15,0),0),IF(B31&lt;=MAX(CÁLCULO!$M$15:$M$244),VLOOKUP($B31,CÁLCULO!$M$15:$N$244,2,FALSE),0))</f>
        <v>0</v>
      </c>
      <c r="D31" s="554"/>
      <c r="E31" s="248"/>
      <c r="F31" t="str">
        <f t="shared" ca="1" si="3"/>
        <v/>
      </c>
      <c r="G31" s="553">
        <v>1</v>
      </c>
      <c r="H31" s="553">
        <v>2</v>
      </c>
      <c r="I31" s="553">
        <v>3</v>
      </c>
      <c r="J31" s="553">
        <v>4</v>
      </c>
      <c r="K31" s="553">
        <v>5</v>
      </c>
      <c r="L31" s="553">
        <v>6</v>
      </c>
      <c r="M31" s="553">
        <v>7</v>
      </c>
      <c r="N31" s="553">
        <v>8</v>
      </c>
      <c r="O31" s="553">
        <v>9</v>
      </c>
      <c r="P31" s="553">
        <v>10</v>
      </c>
      <c r="Q31" s="553">
        <v>11</v>
      </c>
      <c r="R31" s="553">
        <v>12</v>
      </c>
      <c r="S31" s="553">
        <v>13</v>
      </c>
      <c r="T31" s="553">
        <v>14</v>
      </c>
      <c r="U31" s="553">
        <v>15</v>
      </c>
      <c r="V31" s="553">
        <v>16</v>
      </c>
      <c r="W31" s="553">
        <v>17</v>
      </c>
      <c r="X31" s="553">
        <v>18</v>
      </c>
      <c r="Y31" s="553">
        <v>19</v>
      </c>
      <c r="Z31" s="553">
        <v>20</v>
      </c>
      <c r="AA31" s="553"/>
      <c r="AB31" s="553"/>
      <c r="AC31" s="553"/>
      <c r="AD31" s="553"/>
      <c r="AE31" s="553"/>
      <c r="AF31" s="553"/>
      <c r="AG31" s="553"/>
      <c r="AH31" s="553"/>
      <c r="AI31" s="553"/>
      <c r="AJ31" s="553"/>
      <c r="AK31" s="553"/>
      <c r="AL31" s="553"/>
      <c r="AM31" s="553"/>
      <c r="AN31" s="553"/>
      <c r="AO31" s="553"/>
      <c r="AP31" s="553"/>
      <c r="AQ31" s="553"/>
      <c r="AR31" s="553"/>
      <c r="AS31" s="553"/>
      <c r="AT31" s="553"/>
      <c r="AU31" s="553"/>
      <c r="AV31" s="553"/>
      <c r="AW31" s="553"/>
      <c r="AX31" s="553"/>
      <c r="AY31" s="553"/>
      <c r="AZ31" s="553"/>
      <c r="BA31" s="553"/>
      <c r="BB31" s="553"/>
      <c r="BC31" s="553"/>
      <c r="BD31" s="553"/>
    </row>
    <row r="32" spans="1:56" hidden="1" x14ac:dyDescent="0.2">
      <c r="A32" s="7" t="str">
        <f ca="1">IF(AUTOEVENTO="Manual",IF(EVENTOS!$F32&gt;0,"F",""),IF(AND(B32&gt;0,B32&lt;=MAX(CÁLCULO!$M$15:$M$244)),"F",""))</f>
        <v/>
      </c>
      <c r="B32" s="247">
        <f t="shared" ca="1" si="2"/>
        <v>17</v>
      </c>
      <c r="C32" s="514">
        <f ca="1">IF(AUTOEVENTO="Manual",IF($B32&gt;0,OFFSET(EVENTOS!$D$15,$B32-$B$15,0),0),IF(B32&lt;=MAX(CÁLCULO!$M$15:$M$244),VLOOKUP($B32,CÁLCULO!$M$15:$N$244,2,FALSE),0))</f>
        <v>0</v>
      </c>
      <c r="D32" s="554"/>
      <c r="E32" s="248"/>
      <c r="F32" t="str">
        <f t="shared" ca="1" si="3"/>
        <v/>
      </c>
      <c r="G32" s="553">
        <v>1</v>
      </c>
      <c r="H32" s="553">
        <v>2</v>
      </c>
      <c r="I32" s="553">
        <v>3</v>
      </c>
      <c r="J32" s="553">
        <v>4</v>
      </c>
      <c r="K32" s="553">
        <v>5</v>
      </c>
      <c r="L32" s="553">
        <v>6</v>
      </c>
      <c r="M32" s="553">
        <v>7</v>
      </c>
      <c r="N32" s="553">
        <v>8</v>
      </c>
      <c r="O32" s="553">
        <v>9</v>
      </c>
      <c r="P32" s="553">
        <v>10</v>
      </c>
      <c r="Q32" s="553">
        <v>11</v>
      </c>
      <c r="R32" s="553">
        <v>12</v>
      </c>
      <c r="S32" s="553">
        <v>13</v>
      </c>
      <c r="T32" s="553">
        <v>14</v>
      </c>
      <c r="U32" s="553">
        <v>15</v>
      </c>
      <c r="V32" s="553">
        <v>16</v>
      </c>
      <c r="W32" s="553">
        <v>17</v>
      </c>
      <c r="X32" s="553">
        <v>18</v>
      </c>
      <c r="Y32" s="553">
        <v>19</v>
      </c>
      <c r="Z32" s="553">
        <v>20</v>
      </c>
      <c r="AA32" s="553"/>
      <c r="AB32" s="553"/>
      <c r="AC32" s="553"/>
      <c r="AD32" s="553"/>
      <c r="AE32" s="553"/>
      <c r="AF32" s="553"/>
      <c r="AG32" s="553"/>
      <c r="AH32" s="553"/>
      <c r="AI32" s="553"/>
      <c r="AJ32" s="553"/>
      <c r="AK32" s="553"/>
      <c r="AL32" s="553"/>
      <c r="AM32" s="553"/>
      <c r="AN32" s="553"/>
      <c r="AO32" s="553"/>
      <c r="AP32" s="553"/>
      <c r="AQ32" s="553"/>
      <c r="AR32" s="553"/>
      <c r="AS32" s="553"/>
      <c r="AT32" s="553"/>
      <c r="AU32" s="553"/>
      <c r="AV32" s="553"/>
      <c r="AW32" s="553"/>
      <c r="AX32" s="553"/>
      <c r="AY32" s="553"/>
      <c r="AZ32" s="553"/>
      <c r="BA32" s="553"/>
      <c r="BB32" s="553"/>
      <c r="BC32" s="553"/>
      <c r="BD32" s="553"/>
    </row>
    <row r="33" spans="1:56" hidden="1" x14ac:dyDescent="0.2">
      <c r="A33" s="7" t="str">
        <f ca="1">IF(AUTOEVENTO="Manual",IF(EVENTOS!$F33&gt;0,"F",""),IF(AND(B33&gt;0,B33&lt;=MAX(CÁLCULO!$M$15:$M$244)),"F",""))</f>
        <v/>
      </c>
      <c r="B33" s="247">
        <f t="shared" ca="1" si="2"/>
        <v>18</v>
      </c>
      <c r="C33" s="514">
        <f ca="1">IF(AUTOEVENTO="Manual",IF($B33&gt;0,OFFSET(EVENTOS!$D$15,$B33-$B$15,0),0),IF(B33&lt;=MAX(CÁLCULO!$M$15:$M$244),VLOOKUP($B33,CÁLCULO!$M$15:$N$244,2,FALSE),0))</f>
        <v>0</v>
      </c>
      <c r="D33" s="554"/>
      <c r="E33" s="248"/>
      <c r="F33" t="str">
        <f t="shared" ca="1" si="3"/>
        <v/>
      </c>
      <c r="G33" s="553">
        <v>1</v>
      </c>
      <c r="H33" s="553">
        <v>2</v>
      </c>
      <c r="I33" s="553">
        <v>3</v>
      </c>
      <c r="J33" s="553">
        <v>4</v>
      </c>
      <c r="K33" s="553">
        <v>5</v>
      </c>
      <c r="L33" s="553">
        <v>6</v>
      </c>
      <c r="M33" s="553">
        <v>7</v>
      </c>
      <c r="N33" s="553">
        <v>8</v>
      </c>
      <c r="O33" s="553">
        <v>9</v>
      </c>
      <c r="P33" s="553">
        <v>10</v>
      </c>
      <c r="Q33" s="553">
        <v>11</v>
      </c>
      <c r="R33" s="553">
        <v>12</v>
      </c>
      <c r="S33" s="553">
        <v>13</v>
      </c>
      <c r="T33" s="553">
        <v>14</v>
      </c>
      <c r="U33" s="553">
        <v>15</v>
      </c>
      <c r="V33" s="553">
        <v>16</v>
      </c>
      <c r="W33" s="553">
        <v>17</v>
      </c>
      <c r="X33" s="553">
        <v>18</v>
      </c>
      <c r="Y33" s="553">
        <v>19</v>
      </c>
      <c r="Z33" s="553">
        <v>20</v>
      </c>
      <c r="AA33" s="553"/>
      <c r="AB33" s="553"/>
      <c r="AC33" s="553"/>
      <c r="AD33" s="553"/>
      <c r="AE33" s="553"/>
      <c r="AF33" s="553"/>
      <c r="AG33" s="553"/>
      <c r="AH33" s="553"/>
      <c r="AI33" s="553"/>
      <c r="AJ33" s="553"/>
      <c r="AK33" s="553"/>
      <c r="AL33" s="553"/>
      <c r="AM33" s="553"/>
      <c r="AN33" s="553"/>
      <c r="AO33" s="553"/>
      <c r="AP33" s="553"/>
      <c r="AQ33" s="553"/>
      <c r="AR33" s="553"/>
      <c r="AS33" s="553"/>
      <c r="AT33" s="553"/>
      <c r="AU33" s="553"/>
      <c r="AV33" s="553"/>
      <c r="AW33" s="553"/>
      <c r="AX33" s="553"/>
      <c r="AY33" s="553"/>
      <c r="AZ33" s="553"/>
      <c r="BA33" s="553"/>
      <c r="BB33" s="553"/>
      <c r="BC33" s="553"/>
      <c r="BD33" s="553"/>
    </row>
    <row r="34" spans="1:56" hidden="1" x14ac:dyDescent="0.2">
      <c r="A34" s="7" t="str">
        <f ca="1">IF(AUTOEVENTO="Manual",IF(EVENTOS!$F34&gt;0,"F",""),IF(AND(B34&gt;0,B34&lt;=MAX(CÁLCULO!$M$15:$M$244)),"F",""))</f>
        <v/>
      </c>
      <c r="B34" s="247">
        <f t="shared" ca="1" si="2"/>
        <v>19</v>
      </c>
      <c r="C34" s="514">
        <f ca="1">IF(AUTOEVENTO="Manual",IF($B34&gt;0,OFFSET(EVENTOS!$D$15,$B34-$B$15,0),0),IF(B34&lt;=MAX(CÁLCULO!$M$15:$M$244),VLOOKUP($B34,CÁLCULO!$M$15:$N$244,2,FALSE),0))</f>
        <v>0</v>
      </c>
      <c r="D34" s="554"/>
      <c r="E34" s="248"/>
      <c r="F34" t="str">
        <f t="shared" ca="1" si="3"/>
        <v/>
      </c>
      <c r="G34" s="553">
        <v>1</v>
      </c>
      <c r="H34" s="553">
        <v>2</v>
      </c>
      <c r="I34" s="553">
        <v>3</v>
      </c>
      <c r="J34" s="553">
        <v>4</v>
      </c>
      <c r="K34" s="553">
        <v>5</v>
      </c>
      <c r="L34" s="553">
        <v>6</v>
      </c>
      <c r="M34" s="553">
        <v>7</v>
      </c>
      <c r="N34" s="553">
        <v>8</v>
      </c>
      <c r="O34" s="553">
        <v>9</v>
      </c>
      <c r="P34" s="553">
        <v>10</v>
      </c>
      <c r="Q34" s="553">
        <v>11</v>
      </c>
      <c r="R34" s="553">
        <v>12</v>
      </c>
      <c r="S34" s="553">
        <v>13</v>
      </c>
      <c r="T34" s="553">
        <v>14</v>
      </c>
      <c r="U34" s="553">
        <v>15</v>
      </c>
      <c r="V34" s="553">
        <v>16</v>
      </c>
      <c r="W34" s="553">
        <v>17</v>
      </c>
      <c r="X34" s="553">
        <v>18</v>
      </c>
      <c r="Y34" s="553">
        <v>19</v>
      </c>
      <c r="Z34" s="553">
        <v>20</v>
      </c>
      <c r="AA34" s="553"/>
      <c r="AB34" s="553"/>
      <c r="AC34" s="553"/>
      <c r="AD34" s="553"/>
      <c r="AE34" s="553"/>
      <c r="AF34" s="553"/>
      <c r="AG34" s="553"/>
      <c r="AH34" s="553"/>
      <c r="AI34" s="553"/>
      <c r="AJ34" s="553"/>
      <c r="AK34" s="553"/>
      <c r="AL34" s="553"/>
      <c r="AM34" s="553"/>
      <c r="AN34" s="553"/>
      <c r="AO34" s="553"/>
      <c r="AP34" s="553"/>
      <c r="AQ34" s="553"/>
      <c r="AR34" s="553"/>
      <c r="AS34" s="553"/>
      <c r="AT34" s="553"/>
      <c r="AU34" s="553"/>
      <c r="AV34" s="553"/>
      <c r="AW34" s="553"/>
      <c r="AX34" s="553"/>
      <c r="AY34" s="553"/>
      <c r="AZ34" s="553"/>
      <c r="BA34" s="553"/>
      <c r="BB34" s="553"/>
      <c r="BC34" s="553"/>
      <c r="BD34" s="553"/>
    </row>
    <row r="35" spans="1:56" hidden="1" x14ac:dyDescent="0.2">
      <c r="A35" s="7" t="str">
        <f ca="1">IF(AUTOEVENTO="Manual",IF(EVENTOS!$F35&gt;0,"F",""),IF(AND(B35&gt;0,B35&lt;=MAX(CÁLCULO!$M$15:$M$244)),"F",""))</f>
        <v/>
      </c>
      <c r="B35" s="247">
        <f t="shared" ca="1" si="2"/>
        <v>20</v>
      </c>
      <c r="C35" s="514">
        <f ca="1">IF(AUTOEVENTO="Manual",IF($B35&gt;0,OFFSET(EVENTOS!$D$15,$B35-$B$15,0),0),IF(B35&lt;=MAX(CÁLCULO!$M$15:$M$244),VLOOKUP($B35,CÁLCULO!$M$15:$N$244,2,FALSE),0))</f>
        <v>0</v>
      </c>
      <c r="D35" s="554"/>
      <c r="E35" s="248"/>
      <c r="F35" t="str">
        <f t="shared" ca="1" si="3"/>
        <v/>
      </c>
      <c r="G35" s="553">
        <v>1</v>
      </c>
      <c r="H35" s="553">
        <v>2</v>
      </c>
      <c r="I35" s="553">
        <v>3</v>
      </c>
      <c r="J35" s="553">
        <v>4</v>
      </c>
      <c r="K35" s="553">
        <v>5</v>
      </c>
      <c r="L35" s="553">
        <v>6</v>
      </c>
      <c r="M35" s="553">
        <v>7</v>
      </c>
      <c r="N35" s="553">
        <v>8</v>
      </c>
      <c r="O35" s="553">
        <v>9</v>
      </c>
      <c r="P35" s="553">
        <v>10</v>
      </c>
      <c r="Q35" s="553">
        <v>11</v>
      </c>
      <c r="R35" s="553">
        <v>12</v>
      </c>
      <c r="S35" s="553">
        <v>13</v>
      </c>
      <c r="T35" s="553">
        <v>14</v>
      </c>
      <c r="U35" s="553">
        <v>15</v>
      </c>
      <c r="V35" s="553">
        <v>16</v>
      </c>
      <c r="W35" s="553">
        <v>17</v>
      </c>
      <c r="X35" s="553">
        <v>18</v>
      </c>
      <c r="Y35" s="553">
        <v>19</v>
      </c>
      <c r="Z35" s="553">
        <v>20</v>
      </c>
      <c r="AA35" s="553"/>
      <c r="AB35" s="553"/>
      <c r="AC35" s="553"/>
      <c r="AD35" s="553"/>
      <c r="AE35" s="553"/>
      <c r="AF35" s="553"/>
      <c r="AG35" s="553"/>
      <c r="AH35" s="553"/>
      <c r="AI35" s="553"/>
      <c r="AJ35" s="553"/>
      <c r="AK35" s="553"/>
      <c r="AL35" s="553"/>
      <c r="AM35" s="553"/>
      <c r="AN35" s="553"/>
      <c r="AO35" s="553"/>
      <c r="AP35" s="553"/>
      <c r="AQ35" s="553"/>
      <c r="AR35" s="553"/>
      <c r="AS35" s="553"/>
      <c r="AT35" s="553"/>
      <c r="AU35" s="553"/>
      <c r="AV35" s="553"/>
      <c r="AW35" s="553"/>
      <c r="AX35" s="553"/>
      <c r="AY35" s="553"/>
      <c r="AZ35" s="553"/>
      <c r="BA35" s="553"/>
      <c r="BB35" s="553"/>
      <c r="BC35" s="553"/>
      <c r="BD35" s="553"/>
    </row>
    <row r="36" spans="1:56" hidden="1" x14ac:dyDescent="0.2">
      <c r="A36" s="7" t="str">
        <f ca="1">IF(AUTOEVENTO="Manual",IF(EVENTOS!$F36&gt;0,"F",""),IF(AND(B36&gt;0,B36&lt;=MAX(CÁLCULO!$M$15:$M$244)),"F",""))</f>
        <v/>
      </c>
      <c r="B36" s="247">
        <f t="shared" ca="1" si="2"/>
        <v>21</v>
      </c>
      <c r="C36" s="514">
        <f ca="1">IF(AUTOEVENTO="Manual",IF($B36&gt;0,OFFSET(EVENTOS!$D$15,$B36-$B$15,0),0),IF(B36&lt;=MAX(CÁLCULO!$M$15:$M$244),VLOOKUP($B36,CÁLCULO!$M$15:$N$244,2,FALSE),0))</f>
        <v>0</v>
      </c>
      <c r="D36" s="554"/>
      <c r="E36" s="248"/>
      <c r="F36" t="str">
        <f t="shared" ca="1" si="3"/>
        <v/>
      </c>
      <c r="G36" s="553">
        <v>1</v>
      </c>
      <c r="H36" s="553">
        <v>2</v>
      </c>
      <c r="I36" s="553">
        <v>3</v>
      </c>
      <c r="J36" s="553">
        <v>4</v>
      </c>
      <c r="K36" s="553">
        <v>5</v>
      </c>
      <c r="L36" s="553">
        <v>6</v>
      </c>
      <c r="M36" s="553">
        <v>7</v>
      </c>
      <c r="N36" s="553">
        <v>8</v>
      </c>
      <c r="O36" s="553">
        <v>9</v>
      </c>
      <c r="P36" s="553">
        <v>10</v>
      </c>
      <c r="Q36" s="553">
        <v>11</v>
      </c>
      <c r="R36" s="553">
        <v>12</v>
      </c>
      <c r="S36" s="553">
        <v>13</v>
      </c>
      <c r="T36" s="553">
        <v>14</v>
      </c>
      <c r="U36" s="553">
        <v>15</v>
      </c>
      <c r="V36" s="553">
        <v>16</v>
      </c>
      <c r="W36" s="553">
        <v>17</v>
      </c>
      <c r="X36" s="553">
        <v>18</v>
      </c>
      <c r="Y36" s="553">
        <v>19</v>
      </c>
      <c r="Z36" s="553">
        <v>20</v>
      </c>
      <c r="AA36" s="553"/>
      <c r="AB36" s="553"/>
      <c r="AC36" s="553"/>
      <c r="AD36" s="553"/>
      <c r="AE36" s="553"/>
      <c r="AF36" s="553"/>
      <c r="AG36" s="553"/>
      <c r="AH36" s="553"/>
      <c r="AI36" s="553"/>
      <c r="AJ36" s="553"/>
      <c r="AK36" s="553"/>
      <c r="AL36" s="553"/>
      <c r="AM36" s="553"/>
      <c r="AN36" s="553"/>
      <c r="AO36" s="553"/>
      <c r="AP36" s="553"/>
      <c r="AQ36" s="553"/>
      <c r="AR36" s="553"/>
      <c r="AS36" s="553"/>
      <c r="AT36" s="553"/>
      <c r="AU36" s="553"/>
      <c r="AV36" s="553"/>
      <c r="AW36" s="553"/>
      <c r="AX36" s="553"/>
      <c r="AY36" s="553"/>
      <c r="AZ36" s="553"/>
      <c r="BA36" s="553"/>
      <c r="BB36" s="553"/>
      <c r="BC36" s="553"/>
      <c r="BD36" s="553"/>
    </row>
    <row r="37" spans="1:56" hidden="1" x14ac:dyDescent="0.2">
      <c r="A37" s="7" t="str">
        <f ca="1">IF(AUTOEVENTO="Manual",IF(EVENTOS!$F37&gt;0,"F",""),IF(AND(B37&gt;0,B37&lt;=MAX(CÁLCULO!$M$15:$M$244)),"F",""))</f>
        <v/>
      </c>
      <c r="B37" s="247">
        <f t="shared" ca="1" si="2"/>
        <v>22</v>
      </c>
      <c r="C37" s="514">
        <f ca="1">IF(AUTOEVENTO="Manual",IF($B37&gt;0,OFFSET(EVENTOS!$D$15,$B37-$B$15,0),0),IF(B37&lt;=MAX(CÁLCULO!$M$15:$M$244),VLOOKUP($B37,CÁLCULO!$M$15:$N$244,2,FALSE),0))</f>
        <v>0</v>
      </c>
      <c r="D37" s="554"/>
      <c r="E37" s="248"/>
      <c r="F37" t="str">
        <f t="shared" ca="1" si="3"/>
        <v/>
      </c>
      <c r="G37" s="553">
        <v>1</v>
      </c>
      <c r="H37" s="553">
        <v>2</v>
      </c>
      <c r="I37" s="553">
        <v>3</v>
      </c>
      <c r="J37" s="553">
        <v>4</v>
      </c>
      <c r="K37" s="553">
        <v>5</v>
      </c>
      <c r="L37" s="553">
        <v>6</v>
      </c>
      <c r="M37" s="553">
        <v>7</v>
      </c>
      <c r="N37" s="553">
        <v>8</v>
      </c>
      <c r="O37" s="553">
        <v>9</v>
      </c>
      <c r="P37" s="553">
        <v>10</v>
      </c>
      <c r="Q37" s="553">
        <v>11</v>
      </c>
      <c r="R37" s="553">
        <v>12</v>
      </c>
      <c r="S37" s="553">
        <v>13</v>
      </c>
      <c r="T37" s="553">
        <v>14</v>
      </c>
      <c r="U37" s="553">
        <v>15</v>
      </c>
      <c r="V37" s="553">
        <v>16</v>
      </c>
      <c r="W37" s="553">
        <v>17</v>
      </c>
      <c r="X37" s="553">
        <v>18</v>
      </c>
      <c r="Y37" s="553">
        <v>19</v>
      </c>
      <c r="Z37" s="553">
        <v>20</v>
      </c>
      <c r="AA37" s="553"/>
      <c r="AB37" s="553"/>
      <c r="AC37" s="553"/>
      <c r="AD37" s="553"/>
      <c r="AE37" s="553"/>
      <c r="AF37" s="553"/>
      <c r="AG37" s="553"/>
      <c r="AH37" s="553"/>
      <c r="AI37" s="553"/>
      <c r="AJ37" s="553"/>
      <c r="AK37" s="553"/>
      <c r="AL37" s="553"/>
      <c r="AM37" s="553"/>
      <c r="AN37" s="553"/>
      <c r="AO37" s="553"/>
      <c r="AP37" s="553"/>
      <c r="AQ37" s="553"/>
      <c r="AR37" s="553"/>
      <c r="AS37" s="553"/>
      <c r="AT37" s="553"/>
      <c r="AU37" s="553"/>
      <c r="AV37" s="553"/>
      <c r="AW37" s="553"/>
      <c r="AX37" s="553"/>
      <c r="AY37" s="553"/>
      <c r="AZ37" s="553"/>
      <c r="BA37" s="553"/>
      <c r="BB37" s="553"/>
      <c r="BC37" s="553"/>
      <c r="BD37" s="553"/>
    </row>
    <row r="38" spans="1:56" hidden="1" x14ac:dyDescent="0.2">
      <c r="A38" s="7" t="str">
        <f ca="1">IF(AUTOEVENTO="Manual",IF(EVENTOS!$F38&gt;0,"F",""),IF(AND(B38&gt;0,B38&lt;=MAX(CÁLCULO!$M$15:$M$244)),"F",""))</f>
        <v/>
      </c>
      <c r="B38" s="247">
        <f t="shared" ca="1" si="2"/>
        <v>23</v>
      </c>
      <c r="C38" s="514">
        <f ca="1">IF(AUTOEVENTO="Manual",IF($B38&gt;0,OFFSET(EVENTOS!$D$15,$B38-$B$15,0),0),IF(B38&lt;=MAX(CÁLCULO!$M$15:$M$244),VLOOKUP($B38,CÁLCULO!$M$15:$N$244,2,FALSE),0))</f>
        <v>0</v>
      </c>
      <c r="D38" s="554"/>
      <c r="E38" s="248"/>
      <c r="F38" t="str">
        <f t="shared" ca="1" si="3"/>
        <v/>
      </c>
      <c r="G38" s="553">
        <v>1</v>
      </c>
      <c r="H38" s="553">
        <v>2</v>
      </c>
      <c r="I38" s="553">
        <v>3</v>
      </c>
      <c r="J38" s="553">
        <v>4</v>
      </c>
      <c r="K38" s="553">
        <v>5</v>
      </c>
      <c r="L38" s="553">
        <v>6</v>
      </c>
      <c r="M38" s="553">
        <v>7</v>
      </c>
      <c r="N38" s="553">
        <v>8</v>
      </c>
      <c r="O38" s="553">
        <v>9</v>
      </c>
      <c r="P38" s="553">
        <v>10</v>
      </c>
      <c r="Q38" s="553">
        <v>11</v>
      </c>
      <c r="R38" s="553">
        <v>12</v>
      </c>
      <c r="S38" s="553">
        <v>13</v>
      </c>
      <c r="T38" s="553">
        <v>14</v>
      </c>
      <c r="U38" s="553">
        <v>15</v>
      </c>
      <c r="V38" s="553">
        <v>16</v>
      </c>
      <c r="W38" s="553">
        <v>17</v>
      </c>
      <c r="X38" s="553">
        <v>18</v>
      </c>
      <c r="Y38" s="553">
        <v>19</v>
      </c>
      <c r="Z38" s="553">
        <v>20</v>
      </c>
      <c r="AA38" s="553"/>
      <c r="AB38" s="553"/>
      <c r="AC38" s="553"/>
      <c r="AD38" s="553"/>
      <c r="AE38" s="553"/>
      <c r="AF38" s="553"/>
      <c r="AG38" s="553"/>
      <c r="AH38" s="553"/>
      <c r="AI38" s="553"/>
      <c r="AJ38" s="553"/>
      <c r="AK38" s="553"/>
      <c r="AL38" s="553"/>
      <c r="AM38" s="553"/>
      <c r="AN38" s="553"/>
      <c r="AO38" s="553"/>
      <c r="AP38" s="553"/>
      <c r="AQ38" s="553"/>
      <c r="AR38" s="553"/>
      <c r="AS38" s="553"/>
      <c r="AT38" s="553"/>
      <c r="AU38" s="553"/>
      <c r="AV38" s="553"/>
      <c r="AW38" s="553"/>
      <c r="AX38" s="553"/>
      <c r="AY38" s="553"/>
      <c r="AZ38" s="553"/>
      <c r="BA38" s="553"/>
      <c r="BB38" s="553"/>
      <c r="BC38" s="553"/>
      <c r="BD38" s="553"/>
    </row>
    <row r="39" spans="1:56" hidden="1" x14ac:dyDescent="0.2">
      <c r="A39" s="7" t="str">
        <f ca="1">IF(AUTOEVENTO="Manual",IF(EVENTOS!$F39&gt;0,"F",""),IF(AND(B39&gt;0,B39&lt;=MAX(CÁLCULO!$M$15:$M$244)),"F",""))</f>
        <v/>
      </c>
      <c r="B39" s="247">
        <f t="shared" ca="1" si="2"/>
        <v>24</v>
      </c>
      <c r="C39" s="514">
        <f ca="1">IF(AUTOEVENTO="Manual",IF($B39&gt;0,OFFSET(EVENTOS!$D$15,$B39-$B$15,0),0),IF(B39&lt;=MAX(CÁLCULO!$M$15:$M$244),VLOOKUP($B39,CÁLCULO!$M$15:$N$244,2,FALSE),0))</f>
        <v>0</v>
      </c>
      <c r="D39" s="554"/>
      <c r="E39" s="248"/>
      <c r="F39" t="str">
        <f t="shared" ca="1" si="3"/>
        <v/>
      </c>
      <c r="G39" s="553">
        <v>1</v>
      </c>
      <c r="H39" s="553">
        <v>2</v>
      </c>
      <c r="I39" s="553">
        <v>3</v>
      </c>
      <c r="J39" s="553">
        <v>4</v>
      </c>
      <c r="K39" s="553">
        <v>5</v>
      </c>
      <c r="L39" s="553">
        <v>6</v>
      </c>
      <c r="M39" s="553">
        <v>7</v>
      </c>
      <c r="N39" s="553">
        <v>8</v>
      </c>
      <c r="O39" s="553">
        <v>9</v>
      </c>
      <c r="P39" s="553">
        <v>10</v>
      </c>
      <c r="Q39" s="553">
        <v>11</v>
      </c>
      <c r="R39" s="553">
        <v>12</v>
      </c>
      <c r="S39" s="553">
        <v>13</v>
      </c>
      <c r="T39" s="553">
        <v>14</v>
      </c>
      <c r="U39" s="553">
        <v>15</v>
      </c>
      <c r="V39" s="553">
        <v>16</v>
      </c>
      <c r="W39" s="553">
        <v>17</v>
      </c>
      <c r="X39" s="553">
        <v>18</v>
      </c>
      <c r="Y39" s="553">
        <v>19</v>
      </c>
      <c r="Z39" s="553">
        <v>20</v>
      </c>
      <c r="AA39" s="553"/>
      <c r="AB39" s="553"/>
      <c r="AC39" s="553"/>
      <c r="AD39" s="553"/>
      <c r="AE39" s="553"/>
      <c r="AF39" s="553"/>
      <c r="AG39" s="553"/>
      <c r="AH39" s="553"/>
      <c r="AI39" s="553"/>
      <c r="AJ39" s="553"/>
      <c r="AK39" s="553"/>
      <c r="AL39" s="553"/>
      <c r="AM39" s="553"/>
      <c r="AN39" s="553"/>
      <c r="AO39" s="553"/>
      <c r="AP39" s="553"/>
      <c r="AQ39" s="553"/>
      <c r="AR39" s="553"/>
      <c r="AS39" s="553"/>
      <c r="AT39" s="553"/>
      <c r="AU39" s="553"/>
      <c r="AV39" s="553"/>
      <c r="AW39" s="553"/>
      <c r="AX39" s="553"/>
      <c r="AY39" s="553"/>
      <c r="AZ39" s="553"/>
      <c r="BA39" s="553"/>
      <c r="BB39" s="553"/>
      <c r="BC39" s="553"/>
      <c r="BD39" s="553"/>
    </row>
    <row r="40" spans="1:56" hidden="1" x14ac:dyDescent="0.2">
      <c r="A40" s="7" t="str">
        <f ca="1">IF(AUTOEVENTO="Manual",IF(EVENTOS!$F40&gt;0,"F",""),IF(AND(B40&gt;0,B40&lt;=MAX(CÁLCULO!$M$15:$M$244)),"F",""))</f>
        <v/>
      </c>
      <c r="B40" s="247">
        <f t="shared" ca="1" si="2"/>
        <v>25</v>
      </c>
      <c r="C40" s="514">
        <f ca="1">IF(AUTOEVENTO="Manual",IF($B40&gt;0,OFFSET(EVENTOS!$D$15,$B40-$B$15,0),0),IF(B40&lt;=MAX(CÁLCULO!$M$15:$M$244),VLOOKUP($B40,CÁLCULO!$M$15:$N$244,2,FALSE),0))</f>
        <v>0</v>
      </c>
      <c r="D40" s="554"/>
      <c r="E40" s="248"/>
      <c r="F40" t="str">
        <f t="shared" ca="1" si="3"/>
        <v/>
      </c>
      <c r="G40" s="553"/>
      <c r="H40" s="553"/>
      <c r="I40" s="553"/>
      <c r="J40" s="553"/>
      <c r="K40" s="553"/>
      <c r="L40" s="553"/>
      <c r="M40" s="553"/>
      <c r="N40" s="553"/>
      <c r="O40" s="553"/>
      <c r="P40" s="553"/>
      <c r="Q40" s="553"/>
      <c r="R40" s="553"/>
      <c r="S40" s="553"/>
      <c r="T40" s="553"/>
      <c r="U40" s="553"/>
      <c r="V40" s="553"/>
      <c r="W40" s="553"/>
      <c r="X40" s="553"/>
      <c r="Y40" s="553"/>
      <c r="Z40" s="553"/>
      <c r="AA40" s="553"/>
      <c r="AB40" s="553"/>
      <c r="AC40" s="553"/>
      <c r="AD40" s="553"/>
      <c r="AE40" s="553"/>
      <c r="AF40" s="553"/>
      <c r="AG40" s="553"/>
      <c r="AH40" s="553"/>
      <c r="AI40" s="553"/>
      <c r="AJ40" s="553"/>
      <c r="AK40" s="553"/>
      <c r="AL40" s="553"/>
      <c r="AM40" s="553"/>
      <c r="AN40" s="553"/>
      <c r="AO40" s="553"/>
      <c r="AP40" s="553"/>
      <c r="AQ40" s="553"/>
      <c r="AR40" s="553"/>
      <c r="AS40" s="553"/>
      <c r="AT40" s="553"/>
      <c r="AU40" s="553"/>
      <c r="AV40" s="553"/>
      <c r="AW40" s="553"/>
      <c r="AX40" s="553"/>
      <c r="AY40" s="553"/>
      <c r="AZ40" s="553"/>
      <c r="BA40" s="553"/>
      <c r="BB40" s="553"/>
      <c r="BC40" s="553"/>
      <c r="BD40" s="553"/>
    </row>
    <row r="41" spans="1:56" hidden="1" x14ac:dyDescent="0.2">
      <c r="A41" s="7" t="str">
        <f ca="1">IF(AUTOEVENTO="Manual",IF(EVENTOS!$F41&gt;0,"F",""),IF(AND(B41&gt;0,B41&lt;=MAX(CÁLCULO!$M$15:$M$244)),"F",""))</f>
        <v/>
      </c>
      <c r="B41" s="247">
        <f t="shared" ca="1" si="2"/>
        <v>26</v>
      </c>
      <c r="C41" s="514">
        <f ca="1">IF(AUTOEVENTO="Manual",IF($B41&gt;0,OFFSET(EVENTOS!$D$15,$B41-$B$15,0),0),IF(B41&lt;=MAX(CÁLCULO!$M$15:$M$244),VLOOKUP($B41,CÁLCULO!$M$15:$N$244,2,FALSE),0))</f>
        <v>0</v>
      </c>
      <c r="D41" s="554"/>
      <c r="E41" s="248"/>
      <c r="F41" t="str">
        <f t="shared" ca="1" si="3"/>
        <v/>
      </c>
      <c r="G41" s="553"/>
      <c r="H41" s="553"/>
      <c r="I41" s="553"/>
      <c r="J41" s="553"/>
      <c r="K41" s="553"/>
      <c r="L41" s="553"/>
      <c r="M41" s="553"/>
      <c r="N41" s="553"/>
      <c r="O41" s="553"/>
      <c r="P41" s="553"/>
      <c r="Q41" s="553"/>
      <c r="R41" s="553"/>
      <c r="S41" s="553"/>
      <c r="T41" s="553"/>
      <c r="U41" s="553"/>
      <c r="V41" s="553"/>
      <c r="W41" s="553"/>
      <c r="X41" s="553"/>
      <c r="Y41" s="553"/>
      <c r="Z41" s="553"/>
      <c r="AA41" s="553"/>
      <c r="AB41" s="553"/>
      <c r="AC41" s="553"/>
      <c r="AD41" s="553"/>
      <c r="AE41" s="553"/>
      <c r="AF41" s="553"/>
      <c r="AG41" s="553"/>
      <c r="AH41" s="553"/>
      <c r="AI41" s="553"/>
      <c r="AJ41" s="553"/>
      <c r="AK41" s="553"/>
      <c r="AL41" s="553"/>
      <c r="AM41" s="553"/>
      <c r="AN41" s="553"/>
      <c r="AO41" s="553"/>
      <c r="AP41" s="553"/>
      <c r="AQ41" s="553"/>
      <c r="AR41" s="553"/>
      <c r="AS41" s="553"/>
      <c r="AT41" s="553"/>
      <c r="AU41" s="553"/>
      <c r="AV41" s="553"/>
      <c r="AW41" s="553"/>
      <c r="AX41" s="553"/>
      <c r="AY41" s="553"/>
      <c r="AZ41" s="553"/>
      <c r="BA41" s="553"/>
      <c r="BB41" s="553"/>
      <c r="BC41" s="553"/>
      <c r="BD41" s="553"/>
    </row>
    <row r="42" spans="1:56" hidden="1" x14ac:dyDescent="0.2">
      <c r="A42" s="7" t="str">
        <f ca="1">IF(AUTOEVENTO="Manual",IF(EVENTOS!$F42&gt;0,"F",""),IF(AND(B42&gt;0,B42&lt;=MAX(CÁLCULO!$M$15:$M$244)),"F",""))</f>
        <v/>
      </c>
      <c r="B42" s="247">
        <f t="shared" ca="1" si="2"/>
        <v>27</v>
      </c>
      <c r="C42" s="514">
        <f ca="1">IF(AUTOEVENTO="Manual",IF($B42&gt;0,OFFSET(EVENTOS!$D$15,$B42-$B$15,0),0),IF(B42&lt;=MAX(CÁLCULO!$M$15:$M$244),VLOOKUP($B42,CÁLCULO!$M$15:$N$244,2,FALSE),0))</f>
        <v>0</v>
      </c>
      <c r="D42" s="554"/>
      <c r="E42" s="248"/>
      <c r="F42" t="str">
        <f t="shared" ca="1" si="3"/>
        <v/>
      </c>
      <c r="G42" s="553"/>
      <c r="H42" s="553"/>
      <c r="I42" s="553"/>
      <c r="J42" s="553"/>
      <c r="K42" s="553"/>
      <c r="L42" s="553"/>
      <c r="M42" s="553"/>
      <c r="N42" s="553"/>
      <c r="O42" s="553"/>
      <c r="P42" s="553"/>
      <c r="Q42" s="553"/>
      <c r="R42" s="553"/>
      <c r="S42" s="553"/>
      <c r="T42" s="553"/>
      <c r="U42" s="553"/>
      <c r="V42" s="553"/>
      <c r="W42" s="553"/>
      <c r="X42" s="553"/>
      <c r="Y42" s="553"/>
      <c r="Z42" s="553"/>
      <c r="AA42" s="553"/>
      <c r="AB42" s="553"/>
      <c r="AC42" s="553"/>
      <c r="AD42" s="553"/>
      <c r="AE42" s="553"/>
      <c r="AF42" s="553"/>
      <c r="AG42" s="553"/>
      <c r="AH42" s="553"/>
      <c r="AI42" s="553"/>
      <c r="AJ42" s="553"/>
      <c r="AK42" s="553"/>
      <c r="AL42" s="553"/>
      <c r="AM42" s="553"/>
      <c r="AN42" s="553"/>
      <c r="AO42" s="553"/>
      <c r="AP42" s="553"/>
      <c r="AQ42" s="553"/>
      <c r="AR42" s="553"/>
      <c r="AS42" s="553"/>
      <c r="AT42" s="553"/>
      <c r="AU42" s="553"/>
      <c r="AV42" s="553"/>
      <c r="AW42" s="553"/>
      <c r="AX42" s="553"/>
      <c r="AY42" s="553"/>
      <c r="AZ42" s="553"/>
      <c r="BA42" s="553"/>
      <c r="BB42" s="553"/>
      <c r="BC42" s="553"/>
      <c r="BD42" s="553"/>
    </row>
    <row r="43" spans="1:56" hidden="1" x14ac:dyDescent="0.2">
      <c r="A43" s="7" t="str">
        <f ca="1">IF(AUTOEVENTO="Manual",IF(EVENTOS!$F43&gt;0,"F",""),IF(AND(B43&gt;0,B43&lt;=MAX(CÁLCULO!$M$15:$M$244)),"F",""))</f>
        <v/>
      </c>
      <c r="B43" s="247">
        <f t="shared" ca="1" si="2"/>
        <v>28</v>
      </c>
      <c r="C43" s="514">
        <f ca="1">IF(AUTOEVENTO="Manual",IF($B43&gt;0,OFFSET(EVENTOS!$D$15,$B43-$B$15,0),0),IF(B43&lt;=MAX(CÁLCULO!$M$15:$M$244),VLOOKUP($B43,CÁLCULO!$M$15:$N$244,2,FALSE),0))</f>
        <v>0</v>
      </c>
      <c r="D43" s="554"/>
      <c r="E43" s="248"/>
      <c r="F43" t="str">
        <f t="shared" ca="1" si="3"/>
        <v/>
      </c>
      <c r="G43" s="553"/>
      <c r="H43" s="553"/>
      <c r="I43" s="553"/>
      <c r="J43" s="553"/>
      <c r="K43" s="553"/>
      <c r="L43" s="553"/>
      <c r="M43" s="553"/>
      <c r="N43" s="553"/>
      <c r="O43" s="553"/>
      <c r="P43" s="553"/>
      <c r="Q43" s="553"/>
      <c r="R43" s="553"/>
      <c r="S43" s="553"/>
      <c r="T43" s="553"/>
      <c r="U43" s="553"/>
      <c r="V43" s="553"/>
      <c r="W43" s="553"/>
      <c r="X43" s="553"/>
      <c r="Y43" s="553"/>
      <c r="Z43" s="553"/>
      <c r="AA43" s="553"/>
      <c r="AB43" s="553"/>
      <c r="AC43" s="553"/>
      <c r="AD43" s="553"/>
      <c r="AE43" s="553"/>
      <c r="AF43" s="553"/>
      <c r="AG43" s="553"/>
      <c r="AH43" s="553"/>
      <c r="AI43" s="553"/>
      <c r="AJ43" s="553"/>
      <c r="AK43" s="553"/>
      <c r="AL43" s="553"/>
      <c r="AM43" s="553"/>
      <c r="AN43" s="553"/>
      <c r="AO43" s="553"/>
      <c r="AP43" s="553"/>
      <c r="AQ43" s="553"/>
      <c r="AR43" s="553"/>
      <c r="AS43" s="553"/>
      <c r="AT43" s="553"/>
      <c r="AU43" s="553"/>
      <c r="AV43" s="553"/>
      <c r="AW43" s="553"/>
      <c r="AX43" s="553"/>
      <c r="AY43" s="553"/>
      <c r="AZ43" s="553"/>
      <c r="BA43" s="553"/>
      <c r="BB43" s="553"/>
      <c r="BC43" s="553"/>
      <c r="BD43" s="553"/>
    </row>
    <row r="44" spans="1:56" hidden="1" x14ac:dyDescent="0.2">
      <c r="A44" s="7" t="str">
        <f ca="1">IF(AUTOEVENTO="Manual",IF(EVENTOS!$F44&gt;0,"F",""),IF(AND(B44&gt;0,B44&lt;=MAX(CÁLCULO!$M$15:$M$244)),"F",""))</f>
        <v/>
      </c>
      <c r="B44" s="247">
        <f t="shared" ca="1" si="2"/>
        <v>29</v>
      </c>
      <c r="C44" s="514">
        <f ca="1">IF(AUTOEVENTO="Manual",IF($B44&gt;0,OFFSET(EVENTOS!$D$15,$B44-$B$15,0),0),IF(B44&lt;=MAX(CÁLCULO!$M$15:$M$244),VLOOKUP($B44,CÁLCULO!$M$15:$N$244,2,FALSE),0))</f>
        <v>0</v>
      </c>
      <c r="D44" s="554"/>
      <c r="E44" s="248"/>
      <c r="F44" t="str">
        <f t="shared" ca="1" si="3"/>
        <v/>
      </c>
      <c r="G44" s="553"/>
      <c r="H44" s="553"/>
      <c r="I44" s="553"/>
      <c r="J44" s="553"/>
      <c r="K44" s="553"/>
      <c r="L44" s="553"/>
      <c r="M44" s="553"/>
      <c r="N44" s="553"/>
      <c r="O44" s="553"/>
      <c r="P44" s="553"/>
      <c r="Q44" s="553"/>
      <c r="R44" s="553"/>
      <c r="S44" s="553"/>
      <c r="T44" s="553"/>
      <c r="U44" s="553"/>
      <c r="V44" s="553"/>
      <c r="W44" s="553"/>
      <c r="X44" s="553"/>
      <c r="Y44" s="553"/>
      <c r="Z44" s="553"/>
      <c r="AA44" s="553"/>
      <c r="AB44" s="553"/>
      <c r="AC44" s="553"/>
      <c r="AD44" s="553"/>
      <c r="AE44" s="553"/>
      <c r="AF44" s="553"/>
      <c r="AG44" s="553"/>
      <c r="AH44" s="553"/>
      <c r="AI44" s="553"/>
      <c r="AJ44" s="553"/>
      <c r="AK44" s="553"/>
      <c r="AL44" s="553"/>
      <c r="AM44" s="553"/>
      <c r="AN44" s="553"/>
      <c r="AO44" s="553"/>
      <c r="AP44" s="553"/>
      <c r="AQ44" s="553"/>
      <c r="AR44" s="553"/>
      <c r="AS44" s="553"/>
      <c r="AT44" s="553"/>
      <c r="AU44" s="553"/>
      <c r="AV44" s="553"/>
      <c r="AW44" s="553"/>
      <c r="AX44" s="553"/>
      <c r="AY44" s="553"/>
      <c r="AZ44" s="553"/>
      <c r="BA44" s="553"/>
      <c r="BB44" s="553"/>
      <c r="BC44" s="553"/>
      <c r="BD44" s="553"/>
    </row>
    <row r="45" spans="1:56" hidden="1" x14ac:dyDescent="0.2">
      <c r="A45" s="7" t="str">
        <f ca="1">IF(AUTOEVENTO="Manual",IF(EVENTOS!$F45&gt;0,"F",""),IF(AND(B45&gt;0,B45&lt;=MAX(CÁLCULO!$M$15:$M$244)),"F",""))</f>
        <v/>
      </c>
      <c r="B45" s="247">
        <f t="shared" ca="1" si="2"/>
        <v>30</v>
      </c>
      <c r="C45" s="514">
        <f ca="1">IF(AUTOEVENTO="Manual",IF($B45&gt;0,OFFSET(EVENTOS!$D$15,$B45-$B$15,0),0),IF(B45&lt;=MAX(CÁLCULO!$M$15:$M$244),VLOOKUP($B45,CÁLCULO!$M$15:$N$244,2,FALSE),0))</f>
        <v>0</v>
      </c>
      <c r="D45" s="554"/>
      <c r="E45" s="248"/>
      <c r="F45" t="str">
        <f t="shared" ca="1" si="3"/>
        <v/>
      </c>
      <c r="G45" s="553"/>
      <c r="H45" s="553"/>
      <c r="I45" s="553"/>
      <c r="J45" s="553"/>
      <c r="K45" s="553"/>
      <c r="L45" s="553"/>
      <c r="M45" s="553"/>
      <c r="N45" s="553"/>
      <c r="O45" s="553"/>
      <c r="P45" s="553"/>
      <c r="Q45" s="553"/>
      <c r="R45" s="553"/>
      <c r="S45" s="553"/>
      <c r="T45" s="553"/>
      <c r="U45" s="553"/>
      <c r="V45" s="553"/>
      <c r="W45" s="553"/>
      <c r="X45" s="553"/>
      <c r="Y45" s="553"/>
      <c r="Z45" s="553"/>
      <c r="AA45" s="553"/>
      <c r="AB45" s="553"/>
      <c r="AC45" s="553"/>
      <c r="AD45" s="553"/>
      <c r="AE45" s="553"/>
      <c r="AF45" s="553"/>
      <c r="AG45" s="553"/>
      <c r="AH45" s="553"/>
      <c r="AI45" s="553"/>
      <c r="AJ45" s="553"/>
      <c r="AK45" s="553"/>
      <c r="AL45" s="553"/>
      <c r="AM45" s="553"/>
      <c r="AN45" s="553"/>
      <c r="AO45" s="553"/>
      <c r="AP45" s="553"/>
      <c r="AQ45" s="553"/>
      <c r="AR45" s="553"/>
      <c r="AS45" s="553"/>
      <c r="AT45" s="553"/>
      <c r="AU45" s="553"/>
      <c r="AV45" s="553"/>
      <c r="AW45" s="553"/>
      <c r="AX45" s="553"/>
      <c r="AY45" s="553"/>
      <c r="AZ45" s="553"/>
      <c r="BA45" s="553"/>
      <c r="BB45" s="553"/>
      <c r="BC45" s="553"/>
      <c r="BD45" s="553"/>
    </row>
    <row r="46" spans="1:56" hidden="1" x14ac:dyDescent="0.2">
      <c r="A46" s="7" t="str">
        <f ca="1">IF(AUTOEVENTO="Manual",IF(EVENTOS!$F46&gt;0,"F",""),IF(AND(B46&gt;0,B46&lt;=MAX(CÁLCULO!$M$15:$M$244)),"F",""))</f>
        <v/>
      </c>
      <c r="B46" s="247">
        <f t="shared" ca="1" si="2"/>
        <v>31</v>
      </c>
      <c r="C46" s="514">
        <f ca="1">IF(AUTOEVENTO="Manual",IF($B46&gt;0,OFFSET(EVENTOS!$D$15,$B46-$B$15,0),0),IF(B46&lt;=MAX(CÁLCULO!$M$15:$M$244),VLOOKUP($B46,CÁLCULO!$M$15:$N$244,2,FALSE),0))</f>
        <v>0</v>
      </c>
      <c r="D46" s="554"/>
      <c r="E46" s="248"/>
      <c r="F46" t="str">
        <f t="shared" ca="1" si="3"/>
        <v/>
      </c>
      <c r="G46" s="553"/>
      <c r="H46" s="553"/>
      <c r="I46" s="553"/>
      <c r="J46" s="553"/>
      <c r="K46" s="553"/>
      <c r="L46" s="553"/>
      <c r="M46" s="553"/>
      <c r="N46" s="553"/>
      <c r="O46" s="553"/>
      <c r="P46" s="553"/>
      <c r="Q46" s="553"/>
      <c r="R46" s="553"/>
      <c r="S46" s="553"/>
      <c r="T46" s="553"/>
      <c r="U46" s="553"/>
      <c r="V46" s="553"/>
      <c r="W46" s="553"/>
      <c r="X46" s="553"/>
      <c r="Y46" s="553"/>
      <c r="Z46" s="553"/>
      <c r="AA46" s="553"/>
      <c r="AB46" s="553"/>
      <c r="AC46" s="553"/>
      <c r="AD46" s="553"/>
      <c r="AE46" s="553"/>
      <c r="AF46" s="553"/>
      <c r="AG46" s="553"/>
      <c r="AH46" s="553"/>
      <c r="AI46" s="553"/>
      <c r="AJ46" s="553"/>
      <c r="AK46" s="553"/>
      <c r="AL46" s="553"/>
      <c r="AM46" s="553"/>
      <c r="AN46" s="553"/>
      <c r="AO46" s="553"/>
      <c r="AP46" s="553"/>
      <c r="AQ46" s="553"/>
      <c r="AR46" s="553"/>
      <c r="AS46" s="553"/>
      <c r="AT46" s="553"/>
      <c r="AU46" s="553"/>
      <c r="AV46" s="553"/>
      <c r="AW46" s="553"/>
      <c r="AX46" s="553"/>
      <c r="AY46" s="553"/>
      <c r="AZ46" s="553"/>
      <c r="BA46" s="553"/>
      <c r="BB46" s="553"/>
      <c r="BC46" s="553"/>
      <c r="BD46" s="553"/>
    </row>
    <row r="47" spans="1:56" hidden="1" x14ac:dyDescent="0.2">
      <c r="A47" s="7" t="str">
        <f ca="1">IF(AUTOEVENTO="Manual",IF(EVENTOS!$F47&gt;0,"F",""),IF(AND(B47&gt;0,B47&lt;=MAX(CÁLCULO!$M$15:$M$244)),"F",""))</f>
        <v/>
      </c>
      <c r="B47" s="247">
        <f t="shared" ca="1" si="2"/>
        <v>32</v>
      </c>
      <c r="C47" s="514">
        <f ca="1">IF(AUTOEVENTO="Manual",IF($B47&gt;0,OFFSET(EVENTOS!$D$15,$B47-$B$15,0),0),IF(B47&lt;=MAX(CÁLCULO!$M$15:$M$244),VLOOKUP($B47,CÁLCULO!$M$15:$N$244,2,FALSE),0))</f>
        <v>0</v>
      </c>
      <c r="D47" s="554"/>
      <c r="E47" s="248"/>
      <c r="F47" t="str">
        <f t="shared" ca="1" si="3"/>
        <v/>
      </c>
      <c r="G47" s="553"/>
      <c r="H47" s="553"/>
      <c r="I47" s="553"/>
      <c r="J47" s="553"/>
      <c r="K47" s="553"/>
      <c r="L47" s="553"/>
      <c r="M47" s="553"/>
      <c r="N47" s="553"/>
      <c r="O47" s="553"/>
      <c r="P47" s="553"/>
      <c r="Q47" s="553"/>
      <c r="R47" s="553"/>
      <c r="S47" s="553"/>
      <c r="T47" s="553"/>
      <c r="U47" s="553"/>
      <c r="V47" s="553"/>
      <c r="W47" s="553"/>
      <c r="X47" s="553"/>
      <c r="Y47" s="553"/>
      <c r="Z47" s="553"/>
      <c r="AA47" s="553"/>
      <c r="AB47" s="553"/>
      <c r="AC47" s="553"/>
      <c r="AD47" s="553"/>
      <c r="AE47" s="553"/>
      <c r="AF47" s="553"/>
      <c r="AG47" s="553"/>
      <c r="AH47" s="553"/>
      <c r="AI47" s="553"/>
      <c r="AJ47" s="553"/>
      <c r="AK47" s="553"/>
      <c r="AL47" s="553"/>
      <c r="AM47" s="553"/>
      <c r="AN47" s="553"/>
      <c r="AO47" s="553"/>
      <c r="AP47" s="553"/>
      <c r="AQ47" s="553"/>
      <c r="AR47" s="553"/>
      <c r="AS47" s="553"/>
      <c r="AT47" s="553"/>
      <c r="AU47" s="553"/>
      <c r="AV47" s="553"/>
      <c r="AW47" s="553"/>
      <c r="AX47" s="553"/>
      <c r="AY47" s="553"/>
      <c r="AZ47" s="553"/>
      <c r="BA47" s="553"/>
      <c r="BB47" s="553"/>
      <c r="BC47" s="553"/>
      <c r="BD47" s="553"/>
    </row>
    <row r="48" spans="1:56" hidden="1" x14ac:dyDescent="0.2">
      <c r="A48" s="7" t="str">
        <f ca="1">IF(AUTOEVENTO="Manual",IF(EVENTOS!$F48&gt;0,"F",""),IF(AND(B48&gt;0,B48&lt;=MAX(CÁLCULO!$M$15:$M$244)),"F",""))</f>
        <v/>
      </c>
      <c r="B48" s="247">
        <f t="shared" ca="1" si="2"/>
        <v>33</v>
      </c>
      <c r="C48" s="514">
        <f ca="1">IF(AUTOEVENTO="Manual",IF($B48&gt;0,OFFSET(EVENTOS!$D$15,$B48-$B$15,0),0),IF(B48&lt;=MAX(CÁLCULO!$M$15:$M$244),VLOOKUP($B48,CÁLCULO!$M$15:$N$244,2,FALSE),0))</f>
        <v>0</v>
      </c>
      <c r="D48" s="554"/>
      <c r="E48" s="248"/>
      <c r="F48" t="str">
        <f t="shared" ca="1" si="3"/>
        <v/>
      </c>
      <c r="G48" s="553"/>
      <c r="H48" s="553"/>
      <c r="I48" s="553"/>
      <c r="J48" s="553"/>
      <c r="K48" s="553"/>
      <c r="L48" s="553"/>
      <c r="M48" s="553"/>
      <c r="N48" s="553"/>
      <c r="O48" s="553"/>
      <c r="P48" s="553"/>
      <c r="Q48" s="553"/>
      <c r="R48" s="553"/>
      <c r="S48" s="553"/>
      <c r="T48" s="553"/>
      <c r="U48" s="553"/>
      <c r="V48" s="553"/>
      <c r="W48" s="553"/>
      <c r="X48" s="553"/>
      <c r="Y48" s="553"/>
      <c r="Z48" s="553"/>
      <c r="AA48" s="553"/>
      <c r="AB48" s="553"/>
      <c r="AC48" s="553"/>
      <c r="AD48" s="553"/>
      <c r="AE48" s="553"/>
      <c r="AF48" s="553"/>
      <c r="AG48" s="553"/>
      <c r="AH48" s="553"/>
      <c r="AI48" s="553"/>
      <c r="AJ48" s="553"/>
      <c r="AK48" s="553"/>
      <c r="AL48" s="553"/>
      <c r="AM48" s="553"/>
      <c r="AN48" s="553"/>
      <c r="AO48" s="553"/>
      <c r="AP48" s="553"/>
      <c r="AQ48" s="553"/>
      <c r="AR48" s="553"/>
      <c r="AS48" s="553"/>
      <c r="AT48" s="553"/>
      <c r="AU48" s="553"/>
      <c r="AV48" s="553"/>
      <c r="AW48" s="553"/>
      <c r="AX48" s="553"/>
      <c r="AY48" s="553"/>
      <c r="AZ48" s="553"/>
      <c r="BA48" s="553"/>
      <c r="BB48" s="553"/>
      <c r="BC48" s="553"/>
      <c r="BD48" s="553"/>
    </row>
    <row r="49" spans="1:56" hidden="1" x14ac:dyDescent="0.2">
      <c r="A49" s="7" t="str">
        <f ca="1">IF(AUTOEVENTO="Manual",IF(EVENTOS!$F49&gt;0,"F",""),IF(AND(B49&gt;0,B49&lt;=MAX(CÁLCULO!$M$15:$M$244)),"F",""))</f>
        <v/>
      </c>
      <c r="B49" s="247">
        <f t="shared" ca="1" si="2"/>
        <v>34</v>
      </c>
      <c r="C49" s="514">
        <f ca="1">IF(AUTOEVENTO="Manual",IF($B49&gt;0,OFFSET(EVENTOS!$D$15,$B49-$B$15,0),0),IF(B49&lt;=MAX(CÁLCULO!$M$15:$M$244),VLOOKUP($B49,CÁLCULO!$M$15:$N$244,2,FALSE),0))</f>
        <v>0</v>
      </c>
      <c r="D49" s="554"/>
      <c r="E49" s="248"/>
      <c r="F49" t="str">
        <f t="shared" ca="1" si="3"/>
        <v/>
      </c>
      <c r="G49" s="553"/>
      <c r="H49" s="553"/>
      <c r="I49" s="553"/>
      <c r="J49" s="553"/>
      <c r="K49" s="553"/>
      <c r="L49" s="553"/>
      <c r="M49" s="553"/>
      <c r="N49" s="553"/>
      <c r="O49" s="553"/>
      <c r="P49" s="553"/>
      <c r="Q49" s="553"/>
      <c r="R49" s="553"/>
      <c r="S49" s="553"/>
      <c r="T49" s="553"/>
      <c r="U49" s="553"/>
      <c r="V49" s="553"/>
      <c r="W49" s="553"/>
      <c r="X49" s="553"/>
      <c r="Y49" s="553"/>
      <c r="Z49" s="553"/>
      <c r="AA49" s="553"/>
      <c r="AB49" s="553"/>
      <c r="AC49" s="553"/>
      <c r="AD49" s="553"/>
      <c r="AE49" s="553"/>
      <c r="AF49" s="553"/>
      <c r="AG49" s="553"/>
      <c r="AH49" s="553"/>
      <c r="AI49" s="553"/>
      <c r="AJ49" s="553"/>
      <c r="AK49" s="553"/>
      <c r="AL49" s="553"/>
      <c r="AM49" s="553"/>
      <c r="AN49" s="553"/>
      <c r="AO49" s="553"/>
      <c r="AP49" s="553"/>
      <c r="AQ49" s="553"/>
      <c r="AR49" s="553"/>
      <c r="AS49" s="553"/>
      <c r="AT49" s="553"/>
      <c r="AU49" s="553"/>
      <c r="AV49" s="553"/>
      <c r="AW49" s="553"/>
      <c r="AX49" s="553"/>
      <c r="AY49" s="553"/>
      <c r="AZ49" s="553"/>
      <c r="BA49" s="553"/>
      <c r="BB49" s="553"/>
      <c r="BC49" s="553"/>
      <c r="BD49" s="553"/>
    </row>
    <row r="50" spans="1:56" hidden="1" x14ac:dyDescent="0.2">
      <c r="A50" s="7" t="str">
        <f ca="1">IF(AUTOEVENTO="Manual",IF(EVENTOS!$F50&gt;0,"F",""),IF(AND(B50&gt;0,B50&lt;=MAX(CÁLCULO!$M$15:$M$244)),"F",""))</f>
        <v/>
      </c>
      <c r="B50" s="247">
        <f t="shared" ca="1" si="2"/>
        <v>35</v>
      </c>
      <c r="C50" s="514">
        <f ca="1">IF(AUTOEVENTO="Manual",IF($B50&gt;0,OFFSET(EVENTOS!$D$15,$B50-$B$15,0),0),IF(B50&lt;=MAX(CÁLCULO!$M$15:$M$244),VLOOKUP($B50,CÁLCULO!$M$15:$N$244,2,FALSE),0))</f>
        <v>0</v>
      </c>
      <c r="D50" s="554"/>
      <c r="E50" s="248"/>
      <c r="F50" t="str">
        <f t="shared" ca="1" si="3"/>
        <v/>
      </c>
      <c r="G50" s="553"/>
      <c r="H50" s="553"/>
      <c r="I50" s="553"/>
      <c r="J50" s="553"/>
      <c r="K50" s="553"/>
      <c r="L50" s="553"/>
      <c r="M50" s="553"/>
      <c r="N50" s="553"/>
      <c r="O50" s="553"/>
      <c r="P50" s="553"/>
      <c r="Q50" s="553"/>
      <c r="R50" s="553"/>
      <c r="S50" s="553"/>
      <c r="T50" s="553"/>
      <c r="U50" s="553"/>
      <c r="V50" s="553"/>
      <c r="W50" s="553"/>
      <c r="X50" s="553"/>
      <c r="Y50" s="553"/>
      <c r="Z50" s="553"/>
      <c r="AA50" s="553"/>
      <c r="AB50" s="553"/>
      <c r="AC50" s="553"/>
      <c r="AD50" s="553"/>
      <c r="AE50" s="553"/>
      <c r="AF50" s="553"/>
      <c r="AG50" s="553"/>
      <c r="AH50" s="553"/>
      <c r="AI50" s="553"/>
      <c r="AJ50" s="553"/>
      <c r="AK50" s="553"/>
      <c r="AL50" s="553"/>
      <c r="AM50" s="553"/>
      <c r="AN50" s="553"/>
      <c r="AO50" s="553"/>
      <c r="AP50" s="553"/>
      <c r="AQ50" s="553"/>
      <c r="AR50" s="553"/>
      <c r="AS50" s="553"/>
      <c r="AT50" s="553"/>
      <c r="AU50" s="553"/>
      <c r="AV50" s="553"/>
      <c r="AW50" s="553"/>
      <c r="AX50" s="553"/>
      <c r="AY50" s="553"/>
      <c r="AZ50" s="553"/>
      <c r="BA50" s="553"/>
      <c r="BB50" s="553"/>
      <c r="BC50" s="553"/>
      <c r="BD50" s="553"/>
    </row>
    <row r="51" spans="1:56" hidden="1" x14ac:dyDescent="0.2">
      <c r="A51" s="7" t="str">
        <f ca="1">IF(AUTOEVENTO="Manual",IF(EVENTOS!$F51&gt;0,"F",""),IF(AND(B51&gt;0,B51&lt;=MAX(CÁLCULO!$M$15:$M$244)),"F",""))</f>
        <v/>
      </c>
      <c r="B51" s="247">
        <f t="shared" ca="1" si="2"/>
        <v>36</v>
      </c>
      <c r="C51" s="514">
        <f ca="1">IF(AUTOEVENTO="Manual",IF($B51&gt;0,OFFSET(EVENTOS!$D$15,$B51-$B$15,0),0),IF(B51&lt;=MAX(CÁLCULO!$M$15:$M$244),VLOOKUP($B51,CÁLCULO!$M$15:$N$244,2,FALSE),0))</f>
        <v>0</v>
      </c>
      <c r="D51" s="554"/>
      <c r="E51" s="248"/>
      <c r="F51" t="str">
        <f t="shared" ca="1" si="3"/>
        <v/>
      </c>
      <c r="G51" s="553"/>
      <c r="H51" s="553"/>
      <c r="I51" s="553"/>
      <c r="J51" s="553"/>
      <c r="K51" s="553"/>
      <c r="L51" s="553"/>
      <c r="M51" s="553"/>
      <c r="N51" s="553"/>
      <c r="O51" s="553"/>
      <c r="P51" s="553"/>
      <c r="Q51" s="553"/>
      <c r="R51" s="553"/>
      <c r="S51" s="553"/>
      <c r="T51" s="553"/>
      <c r="U51" s="553"/>
      <c r="V51" s="553"/>
      <c r="W51" s="553"/>
      <c r="X51" s="553"/>
      <c r="Y51" s="553"/>
      <c r="Z51" s="553"/>
      <c r="AA51" s="553"/>
      <c r="AB51" s="553"/>
      <c r="AC51" s="553"/>
      <c r="AD51" s="553"/>
      <c r="AE51" s="553"/>
      <c r="AF51" s="553"/>
      <c r="AG51" s="553"/>
      <c r="AH51" s="553"/>
      <c r="AI51" s="553"/>
      <c r="AJ51" s="553"/>
      <c r="AK51" s="553"/>
      <c r="AL51" s="553"/>
      <c r="AM51" s="553"/>
      <c r="AN51" s="553"/>
      <c r="AO51" s="553"/>
      <c r="AP51" s="553"/>
      <c r="AQ51" s="553"/>
      <c r="AR51" s="553"/>
      <c r="AS51" s="553"/>
      <c r="AT51" s="553"/>
      <c r="AU51" s="553"/>
      <c r="AV51" s="553"/>
      <c r="AW51" s="553"/>
      <c r="AX51" s="553"/>
      <c r="AY51" s="553"/>
      <c r="AZ51" s="553"/>
      <c r="BA51" s="553"/>
      <c r="BB51" s="553"/>
      <c r="BC51" s="553"/>
      <c r="BD51" s="553"/>
    </row>
    <row r="52" spans="1:56" hidden="1" x14ac:dyDescent="0.2">
      <c r="A52" s="7" t="str">
        <f ca="1">IF(AUTOEVENTO="Manual",IF(EVENTOS!$F52&gt;0,"F",""),IF(AND(B52&gt;0,B52&lt;=MAX(CÁLCULO!$M$15:$M$244)),"F",""))</f>
        <v/>
      </c>
      <c r="B52" s="247">
        <f t="shared" ca="1" si="2"/>
        <v>37</v>
      </c>
      <c r="C52" s="514">
        <f ca="1">IF(AUTOEVENTO="Manual",IF($B52&gt;0,OFFSET(EVENTOS!$D$15,$B52-$B$15,0),0),IF(B52&lt;=MAX(CÁLCULO!$M$15:$M$244),VLOOKUP($B52,CÁLCULO!$M$15:$N$244,2,FALSE),0))</f>
        <v>0</v>
      </c>
      <c r="D52" s="554"/>
      <c r="E52" s="248"/>
      <c r="F52" t="str">
        <f t="shared" ca="1" si="3"/>
        <v/>
      </c>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c r="AF52" s="553"/>
      <c r="AG52" s="553"/>
      <c r="AH52" s="553"/>
      <c r="AI52" s="553"/>
      <c r="AJ52" s="553"/>
      <c r="AK52" s="553"/>
      <c r="AL52" s="553"/>
      <c r="AM52" s="553"/>
      <c r="AN52" s="553"/>
      <c r="AO52" s="553"/>
      <c r="AP52" s="553"/>
      <c r="AQ52" s="553"/>
      <c r="AR52" s="553"/>
      <c r="AS52" s="553"/>
      <c r="AT52" s="553"/>
      <c r="AU52" s="553"/>
      <c r="AV52" s="553"/>
      <c r="AW52" s="553"/>
      <c r="AX52" s="553"/>
      <c r="AY52" s="553"/>
      <c r="AZ52" s="553"/>
      <c r="BA52" s="553"/>
      <c r="BB52" s="553"/>
      <c r="BC52" s="553"/>
      <c r="BD52" s="553"/>
    </row>
    <row r="53" spans="1:56" hidden="1" x14ac:dyDescent="0.2">
      <c r="A53" s="7" t="str">
        <f ca="1">IF(AUTOEVENTO="Manual",IF(EVENTOS!$F53&gt;0,"F",""),IF(AND(B53&gt;0,B53&lt;=MAX(CÁLCULO!$M$15:$M$244)),"F",""))</f>
        <v/>
      </c>
      <c r="B53" s="247">
        <f t="shared" ca="1" si="2"/>
        <v>38</v>
      </c>
      <c r="C53" s="514">
        <f ca="1">IF(AUTOEVENTO="Manual",IF($B53&gt;0,OFFSET(EVENTOS!$D$15,$B53-$B$15,0),0),IF(B53&lt;=MAX(CÁLCULO!$M$15:$M$244),VLOOKUP($B53,CÁLCULO!$M$15:$N$244,2,FALSE),0))</f>
        <v>0</v>
      </c>
      <c r="D53" s="554"/>
      <c r="E53" s="248"/>
      <c r="F53" t="str">
        <f t="shared" ca="1" si="3"/>
        <v/>
      </c>
      <c r="G53" s="553"/>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c r="AF53" s="553"/>
      <c r="AG53" s="553"/>
      <c r="AH53" s="553"/>
      <c r="AI53" s="553"/>
      <c r="AJ53" s="553"/>
      <c r="AK53" s="553"/>
      <c r="AL53" s="553"/>
      <c r="AM53" s="553"/>
      <c r="AN53" s="553"/>
      <c r="AO53" s="553"/>
      <c r="AP53" s="553"/>
      <c r="AQ53" s="553"/>
      <c r="AR53" s="553"/>
      <c r="AS53" s="553"/>
      <c r="AT53" s="553"/>
      <c r="AU53" s="553"/>
      <c r="AV53" s="553"/>
      <c r="AW53" s="553"/>
      <c r="AX53" s="553"/>
      <c r="AY53" s="553"/>
      <c r="AZ53" s="553"/>
      <c r="BA53" s="553"/>
      <c r="BB53" s="553"/>
      <c r="BC53" s="553"/>
      <c r="BD53" s="553"/>
    </row>
    <row r="54" spans="1:56" hidden="1" x14ac:dyDescent="0.2">
      <c r="A54" s="7" t="str">
        <f ca="1">IF(AUTOEVENTO="Manual",IF(EVENTOS!$F54&gt;0,"F",""),IF(AND(B54&gt;0,B54&lt;=MAX(CÁLCULO!$M$15:$M$244)),"F",""))</f>
        <v/>
      </c>
      <c r="B54" s="247">
        <f t="shared" ca="1" si="2"/>
        <v>39</v>
      </c>
      <c r="C54" s="514">
        <f ca="1">IF(AUTOEVENTO="Manual",IF($B54&gt;0,OFFSET(EVENTOS!$D$15,$B54-$B$15,0),0),IF(B54&lt;=MAX(CÁLCULO!$M$15:$M$244),VLOOKUP($B54,CÁLCULO!$M$15:$N$244,2,FALSE),0))</f>
        <v>0</v>
      </c>
      <c r="D54" s="554"/>
      <c r="E54" s="248"/>
      <c r="F54" t="str">
        <f t="shared" ca="1" si="3"/>
        <v/>
      </c>
      <c r="G54" s="553"/>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c r="AF54" s="553"/>
      <c r="AG54" s="553"/>
      <c r="AH54" s="553"/>
      <c r="AI54" s="553"/>
      <c r="AJ54" s="553"/>
      <c r="AK54" s="553"/>
      <c r="AL54" s="553"/>
      <c r="AM54" s="553"/>
      <c r="AN54" s="553"/>
      <c r="AO54" s="553"/>
      <c r="AP54" s="553"/>
      <c r="AQ54" s="553"/>
      <c r="AR54" s="553"/>
      <c r="AS54" s="553"/>
      <c r="AT54" s="553"/>
      <c r="AU54" s="553"/>
      <c r="AV54" s="553"/>
      <c r="AW54" s="553"/>
      <c r="AX54" s="553"/>
      <c r="AY54" s="553"/>
      <c r="AZ54" s="553"/>
      <c r="BA54" s="553"/>
      <c r="BB54" s="553"/>
      <c r="BC54" s="553"/>
      <c r="BD54" s="553"/>
    </row>
    <row r="55" spans="1:56" hidden="1" x14ac:dyDescent="0.2">
      <c r="A55" s="7" t="str">
        <f ca="1">IF(AUTOEVENTO="Manual",IF(EVENTOS!$F55&gt;0,"F",""),IF(AND(B55&gt;0,B55&lt;=MAX(CÁLCULO!$M$15:$M$244)),"F",""))</f>
        <v/>
      </c>
      <c r="B55" s="247">
        <f t="shared" ca="1" si="2"/>
        <v>40</v>
      </c>
      <c r="C55" s="514">
        <f ca="1">IF(AUTOEVENTO="Manual",IF($B55&gt;0,OFFSET(EVENTOS!$D$15,$B55-$B$15,0),0),IF(B55&lt;=MAX(CÁLCULO!$M$15:$M$244),VLOOKUP($B55,CÁLCULO!$M$15:$N$244,2,FALSE),0))</f>
        <v>0</v>
      </c>
      <c r="D55" s="554"/>
      <c r="E55" s="248"/>
      <c r="F55" t="str">
        <f t="shared" ca="1" si="3"/>
        <v/>
      </c>
      <c r="G55" s="553"/>
      <c r="H55" s="553"/>
      <c r="I55" s="553"/>
      <c r="J55" s="553"/>
      <c r="K55" s="553"/>
      <c r="L55" s="553"/>
      <c r="M55" s="553"/>
      <c r="N55" s="553"/>
      <c r="O55" s="553"/>
      <c r="P55" s="553"/>
      <c r="Q55" s="553"/>
      <c r="R55" s="553"/>
      <c r="S55" s="553"/>
      <c r="T55" s="553"/>
      <c r="U55" s="553"/>
      <c r="V55" s="553"/>
      <c r="W55" s="553"/>
      <c r="X55" s="553"/>
      <c r="Y55" s="553"/>
      <c r="Z55" s="553"/>
      <c r="AA55" s="553"/>
      <c r="AB55" s="553"/>
      <c r="AC55" s="553"/>
      <c r="AD55" s="553"/>
      <c r="AE55" s="553"/>
      <c r="AF55" s="553"/>
      <c r="AG55" s="553"/>
      <c r="AH55" s="553"/>
      <c r="AI55" s="553"/>
      <c r="AJ55" s="553"/>
      <c r="AK55" s="553"/>
      <c r="AL55" s="553"/>
      <c r="AM55" s="553"/>
      <c r="AN55" s="553"/>
      <c r="AO55" s="553"/>
      <c r="AP55" s="553"/>
      <c r="AQ55" s="553"/>
      <c r="AR55" s="553"/>
      <c r="AS55" s="553"/>
      <c r="AT55" s="553"/>
      <c r="AU55" s="553"/>
      <c r="AV55" s="553"/>
      <c r="AW55" s="553"/>
      <c r="AX55" s="553"/>
      <c r="AY55" s="553"/>
      <c r="AZ55" s="553"/>
      <c r="BA55" s="553"/>
      <c r="BB55" s="553"/>
      <c r="BC55" s="553"/>
      <c r="BD55" s="553"/>
    </row>
    <row r="56" spans="1:56" hidden="1" x14ac:dyDescent="0.2">
      <c r="A56" s="7" t="str">
        <f ca="1">IF(AUTOEVENTO="Manual",IF(EVENTOS!$F56&gt;0,"F",""),IF(AND(B56&gt;0,B56&lt;=MAX(CÁLCULO!$M$15:$M$244)),"F",""))</f>
        <v/>
      </c>
      <c r="B56" s="247">
        <f t="shared" ca="1" si="2"/>
        <v>41</v>
      </c>
      <c r="C56" s="514">
        <f ca="1">IF(AUTOEVENTO="Manual",IF($B56&gt;0,OFFSET(EVENTOS!$D$15,$B56-$B$15,0),0),IF(B56&lt;=MAX(CÁLCULO!$M$15:$M$244),VLOOKUP($B56,CÁLCULO!$M$15:$N$244,2,FALSE),0))</f>
        <v>0</v>
      </c>
      <c r="D56" s="554"/>
      <c r="E56" s="248"/>
      <c r="F56" t="str">
        <f t="shared" ca="1" si="3"/>
        <v/>
      </c>
      <c r="G56" s="553"/>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c r="AF56" s="553"/>
      <c r="AG56" s="553"/>
      <c r="AH56" s="553"/>
      <c r="AI56" s="553"/>
      <c r="AJ56" s="553"/>
      <c r="AK56" s="553"/>
      <c r="AL56" s="553"/>
      <c r="AM56" s="553"/>
      <c r="AN56" s="553"/>
      <c r="AO56" s="553"/>
      <c r="AP56" s="553"/>
      <c r="AQ56" s="553"/>
      <c r="AR56" s="553"/>
      <c r="AS56" s="553"/>
      <c r="AT56" s="553"/>
      <c r="AU56" s="553"/>
      <c r="AV56" s="553"/>
      <c r="AW56" s="553"/>
      <c r="AX56" s="553"/>
      <c r="AY56" s="553"/>
      <c r="AZ56" s="553"/>
      <c r="BA56" s="553"/>
      <c r="BB56" s="553"/>
      <c r="BC56" s="553"/>
      <c r="BD56" s="553"/>
    </row>
    <row r="57" spans="1:56" ht="5.0999999999999996" customHeight="1" x14ac:dyDescent="0.2">
      <c r="A57" t="s">
        <v>536</v>
      </c>
      <c r="B57" s="638"/>
      <c r="C57" s="433"/>
      <c r="D57" s="555"/>
      <c r="E57" s="262"/>
      <c r="F57" s="262"/>
      <c r="G57" s="638"/>
      <c r="H57" s="639"/>
      <c r="I57" s="639"/>
      <c r="J57" s="639"/>
      <c r="K57" s="639"/>
      <c r="L57" s="639"/>
      <c r="M57" s="639"/>
      <c r="N57" s="639"/>
      <c r="O57" s="639"/>
      <c r="P57" s="639"/>
      <c r="Q57" s="639"/>
      <c r="R57" s="639"/>
      <c r="S57" s="639"/>
      <c r="T57" s="639"/>
      <c r="U57" s="639"/>
      <c r="V57" s="639"/>
      <c r="W57" s="639"/>
      <c r="X57" s="639"/>
      <c r="Y57" s="639"/>
      <c r="Z57" s="639"/>
      <c r="AA57" s="639"/>
      <c r="AB57" s="639"/>
      <c r="AC57" s="639"/>
      <c r="AD57" s="639"/>
      <c r="AE57" s="433"/>
      <c r="AF57" s="638"/>
      <c r="AG57" s="639"/>
      <c r="AH57" s="639"/>
      <c r="AI57" s="639"/>
      <c r="AJ57" s="639"/>
      <c r="AK57" s="639"/>
      <c r="AL57" s="639"/>
      <c r="AM57" s="639"/>
      <c r="AN57" s="639"/>
      <c r="AO57" s="639"/>
      <c r="AP57" s="639"/>
      <c r="AQ57" s="639"/>
      <c r="AR57" s="639"/>
      <c r="AS57" s="639"/>
      <c r="AT57" s="639"/>
      <c r="AU57" s="639"/>
      <c r="AV57" s="639"/>
      <c r="AW57" s="639"/>
      <c r="AX57" s="639"/>
      <c r="AY57" s="639"/>
      <c r="AZ57" s="639"/>
      <c r="BA57" s="639"/>
      <c r="BB57" s="639"/>
      <c r="BC57" s="639"/>
      <c r="BD57" s="433"/>
    </row>
    <row r="58" spans="1:56" ht="6" customHeight="1" x14ac:dyDescent="0.2">
      <c r="A58" s="7" t="s">
        <v>536</v>
      </c>
    </row>
    <row r="59" spans="1:56" ht="15" x14ac:dyDescent="0.2">
      <c r="A59" s="7" t="s">
        <v>536</v>
      </c>
      <c r="C59" s="486" t="s">
        <v>779</v>
      </c>
      <c r="H59" s="756">
        <f>(ROW($G59)-ROW($G$59))/8*12+1</f>
        <v>1</v>
      </c>
      <c r="I59" s="756"/>
      <c r="J59" s="756">
        <f>H59+1</f>
        <v>2</v>
      </c>
      <c r="K59" s="756"/>
      <c r="L59" s="756">
        <f>J59+1</f>
        <v>3</v>
      </c>
      <c r="M59" s="756"/>
      <c r="N59" s="756">
        <f>L59+1</f>
        <v>4</v>
      </c>
      <c r="O59" s="756"/>
      <c r="P59" s="756">
        <f>N59+1</f>
        <v>5</v>
      </c>
      <c r="Q59" s="756"/>
      <c r="R59" s="756">
        <f>P59+1</f>
        <v>6</v>
      </c>
      <c r="S59" s="756"/>
      <c r="T59" s="756">
        <f>R59+1</f>
        <v>7</v>
      </c>
      <c r="U59" s="756"/>
      <c r="V59" s="756">
        <f>T59+1</f>
        <v>8</v>
      </c>
      <c r="W59" s="756"/>
      <c r="X59" s="756">
        <f>V59+1</f>
        <v>9</v>
      </c>
      <c r="Y59" s="756"/>
      <c r="Z59" s="756">
        <f>X59+1</f>
        <v>10</v>
      </c>
      <c r="AA59" s="756"/>
      <c r="AB59" s="756">
        <f>Z59+1</f>
        <v>11</v>
      </c>
      <c r="AC59" s="756"/>
      <c r="AD59" s="756">
        <f>AB59+1</f>
        <v>12</v>
      </c>
      <c r="AE59" s="756"/>
      <c r="AG59" s="756">
        <f>(ROW($G59)-ROW($G$59))/8*12+1</f>
        <v>1</v>
      </c>
      <c r="AH59" s="756"/>
      <c r="AI59" s="756">
        <f>AG59+1</f>
        <v>2</v>
      </c>
      <c r="AJ59" s="756"/>
      <c r="AK59" s="756">
        <f>AI59+1</f>
        <v>3</v>
      </c>
      <c r="AL59" s="756"/>
      <c r="AM59" s="756">
        <f>AK59+1</f>
        <v>4</v>
      </c>
      <c r="AN59" s="756"/>
      <c r="AO59" s="756">
        <f>AM59+1</f>
        <v>5</v>
      </c>
      <c r="AP59" s="756"/>
      <c r="AQ59" s="756">
        <f>AO59+1</f>
        <v>6</v>
      </c>
      <c r="AR59" s="756"/>
      <c r="AS59" s="756">
        <f>AQ59+1</f>
        <v>7</v>
      </c>
      <c r="AT59" s="756"/>
      <c r="AU59" s="756">
        <f>AS59+1</f>
        <v>8</v>
      </c>
      <c r="AV59" s="756"/>
      <c r="AW59" s="756">
        <f>AU59+1</f>
        <v>9</v>
      </c>
      <c r="AX59" s="756"/>
      <c r="AY59" s="756">
        <f>AW59+1</f>
        <v>10</v>
      </c>
      <c r="AZ59" s="756"/>
      <c r="BA59" s="756">
        <f>AY59+1</f>
        <v>11</v>
      </c>
      <c r="BB59" s="756"/>
      <c r="BC59" s="756">
        <f>BA59+1</f>
        <v>12</v>
      </c>
      <c r="BD59" s="756"/>
    </row>
    <row r="60" spans="1:56" ht="12.75" customHeight="1" x14ac:dyDescent="0.2">
      <c r="A60" s="7" t="s">
        <v>536</v>
      </c>
      <c r="C60" s="753" t="s">
        <v>780</v>
      </c>
      <c r="G60" s="551" t="s">
        <v>781</v>
      </c>
      <c r="H60" s="747" t="e">
        <f ca="1">OFFSET(CRONO!$T$165,0,CRONOPLE!H59)</f>
        <v>#DIV/0!</v>
      </c>
      <c r="I60" s="747"/>
      <c r="J60" s="747" t="e">
        <f ca="1">OFFSET(CRONO!$T$165,0,CRONOPLE!J59)</f>
        <v>#DIV/0!</v>
      </c>
      <c r="K60" s="747"/>
      <c r="L60" s="747" t="e">
        <f ca="1">OFFSET(CRONO!$T$165,0,CRONOPLE!L59)</f>
        <v>#DIV/0!</v>
      </c>
      <c r="M60" s="747"/>
      <c r="N60" s="747" t="e">
        <f ca="1">OFFSET(CRONO!$T$165,0,CRONOPLE!N59)</f>
        <v>#DIV/0!</v>
      </c>
      <c r="O60" s="747"/>
      <c r="P60" s="747" t="e">
        <f ca="1">OFFSET(CRONO!$T$165,0,CRONOPLE!P59)</f>
        <v>#DIV/0!</v>
      </c>
      <c r="Q60" s="747"/>
      <c r="R60" s="747" t="e">
        <f ca="1">OFFSET(CRONO!$T$165,0,CRONOPLE!R59)</f>
        <v>#DIV/0!</v>
      </c>
      <c r="S60" s="747"/>
      <c r="T60" s="747" t="e">
        <f ca="1">OFFSET(CRONO!$T$165,0,CRONOPLE!T59)</f>
        <v>#DIV/0!</v>
      </c>
      <c r="U60" s="747"/>
      <c r="V60" s="747" t="e">
        <f ca="1">OFFSET(CRONO!$T$165,0,CRONOPLE!V59)</f>
        <v>#DIV/0!</v>
      </c>
      <c r="W60" s="747"/>
      <c r="X60" s="747" t="e">
        <f ca="1">OFFSET(CRONO!$T$165,0,CRONOPLE!X59)</f>
        <v>#DIV/0!</v>
      </c>
      <c r="Y60" s="747"/>
      <c r="Z60" s="747" t="e">
        <f ca="1">OFFSET(CRONO!$T$165,0,CRONOPLE!Z59)</f>
        <v>#DIV/0!</v>
      </c>
      <c r="AA60" s="747"/>
      <c r="AB60" s="747" t="e">
        <f ca="1">OFFSET(CRONO!$T$165,0,CRONOPLE!AB59)</f>
        <v>#DIV/0!</v>
      </c>
      <c r="AC60" s="747"/>
      <c r="AD60" s="747" t="e">
        <f ca="1">OFFSET(CRONO!$T$165,0,CRONOPLE!AD59)</f>
        <v>#DIV/0!</v>
      </c>
      <c r="AE60" s="747"/>
      <c r="AF60" s="551" t="s">
        <v>781</v>
      </c>
      <c r="AG60" s="747" t="e">
        <f ca="1">OFFSET(CRONO!$T$165,0,CRONOPLE!AG59)</f>
        <v>#DIV/0!</v>
      </c>
      <c r="AH60" s="747"/>
      <c r="AI60" s="747" t="e">
        <f ca="1">OFFSET(CRONO!$T$165,0,CRONOPLE!AI59)</f>
        <v>#DIV/0!</v>
      </c>
      <c r="AJ60" s="747"/>
      <c r="AK60" s="747" t="e">
        <f ca="1">OFFSET(CRONO!$T$165,0,CRONOPLE!AK59)</f>
        <v>#DIV/0!</v>
      </c>
      <c r="AL60" s="747"/>
      <c r="AM60" s="747" t="e">
        <f ca="1">OFFSET(CRONO!$T$165,0,CRONOPLE!AM59)</f>
        <v>#DIV/0!</v>
      </c>
      <c r="AN60" s="747"/>
      <c r="AO60" s="747" t="e">
        <f ca="1">OFFSET(CRONO!$T$165,0,CRONOPLE!AO59)</f>
        <v>#DIV/0!</v>
      </c>
      <c r="AP60" s="747"/>
      <c r="AQ60" s="747" t="e">
        <f ca="1">OFFSET(CRONO!$T$165,0,CRONOPLE!AQ59)</f>
        <v>#DIV/0!</v>
      </c>
      <c r="AR60" s="747"/>
      <c r="AS60" s="747" t="e">
        <f ca="1">OFFSET(CRONO!$T$165,0,CRONOPLE!AS59)</f>
        <v>#DIV/0!</v>
      </c>
      <c r="AT60" s="747"/>
      <c r="AU60" s="747" t="e">
        <f ca="1">OFFSET(CRONO!$T$165,0,CRONOPLE!AU59)</f>
        <v>#DIV/0!</v>
      </c>
      <c r="AV60" s="747"/>
      <c r="AW60" s="747" t="e">
        <f ca="1">OFFSET(CRONO!$T$165,0,CRONOPLE!AW59)</f>
        <v>#DIV/0!</v>
      </c>
      <c r="AX60" s="747"/>
      <c r="AY60" s="747" t="e">
        <f ca="1">OFFSET(CRONO!$T$165,0,CRONOPLE!AY59)</f>
        <v>#DIV/0!</v>
      </c>
      <c r="AZ60" s="747"/>
      <c r="BA60" s="747" t="e">
        <f ca="1">OFFSET(CRONO!$T$165,0,CRONOPLE!BA59)</f>
        <v>#DIV/0!</v>
      </c>
      <c r="BB60" s="747"/>
      <c r="BC60" s="747" t="e">
        <f ca="1">OFFSET(CRONO!$T$165,0,CRONOPLE!BC59)</f>
        <v>#DIV/0!</v>
      </c>
      <c r="BD60" s="747"/>
    </row>
    <row r="61" spans="1:56" ht="12.75" customHeight="1" x14ac:dyDescent="0.2">
      <c r="A61" s="7" t="s">
        <v>536</v>
      </c>
      <c r="C61" s="757"/>
      <c r="G61" s="487" t="s">
        <v>782</v>
      </c>
      <c r="H61" s="755">
        <f ca="1">OFFSET(CRONO!$T$169,0,CRONOPLE!H59)</f>
        <v>0</v>
      </c>
      <c r="I61" s="755"/>
      <c r="J61" s="751">
        <f ca="1">OFFSET(CRONO!$T$169,0,CRONOPLE!J59)</f>
        <v>0</v>
      </c>
      <c r="K61" s="752"/>
      <c r="L61" s="751">
        <f ca="1">OFFSET(CRONO!$T$169,0,CRONOPLE!L59)</f>
        <v>0</v>
      </c>
      <c r="M61" s="752"/>
      <c r="N61" s="751">
        <f ca="1">OFFSET(CRONO!$T$169,0,CRONOPLE!N59)</f>
        <v>0</v>
      </c>
      <c r="O61" s="752"/>
      <c r="P61" s="751">
        <f ca="1">OFFSET(CRONO!$T$169,0,CRONOPLE!P59)</f>
        <v>0</v>
      </c>
      <c r="Q61" s="752"/>
      <c r="R61" s="751">
        <f ca="1">OFFSET(CRONO!$T$169,0,CRONOPLE!R59)</f>
        <v>0</v>
      </c>
      <c r="S61" s="752"/>
      <c r="T61" s="751">
        <f ca="1">OFFSET(CRONO!$T$169,0,CRONOPLE!T59)</f>
        <v>0</v>
      </c>
      <c r="U61" s="752"/>
      <c r="V61" s="751">
        <f ca="1">OFFSET(CRONO!$T$169,0,CRONOPLE!V59)</f>
        <v>0</v>
      </c>
      <c r="W61" s="752"/>
      <c r="X61" s="751">
        <f ca="1">OFFSET(CRONO!$T$169,0,CRONOPLE!X59)</f>
        <v>0</v>
      </c>
      <c r="Y61" s="752"/>
      <c r="Z61" s="751">
        <f ca="1">OFFSET(CRONO!$T$169,0,CRONOPLE!Z59)</f>
        <v>0</v>
      </c>
      <c r="AA61" s="752"/>
      <c r="AB61" s="751">
        <f ca="1">OFFSET(CRONO!$T$169,0,CRONOPLE!AB59)</f>
        <v>0</v>
      </c>
      <c r="AC61" s="752"/>
      <c r="AD61" s="751">
        <f ca="1">OFFSET(CRONO!$T$169,0,CRONOPLE!AD59)</f>
        <v>0</v>
      </c>
      <c r="AE61" s="752"/>
      <c r="AF61" s="487" t="s">
        <v>782</v>
      </c>
      <c r="AG61" s="755">
        <f ca="1">OFFSET(CRONO!$T$169,0,CRONOPLE!AG59)</f>
        <v>0</v>
      </c>
      <c r="AH61" s="755"/>
      <c r="AI61" s="751">
        <f ca="1">OFFSET(CRONO!$T$169,0,CRONOPLE!AI59)</f>
        <v>0</v>
      </c>
      <c r="AJ61" s="752"/>
      <c r="AK61" s="751">
        <f ca="1">OFFSET(CRONO!$T$169,0,CRONOPLE!AK59)</f>
        <v>0</v>
      </c>
      <c r="AL61" s="752"/>
      <c r="AM61" s="751">
        <f ca="1">OFFSET(CRONO!$T$169,0,CRONOPLE!AM59)</f>
        <v>0</v>
      </c>
      <c r="AN61" s="752"/>
      <c r="AO61" s="751">
        <f ca="1">OFFSET(CRONO!$T$169,0,CRONOPLE!AO59)</f>
        <v>0</v>
      </c>
      <c r="AP61" s="752"/>
      <c r="AQ61" s="751">
        <f ca="1">OFFSET(CRONO!$T$169,0,CRONOPLE!AQ59)</f>
        <v>0</v>
      </c>
      <c r="AR61" s="752"/>
      <c r="AS61" s="751">
        <f ca="1">OFFSET(CRONO!$T$169,0,CRONOPLE!AS59)</f>
        <v>0</v>
      </c>
      <c r="AT61" s="752"/>
      <c r="AU61" s="751">
        <f ca="1">OFFSET(CRONO!$T$169,0,CRONOPLE!AU59)</f>
        <v>0</v>
      </c>
      <c r="AV61" s="752"/>
      <c r="AW61" s="751">
        <f ca="1">OFFSET(CRONO!$T$169,0,CRONOPLE!AW59)</f>
        <v>0</v>
      </c>
      <c r="AX61" s="752"/>
      <c r="AY61" s="751">
        <f ca="1">OFFSET(CRONO!$T$169,0,CRONOPLE!AY59)</f>
        <v>0</v>
      </c>
      <c r="AZ61" s="752"/>
      <c r="BA61" s="751">
        <f ca="1">OFFSET(CRONO!$T$169,0,CRONOPLE!BA59)</f>
        <v>0</v>
      </c>
      <c r="BB61" s="752"/>
      <c r="BC61" s="751">
        <f ca="1">OFFSET(CRONO!$T$169,0,CRONOPLE!BC59)</f>
        <v>0</v>
      </c>
      <c r="BD61" s="752"/>
    </row>
    <row r="62" spans="1:56" ht="12.75" customHeight="1" x14ac:dyDescent="0.2">
      <c r="A62" s="7" t="s">
        <v>536</v>
      </c>
      <c r="C62" s="753" t="s">
        <v>783</v>
      </c>
      <c r="G62" s="551" t="s">
        <v>781</v>
      </c>
      <c r="H62" s="747" t="e">
        <f ca="1">OFFSET(CRONO!$T$170,0,CRONOPLE!H59)</f>
        <v>#DIV/0!</v>
      </c>
      <c r="I62" s="747"/>
      <c r="J62" s="748" t="e">
        <f ca="1">OFFSET(CRONO!$T$170,0,CRONOPLE!J59)</f>
        <v>#DIV/0!</v>
      </c>
      <c r="K62" s="749"/>
      <c r="L62" s="748" t="e">
        <f ca="1">OFFSET(CRONO!$T$170,0,CRONOPLE!L59)</f>
        <v>#DIV/0!</v>
      </c>
      <c r="M62" s="749"/>
      <c r="N62" s="748" t="e">
        <f ca="1">OFFSET(CRONO!$T$170,0,CRONOPLE!N59)</f>
        <v>#DIV/0!</v>
      </c>
      <c r="O62" s="749"/>
      <c r="P62" s="748" t="e">
        <f ca="1">OFFSET(CRONO!$T$170,0,CRONOPLE!P59)</f>
        <v>#DIV/0!</v>
      </c>
      <c r="Q62" s="749"/>
      <c r="R62" s="748" t="e">
        <f ca="1">OFFSET(CRONO!$T$170,0,CRONOPLE!R59)</f>
        <v>#DIV/0!</v>
      </c>
      <c r="S62" s="749"/>
      <c r="T62" s="748" t="e">
        <f ca="1">OFFSET(CRONO!$T$170,0,CRONOPLE!T59)</f>
        <v>#DIV/0!</v>
      </c>
      <c r="U62" s="749"/>
      <c r="V62" s="748" t="e">
        <f ca="1">OFFSET(CRONO!$T$170,0,CRONOPLE!V59)</f>
        <v>#DIV/0!</v>
      </c>
      <c r="W62" s="749"/>
      <c r="X62" s="748" t="e">
        <f ca="1">OFFSET(CRONO!$T$170,0,CRONOPLE!X59)</f>
        <v>#DIV/0!</v>
      </c>
      <c r="Y62" s="749"/>
      <c r="Z62" s="748" t="e">
        <f ca="1">OFFSET(CRONO!$T$170,0,CRONOPLE!Z59)</f>
        <v>#DIV/0!</v>
      </c>
      <c r="AA62" s="749"/>
      <c r="AB62" s="748" t="e">
        <f ca="1">OFFSET(CRONO!$T$170,0,CRONOPLE!AB59)</f>
        <v>#DIV/0!</v>
      </c>
      <c r="AC62" s="749"/>
      <c r="AD62" s="748" t="e">
        <f ca="1">OFFSET(CRONO!$T$170,0,CRONOPLE!AD59)</f>
        <v>#DIV/0!</v>
      </c>
      <c r="AE62" s="749"/>
      <c r="AF62" s="551" t="s">
        <v>781</v>
      </c>
      <c r="AG62" s="747" t="e">
        <f ca="1">OFFSET(CRONO!$T$170,0,CRONOPLE!AG59)</f>
        <v>#DIV/0!</v>
      </c>
      <c r="AH62" s="747"/>
      <c r="AI62" s="748" t="e">
        <f ca="1">OFFSET(CRONO!$T$170,0,CRONOPLE!AI59)</f>
        <v>#DIV/0!</v>
      </c>
      <c r="AJ62" s="749"/>
      <c r="AK62" s="748" t="e">
        <f ca="1">OFFSET(CRONO!$T$170,0,CRONOPLE!AK59)</f>
        <v>#DIV/0!</v>
      </c>
      <c r="AL62" s="749"/>
      <c r="AM62" s="748" t="e">
        <f ca="1">OFFSET(CRONO!$T$170,0,CRONOPLE!AM59)</f>
        <v>#DIV/0!</v>
      </c>
      <c r="AN62" s="749"/>
      <c r="AO62" s="748" t="e">
        <f ca="1">OFFSET(CRONO!$T$170,0,CRONOPLE!AO59)</f>
        <v>#DIV/0!</v>
      </c>
      <c r="AP62" s="749"/>
      <c r="AQ62" s="748" t="e">
        <f ca="1">OFFSET(CRONO!$T$170,0,CRONOPLE!AQ59)</f>
        <v>#DIV/0!</v>
      </c>
      <c r="AR62" s="749"/>
      <c r="AS62" s="748" t="e">
        <f ca="1">OFFSET(CRONO!$T$170,0,CRONOPLE!AS59)</f>
        <v>#DIV/0!</v>
      </c>
      <c r="AT62" s="749"/>
      <c r="AU62" s="748" t="e">
        <f ca="1">OFFSET(CRONO!$T$170,0,CRONOPLE!AU59)</f>
        <v>#DIV/0!</v>
      </c>
      <c r="AV62" s="749"/>
      <c r="AW62" s="748" t="e">
        <f ca="1">OFFSET(CRONO!$T$170,0,CRONOPLE!AW59)</f>
        <v>#DIV/0!</v>
      </c>
      <c r="AX62" s="749"/>
      <c r="AY62" s="748" t="e">
        <f ca="1">OFFSET(CRONO!$T$170,0,CRONOPLE!AY59)</f>
        <v>#DIV/0!</v>
      </c>
      <c r="AZ62" s="749"/>
      <c r="BA62" s="748" t="e">
        <f ca="1">OFFSET(CRONO!$T$170,0,CRONOPLE!BA59)</f>
        <v>#DIV/0!</v>
      </c>
      <c r="BB62" s="749"/>
      <c r="BC62" s="748" t="e">
        <f ca="1">OFFSET(CRONO!$T$170,0,CRONOPLE!BC59)</f>
        <v>#DIV/0!</v>
      </c>
      <c r="BD62" s="749"/>
    </row>
    <row r="63" spans="1:56" ht="12.75" customHeight="1" x14ac:dyDescent="0.2">
      <c r="A63" s="7" t="s">
        <v>536</v>
      </c>
      <c r="C63" s="754"/>
      <c r="G63" s="487" t="s">
        <v>782</v>
      </c>
      <c r="H63" s="750">
        <f ca="1">OFFSET(CRONO!$T$174,0,CRONOPLE!H59)</f>
        <v>0</v>
      </c>
      <c r="I63" s="750"/>
      <c r="J63" s="745">
        <f ca="1">OFFSET(CRONO!$T$174,0,CRONOPLE!J59)</f>
        <v>0</v>
      </c>
      <c r="K63" s="746"/>
      <c r="L63" s="745">
        <f ca="1">OFFSET(CRONO!$T$174,0,CRONOPLE!L59)</f>
        <v>0</v>
      </c>
      <c r="M63" s="746"/>
      <c r="N63" s="745">
        <f ca="1">OFFSET(CRONO!$T$174,0,CRONOPLE!N59)</f>
        <v>0</v>
      </c>
      <c r="O63" s="746"/>
      <c r="P63" s="745">
        <f ca="1">OFFSET(CRONO!$T$174,0,CRONOPLE!P59)</f>
        <v>0</v>
      </c>
      <c r="Q63" s="746"/>
      <c r="R63" s="745">
        <f ca="1">OFFSET(CRONO!$T$174,0,CRONOPLE!R59)</f>
        <v>0</v>
      </c>
      <c r="S63" s="746"/>
      <c r="T63" s="745">
        <f ca="1">OFFSET(CRONO!$T$174,0,CRONOPLE!T59)</f>
        <v>0</v>
      </c>
      <c r="U63" s="746"/>
      <c r="V63" s="745">
        <f ca="1">OFFSET(CRONO!$T$174,0,CRONOPLE!V59)</f>
        <v>0</v>
      </c>
      <c r="W63" s="746"/>
      <c r="X63" s="745">
        <f ca="1">OFFSET(CRONO!$T$174,0,CRONOPLE!X59)</f>
        <v>0</v>
      </c>
      <c r="Y63" s="746"/>
      <c r="Z63" s="745">
        <f ca="1">OFFSET(CRONO!$T$174,0,CRONOPLE!Z59)</f>
        <v>0</v>
      </c>
      <c r="AA63" s="746"/>
      <c r="AB63" s="745">
        <f ca="1">OFFSET(CRONO!$T$174,0,CRONOPLE!AB59)</f>
        <v>0</v>
      </c>
      <c r="AC63" s="746"/>
      <c r="AD63" s="745">
        <f ca="1">OFFSET(CRONO!$T$174,0,CRONOPLE!AD59)</f>
        <v>0</v>
      </c>
      <c r="AE63" s="746"/>
      <c r="AF63" s="487" t="s">
        <v>782</v>
      </c>
      <c r="AG63" s="750">
        <f ca="1">OFFSET(CRONO!$T$174,0,CRONOPLE!AG59)</f>
        <v>0</v>
      </c>
      <c r="AH63" s="750"/>
      <c r="AI63" s="745">
        <f ca="1">OFFSET(CRONO!$T$174,0,CRONOPLE!AI59)</f>
        <v>0</v>
      </c>
      <c r="AJ63" s="746"/>
      <c r="AK63" s="745">
        <f ca="1">OFFSET(CRONO!$T$174,0,CRONOPLE!AK59)</f>
        <v>0</v>
      </c>
      <c r="AL63" s="746"/>
      <c r="AM63" s="745">
        <f ca="1">OFFSET(CRONO!$T$174,0,CRONOPLE!AM59)</f>
        <v>0</v>
      </c>
      <c r="AN63" s="746"/>
      <c r="AO63" s="745">
        <f ca="1">OFFSET(CRONO!$T$174,0,CRONOPLE!AO59)</f>
        <v>0</v>
      </c>
      <c r="AP63" s="746"/>
      <c r="AQ63" s="745">
        <f ca="1">OFFSET(CRONO!$T$174,0,CRONOPLE!AQ59)</f>
        <v>0</v>
      </c>
      <c r="AR63" s="746"/>
      <c r="AS63" s="745">
        <f ca="1">OFFSET(CRONO!$T$174,0,CRONOPLE!AS59)</f>
        <v>0</v>
      </c>
      <c r="AT63" s="746"/>
      <c r="AU63" s="745">
        <f ca="1">OFFSET(CRONO!$T$174,0,CRONOPLE!AU59)</f>
        <v>0</v>
      </c>
      <c r="AV63" s="746"/>
      <c r="AW63" s="745">
        <f ca="1">OFFSET(CRONO!$T$174,0,CRONOPLE!AW59)</f>
        <v>0</v>
      </c>
      <c r="AX63" s="746"/>
      <c r="AY63" s="745">
        <f ca="1">OFFSET(CRONO!$T$174,0,CRONOPLE!AY59)</f>
        <v>0</v>
      </c>
      <c r="AZ63" s="746"/>
      <c r="BA63" s="745">
        <f ca="1">OFFSET(CRONO!$T$174,0,CRONOPLE!BA59)</f>
        <v>0</v>
      </c>
      <c r="BB63" s="746"/>
      <c r="BC63" s="745">
        <f ca="1">OFFSET(CRONO!$T$174,0,CRONOPLE!BC59)</f>
        <v>0</v>
      </c>
      <c r="BD63" s="746"/>
    </row>
    <row r="64" spans="1:56" ht="12.75" customHeight="1" x14ac:dyDescent="0.2">
      <c r="A64" s="7" t="s">
        <v>536</v>
      </c>
      <c r="C64" s="552" t="s">
        <v>784</v>
      </c>
      <c r="D64" s="550"/>
      <c r="G64" s="551" t="s">
        <v>781</v>
      </c>
      <c r="H64" s="747" t="e">
        <f ca="1">OFFSET(CRONO!$T$175,0,CRONOPLE!H59)</f>
        <v>#DIV/0!</v>
      </c>
      <c r="I64" s="747"/>
      <c r="J64" s="743" t="e">
        <f ca="1">OFFSET(CRONO!$T$175,0,CRONOPLE!J59)</f>
        <v>#DIV/0!</v>
      </c>
      <c r="K64" s="744"/>
      <c r="L64" s="743" t="e">
        <f ca="1">OFFSET(CRONO!$T$175,0,CRONOPLE!L59)</f>
        <v>#DIV/0!</v>
      </c>
      <c r="M64" s="744"/>
      <c r="N64" s="743" t="e">
        <f ca="1">OFFSET(CRONO!$T$175,0,CRONOPLE!N59)</f>
        <v>#DIV/0!</v>
      </c>
      <c r="O64" s="744"/>
      <c r="P64" s="743" t="e">
        <f ca="1">OFFSET(CRONO!$T$175,0,CRONOPLE!P59)</f>
        <v>#DIV/0!</v>
      </c>
      <c r="Q64" s="744"/>
      <c r="R64" s="743" t="e">
        <f ca="1">OFFSET(CRONO!$T$175,0,CRONOPLE!R59)</f>
        <v>#DIV/0!</v>
      </c>
      <c r="S64" s="744"/>
      <c r="T64" s="743" t="e">
        <f ca="1">OFFSET(CRONO!$T$175,0,CRONOPLE!T59)</f>
        <v>#DIV/0!</v>
      </c>
      <c r="U64" s="744"/>
      <c r="V64" s="743" t="e">
        <f ca="1">OFFSET(CRONO!$T$175,0,CRONOPLE!V59)</f>
        <v>#DIV/0!</v>
      </c>
      <c r="W64" s="744"/>
      <c r="X64" s="743" t="e">
        <f ca="1">OFFSET(CRONO!$T$175,0,CRONOPLE!X59)</f>
        <v>#DIV/0!</v>
      </c>
      <c r="Y64" s="744"/>
      <c r="Z64" s="743" t="e">
        <f ca="1">OFFSET(CRONO!$T$175,0,CRONOPLE!Z59)</f>
        <v>#DIV/0!</v>
      </c>
      <c r="AA64" s="744"/>
      <c r="AB64" s="743" t="e">
        <f ca="1">OFFSET(CRONO!$T$175,0,CRONOPLE!AB59)</f>
        <v>#DIV/0!</v>
      </c>
      <c r="AC64" s="744"/>
      <c r="AD64" s="743" t="e">
        <f ca="1">OFFSET(CRONO!$T$175,0,CRONOPLE!AD59)</f>
        <v>#DIV/0!</v>
      </c>
      <c r="AE64" s="744"/>
      <c r="AF64" s="551" t="s">
        <v>781</v>
      </c>
      <c r="AG64" s="747" t="e">
        <f ca="1">OFFSET(CRONO!$T$175,0,CRONOPLE!AG59)</f>
        <v>#DIV/0!</v>
      </c>
      <c r="AH64" s="747"/>
      <c r="AI64" s="743" t="e">
        <f ca="1">OFFSET(CRONO!$T$175,0,CRONOPLE!AI59)</f>
        <v>#DIV/0!</v>
      </c>
      <c r="AJ64" s="744"/>
      <c r="AK64" s="743" t="e">
        <f ca="1">OFFSET(CRONO!$T$175,0,CRONOPLE!AK59)</f>
        <v>#DIV/0!</v>
      </c>
      <c r="AL64" s="744"/>
      <c r="AM64" s="743" t="e">
        <f ca="1">OFFSET(CRONO!$T$175,0,CRONOPLE!AM59)</f>
        <v>#DIV/0!</v>
      </c>
      <c r="AN64" s="744"/>
      <c r="AO64" s="743" t="e">
        <f ca="1">OFFSET(CRONO!$T$175,0,CRONOPLE!AO59)</f>
        <v>#DIV/0!</v>
      </c>
      <c r="AP64" s="744"/>
      <c r="AQ64" s="743" t="e">
        <f ca="1">OFFSET(CRONO!$T$175,0,CRONOPLE!AQ59)</f>
        <v>#DIV/0!</v>
      </c>
      <c r="AR64" s="744"/>
      <c r="AS64" s="743" t="e">
        <f ca="1">OFFSET(CRONO!$T$175,0,CRONOPLE!AS59)</f>
        <v>#DIV/0!</v>
      </c>
      <c r="AT64" s="744"/>
      <c r="AU64" s="743" t="e">
        <f ca="1">OFFSET(CRONO!$T$175,0,CRONOPLE!AU59)</f>
        <v>#DIV/0!</v>
      </c>
      <c r="AV64" s="744"/>
      <c r="AW64" s="743" t="e">
        <f ca="1">OFFSET(CRONO!$T$175,0,CRONOPLE!AW59)</f>
        <v>#DIV/0!</v>
      </c>
      <c r="AX64" s="744"/>
      <c r="AY64" s="743" t="e">
        <f ca="1">OFFSET(CRONO!$T$175,0,CRONOPLE!AY59)</f>
        <v>#DIV/0!</v>
      </c>
      <c r="AZ64" s="744"/>
      <c r="BA64" s="743" t="e">
        <f ca="1">OFFSET(CRONO!$T$175,0,CRONOPLE!BA59)</f>
        <v>#DIV/0!</v>
      </c>
      <c r="BB64" s="744"/>
      <c r="BC64" s="743" t="e">
        <f ca="1">OFFSET(CRONO!$T$175,0,CRONOPLE!BC59)</f>
        <v>#DIV/0!</v>
      </c>
      <c r="BD64" s="744"/>
    </row>
    <row r="65" spans="1:56" ht="15" customHeight="1" x14ac:dyDescent="0.25">
      <c r="A65" s="7" t="s">
        <v>536</v>
      </c>
      <c r="C65" s="549"/>
      <c r="G65" s="583" t="str">
        <f ca="1">IF(COUNTIF(H65:BE65,"%Adm&gt;%Global")&gt;0,"Verificar proporcionalidade da Administração Local","")</f>
        <v/>
      </c>
      <c r="H65" s="535" t="e">
        <f ca="1">IF(H64="","",IF(ROUND(H64,4)&gt;ROUND(H62,4),"%Adm&gt;%Global",""))</f>
        <v>#DIV/0!</v>
      </c>
      <c r="J65" s="535" t="e">
        <f t="shared" ref="J65" ca="1" si="4">IF(J64="","",IF(ROUND(J64,4)&gt;ROUND(J62,4),"%Adm&gt;%Global",""))</f>
        <v>#DIV/0!</v>
      </c>
      <c r="L65" s="535" t="e">
        <f t="shared" ref="L65" ca="1" si="5">IF(L64="","",IF(ROUND(L64,4)&gt;ROUND(L62,4),"%Adm&gt;%Global",""))</f>
        <v>#DIV/0!</v>
      </c>
      <c r="N65" s="535" t="e">
        <f t="shared" ref="N65" ca="1" si="6">IF(N64="","",IF(ROUND(N64,4)&gt;ROUND(N62,4),"%Adm&gt;%Global",""))</f>
        <v>#DIV/0!</v>
      </c>
      <c r="P65" s="535" t="e">
        <f t="shared" ref="P65" ca="1" si="7">IF(P64="","",IF(ROUND(P64,4)&gt;ROUND(P62,4),"%Adm&gt;%Global",""))</f>
        <v>#DIV/0!</v>
      </c>
      <c r="R65" s="535" t="e">
        <f t="shared" ref="R65" ca="1" si="8">IF(R64="","",IF(ROUND(R64,4)&gt;ROUND(R62,4),"%Adm&gt;%Global",""))</f>
        <v>#DIV/0!</v>
      </c>
      <c r="T65" s="535" t="e">
        <f t="shared" ref="T65" ca="1" si="9">IF(T64="","",IF(ROUND(T64,4)&gt;ROUND(T62,4),"%Adm&gt;%Global",""))</f>
        <v>#DIV/0!</v>
      </c>
      <c r="V65" s="535" t="e">
        <f t="shared" ref="V65" ca="1" si="10">IF(V64="","",IF(ROUND(V64,4)&gt;ROUND(V62,4),"%Adm&gt;%Global",""))</f>
        <v>#DIV/0!</v>
      </c>
      <c r="X65" s="535" t="e">
        <f t="shared" ref="X65" ca="1" si="11">IF(X64="","",IF(ROUND(X64,4)&gt;ROUND(X62,4),"%Adm&gt;%Global",""))</f>
        <v>#DIV/0!</v>
      </c>
      <c r="Z65" s="535" t="e">
        <f t="shared" ref="Z65" ca="1" si="12">IF(Z64="","",IF(ROUND(Z64,4)&gt;ROUND(Z62,4),"%Adm&gt;%Global",""))</f>
        <v>#DIV/0!</v>
      </c>
      <c r="AB65" s="535" t="e">
        <f t="shared" ref="AB65" ca="1" si="13">IF(AB64="","",IF(ROUND(AB64,4)&gt;ROUND(AB62,4),"%Adm&gt;%Global",""))</f>
        <v>#DIV/0!</v>
      </c>
      <c r="AD65" s="535" t="e">
        <f t="shared" ref="AD65" ca="1" si="14">IF(AD64="","",IF(ROUND(AD64,4)&gt;ROUND(AD62,4),"%Adm&gt;%Global",""))</f>
        <v>#DIV/0!</v>
      </c>
      <c r="AF65" s="583" t="str">
        <f ca="1">IF(COUNTIF(AG65:CD65,"%Adm&gt;%Global")&gt;0,"Verificar proporcionalidade da Administração Local","")</f>
        <v/>
      </c>
      <c r="AG65" s="535" t="e">
        <f ca="1">IF(AG64="","",IF(ROUND(AG64,4)&gt;ROUND(AG62,4),"%Adm&gt;%Global",""))</f>
        <v>#DIV/0!</v>
      </c>
      <c r="AI65" s="535" t="e">
        <f t="shared" ref="AI65" ca="1" si="15">IF(AI64="","",IF(ROUND(AI64,4)&gt;ROUND(AI62,4),"%Adm&gt;%Global",""))</f>
        <v>#DIV/0!</v>
      </c>
      <c r="AK65" s="535" t="e">
        <f t="shared" ref="AK65" ca="1" si="16">IF(AK64="","",IF(ROUND(AK64,4)&gt;ROUND(AK62,4),"%Adm&gt;%Global",""))</f>
        <v>#DIV/0!</v>
      </c>
      <c r="AM65" s="535" t="e">
        <f t="shared" ref="AM65" ca="1" si="17">IF(AM64="","",IF(ROUND(AM64,4)&gt;ROUND(AM62,4),"%Adm&gt;%Global",""))</f>
        <v>#DIV/0!</v>
      </c>
      <c r="AO65" s="535" t="e">
        <f t="shared" ref="AO65" ca="1" si="18">IF(AO64="","",IF(ROUND(AO64,4)&gt;ROUND(AO62,4),"%Adm&gt;%Global",""))</f>
        <v>#DIV/0!</v>
      </c>
      <c r="AQ65" s="535" t="e">
        <f t="shared" ref="AQ65" ca="1" si="19">IF(AQ64="","",IF(ROUND(AQ64,4)&gt;ROUND(AQ62,4),"%Adm&gt;%Global",""))</f>
        <v>#DIV/0!</v>
      </c>
      <c r="AS65" s="535" t="e">
        <f t="shared" ref="AS65" ca="1" si="20">IF(AS64="","",IF(ROUND(AS64,4)&gt;ROUND(AS62,4),"%Adm&gt;%Global",""))</f>
        <v>#DIV/0!</v>
      </c>
      <c r="AU65" s="535" t="e">
        <f t="shared" ref="AU65" ca="1" si="21">IF(AU64="","",IF(ROUND(AU64,4)&gt;ROUND(AU62,4),"%Adm&gt;%Global",""))</f>
        <v>#DIV/0!</v>
      </c>
      <c r="AW65" s="535" t="e">
        <f t="shared" ref="AW65" ca="1" si="22">IF(AW64="","",IF(ROUND(AW64,4)&gt;ROUND(AW62,4),"%Adm&gt;%Global",""))</f>
        <v>#DIV/0!</v>
      </c>
      <c r="AY65" s="535" t="e">
        <f t="shared" ref="AY65" ca="1" si="23">IF(AY64="","",IF(ROUND(AY64,4)&gt;ROUND(AY62,4),"%Adm&gt;%Global",""))</f>
        <v>#DIV/0!</v>
      </c>
      <c r="BA65" s="535" t="e">
        <f t="shared" ref="BA65" ca="1" si="24">IF(BA64="","",IF(ROUND(BA64,4)&gt;ROUND(BA62,4),"%Adm&gt;%Global",""))</f>
        <v>#DIV/0!</v>
      </c>
      <c r="BC65" s="535" t="e">
        <f t="shared" ref="BC65" ca="1" si="25">IF(BC64="","",IF(ROUND(BC64,4)&gt;ROUND(BC62,4),"%Adm&gt;%Global",""))</f>
        <v>#DIV/0!</v>
      </c>
    </row>
    <row r="66" spans="1:56" ht="6" customHeight="1" x14ac:dyDescent="0.2">
      <c r="A66" s="7" t="s">
        <v>536</v>
      </c>
    </row>
    <row r="67" spans="1:56" ht="15" x14ac:dyDescent="0.2">
      <c r="A67" s="7" t="s">
        <v>536</v>
      </c>
      <c r="C67" s="486" t="s">
        <v>779</v>
      </c>
      <c r="H67" s="756">
        <f>(ROW($G67)-ROW($G$59))/8*12+1</f>
        <v>13</v>
      </c>
      <c r="I67" s="756"/>
      <c r="J67" s="756">
        <f>H67+1</f>
        <v>14</v>
      </c>
      <c r="K67" s="756"/>
      <c r="L67" s="756">
        <f>J67+1</f>
        <v>15</v>
      </c>
      <c r="M67" s="756"/>
      <c r="N67" s="756">
        <f>L67+1</f>
        <v>16</v>
      </c>
      <c r="O67" s="756"/>
      <c r="P67" s="756">
        <f>N67+1</f>
        <v>17</v>
      </c>
      <c r="Q67" s="756"/>
      <c r="R67" s="756">
        <f>P67+1</f>
        <v>18</v>
      </c>
      <c r="S67" s="756"/>
      <c r="T67" s="756">
        <f>R67+1</f>
        <v>19</v>
      </c>
      <c r="U67" s="756"/>
      <c r="V67" s="756">
        <f>T67+1</f>
        <v>20</v>
      </c>
      <c r="W67" s="756"/>
      <c r="X67" s="756">
        <f>V67+1</f>
        <v>21</v>
      </c>
      <c r="Y67" s="756"/>
      <c r="Z67" s="756">
        <f>X67+1</f>
        <v>22</v>
      </c>
      <c r="AA67" s="756"/>
      <c r="AB67" s="756">
        <f>Z67+1</f>
        <v>23</v>
      </c>
      <c r="AC67" s="756"/>
      <c r="AD67" s="756">
        <f>AB67+1</f>
        <v>24</v>
      </c>
      <c r="AE67" s="756"/>
      <c r="AG67" s="756">
        <f>(ROW($G67)-ROW($G$59))/8*12+1</f>
        <v>13</v>
      </c>
      <c r="AH67" s="756"/>
      <c r="AI67" s="756">
        <f>AG67+1</f>
        <v>14</v>
      </c>
      <c r="AJ67" s="756"/>
      <c r="AK67" s="756">
        <f>AI67+1</f>
        <v>15</v>
      </c>
      <c r="AL67" s="756"/>
      <c r="AM67" s="756">
        <f>AK67+1</f>
        <v>16</v>
      </c>
      <c r="AN67" s="756"/>
      <c r="AO67" s="756">
        <f>AM67+1</f>
        <v>17</v>
      </c>
      <c r="AP67" s="756"/>
      <c r="AQ67" s="756">
        <f>AO67+1</f>
        <v>18</v>
      </c>
      <c r="AR67" s="756"/>
      <c r="AS67" s="756">
        <f>AQ67+1</f>
        <v>19</v>
      </c>
      <c r="AT67" s="756"/>
      <c r="AU67" s="756">
        <f>AS67+1</f>
        <v>20</v>
      </c>
      <c r="AV67" s="756"/>
      <c r="AW67" s="756">
        <f>AU67+1</f>
        <v>21</v>
      </c>
      <c r="AX67" s="756"/>
      <c r="AY67" s="756">
        <f>AW67+1</f>
        <v>22</v>
      </c>
      <c r="AZ67" s="756"/>
      <c r="BA67" s="756">
        <f>AY67+1</f>
        <v>23</v>
      </c>
      <c r="BB67" s="756"/>
      <c r="BC67" s="756">
        <f>BA67+1</f>
        <v>24</v>
      </c>
      <c r="BD67" s="756"/>
    </row>
    <row r="68" spans="1:56" ht="12.75" customHeight="1" x14ac:dyDescent="0.2">
      <c r="A68" s="7" t="s">
        <v>536</v>
      </c>
      <c r="C68" s="753" t="s">
        <v>780</v>
      </c>
      <c r="G68" s="551" t="s">
        <v>781</v>
      </c>
      <c r="H68" s="747" t="e">
        <f ca="1">OFFSET(CRONO!$T$165,0,CRONOPLE!H67)</f>
        <v>#DIV/0!</v>
      </c>
      <c r="I68" s="747"/>
      <c r="J68" s="747" t="e">
        <f ca="1">OFFSET(CRONO!$T$165,0,CRONOPLE!J67)</f>
        <v>#DIV/0!</v>
      </c>
      <c r="K68" s="747"/>
      <c r="L68" s="747" t="e">
        <f ca="1">OFFSET(CRONO!$T$165,0,CRONOPLE!L67)</f>
        <v>#DIV/0!</v>
      </c>
      <c r="M68" s="747"/>
      <c r="N68" s="747" t="e">
        <f ca="1">OFFSET(CRONO!$T$165,0,CRONOPLE!N67)</f>
        <v>#DIV/0!</v>
      </c>
      <c r="O68" s="747"/>
      <c r="P68" s="747" t="e">
        <f ca="1">OFFSET(CRONO!$T$165,0,CRONOPLE!P67)</f>
        <v>#DIV/0!</v>
      </c>
      <c r="Q68" s="747"/>
      <c r="R68" s="747" t="e">
        <f ca="1">OFFSET(CRONO!$T$165,0,CRONOPLE!R67)</f>
        <v>#DIV/0!</v>
      </c>
      <c r="S68" s="747"/>
      <c r="T68" s="747" t="e">
        <f ca="1">OFFSET(CRONO!$T$165,0,CRONOPLE!T67)</f>
        <v>#DIV/0!</v>
      </c>
      <c r="U68" s="747"/>
      <c r="V68" s="747" t="e">
        <f ca="1">OFFSET(CRONO!$T$165,0,CRONOPLE!V67)</f>
        <v>#DIV/0!</v>
      </c>
      <c r="W68" s="747"/>
      <c r="X68" s="747" t="e">
        <f ca="1">OFFSET(CRONO!$T$165,0,CRONOPLE!X67)</f>
        <v>#DIV/0!</v>
      </c>
      <c r="Y68" s="747"/>
      <c r="Z68" s="747" t="e">
        <f ca="1">OFFSET(CRONO!$T$165,0,CRONOPLE!Z67)</f>
        <v>#DIV/0!</v>
      </c>
      <c r="AA68" s="747"/>
      <c r="AB68" s="747" t="e">
        <f ca="1">OFFSET(CRONO!$T$165,0,CRONOPLE!AB67)</f>
        <v>#DIV/0!</v>
      </c>
      <c r="AC68" s="747"/>
      <c r="AD68" s="747" t="e">
        <f ca="1">OFFSET(CRONO!$T$165,0,CRONOPLE!AD67)</f>
        <v>#DIV/0!</v>
      </c>
      <c r="AE68" s="747"/>
      <c r="AF68" s="551" t="s">
        <v>781</v>
      </c>
      <c r="AG68" s="747" t="e">
        <f ca="1">OFFSET(CRONO!$T$165,0,CRONOPLE!AG67)</f>
        <v>#DIV/0!</v>
      </c>
      <c r="AH68" s="747"/>
      <c r="AI68" s="747" t="e">
        <f ca="1">OFFSET(CRONO!$T$165,0,CRONOPLE!AI67)</f>
        <v>#DIV/0!</v>
      </c>
      <c r="AJ68" s="747"/>
      <c r="AK68" s="747" t="e">
        <f ca="1">OFFSET(CRONO!$T$165,0,CRONOPLE!AK67)</f>
        <v>#DIV/0!</v>
      </c>
      <c r="AL68" s="747"/>
      <c r="AM68" s="747" t="e">
        <f ca="1">OFFSET(CRONO!$T$165,0,CRONOPLE!AM67)</f>
        <v>#DIV/0!</v>
      </c>
      <c r="AN68" s="747"/>
      <c r="AO68" s="747" t="e">
        <f ca="1">OFFSET(CRONO!$T$165,0,CRONOPLE!AO67)</f>
        <v>#DIV/0!</v>
      </c>
      <c r="AP68" s="747"/>
      <c r="AQ68" s="747" t="e">
        <f ca="1">OFFSET(CRONO!$T$165,0,CRONOPLE!AQ67)</f>
        <v>#DIV/0!</v>
      </c>
      <c r="AR68" s="747"/>
      <c r="AS68" s="747" t="e">
        <f ca="1">OFFSET(CRONO!$T$165,0,CRONOPLE!AS67)</f>
        <v>#DIV/0!</v>
      </c>
      <c r="AT68" s="747"/>
      <c r="AU68" s="747" t="e">
        <f ca="1">OFFSET(CRONO!$T$165,0,CRONOPLE!AU67)</f>
        <v>#DIV/0!</v>
      </c>
      <c r="AV68" s="747"/>
      <c r="AW68" s="747" t="e">
        <f ca="1">OFFSET(CRONO!$T$165,0,CRONOPLE!AW67)</f>
        <v>#DIV/0!</v>
      </c>
      <c r="AX68" s="747"/>
      <c r="AY68" s="747" t="e">
        <f ca="1">OFFSET(CRONO!$T$165,0,CRONOPLE!AY67)</f>
        <v>#DIV/0!</v>
      </c>
      <c r="AZ68" s="747"/>
      <c r="BA68" s="747" t="e">
        <f ca="1">OFFSET(CRONO!$T$165,0,CRONOPLE!BA67)</f>
        <v>#DIV/0!</v>
      </c>
      <c r="BB68" s="747"/>
      <c r="BC68" s="747" t="e">
        <f ca="1">OFFSET(CRONO!$T$165,0,CRONOPLE!BC67)</f>
        <v>#DIV/0!</v>
      </c>
      <c r="BD68" s="747"/>
    </row>
    <row r="69" spans="1:56" ht="12.75" customHeight="1" x14ac:dyDescent="0.2">
      <c r="A69" s="7" t="s">
        <v>536</v>
      </c>
      <c r="C69" s="757"/>
      <c r="G69" s="487" t="s">
        <v>782</v>
      </c>
      <c r="H69" s="755">
        <f ca="1">OFFSET(CRONO!$T$169,0,CRONOPLE!H67)</f>
        <v>0</v>
      </c>
      <c r="I69" s="755"/>
      <c r="J69" s="751">
        <f ca="1">OFFSET(CRONO!$T$169,0,CRONOPLE!J67)</f>
        <v>0</v>
      </c>
      <c r="K69" s="752"/>
      <c r="L69" s="751">
        <f ca="1">OFFSET(CRONO!$T$169,0,CRONOPLE!L67)</f>
        <v>0</v>
      </c>
      <c r="M69" s="752"/>
      <c r="N69" s="751">
        <f ca="1">OFFSET(CRONO!$T$169,0,CRONOPLE!N67)</f>
        <v>0</v>
      </c>
      <c r="O69" s="752"/>
      <c r="P69" s="751">
        <f ca="1">OFFSET(CRONO!$T$169,0,CRONOPLE!P67)</f>
        <v>0</v>
      </c>
      <c r="Q69" s="752"/>
      <c r="R69" s="751">
        <f ca="1">OFFSET(CRONO!$T$169,0,CRONOPLE!R67)</f>
        <v>0</v>
      </c>
      <c r="S69" s="752"/>
      <c r="T69" s="751">
        <f ca="1">OFFSET(CRONO!$T$169,0,CRONOPLE!T67)</f>
        <v>0</v>
      </c>
      <c r="U69" s="752"/>
      <c r="V69" s="751">
        <f ca="1">OFFSET(CRONO!$T$169,0,CRONOPLE!V67)</f>
        <v>0</v>
      </c>
      <c r="W69" s="752"/>
      <c r="X69" s="751">
        <f ca="1">OFFSET(CRONO!$T$169,0,CRONOPLE!X67)</f>
        <v>0</v>
      </c>
      <c r="Y69" s="752"/>
      <c r="Z69" s="751">
        <f ca="1">OFFSET(CRONO!$T$169,0,CRONOPLE!Z67)</f>
        <v>0</v>
      </c>
      <c r="AA69" s="752"/>
      <c r="AB69" s="751">
        <f ca="1">OFFSET(CRONO!$T$169,0,CRONOPLE!AB67)</f>
        <v>0</v>
      </c>
      <c r="AC69" s="752"/>
      <c r="AD69" s="751">
        <f ca="1">OFFSET(CRONO!$T$169,0,CRONOPLE!AD67)</f>
        <v>0</v>
      </c>
      <c r="AE69" s="752"/>
      <c r="AF69" s="487" t="s">
        <v>782</v>
      </c>
      <c r="AG69" s="755">
        <f ca="1">OFFSET(CRONO!$T$169,0,CRONOPLE!AG67)</f>
        <v>0</v>
      </c>
      <c r="AH69" s="755"/>
      <c r="AI69" s="751">
        <f ca="1">OFFSET(CRONO!$T$169,0,CRONOPLE!AI67)</f>
        <v>0</v>
      </c>
      <c r="AJ69" s="752"/>
      <c r="AK69" s="751">
        <f ca="1">OFFSET(CRONO!$T$169,0,CRONOPLE!AK67)</f>
        <v>0</v>
      </c>
      <c r="AL69" s="752"/>
      <c r="AM69" s="751">
        <f ca="1">OFFSET(CRONO!$T$169,0,CRONOPLE!AM67)</f>
        <v>0</v>
      </c>
      <c r="AN69" s="752"/>
      <c r="AO69" s="751">
        <f ca="1">OFFSET(CRONO!$T$169,0,CRONOPLE!AO67)</f>
        <v>0</v>
      </c>
      <c r="AP69" s="752"/>
      <c r="AQ69" s="751">
        <f ca="1">OFFSET(CRONO!$T$169,0,CRONOPLE!AQ67)</f>
        <v>0</v>
      </c>
      <c r="AR69" s="752"/>
      <c r="AS69" s="751">
        <f ca="1">OFFSET(CRONO!$T$169,0,CRONOPLE!AS67)</f>
        <v>0</v>
      </c>
      <c r="AT69" s="752"/>
      <c r="AU69" s="751">
        <f ca="1">OFFSET(CRONO!$T$169,0,CRONOPLE!AU67)</f>
        <v>0</v>
      </c>
      <c r="AV69" s="752"/>
      <c r="AW69" s="751">
        <f ca="1">OFFSET(CRONO!$T$169,0,CRONOPLE!AW67)</f>
        <v>0</v>
      </c>
      <c r="AX69" s="752"/>
      <c r="AY69" s="751">
        <f ca="1">OFFSET(CRONO!$T$169,0,CRONOPLE!AY67)</f>
        <v>0</v>
      </c>
      <c r="AZ69" s="752"/>
      <c r="BA69" s="751">
        <f ca="1">OFFSET(CRONO!$T$169,0,CRONOPLE!BA67)</f>
        <v>0</v>
      </c>
      <c r="BB69" s="752"/>
      <c r="BC69" s="751">
        <f ca="1">OFFSET(CRONO!$T$169,0,CRONOPLE!BC67)</f>
        <v>0</v>
      </c>
      <c r="BD69" s="752"/>
    </row>
    <row r="70" spans="1:56" ht="12.75" customHeight="1" x14ac:dyDescent="0.2">
      <c r="A70" s="7" t="s">
        <v>536</v>
      </c>
      <c r="C70" s="753" t="s">
        <v>783</v>
      </c>
      <c r="G70" s="551" t="s">
        <v>781</v>
      </c>
      <c r="H70" s="747" t="e">
        <f ca="1">OFFSET(CRONO!$T$170,0,CRONOPLE!H67)</f>
        <v>#DIV/0!</v>
      </c>
      <c r="I70" s="747"/>
      <c r="J70" s="748" t="e">
        <f ca="1">OFFSET(CRONO!$T$170,0,CRONOPLE!J67)</f>
        <v>#DIV/0!</v>
      </c>
      <c r="K70" s="749"/>
      <c r="L70" s="748" t="e">
        <f ca="1">OFFSET(CRONO!$T$170,0,CRONOPLE!L67)</f>
        <v>#DIV/0!</v>
      </c>
      <c r="M70" s="749"/>
      <c r="N70" s="748" t="e">
        <f ca="1">OFFSET(CRONO!$T$170,0,CRONOPLE!N67)</f>
        <v>#DIV/0!</v>
      </c>
      <c r="O70" s="749"/>
      <c r="P70" s="748" t="e">
        <f ca="1">OFFSET(CRONO!$T$170,0,CRONOPLE!P67)</f>
        <v>#DIV/0!</v>
      </c>
      <c r="Q70" s="749"/>
      <c r="R70" s="748" t="e">
        <f ca="1">OFFSET(CRONO!$T$170,0,CRONOPLE!R67)</f>
        <v>#DIV/0!</v>
      </c>
      <c r="S70" s="749"/>
      <c r="T70" s="748" t="e">
        <f ca="1">OFFSET(CRONO!$T$170,0,CRONOPLE!T67)</f>
        <v>#DIV/0!</v>
      </c>
      <c r="U70" s="749"/>
      <c r="V70" s="748" t="e">
        <f ca="1">OFFSET(CRONO!$T$170,0,CRONOPLE!V67)</f>
        <v>#DIV/0!</v>
      </c>
      <c r="W70" s="749"/>
      <c r="X70" s="748" t="e">
        <f ca="1">OFFSET(CRONO!$T$170,0,CRONOPLE!X67)</f>
        <v>#DIV/0!</v>
      </c>
      <c r="Y70" s="749"/>
      <c r="Z70" s="748" t="e">
        <f ca="1">OFFSET(CRONO!$T$170,0,CRONOPLE!Z67)</f>
        <v>#DIV/0!</v>
      </c>
      <c r="AA70" s="749"/>
      <c r="AB70" s="748" t="e">
        <f ca="1">OFFSET(CRONO!$T$170,0,CRONOPLE!AB67)</f>
        <v>#DIV/0!</v>
      </c>
      <c r="AC70" s="749"/>
      <c r="AD70" s="748" t="e">
        <f ca="1">OFFSET(CRONO!$T$170,0,CRONOPLE!AD67)</f>
        <v>#DIV/0!</v>
      </c>
      <c r="AE70" s="749"/>
      <c r="AF70" s="551" t="s">
        <v>781</v>
      </c>
      <c r="AG70" s="747" t="e">
        <f ca="1">OFFSET(CRONO!$T$170,0,CRONOPLE!AG67)</f>
        <v>#DIV/0!</v>
      </c>
      <c r="AH70" s="747"/>
      <c r="AI70" s="748" t="e">
        <f ca="1">OFFSET(CRONO!$T$170,0,CRONOPLE!AI67)</f>
        <v>#DIV/0!</v>
      </c>
      <c r="AJ70" s="749"/>
      <c r="AK70" s="748" t="e">
        <f ca="1">OFFSET(CRONO!$T$170,0,CRONOPLE!AK67)</f>
        <v>#DIV/0!</v>
      </c>
      <c r="AL70" s="749"/>
      <c r="AM70" s="748" t="e">
        <f ca="1">OFFSET(CRONO!$T$170,0,CRONOPLE!AM67)</f>
        <v>#DIV/0!</v>
      </c>
      <c r="AN70" s="749"/>
      <c r="AO70" s="748" t="e">
        <f ca="1">OFFSET(CRONO!$T$170,0,CRONOPLE!AO67)</f>
        <v>#DIV/0!</v>
      </c>
      <c r="AP70" s="749"/>
      <c r="AQ70" s="748" t="e">
        <f ca="1">OFFSET(CRONO!$T$170,0,CRONOPLE!AQ67)</f>
        <v>#DIV/0!</v>
      </c>
      <c r="AR70" s="749"/>
      <c r="AS70" s="748" t="e">
        <f ca="1">OFFSET(CRONO!$T$170,0,CRONOPLE!AS67)</f>
        <v>#DIV/0!</v>
      </c>
      <c r="AT70" s="749"/>
      <c r="AU70" s="748" t="e">
        <f ca="1">OFFSET(CRONO!$T$170,0,CRONOPLE!AU67)</f>
        <v>#DIV/0!</v>
      </c>
      <c r="AV70" s="749"/>
      <c r="AW70" s="748" t="e">
        <f ca="1">OFFSET(CRONO!$T$170,0,CRONOPLE!AW67)</f>
        <v>#DIV/0!</v>
      </c>
      <c r="AX70" s="749"/>
      <c r="AY70" s="748" t="e">
        <f ca="1">OFFSET(CRONO!$T$170,0,CRONOPLE!AY67)</f>
        <v>#DIV/0!</v>
      </c>
      <c r="AZ70" s="749"/>
      <c r="BA70" s="748" t="e">
        <f ca="1">OFFSET(CRONO!$T$170,0,CRONOPLE!BA67)</f>
        <v>#DIV/0!</v>
      </c>
      <c r="BB70" s="749"/>
      <c r="BC70" s="748" t="e">
        <f ca="1">OFFSET(CRONO!$T$170,0,CRONOPLE!BC67)</f>
        <v>#DIV/0!</v>
      </c>
      <c r="BD70" s="749"/>
    </row>
    <row r="71" spans="1:56" ht="12.75" customHeight="1" x14ac:dyDescent="0.2">
      <c r="A71" s="7" t="s">
        <v>536</v>
      </c>
      <c r="C71" s="754"/>
      <c r="G71" s="487" t="s">
        <v>782</v>
      </c>
      <c r="H71" s="750">
        <f ca="1">OFFSET(CRONO!$T$174,0,CRONOPLE!H67)</f>
        <v>0</v>
      </c>
      <c r="I71" s="750"/>
      <c r="J71" s="745">
        <f ca="1">OFFSET(CRONO!$T$174,0,CRONOPLE!J67)</f>
        <v>0</v>
      </c>
      <c r="K71" s="746"/>
      <c r="L71" s="745">
        <f ca="1">OFFSET(CRONO!$T$174,0,CRONOPLE!L67)</f>
        <v>0</v>
      </c>
      <c r="M71" s="746"/>
      <c r="N71" s="745">
        <f ca="1">OFFSET(CRONO!$T$174,0,CRONOPLE!N67)</f>
        <v>0</v>
      </c>
      <c r="O71" s="746"/>
      <c r="P71" s="745">
        <f ca="1">OFFSET(CRONO!$T$174,0,CRONOPLE!P67)</f>
        <v>0</v>
      </c>
      <c r="Q71" s="746"/>
      <c r="R71" s="745">
        <f ca="1">OFFSET(CRONO!$T$174,0,CRONOPLE!R67)</f>
        <v>0</v>
      </c>
      <c r="S71" s="746"/>
      <c r="T71" s="745">
        <f ca="1">OFFSET(CRONO!$T$174,0,CRONOPLE!T67)</f>
        <v>0</v>
      </c>
      <c r="U71" s="746"/>
      <c r="V71" s="745">
        <f ca="1">OFFSET(CRONO!$T$174,0,CRONOPLE!V67)</f>
        <v>0</v>
      </c>
      <c r="W71" s="746"/>
      <c r="X71" s="745">
        <f ca="1">OFFSET(CRONO!$T$174,0,CRONOPLE!X67)</f>
        <v>0</v>
      </c>
      <c r="Y71" s="746"/>
      <c r="Z71" s="745">
        <f ca="1">OFFSET(CRONO!$T$174,0,CRONOPLE!Z67)</f>
        <v>0</v>
      </c>
      <c r="AA71" s="746"/>
      <c r="AB71" s="745">
        <f ca="1">OFFSET(CRONO!$T$174,0,CRONOPLE!AB67)</f>
        <v>0</v>
      </c>
      <c r="AC71" s="746"/>
      <c r="AD71" s="745">
        <f ca="1">OFFSET(CRONO!$T$174,0,CRONOPLE!AD67)</f>
        <v>0</v>
      </c>
      <c r="AE71" s="746"/>
      <c r="AF71" s="487" t="s">
        <v>782</v>
      </c>
      <c r="AG71" s="750">
        <f ca="1">OFFSET(CRONO!$T$174,0,CRONOPLE!AG67)</f>
        <v>0</v>
      </c>
      <c r="AH71" s="750"/>
      <c r="AI71" s="745">
        <f ca="1">OFFSET(CRONO!$T$174,0,CRONOPLE!AI67)</f>
        <v>0</v>
      </c>
      <c r="AJ71" s="746"/>
      <c r="AK71" s="745">
        <f ca="1">OFFSET(CRONO!$T$174,0,CRONOPLE!AK67)</f>
        <v>0</v>
      </c>
      <c r="AL71" s="746"/>
      <c r="AM71" s="745">
        <f ca="1">OFFSET(CRONO!$T$174,0,CRONOPLE!AM67)</f>
        <v>0</v>
      </c>
      <c r="AN71" s="746"/>
      <c r="AO71" s="745">
        <f ca="1">OFFSET(CRONO!$T$174,0,CRONOPLE!AO67)</f>
        <v>0</v>
      </c>
      <c r="AP71" s="746"/>
      <c r="AQ71" s="745">
        <f ca="1">OFFSET(CRONO!$T$174,0,CRONOPLE!AQ67)</f>
        <v>0</v>
      </c>
      <c r="AR71" s="746"/>
      <c r="AS71" s="745">
        <f ca="1">OFFSET(CRONO!$T$174,0,CRONOPLE!AS67)</f>
        <v>0</v>
      </c>
      <c r="AT71" s="746"/>
      <c r="AU71" s="745">
        <f ca="1">OFFSET(CRONO!$T$174,0,CRONOPLE!AU67)</f>
        <v>0</v>
      </c>
      <c r="AV71" s="746"/>
      <c r="AW71" s="745">
        <f ca="1">OFFSET(CRONO!$T$174,0,CRONOPLE!AW67)</f>
        <v>0</v>
      </c>
      <c r="AX71" s="746"/>
      <c r="AY71" s="745">
        <f ca="1">OFFSET(CRONO!$T$174,0,CRONOPLE!AY67)</f>
        <v>0</v>
      </c>
      <c r="AZ71" s="746"/>
      <c r="BA71" s="745">
        <f ca="1">OFFSET(CRONO!$T$174,0,CRONOPLE!BA67)</f>
        <v>0</v>
      </c>
      <c r="BB71" s="746"/>
      <c r="BC71" s="745">
        <f ca="1">OFFSET(CRONO!$T$174,0,CRONOPLE!BC67)</f>
        <v>0</v>
      </c>
      <c r="BD71" s="746"/>
    </row>
    <row r="72" spans="1:56" ht="12.75" customHeight="1" x14ac:dyDescent="0.2">
      <c r="A72" s="7" t="s">
        <v>536</v>
      </c>
      <c r="C72" s="552" t="s">
        <v>784</v>
      </c>
      <c r="D72" s="550"/>
      <c r="G72" s="551" t="s">
        <v>781</v>
      </c>
      <c r="H72" s="747" t="e">
        <f ca="1">OFFSET(CRONO!$T$175,0,CRONOPLE!H67)</f>
        <v>#DIV/0!</v>
      </c>
      <c r="I72" s="747"/>
      <c r="J72" s="743" t="e">
        <f ca="1">OFFSET(CRONO!$T$175,0,CRONOPLE!J67)</f>
        <v>#DIV/0!</v>
      </c>
      <c r="K72" s="744"/>
      <c r="L72" s="743" t="e">
        <f ca="1">OFFSET(CRONO!$T$175,0,CRONOPLE!L67)</f>
        <v>#DIV/0!</v>
      </c>
      <c r="M72" s="744"/>
      <c r="N72" s="743" t="e">
        <f ca="1">OFFSET(CRONO!$T$175,0,CRONOPLE!N67)</f>
        <v>#DIV/0!</v>
      </c>
      <c r="O72" s="744"/>
      <c r="P72" s="743" t="e">
        <f ca="1">OFFSET(CRONO!$T$175,0,CRONOPLE!P67)</f>
        <v>#DIV/0!</v>
      </c>
      <c r="Q72" s="744"/>
      <c r="R72" s="743" t="e">
        <f ca="1">OFFSET(CRONO!$T$175,0,CRONOPLE!R67)</f>
        <v>#DIV/0!</v>
      </c>
      <c r="S72" s="744"/>
      <c r="T72" s="743" t="e">
        <f ca="1">OFFSET(CRONO!$T$175,0,CRONOPLE!T67)</f>
        <v>#DIV/0!</v>
      </c>
      <c r="U72" s="744"/>
      <c r="V72" s="743" t="e">
        <f ca="1">OFFSET(CRONO!$T$175,0,CRONOPLE!V67)</f>
        <v>#DIV/0!</v>
      </c>
      <c r="W72" s="744"/>
      <c r="X72" s="743" t="e">
        <f ca="1">OFFSET(CRONO!$T$175,0,CRONOPLE!X67)</f>
        <v>#DIV/0!</v>
      </c>
      <c r="Y72" s="744"/>
      <c r="Z72" s="743" t="e">
        <f ca="1">OFFSET(CRONO!$T$175,0,CRONOPLE!Z67)</f>
        <v>#DIV/0!</v>
      </c>
      <c r="AA72" s="744"/>
      <c r="AB72" s="743" t="e">
        <f ca="1">OFFSET(CRONO!$T$175,0,CRONOPLE!AB67)</f>
        <v>#DIV/0!</v>
      </c>
      <c r="AC72" s="744"/>
      <c r="AD72" s="743" t="e">
        <f ca="1">OFFSET(CRONO!$T$175,0,CRONOPLE!AD67)</f>
        <v>#DIV/0!</v>
      </c>
      <c r="AE72" s="744"/>
      <c r="AF72" s="551" t="s">
        <v>781</v>
      </c>
      <c r="AG72" s="747" t="e">
        <f ca="1">OFFSET(CRONO!$T$175,0,CRONOPLE!AG67)</f>
        <v>#DIV/0!</v>
      </c>
      <c r="AH72" s="747"/>
      <c r="AI72" s="743" t="e">
        <f ca="1">OFFSET(CRONO!$T$175,0,CRONOPLE!AI67)</f>
        <v>#DIV/0!</v>
      </c>
      <c r="AJ72" s="744"/>
      <c r="AK72" s="743" t="e">
        <f ca="1">OFFSET(CRONO!$T$175,0,CRONOPLE!AK67)</f>
        <v>#DIV/0!</v>
      </c>
      <c r="AL72" s="744"/>
      <c r="AM72" s="743" t="e">
        <f ca="1">OFFSET(CRONO!$T$175,0,CRONOPLE!AM67)</f>
        <v>#DIV/0!</v>
      </c>
      <c r="AN72" s="744"/>
      <c r="AO72" s="743" t="e">
        <f ca="1">OFFSET(CRONO!$T$175,0,CRONOPLE!AO67)</f>
        <v>#DIV/0!</v>
      </c>
      <c r="AP72" s="744"/>
      <c r="AQ72" s="743" t="e">
        <f ca="1">OFFSET(CRONO!$T$175,0,CRONOPLE!AQ67)</f>
        <v>#DIV/0!</v>
      </c>
      <c r="AR72" s="744"/>
      <c r="AS72" s="743" t="e">
        <f ca="1">OFFSET(CRONO!$T$175,0,CRONOPLE!AS67)</f>
        <v>#DIV/0!</v>
      </c>
      <c r="AT72" s="744"/>
      <c r="AU72" s="743" t="e">
        <f ca="1">OFFSET(CRONO!$T$175,0,CRONOPLE!AU67)</f>
        <v>#DIV/0!</v>
      </c>
      <c r="AV72" s="744"/>
      <c r="AW72" s="743" t="e">
        <f ca="1">OFFSET(CRONO!$T$175,0,CRONOPLE!AW67)</f>
        <v>#DIV/0!</v>
      </c>
      <c r="AX72" s="744"/>
      <c r="AY72" s="743" t="e">
        <f ca="1">OFFSET(CRONO!$T$175,0,CRONOPLE!AY67)</f>
        <v>#DIV/0!</v>
      </c>
      <c r="AZ72" s="744"/>
      <c r="BA72" s="743" t="e">
        <f ca="1">OFFSET(CRONO!$T$175,0,CRONOPLE!BA67)</f>
        <v>#DIV/0!</v>
      </c>
      <c r="BB72" s="744"/>
      <c r="BC72" s="743" t="e">
        <f ca="1">OFFSET(CRONO!$T$175,0,CRONOPLE!BC67)</f>
        <v>#DIV/0!</v>
      </c>
      <c r="BD72" s="744"/>
    </row>
    <row r="73" spans="1:56" ht="15" customHeight="1" x14ac:dyDescent="0.25">
      <c r="A73" s="7" t="s">
        <v>536</v>
      </c>
      <c r="C73" s="549"/>
      <c r="G73" s="583" t="str">
        <f ca="1">IF(COUNTIF(H73:BE73,"%Adm&gt;%Global")&gt;0,"Verificar proporcionalidade da Administração Local","")</f>
        <v/>
      </c>
      <c r="H73" s="535" t="e">
        <f ca="1">IF(H72="","",IF(ROUND(H72,4)&gt;ROUND(H70,4),"%Adm&gt;%Global",""))</f>
        <v>#DIV/0!</v>
      </c>
      <c r="J73" s="535" t="e">
        <f t="shared" ref="J73" ca="1" si="26">IF(J72="","",IF(ROUND(J72,4)&gt;ROUND(J70,4),"%Adm&gt;%Global",""))</f>
        <v>#DIV/0!</v>
      </c>
      <c r="L73" s="535" t="e">
        <f t="shared" ref="L73" ca="1" si="27">IF(L72="","",IF(ROUND(L72,4)&gt;ROUND(L70,4),"%Adm&gt;%Global",""))</f>
        <v>#DIV/0!</v>
      </c>
      <c r="N73" s="535" t="e">
        <f t="shared" ref="N73" ca="1" si="28">IF(N72="","",IF(ROUND(N72,4)&gt;ROUND(N70,4),"%Adm&gt;%Global",""))</f>
        <v>#DIV/0!</v>
      </c>
      <c r="P73" s="535" t="e">
        <f t="shared" ref="P73" ca="1" si="29">IF(P72="","",IF(ROUND(P72,4)&gt;ROUND(P70,4),"%Adm&gt;%Global",""))</f>
        <v>#DIV/0!</v>
      </c>
      <c r="R73" s="535" t="e">
        <f t="shared" ref="R73" ca="1" si="30">IF(R72="","",IF(ROUND(R72,4)&gt;ROUND(R70,4),"%Adm&gt;%Global",""))</f>
        <v>#DIV/0!</v>
      </c>
      <c r="T73" s="535" t="e">
        <f t="shared" ref="T73" ca="1" si="31">IF(T72="","",IF(ROUND(T72,4)&gt;ROUND(T70,4),"%Adm&gt;%Global",""))</f>
        <v>#DIV/0!</v>
      </c>
      <c r="V73" s="535" t="e">
        <f t="shared" ref="V73" ca="1" si="32">IF(V72="","",IF(ROUND(V72,4)&gt;ROUND(V70,4),"%Adm&gt;%Global",""))</f>
        <v>#DIV/0!</v>
      </c>
      <c r="X73" s="535" t="e">
        <f t="shared" ref="X73" ca="1" si="33">IF(X72="","",IF(ROUND(X72,4)&gt;ROUND(X70,4),"%Adm&gt;%Global",""))</f>
        <v>#DIV/0!</v>
      </c>
      <c r="Z73" s="535" t="e">
        <f t="shared" ref="Z73" ca="1" si="34">IF(Z72="","",IF(ROUND(Z72,4)&gt;ROUND(Z70,4),"%Adm&gt;%Global",""))</f>
        <v>#DIV/0!</v>
      </c>
      <c r="AB73" s="535" t="e">
        <f t="shared" ref="AB73" ca="1" si="35">IF(AB72="","",IF(ROUND(AB72,4)&gt;ROUND(AB70,4),"%Adm&gt;%Global",""))</f>
        <v>#DIV/0!</v>
      </c>
      <c r="AD73" s="535" t="e">
        <f t="shared" ref="AD73" ca="1" si="36">IF(AD72="","",IF(ROUND(AD72,4)&gt;ROUND(AD70,4),"%Adm&gt;%Global",""))</f>
        <v>#DIV/0!</v>
      </c>
      <c r="AF73" s="583" t="str">
        <f ca="1">IF(COUNTIF(AG73:CD73,"%Adm&gt;%Global")&gt;0,"Verificar proporcionalidade da Administração Local","")</f>
        <v/>
      </c>
      <c r="AG73" s="535" t="e">
        <f ca="1">IF(AG72="","",IF(ROUND(AG72,4)&gt;ROUND(AG70,4),"%Adm&gt;%Global",""))</f>
        <v>#DIV/0!</v>
      </c>
      <c r="AI73" s="535" t="e">
        <f t="shared" ref="AI73" ca="1" si="37">IF(AI72="","",IF(ROUND(AI72,4)&gt;ROUND(AI70,4),"%Adm&gt;%Global",""))</f>
        <v>#DIV/0!</v>
      </c>
      <c r="AK73" s="535" t="e">
        <f t="shared" ref="AK73" ca="1" si="38">IF(AK72="","",IF(ROUND(AK72,4)&gt;ROUND(AK70,4),"%Adm&gt;%Global",""))</f>
        <v>#DIV/0!</v>
      </c>
      <c r="AM73" s="535" t="e">
        <f t="shared" ref="AM73" ca="1" si="39">IF(AM72="","",IF(ROUND(AM72,4)&gt;ROUND(AM70,4),"%Adm&gt;%Global",""))</f>
        <v>#DIV/0!</v>
      </c>
      <c r="AO73" s="535" t="e">
        <f t="shared" ref="AO73" ca="1" si="40">IF(AO72="","",IF(ROUND(AO72,4)&gt;ROUND(AO70,4),"%Adm&gt;%Global",""))</f>
        <v>#DIV/0!</v>
      </c>
      <c r="AQ73" s="535" t="e">
        <f t="shared" ref="AQ73" ca="1" si="41">IF(AQ72="","",IF(ROUND(AQ72,4)&gt;ROUND(AQ70,4),"%Adm&gt;%Global",""))</f>
        <v>#DIV/0!</v>
      </c>
      <c r="AS73" s="535" t="e">
        <f t="shared" ref="AS73" ca="1" si="42">IF(AS72="","",IF(ROUND(AS72,4)&gt;ROUND(AS70,4),"%Adm&gt;%Global",""))</f>
        <v>#DIV/0!</v>
      </c>
      <c r="AU73" s="535" t="e">
        <f t="shared" ref="AU73" ca="1" si="43">IF(AU72="","",IF(ROUND(AU72,4)&gt;ROUND(AU70,4),"%Adm&gt;%Global",""))</f>
        <v>#DIV/0!</v>
      </c>
      <c r="AW73" s="535" t="e">
        <f t="shared" ref="AW73" ca="1" si="44">IF(AW72="","",IF(ROUND(AW72,4)&gt;ROUND(AW70,4),"%Adm&gt;%Global",""))</f>
        <v>#DIV/0!</v>
      </c>
      <c r="AY73" s="535" t="e">
        <f t="shared" ref="AY73" ca="1" si="45">IF(AY72="","",IF(ROUND(AY72,4)&gt;ROUND(AY70,4),"%Adm&gt;%Global",""))</f>
        <v>#DIV/0!</v>
      </c>
      <c r="BA73" s="535" t="e">
        <f t="shared" ref="BA73" ca="1" si="46">IF(BA72="","",IF(ROUND(BA72,4)&gt;ROUND(BA70,4),"%Adm&gt;%Global",""))</f>
        <v>#DIV/0!</v>
      </c>
      <c r="BC73" s="535" t="e">
        <f t="shared" ref="BC73" ca="1" si="47">IF(BC72="","",IF(ROUND(BC72,4)&gt;ROUND(BC70,4),"%Adm&gt;%Global",""))</f>
        <v>#DIV/0!</v>
      </c>
    </row>
    <row r="74" spans="1:56" x14ac:dyDescent="0.2">
      <c r="A74" s="7" t="s">
        <v>536</v>
      </c>
    </row>
    <row r="75" spans="1:56" ht="15" x14ac:dyDescent="0.2">
      <c r="A75" s="7" t="s">
        <v>536</v>
      </c>
      <c r="B75" s="138" t="str">
        <f>Import.Município</f>
        <v>Pedro Régis-PB</v>
      </c>
      <c r="C75" s="138"/>
      <c r="E75" s="488"/>
      <c r="F75" s="488"/>
      <c r="G75" s="488"/>
      <c r="H75" s="488"/>
      <c r="I75" s="488"/>
      <c r="J75" s="488"/>
      <c r="K75" s="488"/>
      <c r="L75" s="488"/>
      <c r="V75" s="460"/>
      <c r="W75" s="417"/>
      <c r="X75" s="417"/>
      <c r="Y75" s="417"/>
      <c r="Z75" s="417"/>
      <c r="AA75" s="417"/>
      <c r="AB75" s="417"/>
      <c r="AC75" s="417"/>
      <c r="AD75" s="417"/>
      <c r="AE75" s="417"/>
      <c r="AF75" s="488"/>
      <c r="AG75" s="488"/>
      <c r="AH75" s="488"/>
      <c r="AI75" s="488"/>
      <c r="AJ75" s="488"/>
      <c r="AK75" s="488"/>
      <c r="AU75" s="460"/>
      <c r="AV75" s="417"/>
      <c r="AW75" s="417"/>
      <c r="AX75" s="417"/>
      <c r="AY75" s="417"/>
      <c r="AZ75" s="417"/>
      <c r="BA75" s="417"/>
      <c r="BB75" s="417"/>
      <c r="BC75" s="417"/>
      <c r="BD75" s="417"/>
    </row>
    <row r="76" spans="1:56" x14ac:dyDescent="0.2">
      <c r="A76" s="7" t="s">
        <v>536</v>
      </c>
      <c r="B76" s="9" t="s">
        <v>693</v>
      </c>
      <c r="F76" s="185"/>
      <c r="G76" s="185"/>
      <c r="H76" s="185"/>
      <c r="I76" s="185"/>
      <c r="J76" s="185"/>
      <c r="K76" s="185"/>
      <c r="L76" s="187"/>
      <c r="V76" s="181" t="s">
        <v>696</v>
      </c>
      <c r="AF76" s="185"/>
      <c r="AG76" s="185"/>
      <c r="AH76" s="185"/>
      <c r="AI76" s="185"/>
      <c r="AJ76" s="185"/>
      <c r="AK76" s="187"/>
      <c r="AU76" s="181" t="s">
        <v>696</v>
      </c>
    </row>
    <row r="77" spans="1:56" x14ac:dyDescent="0.2">
      <c r="A77" s="7" t="s">
        <v>536</v>
      </c>
      <c r="F77" s="185"/>
      <c r="G77" s="185"/>
      <c r="H77" s="185"/>
      <c r="I77" s="185"/>
      <c r="J77" s="185"/>
      <c r="K77" s="185"/>
      <c r="L77" s="187"/>
      <c r="V77" s="398" t="str">
        <f t="array" aca="1" ref="V77:V79" ca="1">OFFSET(Import.RespOrçamento,0,-1) &amp; " " &amp; Import.RespOrçamento</f>
        <v>Nome: Thales Mamede Galvão de Oliveira</v>
      </c>
      <c r="AF77" s="185"/>
      <c r="AG77" s="185"/>
      <c r="AH77" s="185"/>
      <c r="AI77" s="185"/>
      <c r="AJ77" s="185"/>
      <c r="AK77" s="187"/>
      <c r="AU77" s="398" t="str">
        <f t="array" aca="1" ref="AU77:AU79" ca="1">OFFSET(Import.RespOrçamento,0,-1) &amp; " " &amp; Import.RespOrçamento</f>
        <v>Nome: Thales Mamede Galvão de Oliveira</v>
      </c>
    </row>
    <row r="78" spans="1:56" ht="16.5" x14ac:dyDescent="0.3">
      <c r="A78" s="7" t="s">
        <v>536</v>
      </c>
      <c r="B78" s="763">
        <f>DADOS!$C$25</f>
        <v>45981</v>
      </c>
      <c r="C78" s="763"/>
      <c r="F78" s="185"/>
      <c r="G78" s="185"/>
      <c r="H78" s="185"/>
      <c r="I78" s="185"/>
      <c r="J78" s="185"/>
      <c r="K78" s="185"/>
      <c r="L78" s="187"/>
      <c r="V78" s="398" t="str">
        <f ca="1"/>
        <v>CREA/CAU: 162.151.440-4</v>
      </c>
      <c r="AF78" s="185"/>
      <c r="AG78" s="185"/>
      <c r="AH78" s="185"/>
      <c r="AI78" s="185"/>
      <c r="AJ78" s="185"/>
      <c r="AK78" s="187"/>
      <c r="AU78" s="398" t="str">
        <f ca="1"/>
        <v>CREA/CAU: 162.151.440-4</v>
      </c>
    </row>
    <row r="79" spans="1:56" x14ac:dyDescent="0.2">
      <c r="A79" s="7" t="s">
        <v>536</v>
      </c>
      <c r="B79" s="9" t="s">
        <v>694</v>
      </c>
      <c r="F79" s="185"/>
      <c r="G79" s="185"/>
      <c r="H79" s="185"/>
      <c r="I79" s="185"/>
      <c r="J79" s="185"/>
      <c r="K79" s="185"/>
      <c r="L79" s="187"/>
      <c r="V79" s="398" t="str">
        <f ca="1"/>
        <v>ART/RRT: -</v>
      </c>
      <c r="AF79" s="185"/>
      <c r="AG79" s="185"/>
      <c r="AH79" s="185"/>
      <c r="AI79" s="185"/>
      <c r="AJ79" s="185"/>
      <c r="AK79" s="187"/>
      <c r="AU79" s="398" t="str">
        <f ca="1"/>
        <v>ART/RRT: -</v>
      </c>
    </row>
  </sheetData>
  <sheetProtection algorithmName="SHA-512" hashValue="UOEoNrOeau/vtN9e5r8RGrFEfdH9HouooBmgtOL5RxxF/i90Yga1ggB1R/cM76dr9p/zVx1Wetzu43nl9Fih/g==" saltValue="BlqOrL6Uql3g40nz+oJljQ==" spinCount="100000" sheet="1" objects="1" scenarios="1" autoFilter="0"/>
  <autoFilter ref="A13:A79" xr:uid="{00000000-0001-0000-0800-000000000000}">
    <filterColumn colId="0">
      <customFilters>
        <customFilter operator="notEqual" val=" "/>
      </customFilters>
    </filterColumn>
  </autoFilter>
  <mergeCells count="310">
    <mergeCell ref="BA63:BB63"/>
    <mergeCell ref="BC63:BD63"/>
    <mergeCell ref="AG64:AH64"/>
    <mergeCell ref="AI64:AJ64"/>
    <mergeCell ref="AK64:AL64"/>
    <mergeCell ref="AM64:AN64"/>
    <mergeCell ref="AO64:AP64"/>
    <mergeCell ref="AQ64:AR64"/>
    <mergeCell ref="AS64:AT64"/>
    <mergeCell ref="AU64:AV64"/>
    <mergeCell ref="AW64:AX64"/>
    <mergeCell ref="AY64:AZ64"/>
    <mergeCell ref="BA64:BB64"/>
    <mergeCell ref="BC64:BD64"/>
    <mergeCell ref="AQ63:AR63"/>
    <mergeCell ref="AS63:AT63"/>
    <mergeCell ref="AU63:AV63"/>
    <mergeCell ref="AW63:AX63"/>
    <mergeCell ref="AY63:AZ63"/>
    <mergeCell ref="AG63:AH63"/>
    <mergeCell ref="AI63:AJ63"/>
    <mergeCell ref="AK63:AL63"/>
    <mergeCell ref="AM63:AN63"/>
    <mergeCell ref="AO63:AP63"/>
    <mergeCell ref="BA61:BB61"/>
    <mergeCell ref="BC61:BD61"/>
    <mergeCell ref="AG62:AH62"/>
    <mergeCell ref="AI62:AJ62"/>
    <mergeCell ref="AK62:AL62"/>
    <mergeCell ref="AM62:AN62"/>
    <mergeCell ref="AO62:AP62"/>
    <mergeCell ref="AQ62:AR62"/>
    <mergeCell ref="AS62:AT62"/>
    <mergeCell ref="AU62:AV62"/>
    <mergeCell ref="AW62:AX62"/>
    <mergeCell ref="AY62:AZ62"/>
    <mergeCell ref="BA62:BB62"/>
    <mergeCell ref="BC62:BD62"/>
    <mergeCell ref="AQ61:AR61"/>
    <mergeCell ref="AS61:AT61"/>
    <mergeCell ref="AU61:AV61"/>
    <mergeCell ref="AW61:AX61"/>
    <mergeCell ref="AY61:AZ61"/>
    <mergeCell ref="AG61:AH61"/>
    <mergeCell ref="AI61:AJ61"/>
    <mergeCell ref="AK61:AL61"/>
    <mergeCell ref="AM61:AN61"/>
    <mergeCell ref="AO61:AP61"/>
    <mergeCell ref="BA59:BB59"/>
    <mergeCell ref="BC59:BD59"/>
    <mergeCell ref="AG60:AH60"/>
    <mergeCell ref="AI60:AJ60"/>
    <mergeCell ref="AK60:AL60"/>
    <mergeCell ref="AM60:AN60"/>
    <mergeCell ref="AO60:AP60"/>
    <mergeCell ref="AQ60:AR60"/>
    <mergeCell ref="AS60:AT60"/>
    <mergeCell ref="AU60:AV60"/>
    <mergeCell ref="AW60:AX60"/>
    <mergeCell ref="AY60:AZ60"/>
    <mergeCell ref="BA60:BB60"/>
    <mergeCell ref="BC60:BD60"/>
    <mergeCell ref="AQ59:AR59"/>
    <mergeCell ref="AS59:AT59"/>
    <mergeCell ref="AU59:AV59"/>
    <mergeCell ref="AW59:AX59"/>
    <mergeCell ref="AY59:AZ59"/>
    <mergeCell ref="AG59:AH59"/>
    <mergeCell ref="AI59:AJ59"/>
    <mergeCell ref="AK59:AL59"/>
    <mergeCell ref="AM59:AN59"/>
    <mergeCell ref="AO59:AP59"/>
    <mergeCell ref="BB2:BD2"/>
    <mergeCell ref="AF4:AH4"/>
    <mergeCell ref="AI4:AK4"/>
    <mergeCell ref="AF5:AH5"/>
    <mergeCell ref="AI5:AK5"/>
    <mergeCell ref="AL5:BD5"/>
    <mergeCell ref="C62:C63"/>
    <mergeCell ref="H64:I64"/>
    <mergeCell ref="J64:K64"/>
    <mergeCell ref="X62:Y62"/>
    <mergeCell ref="T61:U61"/>
    <mergeCell ref="V61:W61"/>
    <mergeCell ref="L60:M60"/>
    <mergeCell ref="N60:O60"/>
    <mergeCell ref="L61:M61"/>
    <mergeCell ref="N61:O61"/>
    <mergeCell ref="P60:Q60"/>
    <mergeCell ref="R60:S60"/>
    <mergeCell ref="T60:U60"/>
    <mergeCell ref="H59:I59"/>
    <mergeCell ref="J59:K59"/>
    <mergeCell ref="L59:M59"/>
    <mergeCell ref="T59:U59"/>
    <mergeCell ref="B8:C8"/>
    <mergeCell ref="B78:C78"/>
    <mergeCell ref="V63:W63"/>
    <mergeCell ref="X63:Y63"/>
    <mergeCell ref="L64:M64"/>
    <mergeCell ref="N64:O64"/>
    <mergeCell ref="Z63:AA63"/>
    <mergeCell ref="H62:I62"/>
    <mergeCell ref="J62:K62"/>
    <mergeCell ref="L62:M62"/>
    <mergeCell ref="N62:O62"/>
    <mergeCell ref="H63:I63"/>
    <mergeCell ref="J63:K63"/>
    <mergeCell ref="N63:O63"/>
    <mergeCell ref="P63:Q63"/>
    <mergeCell ref="R63:S63"/>
    <mergeCell ref="T63:U63"/>
    <mergeCell ref="P62:Q62"/>
    <mergeCell ref="R62:S62"/>
    <mergeCell ref="V62:W62"/>
    <mergeCell ref="L63:M63"/>
    <mergeCell ref="T62:U62"/>
    <mergeCell ref="H67:I67"/>
    <mergeCell ref="J67:K67"/>
    <mergeCell ref="L67:M67"/>
    <mergeCell ref="B12:B13"/>
    <mergeCell ref="C12:C13"/>
    <mergeCell ref="N59:O59"/>
    <mergeCell ref="P59:Q59"/>
    <mergeCell ref="R59:S59"/>
    <mergeCell ref="AD59:AE59"/>
    <mergeCell ref="X60:Y60"/>
    <mergeCell ref="Z60:AA60"/>
    <mergeCell ref="V60:W60"/>
    <mergeCell ref="AB59:AC59"/>
    <mergeCell ref="X59:Y59"/>
    <mergeCell ref="Z59:AA59"/>
    <mergeCell ref="V59:W59"/>
    <mergeCell ref="C60:C61"/>
    <mergeCell ref="H60:I60"/>
    <mergeCell ref="J60:K60"/>
    <mergeCell ref="H61:I61"/>
    <mergeCell ref="J61:K61"/>
    <mergeCell ref="AB61:AC61"/>
    <mergeCell ref="AB60:AC60"/>
    <mergeCell ref="AD60:AE60"/>
    <mergeCell ref="AD61:AE61"/>
    <mergeCell ref="Z61:AA61"/>
    <mergeCell ref="AC2:AE2"/>
    <mergeCell ref="B4:D4"/>
    <mergeCell ref="G4:I4"/>
    <mergeCell ref="J4:L4"/>
    <mergeCell ref="B5:D5"/>
    <mergeCell ref="G5:I5"/>
    <mergeCell ref="J5:L5"/>
    <mergeCell ref="M5:AE5"/>
    <mergeCell ref="AB64:AC64"/>
    <mergeCell ref="R61:S61"/>
    <mergeCell ref="X61:Y61"/>
    <mergeCell ref="P61:Q61"/>
    <mergeCell ref="AD62:AE62"/>
    <mergeCell ref="P64:Q64"/>
    <mergeCell ref="AD63:AE63"/>
    <mergeCell ref="AD64:AE64"/>
    <mergeCell ref="R64:S64"/>
    <mergeCell ref="T64:U64"/>
    <mergeCell ref="V64:W64"/>
    <mergeCell ref="X64:Y64"/>
    <mergeCell ref="Z64:AA64"/>
    <mergeCell ref="AB63:AC63"/>
    <mergeCell ref="Z62:AA62"/>
    <mergeCell ref="AB62:AC62"/>
    <mergeCell ref="AW67:AX67"/>
    <mergeCell ref="N67:O67"/>
    <mergeCell ref="P67:Q67"/>
    <mergeCell ref="R67:S67"/>
    <mergeCell ref="T67:U67"/>
    <mergeCell ref="V67:W67"/>
    <mergeCell ref="X67:Y67"/>
    <mergeCell ref="Z67:AA67"/>
    <mergeCell ref="AB67:AC67"/>
    <mergeCell ref="AD67:AE67"/>
    <mergeCell ref="AU68:AV68"/>
    <mergeCell ref="AG67:AH67"/>
    <mergeCell ref="AI67:AJ67"/>
    <mergeCell ref="AK67:AL67"/>
    <mergeCell ref="AM67:AN67"/>
    <mergeCell ref="AO67:AP67"/>
    <mergeCell ref="AQ67:AR67"/>
    <mergeCell ref="AS67:AT67"/>
    <mergeCell ref="AU67:AV67"/>
    <mergeCell ref="AU69:AV69"/>
    <mergeCell ref="AY67:AZ67"/>
    <mergeCell ref="BA67:BB67"/>
    <mergeCell ref="BC67:BD67"/>
    <mergeCell ref="C68:C69"/>
    <mergeCell ref="H68:I68"/>
    <mergeCell ref="J68:K68"/>
    <mergeCell ref="L68:M68"/>
    <mergeCell ref="N68:O68"/>
    <mergeCell ref="P68:Q68"/>
    <mergeCell ref="R68:S68"/>
    <mergeCell ref="T68:U68"/>
    <mergeCell ref="V68:W68"/>
    <mergeCell ref="X68:Y68"/>
    <mergeCell ref="Z68:AA68"/>
    <mergeCell ref="AB68:AC68"/>
    <mergeCell ref="AD68:AE68"/>
    <mergeCell ref="AG68:AH68"/>
    <mergeCell ref="AI68:AJ68"/>
    <mergeCell ref="AK68:AL68"/>
    <mergeCell ref="AM68:AN68"/>
    <mergeCell ref="AO68:AP68"/>
    <mergeCell ref="AQ68:AR68"/>
    <mergeCell ref="AS68:AT68"/>
    <mergeCell ref="AS70:AT70"/>
    <mergeCell ref="AW68:AX68"/>
    <mergeCell ref="AY68:AZ68"/>
    <mergeCell ref="BA68:BB68"/>
    <mergeCell ref="BC68:BD68"/>
    <mergeCell ref="H69:I69"/>
    <mergeCell ref="J69:K69"/>
    <mergeCell ref="L69:M69"/>
    <mergeCell ref="N69:O69"/>
    <mergeCell ref="P69:Q69"/>
    <mergeCell ref="R69:S69"/>
    <mergeCell ref="T69:U69"/>
    <mergeCell ref="V69:W69"/>
    <mergeCell ref="X69:Y69"/>
    <mergeCell ref="Z69:AA69"/>
    <mergeCell ref="AB69:AC69"/>
    <mergeCell ref="AD69:AE69"/>
    <mergeCell ref="AG69:AH69"/>
    <mergeCell ref="AI69:AJ69"/>
    <mergeCell ref="AK69:AL69"/>
    <mergeCell ref="AM69:AN69"/>
    <mergeCell ref="AO69:AP69"/>
    <mergeCell ref="AQ69:AR69"/>
    <mergeCell ref="AS69:AT69"/>
    <mergeCell ref="AS71:AT71"/>
    <mergeCell ref="AW69:AX69"/>
    <mergeCell ref="AY69:AZ69"/>
    <mergeCell ref="BA69:BB69"/>
    <mergeCell ref="BC69:BD69"/>
    <mergeCell ref="C70:C71"/>
    <mergeCell ref="H70:I70"/>
    <mergeCell ref="J70:K70"/>
    <mergeCell ref="L70:M70"/>
    <mergeCell ref="N70:O70"/>
    <mergeCell ref="P70:Q70"/>
    <mergeCell ref="R70:S70"/>
    <mergeCell ref="T70:U70"/>
    <mergeCell ref="V70:W70"/>
    <mergeCell ref="X70:Y70"/>
    <mergeCell ref="Z70:AA70"/>
    <mergeCell ref="AB70:AC70"/>
    <mergeCell ref="AD70:AE70"/>
    <mergeCell ref="AG70:AH70"/>
    <mergeCell ref="AI70:AJ70"/>
    <mergeCell ref="AK70:AL70"/>
    <mergeCell ref="AM70:AN70"/>
    <mergeCell ref="AO70:AP70"/>
    <mergeCell ref="AQ70:AR70"/>
    <mergeCell ref="AS72:AT72"/>
    <mergeCell ref="AU70:AV70"/>
    <mergeCell ref="AW70:AX70"/>
    <mergeCell ref="AY70:AZ70"/>
    <mergeCell ref="BA70:BB70"/>
    <mergeCell ref="BC70:BD70"/>
    <mergeCell ref="H71:I71"/>
    <mergeCell ref="J71:K71"/>
    <mergeCell ref="L71:M71"/>
    <mergeCell ref="N71:O71"/>
    <mergeCell ref="P71:Q71"/>
    <mergeCell ref="R71:S71"/>
    <mergeCell ref="T71:U71"/>
    <mergeCell ref="V71:W71"/>
    <mergeCell ref="X71:Y71"/>
    <mergeCell ref="Z71:AA71"/>
    <mergeCell ref="AB71:AC71"/>
    <mergeCell ref="AD71:AE71"/>
    <mergeCell ref="AG71:AH71"/>
    <mergeCell ref="AI71:AJ71"/>
    <mergeCell ref="AK71:AL71"/>
    <mergeCell ref="AM71:AN71"/>
    <mergeCell ref="AO71:AP71"/>
    <mergeCell ref="AQ71:AR71"/>
    <mergeCell ref="Z72:AA72"/>
    <mergeCell ref="AB72:AC72"/>
    <mergeCell ref="AD72:AE72"/>
    <mergeCell ref="AG72:AH72"/>
    <mergeCell ref="AI72:AJ72"/>
    <mergeCell ref="AK72:AL72"/>
    <mergeCell ref="AM72:AN72"/>
    <mergeCell ref="AO72:AP72"/>
    <mergeCell ref="AQ72:AR72"/>
    <mergeCell ref="H72:I72"/>
    <mergeCell ref="J72:K72"/>
    <mergeCell ref="L72:M72"/>
    <mergeCell ref="N72:O72"/>
    <mergeCell ref="P72:Q72"/>
    <mergeCell ref="R72:S72"/>
    <mergeCell ref="T72:U72"/>
    <mergeCell ref="V72:W72"/>
    <mergeCell ref="X72:Y72"/>
    <mergeCell ref="AU72:AV72"/>
    <mergeCell ref="AW72:AX72"/>
    <mergeCell ref="AY72:AZ72"/>
    <mergeCell ref="BA72:BB72"/>
    <mergeCell ref="BC72:BD72"/>
    <mergeCell ref="AU71:AV71"/>
    <mergeCell ref="AW71:AX71"/>
    <mergeCell ref="AY71:AZ71"/>
    <mergeCell ref="BA71:BB71"/>
    <mergeCell ref="BC71:BD71"/>
  </mergeCells>
  <phoneticPr fontId="38" type="noConversion"/>
  <conditionalFormatting sqref="E1 G1:BD1 E25 G25:BD25">
    <cfRule type="expression" dxfId="352" priority="810" stopIfTrue="1">
      <formula>IF(OR(E$12&gt;CÁLCULO.NúmeroDeFrentes,ACOMPANHAMENTO="BM"),TRUE,CRONOPLE.ValorDoEvento=0)</formula>
    </cfRule>
  </conditionalFormatting>
  <conditionalFormatting sqref="U4:Y4">
    <cfRule type="expression" dxfId="351" priority="700" stopIfTrue="1">
      <formula>QCI.ExisteManual</formula>
    </cfRule>
  </conditionalFormatting>
  <conditionalFormatting sqref="J59:AE59 AI59:BD59">
    <cfRule type="expression" dxfId="350" priority="699" stopIfTrue="1">
      <formula>OFFSET(J59,3,-2)=1</formula>
    </cfRule>
  </conditionalFormatting>
  <conditionalFormatting sqref="J60:AE60 AI60:BD60">
    <cfRule type="expression" dxfId="349" priority="694" stopIfTrue="1">
      <formula>OFFSET(J60,2,-2)=1</formula>
    </cfRule>
  </conditionalFormatting>
  <conditionalFormatting sqref="J61:AE61 AI61:BD61">
    <cfRule type="expression" dxfId="348" priority="693" stopIfTrue="1">
      <formula>OFFSET(J61,1,-2)=1</formula>
    </cfRule>
  </conditionalFormatting>
  <conditionalFormatting sqref="J62:AE62 AI62:BD62">
    <cfRule type="expression" dxfId="347" priority="692" stopIfTrue="1">
      <formula>OFFSET(J62,0,-2)=1</formula>
    </cfRule>
  </conditionalFormatting>
  <conditionalFormatting sqref="J63:AE63 AI63:BD63">
    <cfRule type="expression" dxfId="346" priority="691" stopIfTrue="1">
      <formula>OFFSET(J63,-1,-2)=1</formula>
    </cfRule>
  </conditionalFormatting>
  <conditionalFormatting sqref="B15:C15 E15 G15:BE15">
    <cfRule type="expression" dxfId="345" priority="515">
      <formula>$B$15=0</formula>
    </cfRule>
  </conditionalFormatting>
  <conditionalFormatting sqref="B8:C8">
    <cfRule type="expression" dxfId="344" priority="514">
      <formula>$B$7=""</formula>
    </cfRule>
  </conditionalFormatting>
  <conditionalFormatting sqref="J64:AE64 AI64:BD64">
    <cfRule type="expression" dxfId="343" priority="513">
      <formula>OFFSET(J64,-2,-2)=1</formula>
    </cfRule>
  </conditionalFormatting>
  <conditionalFormatting sqref="H64:AE64 AG64:BD64">
    <cfRule type="expression" dxfId="342" priority="512">
      <formula>ROUND(H64,4)&gt;ROUND(H62,4)</formula>
    </cfRule>
  </conditionalFormatting>
  <conditionalFormatting sqref="E16:E24 G16:BD24">
    <cfRule type="expression" dxfId="341" priority="14" stopIfTrue="1">
      <formula>IF(OR(E$12&gt;CÁLCULO.NúmeroDeFrentes,ACOMPANHAMENTO="BM"),TRUE,CRONOPLE.ValorDoEvento=0)</formula>
    </cfRule>
  </conditionalFormatting>
  <conditionalFormatting sqref="E26:E34 G26:BD34">
    <cfRule type="expression" dxfId="340" priority="12" stopIfTrue="1">
      <formula>IF(OR(E$12&gt;CÁLCULO.NúmeroDeFrentes,ACOMPANHAMENTO="BM"),TRUE,CRONOPLE.ValorDoEvento=0)</formula>
    </cfRule>
  </conditionalFormatting>
  <conditionalFormatting sqref="E35:E43 G35:BD43">
    <cfRule type="expression" dxfId="339" priority="11" stopIfTrue="1">
      <formula>IF(OR(E$12&gt;CÁLCULO.NúmeroDeFrentes,ACOMPANHAMENTO="BM"),TRUE,CRONOPLE.ValorDoEvento=0)</formula>
    </cfRule>
  </conditionalFormatting>
  <conditionalFormatting sqref="E44:E52 G44:BD52">
    <cfRule type="expression" dxfId="338" priority="10" stopIfTrue="1">
      <formula>IF(OR(E$12&gt;CÁLCULO.NúmeroDeFrentes,ACOMPANHAMENTO="BM"),TRUE,CRONOPLE.ValorDoEvento=0)</formula>
    </cfRule>
  </conditionalFormatting>
  <conditionalFormatting sqref="E53:E56 G53:BD56">
    <cfRule type="expression" dxfId="337" priority="9" stopIfTrue="1">
      <formula>IF(OR(E$12&gt;CÁLCULO.NúmeroDeFrentes,ACOMPANHAMENTO="BM"),TRUE,CRONOPLE.ValorDoEvento=0)</formula>
    </cfRule>
  </conditionalFormatting>
  <conditionalFormatting sqref="AT4:AX4">
    <cfRule type="expression" dxfId="336" priority="8" stopIfTrue="1">
      <formula>QCI.ExisteManual</formula>
    </cfRule>
  </conditionalFormatting>
  <conditionalFormatting sqref="J67:AE67 AI67:BD67">
    <cfRule type="expression" dxfId="335" priority="7" stopIfTrue="1">
      <formula>OFFSET(J67,3,-2)=1</formula>
    </cfRule>
  </conditionalFormatting>
  <conditionalFormatting sqref="J68:AE68 AI68:BD68">
    <cfRule type="expression" dxfId="334" priority="6" stopIfTrue="1">
      <formula>OFFSET(J68,2,-2)=1</formula>
    </cfRule>
  </conditionalFormatting>
  <conditionalFormatting sqref="J69:AE69 AI69:BD69">
    <cfRule type="expression" dxfId="333" priority="5" stopIfTrue="1">
      <formula>OFFSET(J69,1,-2)=1</formula>
    </cfRule>
  </conditionalFormatting>
  <conditionalFormatting sqref="J70:AE70 AI70:BD70">
    <cfRule type="expression" dxfId="332" priority="4" stopIfTrue="1">
      <formula>OFFSET(J70,0,-2)=1</formula>
    </cfRule>
  </conditionalFormatting>
  <conditionalFormatting sqref="J71:AE71 AI71:BD71">
    <cfRule type="expression" dxfId="331" priority="3" stopIfTrue="1">
      <formula>OFFSET(J71,-1,-2)=1</formula>
    </cfRule>
  </conditionalFormatting>
  <conditionalFormatting sqref="J72:AE72 AI72:BD72">
    <cfRule type="expression" dxfId="330" priority="2">
      <formula>OFFSET(J72,-2,-2)=1</formula>
    </cfRule>
  </conditionalFormatting>
  <conditionalFormatting sqref="H72:AE72 AG72:BD72">
    <cfRule type="expression" dxfId="329" priority="1">
      <formula>ROUND(H72,4)&gt;ROUND(H70,4)</formula>
    </cfRule>
  </conditionalFormatting>
  <dataValidations count="2">
    <dataValidation type="whole" operator="greaterThan" allowBlank="1" showErrorMessage="1" sqref="U2:AA3 AC3:AC4 KX3:KX4 UT3:UT4 AEP3:AEP4 AOL3:AOL4 AYH3:AYH4 BID3:BID4 BRZ3:BRZ4 CBV3:CBV4 CLR3:CLR4 CVN3:CVN4 DFJ3:DFJ4 DPF3:DPF4 DZB3:DZB4 EIX3:EIX4 EST3:EST4 FCP3:FCP4 FML3:FML4 FWH3:FWH4 GGD3:GGD4 GPZ3:GPZ4 GZV3:GZV4 HJR3:HJR4 HTN3:HTN4 IDJ3:IDJ4 INF3:INF4 IXB3:IXB4 JGX3:JGX4 JQT3:JQT4 KAP3:KAP4 KKL3:KKL4 KUH3:KUH4 LED3:LED4 LNZ3:LNZ4 LXV3:LXV4 MHR3:MHR4 MRN3:MRN4 NBJ3:NBJ4 NLF3:NLF4 NVB3:NVB4 OEX3:OEX4 OOT3:OOT4 OYP3:OYP4 PIL3:PIL4 PSH3:PSH4 QCD3:QCD4 QLZ3:QLZ4 QVV3:QVV4 RFR3:RFR4 RPN3:RPN4 RZJ3:RZJ4 SJF3:SJF4 STB3:STB4 TCX3:TCX4 TMT3:TMT4 TWP3:TWP4 UGL3:UGL4 UQH3:UQH4 VAD3:VAD4 VJZ3:VJZ4 VTV3:VTV4 WDR3:WDR4 WNN3:WNN4 WXJ3:WXJ4 G3 KB3 TX3 ADT3 ANP3 AXL3 BHH3 BRD3 CAZ3 CKV3 CUR3 DEN3 DOJ3 DYF3 EIB3 ERX3 FBT3 FLP3 FVL3 GFH3 GPD3 GYZ3 HIV3 HSR3 ICN3 IMJ3 IWF3 JGB3 JPX3 JZT3 KJP3 KTL3 LDH3 LND3 LWZ3 MGV3 MQR3 NAN3 NKJ3 NUF3 OEB3 ONX3 OXT3 PHP3 PRL3 QBH3 QLD3 QUZ3 REV3 ROR3 RYN3 SIJ3 SSF3 TCB3 TLX3 TVT3 UFP3 UPL3 UZH3 VJD3 VSZ3 WCV3 WMR3 WWN3 Z4:AA4 WWO2:WWY3 WMS2:WNC3 WCW2:WDG3 VTA2:VTK3 VJE2:VJO3 UZI2:UZS3 UPM2:UPW3 UFQ2:UGA3 TVU2:TWE3 TLY2:TMI3 TCC2:TCM3 SSG2:SSQ3 SIK2:SIU3 RYO2:RYY3 ROS2:RPC3 REW2:RFG3 QVA2:QVK3 QLE2:QLO3 QBI2:QBS3 PRM2:PRW3 PHQ2:PIA3 OXU2:OYE3 ONY2:OOI3 OEC2:OEM3 NUG2:NUQ3 NKK2:NKU3 NAO2:NAY3 MQS2:MRC3 MGW2:MHG3 LXA2:LXK3 LNE2:LNO3 LDI2:LDS3 KTM2:KTW3 KJQ2:KKA3 JZU2:KAE3 JPY2:JQI3 JGC2:JGM3 IWG2:IWQ3 IMK2:IMU3 ICO2:ICY3 HSS2:HTC3 HIW2:HJG3 GZA2:GZK3 GPE2:GPO3 GFI2:GFS3 FVM2:FVW3 FLQ2:FMA3 FBU2:FCE3 ERY2:ESI3 EIC2:EIM3 DYG2:DYQ3 DOK2:DOU3 DEO2:DEY3 CUS2:CVC3 CKW2:CLG3 CBA2:CBK3 BRE2:BRO3 BHI2:BHS3 AXM2:AXW3 ANQ2:AOA3 ADU2:AEE3 TY2:UI3 KC2:KM3 H2:R3 WXI2:WXI4 WNM2:WNM4 WDQ2:WDQ4 VTU2:VTU4 VJY2:VJY4 VAC2:VAC4 UQG2:UQG4 UGK2:UGK4 TWO2:TWO4 TMS2:TMS4 TCW2:TCW4 STA2:STA4 SJE2:SJE4 RZI2:RZI4 RPM2:RPM4 RFQ2:RFQ4 QVU2:QVU4 QLY2:QLY4 QCC2:QCC4 PSG2:PSG4 PIK2:PIK4 OYO2:OYO4 OOS2:OOS4 OEW2:OEW4 NVA2:NVA4 NLE2:NLE4 NBI2:NBI4 MRM2:MRM4 MHQ2:MHQ4 LXU2:LXU4 LNY2:LNY4 LEC2:LEC4 KUG2:KUG4 KKK2:KKK4 KAO2:KAO4 JQS2:JQS4 JGW2:JGW4 IXA2:IXA4 INE2:INE4 IDI2:IDI4 HTM2:HTM4 HJQ2:HJQ4 GZU2:GZU4 GPY2:GPY4 GGC2:GGC4 FWG2:FWG4 FMK2:FMK4 FCO2:FCO4 ESS2:ESS4 EIW2:EIW4 DZA2:DZA4 DPE2:DPE4 DFI2:DFI4 CVM2:CVM4 CLQ2:CLQ4 CBU2:CBU4 BRY2:BRY4 BIC2:BIC4 AYG2:AYG4 AOK2:AOK4 AEO2:AEO4 US2:US4 KW2:KW4 AB2:AB4 WWL2:WWL6 WMP2:WMP6 WCT2:WCT6 VSX2:VSX6 VJB2:VJB6 UZF2:UZF6 UPJ2:UPJ6 UFN2:UFN6 TVR2:TVR6 TLV2:TLV6 TBZ2:TBZ6 SSD2:SSD6 SIH2:SIH6 RYL2:RYL6 ROP2:ROP6 RET2:RET6 QUX2:QUX6 QLB2:QLB6 QBF2:QBF6 PRJ2:PRJ6 PHN2:PHN6 OXR2:OXR6 ONV2:ONV6 ODZ2:ODZ6 NUD2:NUD6 NKH2:NKH6 NAL2:NAL6 MQP2:MQP6 MGT2:MGT6 LWX2:LWX6 LNB2:LNB6 LDF2:LDF6 KTJ2:KTJ6 KJN2:KJN6 JZR2:JZR6 JPV2:JPV6 JFZ2:JFZ6 IWD2:IWD6 IMH2:IMH6 ICL2:ICL6 HSP2:HSP6 HIT2:HIT6 GYX2:GYX6 GPB2:GPB6 GFF2:GFF6 FVJ2:FVJ6 FLN2:FLN6 FBR2:FBR6 ERV2:ERV6 EHZ2:EHZ6 DYD2:DYD6 DOH2:DOH6 DEL2:DEL6 CUP2:CUP6 CKT2:CKT6 CAX2:CAX6 BRB2:BRB6 BHF2:BHF6 AXJ2:AXJ6 ANN2:ANN6 ADR2:ADR6 TV2:TV6 JZ2:JZ6 WWZ2:WXA4 WND2:WNE4 WDH2:WDI4 VTL2:VTM4 VJP2:VJQ4 UZT2:UZU4 UPX2:UPY4 UGB2:UGC4 TWF2:TWG4 TMJ2:TMK4 TCN2:TCO4 SSR2:SSS4 SIV2:SIW4 RYZ2:RZA4 RPD2:RPE4 RFH2:RFI4 QVL2:QVM4 QLP2:QLQ4 QBT2:QBU4 PRX2:PRY4 PIB2:PIC4 OYF2:OYG4 OOJ2:OOK4 OEN2:OEO4 NUR2:NUS4 NKV2:NKW4 NAZ2:NBA4 MRD2:MRE4 MHH2:MHI4 LXL2:LXM4 LNP2:LNQ4 LDT2:LDU4 KTX2:KTY4 KKB2:KKC4 KAF2:KAG4 JQJ2:JQK4 JGN2:JGO4 IWR2:IWS4 IMV2:IMW4 ICZ2:IDA4 HTD2:HTE4 HJH2:HJI4 GZL2:GZM4 GPP2:GPQ4 GFT2:GFU4 FVX2:FVY4 FMB2:FMC4 FCF2:FCG4 ESJ2:ESK4 EIN2:EIO4 DYR2:DYS4 DOV2:DOW4 DEZ2:DFA4 CVD2:CVE4 CLH2:CLI4 CBL2:CBM4 BRP2:BRQ4 BHT2:BHU4 AXX2:AXY4 AOB2:AOC4 AEF2:AEG4 UJ2:UK4 KN2:KO4 S2:T4 WXB2:WXH3 WNF2:WNL3 WDJ2:WDP3 VTN2:VTT3 VJR2:VJX3 UZV2:VAB3 UPZ2:UQF3 UGD2:UGJ3 TWH2:TWN3 TML2:TMR3 TCP2:TCV3 SST2:SSZ3 SIX2:SJD3 RZB2:RZH3 RPF2:RPL3 RFJ2:RFP3 QVN2:QVT3 QLR2:QLX3 QBV2:QCB3 PRZ2:PSF3 PID2:PIJ3 OYH2:OYN3 OOL2:OOR3 OEP2:OEV3 NUT2:NUZ3 NKX2:NLD3 NBB2:NBH3 MRF2:MRL3 MHJ2:MHP3 LXN2:LXT3 LNR2:LNX3 LDV2:LEB3 KTZ2:KUF3 KKD2:KKJ3 KAH2:KAN3 JQL2:JQR3 JGP2:JGV3 IWT2:IWZ3 IMX2:IND3 IDB2:IDH3 HTF2:HTL3 HJJ2:HJP3 GZN2:GZT3 GPR2:GPX3 GFV2:GGB3 FVZ2:FWF3 FMD2:FMJ3 FCH2:FCN3 ESL2:ESR3 EIP2:EIV3 DYT2:DYZ3 DOX2:DPD3 DFB2:DFH3 CVF2:CVL3 CLJ2:CLP3 CBN2:CBT3 BRR2:BRX3 BHV2:BIB3 AXZ2:AYF3 AOD2:AOJ3 AEH2:AEN3 UL2:UR3 KP2:KV3 G6:BD8 E1:E8 G1:BD1 AT2:AZ3 BB3:BB4 AF3 AY4:AZ4 AG2:AQ3 BA2:BA4 AR2:AS4 G16:BD56 E16:E56"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0" firstPageNumber="0" orientation="landscape"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S181"/>
  <sheetViews>
    <sheetView showGridLines="0" zoomScale="85" zoomScaleNormal="85" zoomScaleSheetLayoutView="90" workbookViewId="0">
      <pane xSplit="20" ySplit="13" topLeftCell="U101" activePane="bottomRight" state="frozen"/>
      <selection pane="topRight"/>
      <selection pane="bottomLeft"/>
      <selection pane="bottomRight" activeCell="I180" sqref="I180:K180"/>
    </sheetView>
  </sheetViews>
  <sheetFormatPr defaultColWidth="9.28515625" defaultRowHeight="12.75" x14ac:dyDescent="0.2"/>
  <cols>
    <col min="1" max="1" width="9.28515625" style="186" hidden="1" customWidth="1"/>
    <col min="2" max="4" width="9.28515625" style="185" hidden="1" customWidth="1"/>
    <col min="5" max="5" width="11" style="186" hidden="1" customWidth="1"/>
    <col min="6" max="6" width="19" style="185" hidden="1" customWidth="1"/>
    <col min="7" max="7" width="3.5703125" style="186" customWidth="1"/>
    <col min="8" max="8" width="12.5703125" style="185" customWidth="1"/>
    <col min="9" max="9" width="7.28515625" style="186" customWidth="1"/>
    <col min="10" max="10" width="11.5703125" style="186" customWidth="1"/>
    <col min="11" max="11" width="12" style="186" customWidth="1"/>
    <col min="12" max="12" width="11" style="186" customWidth="1"/>
    <col min="13" max="18" width="9.28515625" style="185" hidden="1" customWidth="1"/>
    <col min="19" max="19" width="11.42578125" style="187" customWidth="1"/>
    <col min="20" max="20" width="9.5703125" style="187" customWidth="1"/>
    <col min="21" max="44" width="11" style="186" customWidth="1"/>
    <col min="45" max="45" width="5.5703125" style="186" hidden="1" customWidth="1"/>
    <col min="46" max="16384" width="9.28515625" style="186"/>
  </cols>
  <sheetData>
    <row r="1" spans="1:45"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IF(OR(S1=0,S1=""),"Linha",IF(AND(OR(ACOMPANHAMENTO="PLE",$R1&lt;&gt;2),$F2=0),"Linha",ROUND(1-SUM(U1:AS1),4)))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IF($F2=-1,0,IF(N$13&lt;=$M1,IF(ISERROR(MATCH(N$13,OFFSET($M1,1,0,ROW($M$164)-ROW($M1)-1),0)),ROW($M$164)-ROW($M1)-1,MATCH(N$13,OFFSET($M1,1,0,ROW($M$164)-ROW($M1)-1),0)-1),0))</f>
        <v>#REF!</v>
      </c>
      <c r="O1" s="193" t="e">
        <f ca="1">IF($F2=-1,0,IF(O$13&lt;=$M1,IF(ISERROR(MATCH(O$13,OFFSET($M1,1,0,ROW($M$164)-ROW($M1)-1),0)),ROW($M$164)-ROW($M1)-1,MATCH(O$13,OFFSET($M1,1,0,ROW($M$164)-ROW($M1)-1),0)-1),0))</f>
        <v>#REF!</v>
      </c>
      <c r="P1" s="193" t="e">
        <f ca="1">IF($F2=-1,0,IF(P$13&lt;=$M1,IF(ISERROR(MATCH(P$13,OFFSET($M1,1,0,ROW($M$164)-ROW($M1)-1),0)),ROW($M$164)-ROW($M1)-1,MATCH(P$13,OFFSET($M1,1,0,ROW($M$164)-ROW($M1)-1),0)-1),0))</f>
        <v>#REF!</v>
      </c>
      <c r="Q1" s="193" t="e">
        <f ca="1">IF($F2=-1,0,IF(Q$13&lt;=$M1,IF(ISERROR(MATCH(Q$13,OFFSET($M1,1,0,ROW($M$164)-ROW($M1)-1),0)),ROW($M$164)-ROW($M1)-1,MATCH(Q$13,OFFSET($M1,1,0,ROW($M$164)-ROW($M1)-1),0)-1),0))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188" t="e" cm="1">
        <f t="array" aca="1" ref="AG1" ca="1">IF(AND($R1=2,ACOMPANHAMENTO="BM"),ROUND(AG2,4),AG3/$S1)</f>
        <v>#REF!</v>
      </c>
      <c r="AH1" s="188" t="e" cm="1">
        <f t="array" aca="1" ref="AH1" ca="1">IF(AND($R1=2,ACOMPANHAMENTO="BM"),ROUND(AH2,4),AH3/$S1)</f>
        <v>#REF!</v>
      </c>
      <c r="AI1" s="188" t="e" cm="1">
        <f t="array" aca="1" ref="AI1" ca="1">IF(AND($R1=2,ACOMPANHAMENTO="BM"),ROUND(AI2,4),AI3/$S1)</f>
        <v>#REF!</v>
      </c>
      <c r="AJ1" s="188" t="e" cm="1">
        <f t="array" aca="1" ref="AJ1" ca="1">IF(AND($R1=2,ACOMPANHAMENTO="BM"),ROUND(AJ2,4),AJ3/$S1)</f>
        <v>#REF!</v>
      </c>
      <c r="AK1" s="188" t="e" cm="1">
        <f t="array" aca="1" ref="AK1" ca="1">IF(AND($R1=2,ACOMPANHAMENTO="BM"),ROUND(AK2,4),AK3/$S1)</f>
        <v>#REF!</v>
      </c>
      <c r="AL1" s="188" t="e" cm="1">
        <f t="array" aca="1" ref="AL1" ca="1">IF(AND($R1=2,ACOMPANHAMENTO="BM"),ROUND(AL2,4),AL3/$S1)</f>
        <v>#REF!</v>
      </c>
      <c r="AM1" s="188" t="e" cm="1">
        <f t="array" aca="1" ref="AM1" ca="1">IF(AND($R1=2,ACOMPANHAMENTO="BM"),ROUND(AM2,4),AM3/$S1)</f>
        <v>#REF!</v>
      </c>
      <c r="AN1" s="188" t="e" cm="1">
        <f t="array" aca="1" ref="AN1" ca="1">IF(AND($R1=2,ACOMPANHAMENTO="BM"),ROUND(AN2,4),AN3/$S1)</f>
        <v>#REF!</v>
      </c>
      <c r="AO1" s="188" t="e" cm="1">
        <f t="array" aca="1" ref="AO1" ca="1">IF(AND($R1=2,ACOMPANHAMENTO="BM"),ROUND(AO2,4),AO3/$S1)</f>
        <v>#REF!</v>
      </c>
      <c r="AP1" s="188" t="e" cm="1">
        <f t="array" aca="1" ref="AP1" ca="1">IF(AND($R1=2,ACOMPANHAMENTO="BM"),ROUND(AP2,4),AP3/$S1)</f>
        <v>#REF!</v>
      </c>
      <c r="AQ1" s="188" t="e" cm="1">
        <f t="array" aca="1" ref="AQ1" ca="1">IF(AND($R1=2,ACOMPANHAMENTO="BM"),ROUND(AQ2,4),AQ3/$S1)</f>
        <v>#REF!</v>
      </c>
      <c r="AR1" s="188" t="e" cm="1">
        <f t="array" aca="1" ref="AR1" ca="1">IF(AND($R1=2,ACOMPANHAMENTO="BM"),ROUND(AR2,4),AR3/$S1)</f>
        <v>#REF!</v>
      </c>
      <c r="AS1" s="534"/>
    </row>
    <row r="2" spans="1:45" ht="12.75" hidden="1" customHeight="1" x14ac:dyDescent="0.2">
      <c r="E2" s="587"/>
      <c r="F2" s="185" t="e">
        <f ca="1">IF(ISERROR(F1),IF(1+COUNTIF($M$13:OFFSET(M1,-1,0),1)&lt;=MAX(QCI!$D$13:$D$24),1+COUNTIF($M$13:OFFSET(M1,-1,0),1),-1),0)</f>
        <v>#REF!</v>
      </c>
      <c r="G2" s="185" t="str" cm="1">
        <f t="array" aca="1" ref="G2" ca="1">IF(ACOMPANHAMENTO="BM",OFFSET(G2,-1,0),"")</f>
        <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87"/>
      <c r="AH2" s="587"/>
      <c r="AI2" s="587"/>
      <c r="AJ2" s="587"/>
      <c r="AK2" s="587"/>
      <c r="AL2" s="587"/>
      <c r="AM2" s="587"/>
      <c r="AN2" s="587"/>
      <c r="AO2" s="587"/>
      <c r="AP2" s="587"/>
      <c r="AQ2" s="587"/>
      <c r="AR2" s="587"/>
      <c r="AS2" s="534"/>
    </row>
    <row r="3" spans="1:45" ht="12.75" hidden="1" customHeight="1" x14ac:dyDescent="0.2">
      <c r="D3" s="533"/>
      <c r="E3" s="202" t="e" cm="1">
        <f t="array" aca="1" ref="E3" ca="1">IF($R1=2,
         IF(AND(ACOMPANHAMENTO="PLE",ISNUMBER($F1)),
                SUMIF((OFFSET(CÁLCULO!$BS$15:$CS$15,$F1,0,OFFSET(ORÇAMENTO!$D$15,CRONO!$F1,0))),CRONO!E$12,OFFSET(CÁLCULO!$AR$15:$BR$15,$F1,0,OFFSET(ORÇAMENTO!$D$15,CRONO!$F1,0)))
                +IF(AND($F3&lt;&gt;"",$F3&lt;&gt;0),
                        SUMIF(CÁLCULO!$BS$15:$CS$244,CRONO!E$12,CÁLCULO!$AR$15:$BR$244)/(ORÇAMENTO!$X$15-CÁLCULO.TotalAdmLocal)*CRONO!$F3,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SUMIF((OFFSET(CÁLCULO!$BS$15:$CS$15,$F1,0,OFFSET(ORÇAMENTO!$D$15,CRONO!$F1,0))),CRONO!U$12,OFFSET(CÁLCULO!$AR$15:$BR$15,$F1,0,OFFSET(ORÇAMENTO!$D$15,CRONO!$F1,0)))
                +IF(AND($F3&lt;&gt;"",$F3&lt;&gt;0),
                        SUMIF(CÁLCULO!$BS$15:$CS$244,CRONO!U$12,CÁLCULO!$AR$15:$BR$244)/(ORÇAMENTO!$X$15-CÁLCULO.TotalAdmLocal)*CRONO!$F3,
                        0),
                 U2*$S1),
          SUMIF(OFFSET($S3,1,0,$R1-2),($M1+1)&amp;"$",OFFSET(U3,1,0,$R1-2)))</f>
        <v>#REF!</v>
      </c>
      <c r="V3" s="202" t="e" cm="1">
        <f t="array" aca="1" ref="V3" ca="1">IF($R1=2,
         IF(AND(ACOMPANHAMENTO="PLE",ISNUMBER($F1)),
                SUMIF((OFFSET(CÁLCULO!$BS$15:$CS$15,$F1,0,OFFSET(ORÇAMENTO!$D$15,CRONO!$F1,0))),CRONO!V$12,OFFSET(CÁLCULO!$AR$15:$BR$15,$F1,0,OFFSET(ORÇAMENTO!$D$15,CRONO!$F1,0)))
                +IF(AND($F3&lt;&gt;"",$F3&lt;&gt;0),
                        SUMIF(CÁLCULO!$BS$15:$CS$244,CRONO!V$12,CÁLCULO!$AR$15:$BR$244)/(ORÇAMENTO!$X$15-CÁLCULO.TotalAdmLocal)*CRONO!$F3,
                        0),
                 V2*$S1),
          SUMIF(OFFSET($S3,1,0,$R1-2),($M1+1)&amp;"$",OFFSET(V3,1,0,$R1-2)))</f>
        <v>#REF!</v>
      </c>
      <c r="W3" s="202" t="e" cm="1">
        <f t="array" aca="1" ref="W3" ca="1">IF($R1=2,
         IF(AND(ACOMPANHAMENTO="PLE",ISNUMBER($F1)),
                SUMIF((OFFSET(CÁLCULO!$BS$15:$CS$15,$F1,0,OFFSET(ORÇAMENTO!$D$15,CRONO!$F1,0))),CRONO!W$12,OFFSET(CÁLCULO!$AR$15:$BR$15,$F1,0,OFFSET(ORÇAMENTO!$D$15,CRONO!$F1,0)))
                +IF(AND($F3&lt;&gt;"",$F3&lt;&gt;0),
                        SUMIF(CÁLCULO!$BS$15:$CS$244,CRONO!W$12,CÁLCULO!$AR$15:$BR$244)/(ORÇAMENTO!$X$15-CÁLCULO.TotalAdmLocal)*CRONO!$F3,
                        0),
                 W2*$S1),
          SUMIF(OFFSET($S3,1,0,$R1-2),($M1+1)&amp;"$",OFFSET(W3,1,0,$R1-2)))</f>
        <v>#REF!</v>
      </c>
      <c r="X3" s="202" t="e" cm="1">
        <f t="array" aca="1" ref="X3" ca="1">IF($R1=2,
         IF(AND(ACOMPANHAMENTO="PLE",ISNUMBER($F1)),
                SUMIF((OFFSET(CÁLCULO!$BS$15:$CS$15,$F1,0,OFFSET(ORÇAMENTO!$D$15,CRONO!$F1,0))),CRONO!X$12,OFFSET(CÁLCULO!$AR$15:$BR$15,$F1,0,OFFSET(ORÇAMENTO!$D$15,CRONO!$F1,0)))
                +IF(AND($F3&lt;&gt;"",$F3&lt;&gt;0),
                        SUMIF(CÁLCULO!$BS$15:$CS$244,CRONO!X$12,CÁLCULO!$AR$15:$BR$244)/(ORÇAMENTO!$X$15-CÁLCULO.TotalAdmLocal)*CRONO!$F3,
                        0),
                 X2*$S1),
          SUMIF(OFFSET($S3,1,0,$R1-2),($M1+1)&amp;"$",OFFSET(X3,1,0,$R1-2)))</f>
        <v>#REF!</v>
      </c>
      <c r="Y3" s="202" t="e" cm="1">
        <f t="array" aca="1" ref="Y3" ca="1">IF($R1=2,
         IF(AND(ACOMPANHAMENTO="PLE",ISNUMBER($F1)),
                SUMIF((OFFSET(CÁLCULO!$BS$15:$CS$15,$F1,0,OFFSET(ORÇAMENTO!$D$15,CRONO!$F1,0))),CRONO!Y$12,OFFSET(CÁLCULO!$AR$15:$BR$15,$F1,0,OFFSET(ORÇAMENTO!$D$15,CRONO!$F1,0)))
                +IF(AND($F3&lt;&gt;"",$F3&lt;&gt;0),
                        SUMIF(CÁLCULO!$BS$15:$CS$244,CRONO!Y$12,CÁLCULO!$AR$15:$BR$244)/(ORÇAMENTO!$X$15-CÁLCULO.TotalAdmLocal)*CRONO!$F3,
                        0),
                 Y2*$S1),
          SUMIF(OFFSET($S3,1,0,$R1-2),($M1+1)&amp;"$",OFFSET(Y3,1,0,$R1-2)))</f>
        <v>#REF!</v>
      </c>
      <c r="Z3" s="202" t="e" cm="1">
        <f t="array" aca="1" ref="Z3" ca="1">IF($R1=2,
         IF(AND(ACOMPANHAMENTO="PLE",ISNUMBER($F1)),
                SUMIF((OFFSET(CÁLCULO!$BS$15:$CS$15,$F1,0,OFFSET(ORÇAMENTO!$D$15,CRONO!$F1,0))),CRONO!Z$12,OFFSET(CÁLCULO!$AR$15:$BR$15,$F1,0,OFFSET(ORÇAMENTO!$D$15,CRONO!$F1,0)))
                +IF(AND($F3&lt;&gt;"",$F3&lt;&gt;0),
                        SUMIF(CÁLCULO!$BS$15:$CS$244,CRONO!Z$12,CÁLCULO!$AR$15:$BR$244)/(ORÇAMENTO!$X$15-CÁLCULO.TotalAdmLocal)*CRONO!$F3,
                        0),
                 Z2*$S1),
          SUMIF(OFFSET($S3,1,0,$R1-2),($M1+1)&amp;"$",OFFSET(Z3,1,0,$R1-2)))</f>
        <v>#REF!</v>
      </c>
      <c r="AA3" s="202" t="e" cm="1">
        <f t="array" aca="1" ref="AA3" ca="1">IF($R1=2,
         IF(AND(ACOMPANHAMENTO="PLE",ISNUMBER($F1)),
                SUMIF((OFFSET(CÁLCULO!$BS$15:$CS$15,$F1,0,OFFSET(ORÇAMENTO!$D$15,CRONO!$F1,0))),CRONO!AA$12,OFFSET(CÁLCULO!$AR$15:$BR$15,$F1,0,OFFSET(ORÇAMENTO!$D$15,CRONO!$F1,0)))
                +IF(AND($F3&lt;&gt;"",$F3&lt;&gt;0),
                        SUMIF(CÁLCULO!$BS$15:$CS$244,CRONO!AA$12,CÁLCULO!$AR$15:$BR$244)/(ORÇAMENTO!$X$15-CÁLCULO.TotalAdmLocal)*CRONO!$F3,
                        0),
                 AA2*$S1),
          SUMIF(OFFSET($S3,1,0,$R1-2),($M1+1)&amp;"$",OFFSET(AA3,1,0,$R1-2)))</f>
        <v>#REF!</v>
      </c>
      <c r="AB3" s="202" t="e" cm="1">
        <f t="array" aca="1" ref="AB3" ca="1">IF($R1=2,
         IF(AND(ACOMPANHAMENTO="PLE",ISNUMBER($F1)),
                SUMIF((OFFSET(CÁLCULO!$BS$15:$CS$15,$F1,0,OFFSET(ORÇAMENTO!$D$15,CRONO!$F1,0))),CRONO!AB$12,OFFSET(CÁLCULO!$AR$15:$BR$15,$F1,0,OFFSET(ORÇAMENTO!$D$15,CRONO!$F1,0)))
                +IF(AND($F3&lt;&gt;"",$F3&lt;&gt;0),
                        SUMIF(CÁLCULO!$BS$15:$CS$244,CRONO!AB$12,CÁLCULO!$AR$15:$BR$244)/(ORÇAMENTO!$X$15-CÁLCULO.TotalAdmLocal)*CRONO!$F3,
                        0),
                 AB2*$S1),
          SUMIF(OFFSET($S3,1,0,$R1-2),($M1+1)&amp;"$",OFFSET(AB3,1,0,$R1-2)))</f>
        <v>#REF!</v>
      </c>
      <c r="AC3" s="202" t="e" cm="1">
        <f t="array" aca="1" ref="AC3" ca="1">IF($R1=2,
         IF(AND(ACOMPANHAMENTO="PLE",ISNUMBER($F1)),
                SUMIF((OFFSET(CÁLCULO!$BS$15:$CS$15,$F1,0,OFFSET(ORÇAMENTO!$D$15,CRONO!$F1,0))),CRONO!AC$12,OFFSET(CÁLCULO!$AR$15:$BR$15,$F1,0,OFFSET(ORÇAMENTO!$D$15,CRONO!$F1,0)))
                +IF(AND($F3&lt;&gt;"",$F3&lt;&gt;0),
                        SUMIF(CÁLCULO!$BS$15:$CS$244,CRONO!AC$12,CÁLCULO!$AR$15:$BR$244)/(ORÇAMENTO!$X$15-CÁLCULO.TotalAdmLocal)*CRONO!$F3,
                        0),
                 AC2*$S1),
          SUMIF(OFFSET($S3,1,0,$R1-2),($M1+1)&amp;"$",OFFSET(AC3,1,0,$R1-2)))</f>
        <v>#REF!</v>
      </c>
      <c r="AD3" s="202" t="e" cm="1">
        <f t="array" aca="1" ref="AD3" ca="1">IF($R1=2,
         IF(AND(ACOMPANHAMENTO="PLE",ISNUMBER($F1)),
                SUMIF((OFFSET(CÁLCULO!$BS$15:$CS$15,$F1,0,OFFSET(ORÇAMENTO!$D$15,CRONO!$F1,0))),CRONO!AD$12,OFFSET(CÁLCULO!$AR$15:$BR$15,$F1,0,OFFSET(ORÇAMENTO!$D$15,CRONO!$F1,0)))
                +IF(AND($F3&lt;&gt;"",$F3&lt;&gt;0),
                        SUMIF(CÁLCULO!$BS$15:$CS$244,CRONO!AD$12,CÁLCULO!$AR$15:$BR$244)/(ORÇAMENTO!$X$15-CÁLCULO.TotalAdmLocal)*CRONO!$F3,
                        0),
                 AD2*$S1),
          SUMIF(OFFSET($S3,1,0,$R1-2),($M1+1)&amp;"$",OFFSET(AD3,1,0,$R1-2)))</f>
        <v>#REF!</v>
      </c>
      <c r="AE3" s="202" t="e" cm="1">
        <f t="array" aca="1" ref="AE3" ca="1">IF($R1=2,
         IF(AND(ACOMPANHAMENTO="PLE",ISNUMBER($F1)),
                SUMIF((OFFSET(CÁLCULO!$BS$15:$CS$15,$F1,0,OFFSET(ORÇAMENTO!$D$15,CRONO!$F1,0))),CRONO!AE$12,OFFSET(CÁLCULO!$AR$15:$BR$15,$F1,0,OFFSET(ORÇAMENTO!$D$15,CRONO!$F1,0)))
                +IF(AND($F3&lt;&gt;"",$F3&lt;&gt;0),
                        SUMIF(CÁLCULO!$BS$15:$CS$244,CRONO!AE$12,CÁLCULO!$AR$15:$BR$244)/(ORÇAMENTO!$X$15-CÁLCULO.TotalAdmLocal)*CRONO!$F3,
                        0),
                 AE2*$S1),
          SUMIF(OFFSET($S3,1,0,$R1-2),($M1+1)&amp;"$",OFFSET(AE3,1,0,$R1-2)))</f>
        <v>#REF!</v>
      </c>
      <c r="AF3" s="202" t="e" cm="1">
        <f t="array" aca="1" ref="AF3" ca="1">IF($R1=2,
         IF(AND(ACOMPANHAMENTO="PLE",ISNUMBER($F1)),
                SUMIF((OFFSET(CÁLCULO!$BS$15:$CS$15,$F1,0,OFFSET(ORÇAMENTO!$D$15,CRONO!$F1,0))),CRONO!AF$12,OFFSET(CÁLCULO!$AR$15:$BR$15,$F1,0,OFFSET(ORÇAMENTO!$D$15,CRONO!$F1,0)))
                +IF(AND($F3&lt;&gt;"",$F3&lt;&gt;0),
                        SUMIF(CÁLCULO!$BS$15:$CS$244,CRONO!AF$12,CÁLCULO!$AR$15:$BR$244)/(ORÇAMENTO!$X$15-CÁLCULO.TotalAdmLocal)*CRONO!$F3,
                        0),
                 AF2*$S1),
          SUMIF(OFFSET($S3,1,0,$R1-2),($M1+1)&amp;"$",OFFSET(AF3,1,0,$R1-2)))</f>
        <v>#REF!</v>
      </c>
      <c r="AG3" s="202" t="e" cm="1">
        <f t="array" aca="1" ref="AG3" ca="1">IF($R1=2,
         IF(AND(ACOMPANHAMENTO="PLE",ISNUMBER($F1)),
                SUMIF((OFFSET(CÁLCULO!$BS$15:$CS$15,$F1,0,OFFSET(ORÇAMENTO!$D$15,CRONO!$F1,0))),CRONO!AG$12,OFFSET(CÁLCULO!$AR$15:$BR$15,$F1,0,OFFSET(ORÇAMENTO!$D$15,CRONO!$F1,0)))
                +IF(AND($F3&lt;&gt;"",$F3&lt;&gt;0),
                        SUMIF(CÁLCULO!$BS$15:$CS$244,CRONO!AG$12,CÁLCULO!$AR$15:$BR$244)/(ORÇAMENTO!$X$15-CÁLCULO.TotalAdmLocal)*CRONO!$F3,
                        0),
                 AG2*$S1),
          SUMIF(OFFSET($S3,1,0,$R1-2),($M1+1)&amp;"$",OFFSET(AG3,1,0,$R1-2)))</f>
        <v>#REF!</v>
      </c>
      <c r="AH3" s="202" t="e" cm="1">
        <f t="array" aca="1" ref="AH3" ca="1">IF($R1=2,
         IF(AND(ACOMPANHAMENTO="PLE",ISNUMBER($F1)),
                SUMIF((OFFSET(CÁLCULO!$BS$15:$CS$15,$F1,0,OFFSET(ORÇAMENTO!$D$15,CRONO!$F1,0))),CRONO!AH$12,OFFSET(CÁLCULO!$AR$15:$BR$15,$F1,0,OFFSET(ORÇAMENTO!$D$15,CRONO!$F1,0)))
                +IF(AND($F3&lt;&gt;"",$F3&lt;&gt;0),
                        SUMIF(CÁLCULO!$BS$15:$CS$244,CRONO!AH$12,CÁLCULO!$AR$15:$BR$244)/(ORÇAMENTO!$X$15-CÁLCULO.TotalAdmLocal)*CRONO!$F3,
                        0),
                 AH2*$S1),
          SUMIF(OFFSET($S3,1,0,$R1-2),($M1+1)&amp;"$",OFFSET(AH3,1,0,$R1-2)))</f>
        <v>#REF!</v>
      </c>
      <c r="AI3" s="202" t="e" cm="1">
        <f t="array" aca="1" ref="AI3" ca="1">IF($R1=2,
         IF(AND(ACOMPANHAMENTO="PLE",ISNUMBER($F1)),
                SUMIF((OFFSET(CÁLCULO!$BS$15:$CS$15,$F1,0,OFFSET(ORÇAMENTO!$D$15,CRONO!$F1,0))),CRONO!AI$12,OFFSET(CÁLCULO!$AR$15:$BR$15,$F1,0,OFFSET(ORÇAMENTO!$D$15,CRONO!$F1,0)))
                +IF(AND($F3&lt;&gt;"",$F3&lt;&gt;0),
                        SUMIF(CÁLCULO!$BS$15:$CS$244,CRONO!AI$12,CÁLCULO!$AR$15:$BR$244)/(ORÇAMENTO!$X$15-CÁLCULO.TotalAdmLocal)*CRONO!$F3,
                        0),
                 AI2*$S1),
          SUMIF(OFFSET($S3,1,0,$R1-2),($M1+1)&amp;"$",OFFSET(AI3,1,0,$R1-2)))</f>
        <v>#REF!</v>
      </c>
      <c r="AJ3" s="202" t="e" cm="1">
        <f t="array" aca="1" ref="AJ3" ca="1">IF($R1=2,
         IF(AND(ACOMPANHAMENTO="PLE",ISNUMBER($F1)),
                SUMIF((OFFSET(CÁLCULO!$BS$15:$CS$15,$F1,0,OFFSET(ORÇAMENTO!$D$15,CRONO!$F1,0))),CRONO!AJ$12,OFFSET(CÁLCULO!$AR$15:$BR$15,$F1,0,OFFSET(ORÇAMENTO!$D$15,CRONO!$F1,0)))
                +IF(AND($F3&lt;&gt;"",$F3&lt;&gt;0),
                        SUMIF(CÁLCULO!$BS$15:$CS$244,CRONO!AJ$12,CÁLCULO!$AR$15:$BR$244)/(ORÇAMENTO!$X$15-CÁLCULO.TotalAdmLocal)*CRONO!$F3,
                        0),
                 AJ2*$S1),
          SUMIF(OFFSET($S3,1,0,$R1-2),($M1+1)&amp;"$",OFFSET(AJ3,1,0,$R1-2)))</f>
        <v>#REF!</v>
      </c>
      <c r="AK3" s="202" t="e" cm="1">
        <f t="array" aca="1" ref="AK3" ca="1">IF($R1=2,
         IF(AND(ACOMPANHAMENTO="PLE",ISNUMBER($F1)),
                SUMIF((OFFSET(CÁLCULO!$BS$15:$CS$15,$F1,0,OFFSET(ORÇAMENTO!$D$15,CRONO!$F1,0))),CRONO!AK$12,OFFSET(CÁLCULO!$AR$15:$BR$15,$F1,0,OFFSET(ORÇAMENTO!$D$15,CRONO!$F1,0)))
                +IF(AND($F3&lt;&gt;"",$F3&lt;&gt;0),
                        SUMIF(CÁLCULO!$BS$15:$CS$244,CRONO!AK$12,CÁLCULO!$AR$15:$BR$244)/(ORÇAMENTO!$X$15-CÁLCULO.TotalAdmLocal)*CRONO!$F3,
                        0),
                 AK2*$S1),
          SUMIF(OFFSET($S3,1,0,$R1-2),($M1+1)&amp;"$",OFFSET(AK3,1,0,$R1-2)))</f>
        <v>#REF!</v>
      </c>
      <c r="AL3" s="202" t="e" cm="1">
        <f t="array" aca="1" ref="AL3" ca="1">IF($R1=2,
         IF(AND(ACOMPANHAMENTO="PLE",ISNUMBER($F1)),
                SUMIF((OFFSET(CÁLCULO!$BS$15:$CS$15,$F1,0,OFFSET(ORÇAMENTO!$D$15,CRONO!$F1,0))),CRONO!AL$12,OFFSET(CÁLCULO!$AR$15:$BR$15,$F1,0,OFFSET(ORÇAMENTO!$D$15,CRONO!$F1,0)))
                +IF(AND($F3&lt;&gt;"",$F3&lt;&gt;0),
                        SUMIF(CÁLCULO!$BS$15:$CS$244,CRONO!AL$12,CÁLCULO!$AR$15:$BR$244)/(ORÇAMENTO!$X$15-CÁLCULO.TotalAdmLocal)*CRONO!$F3,
                        0),
                 AL2*$S1),
          SUMIF(OFFSET($S3,1,0,$R1-2),($M1+1)&amp;"$",OFFSET(AL3,1,0,$R1-2)))</f>
        <v>#REF!</v>
      </c>
      <c r="AM3" s="202" t="e" cm="1">
        <f t="array" aca="1" ref="AM3" ca="1">IF($R1=2,
         IF(AND(ACOMPANHAMENTO="PLE",ISNUMBER($F1)),
                SUMIF((OFFSET(CÁLCULO!$BS$15:$CS$15,$F1,0,OFFSET(ORÇAMENTO!$D$15,CRONO!$F1,0))),CRONO!AM$12,OFFSET(CÁLCULO!$AR$15:$BR$15,$F1,0,OFFSET(ORÇAMENTO!$D$15,CRONO!$F1,0)))
                +IF(AND($F3&lt;&gt;"",$F3&lt;&gt;0),
                        SUMIF(CÁLCULO!$BS$15:$CS$244,CRONO!AM$12,CÁLCULO!$AR$15:$BR$244)/(ORÇAMENTO!$X$15-CÁLCULO.TotalAdmLocal)*CRONO!$F3,
                        0),
                 AM2*$S1),
          SUMIF(OFFSET($S3,1,0,$R1-2),($M1+1)&amp;"$",OFFSET(AM3,1,0,$R1-2)))</f>
        <v>#REF!</v>
      </c>
      <c r="AN3" s="202" t="e" cm="1">
        <f t="array" aca="1" ref="AN3" ca="1">IF($R1=2,
         IF(AND(ACOMPANHAMENTO="PLE",ISNUMBER($F1)),
                SUMIF((OFFSET(CÁLCULO!$BS$15:$CS$15,$F1,0,OFFSET(ORÇAMENTO!$D$15,CRONO!$F1,0))),CRONO!AN$12,OFFSET(CÁLCULO!$AR$15:$BR$15,$F1,0,OFFSET(ORÇAMENTO!$D$15,CRONO!$F1,0)))
                +IF(AND($F3&lt;&gt;"",$F3&lt;&gt;0),
                        SUMIF(CÁLCULO!$BS$15:$CS$244,CRONO!AN$12,CÁLCULO!$AR$15:$BR$244)/(ORÇAMENTO!$X$15-CÁLCULO.TotalAdmLocal)*CRONO!$F3,
                        0),
                 AN2*$S1),
          SUMIF(OFFSET($S3,1,0,$R1-2),($M1+1)&amp;"$",OFFSET(AN3,1,0,$R1-2)))</f>
        <v>#REF!</v>
      </c>
      <c r="AO3" s="202" t="e" cm="1">
        <f t="array" aca="1" ref="AO3" ca="1">IF($R1=2,
         IF(AND(ACOMPANHAMENTO="PLE",ISNUMBER($F1)),
                SUMIF((OFFSET(CÁLCULO!$BS$15:$CS$15,$F1,0,OFFSET(ORÇAMENTO!$D$15,CRONO!$F1,0))),CRONO!AO$12,OFFSET(CÁLCULO!$AR$15:$BR$15,$F1,0,OFFSET(ORÇAMENTO!$D$15,CRONO!$F1,0)))
                +IF(AND($F3&lt;&gt;"",$F3&lt;&gt;0),
                        SUMIF(CÁLCULO!$BS$15:$CS$244,CRONO!AO$12,CÁLCULO!$AR$15:$BR$244)/(ORÇAMENTO!$X$15-CÁLCULO.TotalAdmLocal)*CRONO!$F3,
                        0),
                 AO2*$S1),
          SUMIF(OFFSET($S3,1,0,$R1-2),($M1+1)&amp;"$",OFFSET(AO3,1,0,$R1-2)))</f>
        <v>#REF!</v>
      </c>
      <c r="AP3" s="202" t="e" cm="1">
        <f t="array" aca="1" ref="AP3" ca="1">IF($R1=2,
         IF(AND(ACOMPANHAMENTO="PLE",ISNUMBER($F1)),
                SUMIF((OFFSET(CÁLCULO!$BS$15:$CS$15,$F1,0,OFFSET(ORÇAMENTO!$D$15,CRONO!$F1,0))),CRONO!AP$12,OFFSET(CÁLCULO!$AR$15:$BR$15,$F1,0,OFFSET(ORÇAMENTO!$D$15,CRONO!$F1,0)))
                +IF(AND($F3&lt;&gt;"",$F3&lt;&gt;0),
                        SUMIF(CÁLCULO!$BS$15:$CS$244,CRONO!AP$12,CÁLCULO!$AR$15:$BR$244)/(ORÇAMENTO!$X$15-CÁLCULO.TotalAdmLocal)*CRONO!$F3,
                        0),
                 AP2*$S1),
          SUMIF(OFFSET($S3,1,0,$R1-2),($M1+1)&amp;"$",OFFSET(AP3,1,0,$R1-2)))</f>
        <v>#REF!</v>
      </c>
      <c r="AQ3" s="202" t="e" cm="1">
        <f t="array" aca="1" ref="AQ3" ca="1">IF($R1=2,
         IF(AND(ACOMPANHAMENTO="PLE",ISNUMBER($F1)),
                SUMIF((OFFSET(CÁLCULO!$BS$15:$CS$15,$F1,0,OFFSET(ORÇAMENTO!$D$15,CRONO!$F1,0))),CRONO!AQ$12,OFFSET(CÁLCULO!$AR$15:$BR$15,$F1,0,OFFSET(ORÇAMENTO!$D$15,CRONO!$F1,0)))
                +IF(AND($F3&lt;&gt;"",$F3&lt;&gt;0),
                        SUMIF(CÁLCULO!$BS$15:$CS$244,CRONO!AQ$12,CÁLCULO!$AR$15:$BR$244)/(ORÇAMENTO!$X$15-CÁLCULO.TotalAdmLocal)*CRONO!$F3,
                        0),
                 AQ2*$S1),
          SUMIF(OFFSET($S3,1,0,$R1-2),($M1+1)&amp;"$",OFFSET(AQ3,1,0,$R1-2)))</f>
        <v>#REF!</v>
      </c>
      <c r="AR3" s="202" t="e" cm="1">
        <f t="array" aca="1" ref="AR3" ca="1">IF($R1=2,
         IF(AND(ACOMPANHAMENTO="PLE",ISNUMBER($F1)),
                SUMIF((OFFSET(CÁLCULO!$BS$15:$CS$15,$F1,0,OFFSET(ORÇAMENTO!$D$15,CRONO!$F1,0))),CRONO!AR$12,OFFSET(CÁLCULO!$AR$15:$BR$15,$F1,0,OFFSET(ORÇAMENTO!$D$15,CRONO!$F1,0)))
                +IF(AND($F3&lt;&gt;"",$F3&lt;&gt;0),
                        SUMIF(CÁLCULO!$BS$15:$CS$244,CRONO!AR$12,CÁLCULO!$AR$15:$BR$244)/(ORÇAMENTO!$X$15-CÁLCULO.TotalAdmLocal)*CRONO!$F3,
                        0),
                 AR2*$S1),
          SUMIF(OFFSET($S3,1,0,$R1-2),($M1+1)&amp;"$",OFFSET(AR3,1,0,$R1-2)))</f>
        <v>#REF!</v>
      </c>
      <c r="AS3" s="534"/>
    </row>
    <row r="4" spans="1:45" ht="15" customHeight="1" x14ac:dyDescent="0.25">
      <c r="S4" s="206" t="str" cm="1">
        <f t="array" ref="S4">IF(TIPOORCAMENTO="licitado","CFF - CRONOGRAMA FÍSICO-FINANCEIRO LICITADO","CFF - CRONOGRAMA FÍSICO-FINANCEIRO")</f>
        <v>CFF - CRONOGRAMA FÍSICO-FINANCEIRO</v>
      </c>
      <c r="AE4" s="682" t="s">
        <v>644</v>
      </c>
      <c r="AF4" s="682"/>
      <c r="AQ4" s="682" t="s">
        <v>644</v>
      </c>
      <c r="AR4" s="682"/>
    </row>
    <row r="5" spans="1:45" ht="15" x14ac:dyDescent="0.2">
      <c r="S5" s="83" t="str">
        <f>import.recurso</f>
        <v>OGU</v>
      </c>
      <c r="AE5" s="683" t="s">
        <v>647</v>
      </c>
      <c r="AF5" s="683"/>
      <c r="AQ5" s="683" t="s">
        <v>647</v>
      </c>
      <c r="AR5" s="683"/>
    </row>
    <row r="6" spans="1:45" ht="12.75" customHeight="1" x14ac:dyDescent="0.2"/>
    <row r="7" spans="1:45" ht="12.75" customHeight="1" x14ac:dyDescent="0.2">
      <c r="F7" s="207"/>
      <c r="H7" s="766"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c r="AG7" s="208" t="s">
        <v>758</v>
      </c>
      <c r="AK7" s="209"/>
      <c r="AL7" s="208" t="str" cm="1">
        <f t="array" ref="AL7">IF(TIPOORCAMENTO="Licitado","NOME DA EMPRESA","DESCRIÇÃO DO LOTE")</f>
        <v>DESCRIÇÃO DO LOTE</v>
      </c>
      <c r="AR7" s="213" t="str" cm="1">
        <f t="array" ref="AR7">IF(TIPOORCAMENTO="Licitado","Nº CTEF","")</f>
        <v/>
      </c>
    </row>
    <row r="8" spans="1:45" x14ac:dyDescent="0.2">
      <c r="A8" s="186" t="s">
        <v>974</v>
      </c>
      <c r="E8" s="185"/>
      <c r="F8" s="114"/>
      <c r="G8" s="710" t="s">
        <v>655</v>
      </c>
      <c r="H8" s="766"/>
      <c r="I8" s="764" t="str">
        <f>Import.CR</f>
        <v>-</v>
      </c>
      <c r="J8" s="764"/>
      <c r="K8" s="214" t="str">
        <f>Import.TransfereGOV</f>
        <v>-</v>
      </c>
      <c r="L8" s="774" t="str">
        <f>Import.Proponente</f>
        <v>Prefeitura Municipal de Pedro Régis-PB</v>
      </c>
      <c r="M8" s="774"/>
      <c r="N8" s="774"/>
      <c r="O8" s="774"/>
      <c r="P8" s="774"/>
      <c r="Q8" s="774"/>
      <c r="R8" s="774"/>
      <c r="S8" s="774"/>
      <c r="T8" s="774"/>
      <c r="U8" s="764" t="str">
        <f>Import.Apelido</f>
        <v>Casa térrea acessível, 2 quartos, Autil=47,46m², conforme Portaria MCID 1416/2023</v>
      </c>
      <c r="V8" s="764"/>
      <c r="W8" s="764"/>
      <c r="X8" s="764"/>
      <c r="Y8" s="764"/>
      <c r="Z8" s="765" t="str" cm="1">
        <f t="array" ref="Z8">IF(TIPOORCAMENTO="Licitado",Import.empresa,Import.DescLote)</f>
        <v>Construção de 20 residencias unifamiliares no Município de Pedro Régis/PB - Novo PAC FNHIS - Sub 50</v>
      </c>
      <c r="AA8" s="765"/>
      <c r="AB8" s="765"/>
      <c r="AC8" s="765"/>
      <c r="AD8" s="765"/>
      <c r="AE8" s="765"/>
      <c r="AF8" s="203" t="str" cm="1">
        <f t="array" ref="AF8">IF(TIPOORCAMENTO="Licitado",Import.CTEF,"")</f>
        <v/>
      </c>
      <c r="AG8" s="764" t="str">
        <f>Import.Apelido</f>
        <v>Casa térrea acessível, 2 quartos, Autil=47,46m², conforme Portaria MCID 1416/2023</v>
      </c>
      <c r="AH8" s="764"/>
      <c r="AI8" s="764"/>
      <c r="AJ8" s="764"/>
      <c r="AK8" s="764"/>
      <c r="AL8" s="765" t="str" cm="1">
        <f t="array" ref="AL8">IF(TIPOORCAMENTO="Licitado",Import.empresa,Import.DescLote)</f>
        <v>Construção de 20 residencias unifamiliares no Município de Pedro Régis/PB - Novo PAC FNHIS - Sub 50</v>
      </c>
      <c r="AM8" s="765"/>
      <c r="AN8" s="765"/>
      <c r="AO8" s="765"/>
      <c r="AP8" s="765"/>
      <c r="AQ8" s="765"/>
      <c r="AR8" s="203" t="str" cm="1">
        <f t="array" ref="AR8">IF(TIPOORCAMENTO="Licitado",Import.CTEF,"")</f>
        <v/>
      </c>
    </row>
    <row r="9" spans="1:45" x14ac:dyDescent="0.2">
      <c r="A9" s="655">
        <v>2</v>
      </c>
      <c r="F9" s="114"/>
      <c r="G9" s="710"/>
      <c r="H9" s="766"/>
    </row>
    <row r="10" spans="1:45" x14ac:dyDescent="0.2">
      <c r="A10" s="656">
        <v>3</v>
      </c>
      <c r="F10" s="185" cm="1">
        <f t="array" aca="1" ref="F10" ca="1">CRONO.LinhasNecessarias</f>
        <v>46</v>
      </c>
      <c r="G10" s="710"/>
      <c r="H10" s="215">
        <v>4</v>
      </c>
      <c r="K10" s="775" t="str" cm="1">
        <f t="array" aca="1" ref="K10" ca="1">IF(MAX($B$13:$B$164)&lt;CRONO.LinhasNecessarias,"ERRO: NÚMERO DE LINHAS DO CRONOGRAMA INSUFICIENTE. CLIQUE EM ATUALIZAR LINHAS.",IF(AND(ACOMPANHAMENTO="PLE",ROUND(OFFSET($AS$174,0,-1),2)=0),"CRONOGRAMA DEVE SER PREENCHIDO POR EVENTOS",IF(ROUND(OFFSET($AS$174,0,-1),2)&lt;&gt;$R$165,"ERRO: CRONOGRAMA NÃO FECHA 100%","")))</f>
        <v>CRONOGRAMA DEVE SER PREENCHIDO POR EVENTOS</v>
      </c>
      <c r="L10" s="775"/>
      <c r="M10" s="775"/>
      <c r="N10" s="775"/>
      <c r="O10" s="775"/>
      <c r="P10" s="775"/>
      <c r="Q10" s="775"/>
      <c r="R10" s="775"/>
      <c r="S10" s="775"/>
      <c r="T10" s="775"/>
    </row>
    <row r="11" spans="1:45" ht="12.75" customHeight="1" x14ac:dyDescent="0.2">
      <c r="A11" s="657">
        <v>4</v>
      </c>
      <c r="F11" s="185" t="e" cm="1">
        <f t="array" aca="1" ref="F11" ca="1">CRONO.ParcelaFinal</f>
        <v>#N/A</v>
      </c>
      <c r="G11" s="710"/>
      <c r="I11" s="216"/>
      <c r="J11" s="216"/>
      <c r="K11" s="775"/>
      <c r="L11" s="775"/>
      <c r="M11" s="775"/>
      <c r="N11" s="775"/>
      <c r="O11" s="775"/>
      <c r="P11" s="775"/>
      <c r="Q11" s="775"/>
      <c r="R11" s="775"/>
      <c r="S11" s="775"/>
      <c r="T11" s="775"/>
    </row>
    <row r="12" spans="1:45" ht="12.75" customHeight="1" x14ac:dyDescent="0.2">
      <c r="A12" s="186" t="s">
        <v>789</v>
      </c>
      <c r="E12" s="217">
        <f ca="1">OFFSET(E12,0,-1)+1</f>
        <v>1</v>
      </c>
      <c r="G12" s="106" t="s">
        <v>660</v>
      </c>
      <c r="H12" s="767" t="s">
        <v>790</v>
      </c>
      <c r="I12" s="768" t="s">
        <v>735</v>
      </c>
      <c r="J12" s="769" t="s">
        <v>118</v>
      </c>
      <c r="K12" s="218"/>
      <c r="L12" s="218"/>
      <c r="M12" s="219"/>
      <c r="N12" s="219"/>
      <c r="O12" s="219"/>
      <c r="P12" s="219"/>
      <c r="Q12" s="219"/>
      <c r="R12" s="219"/>
      <c r="S12" s="772" t="s">
        <v>791</v>
      </c>
      <c r="T12" s="773" t="s">
        <v>792</v>
      </c>
      <c r="U12" s="220">
        <v>1</v>
      </c>
      <c r="V12" s="217">
        <f ca="1">OFFSET(V12,0,-1)+1</f>
        <v>2</v>
      </c>
      <c r="W12" s="217">
        <f t="shared" ref="W12:AR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220">
        <f t="shared" ca="1" si="0"/>
        <v>13</v>
      </c>
      <c r="AH12" s="217">
        <f t="shared" ca="1" si="0"/>
        <v>14</v>
      </c>
      <c r="AI12" s="217">
        <f t="shared" ca="1" si="0"/>
        <v>15</v>
      </c>
      <c r="AJ12" s="217">
        <f t="shared" ca="1" si="0"/>
        <v>16</v>
      </c>
      <c r="AK12" s="217">
        <f t="shared" ca="1" si="0"/>
        <v>17</v>
      </c>
      <c r="AL12" s="217">
        <f t="shared" ca="1" si="0"/>
        <v>18</v>
      </c>
      <c r="AM12" s="217">
        <f t="shared" ca="1" si="0"/>
        <v>19</v>
      </c>
      <c r="AN12" s="217">
        <f t="shared" ca="1" si="0"/>
        <v>20</v>
      </c>
      <c r="AO12" s="217">
        <f t="shared" ca="1" si="0"/>
        <v>21</v>
      </c>
      <c r="AP12" s="217">
        <f t="shared" ca="1" si="0"/>
        <v>22</v>
      </c>
      <c r="AQ12" s="217">
        <f t="shared" ca="1" si="0"/>
        <v>23</v>
      </c>
      <c r="AR12" s="537">
        <f t="shared" ca="1" si="0"/>
        <v>24</v>
      </c>
      <c r="AS12" s="534"/>
    </row>
    <row r="13" spans="1:45" ht="25.15" customHeight="1" x14ac:dyDescent="0.2">
      <c r="B13" s="221" t="s">
        <v>793</v>
      </c>
      <c r="C13" s="221" t="s">
        <v>456</v>
      </c>
      <c r="D13" s="221" t="s">
        <v>794</v>
      </c>
      <c r="E13" s="222" t="e">
        <f ca="1">OFFSET(E13,0,-1)+41-DAY(OFFSET(E13,0,-1)+40)</f>
        <v>#VALUE!</v>
      </c>
      <c r="F13" s="221" t="s">
        <v>795</v>
      </c>
      <c r="H13" s="767"/>
      <c r="I13" s="768"/>
      <c r="J13" s="769"/>
      <c r="K13" s="223"/>
      <c r="L13" s="223"/>
      <c r="M13" s="224" t="s">
        <v>733</v>
      </c>
      <c r="N13" s="224">
        <v>1</v>
      </c>
      <c r="O13" s="224">
        <v>2</v>
      </c>
      <c r="P13" s="224">
        <v>3</v>
      </c>
      <c r="Q13" s="224">
        <v>4</v>
      </c>
      <c r="R13" s="225" t="s">
        <v>796</v>
      </c>
      <c r="S13" s="772"/>
      <c r="T13" s="773"/>
      <c r="U13" s="226">
        <v>45870</v>
      </c>
      <c r="V13" s="222">
        <f ca="1">OFFSET(V13,0,-1)+41-DAY(OFFSET(V13,0,-1)+40)</f>
        <v>45901</v>
      </c>
      <c r="W13" s="222">
        <f ca="1">OFFSET(W13,0,-1)+41-DAY(OFFSET(W13,0,-1)+40)</f>
        <v>45931</v>
      </c>
      <c r="X13" s="222">
        <f t="shared" ref="X13:AR13" ca="1" si="1">OFFSET(X13,0,-1)+41-DAY(OFFSET(X13,0,-1)+40)</f>
        <v>45962</v>
      </c>
      <c r="Y13" s="222">
        <f t="shared" ca="1" si="1"/>
        <v>45992</v>
      </c>
      <c r="Z13" s="222">
        <f t="shared" ca="1" si="1"/>
        <v>46023</v>
      </c>
      <c r="AA13" s="222">
        <f t="shared" ca="1" si="1"/>
        <v>46054</v>
      </c>
      <c r="AB13" s="222">
        <f t="shared" ca="1" si="1"/>
        <v>46082</v>
      </c>
      <c r="AC13" s="222">
        <f t="shared" ca="1" si="1"/>
        <v>46113</v>
      </c>
      <c r="AD13" s="222">
        <f t="shared" ca="1" si="1"/>
        <v>46143</v>
      </c>
      <c r="AE13" s="222">
        <f t="shared" ca="1" si="1"/>
        <v>46174</v>
      </c>
      <c r="AF13" s="538">
        <f t="shared" ca="1" si="1"/>
        <v>46204</v>
      </c>
      <c r="AG13" s="226">
        <f t="shared" ca="1" si="1"/>
        <v>46235</v>
      </c>
      <c r="AH13" s="222">
        <f t="shared" ca="1" si="1"/>
        <v>46266</v>
      </c>
      <c r="AI13" s="222">
        <f t="shared" ca="1" si="1"/>
        <v>46296</v>
      </c>
      <c r="AJ13" s="222">
        <f t="shared" ca="1" si="1"/>
        <v>46327</v>
      </c>
      <c r="AK13" s="222">
        <f t="shared" ca="1" si="1"/>
        <v>46357</v>
      </c>
      <c r="AL13" s="222">
        <f t="shared" ca="1" si="1"/>
        <v>46388</v>
      </c>
      <c r="AM13" s="222">
        <f t="shared" ca="1" si="1"/>
        <v>46419</v>
      </c>
      <c r="AN13" s="222">
        <f t="shared" ca="1" si="1"/>
        <v>46447</v>
      </c>
      <c r="AO13" s="222">
        <f t="shared" ca="1" si="1"/>
        <v>46478</v>
      </c>
      <c r="AP13" s="222">
        <f t="shared" ca="1" si="1"/>
        <v>46508</v>
      </c>
      <c r="AQ13" s="222">
        <f t="shared" ca="1" si="1"/>
        <v>46539</v>
      </c>
      <c r="AR13" s="538">
        <f t="shared" ca="1" si="1"/>
        <v>46569</v>
      </c>
      <c r="AS13" s="534"/>
    </row>
    <row r="14" spans="1:45"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t="e" cm="1">
        <f t="array" aca="1" ref="E14" ca="1">IF(AND($R14=2,ACOMPANHAMENTO="BM"),ROUND(E15,4),E16/$S14)</f>
        <v>#DIV/0!</v>
      </c>
      <c r="F14" s="185" cm="1">
        <f t="array" aca="1" ref="F14" ca="1">IF(B14&lt;=ORÇAMENTO.MáximoListaCrono,MATCH(B14,ORÇAMENTO.ListaCrono,0),NA())</f>
        <v>1</v>
      </c>
      <c r="G14" s="185" t="str">
        <f t="shared" ref="G14" ca="1" si="4">IF(AND($F15&lt;&gt;-1,$S14&gt;0),"F","")</f>
        <v/>
      </c>
      <c r="H14" s="189" t="str" cm="1">
        <f t="array" aca="1" ref="H14" ca="1">IF(OR(S14=0,S14=""),"Linha",IF(AND(OR(ACOMPANHAMENTO="PLE",$R14&lt;&gt;2),$F15=0),"Linha",ROUND(1-SUM(U14:AS14),4)))</f>
        <v>Linha</v>
      </c>
      <c r="I14" s="190" t="str">
        <f ca="1">IF($F15=0,OFFSET(ORÇAMENTO!O$15,$F14,0),IF($F15&lt;&gt;-1,OFFSET(QCI!$D$13,$F15,0),""))</f>
        <v>1.</v>
      </c>
      <c r="J14" s="191" t="str">
        <f ca="1">IF($F15=0,OFFSET(ORÇAMENTO!R$15,$F14,0),IF($F15&lt;&gt;-1,OFFSET(QCI!$G$13,$F15,0),""))</f>
        <v>SERVIÇOS PRELIMINARES</v>
      </c>
      <c r="K14" s="191"/>
      <c r="L14" s="191"/>
      <c r="M14" s="192">
        <f ca="1">IF($F15=0,OFFSET(ORÇAMENTO!C$15,$F14,0),1)</f>
        <v>1</v>
      </c>
      <c r="N14" s="193">
        <f ca="1">IF($F15=-1,0,IF(N$13&lt;=$M14,IF(ISERROR(MATCH(N$13,OFFSET($M14,1,0,ROW($M$164)-ROW($M14)-1),0)),ROW($M$164)-ROW($M14)-1,MATCH(N$13,OFFSET($M14,1,0,ROW($M$164)-ROW($M14)-1),0)-1),0))</f>
        <v>8</v>
      </c>
      <c r="O14" s="193">
        <f ca="1">IF($F15=-1,0,IF(O$13&lt;=$M14,IF(ISERROR(MATCH(O$13,OFFSET($M14,1,0,ROW($M$164)-ROW($M14)-1),0)),ROW($M$164)-ROW($M14)-1,MATCH(O$13,OFFSET($M14,1,0,ROW($M$164)-ROW($M14)-1),0)-1),0))</f>
        <v>0</v>
      </c>
      <c r="P14" s="193">
        <f ca="1">IF($F15=-1,0,IF(P$13&lt;=$M14,IF(ISERROR(MATCH(P$13,OFFSET($M14,1,0,ROW($M$164)-ROW($M14)-1),0)),ROW($M$164)-ROW($M14)-1,MATCH(P$13,OFFSET($M14,1,0,ROW($M$164)-ROW($M14)-1),0)-1),0))</f>
        <v>0</v>
      </c>
      <c r="Q14" s="193">
        <f ca="1">IF($F15=-1,0,IF(Q$13&lt;=$M14,IF(ISERROR(MATCH(Q$13,OFFSET($M14,1,0,ROW($M$164)-ROW($M14)-1),0)),ROW($M$164)-ROW($M14)-1,MATCH(Q$13,OFFSET($M14,1,0,ROW($M$164)-ROW($M14)-1),0)-1),0))</f>
        <v>0</v>
      </c>
      <c r="R14" s="193">
        <f t="shared" ref="R14" ca="1" si="5">MIN(OFFSET(M14,0,1,,M14))</f>
        <v>8</v>
      </c>
      <c r="S14" s="194">
        <f ca="1">IF($F15=0,OFFSET(ORÇAMENTO!X$15,$F14,0),IF($F15&lt;&gt;-1,OFFSET(QCI!$O$13,$F15,0),""))</f>
        <v>0</v>
      </c>
      <c r="T14" s="195" t="s">
        <v>785</v>
      </c>
      <c r="U14" s="188" t="e" cm="1">
        <f t="array" aca="1" ref="U14" ca="1">IF(AND($R14=2,ACOMPANHAMENTO="BM"),ROUND(U15,4),U16/$S14)</f>
        <v>#DIV/0!</v>
      </c>
      <c r="V14" s="188" t="e" cm="1">
        <f t="array" aca="1" ref="V14" ca="1">IF(AND($R14=2,ACOMPANHAMENTO="BM"),ROUND(V15,4),V16/$S14)</f>
        <v>#DIV/0!</v>
      </c>
      <c r="W14" s="188" t="e" cm="1">
        <f t="array" aca="1" ref="W14" ca="1">IF(AND($R14=2,ACOMPANHAMENTO="BM"),ROUND(W15,4),W16/$S14)</f>
        <v>#DIV/0!</v>
      </c>
      <c r="X14" s="188" t="e" cm="1">
        <f t="array" aca="1" ref="X14" ca="1">IF(AND($R14=2,ACOMPANHAMENTO="BM"),ROUND(X15,4),X16/$S14)</f>
        <v>#DIV/0!</v>
      </c>
      <c r="Y14" s="188" t="e" cm="1">
        <f t="array" aca="1" ref="Y14" ca="1">IF(AND($R14=2,ACOMPANHAMENTO="BM"),ROUND(Y15,4),Y16/$S14)</f>
        <v>#DIV/0!</v>
      </c>
      <c r="Z14" s="188" t="e" cm="1">
        <f t="array" aca="1" ref="Z14" ca="1">IF(AND($R14=2,ACOMPANHAMENTO="BM"),ROUND(Z15,4),Z16/$S14)</f>
        <v>#DIV/0!</v>
      </c>
      <c r="AA14" s="188" t="e" cm="1">
        <f t="array" aca="1" ref="AA14" ca="1">IF(AND($R14=2,ACOMPANHAMENTO="BM"),ROUND(AA15,4),AA16/$S14)</f>
        <v>#DIV/0!</v>
      </c>
      <c r="AB14" s="188" t="e" cm="1">
        <f t="array" aca="1" ref="AB14" ca="1">IF(AND($R14=2,ACOMPANHAMENTO="BM"),ROUND(AB15,4),AB16/$S14)</f>
        <v>#DIV/0!</v>
      </c>
      <c r="AC14" s="188" t="e" cm="1">
        <f t="array" aca="1" ref="AC14" ca="1">IF(AND($R14=2,ACOMPANHAMENTO="BM"),ROUND(AC15,4),AC16/$S14)</f>
        <v>#DIV/0!</v>
      </c>
      <c r="AD14" s="188" t="e" cm="1">
        <f t="array" aca="1" ref="AD14" ca="1">IF(AND($R14=2,ACOMPANHAMENTO="BM"),ROUND(AD15,4),AD16/$S14)</f>
        <v>#DIV/0!</v>
      </c>
      <c r="AE14" s="188" t="e" cm="1">
        <f t="array" aca="1" ref="AE14" ca="1">IF(AND($R14=2,ACOMPANHAMENTO="BM"),ROUND(AE15,4),AE16/$S14)</f>
        <v>#DIV/0!</v>
      </c>
      <c r="AF14" s="188" t="e" cm="1">
        <f t="array" aca="1" ref="AF14" ca="1">IF(AND($R14=2,ACOMPANHAMENTO="BM"),ROUND(AF15,4),AF16/$S14)</f>
        <v>#DIV/0!</v>
      </c>
      <c r="AG14" s="188" t="e" cm="1">
        <f t="array" aca="1" ref="AG14" ca="1">IF(AND($R14=2,ACOMPANHAMENTO="BM"),ROUND(AG15,4),AG16/$S14)</f>
        <v>#DIV/0!</v>
      </c>
      <c r="AH14" s="188" t="e" cm="1">
        <f t="array" aca="1" ref="AH14" ca="1">IF(AND($R14=2,ACOMPANHAMENTO="BM"),ROUND(AH15,4),AH16/$S14)</f>
        <v>#DIV/0!</v>
      </c>
      <c r="AI14" s="188" t="e" cm="1">
        <f t="array" aca="1" ref="AI14" ca="1">IF(AND($R14=2,ACOMPANHAMENTO="BM"),ROUND(AI15,4),AI16/$S14)</f>
        <v>#DIV/0!</v>
      </c>
      <c r="AJ14" s="188" t="e" cm="1">
        <f t="array" aca="1" ref="AJ14" ca="1">IF(AND($R14=2,ACOMPANHAMENTO="BM"),ROUND(AJ15,4),AJ16/$S14)</f>
        <v>#DIV/0!</v>
      </c>
      <c r="AK14" s="188" t="e" cm="1">
        <f t="array" aca="1" ref="AK14" ca="1">IF(AND($R14=2,ACOMPANHAMENTO="BM"),ROUND(AK15,4),AK16/$S14)</f>
        <v>#DIV/0!</v>
      </c>
      <c r="AL14" s="188" t="e" cm="1">
        <f t="array" aca="1" ref="AL14" ca="1">IF(AND($R14=2,ACOMPANHAMENTO="BM"),ROUND(AL15,4),AL16/$S14)</f>
        <v>#DIV/0!</v>
      </c>
      <c r="AM14" s="188" t="e" cm="1">
        <f t="array" aca="1" ref="AM14" ca="1">IF(AND($R14=2,ACOMPANHAMENTO="BM"),ROUND(AM15,4),AM16/$S14)</f>
        <v>#DIV/0!</v>
      </c>
      <c r="AN14" s="188" t="e" cm="1">
        <f t="array" aca="1" ref="AN14" ca="1">IF(AND($R14=2,ACOMPANHAMENTO="BM"),ROUND(AN15,4),AN16/$S14)</f>
        <v>#DIV/0!</v>
      </c>
      <c r="AO14" s="188" t="e" cm="1">
        <f t="array" aca="1" ref="AO14" ca="1">IF(AND($R14=2,ACOMPANHAMENTO="BM"),ROUND(AO15,4),AO16/$S14)</f>
        <v>#DIV/0!</v>
      </c>
      <c r="AP14" s="188" t="e" cm="1">
        <f t="array" aca="1" ref="AP14" ca="1">IF(AND($R14=2,ACOMPANHAMENTO="BM"),ROUND(AP15,4),AP16/$S14)</f>
        <v>#DIV/0!</v>
      </c>
      <c r="AQ14" s="188" t="e" cm="1">
        <f t="array" aca="1" ref="AQ14" ca="1">IF(AND($R14=2,ACOMPANHAMENTO="BM"),ROUND(AQ15,4),AQ16/$S14)</f>
        <v>#DIV/0!</v>
      </c>
      <c r="AR14" s="188" t="e" cm="1">
        <f t="array" aca="1" ref="AR14" ca="1">IF(AND($R14=2,ACOMPANHAMENTO="BM"),ROUND(AR15,4),AR16/$S14)</f>
        <v>#DIV/0!</v>
      </c>
      <c r="AS14" s="534"/>
    </row>
    <row r="15" spans="1:45" ht="12.75" hidden="1" customHeight="1" x14ac:dyDescent="0.2">
      <c r="E15" s="587"/>
      <c r="F15" s="185">
        <f ca="1">IF(ISERROR(F14),IF(1+COUNTIF($M$13:OFFSET(M14,-1,0),1)&lt;=MAX(QCI!$D$13:$D$24),1+COUNTIF($M$13:OFFSET(M14,-1,0),1),-1),0)</f>
        <v>0</v>
      </c>
      <c r="G15" s="185" t="str" cm="1">
        <f t="array" aca="1" ref="G15" ca="1">IF(ACOMPANHAMENTO="BM",OFFSET(G15,-1,0),"")</f>
        <v/>
      </c>
      <c r="H15" s="196" t="str" cm="1">
        <f t="array" aca="1" ref="H15" ca="1">IF(OR(S14=0,S14=""),"vazia",IF(AND(OR(ACOMPANHAMENTO="PLE",$R14&lt;&gt;2),$F15=0),"calculada","--&gt;"))</f>
        <v>vazia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87"/>
      <c r="AH15" s="587"/>
      <c r="AI15" s="587"/>
      <c r="AJ15" s="587"/>
      <c r="AK15" s="587"/>
      <c r="AL15" s="587"/>
      <c r="AM15" s="587"/>
      <c r="AN15" s="587"/>
      <c r="AO15" s="587"/>
      <c r="AP15" s="587"/>
      <c r="AQ15" s="587"/>
      <c r="AR15" s="587"/>
      <c r="AS15" s="534"/>
    </row>
    <row r="16" spans="1:45" ht="12.75" hidden="1" customHeight="1" x14ac:dyDescent="0.2">
      <c r="D16" s="533"/>
      <c r="E16" s="202" cm="1">
        <f t="array" aca="1" ref="E16" ca="1">IF($R14=2,
         IF(AND(ACOMPANHAMENTO="PLE",ISNUMBER($F14)),
                SUMIF((OFFSET(CÁLCULO!$BS$15:$CS$15,$F14,0,OFFSET(ORÇAMENTO!$D$15,CRONO!$F14,0))),CRONO!E$12,OFFSET(CÁLCULO!$AR$15:$BR$15,$F14,0,OFFSET(ORÇAMENTO!$D$15,CRONO!$F14,0)))
                +IF(AND($F16&lt;&gt;"",$F16&lt;&gt;0),
                        SUMIF(CÁLCULO!$BS$15:$CS$244,CRONO!E$12,CÁLCULO!$AR$15:$BR$244)/(ORÇAMENTO!$X$15-CÁLCULO.TotalAdmLocal)*CRONO!$F16,
                        0),
                 E15*$S14),
          SUMIF(OFFSET($S16,1,0,$R14-2),($M14+1)&amp;"$",OFFSET(E16,1,0,$R14-2)))</f>
        <v>0</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SUMIF((OFFSET(CÁLCULO!$BS$15:$CS$15,$F14,0,OFFSET(ORÇAMENTO!$D$15,CRONO!$F14,0))),CRONO!U$12,OFFSET(CÁLCULO!$AR$15:$BR$15,$F14,0,OFFSET(ORÇAMENTO!$D$15,CRONO!$F14,0)))
                +IF(AND($F16&lt;&gt;"",$F16&lt;&gt;0),
                        SUMIF(CÁLCULO!$BS$15:$CS$244,CRONO!U$12,CÁLCULO!$AR$15:$BR$244)/(ORÇAMENTO!$X$15-CÁLCULO.TotalAdmLocal)*CRONO!$F16,
                        0),
                 U15*$S14),
          SUMIF(OFFSET($S16,1,0,$R14-2),($M14+1)&amp;"$",OFFSET(U16,1,0,$R14-2)))</f>
        <v>0</v>
      </c>
      <c r="V16" s="202" cm="1">
        <f t="array" aca="1" ref="V16" ca="1">IF($R14=2,
         IF(AND(ACOMPANHAMENTO="PLE",ISNUMBER($F14)),
                SUMIF((OFFSET(CÁLCULO!$BS$15:$CS$15,$F14,0,OFFSET(ORÇAMENTO!$D$15,CRONO!$F14,0))),CRONO!V$12,OFFSET(CÁLCULO!$AR$15:$BR$15,$F14,0,OFFSET(ORÇAMENTO!$D$15,CRONO!$F14,0)))
                +IF(AND($F16&lt;&gt;"",$F16&lt;&gt;0),
                        SUMIF(CÁLCULO!$BS$15:$CS$244,CRONO!V$12,CÁLCULO!$AR$15:$BR$244)/(ORÇAMENTO!$X$15-CÁLCULO.TotalAdmLocal)*CRONO!$F16,
                        0),
                 V15*$S14),
          SUMIF(OFFSET($S16,1,0,$R14-2),($M14+1)&amp;"$",OFFSET(V16,1,0,$R14-2)))</f>
        <v>0</v>
      </c>
      <c r="W16" s="202" cm="1">
        <f t="array" aca="1" ref="W16" ca="1">IF($R14=2,
         IF(AND(ACOMPANHAMENTO="PLE",ISNUMBER($F14)),
                SUMIF((OFFSET(CÁLCULO!$BS$15:$CS$15,$F14,0,OFFSET(ORÇAMENTO!$D$15,CRONO!$F14,0))),CRONO!W$12,OFFSET(CÁLCULO!$AR$15:$BR$15,$F14,0,OFFSET(ORÇAMENTO!$D$15,CRONO!$F14,0)))
                +IF(AND($F16&lt;&gt;"",$F16&lt;&gt;0),
                        SUMIF(CÁLCULO!$BS$15:$CS$244,CRONO!W$12,CÁLCULO!$AR$15:$BR$244)/(ORÇAMENTO!$X$15-CÁLCULO.TotalAdmLocal)*CRONO!$F16,
                        0),
                 W15*$S14),
          SUMIF(OFFSET($S16,1,0,$R14-2),($M14+1)&amp;"$",OFFSET(W16,1,0,$R14-2)))</f>
        <v>0</v>
      </c>
      <c r="X16" s="202" cm="1">
        <f t="array" aca="1" ref="X16" ca="1">IF($R14=2,
         IF(AND(ACOMPANHAMENTO="PLE",ISNUMBER($F14)),
                SUMIF((OFFSET(CÁLCULO!$BS$15:$CS$15,$F14,0,OFFSET(ORÇAMENTO!$D$15,CRONO!$F14,0))),CRONO!X$12,OFFSET(CÁLCULO!$AR$15:$BR$15,$F14,0,OFFSET(ORÇAMENTO!$D$15,CRONO!$F14,0)))
                +IF(AND($F16&lt;&gt;"",$F16&lt;&gt;0),
                        SUMIF(CÁLCULO!$BS$15:$CS$244,CRONO!X$12,CÁLCULO!$AR$15:$BR$244)/(ORÇAMENTO!$X$15-CÁLCULO.TotalAdmLocal)*CRONO!$F16,
                        0),
                 X15*$S14),
          SUMIF(OFFSET($S16,1,0,$R14-2),($M14+1)&amp;"$",OFFSET(X16,1,0,$R14-2)))</f>
        <v>0</v>
      </c>
      <c r="Y16" s="202" cm="1">
        <f t="array" aca="1" ref="Y16" ca="1">IF($R14=2,
         IF(AND(ACOMPANHAMENTO="PLE",ISNUMBER($F14)),
                SUMIF((OFFSET(CÁLCULO!$BS$15:$CS$15,$F14,0,OFFSET(ORÇAMENTO!$D$15,CRONO!$F14,0))),CRONO!Y$12,OFFSET(CÁLCULO!$AR$15:$BR$15,$F14,0,OFFSET(ORÇAMENTO!$D$15,CRONO!$F14,0)))
                +IF(AND($F16&lt;&gt;"",$F16&lt;&gt;0),
                        SUMIF(CÁLCULO!$BS$15:$CS$244,CRONO!Y$12,CÁLCULO!$AR$15:$BR$244)/(ORÇAMENTO!$X$15-CÁLCULO.TotalAdmLocal)*CRONO!$F16,
                        0),
                 Y15*$S14),
          SUMIF(OFFSET($S16,1,0,$R14-2),($M14+1)&amp;"$",OFFSET(Y16,1,0,$R14-2)))</f>
        <v>0</v>
      </c>
      <c r="Z16" s="202" cm="1">
        <f t="array" aca="1" ref="Z16" ca="1">IF($R14=2,
         IF(AND(ACOMPANHAMENTO="PLE",ISNUMBER($F14)),
                SUMIF((OFFSET(CÁLCULO!$BS$15:$CS$15,$F14,0,OFFSET(ORÇAMENTO!$D$15,CRONO!$F14,0))),CRONO!Z$12,OFFSET(CÁLCULO!$AR$15:$BR$15,$F14,0,OFFSET(ORÇAMENTO!$D$15,CRONO!$F14,0)))
                +IF(AND($F16&lt;&gt;"",$F16&lt;&gt;0),
                        SUMIF(CÁLCULO!$BS$15:$CS$244,CRONO!Z$12,CÁLCULO!$AR$15:$BR$244)/(ORÇAMENTO!$X$15-CÁLCULO.TotalAdmLocal)*CRONO!$F16,
                        0),
                 Z15*$S14),
          SUMIF(OFFSET($S16,1,0,$R14-2),($M14+1)&amp;"$",OFFSET(Z16,1,0,$R14-2)))</f>
        <v>0</v>
      </c>
      <c r="AA16" s="202" cm="1">
        <f t="array" aca="1" ref="AA16" ca="1">IF($R14=2,
         IF(AND(ACOMPANHAMENTO="PLE",ISNUMBER($F14)),
                SUMIF((OFFSET(CÁLCULO!$BS$15:$CS$15,$F14,0,OFFSET(ORÇAMENTO!$D$15,CRONO!$F14,0))),CRONO!AA$12,OFFSET(CÁLCULO!$AR$15:$BR$15,$F14,0,OFFSET(ORÇAMENTO!$D$15,CRONO!$F14,0)))
                +IF(AND($F16&lt;&gt;"",$F16&lt;&gt;0),
                        SUMIF(CÁLCULO!$BS$15:$CS$244,CRONO!AA$12,CÁLCULO!$AR$15:$BR$244)/(ORÇAMENTO!$X$15-CÁLCULO.TotalAdmLocal)*CRONO!$F16,
                        0),
                 AA15*$S14),
          SUMIF(OFFSET($S16,1,0,$R14-2),($M14+1)&amp;"$",OFFSET(AA16,1,0,$R14-2)))</f>
        <v>0</v>
      </c>
      <c r="AB16" s="202" cm="1">
        <f t="array" aca="1" ref="AB16" ca="1">IF($R14=2,
         IF(AND(ACOMPANHAMENTO="PLE",ISNUMBER($F14)),
                SUMIF((OFFSET(CÁLCULO!$BS$15:$CS$15,$F14,0,OFFSET(ORÇAMENTO!$D$15,CRONO!$F14,0))),CRONO!AB$12,OFFSET(CÁLCULO!$AR$15:$BR$15,$F14,0,OFFSET(ORÇAMENTO!$D$15,CRONO!$F14,0)))
                +IF(AND($F16&lt;&gt;"",$F16&lt;&gt;0),
                        SUMIF(CÁLCULO!$BS$15:$CS$244,CRONO!AB$12,CÁLCULO!$AR$15:$BR$244)/(ORÇAMENTO!$X$15-CÁLCULO.TotalAdmLocal)*CRONO!$F16,
                        0),
                 AB15*$S14),
          SUMIF(OFFSET($S16,1,0,$R14-2),($M14+1)&amp;"$",OFFSET(AB16,1,0,$R14-2)))</f>
        <v>0</v>
      </c>
      <c r="AC16" s="202" cm="1">
        <f t="array" aca="1" ref="AC16" ca="1">IF($R14=2,
         IF(AND(ACOMPANHAMENTO="PLE",ISNUMBER($F14)),
                SUMIF((OFFSET(CÁLCULO!$BS$15:$CS$15,$F14,0,OFFSET(ORÇAMENTO!$D$15,CRONO!$F14,0))),CRONO!AC$12,OFFSET(CÁLCULO!$AR$15:$BR$15,$F14,0,OFFSET(ORÇAMENTO!$D$15,CRONO!$F14,0)))
                +IF(AND($F16&lt;&gt;"",$F16&lt;&gt;0),
                        SUMIF(CÁLCULO!$BS$15:$CS$244,CRONO!AC$12,CÁLCULO!$AR$15:$BR$244)/(ORÇAMENTO!$X$15-CÁLCULO.TotalAdmLocal)*CRONO!$F16,
                        0),
                 AC15*$S14),
          SUMIF(OFFSET($S16,1,0,$R14-2),($M14+1)&amp;"$",OFFSET(AC16,1,0,$R14-2)))</f>
        <v>0</v>
      </c>
      <c r="AD16" s="202" cm="1">
        <f t="array" aca="1" ref="AD16" ca="1">IF($R14=2,
         IF(AND(ACOMPANHAMENTO="PLE",ISNUMBER($F14)),
                SUMIF((OFFSET(CÁLCULO!$BS$15:$CS$15,$F14,0,OFFSET(ORÇAMENTO!$D$15,CRONO!$F14,0))),CRONO!AD$12,OFFSET(CÁLCULO!$AR$15:$BR$15,$F14,0,OFFSET(ORÇAMENTO!$D$15,CRONO!$F14,0)))
                +IF(AND($F16&lt;&gt;"",$F16&lt;&gt;0),
                        SUMIF(CÁLCULO!$BS$15:$CS$244,CRONO!AD$12,CÁLCULO!$AR$15:$BR$244)/(ORÇAMENTO!$X$15-CÁLCULO.TotalAdmLocal)*CRONO!$F16,
                        0),
                 AD15*$S14),
          SUMIF(OFFSET($S16,1,0,$R14-2),($M14+1)&amp;"$",OFFSET(AD16,1,0,$R14-2)))</f>
        <v>0</v>
      </c>
      <c r="AE16" s="202" cm="1">
        <f t="array" aca="1" ref="AE16" ca="1">IF($R14=2,
         IF(AND(ACOMPANHAMENTO="PLE",ISNUMBER($F14)),
                SUMIF((OFFSET(CÁLCULO!$BS$15:$CS$15,$F14,0,OFFSET(ORÇAMENTO!$D$15,CRONO!$F14,0))),CRONO!AE$12,OFFSET(CÁLCULO!$AR$15:$BR$15,$F14,0,OFFSET(ORÇAMENTO!$D$15,CRONO!$F14,0)))
                +IF(AND($F16&lt;&gt;"",$F16&lt;&gt;0),
                        SUMIF(CÁLCULO!$BS$15:$CS$244,CRONO!AE$12,CÁLCULO!$AR$15:$BR$244)/(ORÇAMENTO!$X$15-CÁLCULO.TotalAdmLocal)*CRONO!$F16,
                        0),
                 AE15*$S14),
          SUMIF(OFFSET($S16,1,0,$R14-2),($M14+1)&amp;"$",OFFSET(AE16,1,0,$R14-2)))</f>
        <v>0</v>
      </c>
      <c r="AF16" s="202" cm="1">
        <f t="array" aca="1" ref="AF16" ca="1">IF($R14=2,
         IF(AND(ACOMPANHAMENTO="PLE",ISNUMBER($F14)),
                SUMIF((OFFSET(CÁLCULO!$BS$15:$CS$15,$F14,0,OFFSET(ORÇAMENTO!$D$15,CRONO!$F14,0))),CRONO!AF$12,OFFSET(CÁLCULO!$AR$15:$BR$15,$F14,0,OFFSET(ORÇAMENTO!$D$15,CRONO!$F14,0)))
                +IF(AND($F16&lt;&gt;"",$F16&lt;&gt;0),
                        SUMIF(CÁLCULO!$BS$15:$CS$244,CRONO!AF$12,CÁLCULO!$AR$15:$BR$244)/(ORÇAMENTO!$X$15-CÁLCULO.TotalAdmLocal)*CRONO!$F16,
                        0),
                 AF15*$S14),
          SUMIF(OFFSET($S16,1,0,$R14-2),($M14+1)&amp;"$",OFFSET(AF16,1,0,$R14-2)))</f>
        <v>0</v>
      </c>
      <c r="AG16" s="202" cm="1">
        <f t="array" aca="1" ref="AG16" ca="1">IF($R14=2,
         IF(AND(ACOMPANHAMENTO="PLE",ISNUMBER($F14)),
                SUMIF((OFFSET(CÁLCULO!$BS$15:$CS$15,$F14,0,OFFSET(ORÇAMENTO!$D$15,CRONO!$F14,0))),CRONO!AG$12,OFFSET(CÁLCULO!$AR$15:$BR$15,$F14,0,OFFSET(ORÇAMENTO!$D$15,CRONO!$F14,0)))
                +IF(AND($F16&lt;&gt;"",$F16&lt;&gt;0),
                        SUMIF(CÁLCULO!$BS$15:$CS$244,CRONO!AG$12,CÁLCULO!$AR$15:$BR$244)/(ORÇAMENTO!$X$15-CÁLCULO.TotalAdmLocal)*CRONO!$F16,
                        0),
                 AG15*$S14),
          SUMIF(OFFSET($S16,1,0,$R14-2),($M14+1)&amp;"$",OFFSET(AG16,1,0,$R14-2)))</f>
        <v>0</v>
      </c>
      <c r="AH16" s="202" cm="1">
        <f t="array" aca="1" ref="AH16" ca="1">IF($R14=2,
         IF(AND(ACOMPANHAMENTO="PLE",ISNUMBER($F14)),
                SUMIF((OFFSET(CÁLCULO!$BS$15:$CS$15,$F14,0,OFFSET(ORÇAMENTO!$D$15,CRONO!$F14,0))),CRONO!AH$12,OFFSET(CÁLCULO!$AR$15:$BR$15,$F14,0,OFFSET(ORÇAMENTO!$D$15,CRONO!$F14,0)))
                +IF(AND($F16&lt;&gt;"",$F16&lt;&gt;0),
                        SUMIF(CÁLCULO!$BS$15:$CS$244,CRONO!AH$12,CÁLCULO!$AR$15:$BR$244)/(ORÇAMENTO!$X$15-CÁLCULO.TotalAdmLocal)*CRONO!$F16,
                        0),
                 AH15*$S14),
          SUMIF(OFFSET($S16,1,0,$R14-2),($M14+1)&amp;"$",OFFSET(AH16,1,0,$R14-2)))</f>
        <v>0</v>
      </c>
      <c r="AI16" s="202" cm="1">
        <f t="array" aca="1" ref="AI16" ca="1">IF($R14=2,
         IF(AND(ACOMPANHAMENTO="PLE",ISNUMBER($F14)),
                SUMIF((OFFSET(CÁLCULO!$BS$15:$CS$15,$F14,0,OFFSET(ORÇAMENTO!$D$15,CRONO!$F14,0))),CRONO!AI$12,OFFSET(CÁLCULO!$AR$15:$BR$15,$F14,0,OFFSET(ORÇAMENTO!$D$15,CRONO!$F14,0)))
                +IF(AND($F16&lt;&gt;"",$F16&lt;&gt;0),
                        SUMIF(CÁLCULO!$BS$15:$CS$244,CRONO!AI$12,CÁLCULO!$AR$15:$BR$244)/(ORÇAMENTO!$X$15-CÁLCULO.TotalAdmLocal)*CRONO!$F16,
                        0),
                 AI15*$S14),
          SUMIF(OFFSET($S16,1,0,$R14-2),($M14+1)&amp;"$",OFFSET(AI16,1,0,$R14-2)))</f>
        <v>0</v>
      </c>
      <c r="AJ16" s="202" cm="1">
        <f t="array" aca="1" ref="AJ16" ca="1">IF($R14=2,
         IF(AND(ACOMPANHAMENTO="PLE",ISNUMBER($F14)),
                SUMIF((OFFSET(CÁLCULO!$BS$15:$CS$15,$F14,0,OFFSET(ORÇAMENTO!$D$15,CRONO!$F14,0))),CRONO!AJ$12,OFFSET(CÁLCULO!$AR$15:$BR$15,$F14,0,OFFSET(ORÇAMENTO!$D$15,CRONO!$F14,0)))
                +IF(AND($F16&lt;&gt;"",$F16&lt;&gt;0),
                        SUMIF(CÁLCULO!$BS$15:$CS$244,CRONO!AJ$12,CÁLCULO!$AR$15:$BR$244)/(ORÇAMENTO!$X$15-CÁLCULO.TotalAdmLocal)*CRONO!$F16,
                        0),
                 AJ15*$S14),
          SUMIF(OFFSET($S16,1,0,$R14-2),($M14+1)&amp;"$",OFFSET(AJ16,1,0,$R14-2)))</f>
        <v>0</v>
      </c>
      <c r="AK16" s="202" cm="1">
        <f t="array" aca="1" ref="AK16" ca="1">IF($R14=2,
         IF(AND(ACOMPANHAMENTO="PLE",ISNUMBER($F14)),
                SUMIF((OFFSET(CÁLCULO!$BS$15:$CS$15,$F14,0,OFFSET(ORÇAMENTO!$D$15,CRONO!$F14,0))),CRONO!AK$12,OFFSET(CÁLCULO!$AR$15:$BR$15,$F14,0,OFFSET(ORÇAMENTO!$D$15,CRONO!$F14,0)))
                +IF(AND($F16&lt;&gt;"",$F16&lt;&gt;0),
                        SUMIF(CÁLCULO!$BS$15:$CS$244,CRONO!AK$12,CÁLCULO!$AR$15:$BR$244)/(ORÇAMENTO!$X$15-CÁLCULO.TotalAdmLocal)*CRONO!$F16,
                        0),
                 AK15*$S14),
          SUMIF(OFFSET($S16,1,0,$R14-2),($M14+1)&amp;"$",OFFSET(AK16,1,0,$R14-2)))</f>
        <v>0</v>
      </c>
      <c r="AL16" s="202" cm="1">
        <f t="array" aca="1" ref="AL16" ca="1">IF($R14=2,
         IF(AND(ACOMPANHAMENTO="PLE",ISNUMBER($F14)),
                SUMIF((OFFSET(CÁLCULO!$BS$15:$CS$15,$F14,0,OFFSET(ORÇAMENTO!$D$15,CRONO!$F14,0))),CRONO!AL$12,OFFSET(CÁLCULO!$AR$15:$BR$15,$F14,0,OFFSET(ORÇAMENTO!$D$15,CRONO!$F14,0)))
                +IF(AND($F16&lt;&gt;"",$F16&lt;&gt;0),
                        SUMIF(CÁLCULO!$BS$15:$CS$244,CRONO!AL$12,CÁLCULO!$AR$15:$BR$244)/(ORÇAMENTO!$X$15-CÁLCULO.TotalAdmLocal)*CRONO!$F16,
                        0),
                 AL15*$S14),
          SUMIF(OFFSET($S16,1,0,$R14-2),($M14+1)&amp;"$",OFFSET(AL16,1,0,$R14-2)))</f>
        <v>0</v>
      </c>
      <c r="AM16" s="202" cm="1">
        <f t="array" aca="1" ref="AM16" ca="1">IF($R14=2,
         IF(AND(ACOMPANHAMENTO="PLE",ISNUMBER($F14)),
                SUMIF((OFFSET(CÁLCULO!$BS$15:$CS$15,$F14,0,OFFSET(ORÇAMENTO!$D$15,CRONO!$F14,0))),CRONO!AM$12,OFFSET(CÁLCULO!$AR$15:$BR$15,$F14,0,OFFSET(ORÇAMENTO!$D$15,CRONO!$F14,0)))
                +IF(AND($F16&lt;&gt;"",$F16&lt;&gt;0),
                        SUMIF(CÁLCULO!$BS$15:$CS$244,CRONO!AM$12,CÁLCULO!$AR$15:$BR$244)/(ORÇAMENTO!$X$15-CÁLCULO.TotalAdmLocal)*CRONO!$F16,
                        0),
                 AM15*$S14),
          SUMIF(OFFSET($S16,1,0,$R14-2),($M14+1)&amp;"$",OFFSET(AM16,1,0,$R14-2)))</f>
        <v>0</v>
      </c>
      <c r="AN16" s="202" cm="1">
        <f t="array" aca="1" ref="AN16" ca="1">IF($R14=2,
         IF(AND(ACOMPANHAMENTO="PLE",ISNUMBER($F14)),
                SUMIF((OFFSET(CÁLCULO!$BS$15:$CS$15,$F14,0,OFFSET(ORÇAMENTO!$D$15,CRONO!$F14,0))),CRONO!AN$12,OFFSET(CÁLCULO!$AR$15:$BR$15,$F14,0,OFFSET(ORÇAMENTO!$D$15,CRONO!$F14,0)))
                +IF(AND($F16&lt;&gt;"",$F16&lt;&gt;0),
                        SUMIF(CÁLCULO!$BS$15:$CS$244,CRONO!AN$12,CÁLCULO!$AR$15:$BR$244)/(ORÇAMENTO!$X$15-CÁLCULO.TotalAdmLocal)*CRONO!$F16,
                        0),
                 AN15*$S14),
          SUMIF(OFFSET($S16,1,0,$R14-2),($M14+1)&amp;"$",OFFSET(AN16,1,0,$R14-2)))</f>
        <v>0</v>
      </c>
      <c r="AO16" s="202" cm="1">
        <f t="array" aca="1" ref="AO16" ca="1">IF($R14=2,
         IF(AND(ACOMPANHAMENTO="PLE",ISNUMBER($F14)),
                SUMIF((OFFSET(CÁLCULO!$BS$15:$CS$15,$F14,0,OFFSET(ORÇAMENTO!$D$15,CRONO!$F14,0))),CRONO!AO$12,OFFSET(CÁLCULO!$AR$15:$BR$15,$F14,0,OFFSET(ORÇAMENTO!$D$15,CRONO!$F14,0)))
                +IF(AND($F16&lt;&gt;"",$F16&lt;&gt;0),
                        SUMIF(CÁLCULO!$BS$15:$CS$244,CRONO!AO$12,CÁLCULO!$AR$15:$BR$244)/(ORÇAMENTO!$X$15-CÁLCULO.TotalAdmLocal)*CRONO!$F16,
                        0),
                 AO15*$S14),
          SUMIF(OFFSET($S16,1,0,$R14-2),($M14+1)&amp;"$",OFFSET(AO16,1,0,$R14-2)))</f>
        <v>0</v>
      </c>
      <c r="AP16" s="202" cm="1">
        <f t="array" aca="1" ref="AP16" ca="1">IF($R14=2,
         IF(AND(ACOMPANHAMENTO="PLE",ISNUMBER($F14)),
                SUMIF((OFFSET(CÁLCULO!$BS$15:$CS$15,$F14,0,OFFSET(ORÇAMENTO!$D$15,CRONO!$F14,0))),CRONO!AP$12,OFFSET(CÁLCULO!$AR$15:$BR$15,$F14,0,OFFSET(ORÇAMENTO!$D$15,CRONO!$F14,0)))
                +IF(AND($F16&lt;&gt;"",$F16&lt;&gt;0),
                        SUMIF(CÁLCULO!$BS$15:$CS$244,CRONO!AP$12,CÁLCULO!$AR$15:$BR$244)/(ORÇAMENTO!$X$15-CÁLCULO.TotalAdmLocal)*CRONO!$F16,
                        0),
                 AP15*$S14),
          SUMIF(OFFSET($S16,1,0,$R14-2),($M14+1)&amp;"$",OFFSET(AP16,1,0,$R14-2)))</f>
        <v>0</v>
      </c>
      <c r="AQ16" s="202" cm="1">
        <f t="array" aca="1" ref="AQ16" ca="1">IF($R14=2,
         IF(AND(ACOMPANHAMENTO="PLE",ISNUMBER($F14)),
                SUMIF((OFFSET(CÁLCULO!$BS$15:$CS$15,$F14,0,OFFSET(ORÇAMENTO!$D$15,CRONO!$F14,0))),CRONO!AQ$12,OFFSET(CÁLCULO!$AR$15:$BR$15,$F14,0,OFFSET(ORÇAMENTO!$D$15,CRONO!$F14,0)))
                +IF(AND($F16&lt;&gt;"",$F16&lt;&gt;0),
                        SUMIF(CÁLCULO!$BS$15:$CS$244,CRONO!AQ$12,CÁLCULO!$AR$15:$BR$244)/(ORÇAMENTO!$X$15-CÁLCULO.TotalAdmLocal)*CRONO!$F16,
                        0),
                 AQ15*$S14),
          SUMIF(OFFSET($S16,1,0,$R14-2),($M14+1)&amp;"$",OFFSET(AQ16,1,0,$R14-2)))</f>
        <v>0</v>
      </c>
      <c r="AR16" s="202" cm="1">
        <f t="array" aca="1" ref="AR16" ca="1">IF($R14=2,
         IF(AND(ACOMPANHAMENTO="PLE",ISNUMBER($F14)),
                SUMIF((OFFSET(CÁLCULO!$BS$15:$CS$15,$F14,0,OFFSET(ORÇAMENTO!$D$15,CRONO!$F14,0))),CRONO!AR$12,OFFSET(CÁLCULO!$AR$15:$BR$15,$F14,0,OFFSET(ORÇAMENTO!$D$15,CRONO!$F14,0)))
                +IF(AND($F16&lt;&gt;"",$F16&lt;&gt;0),
                        SUMIF(CÁLCULO!$BS$15:$CS$244,CRONO!AR$12,CÁLCULO!$AR$15:$BR$244)/(ORÇAMENTO!$X$15-CÁLCULO.TotalAdmLocal)*CRONO!$F16,
                        0),
                 AR15*$S14),
          SUMIF(OFFSET($S16,1,0,$R14-2),($M14+1)&amp;"$",OFFSET(AR16,1,0,$R14-2)))</f>
        <v>0</v>
      </c>
      <c r="AS16" s="534"/>
    </row>
    <row r="17" spans="1:45" x14ac:dyDescent="0.2">
      <c r="A17" s="186" t="e">
        <f t="shared" ref="A17" ca="1" si="8">IF($M17&gt;1,_xlfn.CONCAT($I17," ",$J17),"")</f>
        <v>#NAME?</v>
      </c>
      <c r="B17" s="185">
        <f t="shared" ref="B17" ca="1" si="9">OFFSET(B17,-3,0)+1</f>
        <v>2</v>
      </c>
      <c r="C17" s="185">
        <f ca="1">IF($R17&lt;&gt;2,0,IF($S17=0,1,IF(F18&gt;0,OFFSET(QCI!$M$13,SUBSTITUTE(F18,".",""),0),OFFSET(ORÇAMENTO!$AA$15,CRONO!$F17,0))/$S17))</f>
        <v>1</v>
      </c>
      <c r="D17" s="185">
        <f ca="1">IF($R17&lt;&gt;2,0,IF($S17=0,1,IF(F18&gt;0,OFFSET(QCI!$N$13,SUBSTITUTE(F18,".",""),0),OFFSET(ORÇAMENTO!$AB$15,CRONO!$F17,0))/$S17))</f>
        <v>1</v>
      </c>
      <c r="E17" s="188" t="e" cm="1">
        <f t="array" aca="1" ref="E17" ca="1">IF(AND($R17=2,ACOMPANHAMENTO="BM"),ROUND(E18,4),E19/$S17)</f>
        <v>#DIV/0!</v>
      </c>
      <c r="F17" s="185" cm="1">
        <f t="array" aca="1" ref="F17" ca="1">IF(B17&lt;=ORÇAMENTO.MáximoListaCrono,MATCH(B17,ORÇAMENTO.ListaCrono,0),NA())</f>
        <v>2</v>
      </c>
      <c r="G17" s="185" t="str">
        <f t="shared" ref="G17" ca="1" si="10">IF(AND($F18&lt;&gt;-1,$S17&gt;0),"F","")</f>
        <v/>
      </c>
      <c r="H17" s="189" t="str" cm="1">
        <f t="array" aca="1" ref="H17" ca="1">IF(OR(S17=0,S17=""),"Linha",IF(AND(OR(ACOMPANHAMENTO="PLE",$R17&lt;&gt;2),$F18=0),"Linha",ROUND(1-SUM(U17:AS17),4)))</f>
        <v>Linha</v>
      </c>
      <c r="I17" s="190" t="str">
        <f ca="1">IF($F18=0,OFFSET(ORÇAMENTO!O$15,$F17,0),IF($F18&lt;&gt;-1,OFFSET(QCI!$D$13,$F18,0),""))</f>
        <v>1.1.</v>
      </c>
      <c r="J17" s="191" t="str">
        <f ca="1">IF($F18=0,OFFSET(ORÇAMENTO!R$15,$F17,0),IF($F18&lt;&gt;-1,OFFSET(QCI!$G$13,$F18,0),""))</f>
        <v>LOCAÇÃO</v>
      </c>
      <c r="K17" s="191"/>
      <c r="L17" s="191"/>
      <c r="M17" s="192">
        <f ca="1">IF($F18=0,OFFSET(ORÇAMENTO!C$15,$F17,0),1)</f>
        <v>2</v>
      </c>
      <c r="N17" s="193">
        <f ca="1">IF($F18=-1,0,IF(N$13&lt;=$M17,IF(ISERROR(MATCH(N$13,OFFSET($M17,1,0,ROW($M$164)-ROW($M17)-1),0)),ROW($M$164)-ROW($M17)-1,MATCH(N$13,OFFSET($M17,1,0,ROW($M$164)-ROW($M17)-1),0)-1),0))</f>
        <v>5</v>
      </c>
      <c r="O17" s="193">
        <f ca="1">IF($F18=-1,0,IF(O$13&lt;=$M17,IF(ISERROR(MATCH(O$13,OFFSET($M17,1,0,ROW($M$164)-ROW($M17)-1),0)),ROW($M$164)-ROW($M17)-1,MATCH(O$13,OFFSET($M17,1,0,ROW($M$164)-ROW($M17)-1),0)-1),0))</f>
        <v>2</v>
      </c>
      <c r="P17" s="193">
        <f ca="1">IF($F18=-1,0,IF(P$13&lt;=$M17,IF(ISERROR(MATCH(P$13,OFFSET($M17,1,0,ROW($M$164)-ROW($M17)-1),0)),ROW($M$164)-ROW($M17)-1,MATCH(P$13,OFFSET($M17,1,0,ROW($M$164)-ROW($M17)-1),0)-1),0))</f>
        <v>0</v>
      </c>
      <c r="Q17" s="193">
        <f ca="1">IF($F18=-1,0,IF(Q$13&lt;=$M17,IF(ISERROR(MATCH(Q$13,OFFSET($M17,1,0,ROW($M$164)-ROW($M17)-1),0)),ROW($M$164)-ROW($M17)-1,MATCH(Q$13,OFFSET($M17,1,0,ROW($M$164)-ROW($M17)-1),0)-1),0))</f>
        <v>0</v>
      </c>
      <c r="R17" s="193">
        <f t="shared" ref="R17" ca="1" si="11">MIN(OFFSET(M17,0,1,,M17))</f>
        <v>2</v>
      </c>
      <c r="S17" s="194">
        <f ca="1">IF($F18=0,OFFSET(ORÇAMENTO!X$15,$F17,0),IF($F18&lt;&gt;-1,OFFSET(QCI!$O$13,$F18,0),""))</f>
        <v>0</v>
      </c>
      <c r="T17" s="195" t="s">
        <v>785</v>
      </c>
      <c r="U17" s="188" t="e" cm="1">
        <f t="array" aca="1" ref="U17" ca="1">IF(AND($R17=2,ACOMPANHAMENTO="BM"),ROUND(U18,4),U19/$S17)</f>
        <v>#DIV/0!</v>
      </c>
      <c r="V17" s="188" t="e" cm="1">
        <f t="array" aca="1" ref="V17" ca="1">IF(AND($R17=2,ACOMPANHAMENTO="BM"),ROUND(V18,4),V19/$S17)</f>
        <v>#DIV/0!</v>
      </c>
      <c r="W17" s="188" t="e" cm="1">
        <f t="array" aca="1" ref="W17" ca="1">IF(AND($R17=2,ACOMPANHAMENTO="BM"),ROUND(W18,4),W19/$S17)</f>
        <v>#DIV/0!</v>
      </c>
      <c r="X17" s="188" t="e" cm="1">
        <f t="array" aca="1" ref="X17" ca="1">IF(AND($R17=2,ACOMPANHAMENTO="BM"),ROUND(X18,4),X19/$S17)</f>
        <v>#DIV/0!</v>
      </c>
      <c r="Y17" s="188" t="e" cm="1">
        <f t="array" aca="1" ref="Y17" ca="1">IF(AND($R17=2,ACOMPANHAMENTO="BM"),ROUND(Y18,4),Y19/$S17)</f>
        <v>#DIV/0!</v>
      </c>
      <c r="Z17" s="188" t="e" cm="1">
        <f t="array" aca="1" ref="Z17" ca="1">IF(AND($R17=2,ACOMPANHAMENTO="BM"),ROUND(Z18,4),Z19/$S17)</f>
        <v>#DIV/0!</v>
      </c>
      <c r="AA17" s="188" t="e" cm="1">
        <f t="array" aca="1" ref="AA17" ca="1">IF(AND($R17=2,ACOMPANHAMENTO="BM"),ROUND(AA18,4),AA19/$S17)</f>
        <v>#DIV/0!</v>
      </c>
      <c r="AB17" s="188" t="e" cm="1">
        <f t="array" aca="1" ref="AB17" ca="1">IF(AND($R17=2,ACOMPANHAMENTO="BM"),ROUND(AB18,4),AB19/$S17)</f>
        <v>#DIV/0!</v>
      </c>
      <c r="AC17" s="188" t="e" cm="1">
        <f t="array" aca="1" ref="AC17" ca="1">IF(AND($R17=2,ACOMPANHAMENTO="BM"),ROUND(AC18,4),AC19/$S17)</f>
        <v>#DIV/0!</v>
      </c>
      <c r="AD17" s="188" t="e" cm="1">
        <f t="array" aca="1" ref="AD17" ca="1">IF(AND($R17=2,ACOMPANHAMENTO="BM"),ROUND(AD18,4),AD19/$S17)</f>
        <v>#DIV/0!</v>
      </c>
      <c r="AE17" s="188" t="e" cm="1">
        <f t="array" aca="1" ref="AE17" ca="1">IF(AND($R17=2,ACOMPANHAMENTO="BM"),ROUND(AE18,4),AE19/$S17)</f>
        <v>#DIV/0!</v>
      </c>
      <c r="AF17" s="188" t="e" cm="1">
        <f t="array" aca="1" ref="AF17" ca="1">IF(AND($R17=2,ACOMPANHAMENTO="BM"),ROUND(AF18,4),AF19/$S17)</f>
        <v>#DIV/0!</v>
      </c>
      <c r="AG17" s="188" t="e" cm="1">
        <f t="array" aca="1" ref="AG17" ca="1">IF(AND($R17=2,ACOMPANHAMENTO="BM"),ROUND(AG18,4),AG19/$S17)</f>
        <v>#DIV/0!</v>
      </c>
      <c r="AH17" s="188" t="e" cm="1">
        <f t="array" aca="1" ref="AH17" ca="1">IF(AND($R17=2,ACOMPANHAMENTO="BM"),ROUND(AH18,4),AH19/$S17)</f>
        <v>#DIV/0!</v>
      </c>
      <c r="AI17" s="188" t="e" cm="1">
        <f t="array" aca="1" ref="AI17" ca="1">IF(AND($R17=2,ACOMPANHAMENTO="BM"),ROUND(AI18,4),AI19/$S17)</f>
        <v>#DIV/0!</v>
      </c>
      <c r="AJ17" s="188" t="e" cm="1">
        <f t="array" aca="1" ref="AJ17" ca="1">IF(AND($R17=2,ACOMPANHAMENTO="BM"),ROUND(AJ18,4),AJ19/$S17)</f>
        <v>#DIV/0!</v>
      </c>
      <c r="AK17" s="188" t="e" cm="1">
        <f t="array" aca="1" ref="AK17" ca="1">IF(AND($R17=2,ACOMPANHAMENTO="BM"),ROUND(AK18,4),AK19/$S17)</f>
        <v>#DIV/0!</v>
      </c>
      <c r="AL17" s="188" t="e" cm="1">
        <f t="array" aca="1" ref="AL17" ca="1">IF(AND($R17=2,ACOMPANHAMENTO="BM"),ROUND(AL18,4),AL19/$S17)</f>
        <v>#DIV/0!</v>
      </c>
      <c r="AM17" s="188" t="e" cm="1">
        <f t="array" aca="1" ref="AM17" ca="1">IF(AND($R17=2,ACOMPANHAMENTO="BM"),ROUND(AM18,4),AM19/$S17)</f>
        <v>#DIV/0!</v>
      </c>
      <c r="AN17" s="188" t="e" cm="1">
        <f t="array" aca="1" ref="AN17" ca="1">IF(AND($R17=2,ACOMPANHAMENTO="BM"),ROUND(AN18,4),AN19/$S17)</f>
        <v>#DIV/0!</v>
      </c>
      <c r="AO17" s="188" t="e" cm="1">
        <f t="array" aca="1" ref="AO17" ca="1">IF(AND($R17=2,ACOMPANHAMENTO="BM"),ROUND(AO18,4),AO19/$S17)</f>
        <v>#DIV/0!</v>
      </c>
      <c r="AP17" s="188" t="e" cm="1">
        <f t="array" aca="1" ref="AP17" ca="1">IF(AND($R17=2,ACOMPANHAMENTO="BM"),ROUND(AP18,4),AP19/$S17)</f>
        <v>#DIV/0!</v>
      </c>
      <c r="AQ17" s="188" t="e" cm="1">
        <f t="array" aca="1" ref="AQ17" ca="1">IF(AND($R17=2,ACOMPANHAMENTO="BM"),ROUND(AQ18,4),AQ19/$S17)</f>
        <v>#DIV/0!</v>
      </c>
      <c r="AR17" s="188" t="e" cm="1">
        <f t="array" aca="1" ref="AR17" ca="1">IF(AND($R17=2,ACOMPANHAMENTO="BM"),ROUND(AR18,4),AR19/$S17)</f>
        <v>#DIV/0!</v>
      </c>
      <c r="AS17" s="534"/>
    </row>
    <row r="18" spans="1:45" ht="12.75" hidden="1" customHeight="1" x14ac:dyDescent="0.2">
      <c r="E18" s="587"/>
      <c r="F18" s="185">
        <f ca="1">IF(ISERROR(F17),IF(1+COUNTIF($M$13:OFFSET(M17,-1,0),1)&lt;=MAX(QCI!$D$13:$D$24),1+COUNTIF($M$13:OFFSET(M17,-1,0),1),-1),0)</f>
        <v>0</v>
      </c>
      <c r="G18" s="185" t="str" cm="1">
        <f t="array" aca="1" ref="G18" ca="1">IF(ACOMPANHAMENTO="BM",OFFSET(G18,-1,0),"")</f>
        <v/>
      </c>
      <c r="H18" s="196" t="str" cm="1">
        <f t="array" aca="1" ref="H18" ca="1">IF(OR(S17=0,S17=""),"vazia",IF(AND(OR(ACOMPANHAMENTO="PLE",$R17&lt;&gt;2),$F18=0),"calculada","--&gt;"))</f>
        <v>vazia</v>
      </c>
      <c r="I18" s="197"/>
      <c r="J18" s="198" t="str">
        <f t="shared" ref="J18" ca="1" si="12">IF(AND(H17&lt;&gt;0,ISNUMBER(H17)),"PREENCHA ESTA LINHA --&gt;","")</f>
        <v/>
      </c>
      <c r="K18" s="198"/>
      <c r="L18" s="198"/>
      <c r="M18" s="199"/>
      <c r="N18" s="199"/>
      <c r="O18" s="199"/>
      <c r="P18" s="199"/>
      <c r="Q18" s="199"/>
      <c r="R18" s="199"/>
      <c r="S18" s="200"/>
      <c r="T18" s="201"/>
      <c r="U18" s="587"/>
      <c r="V18" s="587"/>
      <c r="W18" s="587"/>
      <c r="X18" s="587"/>
      <c r="Y18" s="587"/>
      <c r="Z18" s="587"/>
      <c r="AA18" s="587"/>
      <c r="AB18" s="587"/>
      <c r="AC18" s="587"/>
      <c r="AD18" s="587"/>
      <c r="AE18" s="587"/>
      <c r="AF18" s="587"/>
      <c r="AG18" s="587"/>
      <c r="AH18" s="587"/>
      <c r="AI18" s="587"/>
      <c r="AJ18" s="587"/>
      <c r="AK18" s="587"/>
      <c r="AL18" s="587"/>
      <c r="AM18" s="587"/>
      <c r="AN18" s="587"/>
      <c r="AO18" s="587"/>
      <c r="AP18" s="587"/>
      <c r="AQ18" s="587"/>
      <c r="AR18" s="587"/>
      <c r="AS18" s="534"/>
    </row>
    <row r="19" spans="1:45" ht="12.75" hidden="1" customHeight="1" x14ac:dyDescent="0.2">
      <c r="D19" s="533"/>
      <c r="E19" s="202" cm="1">
        <f t="array" aca="1" ref="E19" ca="1">IF($R17=2,
         IF(AND(ACOMPANHAMENTO="PLE",ISNUMBER($F17)),
                SUMIF((OFFSET(CÁLCULO!$BS$15:$CS$15,$F17,0,OFFSET(ORÇAMENTO!$D$15,CRONO!$F17,0))),CRONO!E$12,OFFSET(CÁLCULO!$AR$15:$BR$15,$F17,0,OFFSET(ORÇAMENTO!$D$15,CRONO!$F17,0)))
                +IF(AND($F19&lt;&gt;"",$F19&lt;&gt;0),
                        SUMIF(CÁLCULO!$BS$15:$CS$244,CRONO!E$12,CÁLCULO!$AR$15:$BR$244)/(ORÇAMENTO!$X$15-CÁLCULO.TotalAdmLocal)*CRONO!$F19,
                        0),
                 E18*$S17),
          SUMIF(OFFSET($S19,1,0,$R17-2),($M17+1)&amp;"$",OFFSET(E19,1,0,$R17-2)))</f>
        <v>0</v>
      </c>
      <c r="F19" s="185">
        <f ca="1">IF(OR($R17&lt;&gt;2,AUTOEVENTO&lt;&gt;"manual",$F18&gt;0),"",
        IF(Import.TipoArredondamento="Tradicional",
              SUMIF(OFFSET(CÁLCULO!$M$15,CRONO!$F17,0,OFFSET(ORÇAMENTO!$D$15,CRONO!$F17,0)),1,OFFSET(ORÇAMENTO!$X$15,CRONO!$F17,0,OFFSET(ORÇAMENTO!$D$15,CRONO!$F17,0))),
              0))</f>
        <v>0</v>
      </c>
      <c r="H19" s="203"/>
      <c r="S19" s="204" t="str">
        <f t="shared" ref="S19" ca="1" si="13">M17&amp;"$"</f>
        <v>2$</v>
      </c>
      <c r="T19" s="205"/>
      <c r="U19" s="202" cm="1">
        <f t="array" aca="1" ref="U19" ca="1">IF($R17=2,
         IF(AND(ACOMPANHAMENTO="PLE",ISNUMBER($F17)),
                SUMIF((OFFSET(CÁLCULO!$BS$15:$CS$15,$F17,0,OFFSET(ORÇAMENTO!$D$15,CRONO!$F17,0))),CRONO!U$12,OFFSET(CÁLCULO!$AR$15:$BR$15,$F17,0,OFFSET(ORÇAMENTO!$D$15,CRONO!$F17,0)))
                +IF(AND($F19&lt;&gt;"",$F19&lt;&gt;0),
                        SUMIF(CÁLCULO!$BS$15:$CS$244,CRONO!U$12,CÁLCULO!$AR$15:$BR$244)/(ORÇAMENTO!$X$15-CÁLCULO.TotalAdmLocal)*CRONO!$F19,
                        0),
                 U18*$S17),
          SUMIF(OFFSET($S19,1,0,$R17-2),($M17+1)&amp;"$",OFFSET(U19,1,0,$R17-2)))</f>
        <v>0</v>
      </c>
      <c r="V19" s="202" cm="1">
        <f t="array" aca="1" ref="V19" ca="1">IF($R17=2,
         IF(AND(ACOMPANHAMENTO="PLE",ISNUMBER($F17)),
                SUMIF((OFFSET(CÁLCULO!$BS$15:$CS$15,$F17,0,OFFSET(ORÇAMENTO!$D$15,CRONO!$F17,0))),CRONO!V$12,OFFSET(CÁLCULO!$AR$15:$BR$15,$F17,0,OFFSET(ORÇAMENTO!$D$15,CRONO!$F17,0)))
                +IF(AND($F19&lt;&gt;"",$F19&lt;&gt;0),
                        SUMIF(CÁLCULO!$BS$15:$CS$244,CRONO!V$12,CÁLCULO!$AR$15:$BR$244)/(ORÇAMENTO!$X$15-CÁLCULO.TotalAdmLocal)*CRONO!$F19,
                        0),
                 V18*$S17),
          SUMIF(OFFSET($S19,1,0,$R17-2),($M17+1)&amp;"$",OFFSET(V19,1,0,$R17-2)))</f>
        <v>0</v>
      </c>
      <c r="W19" s="202" cm="1">
        <f t="array" aca="1" ref="W19" ca="1">IF($R17=2,
         IF(AND(ACOMPANHAMENTO="PLE",ISNUMBER($F17)),
                SUMIF((OFFSET(CÁLCULO!$BS$15:$CS$15,$F17,0,OFFSET(ORÇAMENTO!$D$15,CRONO!$F17,0))),CRONO!W$12,OFFSET(CÁLCULO!$AR$15:$BR$15,$F17,0,OFFSET(ORÇAMENTO!$D$15,CRONO!$F17,0)))
                +IF(AND($F19&lt;&gt;"",$F19&lt;&gt;0),
                        SUMIF(CÁLCULO!$BS$15:$CS$244,CRONO!W$12,CÁLCULO!$AR$15:$BR$244)/(ORÇAMENTO!$X$15-CÁLCULO.TotalAdmLocal)*CRONO!$F19,
                        0),
                 W18*$S17),
          SUMIF(OFFSET($S19,1,0,$R17-2),($M17+1)&amp;"$",OFFSET(W19,1,0,$R17-2)))</f>
        <v>0</v>
      </c>
      <c r="X19" s="202" cm="1">
        <f t="array" aca="1" ref="X19" ca="1">IF($R17=2,
         IF(AND(ACOMPANHAMENTO="PLE",ISNUMBER($F17)),
                SUMIF((OFFSET(CÁLCULO!$BS$15:$CS$15,$F17,0,OFFSET(ORÇAMENTO!$D$15,CRONO!$F17,0))),CRONO!X$12,OFFSET(CÁLCULO!$AR$15:$BR$15,$F17,0,OFFSET(ORÇAMENTO!$D$15,CRONO!$F17,0)))
                +IF(AND($F19&lt;&gt;"",$F19&lt;&gt;0),
                        SUMIF(CÁLCULO!$BS$15:$CS$244,CRONO!X$12,CÁLCULO!$AR$15:$BR$244)/(ORÇAMENTO!$X$15-CÁLCULO.TotalAdmLocal)*CRONO!$F19,
                        0),
                 X18*$S17),
          SUMIF(OFFSET($S19,1,0,$R17-2),($M17+1)&amp;"$",OFFSET(X19,1,0,$R17-2)))</f>
        <v>0</v>
      </c>
      <c r="Y19" s="202" cm="1">
        <f t="array" aca="1" ref="Y19" ca="1">IF($R17=2,
         IF(AND(ACOMPANHAMENTO="PLE",ISNUMBER($F17)),
                SUMIF((OFFSET(CÁLCULO!$BS$15:$CS$15,$F17,0,OFFSET(ORÇAMENTO!$D$15,CRONO!$F17,0))),CRONO!Y$12,OFFSET(CÁLCULO!$AR$15:$BR$15,$F17,0,OFFSET(ORÇAMENTO!$D$15,CRONO!$F17,0)))
                +IF(AND($F19&lt;&gt;"",$F19&lt;&gt;0),
                        SUMIF(CÁLCULO!$BS$15:$CS$244,CRONO!Y$12,CÁLCULO!$AR$15:$BR$244)/(ORÇAMENTO!$X$15-CÁLCULO.TotalAdmLocal)*CRONO!$F19,
                        0),
                 Y18*$S17),
          SUMIF(OFFSET($S19,1,0,$R17-2),($M17+1)&amp;"$",OFFSET(Y19,1,0,$R17-2)))</f>
        <v>0</v>
      </c>
      <c r="Z19" s="202" cm="1">
        <f t="array" aca="1" ref="Z19" ca="1">IF($R17=2,
         IF(AND(ACOMPANHAMENTO="PLE",ISNUMBER($F17)),
                SUMIF((OFFSET(CÁLCULO!$BS$15:$CS$15,$F17,0,OFFSET(ORÇAMENTO!$D$15,CRONO!$F17,0))),CRONO!Z$12,OFFSET(CÁLCULO!$AR$15:$BR$15,$F17,0,OFFSET(ORÇAMENTO!$D$15,CRONO!$F17,0)))
                +IF(AND($F19&lt;&gt;"",$F19&lt;&gt;0),
                        SUMIF(CÁLCULO!$BS$15:$CS$244,CRONO!Z$12,CÁLCULO!$AR$15:$BR$244)/(ORÇAMENTO!$X$15-CÁLCULO.TotalAdmLocal)*CRONO!$F19,
                        0),
                 Z18*$S17),
          SUMIF(OFFSET($S19,1,0,$R17-2),($M17+1)&amp;"$",OFFSET(Z19,1,0,$R17-2)))</f>
        <v>0</v>
      </c>
      <c r="AA19" s="202" cm="1">
        <f t="array" aca="1" ref="AA19" ca="1">IF($R17=2,
         IF(AND(ACOMPANHAMENTO="PLE",ISNUMBER($F17)),
                SUMIF((OFFSET(CÁLCULO!$BS$15:$CS$15,$F17,0,OFFSET(ORÇAMENTO!$D$15,CRONO!$F17,0))),CRONO!AA$12,OFFSET(CÁLCULO!$AR$15:$BR$15,$F17,0,OFFSET(ORÇAMENTO!$D$15,CRONO!$F17,0)))
                +IF(AND($F19&lt;&gt;"",$F19&lt;&gt;0),
                        SUMIF(CÁLCULO!$BS$15:$CS$244,CRONO!AA$12,CÁLCULO!$AR$15:$BR$244)/(ORÇAMENTO!$X$15-CÁLCULO.TotalAdmLocal)*CRONO!$F19,
                        0),
                 AA18*$S17),
          SUMIF(OFFSET($S19,1,0,$R17-2),($M17+1)&amp;"$",OFFSET(AA19,1,0,$R17-2)))</f>
        <v>0</v>
      </c>
      <c r="AB19" s="202" cm="1">
        <f t="array" aca="1" ref="AB19" ca="1">IF($R17=2,
         IF(AND(ACOMPANHAMENTO="PLE",ISNUMBER($F17)),
                SUMIF((OFFSET(CÁLCULO!$BS$15:$CS$15,$F17,0,OFFSET(ORÇAMENTO!$D$15,CRONO!$F17,0))),CRONO!AB$12,OFFSET(CÁLCULO!$AR$15:$BR$15,$F17,0,OFFSET(ORÇAMENTO!$D$15,CRONO!$F17,0)))
                +IF(AND($F19&lt;&gt;"",$F19&lt;&gt;0),
                        SUMIF(CÁLCULO!$BS$15:$CS$244,CRONO!AB$12,CÁLCULO!$AR$15:$BR$244)/(ORÇAMENTO!$X$15-CÁLCULO.TotalAdmLocal)*CRONO!$F19,
                        0),
                 AB18*$S17),
          SUMIF(OFFSET($S19,1,0,$R17-2),($M17+1)&amp;"$",OFFSET(AB19,1,0,$R17-2)))</f>
        <v>0</v>
      </c>
      <c r="AC19" s="202" cm="1">
        <f t="array" aca="1" ref="AC19" ca="1">IF($R17=2,
         IF(AND(ACOMPANHAMENTO="PLE",ISNUMBER($F17)),
                SUMIF((OFFSET(CÁLCULO!$BS$15:$CS$15,$F17,0,OFFSET(ORÇAMENTO!$D$15,CRONO!$F17,0))),CRONO!AC$12,OFFSET(CÁLCULO!$AR$15:$BR$15,$F17,0,OFFSET(ORÇAMENTO!$D$15,CRONO!$F17,0)))
                +IF(AND($F19&lt;&gt;"",$F19&lt;&gt;0),
                        SUMIF(CÁLCULO!$BS$15:$CS$244,CRONO!AC$12,CÁLCULO!$AR$15:$BR$244)/(ORÇAMENTO!$X$15-CÁLCULO.TotalAdmLocal)*CRONO!$F19,
                        0),
                 AC18*$S17),
          SUMIF(OFFSET($S19,1,0,$R17-2),($M17+1)&amp;"$",OFFSET(AC19,1,0,$R17-2)))</f>
        <v>0</v>
      </c>
      <c r="AD19" s="202" cm="1">
        <f t="array" aca="1" ref="AD19" ca="1">IF($R17=2,
         IF(AND(ACOMPANHAMENTO="PLE",ISNUMBER($F17)),
                SUMIF((OFFSET(CÁLCULO!$BS$15:$CS$15,$F17,0,OFFSET(ORÇAMENTO!$D$15,CRONO!$F17,0))),CRONO!AD$12,OFFSET(CÁLCULO!$AR$15:$BR$15,$F17,0,OFFSET(ORÇAMENTO!$D$15,CRONO!$F17,0)))
                +IF(AND($F19&lt;&gt;"",$F19&lt;&gt;0),
                        SUMIF(CÁLCULO!$BS$15:$CS$244,CRONO!AD$12,CÁLCULO!$AR$15:$BR$244)/(ORÇAMENTO!$X$15-CÁLCULO.TotalAdmLocal)*CRONO!$F19,
                        0),
                 AD18*$S17),
          SUMIF(OFFSET($S19,1,0,$R17-2),($M17+1)&amp;"$",OFFSET(AD19,1,0,$R17-2)))</f>
        <v>0</v>
      </c>
      <c r="AE19" s="202" cm="1">
        <f t="array" aca="1" ref="AE19" ca="1">IF($R17=2,
         IF(AND(ACOMPANHAMENTO="PLE",ISNUMBER($F17)),
                SUMIF((OFFSET(CÁLCULO!$BS$15:$CS$15,$F17,0,OFFSET(ORÇAMENTO!$D$15,CRONO!$F17,0))),CRONO!AE$12,OFFSET(CÁLCULO!$AR$15:$BR$15,$F17,0,OFFSET(ORÇAMENTO!$D$15,CRONO!$F17,0)))
                +IF(AND($F19&lt;&gt;"",$F19&lt;&gt;0),
                        SUMIF(CÁLCULO!$BS$15:$CS$244,CRONO!AE$12,CÁLCULO!$AR$15:$BR$244)/(ORÇAMENTO!$X$15-CÁLCULO.TotalAdmLocal)*CRONO!$F19,
                        0),
                 AE18*$S17),
          SUMIF(OFFSET($S19,1,0,$R17-2),($M17+1)&amp;"$",OFFSET(AE19,1,0,$R17-2)))</f>
        <v>0</v>
      </c>
      <c r="AF19" s="202" cm="1">
        <f t="array" aca="1" ref="AF19" ca="1">IF($R17=2,
         IF(AND(ACOMPANHAMENTO="PLE",ISNUMBER($F17)),
                SUMIF((OFFSET(CÁLCULO!$BS$15:$CS$15,$F17,0,OFFSET(ORÇAMENTO!$D$15,CRONO!$F17,0))),CRONO!AF$12,OFFSET(CÁLCULO!$AR$15:$BR$15,$F17,0,OFFSET(ORÇAMENTO!$D$15,CRONO!$F17,0)))
                +IF(AND($F19&lt;&gt;"",$F19&lt;&gt;0),
                        SUMIF(CÁLCULO!$BS$15:$CS$244,CRONO!AF$12,CÁLCULO!$AR$15:$BR$244)/(ORÇAMENTO!$X$15-CÁLCULO.TotalAdmLocal)*CRONO!$F19,
                        0),
                 AF18*$S17),
          SUMIF(OFFSET($S19,1,0,$R17-2),($M17+1)&amp;"$",OFFSET(AF19,1,0,$R17-2)))</f>
        <v>0</v>
      </c>
      <c r="AG19" s="202" cm="1">
        <f t="array" aca="1" ref="AG19" ca="1">IF($R17=2,
         IF(AND(ACOMPANHAMENTO="PLE",ISNUMBER($F17)),
                SUMIF((OFFSET(CÁLCULO!$BS$15:$CS$15,$F17,0,OFFSET(ORÇAMENTO!$D$15,CRONO!$F17,0))),CRONO!AG$12,OFFSET(CÁLCULO!$AR$15:$BR$15,$F17,0,OFFSET(ORÇAMENTO!$D$15,CRONO!$F17,0)))
                +IF(AND($F19&lt;&gt;"",$F19&lt;&gt;0),
                        SUMIF(CÁLCULO!$BS$15:$CS$244,CRONO!AG$12,CÁLCULO!$AR$15:$BR$244)/(ORÇAMENTO!$X$15-CÁLCULO.TotalAdmLocal)*CRONO!$F19,
                        0),
                 AG18*$S17),
          SUMIF(OFFSET($S19,1,0,$R17-2),($M17+1)&amp;"$",OFFSET(AG19,1,0,$R17-2)))</f>
        <v>0</v>
      </c>
      <c r="AH19" s="202" cm="1">
        <f t="array" aca="1" ref="AH19" ca="1">IF($R17=2,
         IF(AND(ACOMPANHAMENTO="PLE",ISNUMBER($F17)),
                SUMIF((OFFSET(CÁLCULO!$BS$15:$CS$15,$F17,0,OFFSET(ORÇAMENTO!$D$15,CRONO!$F17,0))),CRONO!AH$12,OFFSET(CÁLCULO!$AR$15:$BR$15,$F17,0,OFFSET(ORÇAMENTO!$D$15,CRONO!$F17,0)))
                +IF(AND($F19&lt;&gt;"",$F19&lt;&gt;0),
                        SUMIF(CÁLCULO!$BS$15:$CS$244,CRONO!AH$12,CÁLCULO!$AR$15:$BR$244)/(ORÇAMENTO!$X$15-CÁLCULO.TotalAdmLocal)*CRONO!$F19,
                        0),
                 AH18*$S17),
          SUMIF(OFFSET($S19,1,0,$R17-2),($M17+1)&amp;"$",OFFSET(AH19,1,0,$R17-2)))</f>
        <v>0</v>
      </c>
      <c r="AI19" s="202" cm="1">
        <f t="array" aca="1" ref="AI19" ca="1">IF($R17=2,
         IF(AND(ACOMPANHAMENTO="PLE",ISNUMBER($F17)),
                SUMIF((OFFSET(CÁLCULO!$BS$15:$CS$15,$F17,0,OFFSET(ORÇAMENTO!$D$15,CRONO!$F17,0))),CRONO!AI$12,OFFSET(CÁLCULO!$AR$15:$BR$15,$F17,0,OFFSET(ORÇAMENTO!$D$15,CRONO!$F17,0)))
                +IF(AND($F19&lt;&gt;"",$F19&lt;&gt;0),
                        SUMIF(CÁLCULO!$BS$15:$CS$244,CRONO!AI$12,CÁLCULO!$AR$15:$BR$244)/(ORÇAMENTO!$X$15-CÁLCULO.TotalAdmLocal)*CRONO!$F19,
                        0),
                 AI18*$S17),
          SUMIF(OFFSET($S19,1,0,$R17-2),($M17+1)&amp;"$",OFFSET(AI19,1,0,$R17-2)))</f>
        <v>0</v>
      </c>
      <c r="AJ19" s="202" cm="1">
        <f t="array" aca="1" ref="AJ19" ca="1">IF($R17=2,
         IF(AND(ACOMPANHAMENTO="PLE",ISNUMBER($F17)),
                SUMIF((OFFSET(CÁLCULO!$BS$15:$CS$15,$F17,0,OFFSET(ORÇAMENTO!$D$15,CRONO!$F17,0))),CRONO!AJ$12,OFFSET(CÁLCULO!$AR$15:$BR$15,$F17,0,OFFSET(ORÇAMENTO!$D$15,CRONO!$F17,0)))
                +IF(AND($F19&lt;&gt;"",$F19&lt;&gt;0),
                        SUMIF(CÁLCULO!$BS$15:$CS$244,CRONO!AJ$12,CÁLCULO!$AR$15:$BR$244)/(ORÇAMENTO!$X$15-CÁLCULO.TotalAdmLocal)*CRONO!$F19,
                        0),
                 AJ18*$S17),
          SUMIF(OFFSET($S19,1,0,$R17-2),($M17+1)&amp;"$",OFFSET(AJ19,1,0,$R17-2)))</f>
        <v>0</v>
      </c>
      <c r="AK19" s="202" cm="1">
        <f t="array" aca="1" ref="AK19" ca="1">IF($R17=2,
         IF(AND(ACOMPANHAMENTO="PLE",ISNUMBER($F17)),
                SUMIF((OFFSET(CÁLCULO!$BS$15:$CS$15,$F17,0,OFFSET(ORÇAMENTO!$D$15,CRONO!$F17,0))),CRONO!AK$12,OFFSET(CÁLCULO!$AR$15:$BR$15,$F17,0,OFFSET(ORÇAMENTO!$D$15,CRONO!$F17,0)))
                +IF(AND($F19&lt;&gt;"",$F19&lt;&gt;0),
                        SUMIF(CÁLCULO!$BS$15:$CS$244,CRONO!AK$12,CÁLCULO!$AR$15:$BR$244)/(ORÇAMENTO!$X$15-CÁLCULO.TotalAdmLocal)*CRONO!$F19,
                        0),
                 AK18*$S17),
          SUMIF(OFFSET($S19,1,0,$R17-2),($M17+1)&amp;"$",OFFSET(AK19,1,0,$R17-2)))</f>
        <v>0</v>
      </c>
      <c r="AL19" s="202" cm="1">
        <f t="array" aca="1" ref="AL19" ca="1">IF($R17=2,
         IF(AND(ACOMPANHAMENTO="PLE",ISNUMBER($F17)),
                SUMIF((OFFSET(CÁLCULO!$BS$15:$CS$15,$F17,0,OFFSET(ORÇAMENTO!$D$15,CRONO!$F17,0))),CRONO!AL$12,OFFSET(CÁLCULO!$AR$15:$BR$15,$F17,0,OFFSET(ORÇAMENTO!$D$15,CRONO!$F17,0)))
                +IF(AND($F19&lt;&gt;"",$F19&lt;&gt;0),
                        SUMIF(CÁLCULO!$BS$15:$CS$244,CRONO!AL$12,CÁLCULO!$AR$15:$BR$244)/(ORÇAMENTO!$X$15-CÁLCULO.TotalAdmLocal)*CRONO!$F19,
                        0),
                 AL18*$S17),
          SUMIF(OFFSET($S19,1,0,$R17-2),($M17+1)&amp;"$",OFFSET(AL19,1,0,$R17-2)))</f>
        <v>0</v>
      </c>
      <c r="AM19" s="202" cm="1">
        <f t="array" aca="1" ref="AM19" ca="1">IF($R17=2,
         IF(AND(ACOMPANHAMENTO="PLE",ISNUMBER($F17)),
                SUMIF((OFFSET(CÁLCULO!$BS$15:$CS$15,$F17,0,OFFSET(ORÇAMENTO!$D$15,CRONO!$F17,0))),CRONO!AM$12,OFFSET(CÁLCULO!$AR$15:$BR$15,$F17,0,OFFSET(ORÇAMENTO!$D$15,CRONO!$F17,0)))
                +IF(AND($F19&lt;&gt;"",$F19&lt;&gt;0),
                        SUMIF(CÁLCULO!$BS$15:$CS$244,CRONO!AM$12,CÁLCULO!$AR$15:$BR$244)/(ORÇAMENTO!$X$15-CÁLCULO.TotalAdmLocal)*CRONO!$F19,
                        0),
                 AM18*$S17),
          SUMIF(OFFSET($S19,1,0,$R17-2),($M17+1)&amp;"$",OFFSET(AM19,1,0,$R17-2)))</f>
        <v>0</v>
      </c>
      <c r="AN19" s="202" cm="1">
        <f t="array" aca="1" ref="AN19" ca="1">IF($R17=2,
         IF(AND(ACOMPANHAMENTO="PLE",ISNUMBER($F17)),
                SUMIF((OFFSET(CÁLCULO!$BS$15:$CS$15,$F17,0,OFFSET(ORÇAMENTO!$D$15,CRONO!$F17,0))),CRONO!AN$12,OFFSET(CÁLCULO!$AR$15:$BR$15,$F17,0,OFFSET(ORÇAMENTO!$D$15,CRONO!$F17,0)))
                +IF(AND($F19&lt;&gt;"",$F19&lt;&gt;0),
                        SUMIF(CÁLCULO!$BS$15:$CS$244,CRONO!AN$12,CÁLCULO!$AR$15:$BR$244)/(ORÇAMENTO!$X$15-CÁLCULO.TotalAdmLocal)*CRONO!$F19,
                        0),
                 AN18*$S17),
          SUMIF(OFFSET($S19,1,0,$R17-2),($M17+1)&amp;"$",OFFSET(AN19,1,0,$R17-2)))</f>
        <v>0</v>
      </c>
      <c r="AO19" s="202" cm="1">
        <f t="array" aca="1" ref="AO19" ca="1">IF($R17=2,
         IF(AND(ACOMPANHAMENTO="PLE",ISNUMBER($F17)),
                SUMIF((OFFSET(CÁLCULO!$BS$15:$CS$15,$F17,0,OFFSET(ORÇAMENTO!$D$15,CRONO!$F17,0))),CRONO!AO$12,OFFSET(CÁLCULO!$AR$15:$BR$15,$F17,0,OFFSET(ORÇAMENTO!$D$15,CRONO!$F17,0)))
                +IF(AND($F19&lt;&gt;"",$F19&lt;&gt;0),
                        SUMIF(CÁLCULO!$BS$15:$CS$244,CRONO!AO$12,CÁLCULO!$AR$15:$BR$244)/(ORÇAMENTO!$X$15-CÁLCULO.TotalAdmLocal)*CRONO!$F19,
                        0),
                 AO18*$S17),
          SUMIF(OFFSET($S19,1,0,$R17-2),($M17+1)&amp;"$",OFFSET(AO19,1,0,$R17-2)))</f>
        <v>0</v>
      </c>
      <c r="AP19" s="202" cm="1">
        <f t="array" aca="1" ref="AP19" ca="1">IF($R17=2,
         IF(AND(ACOMPANHAMENTO="PLE",ISNUMBER($F17)),
                SUMIF((OFFSET(CÁLCULO!$BS$15:$CS$15,$F17,0,OFFSET(ORÇAMENTO!$D$15,CRONO!$F17,0))),CRONO!AP$12,OFFSET(CÁLCULO!$AR$15:$BR$15,$F17,0,OFFSET(ORÇAMENTO!$D$15,CRONO!$F17,0)))
                +IF(AND($F19&lt;&gt;"",$F19&lt;&gt;0),
                        SUMIF(CÁLCULO!$BS$15:$CS$244,CRONO!AP$12,CÁLCULO!$AR$15:$BR$244)/(ORÇAMENTO!$X$15-CÁLCULO.TotalAdmLocal)*CRONO!$F19,
                        0),
                 AP18*$S17),
          SUMIF(OFFSET($S19,1,0,$R17-2),($M17+1)&amp;"$",OFFSET(AP19,1,0,$R17-2)))</f>
        <v>0</v>
      </c>
      <c r="AQ19" s="202" cm="1">
        <f t="array" aca="1" ref="AQ19" ca="1">IF($R17=2,
         IF(AND(ACOMPANHAMENTO="PLE",ISNUMBER($F17)),
                SUMIF((OFFSET(CÁLCULO!$BS$15:$CS$15,$F17,0,OFFSET(ORÇAMENTO!$D$15,CRONO!$F17,0))),CRONO!AQ$12,OFFSET(CÁLCULO!$AR$15:$BR$15,$F17,0,OFFSET(ORÇAMENTO!$D$15,CRONO!$F17,0)))
                +IF(AND($F19&lt;&gt;"",$F19&lt;&gt;0),
                        SUMIF(CÁLCULO!$BS$15:$CS$244,CRONO!AQ$12,CÁLCULO!$AR$15:$BR$244)/(ORÇAMENTO!$X$15-CÁLCULO.TotalAdmLocal)*CRONO!$F19,
                        0),
                 AQ18*$S17),
          SUMIF(OFFSET($S19,1,0,$R17-2),($M17+1)&amp;"$",OFFSET(AQ19,1,0,$R17-2)))</f>
        <v>0</v>
      </c>
      <c r="AR19" s="202" cm="1">
        <f t="array" aca="1" ref="AR19" ca="1">IF($R17=2,
         IF(AND(ACOMPANHAMENTO="PLE",ISNUMBER($F17)),
                SUMIF((OFFSET(CÁLCULO!$BS$15:$CS$15,$F17,0,OFFSET(ORÇAMENTO!$D$15,CRONO!$F17,0))),CRONO!AR$12,OFFSET(CÁLCULO!$AR$15:$BR$15,$F17,0,OFFSET(ORÇAMENTO!$D$15,CRONO!$F17,0)))
                +IF(AND($F19&lt;&gt;"",$F19&lt;&gt;0),
                        SUMIF(CÁLCULO!$BS$15:$CS$244,CRONO!AR$12,CÁLCULO!$AR$15:$BR$244)/(ORÇAMENTO!$X$15-CÁLCULO.TotalAdmLocal)*CRONO!$F19,
                        0),
                 AR18*$S17),
          SUMIF(OFFSET($S19,1,0,$R17-2),($M17+1)&amp;"$",OFFSET(AR19,1,0,$R17-2)))</f>
        <v>0</v>
      </c>
      <c r="AS19" s="534"/>
    </row>
    <row r="20" spans="1:45" x14ac:dyDescent="0.2">
      <c r="A20" s="186" t="e">
        <f t="shared" ref="A20" ca="1" si="14">IF($M20&gt;1,_xlfn.CONCAT($I20," ",$J20),"")</f>
        <v>#NAME?</v>
      </c>
      <c r="B20" s="185">
        <f t="shared" ref="B20" ca="1" si="15">OFFSET(B20,-3,0)+1</f>
        <v>3</v>
      </c>
      <c r="C20" s="185">
        <f ca="1">IF($R20&lt;&gt;2,0,IF($S20=0,1,IF(F21&gt;0,OFFSET(QCI!$M$13,SUBSTITUTE(F21,".",""),0),OFFSET(ORÇAMENTO!$AA$15,CRONO!$F20,0))/$S20))</f>
        <v>1</v>
      </c>
      <c r="D20" s="185">
        <f ca="1">IF($R20&lt;&gt;2,0,IF($S20=0,1,IF(F21&gt;0,OFFSET(QCI!$N$13,SUBSTITUTE(F21,".",""),0),OFFSET(ORÇAMENTO!$AB$15,CRONO!$F20,0))/$S20))</f>
        <v>1</v>
      </c>
      <c r="E20" s="188" t="e" cm="1">
        <f t="array" aca="1" ref="E20" ca="1">IF(AND($R20=2,ACOMPANHAMENTO="BM"),ROUND(E21,4),E22/$S20)</f>
        <v>#DIV/0!</v>
      </c>
      <c r="F20" s="185" cm="1">
        <f t="array" aca="1" ref="F20" ca="1">IF(B20&lt;=ORÇAMENTO.MáximoListaCrono,MATCH(B20,ORÇAMENTO.ListaCrono,0),NA())</f>
        <v>4</v>
      </c>
      <c r="G20" s="185" t="str">
        <f t="shared" ref="G20" ca="1" si="16">IF(AND($F21&lt;&gt;-1,$S20&gt;0),"F","")</f>
        <v/>
      </c>
      <c r="H20" s="189" t="str" cm="1">
        <f t="array" aca="1" ref="H20" ca="1">IF(OR(S20=0,S20=""),"Linha",IF(AND(OR(ACOMPANHAMENTO="PLE",$R20&lt;&gt;2),$F21=0),"Linha",ROUND(1-SUM(U20:AS20),4)))</f>
        <v>Linha</v>
      </c>
      <c r="I20" s="190" t="str">
        <f ca="1">IF($F21=0,OFFSET(ORÇAMENTO!O$15,$F20,0),IF($F21&lt;&gt;-1,OFFSET(QCI!$D$13,$F21,0),""))</f>
        <v>1.2.</v>
      </c>
      <c r="J20" s="191" t="str">
        <f ca="1">IF($F21=0,OFFSET(ORÇAMENTO!R$15,$F20,0),IF($F21&lt;&gt;-1,OFFSET(QCI!$G$13,$F21,0),""))</f>
        <v>CANTEIRO DE OBRAS</v>
      </c>
      <c r="K20" s="191"/>
      <c r="L20" s="191"/>
      <c r="M20" s="192">
        <f ca="1">IF($F21=0,OFFSET(ORÇAMENTO!C$15,$F20,0),1)</f>
        <v>2</v>
      </c>
      <c r="N20" s="193">
        <f ca="1">IF($F21=-1,0,IF(N$13&lt;=$M20,IF(ISERROR(MATCH(N$13,OFFSET($M20,1,0,ROW($M$164)-ROW($M20)-1),0)),ROW($M$164)-ROW($M20)-1,MATCH(N$13,OFFSET($M20,1,0,ROW($M$164)-ROW($M20)-1),0)-1),0))</f>
        <v>2</v>
      </c>
      <c r="O20" s="193">
        <f ca="1">IF($F21=-1,0,IF(O$13&lt;=$M20,IF(ISERROR(MATCH(O$13,OFFSET($M20,1,0,ROW($M$164)-ROW($M20)-1),0)),ROW($M$164)-ROW($M20)-1,MATCH(O$13,OFFSET($M20,1,0,ROW($M$164)-ROW($M20)-1),0)-1),0))</f>
        <v>5</v>
      </c>
      <c r="P20" s="193">
        <f ca="1">IF($F21=-1,0,IF(P$13&lt;=$M20,IF(ISERROR(MATCH(P$13,OFFSET($M20,1,0,ROW($M$164)-ROW($M20)-1),0)),ROW($M$164)-ROW($M20)-1,MATCH(P$13,OFFSET($M20,1,0,ROW($M$164)-ROW($M20)-1),0)-1),0))</f>
        <v>0</v>
      </c>
      <c r="Q20" s="193">
        <f ca="1">IF($F21=-1,0,IF(Q$13&lt;=$M20,IF(ISERROR(MATCH(Q$13,OFFSET($M20,1,0,ROW($M$164)-ROW($M20)-1),0)),ROW($M$164)-ROW($M20)-1,MATCH(Q$13,OFFSET($M20,1,0,ROW($M$164)-ROW($M20)-1),0)-1),0))</f>
        <v>0</v>
      </c>
      <c r="R20" s="193">
        <f t="shared" ref="R20" ca="1" si="17">MIN(OFFSET(M20,0,1,,M20))</f>
        <v>2</v>
      </c>
      <c r="S20" s="194">
        <f ca="1">IF($F21=0,OFFSET(ORÇAMENTO!X$15,$F20,0),IF($F21&lt;&gt;-1,OFFSET(QCI!$O$13,$F21,0),""))</f>
        <v>0</v>
      </c>
      <c r="T20" s="195" t="s">
        <v>785</v>
      </c>
      <c r="U20" s="188" t="e" cm="1">
        <f t="array" aca="1" ref="U20" ca="1">IF(AND($R20=2,ACOMPANHAMENTO="BM"),ROUND(U21,4),U22/$S20)</f>
        <v>#DIV/0!</v>
      </c>
      <c r="V20" s="188" t="e" cm="1">
        <f t="array" aca="1" ref="V20" ca="1">IF(AND($R20=2,ACOMPANHAMENTO="BM"),ROUND(V21,4),V22/$S20)</f>
        <v>#DIV/0!</v>
      </c>
      <c r="W20" s="188" t="e" cm="1">
        <f t="array" aca="1" ref="W20" ca="1">IF(AND($R20=2,ACOMPANHAMENTO="BM"),ROUND(W21,4),W22/$S20)</f>
        <v>#DIV/0!</v>
      </c>
      <c r="X20" s="188" t="e" cm="1">
        <f t="array" aca="1" ref="X20" ca="1">IF(AND($R20=2,ACOMPANHAMENTO="BM"),ROUND(X21,4),X22/$S20)</f>
        <v>#DIV/0!</v>
      </c>
      <c r="Y20" s="188" t="e" cm="1">
        <f t="array" aca="1" ref="Y20" ca="1">IF(AND($R20=2,ACOMPANHAMENTO="BM"),ROUND(Y21,4),Y22/$S20)</f>
        <v>#DIV/0!</v>
      </c>
      <c r="Z20" s="188" t="e" cm="1">
        <f t="array" aca="1" ref="Z20" ca="1">IF(AND($R20=2,ACOMPANHAMENTO="BM"),ROUND(Z21,4),Z22/$S20)</f>
        <v>#DIV/0!</v>
      </c>
      <c r="AA20" s="188" t="e" cm="1">
        <f t="array" aca="1" ref="AA20" ca="1">IF(AND($R20=2,ACOMPANHAMENTO="BM"),ROUND(AA21,4),AA22/$S20)</f>
        <v>#DIV/0!</v>
      </c>
      <c r="AB20" s="188" t="e" cm="1">
        <f t="array" aca="1" ref="AB20" ca="1">IF(AND($R20=2,ACOMPANHAMENTO="BM"),ROUND(AB21,4),AB22/$S20)</f>
        <v>#DIV/0!</v>
      </c>
      <c r="AC20" s="188" t="e" cm="1">
        <f t="array" aca="1" ref="AC20" ca="1">IF(AND($R20=2,ACOMPANHAMENTO="BM"),ROUND(AC21,4),AC22/$S20)</f>
        <v>#DIV/0!</v>
      </c>
      <c r="AD20" s="188" t="e" cm="1">
        <f t="array" aca="1" ref="AD20" ca="1">IF(AND($R20=2,ACOMPANHAMENTO="BM"),ROUND(AD21,4),AD22/$S20)</f>
        <v>#DIV/0!</v>
      </c>
      <c r="AE20" s="188" t="e" cm="1">
        <f t="array" aca="1" ref="AE20" ca="1">IF(AND($R20=2,ACOMPANHAMENTO="BM"),ROUND(AE21,4),AE22/$S20)</f>
        <v>#DIV/0!</v>
      </c>
      <c r="AF20" s="188" t="e" cm="1">
        <f t="array" aca="1" ref="AF20" ca="1">IF(AND($R20=2,ACOMPANHAMENTO="BM"),ROUND(AF21,4),AF22/$S20)</f>
        <v>#DIV/0!</v>
      </c>
      <c r="AG20" s="188" t="e" cm="1">
        <f t="array" aca="1" ref="AG20" ca="1">IF(AND($R20=2,ACOMPANHAMENTO="BM"),ROUND(AG21,4),AG22/$S20)</f>
        <v>#DIV/0!</v>
      </c>
      <c r="AH20" s="188" t="e" cm="1">
        <f t="array" aca="1" ref="AH20" ca="1">IF(AND($R20=2,ACOMPANHAMENTO="BM"),ROUND(AH21,4),AH22/$S20)</f>
        <v>#DIV/0!</v>
      </c>
      <c r="AI20" s="188" t="e" cm="1">
        <f t="array" aca="1" ref="AI20" ca="1">IF(AND($R20=2,ACOMPANHAMENTO="BM"),ROUND(AI21,4),AI22/$S20)</f>
        <v>#DIV/0!</v>
      </c>
      <c r="AJ20" s="188" t="e" cm="1">
        <f t="array" aca="1" ref="AJ20" ca="1">IF(AND($R20=2,ACOMPANHAMENTO="BM"),ROUND(AJ21,4),AJ22/$S20)</f>
        <v>#DIV/0!</v>
      </c>
      <c r="AK20" s="188" t="e" cm="1">
        <f t="array" aca="1" ref="AK20" ca="1">IF(AND($R20=2,ACOMPANHAMENTO="BM"),ROUND(AK21,4),AK22/$S20)</f>
        <v>#DIV/0!</v>
      </c>
      <c r="AL20" s="188" t="e" cm="1">
        <f t="array" aca="1" ref="AL20" ca="1">IF(AND($R20=2,ACOMPANHAMENTO="BM"),ROUND(AL21,4),AL22/$S20)</f>
        <v>#DIV/0!</v>
      </c>
      <c r="AM20" s="188" t="e" cm="1">
        <f t="array" aca="1" ref="AM20" ca="1">IF(AND($R20=2,ACOMPANHAMENTO="BM"),ROUND(AM21,4),AM22/$S20)</f>
        <v>#DIV/0!</v>
      </c>
      <c r="AN20" s="188" t="e" cm="1">
        <f t="array" aca="1" ref="AN20" ca="1">IF(AND($R20=2,ACOMPANHAMENTO="BM"),ROUND(AN21,4),AN22/$S20)</f>
        <v>#DIV/0!</v>
      </c>
      <c r="AO20" s="188" t="e" cm="1">
        <f t="array" aca="1" ref="AO20" ca="1">IF(AND($R20=2,ACOMPANHAMENTO="BM"),ROUND(AO21,4),AO22/$S20)</f>
        <v>#DIV/0!</v>
      </c>
      <c r="AP20" s="188" t="e" cm="1">
        <f t="array" aca="1" ref="AP20" ca="1">IF(AND($R20=2,ACOMPANHAMENTO="BM"),ROUND(AP21,4),AP22/$S20)</f>
        <v>#DIV/0!</v>
      </c>
      <c r="AQ20" s="188" t="e" cm="1">
        <f t="array" aca="1" ref="AQ20" ca="1">IF(AND($R20=2,ACOMPANHAMENTO="BM"),ROUND(AQ21,4),AQ22/$S20)</f>
        <v>#DIV/0!</v>
      </c>
      <c r="AR20" s="188" t="e" cm="1">
        <f t="array" aca="1" ref="AR20" ca="1">IF(AND($R20=2,ACOMPANHAMENTO="BM"),ROUND(AR21,4),AR22/$S20)</f>
        <v>#DIV/0!</v>
      </c>
      <c r="AS20" s="534"/>
    </row>
    <row r="21" spans="1:45" ht="12.75" hidden="1" customHeight="1" x14ac:dyDescent="0.2">
      <c r="E21" s="587"/>
      <c r="F21" s="185">
        <f ca="1">IF(ISERROR(F20),IF(1+COUNTIF($M$13:OFFSET(M20,-1,0),1)&lt;=MAX(QCI!$D$13:$D$24),1+COUNTIF($M$13:OFFSET(M20,-1,0),1),-1),0)</f>
        <v>0</v>
      </c>
      <c r="G21" s="185" t="str" cm="1">
        <f t="array" aca="1" ref="G21" ca="1">IF(ACOMPANHAMENTO="BM",OFFSET(G21,-1,0),"")</f>
        <v/>
      </c>
      <c r="H21" s="196" t="str" cm="1">
        <f t="array" aca="1" ref="H21" ca="1">IF(OR(S20=0,S20=""),"vazia",IF(AND(OR(ACOMPANHAMENTO="PLE",$R20&lt;&gt;2),$F21=0),"calculada","--&gt;"))</f>
        <v>vazia</v>
      </c>
      <c r="I21" s="197"/>
      <c r="J21" s="198" t="str">
        <f t="shared" ref="J21" ca="1" si="18">IF(AND(H20&lt;&gt;0,ISNUMBER(H20)),"PREENCHA ESTA LINHA --&gt;","")</f>
        <v/>
      </c>
      <c r="K21" s="198"/>
      <c r="L21" s="198"/>
      <c r="M21" s="199"/>
      <c r="N21" s="199"/>
      <c r="O21" s="199"/>
      <c r="P21" s="199"/>
      <c r="Q21" s="199"/>
      <c r="R21" s="199"/>
      <c r="S21" s="200"/>
      <c r="T21" s="201"/>
      <c r="U21" s="587"/>
      <c r="V21" s="587"/>
      <c r="W21" s="587"/>
      <c r="X21" s="587"/>
      <c r="Y21" s="587"/>
      <c r="Z21" s="587"/>
      <c r="AA21" s="587"/>
      <c r="AB21" s="587"/>
      <c r="AC21" s="587"/>
      <c r="AD21" s="587"/>
      <c r="AE21" s="587"/>
      <c r="AF21" s="587"/>
      <c r="AG21" s="587"/>
      <c r="AH21" s="587"/>
      <c r="AI21" s="587"/>
      <c r="AJ21" s="587"/>
      <c r="AK21" s="587"/>
      <c r="AL21" s="587"/>
      <c r="AM21" s="587"/>
      <c r="AN21" s="587"/>
      <c r="AO21" s="587"/>
      <c r="AP21" s="587"/>
      <c r="AQ21" s="587"/>
      <c r="AR21" s="587"/>
      <c r="AS21" s="534"/>
    </row>
    <row r="22" spans="1:45" ht="12.75" hidden="1" customHeight="1" x14ac:dyDescent="0.2">
      <c r="D22" s="533"/>
      <c r="E22" s="202" cm="1">
        <f t="array" aca="1" ref="E22" ca="1">IF($R20=2,
         IF(AND(ACOMPANHAMENTO="PLE",ISNUMBER($F20)),
                SUMIF((OFFSET(CÁLCULO!$BS$15:$CS$15,$F20,0,OFFSET(ORÇAMENTO!$D$15,CRONO!$F20,0))),CRONO!E$12,OFFSET(CÁLCULO!$AR$15:$BR$15,$F20,0,OFFSET(ORÇAMENTO!$D$15,CRONO!$F20,0)))
                +IF(AND($F22&lt;&gt;"",$F22&lt;&gt;0),
                        SUMIF(CÁLCULO!$BS$15:$CS$244,CRONO!E$12,CÁLCULO!$AR$15:$BR$244)/(ORÇAMENTO!$X$15-CÁLCULO.TotalAdmLocal)*CRONO!$F22,
                        0),
                 E21*$S20),
          SUMIF(OFFSET($S22,1,0,$R20-2),($M20+1)&amp;"$",OFFSET(E22,1,0,$R20-2)))</f>
        <v>0</v>
      </c>
      <c r="F22" s="185">
        <f ca="1">IF(OR($R20&lt;&gt;2,AUTOEVENTO&lt;&gt;"manual",$F21&gt;0),"",
        IF(Import.TipoArredondamento="Tradicional",
              SUMIF(OFFSET(CÁLCULO!$M$15,CRONO!$F20,0,OFFSET(ORÇAMENTO!$D$15,CRONO!$F20,0)),1,OFFSET(ORÇAMENTO!$X$15,CRONO!$F20,0,OFFSET(ORÇAMENTO!$D$15,CRONO!$F20,0))),
              0))</f>
        <v>0</v>
      </c>
      <c r="H22" s="203"/>
      <c r="S22" s="204" t="str">
        <f t="shared" ref="S22" ca="1" si="19">M20&amp;"$"</f>
        <v>2$</v>
      </c>
      <c r="T22" s="205"/>
      <c r="U22" s="202" cm="1">
        <f t="array" aca="1" ref="U22" ca="1">IF($R20=2,
         IF(AND(ACOMPANHAMENTO="PLE",ISNUMBER($F20)),
                SUMIF((OFFSET(CÁLCULO!$BS$15:$CS$15,$F20,0,OFFSET(ORÇAMENTO!$D$15,CRONO!$F20,0))),CRONO!U$12,OFFSET(CÁLCULO!$AR$15:$BR$15,$F20,0,OFFSET(ORÇAMENTO!$D$15,CRONO!$F20,0)))
                +IF(AND($F22&lt;&gt;"",$F22&lt;&gt;0),
                        SUMIF(CÁLCULO!$BS$15:$CS$244,CRONO!U$12,CÁLCULO!$AR$15:$BR$244)/(ORÇAMENTO!$X$15-CÁLCULO.TotalAdmLocal)*CRONO!$F22,
                        0),
                 U21*$S20),
          SUMIF(OFFSET($S22,1,0,$R20-2),($M20+1)&amp;"$",OFFSET(U22,1,0,$R20-2)))</f>
        <v>0</v>
      </c>
      <c r="V22" s="202" cm="1">
        <f t="array" aca="1" ref="V22" ca="1">IF($R20=2,
         IF(AND(ACOMPANHAMENTO="PLE",ISNUMBER($F20)),
                SUMIF((OFFSET(CÁLCULO!$BS$15:$CS$15,$F20,0,OFFSET(ORÇAMENTO!$D$15,CRONO!$F20,0))),CRONO!V$12,OFFSET(CÁLCULO!$AR$15:$BR$15,$F20,0,OFFSET(ORÇAMENTO!$D$15,CRONO!$F20,0)))
                +IF(AND($F22&lt;&gt;"",$F22&lt;&gt;0),
                        SUMIF(CÁLCULO!$BS$15:$CS$244,CRONO!V$12,CÁLCULO!$AR$15:$BR$244)/(ORÇAMENTO!$X$15-CÁLCULO.TotalAdmLocal)*CRONO!$F22,
                        0),
                 V21*$S20),
          SUMIF(OFFSET($S22,1,0,$R20-2),($M20+1)&amp;"$",OFFSET(V22,1,0,$R20-2)))</f>
        <v>0</v>
      </c>
      <c r="W22" s="202" cm="1">
        <f t="array" aca="1" ref="W22" ca="1">IF($R20=2,
         IF(AND(ACOMPANHAMENTO="PLE",ISNUMBER($F20)),
                SUMIF((OFFSET(CÁLCULO!$BS$15:$CS$15,$F20,0,OFFSET(ORÇAMENTO!$D$15,CRONO!$F20,0))),CRONO!W$12,OFFSET(CÁLCULO!$AR$15:$BR$15,$F20,0,OFFSET(ORÇAMENTO!$D$15,CRONO!$F20,0)))
                +IF(AND($F22&lt;&gt;"",$F22&lt;&gt;0),
                        SUMIF(CÁLCULO!$BS$15:$CS$244,CRONO!W$12,CÁLCULO!$AR$15:$BR$244)/(ORÇAMENTO!$X$15-CÁLCULO.TotalAdmLocal)*CRONO!$F22,
                        0),
                 W21*$S20),
          SUMIF(OFFSET($S22,1,0,$R20-2),($M20+1)&amp;"$",OFFSET(W22,1,0,$R20-2)))</f>
        <v>0</v>
      </c>
      <c r="X22" s="202" cm="1">
        <f t="array" aca="1" ref="X22" ca="1">IF($R20=2,
         IF(AND(ACOMPANHAMENTO="PLE",ISNUMBER($F20)),
                SUMIF((OFFSET(CÁLCULO!$BS$15:$CS$15,$F20,0,OFFSET(ORÇAMENTO!$D$15,CRONO!$F20,0))),CRONO!X$12,OFFSET(CÁLCULO!$AR$15:$BR$15,$F20,0,OFFSET(ORÇAMENTO!$D$15,CRONO!$F20,0)))
                +IF(AND($F22&lt;&gt;"",$F22&lt;&gt;0),
                        SUMIF(CÁLCULO!$BS$15:$CS$244,CRONO!X$12,CÁLCULO!$AR$15:$BR$244)/(ORÇAMENTO!$X$15-CÁLCULO.TotalAdmLocal)*CRONO!$F22,
                        0),
                 X21*$S20),
          SUMIF(OFFSET($S22,1,0,$R20-2),($M20+1)&amp;"$",OFFSET(X22,1,0,$R20-2)))</f>
        <v>0</v>
      </c>
      <c r="Y22" s="202" cm="1">
        <f t="array" aca="1" ref="Y22" ca="1">IF($R20=2,
         IF(AND(ACOMPANHAMENTO="PLE",ISNUMBER($F20)),
                SUMIF((OFFSET(CÁLCULO!$BS$15:$CS$15,$F20,0,OFFSET(ORÇAMENTO!$D$15,CRONO!$F20,0))),CRONO!Y$12,OFFSET(CÁLCULO!$AR$15:$BR$15,$F20,0,OFFSET(ORÇAMENTO!$D$15,CRONO!$F20,0)))
                +IF(AND($F22&lt;&gt;"",$F22&lt;&gt;0),
                        SUMIF(CÁLCULO!$BS$15:$CS$244,CRONO!Y$12,CÁLCULO!$AR$15:$BR$244)/(ORÇAMENTO!$X$15-CÁLCULO.TotalAdmLocal)*CRONO!$F22,
                        0),
                 Y21*$S20),
          SUMIF(OFFSET($S22,1,0,$R20-2),($M20+1)&amp;"$",OFFSET(Y22,1,0,$R20-2)))</f>
        <v>0</v>
      </c>
      <c r="Z22" s="202" cm="1">
        <f t="array" aca="1" ref="Z22" ca="1">IF($R20=2,
         IF(AND(ACOMPANHAMENTO="PLE",ISNUMBER($F20)),
                SUMIF((OFFSET(CÁLCULO!$BS$15:$CS$15,$F20,0,OFFSET(ORÇAMENTO!$D$15,CRONO!$F20,0))),CRONO!Z$12,OFFSET(CÁLCULO!$AR$15:$BR$15,$F20,0,OFFSET(ORÇAMENTO!$D$15,CRONO!$F20,0)))
                +IF(AND($F22&lt;&gt;"",$F22&lt;&gt;0),
                        SUMIF(CÁLCULO!$BS$15:$CS$244,CRONO!Z$12,CÁLCULO!$AR$15:$BR$244)/(ORÇAMENTO!$X$15-CÁLCULO.TotalAdmLocal)*CRONO!$F22,
                        0),
                 Z21*$S20),
          SUMIF(OFFSET($S22,1,0,$R20-2),($M20+1)&amp;"$",OFFSET(Z22,1,0,$R20-2)))</f>
        <v>0</v>
      </c>
      <c r="AA22" s="202" cm="1">
        <f t="array" aca="1" ref="AA22" ca="1">IF($R20=2,
         IF(AND(ACOMPANHAMENTO="PLE",ISNUMBER($F20)),
                SUMIF((OFFSET(CÁLCULO!$BS$15:$CS$15,$F20,0,OFFSET(ORÇAMENTO!$D$15,CRONO!$F20,0))),CRONO!AA$12,OFFSET(CÁLCULO!$AR$15:$BR$15,$F20,0,OFFSET(ORÇAMENTO!$D$15,CRONO!$F20,0)))
                +IF(AND($F22&lt;&gt;"",$F22&lt;&gt;0),
                        SUMIF(CÁLCULO!$BS$15:$CS$244,CRONO!AA$12,CÁLCULO!$AR$15:$BR$244)/(ORÇAMENTO!$X$15-CÁLCULO.TotalAdmLocal)*CRONO!$F22,
                        0),
                 AA21*$S20),
          SUMIF(OFFSET($S22,1,0,$R20-2),($M20+1)&amp;"$",OFFSET(AA22,1,0,$R20-2)))</f>
        <v>0</v>
      </c>
      <c r="AB22" s="202" cm="1">
        <f t="array" aca="1" ref="AB22" ca="1">IF($R20=2,
         IF(AND(ACOMPANHAMENTO="PLE",ISNUMBER($F20)),
                SUMIF((OFFSET(CÁLCULO!$BS$15:$CS$15,$F20,0,OFFSET(ORÇAMENTO!$D$15,CRONO!$F20,0))),CRONO!AB$12,OFFSET(CÁLCULO!$AR$15:$BR$15,$F20,0,OFFSET(ORÇAMENTO!$D$15,CRONO!$F20,0)))
                +IF(AND($F22&lt;&gt;"",$F22&lt;&gt;0),
                        SUMIF(CÁLCULO!$BS$15:$CS$244,CRONO!AB$12,CÁLCULO!$AR$15:$BR$244)/(ORÇAMENTO!$X$15-CÁLCULO.TotalAdmLocal)*CRONO!$F22,
                        0),
                 AB21*$S20),
          SUMIF(OFFSET($S22,1,0,$R20-2),($M20+1)&amp;"$",OFFSET(AB22,1,0,$R20-2)))</f>
        <v>0</v>
      </c>
      <c r="AC22" s="202" cm="1">
        <f t="array" aca="1" ref="AC22" ca="1">IF($R20=2,
         IF(AND(ACOMPANHAMENTO="PLE",ISNUMBER($F20)),
                SUMIF((OFFSET(CÁLCULO!$BS$15:$CS$15,$F20,0,OFFSET(ORÇAMENTO!$D$15,CRONO!$F20,0))),CRONO!AC$12,OFFSET(CÁLCULO!$AR$15:$BR$15,$F20,0,OFFSET(ORÇAMENTO!$D$15,CRONO!$F20,0)))
                +IF(AND($F22&lt;&gt;"",$F22&lt;&gt;0),
                        SUMIF(CÁLCULO!$BS$15:$CS$244,CRONO!AC$12,CÁLCULO!$AR$15:$BR$244)/(ORÇAMENTO!$X$15-CÁLCULO.TotalAdmLocal)*CRONO!$F22,
                        0),
                 AC21*$S20),
          SUMIF(OFFSET($S22,1,0,$R20-2),($M20+1)&amp;"$",OFFSET(AC22,1,0,$R20-2)))</f>
        <v>0</v>
      </c>
      <c r="AD22" s="202" cm="1">
        <f t="array" aca="1" ref="AD22" ca="1">IF($R20=2,
         IF(AND(ACOMPANHAMENTO="PLE",ISNUMBER($F20)),
                SUMIF((OFFSET(CÁLCULO!$BS$15:$CS$15,$F20,0,OFFSET(ORÇAMENTO!$D$15,CRONO!$F20,0))),CRONO!AD$12,OFFSET(CÁLCULO!$AR$15:$BR$15,$F20,0,OFFSET(ORÇAMENTO!$D$15,CRONO!$F20,0)))
                +IF(AND($F22&lt;&gt;"",$F22&lt;&gt;0),
                        SUMIF(CÁLCULO!$BS$15:$CS$244,CRONO!AD$12,CÁLCULO!$AR$15:$BR$244)/(ORÇAMENTO!$X$15-CÁLCULO.TotalAdmLocal)*CRONO!$F22,
                        0),
                 AD21*$S20),
          SUMIF(OFFSET($S22,1,0,$R20-2),($M20+1)&amp;"$",OFFSET(AD22,1,0,$R20-2)))</f>
        <v>0</v>
      </c>
      <c r="AE22" s="202" cm="1">
        <f t="array" aca="1" ref="AE22" ca="1">IF($R20=2,
         IF(AND(ACOMPANHAMENTO="PLE",ISNUMBER($F20)),
                SUMIF((OFFSET(CÁLCULO!$BS$15:$CS$15,$F20,0,OFFSET(ORÇAMENTO!$D$15,CRONO!$F20,0))),CRONO!AE$12,OFFSET(CÁLCULO!$AR$15:$BR$15,$F20,0,OFFSET(ORÇAMENTO!$D$15,CRONO!$F20,0)))
                +IF(AND($F22&lt;&gt;"",$F22&lt;&gt;0),
                        SUMIF(CÁLCULO!$BS$15:$CS$244,CRONO!AE$12,CÁLCULO!$AR$15:$BR$244)/(ORÇAMENTO!$X$15-CÁLCULO.TotalAdmLocal)*CRONO!$F22,
                        0),
                 AE21*$S20),
          SUMIF(OFFSET($S22,1,0,$R20-2),($M20+1)&amp;"$",OFFSET(AE22,1,0,$R20-2)))</f>
        <v>0</v>
      </c>
      <c r="AF22" s="202" cm="1">
        <f t="array" aca="1" ref="AF22" ca="1">IF($R20=2,
         IF(AND(ACOMPANHAMENTO="PLE",ISNUMBER($F20)),
                SUMIF((OFFSET(CÁLCULO!$BS$15:$CS$15,$F20,0,OFFSET(ORÇAMENTO!$D$15,CRONO!$F20,0))),CRONO!AF$12,OFFSET(CÁLCULO!$AR$15:$BR$15,$F20,0,OFFSET(ORÇAMENTO!$D$15,CRONO!$F20,0)))
                +IF(AND($F22&lt;&gt;"",$F22&lt;&gt;0),
                        SUMIF(CÁLCULO!$BS$15:$CS$244,CRONO!AF$12,CÁLCULO!$AR$15:$BR$244)/(ORÇAMENTO!$X$15-CÁLCULO.TotalAdmLocal)*CRONO!$F22,
                        0),
                 AF21*$S20),
          SUMIF(OFFSET($S22,1,0,$R20-2),($M20+1)&amp;"$",OFFSET(AF22,1,0,$R20-2)))</f>
        <v>0</v>
      </c>
      <c r="AG22" s="202" cm="1">
        <f t="array" aca="1" ref="AG22" ca="1">IF($R20=2,
         IF(AND(ACOMPANHAMENTO="PLE",ISNUMBER($F20)),
                SUMIF((OFFSET(CÁLCULO!$BS$15:$CS$15,$F20,0,OFFSET(ORÇAMENTO!$D$15,CRONO!$F20,0))),CRONO!AG$12,OFFSET(CÁLCULO!$AR$15:$BR$15,$F20,0,OFFSET(ORÇAMENTO!$D$15,CRONO!$F20,0)))
                +IF(AND($F22&lt;&gt;"",$F22&lt;&gt;0),
                        SUMIF(CÁLCULO!$BS$15:$CS$244,CRONO!AG$12,CÁLCULO!$AR$15:$BR$244)/(ORÇAMENTO!$X$15-CÁLCULO.TotalAdmLocal)*CRONO!$F22,
                        0),
                 AG21*$S20),
          SUMIF(OFFSET($S22,1,0,$R20-2),($M20+1)&amp;"$",OFFSET(AG22,1,0,$R20-2)))</f>
        <v>0</v>
      </c>
      <c r="AH22" s="202" cm="1">
        <f t="array" aca="1" ref="AH22" ca="1">IF($R20=2,
         IF(AND(ACOMPANHAMENTO="PLE",ISNUMBER($F20)),
                SUMIF((OFFSET(CÁLCULO!$BS$15:$CS$15,$F20,0,OFFSET(ORÇAMENTO!$D$15,CRONO!$F20,0))),CRONO!AH$12,OFFSET(CÁLCULO!$AR$15:$BR$15,$F20,0,OFFSET(ORÇAMENTO!$D$15,CRONO!$F20,0)))
                +IF(AND($F22&lt;&gt;"",$F22&lt;&gt;0),
                        SUMIF(CÁLCULO!$BS$15:$CS$244,CRONO!AH$12,CÁLCULO!$AR$15:$BR$244)/(ORÇAMENTO!$X$15-CÁLCULO.TotalAdmLocal)*CRONO!$F22,
                        0),
                 AH21*$S20),
          SUMIF(OFFSET($S22,1,0,$R20-2),($M20+1)&amp;"$",OFFSET(AH22,1,0,$R20-2)))</f>
        <v>0</v>
      </c>
      <c r="AI22" s="202" cm="1">
        <f t="array" aca="1" ref="AI22" ca="1">IF($R20=2,
         IF(AND(ACOMPANHAMENTO="PLE",ISNUMBER($F20)),
                SUMIF((OFFSET(CÁLCULO!$BS$15:$CS$15,$F20,0,OFFSET(ORÇAMENTO!$D$15,CRONO!$F20,0))),CRONO!AI$12,OFFSET(CÁLCULO!$AR$15:$BR$15,$F20,0,OFFSET(ORÇAMENTO!$D$15,CRONO!$F20,0)))
                +IF(AND($F22&lt;&gt;"",$F22&lt;&gt;0),
                        SUMIF(CÁLCULO!$BS$15:$CS$244,CRONO!AI$12,CÁLCULO!$AR$15:$BR$244)/(ORÇAMENTO!$X$15-CÁLCULO.TotalAdmLocal)*CRONO!$F22,
                        0),
                 AI21*$S20),
          SUMIF(OFFSET($S22,1,0,$R20-2),($M20+1)&amp;"$",OFFSET(AI22,1,0,$R20-2)))</f>
        <v>0</v>
      </c>
      <c r="AJ22" s="202" cm="1">
        <f t="array" aca="1" ref="AJ22" ca="1">IF($R20=2,
         IF(AND(ACOMPANHAMENTO="PLE",ISNUMBER($F20)),
                SUMIF((OFFSET(CÁLCULO!$BS$15:$CS$15,$F20,0,OFFSET(ORÇAMENTO!$D$15,CRONO!$F20,0))),CRONO!AJ$12,OFFSET(CÁLCULO!$AR$15:$BR$15,$F20,0,OFFSET(ORÇAMENTO!$D$15,CRONO!$F20,0)))
                +IF(AND($F22&lt;&gt;"",$F22&lt;&gt;0),
                        SUMIF(CÁLCULO!$BS$15:$CS$244,CRONO!AJ$12,CÁLCULO!$AR$15:$BR$244)/(ORÇAMENTO!$X$15-CÁLCULO.TotalAdmLocal)*CRONO!$F22,
                        0),
                 AJ21*$S20),
          SUMIF(OFFSET($S22,1,0,$R20-2),($M20+1)&amp;"$",OFFSET(AJ22,1,0,$R20-2)))</f>
        <v>0</v>
      </c>
      <c r="AK22" s="202" cm="1">
        <f t="array" aca="1" ref="AK22" ca="1">IF($R20=2,
         IF(AND(ACOMPANHAMENTO="PLE",ISNUMBER($F20)),
                SUMIF((OFFSET(CÁLCULO!$BS$15:$CS$15,$F20,0,OFFSET(ORÇAMENTO!$D$15,CRONO!$F20,0))),CRONO!AK$12,OFFSET(CÁLCULO!$AR$15:$BR$15,$F20,0,OFFSET(ORÇAMENTO!$D$15,CRONO!$F20,0)))
                +IF(AND($F22&lt;&gt;"",$F22&lt;&gt;0),
                        SUMIF(CÁLCULO!$BS$15:$CS$244,CRONO!AK$12,CÁLCULO!$AR$15:$BR$244)/(ORÇAMENTO!$X$15-CÁLCULO.TotalAdmLocal)*CRONO!$F22,
                        0),
                 AK21*$S20),
          SUMIF(OFFSET($S22,1,0,$R20-2),($M20+1)&amp;"$",OFFSET(AK22,1,0,$R20-2)))</f>
        <v>0</v>
      </c>
      <c r="AL22" s="202" cm="1">
        <f t="array" aca="1" ref="AL22" ca="1">IF($R20=2,
         IF(AND(ACOMPANHAMENTO="PLE",ISNUMBER($F20)),
                SUMIF((OFFSET(CÁLCULO!$BS$15:$CS$15,$F20,0,OFFSET(ORÇAMENTO!$D$15,CRONO!$F20,0))),CRONO!AL$12,OFFSET(CÁLCULO!$AR$15:$BR$15,$F20,0,OFFSET(ORÇAMENTO!$D$15,CRONO!$F20,0)))
                +IF(AND($F22&lt;&gt;"",$F22&lt;&gt;0),
                        SUMIF(CÁLCULO!$BS$15:$CS$244,CRONO!AL$12,CÁLCULO!$AR$15:$BR$244)/(ORÇAMENTO!$X$15-CÁLCULO.TotalAdmLocal)*CRONO!$F22,
                        0),
                 AL21*$S20),
          SUMIF(OFFSET($S22,1,0,$R20-2),($M20+1)&amp;"$",OFFSET(AL22,1,0,$R20-2)))</f>
        <v>0</v>
      </c>
      <c r="AM22" s="202" cm="1">
        <f t="array" aca="1" ref="AM22" ca="1">IF($R20=2,
         IF(AND(ACOMPANHAMENTO="PLE",ISNUMBER($F20)),
                SUMIF((OFFSET(CÁLCULO!$BS$15:$CS$15,$F20,0,OFFSET(ORÇAMENTO!$D$15,CRONO!$F20,0))),CRONO!AM$12,OFFSET(CÁLCULO!$AR$15:$BR$15,$F20,0,OFFSET(ORÇAMENTO!$D$15,CRONO!$F20,0)))
                +IF(AND($F22&lt;&gt;"",$F22&lt;&gt;0),
                        SUMIF(CÁLCULO!$BS$15:$CS$244,CRONO!AM$12,CÁLCULO!$AR$15:$BR$244)/(ORÇAMENTO!$X$15-CÁLCULO.TotalAdmLocal)*CRONO!$F22,
                        0),
                 AM21*$S20),
          SUMIF(OFFSET($S22,1,0,$R20-2),($M20+1)&amp;"$",OFFSET(AM22,1,0,$R20-2)))</f>
        <v>0</v>
      </c>
      <c r="AN22" s="202" cm="1">
        <f t="array" aca="1" ref="AN22" ca="1">IF($R20=2,
         IF(AND(ACOMPANHAMENTO="PLE",ISNUMBER($F20)),
                SUMIF((OFFSET(CÁLCULO!$BS$15:$CS$15,$F20,0,OFFSET(ORÇAMENTO!$D$15,CRONO!$F20,0))),CRONO!AN$12,OFFSET(CÁLCULO!$AR$15:$BR$15,$F20,0,OFFSET(ORÇAMENTO!$D$15,CRONO!$F20,0)))
                +IF(AND($F22&lt;&gt;"",$F22&lt;&gt;0),
                        SUMIF(CÁLCULO!$BS$15:$CS$244,CRONO!AN$12,CÁLCULO!$AR$15:$BR$244)/(ORÇAMENTO!$X$15-CÁLCULO.TotalAdmLocal)*CRONO!$F22,
                        0),
                 AN21*$S20),
          SUMIF(OFFSET($S22,1,0,$R20-2),($M20+1)&amp;"$",OFFSET(AN22,1,0,$R20-2)))</f>
        <v>0</v>
      </c>
      <c r="AO22" s="202" cm="1">
        <f t="array" aca="1" ref="AO22" ca="1">IF($R20=2,
         IF(AND(ACOMPANHAMENTO="PLE",ISNUMBER($F20)),
                SUMIF((OFFSET(CÁLCULO!$BS$15:$CS$15,$F20,0,OFFSET(ORÇAMENTO!$D$15,CRONO!$F20,0))),CRONO!AO$12,OFFSET(CÁLCULO!$AR$15:$BR$15,$F20,0,OFFSET(ORÇAMENTO!$D$15,CRONO!$F20,0)))
                +IF(AND($F22&lt;&gt;"",$F22&lt;&gt;0),
                        SUMIF(CÁLCULO!$BS$15:$CS$244,CRONO!AO$12,CÁLCULO!$AR$15:$BR$244)/(ORÇAMENTO!$X$15-CÁLCULO.TotalAdmLocal)*CRONO!$F22,
                        0),
                 AO21*$S20),
          SUMIF(OFFSET($S22,1,0,$R20-2),($M20+1)&amp;"$",OFFSET(AO22,1,0,$R20-2)))</f>
        <v>0</v>
      </c>
      <c r="AP22" s="202" cm="1">
        <f t="array" aca="1" ref="AP22" ca="1">IF($R20=2,
         IF(AND(ACOMPANHAMENTO="PLE",ISNUMBER($F20)),
                SUMIF((OFFSET(CÁLCULO!$BS$15:$CS$15,$F20,0,OFFSET(ORÇAMENTO!$D$15,CRONO!$F20,0))),CRONO!AP$12,OFFSET(CÁLCULO!$AR$15:$BR$15,$F20,0,OFFSET(ORÇAMENTO!$D$15,CRONO!$F20,0)))
                +IF(AND($F22&lt;&gt;"",$F22&lt;&gt;0),
                        SUMIF(CÁLCULO!$BS$15:$CS$244,CRONO!AP$12,CÁLCULO!$AR$15:$BR$244)/(ORÇAMENTO!$X$15-CÁLCULO.TotalAdmLocal)*CRONO!$F22,
                        0),
                 AP21*$S20),
          SUMIF(OFFSET($S22,1,0,$R20-2),($M20+1)&amp;"$",OFFSET(AP22,1,0,$R20-2)))</f>
        <v>0</v>
      </c>
      <c r="AQ22" s="202" cm="1">
        <f t="array" aca="1" ref="AQ22" ca="1">IF($R20=2,
         IF(AND(ACOMPANHAMENTO="PLE",ISNUMBER($F20)),
                SUMIF((OFFSET(CÁLCULO!$BS$15:$CS$15,$F20,0,OFFSET(ORÇAMENTO!$D$15,CRONO!$F20,0))),CRONO!AQ$12,OFFSET(CÁLCULO!$AR$15:$BR$15,$F20,0,OFFSET(ORÇAMENTO!$D$15,CRONO!$F20,0)))
                +IF(AND($F22&lt;&gt;"",$F22&lt;&gt;0),
                        SUMIF(CÁLCULO!$BS$15:$CS$244,CRONO!AQ$12,CÁLCULO!$AR$15:$BR$244)/(ORÇAMENTO!$X$15-CÁLCULO.TotalAdmLocal)*CRONO!$F22,
                        0),
                 AQ21*$S20),
          SUMIF(OFFSET($S22,1,0,$R20-2),($M20+1)&amp;"$",OFFSET(AQ22,1,0,$R20-2)))</f>
        <v>0</v>
      </c>
      <c r="AR22" s="202" cm="1">
        <f t="array" aca="1" ref="AR22" ca="1">IF($R20=2,
         IF(AND(ACOMPANHAMENTO="PLE",ISNUMBER($F20)),
                SUMIF((OFFSET(CÁLCULO!$BS$15:$CS$15,$F20,0,OFFSET(ORÇAMENTO!$D$15,CRONO!$F20,0))),CRONO!AR$12,OFFSET(CÁLCULO!$AR$15:$BR$15,$F20,0,OFFSET(ORÇAMENTO!$D$15,CRONO!$F20,0)))
                +IF(AND($F22&lt;&gt;"",$F22&lt;&gt;0),
                        SUMIF(CÁLCULO!$BS$15:$CS$244,CRONO!AR$12,CÁLCULO!$AR$15:$BR$244)/(ORÇAMENTO!$X$15-CÁLCULO.TotalAdmLocal)*CRONO!$F22,
                        0),
                 AR21*$S20),
          SUMIF(OFFSET($S22,1,0,$R20-2),($M20+1)&amp;"$",OFFSET(AR22,1,0,$R20-2)))</f>
        <v>0</v>
      </c>
      <c r="AS22" s="534"/>
    </row>
    <row r="23" spans="1:45" x14ac:dyDescent="0.2">
      <c r="A23" s="186" t="str">
        <f t="shared" ref="A23" ca="1" si="20">IF($M23&gt;1,_xlfn.CONCAT($I23," ",$J23),"")</f>
        <v/>
      </c>
      <c r="B23" s="185">
        <f t="shared" ref="B23" ca="1" si="21">OFFSET(B23,-3,0)+1</f>
        <v>4</v>
      </c>
      <c r="C23" s="185">
        <f ca="1">IF($R23&lt;&gt;2,0,IF($S23=0,1,IF(F24&gt;0,OFFSET(QCI!$M$13,SUBSTITUTE(F24,".",""),0),OFFSET(ORÇAMENTO!$AA$15,CRONO!$F23,0))/$S23))</f>
        <v>0</v>
      </c>
      <c r="D23" s="185">
        <f ca="1">IF($R23&lt;&gt;2,0,IF($S23=0,1,IF(F24&gt;0,OFFSET(QCI!$N$13,SUBSTITUTE(F24,".",""),0),OFFSET(ORÇAMENTO!$AB$15,CRONO!$F23,0))/$S23))</f>
        <v>0</v>
      </c>
      <c r="E23" s="188" t="e" cm="1">
        <f t="array" aca="1" ref="E23" ca="1">IF(AND($R23=2,ACOMPANHAMENTO="BM"),ROUND(E24,4),E25/$S23)</f>
        <v>#DIV/0!</v>
      </c>
      <c r="F23" s="185" cm="1">
        <f t="array" aca="1" ref="F23" ca="1">IF(B23&lt;=ORÇAMENTO.MáximoListaCrono,MATCH(B23,ORÇAMENTO.ListaCrono,0),NA())</f>
        <v>7</v>
      </c>
      <c r="G23" s="185" t="str">
        <f t="shared" ref="G23" ca="1" si="22">IF(AND($F24&lt;&gt;-1,$S23&gt;0),"F","")</f>
        <v/>
      </c>
      <c r="H23" s="189" t="str" cm="1">
        <f t="array" aca="1" ref="H23" ca="1">IF(OR(S23=0,S23=""),"Linha",IF(AND(OR(ACOMPANHAMENTO="PLE",$R23&lt;&gt;2),$F24=0),"Linha",ROUND(1-SUM(U23:AS23),4)))</f>
        <v>Linha</v>
      </c>
      <c r="I23" s="190" t="str">
        <f ca="1">IF($F24=0,OFFSET(ORÇAMENTO!O$15,$F23,0),IF($F24&lt;&gt;-1,OFFSET(QCI!$D$13,$F24,0),""))</f>
        <v>2.</v>
      </c>
      <c r="J23" s="191" t="str">
        <f ca="1">IF($F24=0,OFFSET(ORÇAMENTO!R$15,$F23,0),IF($F24&lt;&gt;-1,OFFSET(QCI!$G$13,$F24,0),""))</f>
        <v>ADMINISTRAÇÃO DA OBRA</v>
      </c>
      <c r="K23" s="191"/>
      <c r="L23" s="191"/>
      <c r="M23" s="192">
        <f ca="1">IF($F24=0,OFFSET(ORÇAMENTO!C$15,$F23,0),1)</f>
        <v>1</v>
      </c>
      <c r="N23" s="193">
        <f ca="1">IF($F24=-1,0,IF(N$13&lt;=$M23,IF(ISERROR(MATCH(N$13,OFFSET($M23,1,0,ROW($M$164)-ROW($M23)-1),0)),ROW($M$164)-ROW($M23)-1,MATCH(N$13,OFFSET($M23,1,0,ROW($M$164)-ROW($M23)-1),0)-1),0))</f>
        <v>5</v>
      </c>
      <c r="O23" s="193">
        <f ca="1">IF($F24=-1,0,IF(O$13&lt;=$M23,IF(ISERROR(MATCH(O$13,OFFSET($M23,1,0,ROW($M$164)-ROW($M23)-1),0)),ROW($M$164)-ROW($M23)-1,MATCH(O$13,OFFSET($M23,1,0,ROW($M$164)-ROW($M23)-1),0)-1),0))</f>
        <v>0</v>
      </c>
      <c r="P23" s="193">
        <f ca="1">IF($F24=-1,0,IF(P$13&lt;=$M23,IF(ISERROR(MATCH(P$13,OFFSET($M23,1,0,ROW($M$164)-ROW($M23)-1),0)),ROW($M$164)-ROW($M23)-1,MATCH(P$13,OFFSET($M23,1,0,ROW($M$164)-ROW($M23)-1),0)-1),0))</f>
        <v>0</v>
      </c>
      <c r="Q23" s="193">
        <f ca="1">IF($F24=-1,0,IF(Q$13&lt;=$M23,IF(ISERROR(MATCH(Q$13,OFFSET($M23,1,0,ROW($M$164)-ROW($M23)-1),0)),ROW($M$164)-ROW($M23)-1,MATCH(Q$13,OFFSET($M23,1,0,ROW($M$164)-ROW($M23)-1),0)-1),0))</f>
        <v>0</v>
      </c>
      <c r="R23" s="193">
        <f t="shared" ref="R23" ca="1" si="23">MIN(OFFSET(M23,0,1,,M23))</f>
        <v>5</v>
      </c>
      <c r="S23" s="194">
        <f ca="1">IF($F24=0,OFFSET(ORÇAMENTO!X$15,$F23,0),IF($F24&lt;&gt;-1,OFFSET(QCI!$O$13,$F24,0),""))</f>
        <v>0</v>
      </c>
      <c r="T23" s="195" t="s">
        <v>785</v>
      </c>
      <c r="U23" s="188" t="e" cm="1">
        <f t="array" aca="1" ref="U23" ca="1">IF(AND($R23=2,ACOMPANHAMENTO="BM"),ROUND(U24,4),U25/$S23)</f>
        <v>#DIV/0!</v>
      </c>
      <c r="V23" s="188" t="e" cm="1">
        <f t="array" aca="1" ref="V23" ca="1">IF(AND($R23=2,ACOMPANHAMENTO="BM"),ROUND(V24,4),V25/$S23)</f>
        <v>#DIV/0!</v>
      </c>
      <c r="W23" s="188" t="e" cm="1">
        <f t="array" aca="1" ref="W23" ca="1">IF(AND($R23=2,ACOMPANHAMENTO="BM"),ROUND(W24,4),W25/$S23)</f>
        <v>#DIV/0!</v>
      </c>
      <c r="X23" s="188" t="e" cm="1">
        <f t="array" aca="1" ref="X23" ca="1">IF(AND($R23=2,ACOMPANHAMENTO="BM"),ROUND(X24,4),X25/$S23)</f>
        <v>#DIV/0!</v>
      </c>
      <c r="Y23" s="188" t="e" cm="1">
        <f t="array" aca="1" ref="Y23" ca="1">IF(AND($R23=2,ACOMPANHAMENTO="BM"),ROUND(Y24,4),Y25/$S23)</f>
        <v>#DIV/0!</v>
      </c>
      <c r="Z23" s="188" t="e" cm="1">
        <f t="array" aca="1" ref="Z23" ca="1">IF(AND($R23=2,ACOMPANHAMENTO="BM"),ROUND(Z24,4),Z25/$S23)</f>
        <v>#DIV/0!</v>
      </c>
      <c r="AA23" s="188" t="e" cm="1">
        <f t="array" aca="1" ref="AA23" ca="1">IF(AND($R23=2,ACOMPANHAMENTO="BM"),ROUND(AA24,4),AA25/$S23)</f>
        <v>#DIV/0!</v>
      </c>
      <c r="AB23" s="188" t="e" cm="1">
        <f t="array" aca="1" ref="AB23" ca="1">IF(AND($R23=2,ACOMPANHAMENTO="BM"),ROUND(AB24,4),AB25/$S23)</f>
        <v>#DIV/0!</v>
      </c>
      <c r="AC23" s="188" t="e" cm="1">
        <f t="array" aca="1" ref="AC23" ca="1">IF(AND($R23=2,ACOMPANHAMENTO="BM"),ROUND(AC24,4),AC25/$S23)</f>
        <v>#DIV/0!</v>
      </c>
      <c r="AD23" s="188" t="e" cm="1">
        <f t="array" aca="1" ref="AD23" ca="1">IF(AND($R23=2,ACOMPANHAMENTO="BM"),ROUND(AD24,4),AD25/$S23)</f>
        <v>#DIV/0!</v>
      </c>
      <c r="AE23" s="188" t="e" cm="1">
        <f t="array" aca="1" ref="AE23" ca="1">IF(AND($R23=2,ACOMPANHAMENTO="BM"),ROUND(AE24,4),AE25/$S23)</f>
        <v>#DIV/0!</v>
      </c>
      <c r="AF23" s="188" t="e" cm="1">
        <f t="array" aca="1" ref="AF23" ca="1">IF(AND($R23=2,ACOMPANHAMENTO="BM"),ROUND(AF24,4),AF25/$S23)</f>
        <v>#DIV/0!</v>
      </c>
      <c r="AG23" s="188" t="e" cm="1">
        <f t="array" aca="1" ref="AG23" ca="1">IF(AND($R23=2,ACOMPANHAMENTO="BM"),ROUND(AG24,4),AG25/$S23)</f>
        <v>#DIV/0!</v>
      </c>
      <c r="AH23" s="188" t="e" cm="1">
        <f t="array" aca="1" ref="AH23" ca="1">IF(AND($R23=2,ACOMPANHAMENTO="BM"),ROUND(AH24,4),AH25/$S23)</f>
        <v>#DIV/0!</v>
      </c>
      <c r="AI23" s="188" t="e" cm="1">
        <f t="array" aca="1" ref="AI23" ca="1">IF(AND($R23=2,ACOMPANHAMENTO="BM"),ROUND(AI24,4),AI25/$S23)</f>
        <v>#DIV/0!</v>
      </c>
      <c r="AJ23" s="188" t="e" cm="1">
        <f t="array" aca="1" ref="AJ23" ca="1">IF(AND($R23=2,ACOMPANHAMENTO="BM"),ROUND(AJ24,4),AJ25/$S23)</f>
        <v>#DIV/0!</v>
      </c>
      <c r="AK23" s="188" t="e" cm="1">
        <f t="array" aca="1" ref="AK23" ca="1">IF(AND($R23=2,ACOMPANHAMENTO="BM"),ROUND(AK24,4),AK25/$S23)</f>
        <v>#DIV/0!</v>
      </c>
      <c r="AL23" s="188" t="e" cm="1">
        <f t="array" aca="1" ref="AL23" ca="1">IF(AND($R23=2,ACOMPANHAMENTO="BM"),ROUND(AL24,4),AL25/$S23)</f>
        <v>#DIV/0!</v>
      </c>
      <c r="AM23" s="188" t="e" cm="1">
        <f t="array" aca="1" ref="AM23" ca="1">IF(AND($R23=2,ACOMPANHAMENTO="BM"),ROUND(AM24,4),AM25/$S23)</f>
        <v>#DIV/0!</v>
      </c>
      <c r="AN23" s="188" t="e" cm="1">
        <f t="array" aca="1" ref="AN23" ca="1">IF(AND($R23=2,ACOMPANHAMENTO="BM"),ROUND(AN24,4),AN25/$S23)</f>
        <v>#DIV/0!</v>
      </c>
      <c r="AO23" s="188" t="e" cm="1">
        <f t="array" aca="1" ref="AO23" ca="1">IF(AND($R23=2,ACOMPANHAMENTO="BM"),ROUND(AO24,4),AO25/$S23)</f>
        <v>#DIV/0!</v>
      </c>
      <c r="AP23" s="188" t="e" cm="1">
        <f t="array" aca="1" ref="AP23" ca="1">IF(AND($R23=2,ACOMPANHAMENTO="BM"),ROUND(AP24,4),AP25/$S23)</f>
        <v>#DIV/0!</v>
      </c>
      <c r="AQ23" s="188" t="e" cm="1">
        <f t="array" aca="1" ref="AQ23" ca="1">IF(AND($R23=2,ACOMPANHAMENTO="BM"),ROUND(AQ24,4),AQ25/$S23)</f>
        <v>#DIV/0!</v>
      </c>
      <c r="AR23" s="188" t="e" cm="1">
        <f t="array" aca="1" ref="AR23" ca="1">IF(AND($R23=2,ACOMPANHAMENTO="BM"),ROUND(AR24,4),AR25/$S23)</f>
        <v>#DIV/0!</v>
      </c>
      <c r="AS23" s="534"/>
    </row>
    <row r="24" spans="1:45" ht="12.75" hidden="1" customHeight="1" x14ac:dyDescent="0.2">
      <c r="E24" s="587"/>
      <c r="F24" s="185">
        <f ca="1">IF(ISERROR(F23),IF(1+COUNTIF($M$13:OFFSET(M23,-1,0),1)&lt;=MAX(QCI!$D$13:$D$24),1+COUNTIF($M$13:OFFSET(M23,-1,0),1),-1),0)</f>
        <v>0</v>
      </c>
      <c r="G24" s="185" t="str" cm="1">
        <f t="array" aca="1" ref="G24" ca="1">IF(ACOMPANHAMENTO="BM",OFFSET(G24,-1,0),"")</f>
        <v/>
      </c>
      <c r="H24" s="196" t="str" cm="1">
        <f t="array" aca="1" ref="H24" ca="1">IF(OR(S23=0,S23=""),"vazia",IF(AND(OR(ACOMPANHAMENTO="PLE",$R23&lt;&gt;2),$F24=0),"calculada","--&gt;"))</f>
        <v>vazia</v>
      </c>
      <c r="I24" s="197"/>
      <c r="J24" s="198" t="str">
        <f t="shared" ref="J24" ca="1" si="24">IF(AND(H23&lt;&gt;0,ISNUMBER(H23)),"PREENCHA ESTA LINHA --&gt;","")</f>
        <v/>
      </c>
      <c r="K24" s="198"/>
      <c r="L24" s="198"/>
      <c r="M24" s="199"/>
      <c r="N24" s="199"/>
      <c r="O24" s="199"/>
      <c r="P24" s="199"/>
      <c r="Q24" s="199"/>
      <c r="R24" s="199"/>
      <c r="S24" s="200"/>
      <c r="T24" s="201"/>
      <c r="U24" s="587"/>
      <c r="V24" s="587"/>
      <c r="W24" s="587"/>
      <c r="X24" s="587"/>
      <c r="Y24" s="587"/>
      <c r="Z24" s="587"/>
      <c r="AA24" s="587"/>
      <c r="AB24" s="587"/>
      <c r="AC24" s="587"/>
      <c r="AD24" s="587"/>
      <c r="AE24" s="587"/>
      <c r="AF24" s="587"/>
      <c r="AG24" s="587"/>
      <c r="AH24" s="587"/>
      <c r="AI24" s="587"/>
      <c r="AJ24" s="587"/>
      <c r="AK24" s="587"/>
      <c r="AL24" s="587"/>
      <c r="AM24" s="587"/>
      <c r="AN24" s="587"/>
      <c r="AO24" s="587"/>
      <c r="AP24" s="587"/>
      <c r="AQ24" s="587"/>
      <c r="AR24" s="587"/>
      <c r="AS24" s="534"/>
    </row>
    <row r="25" spans="1:45" ht="12.75" hidden="1" customHeight="1" x14ac:dyDescent="0.2">
      <c r="D25" s="533"/>
      <c r="E25" s="202" cm="1">
        <f t="array" aca="1" ref="E25" ca="1">IF($R23=2,
         IF(AND(ACOMPANHAMENTO="PLE",ISNUMBER($F23)),
                SUMIF((OFFSET(CÁLCULO!$BS$15:$CS$15,$F23,0,OFFSET(ORÇAMENTO!$D$15,CRONO!$F23,0))),CRONO!E$12,OFFSET(CÁLCULO!$AR$15:$BR$15,$F23,0,OFFSET(ORÇAMENTO!$D$15,CRONO!$F23,0)))
                +IF(AND($F25&lt;&gt;"",$F25&lt;&gt;0),
                        SUMIF(CÁLCULO!$BS$15:$CS$244,CRONO!E$12,CÁLCULO!$AR$15:$BR$244)/(ORÇAMENTO!$X$15-CÁLCULO.TotalAdmLocal)*CRONO!$F25,
                        0),
                 E24*$S23),
          SUMIF(OFFSET($S25,1,0,$R23-2),($M23+1)&amp;"$",OFFSET(E25,1,0,$R23-2)))</f>
        <v>0</v>
      </c>
      <c r="F25" s="185" t="str">
        <f ca="1">IF(OR($R23&lt;&gt;2,AUTOEVENTO&lt;&gt;"manual",$F24&gt;0),"",
        IF(Import.TipoArredondamento="Tradicional",
              SUMIF(OFFSET(CÁLCULO!$M$15,CRONO!$F23,0,OFFSET(ORÇAMENTO!$D$15,CRONO!$F23,0)),1,OFFSET(ORÇAMENTO!$X$15,CRONO!$F23,0,OFFSET(ORÇAMENTO!$D$15,CRONO!$F23,0))),
              0))</f>
        <v/>
      </c>
      <c r="H25" s="203"/>
      <c r="S25" s="204" t="str">
        <f t="shared" ref="S25" ca="1" si="25">M23&amp;"$"</f>
        <v>1$</v>
      </c>
      <c r="T25" s="205"/>
      <c r="U25" s="202" cm="1">
        <f t="array" aca="1" ref="U25" ca="1">IF($R23=2,
         IF(AND(ACOMPANHAMENTO="PLE",ISNUMBER($F23)),
                SUMIF((OFFSET(CÁLCULO!$BS$15:$CS$15,$F23,0,OFFSET(ORÇAMENTO!$D$15,CRONO!$F23,0))),CRONO!U$12,OFFSET(CÁLCULO!$AR$15:$BR$15,$F23,0,OFFSET(ORÇAMENTO!$D$15,CRONO!$F23,0)))
                +IF(AND($F25&lt;&gt;"",$F25&lt;&gt;0),
                        SUMIF(CÁLCULO!$BS$15:$CS$244,CRONO!U$12,CÁLCULO!$AR$15:$BR$244)/(ORÇAMENTO!$X$15-CÁLCULO.TotalAdmLocal)*CRONO!$F25,
                        0),
                 U24*$S23),
          SUMIF(OFFSET($S25,1,0,$R23-2),($M23+1)&amp;"$",OFFSET(U25,1,0,$R23-2)))</f>
        <v>0</v>
      </c>
      <c r="V25" s="202" cm="1">
        <f t="array" aca="1" ref="V25" ca="1">IF($R23=2,
         IF(AND(ACOMPANHAMENTO="PLE",ISNUMBER($F23)),
                SUMIF((OFFSET(CÁLCULO!$BS$15:$CS$15,$F23,0,OFFSET(ORÇAMENTO!$D$15,CRONO!$F23,0))),CRONO!V$12,OFFSET(CÁLCULO!$AR$15:$BR$15,$F23,0,OFFSET(ORÇAMENTO!$D$15,CRONO!$F23,0)))
                +IF(AND($F25&lt;&gt;"",$F25&lt;&gt;0),
                        SUMIF(CÁLCULO!$BS$15:$CS$244,CRONO!V$12,CÁLCULO!$AR$15:$BR$244)/(ORÇAMENTO!$X$15-CÁLCULO.TotalAdmLocal)*CRONO!$F25,
                        0),
                 V24*$S23),
          SUMIF(OFFSET($S25,1,0,$R23-2),($M23+1)&amp;"$",OFFSET(V25,1,0,$R23-2)))</f>
        <v>0</v>
      </c>
      <c r="W25" s="202" cm="1">
        <f t="array" aca="1" ref="W25" ca="1">IF($R23=2,
         IF(AND(ACOMPANHAMENTO="PLE",ISNUMBER($F23)),
                SUMIF((OFFSET(CÁLCULO!$BS$15:$CS$15,$F23,0,OFFSET(ORÇAMENTO!$D$15,CRONO!$F23,0))),CRONO!W$12,OFFSET(CÁLCULO!$AR$15:$BR$15,$F23,0,OFFSET(ORÇAMENTO!$D$15,CRONO!$F23,0)))
                +IF(AND($F25&lt;&gt;"",$F25&lt;&gt;0),
                        SUMIF(CÁLCULO!$BS$15:$CS$244,CRONO!W$12,CÁLCULO!$AR$15:$BR$244)/(ORÇAMENTO!$X$15-CÁLCULO.TotalAdmLocal)*CRONO!$F25,
                        0),
                 W24*$S23),
          SUMIF(OFFSET($S25,1,0,$R23-2),($M23+1)&amp;"$",OFFSET(W25,1,0,$R23-2)))</f>
        <v>0</v>
      </c>
      <c r="X25" s="202" cm="1">
        <f t="array" aca="1" ref="X25" ca="1">IF($R23=2,
         IF(AND(ACOMPANHAMENTO="PLE",ISNUMBER($F23)),
                SUMIF((OFFSET(CÁLCULO!$BS$15:$CS$15,$F23,0,OFFSET(ORÇAMENTO!$D$15,CRONO!$F23,0))),CRONO!X$12,OFFSET(CÁLCULO!$AR$15:$BR$15,$F23,0,OFFSET(ORÇAMENTO!$D$15,CRONO!$F23,0)))
                +IF(AND($F25&lt;&gt;"",$F25&lt;&gt;0),
                        SUMIF(CÁLCULO!$BS$15:$CS$244,CRONO!X$12,CÁLCULO!$AR$15:$BR$244)/(ORÇAMENTO!$X$15-CÁLCULO.TotalAdmLocal)*CRONO!$F25,
                        0),
                 X24*$S23),
          SUMIF(OFFSET($S25,1,0,$R23-2),($M23+1)&amp;"$",OFFSET(X25,1,0,$R23-2)))</f>
        <v>0</v>
      </c>
      <c r="Y25" s="202" cm="1">
        <f t="array" aca="1" ref="Y25" ca="1">IF($R23=2,
         IF(AND(ACOMPANHAMENTO="PLE",ISNUMBER($F23)),
                SUMIF((OFFSET(CÁLCULO!$BS$15:$CS$15,$F23,0,OFFSET(ORÇAMENTO!$D$15,CRONO!$F23,0))),CRONO!Y$12,OFFSET(CÁLCULO!$AR$15:$BR$15,$F23,0,OFFSET(ORÇAMENTO!$D$15,CRONO!$F23,0)))
                +IF(AND($F25&lt;&gt;"",$F25&lt;&gt;0),
                        SUMIF(CÁLCULO!$BS$15:$CS$244,CRONO!Y$12,CÁLCULO!$AR$15:$BR$244)/(ORÇAMENTO!$X$15-CÁLCULO.TotalAdmLocal)*CRONO!$F25,
                        0),
                 Y24*$S23),
          SUMIF(OFFSET($S25,1,0,$R23-2),($M23+1)&amp;"$",OFFSET(Y25,1,0,$R23-2)))</f>
        <v>0</v>
      </c>
      <c r="Z25" s="202" cm="1">
        <f t="array" aca="1" ref="Z25" ca="1">IF($R23=2,
         IF(AND(ACOMPANHAMENTO="PLE",ISNUMBER($F23)),
                SUMIF((OFFSET(CÁLCULO!$BS$15:$CS$15,$F23,0,OFFSET(ORÇAMENTO!$D$15,CRONO!$F23,0))),CRONO!Z$12,OFFSET(CÁLCULO!$AR$15:$BR$15,$F23,0,OFFSET(ORÇAMENTO!$D$15,CRONO!$F23,0)))
                +IF(AND($F25&lt;&gt;"",$F25&lt;&gt;0),
                        SUMIF(CÁLCULO!$BS$15:$CS$244,CRONO!Z$12,CÁLCULO!$AR$15:$BR$244)/(ORÇAMENTO!$X$15-CÁLCULO.TotalAdmLocal)*CRONO!$F25,
                        0),
                 Z24*$S23),
          SUMIF(OFFSET($S25,1,0,$R23-2),($M23+1)&amp;"$",OFFSET(Z25,1,0,$R23-2)))</f>
        <v>0</v>
      </c>
      <c r="AA25" s="202" cm="1">
        <f t="array" aca="1" ref="AA25" ca="1">IF($R23=2,
         IF(AND(ACOMPANHAMENTO="PLE",ISNUMBER($F23)),
                SUMIF((OFFSET(CÁLCULO!$BS$15:$CS$15,$F23,0,OFFSET(ORÇAMENTO!$D$15,CRONO!$F23,0))),CRONO!AA$12,OFFSET(CÁLCULO!$AR$15:$BR$15,$F23,0,OFFSET(ORÇAMENTO!$D$15,CRONO!$F23,0)))
                +IF(AND($F25&lt;&gt;"",$F25&lt;&gt;0),
                        SUMIF(CÁLCULO!$BS$15:$CS$244,CRONO!AA$12,CÁLCULO!$AR$15:$BR$244)/(ORÇAMENTO!$X$15-CÁLCULO.TotalAdmLocal)*CRONO!$F25,
                        0),
                 AA24*$S23),
          SUMIF(OFFSET($S25,1,0,$R23-2),($M23+1)&amp;"$",OFFSET(AA25,1,0,$R23-2)))</f>
        <v>0</v>
      </c>
      <c r="AB25" s="202" cm="1">
        <f t="array" aca="1" ref="AB25" ca="1">IF($R23=2,
         IF(AND(ACOMPANHAMENTO="PLE",ISNUMBER($F23)),
                SUMIF((OFFSET(CÁLCULO!$BS$15:$CS$15,$F23,0,OFFSET(ORÇAMENTO!$D$15,CRONO!$F23,0))),CRONO!AB$12,OFFSET(CÁLCULO!$AR$15:$BR$15,$F23,0,OFFSET(ORÇAMENTO!$D$15,CRONO!$F23,0)))
                +IF(AND($F25&lt;&gt;"",$F25&lt;&gt;0),
                        SUMIF(CÁLCULO!$BS$15:$CS$244,CRONO!AB$12,CÁLCULO!$AR$15:$BR$244)/(ORÇAMENTO!$X$15-CÁLCULO.TotalAdmLocal)*CRONO!$F25,
                        0),
                 AB24*$S23),
          SUMIF(OFFSET($S25,1,0,$R23-2),($M23+1)&amp;"$",OFFSET(AB25,1,0,$R23-2)))</f>
        <v>0</v>
      </c>
      <c r="AC25" s="202" cm="1">
        <f t="array" aca="1" ref="AC25" ca="1">IF($R23=2,
         IF(AND(ACOMPANHAMENTO="PLE",ISNUMBER($F23)),
                SUMIF((OFFSET(CÁLCULO!$BS$15:$CS$15,$F23,0,OFFSET(ORÇAMENTO!$D$15,CRONO!$F23,0))),CRONO!AC$12,OFFSET(CÁLCULO!$AR$15:$BR$15,$F23,0,OFFSET(ORÇAMENTO!$D$15,CRONO!$F23,0)))
                +IF(AND($F25&lt;&gt;"",$F25&lt;&gt;0),
                        SUMIF(CÁLCULO!$BS$15:$CS$244,CRONO!AC$12,CÁLCULO!$AR$15:$BR$244)/(ORÇAMENTO!$X$15-CÁLCULO.TotalAdmLocal)*CRONO!$F25,
                        0),
                 AC24*$S23),
          SUMIF(OFFSET($S25,1,0,$R23-2),($M23+1)&amp;"$",OFFSET(AC25,1,0,$R23-2)))</f>
        <v>0</v>
      </c>
      <c r="AD25" s="202" cm="1">
        <f t="array" aca="1" ref="AD25" ca="1">IF($R23=2,
         IF(AND(ACOMPANHAMENTO="PLE",ISNUMBER($F23)),
                SUMIF((OFFSET(CÁLCULO!$BS$15:$CS$15,$F23,0,OFFSET(ORÇAMENTO!$D$15,CRONO!$F23,0))),CRONO!AD$12,OFFSET(CÁLCULO!$AR$15:$BR$15,$F23,0,OFFSET(ORÇAMENTO!$D$15,CRONO!$F23,0)))
                +IF(AND($F25&lt;&gt;"",$F25&lt;&gt;0),
                        SUMIF(CÁLCULO!$BS$15:$CS$244,CRONO!AD$12,CÁLCULO!$AR$15:$BR$244)/(ORÇAMENTO!$X$15-CÁLCULO.TotalAdmLocal)*CRONO!$F25,
                        0),
                 AD24*$S23),
          SUMIF(OFFSET($S25,1,0,$R23-2),($M23+1)&amp;"$",OFFSET(AD25,1,0,$R23-2)))</f>
        <v>0</v>
      </c>
      <c r="AE25" s="202" cm="1">
        <f t="array" aca="1" ref="AE25" ca="1">IF($R23=2,
         IF(AND(ACOMPANHAMENTO="PLE",ISNUMBER($F23)),
                SUMIF((OFFSET(CÁLCULO!$BS$15:$CS$15,$F23,0,OFFSET(ORÇAMENTO!$D$15,CRONO!$F23,0))),CRONO!AE$12,OFFSET(CÁLCULO!$AR$15:$BR$15,$F23,0,OFFSET(ORÇAMENTO!$D$15,CRONO!$F23,0)))
                +IF(AND($F25&lt;&gt;"",$F25&lt;&gt;0),
                        SUMIF(CÁLCULO!$BS$15:$CS$244,CRONO!AE$12,CÁLCULO!$AR$15:$BR$244)/(ORÇAMENTO!$X$15-CÁLCULO.TotalAdmLocal)*CRONO!$F25,
                        0),
                 AE24*$S23),
          SUMIF(OFFSET($S25,1,0,$R23-2),($M23+1)&amp;"$",OFFSET(AE25,1,0,$R23-2)))</f>
        <v>0</v>
      </c>
      <c r="AF25" s="202" cm="1">
        <f t="array" aca="1" ref="AF25" ca="1">IF($R23=2,
         IF(AND(ACOMPANHAMENTO="PLE",ISNUMBER($F23)),
                SUMIF((OFFSET(CÁLCULO!$BS$15:$CS$15,$F23,0,OFFSET(ORÇAMENTO!$D$15,CRONO!$F23,0))),CRONO!AF$12,OFFSET(CÁLCULO!$AR$15:$BR$15,$F23,0,OFFSET(ORÇAMENTO!$D$15,CRONO!$F23,0)))
                +IF(AND($F25&lt;&gt;"",$F25&lt;&gt;0),
                        SUMIF(CÁLCULO!$BS$15:$CS$244,CRONO!AF$12,CÁLCULO!$AR$15:$BR$244)/(ORÇAMENTO!$X$15-CÁLCULO.TotalAdmLocal)*CRONO!$F25,
                        0),
                 AF24*$S23),
          SUMIF(OFFSET($S25,1,0,$R23-2),($M23+1)&amp;"$",OFFSET(AF25,1,0,$R23-2)))</f>
        <v>0</v>
      </c>
      <c r="AG25" s="202" cm="1">
        <f t="array" aca="1" ref="AG25" ca="1">IF($R23=2,
         IF(AND(ACOMPANHAMENTO="PLE",ISNUMBER($F23)),
                SUMIF((OFFSET(CÁLCULO!$BS$15:$CS$15,$F23,0,OFFSET(ORÇAMENTO!$D$15,CRONO!$F23,0))),CRONO!AG$12,OFFSET(CÁLCULO!$AR$15:$BR$15,$F23,0,OFFSET(ORÇAMENTO!$D$15,CRONO!$F23,0)))
                +IF(AND($F25&lt;&gt;"",$F25&lt;&gt;0),
                        SUMIF(CÁLCULO!$BS$15:$CS$244,CRONO!AG$12,CÁLCULO!$AR$15:$BR$244)/(ORÇAMENTO!$X$15-CÁLCULO.TotalAdmLocal)*CRONO!$F25,
                        0),
                 AG24*$S23),
          SUMIF(OFFSET($S25,1,0,$R23-2),($M23+1)&amp;"$",OFFSET(AG25,1,0,$R23-2)))</f>
        <v>0</v>
      </c>
      <c r="AH25" s="202" cm="1">
        <f t="array" aca="1" ref="AH25" ca="1">IF($R23=2,
         IF(AND(ACOMPANHAMENTO="PLE",ISNUMBER($F23)),
                SUMIF((OFFSET(CÁLCULO!$BS$15:$CS$15,$F23,0,OFFSET(ORÇAMENTO!$D$15,CRONO!$F23,0))),CRONO!AH$12,OFFSET(CÁLCULO!$AR$15:$BR$15,$F23,0,OFFSET(ORÇAMENTO!$D$15,CRONO!$F23,0)))
                +IF(AND($F25&lt;&gt;"",$F25&lt;&gt;0),
                        SUMIF(CÁLCULO!$BS$15:$CS$244,CRONO!AH$12,CÁLCULO!$AR$15:$BR$244)/(ORÇAMENTO!$X$15-CÁLCULO.TotalAdmLocal)*CRONO!$F25,
                        0),
                 AH24*$S23),
          SUMIF(OFFSET($S25,1,0,$R23-2),($M23+1)&amp;"$",OFFSET(AH25,1,0,$R23-2)))</f>
        <v>0</v>
      </c>
      <c r="AI25" s="202" cm="1">
        <f t="array" aca="1" ref="AI25" ca="1">IF($R23=2,
         IF(AND(ACOMPANHAMENTO="PLE",ISNUMBER($F23)),
                SUMIF((OFFSET(CÁLCULO!$BS$15:$CS$15,$F23,0,OFFSET(ORÇAMENTO!$D$15,CRONO!$F23,0))),CRONO!AI$12,OFFSET(CÁLCULO!$AR$15:$BR$15,$F23,0,OFFSET(ORÇAMENTO!$D$15,CRONO!$F23,0)))
                +IF(AND($F25&lt;&gt;"",$F25&lt;&gt;0),
                        SUMIF(CÁLCULO!$BS$15:$CS$244,CRONO!AI$12,CÁLCULO!$AR$15:$BR$244)/(ORÇAMENTO!$X$15-CÁLCULO.TotalAdmLocal)*CRONO!$F25,
                        0),
                 AI24*$S23),
          SUMIF(OFFSET($S25,1,0,$R23-2),($M23+1)&amp;"$",OFFSET(AI25,1,0,$R23-2)))</f>
        <v>0</v>
      </c>
      <c r="AJ25" s="202" cm="1">
        <f t="array" aca="1" ref="AJ25" ca="1">IF($R23=2,
         IF(AND(ACOMPANHAMENTO="PLE",ISNUMBER($F23)),
                SUMIF((OFFSET(CÁLCULO!$BS$15:$CS$15,$F23,0,OFFSET(ORÇAMENTO!$D$15,CRONO!$F23,0))),CRONO!AJ$12,OFFSET(CÁLCULO!$AR$15:$BR$15,$F23,0,OFFSET(ORÇAMENTO!$D$15,CRONO!$F23,0)))
                +IF(AND($F25&lt;&gt;"",$F25&lt;&gt;0),
                        SUMIF(CÁLCULO!$BS$15:$CS$244,CRONO!AJ$12,CÁLCULO!$AR$15:$BR$244)/(ORÇAMENTO!$X$15-CÁLCULO.TotalAdmLocal)*CRONO!$F25,
                        0),
                 AJ24*$S23),
          SUMIF(OFFSET($S25,1,0,$R23-2),($M23+1)&amp;"$",OFFSET(AJ25,1,0,$R23-2)))</f>
        <v>0</v>
      </c>
      <c r="AK25" s="202" cm="1">
        <f t="array" aca="1" ref="AK25" ca="1">IF($R23=2,
         IF(AND(ACOMPANHAMENTO="PLE",ISNUMBER($F23)),
                SUMIF((OFFSET(CÁLCULO!$BS$15:$CS$15,$F23,0,OFFSET(ORÇAMENTO!$D$15,CRONO!$F23,0))),CRONO!AK$12,OFFSET(CÁLCULO!$AR$15:$BR$15,$F23,0,OFFSET(ORÇAMENTO!$D$15,CRONO!$F23,0)))
                +IF(AND($F25&lt;&gt;"",$F25&lt;&gt;0),
                        SUMIF(CÁLCULO!$BS$15:$CS$244,CRONO!AK$12,CÁLCULO!$AR$15:$BR$244)/(ORÇAMENTO!$X$15-CÁLCULO.TotalAdmLocal)*CRONO!$F25,
                        0),
                 AK24*$S23),
          SUMIF(OFFSET($S25,1,0,$R23-2),($M23+1)&amp;"$",OFFSET(AK25,1,0,$R23-2)))</f>
        <v>0</v>
      </c>
      <c r="AL25" s="202" cm="1">
        <f t="array" aca="1" ref="AL25" ca="1">IF($R23=2,
         IF(AND(ACOMPANHAMENTO="PLE",ISNUMBER($F23)),
                SUMIF((OFFSET(CÁLCULO!$BS$15:$CS$15,$F23,0,OFFSET(ORÇAMENTO!$D$15,CRONO!$F23,0))),CRONO!AL$12,OFFSET(CÁLCULO!$AR$15:$BR$15,$F23,0,OFFSET(ORÇAMENTO!$D$15,CRONO!$F23,0)))
                +IF(AND($F25&lt;&gt;"",$F25&lt;&gt;0),
                        SUMIF(CÁLCULO!$BS$15:$CS$244,CRONO!AL$12,CÁLCULO!$AR$15:$BR$244)/(ORÇAMENTO!$X$15-CÁLCULO.TotalAdmLocal)*CRONO!$F25,
                        0),
                 AL24*$S23),
          SUMIF(OFFSET($S25,1,0,$R23-2),($M23+1)&amp;"$",OFFSET(AL25,1,0,$R23-2)))</f>
        <v>0</v>
      </c>
      <c r="AM25" s="202" cm="1">
        <f t="array" aca="1" ref="AM25" ca="1">IF($R23=2,
         IF(AND(ACOMPANHAMENTO="PLE",ISNUMBER($F23)),
                SUMIF((OFFSET(CÁLCULO!$BS$15:$CS$15,$F23,0,OFFSET(ORÇAMENTO!$D$15,CRONO!$F23,0))),CRONO!AM$12,OFFSET(CÁLCULO!$AR$15:$BR$15,$F23,0,OFFSET(ORÇAMENTO!$D$15,CRONO!$F23,0)))
                +IF(AND($F25&lt;&gt;"",$F25&lt;&gt;0),
                        SUMIF(CÁLCULO!$BS$15:$CS$244,CRONO!AM$12,CÁLCULO!$AR$15:$BR$244)/(ORÇAMENTO!$X$15-CÁLCULO.TotalAdmLocal)*CRONO!$F25,
                        0),
                 AM24*$S23),
          SUMIF(OFFSET($S25,1,0,$R23-2),($M23+1)&amp;"$",OFFSET(AM25,1,0,$R23-2)))</f>
        <v>0</v>
      </c>
      <c r="AN25" s="202" cm="1">
        <f t="array" aca="1" ref="AN25" ca="1">IF($R23=2,
         IF(AND(ACOMPANHAMENTO="PLE",ISNUMBER($F23)),
                SUMIF((OFFSET(CÁLCULO!$BS$15:$CS$15,$F23,0,OFFSET(ORÇAMENTO!$D$15,CRONO!$F23,0))),CRONO!AN$12,OFFSET(CÁLCULO!$AR$15:$BR$15,$F23,0,OFFSET(ORÇAMENTO!$D$15,CRONO!$F23,0)))
                +IF(AND($F25&lt;&gt;"",$F25&lt;&gt;0),
                        SUMIF(CÁLCULO!$BS$15:$CS$244,CRONO!AN$12,CÁLCULO!$AR$15:$BR$244)/(ORÇAMENTO!$X$15-CÁLCULO.TotalAdmLocal)*CRONO!$F25,
                        0),
                 AN24*$S23),
          SUMIF(OFFSET($S25,1,0,$R23-2),($M23+1)&amp;"$",OFFSET(AN25,1,0,$R23-2)))</f>
        <v>0</v>
      </c>
      <c r="AO25" s="202" cm="1">
        <f t="array" aca="1" ref="AO25" ca="1">IF($R23=2,
         IF(AND(ACOMPANHAMENTO="PLE",ISNUMBER($F23)),
                SUMIF((OFFSET(CÁLCULO!$BS$15:$CS$15,$F23,0,OFFSET(ORÇAMENTO!$D$15,CRONO!$F23,0))),CRONO!AO$12,OFFSET(CÁLCULO!$AR$15:$BR$15,$F23,0,OFFSET(ORÇAMENTO!$D$15,CRONO!$F23,0)))
                +IF(AND($F25&lt;&gt;"",$F25&lt;&gt;0),
                        SUMIF(CÁLCULO!$BS$15:$CS$244,CRONO!AO$12,CÁLCULO!$AR$15:$BR$244)/(ORÇAMENTO!$X$15-CÁLCULO.TotalAdmLocal)*CRONO!$F25,
                        0),
                 AO24*$S23),
          SUMIF(OFFSET($S25,1,0,$R23-2),($M23+1)&amp;"$",OFFSET(AO25,1,0,$R23-2)))</f>
        <v>0</v>
      </c>
      <c r="AP25" s="202" cm="1">
        <f t="array" aca="1" ref="AP25" ca="1">IF($R23=2,
         IF(AND(ACOMPANHAMENTO="PLE",ISNUMBER($F23)),
                SUMIF((OFFSET(CÁLCULO!$BS$15:$CS$15,$F23,0,OFFSET(ORÇAMENTO!$D$15,CRONO!$F23,0))),CRONO!AP$12,OFFSET(CÁLCULO!$AR$15:$BR$15,$F23,0,OFFSET(ORÇAMENTO!$D$15,CRONO!$F23,0)))
                +IF(AND($F25&lt;&gt;"",$F25&lt;&gt;0),
                        SUMIF(CÁLCULO!$BS$15:$CS$244,CRONO!AP$12,CÁLCULO!$AR$15:$BR$244)/(ORÇAMENTO!$X$15-CÁLCULO.TotalAdmLocal)*CRONO!$F25,
                        0),
                 AP24*$S23),
          SUMIF(OFFSET($S25,1,0,$R23-2),($M23+1)&amp;"$",OFFSET(AP25,1,0,$R23-2)))</f>
        <v>0</v>
      </c>
      <c r="AQ25" s="202" cm="1">
        <f t="array" aca="1" ref="AQ25" ca="1">IF($R23=2,
         IF(AND(ACOMPANHAMENTO="PLE",ISNUMBER($F23)),
                SUMIF((OFFSET(CÁLCULO!$BS$15:$CS$15,$F23,0,OFFSET(ORÇAMENTO!$D$15,CRONO!$F23,0))),CRONO!AQ$12,OFFSET(CÁLCULO!$AR$15:$BR$15,$F23,0,OFFSET(ORÇAMENTO!$D$15,CRONO!$F23,0)))
                +IF(AND($F25&lt;&gt;"",$F25&lt;&gt;0),
                        SUMIF(CÁLCULO!$BS$15:$CS$244,CRONO!AQ$12,CÁLCULO!$AR$15:$BR$244)/(ORÇAMENTO!$X$15-CÁLCULO.TotalAdmLocal)*CRONO!$F25,
                        0),
                 AQ24*$S23),
          SUMIF(OFFSET($S25,1,0,$R23-2),($M23+1)&amp;"$",OFFSET(AQ25,1,0,$R23-2)))</f>
        <v>0</v>
      </c>
      <c r="AR25" s="202" cm="1">
        <f t="array" aca="1" ref="AR25" ca="1">IF($R23=2,
         IF(AND(ACOMPANHAMENTO="PLE",ISNUMBER($F23)),
                SUMIF((OFFSET(CÁLCULO!$BS$15:$CS$15,$F23,0,OFFSET(ORÇAMENTO!$D$15,CRONO!$F23,0))),CRONO!AR$12,OFFSET(CÁLCULO!$AR$15:$BR$15,$F23,0,OFFSET(ORÇAMENTO!$D$15,CRONO!$F23,0)))
                +IF(AND($F25&lt;&gt;"",$F25&lt;&gt;0),
                        SUMIF(CÁLCULO!$BS$15:$CS$244,CRONO!AR$12,CÁLCULO!$AR$15:$BR$244)/(ORÇAMENTO!$X$15-CÁLCULO.TotalAdmLocal)*CRONO!$F25,
                        0),
                 AR24*$S23),
          SUMIF(OFFSET($S25,1,0,$R23-2),($M23+1)&amp;"$",OFFSET(AR25,1,0,$R23-2)))</f>
        <v>0</v>
      </c>
      <c r="AS25" s="534"/>
    </row>
    <row r="26" spans="1:45" x14ac:dyDescent="0.2">
      <c r="A26" s="186" t="e">
        <f t="shared" ref="A26" ca="1" si="26">IF($M26&gt;1,_xlfn.CONCAT($I26," ",$J26),"")</f>
        <v>#NAME?</v>
      </c>
      <c r="B26" s="185">
        <f t="shared" ref="B26" ca="1" si="27">OFFSET(B26,-3,0)+1</f>
        <v>5</v>
      </c>
      <c r="C26" s="185">
        <f ca="1">IF($R26&lt;&gt;2,0,IF($S26=0,1,IF(F27&gt;0,OFFSET(QCI!$M$13,SUBSTITUTE(F27,".",""),0),OFFSET(ORÇAMENTO!$AA$15,CRONO!$F26,0))/$S26))</f>
        <v>1</v>
      </c>
      <c r="D26" s="185">
        <f ca="1">IF($R26&lt;&gt;2,0,IF($S26=0,1,IF(F27&gt;0,OFFSET(QCI!$N$13,SUBSTITUTE(F27,".",""),0),OFFSET(ORÇAMENTO!$AB$15,CRONO!$F26,0))/$S26))</f>
        <v>1</v>
      </c>
      <c r="E26" s="188" t="e" cm="1">
        <f t="array" aca="1" ref="E26" ca="1">IF(AND($R26=2,ACOMPANHAMENTO="BM"),ROUND(E27,4),E28/$S26)</f>
        <v>#DIV/0!</v>
      </c>
      <c r="F26" s="185" cm="1">
        <f t="array" aca="1" ref="F26" ca="1">IF(B26&lt;=ORÇAMENTO.MáximoListaCrono,MATCH(B26,ORÇAMENTO.ListaCrono,0),NA())</f>
        <v>8</v>
      </c>
      <c r="G26" s="185" t="str">
        <f t="shared" ref="G26" ca="1" si="28">IF(AND($F27&lt;&gt;-1,$S26&gt;0),"F","")</f>
        <v/>
      </c>
      <c r="H26" s="189" t="str" cm="1">
        <f t="array" aca="1" ref="H26" ca="1">IF(OR(S26=0,S26=""),"Linha",IF(AND(OR(ACOMPANHAMENTO="PLE",$R26&lt;&gt;2),$F27=0),"Linha",ROUND(1-SUM(U26:AS26),4)))</f>
        <v>Linha</v>
      </c>
      <c r="I26" s="190" t="str">
        <f ca="1">IF($F27=0,OFFSET(ORÇAMENTO!O$15,$F26,0),IF($F27&lt;&gt;-1,OFFSET(QCI!$D$13,$F27,0),""))</f>
        <v>2.1.</v>
      </c>
      <c r="J26" s="191" t="str">
        <f ca="1">IF($F27=0,OFFSET(ORÇAMENTO!R$15,$F26,0),IF($F27&lt;&gt;-1,OFFSET(QCI!$G$13,$F27,0),""))</f>
        <v>ADMINISTRAÇÃO DA OBRA</v>
      </c>
      <c r="K26" s="191"/>
      <c r="L26" s="191"/>
      <c r="M26" s="192">
        <f ca="1">IF($F27=0,OFFSET(ORÇAMENTO!C$15,$F26,0),1)</f>
        <v>2</v>
      </c>
      <c r="N26" s="193">
        <f ca="1">IF($F27=-1,0,IF(N$13&lt;=$M26,IF(ISERROR(MATCH(N$13,OFFSET($M26,1,0,ROW($M$164)-ROW($M26)-1),0)),ROW($M$164)-ROW($M26)-1,MATCH(N$13,OFFSET($M26,1,0,ROW($M$164)-ROW($M26)-1),0)-1),0))</f>
        <v>2</v>
      </c>
      <c r="O26" s="193">
        <f ca="1">IF($F27=-1,0,IF(O$13&lt;=$M26,IF(ISERROR(MATCH(O$13,OFFSET($M26,1,0,ROW($M$164)-ROW($M26)-1),0)),ROW($M$164)-ROW($M26)-1,MATCH(O$13,OFFSET($M26,1,0,ROW($M$164)-ROW($M26)-1),0)-1),0))</f>
        <v>5</v>
      </c>
      <c r="P26" s="193">
        <f ca="1">IF($F27=-1,0,IF(P$13&lt;=$M26,IF(ISERROR(MATCH(P$13,OFFSET($M26,1,0,ROW($M$164)-ROW($M26)-1),0)),ROW($M$164)-ROW($M26)-1,MATCH(P$13,OFFSET($M26,1,0,ROW($M$164)-ROW($M26)-1),0)-1),0))</f>
        <v>0</v>
      </c>
      <c r="Q26" s="193">
        <f ca="1">IF($F27=-1,0,IF(Q$13&lt;=$M26,IF(ISERROR(MATCH(Q$13,OFFSET($M26,1,0,ROW($M$164)-ROW($M26)-1),0)),ROW($M$164)-ROW($M26)-1,MATCH(Q$13,OFFSET($M26,1,0,ROW($M$164)-ROW($M26)-1),0)-1),0))</f>
        <v>0</v>
      </c>
      <c r="R26" s="193">
        <f t="shared" ref="R26" ca="1" si="29">MIN(OFFSET(M26,0,1,,M26))</f>
        <v>2</v>
      </c>
      <c r="S26" s="194">
        <f ca="1">IF($F27=0,OFFSET(ORÇAMENTO!X$15,$F26,0),IF($F27&lt;&gt;-1,OFFSET(QCI!$O$13,$F27,0),""))</f>
        <v>0</v>
      </c>
      <c r="T26" s="195" t="s">
        <v>785</v>
      </c>
      <c r="U26" s="188" t="e" cm="1">
        <f t="array" aca="1" ref="U26" ca="1">IF(AND($R26=2,ACOMPANHAMENTO="BM"),ROUND(U27,4),U28/$S26)</f>
        <v>#DIV/0!</v>
      </c>
      <c r="V26" s="188" t="e" cm="1">
        <f t="array" aca="1" ref="V26" ca="1">IF(AND($R26=2,ACOMPANHAMENTO="BM"),ROUND(V27,4),V28/$S26)</f>
        <v>#DIV/0!</v>
      </c>
      <c r="W26" s="188" t="e" cm="1">
        <f t="array" aca="1" ref="W26" ca="1">IF(AND($R26=2,ACOMPANHAMENTO="BM"),ROUND(W27,4),W28/$S26)</f>
        <v>#DIV/0!</v>
      </c>
      <c r="X26" s="188" t="e" cm="1">
        <f t="array" aca="1" ref="X26" ca="1">IF(AND($R26=2,ACOMPANHAMENTO="BM"),ROUND(X27,4),X28/$S26)</f>
        <v>#DIV/0!</v>
      </c>
      <c r="Y26" s="188" t="e" cm="1">
        <f t="array" aca="1" ref="Y26" ca="1">IF(AND($R26=2,ACOMPANHAMENTO="BM"),ROUND(Y27,4),Y28/$S26)</f>
        <v>#DIV/0!</v>
      </c>
      <c r="Z26" s="188" t="e" cm="1">
        <f t="array" aca="1" ref="Z26" ca="1">IF(AND($R26=2,ACOMPANHAMENTO="BM"),ROUND(Z27,4),Z28/$S26)</f>
        <v>#DIV/0!</v>
      </c>
      <c r="AA26" s="188" t="e" cm="1">
        <f t="array" aca="1" ref="AA26" ca="1">IF(AND($R26=2,ACOMPANHAMENTO="BM"),ROUND(AA27,4),AA28/$S26)</f>
        <v>#DIV/0!</v>
      </c>
      <c r="AB26" s="188" t="e" cm="1">
        <f t="array" aca="1" ref="AB26" ca="1">IF(AND($R26=2,ACOMPANHAMENTO="BM"),ROUND(AB27,4),AB28/$S26)</f>
        <v>#DIV/0!</v>
      </c>
      <c r="AC26" s="188" t="e" cm="1">
        <f t="array" aca="1" ref="AC26" ca="1">IF(AND($R26=2,ACOMPANHAMENTO="BM"),ROUND(AC27,4),AC28/$S26)</f>
        <v>#DIV/0!</v>
      </c>
      <c r="AD26" s="188" t="e" cm="1">
        <f t="array" aca="1" ref="AD26" ca="1">IF(AND($R26=2,ACOMPANHAMENTO="BM"),ROUND(AD27,4),AD28/$S26)</f>
        <v>#DIV/0!</v>
      </c>
      <c r="AE26" s="188" t="e" cm="1">
        <f t="array" aca="1" ref="AE26" ca="1">IF(AND($R26=2,ACOMPANHAMENTO="BM"),ROUND(AE27,4),AE28/$S26)</f>
        <v>#DIV/0!</v>
      </c>
      <c r="AF26" s="188" t="e" cm="1">
        <f t="array" aca="1" ref="AF26" ca="1">IF(AND($R26=2,ACOMPANHAMENTO="BM"),ROUND(AF27,4),AF28/$S26)</f>
        <v>#DIV/0!</v>
      </c>
      <c r="AG26" s="188" t="e" cm="1">
        <f t="array" aca="1" ref="AG26" ca="1">IF(AND($R26=2,ACOMPANHAMENTO="BM"),ROUND(AG27,4),AG28/$S26)</f>
        <v>#DIV/0!</v>
      </c>
      <c r="AH26" s="188" t="e" cm="1">
        <f t="array" aca="1" ref="AH26" ca="1">IF(AND($R26=2,ACOMPANHAMENTO="BM"),ROUND(AH27,4),AH28/$S26)</f>
        <v>#DIV/0!</v>
      </c>
      <c r="AI26" s="188" t="e" cm="1">
        <f t="array" aca="1" ref="AI26" ca="1">IF(AND($R26=2,ACOMPANHAMENTO="BM"),ROUND(AI27,4),AI28/$S26)</f>
        <v>#DIV/0!</v>
      </c>
      <c r="AJ26" s="188" t="e" cm="1">
        <f t="array" aca="1" ref="AJ26" ca="1">IF(AND($R26=2,ACOMPANHAMENTO="BM"),ROUND(AJ27,4),AJ28/$S26)</f>
        <v>#DIV/0!</v>
      </c>
      <c r="AK26" s="188" t="e" cm="1">
        <f t="array" aca="1" ref="AK26" ca="1">IF(AND($R26=2,ACOMPANHAMENTO="BM"),ROUND(AK27,4),AK28/$S26)</f>
        <v>#DIV/0!</v>
      </c>
      <c r="AL26" s="188" t="e" cm="1">
        <f t="array" aca="1" ref="AL26" ca="1">IF(AND($R26=2,ACOMPANHAMENTO="BM"),ROUND(AL27,4),AL28/$S26)</f>
        <v>#DIV/0!</v>
      </c>
      <c r="AM26" s="188" t="e" cm="1">
        <f t="array" aca="1" ref="AM26" ca="1">IF(AND($R26=2,ACOMPANHAMENTO="BM"),ROUND(AM27,4),AM28/$S26)</f>
        <v>#DIV/0!</v>
      </c>
      <c r="AN26" s="188" t="e" cm="1">
        <f t="array" aca="1" ref="AN26" ca="1">IF(AND($R26=2,ACOMPANHAMENTO="BM"),ROUND(AN27,4),AN28/$S26)</f>
        <v>#DIV/0!</v>
      </c>
      <c r="AO26" s="188" t="e" cm="1">
        <f t="array" aca="1" ref="AO26" ca="1">IF(AND($R26=2,ACOMPANHAMENTO="BM"),ROUND(AO27,4),AO28/$S26)</f>
        <v>#DIV/0!</v>
      </c>
      <c r="AP26" s="188" t="e" cm="1">
        <f t="array" aca="1" ref="AP26" ca="1">IF(AND($R26=2,ACOMPANHAMENTO="BM"),ROUND(AP27,4),AP28/$S26)</f>
        <v>#DIV/0!</v>
      </c>
      <c r="AQ26" s="188" t="e" cm="1">
        <f t="array" aca="1" ref="AQ26" ca="1">IF(AND($R26=2,ACOMPANHAMENTO="BM"),ROUND(AQ27,4),AQ28/$S26)</f>
        <v>#DIV/0!</v>
      </c>
      <c r="AR26" s="188" t="e" cm="1">
        <f t="array" aca="1" ref="AR26" ca="1">IF(AND($R26=2,ACOMPANHAMENTO="BM"),ROUND(AR27,4),AR28/$S26)</f>
        <v>#DIV/0!</v>
      </c>
      <c r="AS26" s="534"/>
    </row>
    <row r="27" spans="1:45" ht="12.75" hidden="1" customHeight="1" x14ac:dyDescent="0.2">
      <c r="E27" s="587"/>
      <c r="F27" s="185">
        <f ca="1">IF(ISERROR(F26),IF(1+COUNTIF($M$13:OFFSET(M26,-1,0),1)&lt;=MAX(QCI!$D$13:$D$24),1+COUNTIF($M$13:OFFSET(M26,-1,0),1),-1),0)</f>
        <v>0</v>
      </c>
      <c r="G27" s="185" t="str" cm="1">
        <f t="array" aca="1" ref="G27" ca="1">IF(ACOMPANHAMENTO="BM",OFFSET(G27,-1,0),"")</f>
        <v/>
      </c>
      <c r="H27" s="196" t="str" cm="1">
        <f t="array" aca="1" ref="H27" ca="1">IF(OR(S26=0,S26=""),"vazia",IF(AND(OR(ACOMPANHAMENTO="PLE",$R26&lt;&gt;2),$F27=0),"calculada","--&gt;"))</f>
        <v>vazia</v>
      </c>
      <c r="I27" s="197"/>
      <c r="J27" s="198" t="str">
        <f t="shared" ref="J27" ca="1" si="30">IF(AND(H26&lt;&gt;0,ISNUMBER(H26)),"PREENCHA ESTA LINHA --&gt;","")</f>
        <v/>
      </c>
      <c r="K27" s="198"/>
      <c r="L27" s="198"/>
      <c r="M27" s="199"/>
      <c r="N27" s="199"/>
      <c r="O27" s="199"/>
      <c r="P27" s="199"/>
      <c r="Q27" s="199"/>
      <c r="R27" s="199"/>
      <c r="S27" s="200"/>
      <c r="T27" s="201"/>
      <c r="U27" s="587"/>
      <c r="V27" s="587"/>
      <c r="W27" s="587"/>
      <c r="X27" s="587"/>
      <c r="Y27" s="587"/>
      <c r="Z27" s="587"/>
      <c r="AA27" s="587"/>
      <c r="AB27" s="587"/>
      <c r="AC27" s="587"/>
      <c r="AD27" s="587"/>
      <c r="AE27" s="587"/>
      <c r="AF27" s="587"/>
      <c r="AG27" s="587"/>
      <c r="AH27" s="587"/>
      <c r="AI27" s="587"/>
      <c r="AJ27" s="587"/>
      <c r="AK27" s="587"/>
      <c r="AL27" s="587"/>
      <c r="AM27" s="587"/>
      <c r="AN27" s="587"/>
      <c r="AO27" s="587"/>
      <c r="AP27" s="587"/>
      <c r="AQ27" s="587"/>
      <c r="AR27" s="587"/>
      <c r="AS27" s="534"/>
    </row>
    <row r="28" spans="1:45" ht="12.75" hidden="1" customHeight="1" x14ac:dyDescent="0.2">
      <c r="D28" s="533"/>
      <c r="E28" s="202" cm="1">
        <f t="array" aca="1" ref="E28" ca="1">IF($R26=2,
         IF(AND(ACOMPANHAMENTO="PLE",ISNUMBER($F26)),
                SUMIF((OFFSET(CÁLCULO!$BS$15:$CS$15,$F26,0,OFFSET(ORÇAMENTO!$D$15,CRONO!$F26,0))),CRONO!E$12,OFFSET(CÁLCULO!$AR$15:$BR$15,$F26,0,OFFSET(ORÇAMENTO!$D$15,CRONO!$F26,0)))
                +IF(AND($F28&lt;&gt;"",$F28&lt;&gt;0),
                        SUMIF(CÁLCULO!$BS$15:$CS$244,CRONO!E$12,CÁLCULO!$AR$15:$BR$244)/(ORÇAMENTO!$X$15-CÁLCULO.TotalAdmLocal)*CRONO!$F28,
                        0),
                 E27*$S26),
          SUMIF(OFFSET($S28,1,0,$R26-2),($M26+1)&amp;"$",OFFSET(E28,1,0,$R26-2)))</f>
        <v>0</v>
      </c>
      <c r="F28" s="185">
        <f ca="1">IF(OR($R26&lt;&gt;2,AUTOEVENTO&lt;&gt;"manual",$F27&gt;0),"",
        IF(Import.TipoArredondamento="Tradicional",
              SUMIF(OFFSET(CÁLCULO!$M$15,CRONO!$F26,0,OFFSET(ORÇAMENTO!$D$15,CRONO!$F26,0)),1,OFFSET(ORÇAMENTO!$X$15,CRONO!$F26,0,OFFSET(ORÇAMENTO!$D$15,CRONO!$F26,0))),
              0))</f>
        <v>0</v>
      </c>
      <c r="H28" s="203"/>
      <c r="S28" s="204" t="str">
        <f t="shared" ref="S28" ca="1" si="31">M26&amp;"$"</f>
        <v>2$</v>
      </c>
      <c r="T28" s="205"/>
      <c r="U28" s="202" cm="1">
        <f t="array" aca="1" ref="U28" ca="1">IF($R26=2,
         IF(AND(ACOMPANHAMENTO="PLE",ISNUMBER($F26)),
                SUMIF((OFFSET(CÁLCULO!$BS$15:$CS$15,$F26,0,OFFSET(ORÇAMENTO!$D$15,CRONO!$F26,0))),CRONO!U$12,OFFSET(CÁLCULO!$AR$15:$BR$15,$F26,0,OFFSET(ORÇAMENTO!$D$15,CRONO!$F26,0)))
                +IF(AND($F28&lt;&gt;"",$F28&lt;&gt;0),
                        SUMIF(CÁLCULO!$BS$15:$CS$244,CRONO!U$12,CÁLCULO!$AR$15:$BR$244)/(ORÇAMENTO!$X$15-CÁLCULO.TotalAdmLocal)*CRONO!$F28,
                        0),
                 U27*$S26),
          SUMIF(OFFSET($S28,1,0,$R26-2),($M26+1)&amp;"$",OFFSET(U28,1,0,$R26-2)))</f>
        <v>0</v>
      </c>
      <c r="V28" s="202" cm="1">
        <f t="array" aca="1" ref="V28" ca="1">IF($R26=2,
         IF(AND(ACOMPANHAMENTO="PLE",ISNUMBER($F26)),
                SUMIF((OFFSET(CÁLCULO!$BS$15:$CS$15,$F26,0,OFFSET(ORÇAMENTO!$D$15,CRONO!$F26,0))),CRONO!V$12,OFFSET(CÁLCULO!$AR$15:$BR$15,$F26,0,OFFSET(ORÇAMENTO!$D$15,CRONO!$F26,0)))
                +IF(AND($F28&lt;&gt;"",$F28&lt;&gt;0),
                        SUMIF(CÁLCULO!$BS$15:$CS$244,CRONO!V$12,CÁLCULO!$AR$15:$BR$244)/(ORÇAMENTO!$X$15-CÁLCULO.TotalAdmLocal)*CRONO!$F28,
                        0),
                 V27*$S26),
          SUMIF(OFFSET($S28,1,0,$R26-2),($M26+1)&amp;"$",OFFSET(V28,1,0,$R26-2)))</f>
        <v>0</v>
      </c>
      <c r="W28" s="202" cm="1">
        <f t="array" aca="1" ref="W28" ca="1">IF($R26=2,
         IF(AND(ACOMPANHAMENTO="PLE",ISNUMBER($F26)),
                SUMIF((OFFSET(CÁLCULO!$BS$15:$CS$15,$F26,0,OFFSET(ORÇAMENTO!$D$15,CRONO!$F26,0))),CRONO!W$12,OFFSET(CÁLCULO!$AR$15:$BR$15,$F26,0,OFFSET(ORÇAMENTO!$D$15,CRONO!$F26,0)))
                +IF(AND($F28&lt;&gt;"",$F28&lt;&gt;0),
                        SUMIF(CÁLCULO!$BS$15:$CS$244,CRONO!W$12,CÁLCULO!$AR$15:$BR$244)/(ORÇAMENTO!$X$15-CÁLCULO.TotalAdmLocal)*CRONO!$F28,
                        0),
                 W27*$S26),
          SUMIF(OFFSET($S28,1,0,$R26-2),($M26+1)&amp;"$",OFFSET(W28,1,0,$R26-2)))</f>
        <v>0</v>
      </c>
      <c r="X28" s="202" cm="1">
        <f t="array" aca="1" ref="X28" ca="1">IF($R26=2,
         IF(AND(ACOMPANHAMENTO="PLE",ISNUMBER($F26)),
                SUMIF((OFFSET(CÁLCULO!$BS$15:$CS$15,$F26,0,OFFSET(ORÇAMENTO!$D$15,CRONO!$F26,0))),CRONO!X$12,OFFSET(CÁLCULO!$AR$15:$BR$15,$F26,0,OFFSET(ORÇAMENTO!$D$15,CRONO!$F26,0)))
                +IF(AND($F28&lt;&gt;"",$F28&lt;&gt;0),
                        SUMIF(CÁLCULO!$BS$15:$CS$244,CRONO!X$12,CÁLCULO!$AR$15:$BR$244)/(ORÇAMENTO!$X$15-CÁLCULO.TotalAdmLocal)*CRONO!$F28,
                        0),
                 X27*$S26),
          SUMIF(OFFSET($S28,1,0,$R26-2),($M26+1)&amp;"$",OFFSET(X28,1,0,$R26-2)))</f>
        <v>0</v>
      </c>
      <c r="Y28" s="202" cm="1">
        <f t="array" aca="1" ref="Y28" ca="1">IF($R26=2,
         IF(AND(ACOMPANHAMENTO="PLE",ISNUMBER($F26)),
                SUMIF((OFFSET(CÁLCULO!$BS$15:$CS$15,$F26,0,OFFSET(ORÇAMENTO!$D$15,CRONO!$F26,0))),CRONO!Y$12,OFFSET(CÁLCULO!$AR$15:$BR$15,$F26,0,OFFSET(ORÇAMENTO!$D$15,CRONO!$F26,0)))
                +IF(AND($F28&lt;&gt;"",$F28&lt;&gt;0),
                        SUMIF(CÁLCULO!$BS$15:$CS$244,CRONO!Y$12,CÁLCULO!$AR$15:$BR$244)/(ORÇAMENTO!$X$15-CÁLCULO.TotalAdmLocal)*CRONO!$F28,
                        0),
                 Y27*$S26),
          SUMIF(OFFSET($S28,1,0,$R26-2),($M26+1)&amp;"$",OFFSET(Y28,1,0,$R26-2)))</f>
        <v>0</v>
      </c>
      <c r="Z28" s="202" cm="1">
        <f t="array" aca="1" ref="Z28" ca="1">IF($R26=2,
         IF(AND(ACOMPANHAMENTO="PLE",ISNUMBER($F26)),
                SUMIF((OFFSET(CÁLCULO!$BS$15:$CS$15,$F26,0,OFFSET(ORÇAMENTO!$D$15,CRONO!$F26,0))),CRONO!Z$12,OFFSET(CÁLCULO!$AR$15:$BR$15,$F26,0,OFFSET(ORÇAMENTO!$D$15,CRONO!$F26,0)))
                +IF(AND($F28&lt;&gt;"",$F28&lt;&gt;0),
                        SUMIF(CÁLCULO!$BS$15:$CS$244,CRONO!Z$12,CÁLCULO!$AR$15:$BR$244)/(ORÇAMENTO!$X$15-CÁLCULO.TotalAdmLocal)*CRONO!$F28,
                        0),
                 Z27*$S26),
          SUMIF(OFFSET($S28,1,0,$R26-2),($M26+1)&amp;"$",OFFSET(Z28,1,0,$R26-2)))</f>
        <v>0</v>
      </c>
      <c r="AA28" s="202" cm="1">
        <f t="array" aca="1" ref="AA28" ca="1">IF($R26=2,
         IF(AND(ACOMPANHAMENTO="PLE",ISNUMBER($F26)),
                SUMIF((OFFSET(CÁLCULO!$BS$15:$CS$15,$F26,0,OFFSET(ORÇAMENTO!$D$15,CRONO!$F26,0))),CRONO!AA$12,OFFSET(CÁLCULO!$AR$15:$BR$15,$F26,0,OFFSET(ORÇAMENTO!$D$15,CRONO!$F26,0)))
                +IF(AND($F28&lt;&gt;"",$F28&lt;&gt;0),
                        SUMIF(CÁLCULO!$BS$15:$CS$244,CRONO!AA$12,CÁLCULO!$AR$15:$BR$244)/(ORÇAMENTO!$X$15-CÁLCULO.TotalAdmLocal)*CRONO!$F28,
                        0),
                 AA27*$S26),
          SUMIF(OFFSET($S28,1,0,$R26-2),($M26+1)&amp;"$",OFFSET(AA28,1,0,$R26-2)))</f>
        <v>0</v>
      </c>
      <c r="AB28" s="202" cm="1">
        <f t="array" aca="1" ref="AB28" ca="1">IF($R26=2,
         IF(AND(ACOMPANHAMENTO="PLE",ISNUMBER($F26)),
                SUMIF((OFFSET(CÁLCULO!$BS$15:$CS$15,$F26,0,OFFSET(ORÇAMENTO!$D$15,CRONO!$F26,0))),CRONO!AB$12,OFFSET(CÁLCULO!$AR$15:$BR$15,$F26,0,OFFSET(ORÇAMENTO!$D$15,CRONO!$F26,0)))
                +IF(AND($F28&lt;&gt;"",$F28&lt;&gt;0),
                        SUMIF(CÁLCULO!$BS$15:$CS$244,CRONO!AB$12,CÁLCULO!$AR$15:$BR$244)/(ORÇAMENTO!$X$15-CÁLCULO.TotalAdmLocal)*CRONO!$F28,
                        0),
                 AB27*$S26),
          SUMIF(OFFSET($S28,1,0,$R26-2),($M26+1)&amp;"$",OFFSET(AB28,1,0,$R26-2)))</f>
        <v>0</v>
      </c>
      <c r="AC28" s="202" cm="1">
        <f t="array" aca="1" ref="AC28" ca="1">IF($R26=2,
         IF(AND(ACOMPANHAMENTO="PLE",ISNUMBER($F26)),
                SUMIF((OFFSET(CÁLCULO!$BS$15:$CS$15,$F26,0,OFFSET(ORÇAMENTO!$D$15,CRONO!$F26,0))),CRONO!AC$12,OFFSET(CÁLCULO!$AR$15:$BR$15,$F26,0,OFFSET(ORÇAMENTO!$D$15,CRONO!$F26,0)))
                +IF(AND($F28&lt;&gt;"",$F28&lt;&gt;0),
                        SUMIF(CÁLCULO!$BS$15:$CS$244,CRONO!AC$12,CÁLCULO!$AR$15:$BR$244)/(ORÇAMENTO!$X$15-CÁLCULO.TotalAdmLocal)*CRONO!$F28,
                        0),
                 AC27*$S26),
          SUMIF(OFFSET($S28,1,0,$R26-2),($M26+1)&amp;"$",OFFSET(AC28,1,0,$R26-2)))</f>
        <v>0</v>
      </c>
      <c r="AD28" s="202" cm="1">
        <f t="array" aca="1" ref="AD28" ca="1">IF($R26=2,
         IF(AND(ACOMPANHAMENTO="PLE",ISNUMBER($F26)),
                SUMIF((OFFSET(CÁLCULO!$BS$15:$CS$15,$F26,0,OFFSET(ORÇAMENTO!$D$15,CRONO!$F26,0))),CRONO!AD$12,OFFSET(CÁLCULO!$AR$15:$BR$15,$F26,0,OFFSET(ORÇAMENTO!$D$15,CRONO!$F26,0)))
                +IF(AND($F28&lt;&gt;"",$F28&lt;&gt;0),
                        SUMIF(CÁLCULO!$BS$15:$CS$244,CRONO!AD$12,CÁLCULO!$AR$15:$BR$244)/(ORÇAMENTO!$X$15-CÁLCULO.TotalAdmLocal)*CRONO!$F28,
                        0),
                 AD27*$S26),
          SUMIF(OFFSET($S28,1,0,$R26-2),($M26+1)&amp;"$",OFFSET(AD28,1,0,$R26-2)))</f>
        <v>0</v>
      </c>
      <c r="AE28" s="202" cm="1">
        <f t="array" aca="1" ref="AE28" ca="1">IF($R26=2,
         IF(AND(ACOMPANHAMENTO="PLE",ISNUMBER($F26)),
                SUMIF((OFFSET(CÁLCULO!$BS$15:$CS$15,$F26,0,OFFSET(ORÇAMENTO!$D$15,CRONO!$F26,0))),CRONO!AE$12,OFFSET(CÁLCULO!$AR$15:$BR$15,$F26,0,OFFSET(ORÇAMENTO!$D$15,CRONO!$F26,0)))
                +IF(AND($F28&lt;&gt;"",$F28&lt;&gt;0),
                        SUMIF(CÁLCULO!$BS$15:$CS$244,CRONO!AE$12,CÁLCULO!$AR$15:$BR$244)/(ORÇAMENTO!$X$15-CÁLCULO.TotalAdmLocal)*CRONO!$F28,
                        0),
                 AE27*$S26),
          SUMIF(OFFSET($S28,1,0,$R26-2),($M26+1)&amp;"$",OFFSET(AE28,1,0,$R26-2)))</f>
        <v>0</v>
      </c>
      <c r="AF28" s="202" cm="1">
        <f t="array" aca="1" ref="AF28" ca="1">IF($R26=2,
         IF(AND(ACOMPANHAMENTO="PLE",ISNUMBER($F26)),
                SUMIF((OFFSET(CÁLCULO!$BS$15:$CS$15,$F26,0,OFFSET(ORÇAMENTO!$D$15,CRONO!$F26,0))),CRONO!AF$12,OFFSET(CÁLCULO!$AR$15:$BR$15,$F26,0,OFFSET(ORÇAMENTO!$D$15,CRONO!$F26,0)))
                +IF(AND($F28&lt;&gt;"",$F28&lt;&gt;0),
                        SUMIF(CÁLCULO!$BS$15:$CS$244,CRONO!AF$12,CÁLCULO!$AR$15:$BR$244)/(ORÇAMENTO!$X$15-CÁLCULO.TotalAdmLocal)*CRONO!$F28,
                        0),
                 AF27*$S26),
          SUMIF(OFFSET($S28,1,0,$R26-2),($M26+1)&amp;"$",OFFSET(AF28,1,0,$R26-2)))</f>
        <v>0</v>
      </c>
      <c r="AG28" s="202" cm="1">
        <f t="array" aca="1" ref="AG28" ca="1">IF($R26=2,
         IF(AND(ACOMPANHAMENTO="PLE",ISNUMBER($F26)),
                SUMIF((OFFSET(CÁLCULO!$BS$15:$CS$15,$F26,0,OFFSET(ORÇAMENTO!$D$15,CRONO!$F26,0))),CRONO!AG$12,OFFSET(CÁLCULO!$AR$15:$BR$15,$F26,0,OFFSET(ORÇAMENTO!$D$15,CRONO!$F26,0)))
                +IF(AND($F28&lt;&gt;"",$F28&lt;&gt;0),
                        SUMIF(CÁLCULO!$BS$15:$CS$244,CRONO!AG$12,CÁLCULO!$AR$15:$BR$244)/(ORÇAMENTO!$X$15-CÁLCULO.TotalAdmLocal)*CRONO!$F28,
                        0),
                 AG27*$S26),
          SUMIF(OFFSET($S28,1,0,$R26-2),($M26+1)&amp;"$",OFFSET(AG28,1,0,$R26-2)))</f>
        <v>0</v>
      </c>
      <c r="AH28" s="202" cm="1">
        <f t="array" aca="1" ref="AH28" ca="1">IF($R26=2,
         IF(AND(ACOMPANHAMENTO="PLE",ISNUMBER($F26)),
                SUMIF((OFFSET(CÁLCULO!$BS$15:$CS$15,$F26,0,OFFSET(ORÇAMENTO!$D$15,CRONO!$F26,0))),CRONO!AH$12,OFFSET(CÁLCULO!$AR$15:$BR$15,$F26,0,OFFSET(ORÇAMENTO!$D$15,CRONO!$F26,0)))
                +IF(AND($F28&lt;&gt;"",$F28&lt;&gt;0),
                        SUMIF(CÁLCULO!$BS$15:$CS$244,CRONO!AH$12,CÁLCULO!$AR$15:$BR$244)/(ORÇAMENTO!$X$15-CÁLCULO.TotalAdmLocal)*CRONO!$F28,
                        0),
                 AH27*$S26),
          SUMIF(OFFSET($S28,1,0,$R26-2),($M26+1)&amp;"$",OFFSET(AH28,1,0,$R26-2)))</f>
        <v>0</v>
      </c>
      <c r="AI28" s="202" cm="1">
        <f t="array" aca="1" ref="AI28" ca="1">IF($R26=2,
         IF(AND(ACOMPANHAMENTO="PLE",ISNUMBER($F26)),
                SUMIF((OFFSET(CÁLCULO!$BS$15:$CS$15,$F26,0,OFFSET(ORÇAMENTO!$D$15,CRONO!$F26,0))),CRONO!AI$12,OFFSET(CÁLCULO!$AR$15:$BR$15,$F26,0,OFFSET(ORÇAMENTO!$D$15,CRONO!$F26,0)))
                +IF(AND($F28&lt;&gt;"",$F28&lt;&gt;0),
                        SUMIF(CÁLCULO!$BS$15:$CS$244,CRONO!AI$12,CÁLCULO!$AR$15:$BR$244)/(ORÇAMENTO!$X$15-CÁLCULO.TotalAdmLocal)*CRONO!$F28,
                        0),
                 AI27*$S26),
          SUMIF(OFFSET($S28,1,0,$R26-2),($M26+1)&amp;"$",OFFSET(AI28,1,0,$R26-2)))</f>
        <v>0</v>
      </c>
      <c r="AJ28" s="202" cm="1">
        <f t="array" aca="1" ref="AJ28" ca="1">IF($R26=2,
         IF(AND(ACOMPANHAMENTO="PLE",ISNUMBER($F26)),
                SUMIF((OFFSET(CÁLCULO!$BS$15:$CS$15,$F26,0,OFFSET(ORÇAMENTO!$D$15,CRONO!$F26,0))),CRONO!AJ$12,OFFSET(CÁLCULO!$AR$15:$BR$15,$F26,0,OFFSET(ORÇAMENTO!$D$15,CRONO!$F26,0)))
                +IF(AND($F28&lt;&gt;"",$F28&lt;&gt;0),
                        SUMIF(CÁLCULO!$BS$15:$CS$244,CRONO!AJ$12,CÁLCULO!$AR$15:$BR$244)/(ORÇAMENTO!$X$15-CÁLCULO.TotalAdmLocal)*CRONO!$F28,
                        0),
                 AJ27*$S26),
          SUMIF(OFFSET($S28,1,0,$R26-2),($M26+1)&amp;"$",OFFSET(AJ28,1,0,$R26-2)))</f>
        <v>0</v>
      </c>
      <c r="AK28" s="202" cm="1">
        <f t="array" aca="1" ref="AK28" ca="1">IF($R26=2,
         IF(AND(ACOMPANHAMENTO="PLE",ISNUMBER($F26)),
                SUMIF((OFFSET(CÁLCULO!$BS$15:$CS$15,$F26,0,OFFSET(ORÇAMENTO!$D$15,CRONO!$F26,0))),CRONO!AK$12,OFFSET(CÁLCULO!$AR$15:$BR$15,$F26,0,OFFSET(ORÇAMENTO!$D$15,CRONO!$F26,0)))
                +IF(AND($F28&lt;&gt;"",$F28&lt;&gt;0),
                        SUMIF(CÁLCULO!$BS$15:$CS$244,CRONO!AK$12,CÁLCULO!$AR$15:$BR$244)/(ORÇAMENTO!$X$15-CÁLCULO.TotalAdmLocal)*CRONO!$F28,
                        0),
                 AK27*$S26),
          SUMIF(OFFSET($S28,1,0,$R26-2),($M26+1)&amp;"$",OFFSET(AK28,1,0,$R26-2)))</f>
        <v>0</v>
      </c>
      <c r="AL28" s="202" cm="1">
        <f t="array" aca="1" ref="AL28" ca="1">IF($R26=2,
         IF(AND(ACOMPANHAMENTO="PLE",ISNUMBER($F26)),
                SUMIF((OFFSET(CÁLCULO!$BS$15:$CS$15,$F26,0,OFFSET(ORÇAMENTO!$D$15,CRONO!$F26,0))),CRONO!AL$12,OFFSET(CÁLCULO!$AR$15:$BR$15,$F26,0,OFFSET(ORÇAMENTO!$D$15,CRONO!$F26,0)))
                +IF(AND($F28&lt;&gt;"",$F28&lt;&gt;0),
                        SUMIF(CÁLCULO!$BS$15:$CS$244,CRONO!AL$12,CÁLCULO!$AR$15:$BR$244)/(ORÇAMENTO!$X$15-CÁLCULO.TotalAdmLocal)*CRONO!$F28,
                        0),
                 AL27*$S26),
          SUMIF(OFFSET($S28,1,0,$R26-2),($M26+1)&amp;"$",OFFSET(AL28,1,0,$R26-2)))</f>
        <v>0</v>
      </c>
      <c r="AM28" s="202" cm="1">
        <f t="array" aca="1" ref="AM28" ca="1">IF($R26=2,
         IF(AND(ACOMPANHAMENTO="PLE",ISNUMBER($F26)),
                SUMIF((OFFSET(CÁLCULO!$BS$15:$CS$15,$F26,0,OFFSET(ORÇAMENTO!$D$15,CRONO!$F26,0))),CRONO!AM$12,OFFSET(CÁLCULO!$AR$15:$BR$15,$F26,0,OFFSET(ORÇAMENTO!$D$15,CRONO!$F26,0)))
                +IF(AND($F28&lt;&gt;"",$F28&lt;&gt;0),
                        SUMIF(CÁLCULO!$BS$15:$CS$244,CRONO!AM$12,CÁLCULO!$AR$15:$BR$244)/(ORÇAMENTO!$X$15-CÁLCULO.TotalAdmLocal)*CRONO!$F28,
                        0),
                 AM27*$S26),
          SUMIF(OFFSET($S28,1,0,$R26-2),($M26+1)&amp;"$",OFFSET(AM28,1,0,$R26-2)))</f>
        <v>0</v>
      </c>
      <c r="AN28" s="202" cm="1">
        <f t="array" aca="1" ref="AN28" ca="1">IF($R26=2,
         IF(AND(ACOMPANHAMENTO="PLE",ISNUMBER($F26)),
                SUMIF((OFFSET(CÁLCULO!$BS$15:$CS$15,$F26,0,OFFSET(ORÇAMENTO!$D$15,CRONO!$F26,0))),CRONO!AN$12,OFFSET(CÁLCULO!$AR$15:$BR$15,$F26,0,OFFSET(ORÇAMENTO!$D$15,CRONO!$F26,0)))
                +IF(AND($F28&lt;&gt;"",$F28&lt;&gt;0),
                        SUMIF(CÁLCULO!$BS$15:$CS$244,CRONO!AN$12,CÁLCULO!$AR$15:$BR$244)/(ORÇAMENTO!$X$15-CÁLCULO.TotalAdmLocal)*CRONO!$F28,
                        0),
                 AN27*$S26),
          SUMIF(OFFSET($S28,1,0,$R26-2),($M26+1)&amp;"$",OFFSET(AN28,1,0,$R26-2)))</f>
        <v>0</v>
      </c>
      <c r="AO28" s="202" cm="1">
        <f t="array" aca="1" ref="AO28" ca="1">IF($R26=2,
         IF(AND(ACOMPANHAMENTO="PLE",ISNUMBER($F26)),
                SUMIF((OFFSET(CÁLCULO!$BS$15:$CS$15,$F26,0,OFFSET(ORÇAMENTO!$D$15,CRONO!$F26,0))),CRONO!AO$12,OFFSET(CÁLCULO!$AR$15:$BR$15,$F26,0,OFFSET(ORÇAMENTO!$D$15,CRONO!$F26,0)))
                +IF(AND($F28&lt;&gt;"",$F28&lt;&gt;0),
                        SUMIF(CÁLCULO!$BS$15:$CS$244,CRONO!AO$12,CÁLCULO!$AR$15:$BR$244)/(ORÇAMENTO!$X$15-CÁLCULO.TotalAdmLocal)*CRONO!$F28,
                        0),
                 AO27*$S26),
          SUMIF(OFFSET($S28,1,0,$R26-2),($M26+1)&amp;"$",OFFSET(AO28,1,0,$R26-2)))</f>
        <v>0</v>
      </c>
      <c r="AP28" s="202" cm="1">
        <f t="array" aca="1" ref="AP28" ca="1">IF($R26=2,
         IF(AND(ACOMPANHAMENTO="PLE",ISNUMBER($F26)),
                SUMIF((OFFSET(CÁLCULO!$BS$15:$CS$15,$F26,0,OFFSET(ORÇAMENTO!$D$15,CRONO!$F26,0))),CRONO!AP$12,OFFSET(CÁLCULO!$AR$15:$BR$15,$F26,0,OFFSET(ORÇAMENTO!$D$15,CRONO!$F26,0)))
                +IF(AND($F28&lt;&gt;"",$F28&lt;&gt;0),
                        SUMIF(CÁLCULO!$BS$15:$CS$244,CRONO!AP$12,CÁLCULO!$AR$15:$BR$244)/(ORÇAMENTO!$X$15-CÁLCULO.TotalAdmLocal)*CRONO!$F28,
                        0),
                 AP27*$S26),
          SUMIF(OFFSET($S28,1,0,$R26-2),($M26+1)&amp;"$",OFFSET(AP28,1,0,$R26-2)))</f>
        <v>0</v>
      </c>
      <c r="AQ28" s="202" cm="1">
        <f t="array" aca="1" ref="AQ28" ca="1">IF($R26=2,
         IF(AND(ACOMPANHAMENTO="PLE",ISNUMBER($F26)),
                SUMIF((OFFSET(CÁLCULO!$BS$15:$CS$15,$F26,0,OFFSET(ORÇAMENTO!$D$15,CRONO!$F26,0))),CRONO!AQ$12,OFFSET(CÁLCULO!$AR$15:$BR$15,$F26,0,OFFSET(ORÇAMENTO!$D$15,CRONO!$F26,0)))
                +IF(AND($F28&lt;&gt;"",$F28&lt;&gt;0),
                        SUMIF(CÁLCULO!$BS$15:$CS$244,CRONO!AQ$12,CÁLCULO!$AR$15:$BR$244)/(ORÇAMENTO!$X$15-CÁLCULO.TotalAdmLocal)*CRONO!$F28,
                        0),
                 AQ27*$S26),
          SUMIF(OFFSET($S28,1,0,$R26-2),($M26+1)&amp;"$",OFFSET(AQ28,1,0,$R26-2)))</f>
        <v>0</v>
      </c>
      <c r="AR28" s="202" cm="1">
        <f t="array" aca="1" ref="AR28" ca="1">IF($R26=2,
         IF(AND(ACOMPANHAMENTO="PLE",ISNUMBER($F26)),
                SUMIF((OFFSET(CÁLCULO!$BS$15:$CS$15,$F26,0,OFFSET(ORÇAMENTO!$D$15,CRONO!$F26,0))),CRONO!AR$12,OFFSET(CÁLCULO!$AR$15:$BR$15,$F26,0,OFFSET(ORÇAMENTO!$D$15,CRONO!$F26,0)))
                +IF(AND($F28&lt;&gt;"",$F28&lt;&gt;0),
                        SUMIF(CÁLCULO!$BS$15:$CS$244,CRONO!AR$12,CÁLCULO!$AR$15:$BR$244)/(ORÇAMENTO!$X$15-CÁLCULO.TotalAdmLocal)*CRONO!$F28,
                        0),
                 AR27*$S26),
          SUMIF(OFFSET($S28,1,0,$R26-2),($M26+1)&amp;"$",OFFSET(AR28,1,0,$R26-2)))</f>
        <v>0</v>
      </c>
      <c r="AS28" s="534"/>
    </row>
    <row r="29" spans="1:45" x14ac:dyDescent="0.2">
      <c r="A29" s="186" t="str">
        <f t="shared" ref="A29" ca="1" si="32">IF($M29&gt;1,_xlfn.CONCAT($I29," ",$J29),"")</f>
        <v/>
      </c>
      <c r="B29" s="185">
        <f t="shared" ref="B29" ca="1" si="33">OFFSET(B29,-3,0)+1</f>
        <v>6</v>
      </c>
      <c r="C29" s="185">
        <f ca="1">IF($R29&lt;&gt;2,0,IF($S29=0,1,IF(F30&gt;0,OFFSET(QCI!$M$13,SUBSTITUTE(F30,".",""),0),OFFSET(ORÇAMENTO!$AA$15,CRONO!$F29,0))/$S29))</f>
        <v>0</v>
      </c>
      <c r="D29" s="185">
        <f ca="1">IF($R29&lt;&gt;2,0,IF($S29=0,1,IF(F30&gt;0,OFFSET(QCI!$N$13,SUBSTITUTE(F30,".",""),0),OFFSET(ORÇAMENTO!$AB$15,CRONO!$F29,0))/$S29))</f>
        <v>0</v>
      </c>
      <c r="E29" s="188" t="e" cm="1">
        <f t="array" aca="1" ref="E29" ca="1">IF(AND($R29=2,ACOMPANHAMENTO="BM"),ROUND(E30,4),E31/$S29)</f>
        <v>#DIV/0!</v>
      </c>
      <c r="F29" s="185" cm="1">
        <f t="array" aca="1" ref="F29" ca="1">IF(B29&lt;=ORÇAMENTO.MáximoListaCrono,MATCH(B29,ORÇAMENTO.ListaCrono,0),NA())</f>
        <v>10</v>
      </c>
      <c r="G29" s="185" t="str">
        <f t="shared" ref="G29" ca="1" si="34">IF(AND($F30&lt;&gt;-1,$S29&gt;0),"F","")</f>
        <v/>
      </c>
      <c r="H29" s="189" t="str" cm="1">
        <f t="array" aca="1" ref="H29" ca="1">IF(OR(S29=0,S29=""),"Linha",IF(AND(OR(ACOMPANHAMENTO="PLE",$R29&lt;&gt;2),$F30=0),"Linha",ROUND(1-SUM(U29:AS29),4)))</f>
        <v>Linha</v>
      </c>
      <c r="I29" s="190" t="str">
        <f ca="1">IF($F30=0,OFFSET(ORÇAMENTO!O$15,$F29,0),IF($F30&lt;&gt;-1,OFFSET(QCI!$D$13,$F30,0),""))</f>
        <v>3.</v>
      </c>
      <c r="J29" s="191" t="str">
        <f ca="1">IF($F30=0,OFFSET(ORÇAMENTO!R$15,$F29,0),IF($F30&lt;&gt;-1,OFFSET(QCI!$G$13,$F30,0),""))</f>
        <v>FUNDAÇÕES</v>
      </c>
      <c r="K29" s="191"/>
      <c r="L29" s="191"/>
      <c r="M29" s="192">
        <f ca="1">IF($F30=0,OFFSET(ORÇAMENTO!C$15,$F29,0),1)</f>
        <v>1</v>
      </c>
      <c r="N29" s="193">
        <f ca="1">IF($F30=-1,0,IF(N$13&lt;=$M29,IF(ISERROR(MATCH(N$13,OFFSET($M29,1,0,ROW($M$164)-ROW($M29)-1),0)),ROW($M$164)-ROW($M29)-1,MATCH(N$13,OFFSET($M29,1,0,ROW($M$164)-ROW($M29)-1),0)-1),0))</f>
        <v>11</v>
      </c>
      <c r="O29" s="193">
        <f ca="1">IF($F30=-1,0,IF(O$13&lt;=$M29,IF(ISERROR(MATCH(O$13,OFFSET($M29,1,0,ROW($M$164)-ROW($M29)-1),0)),ROW($M$164)-ROW($M29)-1,MATCH(O$13,OFFSET($M29,1,0,ROW($M$164)-ROW($M29)-1),0)-1),0))</f>
        <v>0</v>
      </c>
      <c r="P29" s="193">
        <f ca="1">IF($F30=-1,0,IF(P$13&lt;=$M29,IF(ISERROR(MATCH(P$13,OFFSET($M29,1,0,ROW($M$164)-ROW($M29)-1),0)),ROW($M$164)-ROW($M29)-1,MATCH(P$13,OFFSET($M29,1,0,ROW($M$164)-ROW($M29)-1),0)-1),0))</f>
        <v>0</v>
      </c>
      <c r="Q29" s="193">
        <f ca="1">IF($F30=-1,0,IF(Q$13&lt;=$M29,IF(ISERROR(MATCH(Q$13,OFFSET($M29,1,0,ROW($M$164)-ROW($M29)-1),0)),ROW($M$164)-ROW($M29)-1,MATCH(Q$13,OFFSET($M29,1,0,ROW($M$164)-ROW($M29)-1),0)-1),0))</f>
        <v>0</v>
      </c>
      <c r="R29" s="193">
        <f t="shared" ref="R29" ca="1" si="35">MIN(OFFSET(M29,0,1,,M29))</f>
        <v>11</v>
      </c>
      <c r="S29" s="194">
        <f ca="1">IF($F30=0,OFFSET(ORÇAMENTO!X$15,$F29,0),IF($F30&lt;&gt;-1,OFFSET(QCI!$O$13,$F30,0),""))</f>
        <v>0</v>
      </c>
      <c r="T29" s="195" t="s">
        <v>785</v>
      </c>
      <c r="U29" s="188" t="e" cm="1">
        <f t="array" aca="1" ref="U29" ca="1">IF(AND($R29=2,ACOMPANHAMENTO="BM"),ROUND(U30,4),U31/$S29)</f>
        <v>#DIV/0!</v>
      </c>
      <c r="V29" s="188" t="e" cm="1">
        <f t="array" aca="1" ref="V29" ca="1">IF(AND($R29=2,ACOMPANHAMENTO="BM"),ROUND(V30,4),V31/$S29)</f>
        <v>#DIV/0!</v>
      </c>
      <c r="W29" s="188" t="e" cm="1">
        <f t="array" aca="1" ref="W29" ca="1">IF(AND($R29=2,ACOMPANHAMENTO="BM"),ROUND(W30,4),W31/$S29)</f>
        <v>#DIV/0!</v>
      </c>
      <c r="X29" s="188" t="e" cm="1">
        <f t="array" aca="1" ref="X29" ca="1">IF(AND($R29=2,ACOMPANHAMENTO="BM"),ROUND(X30,4),X31/$S29)</f>
        <v>#DIV/0!</v>
      </c>
      <c r="Y29" s="188" t="e" cm="1">
        <f t="array" aca="1" ref="Y29" ca="1">IF(AND($R29=2,ACOMPANHAMENTO="BM"),ROUND(Y30,4),Y31/$S29)</f>
        <v>#DIV/0!</v>
      </c>
      <c r="Z29" s="188" t="e" cm="1">
        <f t="array" aca="1" ref="Z29" ca="1">IF(AND($R29=2,ACOMPANHAMENTO="BM"),ROUND(Z30,4),Z31/$S29)</f>
        <v>#DIV/0!</v>
      </c>
      <c r="AA29" s="188" t="e" cm="1">
        <f t="array" aca="1" ref="AA29" ca="1">IF(AND($R29=2,ACOMPANHAMENTO="BM"),ROUND(AA30,4),AA31/$S29)</f>
        <v>#DIV/0!</v>
      </c>
      <c r="AB29" s="188" t="e" cm="1">
        <f t="array" aca="1" ref="AB29" ca="1">IF(AND($R29=2,ACOMPANHAMENTO="BM"),ROUND(AB30,4),AB31/$S29)</f>
        <v>#DIV/0!</v>
      </c>
      <c r="AC29" s="188" t="e" cm="1">
        <f t="array" aca="1" ref="AC29" ca="1">IF(AND($R29=2,ACOMPANHAMENTO="BM"),ROUND(AC30,4),AC31/$S29)</f>
        <v>#DIV/0!</v>
      </c>
      <c r="AD29" s="188" t="e" cm="1">
        <f t="array" aca="1" ref="AD29" ca="1">IF(AND($R29=2,ACOMPANHAMENTO="BM"),ROUND(AD30,4),AD31/$S29)</f>
        <v>#DIV/0!</v>
      </c>
      <c r="AE29" s="188" t="e" cm="1">
        <f t="array" aca="1" ref="AE29" ca="1">IF(AND($R29=2,ACOMPANHAMENTO="BM"),ROUND(AE30,4),AE31/$S29)</f>
        <v>#DIV/0!</v>
      </c>
      <c r="AF29" s="188" t="e" cm="1">
        <f t="array" aca="1" ref="AF29" ca="1">IF(AND($R29=2,ACOMPANHAMENTO="BM"),ROUND(AF30,4),AF31/$S29)</f>
        <v>#DIV/0!</v>
      </c>
      <c r="AG29" s="188" t="e" cm="1">
        <f t="array" aca="1" ref="AG29" ca="1">IF(AND($R29=2,ACOMPANHAMENTO="BM"),ROUND(AG30,4),AG31/$S29)</f>
        <v>#DIV/0!</v>
      </c>
      <c r="AH29" s="188" t="e" cm="1">
        <f t="array" aca="1" ref="AH29" ca="1">IF(AND($R29=2,ACOMPANHAMENTO="BM"),ROUND(AH30,4),AH31/$S29)</f>
        <v>#DIV/0!</v>
      </c>
      <c r="AI29" s="188" t="e" cm="1">
        <f t="array" aca="1" ref="AI29" ca="1">IF(AND($R29=2,ACOMPANHAMENTO="BM"),ROUND(AI30,4),AI31/$S29)</f>
        <v>#DIV/0!</v>
      </c>
      <c r="AJ29" s="188" t="e" cm="1">
        <f t="array" aca="1" ref="AJ29" ca="1">IF(AND($R29=2,ACOMPANHAMENTO="BM"),ROUND(AJ30,4),AJ31/$S29)</f>
        <v>#DIV/0!</v>
      </c>
      <c r="AK29" s="188" t="e" cm="1">
        <f t="array" aca="1" ref="AK29" ca="1">IF(AND($R29=2,ACOMPANHAMENTO="BM"),ROUND(AK30,4),AK31/$S29)</f>
        <v>#DIV/0!</v>
      </c>
      <c r="AL29" s="188" t="e" cm="1">
        <f t="array" aca="1" ref="AL29" ca="1">IF(AND($R29=2,ACOMPANHAMENTO="BM"),ROUND(AL30,4),AL31/$S29)</f>
        <v>#DIV/0!</v>
      </c>
      <c r="AM29" s="188" t="e" cm="1">
        <f t="array" aca="1" ref="AM29" ca="1">IF(AND($R29=2,ACOMPANHAMENTO="BM"),ROUND(AM30,4),AM31/$S29)</f>
        <v>#DIV/0!</v>
      </c>
      <c r="AN29" s="188" t="e" cm="1">
        <f t="array" aca="1" ref="AN29" ca="1">IF(AND($R29=2,ACOMPANHAMENTO="BM"),ROUND(AN30,4),AN31/$S29)</f>
        <v>#DIV/0!</v>
      </c>
      <c r="AO29" s="188" t="e" cm="1">
        <f t="array" aca="1" ref="AO29" ca="1">IF(AND($R29=2,ACOMPANHAMENTO="BM"),ROUND(AO30,4),AO31/$S29)</f>
        <v>#DIV/0!</v>
      </c>
      <c r="AP29" s="188" t="e" cm="1">
        <f t="array" aca="1" ref="AP29" ca="1">IF(AND($R29=2,ACOMPANHAMENTO="BM"),ROUND(AP30,4),AP31/$S29)</f>
        <v>#DIV/0!</v>
      </c>
      <c r="AQ29" s="188" t="e" cm="1">
        <f t="array" aca="1" ref="AQ29" ca="1">IF(AND($R29=2,ACOMPANHAMENTO="BM"),ROUND(AQ30,4),AQ31/$S29)</f>
        <v>#DIV/0!</v>
      </c>
      <c r="AR29" s="188" t="e" cm="1">
        <f t="array" aca="1" ref="AR29" ca="1">IF(AND($R29=2,ACOMPANHAMENTO="BM"),ROUND(AR30,4),AR31/$S29)</f>
        <v>#DIV/0!</v>
      </c>
      <c r="AS29" s="534"/>
    </row>
    <row r="30" spans="1:45" ht="12.75" hidden="1" customHeight="1" x14ac:dyDescent="0.2">
      <c r="E30" s="587"/>
      <c r="F30" s="185">
        <f ca="1">IF(ISERROR(F29),IF(1+COUNTIF($M$13:OFFSET(M29,-1,0),1)&lt;=MAX(QCI!$D$13:$D$24),1+COUNTIF($M$13:OFFSET(M29,-1,0),1),-1),0)</f>
        <v>0</v>
      </c>
      <c r="G30" s="185" t="str" cm="1">
        <f t="array" aca="1" ref="G30" ca="1">IF(ACOMPANHAMENTO="BM",OFFSET(G30,-1,0),"")</f>
        <v/>
      </c>
      <c r="H30" s="196" t="str" cm="1">
        <f t="array" aca="1" ref="H30" ca="1">IF(OR(S29=0,S29=""),"vazia",IF(AND(OR(ACOMPANHAMENTO="PLE",$R29&lt;&gt;2),$F30=0),"calculada","--&gt;"))</f>
        <v>vazia</v>
      </c>
      <c r="I30" s="197"/>
      <c r="J30" s="198" t="str">
        <f t="shared" ref="J30" ca="1" si="36">IF(AND(H29&lt;&gt;0,ISNUMBER(H29)),"PREENCHA ESTA LINHA --&gt;","")</f>
        <v/>
      </c>
      <c r="K30" s="198"/>
      <c r="L30" s="198"/>
      <c r="M30" s="199"/>
      <c r="N30" s="199"/>
      <c r="O30" s="199"/>
      <c r="P30" s="199"/>
      <c r="Q30" s="199"/>
      <c r="R30" s="199"/>
      <c r="S30" s="200"/>
      <c r="T30" s="201"/>
      <c r="U30" s="587"/>
      <c r="V30" s="587"/>
      <c r="W30" s="587"/>
      <c r="X30" s="587"/>
      <c r="Y30" s="587"/>
      <c r="Z30" s="587"/>
      <c r="AA30" s="587"/>
      <c r="AB30" s="587"/>
      <c r="AC30" s="587"/>
      <c r="AD30" s="587"/>
      <c r="AE30" s="587"/>
      <c r="AF30" s="587"/>
      <c r="AG30" s="587"/>
      <c r="AH30" s="587"/>
      <c r="AI30" s="587"/>
      <c r="AJ30" s="587"/>
      <c r="AK30" s="587"/>
      <c r="AL30" s="587"/>
      <c r="AM30" s="587"/>
      <c r="AN30" s="587"/>
      <c r="AO30" s="587"/>
      <c r="AP30" s="587"/>
      <c r="AQ30" s="587"/>
      <c r="AR30" s="587"/>
      <c r="AS30" s="534"/>
    </row>
    <row r="31" spans="1:45" ht="12.75" hidden="1" customHeight="1" x14ac:dyDescent="0.2">
      <c r="D31" s="533"/>
      <c r="E31" s="202" cm="1">
        <f t="array" aca="1" ref="E31" ca="1">IF($R29=2,
         IF(AND(ACOMPANHAMENTO="PLE",ISNUMBER($F29)),
                SUMIF((OFFSET(CÁLCULO!$BS$15:$CS$15,$F29,0,OFFSET(ORÇAMENTO!$D$15,CRONO!$F29,0))),CRONO!E$12,OFFSET(CÁLCULO!$AR$15:$BR$15,$F29,0,OFFSET(ORÇAMENTO!$D$15,CRONO!$F29,0)))
                +IF(AND($F31&lt;&gt;"",$F31&lt;&gt;0),
                        SUMIF(CÁLCULO!$BS$15:$CS$244,CRONO!E$12,CÁLCULO!$AR$15:$BR$244)/(ORÇAMENTO!$X$15-CÁLCULO.TotalAdmLocal)*CRONO!$F31,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203"/>
      <c r="S31" s="204" t="str">
        <f t="shared" ref="S31" ca="1" si="37">M29&amp;"$"</f>
        <v>1$</v>
      </c>
      <c r="T31" s="205"/>
      <c r="U31" s="202" cm="1">
        <f t="array" aca="1" ref="U31" ca="1">IF($R29=2,
         IF(AND(ACOMPANHAMENTO="PLE",ISNUMBER($F29)),
                SUMIF((OFFSET(CÁLCULO!$BS$15:$CS$15,$F29,0,OFFSET(ORÇAMENTO!$D$15,CRONO!$F29,0))),CRONO!U$12,OFFSET(CÁLCULO!$AR$15:$BR$15,$F29,0,OFFSET(ORÇAMENTO!$D$15,CRONO!$F29,0)))
                +IF(AND($F31&lt;&gt;"",$F31&lt;&gt;0),
                        SUMIF(CÁLCULO!$BS$15:$CS$244,CRONO!U$12,CÁLCULO!$AR$15:$BR$244)/(ORÇAMENTO!$X$15-CÁLCULO.TotalAdmLocal)*CRONO!$F31,
                        0),
                 U30*$S29),
          SUMIF(OFFSET($S31,1,0,$R29-2),($M29+1)&amp;"$",OFFSET(U31,1,0,$R29-2)))</f>
        <v>0</v>
      </c>
      <c r="V31" s="202" cm="1">
        <f t="array" aca="1" ref="V31" ca="1">IF($R29=2,
         IF(AND(ACOMPANHAMENTO="PLE",ISNUMBER($F29)),
                SUMIF((OFFSET(CÁLCULO!$BS$15:$CS$15,$F29,0,OFFSET(ORÇAMENTO!$D$15,CRONO!$F29,0))),CRONO!V$12,OFFSET(CÁLCULO!$AR$15:$BR$15,$F29,0,OFFSET(ORÇAMENTO!$D$15,CRONO!$F29,0)))
                +IF(AND($F31&lt;&gt;"",$F31&lt;&gt;0),
                        SUMIF(CÁLCULO!$BS$15:$CS$244,CRONO!V$12,CÁLCULO!$AR$15:$BR$244)/(ORÇAMENTO!$X$15-CÁLCULO.TotalAdmLocal)*CRONO!$F31,
                        0),
                 V30*$S29),
          SUMIF(OFFSET($S31,1,0,$R29-2),($M29+1)&amp;"$",OFFSET(V31,1,0,$R29-2)))</f>
        <v>0</v>
      </c>
      <c r="W31" s="202" cm="1">
        <f t="array" aca="1" ref="W31" ca="1">IF($R29=2,
         IF(AND(ACOMPANHAMENTO="PLE",ISNUMBER($F29)),
                SUMIF((OFFSET(CÁLCULO!$BS$15:$CS$15,$F29,0,OFFSET(ORÇAMENTO!$D$15,CRONO!$F29,0))),CRONO!W$12,OFFSET(CÁLCULO!$AR$15:$BR$15,$F29,0,OFFSET(ORÇAMENTO!$D$15,CRONO!$F29,0)))
                +IF(AND($F31&lt;&gt;"",$F31&lt;&gt;0),
                        SUMIF(CÁLCULO!$BS$15:$CS$244,CRONO!W$12,CÁLCULO!$AR$15:$BR$244)/(ORÇAMENTO!$X$15-CÁLCULO.TotalAdmLocal)*CRONO!$F31,
                        0),
                 W30*$S29),
          SUMIF(OFFSET($S31,1,0,$R29-2),($M29+1)&amp;"$",OFFSET(W31,1,0,$R29-2)))</f>
        <v>0</v>
      </c>
      <c r="X31" s="202" cm="1">
        <f t="array" aca="1" ref="X31" ca="1">IF($R29=2,
         IF(AND(ACOMPANHAMENTO="PLE",ISNUMBER($F29)),
                SUMIF((OFFSET(CÁLCULO!$BS$15:$CS$15,$F29,0,OFFSET(ORÇAMENTO!$D$15,CRONO!$F29,0))),CRONO!X$12,OFFSET(CÁLCULO!$AR$15:$BR$15,$F29,0,OFFSET(ORÇAMENTO!$D$15,CRONO!$F29,0)))
                +IF(AND($F31&lt;&gt;"",$F31&lt;&gt;0),
                        SUMIF(CÁLCULO!$BS$15:$CS$244,CRONO!X$12,CÁLCULO!$AR$15:$BR$244)/(ORÇAMENTO!$X$15-CÁLCULO.TotalAdmLocal)*CRONO!$F31,
                        0),
                 X30*$S29),
          SUMIF(OFFSET($S31,1,0,$R29-2),($M29+1)&amp;"$",OFFSET(X31,1,0,$R29-2)))</f>
        <v>0</v>
      </c>
      <c r="Y31" s="202" cm="1">
        <f t="array" aca="1" ref="Y31" ca="1">IF($R29=2,
         IF(AND(ACOMPANHAMENTO="PLE",ISNUMBER($F29)),
                SUMIF((OFFSET(CÁLCULO!$BS$15:$CS$15,$F29,0,OFFSET(ORÇAMENTO!$D$15,CRONO!$F29,0))),CRONO!Y$12,OFFSET(CÁLCULO!$AR$15:$BR$15,$F29,0,OFFSET(ORÇAMENTO!$D$15,CRONO!$F29,0)))
                +IF(AND($F31&lt;&gt;"",$F31&lt;&gt;0),
                        SUMIF(CÁLCULO!$BS$15:$CS$244,CRONO!Y$12,CÁLCULO!$AR$15:$BR$244)/(ORÇAMENTO!$X$15-CÁLCULO.TotalAdmLocal)*CRONO!$F31,
                        0),
                 Y30*$S29),
          SUMIF(OFFSET($S31,1,0,$R29-2),($M29+1)&amp;"$",OFFSET(Y31,1,0,$R29-2)))</f>
        <v>0</v>
      </c>
      <c r="Z31" s="202" cm="1">
        <f t="array" aca="1" ref="Z31" ca="1">IF($R29=2,
         IF(AND(ACOMPANHAMENTO="PLE",ISNUMBER($F29)),
                SUMIF((OFFSET(CÁLCULO!$BS$15:$CS$15,$F29,0,OFFSET(ORÇAMENTO!$D$15,CRONO!$F29,0))),CRONO!Z$12,OFFSET(CÁLCULO!$AR$15:$BR$15,$F29,0,OFFSET(ORÇAMENTO!$D$15,CRONO!$F29,0)))
                +IF(AND($F31&lt;&gt;"",$F31&lt;&gt;0),
                        SUMIF(CÁLCULO!$BS$15:$CS$244,CRONO!Z$12,CÁLCULO!$AR$15:$BR$244)/(ORÇAMENTO!$X$15-CÁLCULO.TotalAdmLocal)*CRONO!$F31,
                        0),
                 Z30*$S29),
          SUMIF(OFFSET($S31,1,0,$R29-2),($M29+1)&amp;"$",OFFSET(Z31,1,0,$R29-2)))</f>
        <v>0</v>
      </c>
      <c r="AA31" s="202" cm="1">
        <f t="array" aca="1" ref="AA31" ca="1">IF($R29=2,
         IF(AND(ACOMPANHAMENTO="PLE",ISNUMBER($F29)),
                SUMIF((OFFSET(CÁLCULO!$BS$15:$CS$15,$F29,0,OFFSET(ORÇAMENTO!$D$15,CRONO!$F29,0))),CRONO!AA$12,OFFSET(CÁLCULO!$AR$15:$BR$15,$F29,0,OFFSET(ORÇAMENTO!$D$15,CRONO!$F29,0)))
                +IF(AND($F31&lt;&gt;"",$F31&lt;&gt;0),
                        SUMIF(CÁLCULO!$BS$15:$CS$244,CRONO!AA$12,CÁLCULO!$AR$15:$BR$244)/(ORÇAMENTO!$X$15-CÁLCULO.TotalAdmLocal)*CRONO!$F31,
                        0),
                 AA30*$S29),
          SUMIF(OFFSET($S31,1,0,$R29-2),($M29+1)&amp;"$",OFFSET(AA31,1,0,$R29-2)))</f>
        <v>0</v>
      </c>
      <c r="AB31" s="202" cm="1">
        <f t="array" aca="1" ref="AB31" ca="1">IF($R29=2,
         IF(AND(ACOMPANHAMENTO="PLE",ISNUMBER($F29)),
                SUMIF((OFFSET(CÁLCULO!$BS$15:$CS$15,$F29,0,OFFSET(ORÇAMENTO!$D$15,CRONO!$F29,0))),CRONO!AB$12,OFFSET(CÁLCULO!$AR$15:$BR$15,$F29,0,OFFSET(ORÇAMENTO!$D$15,CRONO!$F29,0)))
                +IF(AND($F31&lt;&gt;"",$F31&lt;&gt;0),
                        SUMIF(CÁLCULO!$BS$15:$CS$244,CRONO!AB$12,CÁLCULO!$AR$15:$BR$244)/(ORÇAMENTO!$X$15-CÁLCULO.TotalAdmLocal)*CRONO!$F31,
                        0),
                 AB30*$S29),
          SUMIF(OFFSET($S31,1,0,$R29-2),($M29+1)&amp;"$",OFFSET(AB31,1,0,$R29-2)))</f>
        <v>0</v>
      </c>
      <c r="AC31" s="202" cm="1">
        <f t="array" aca="1" ref="AC31" ca="1">IF($R29=2,
         IF(AND(ACOMPANHAMENTO="PLE",ISNUMBER($F29)),
                SUMIF((OFFSET(CÁLCULO!$BS$15:$CS$15,$F29,0,OFFSET(ORÇAMENTO!$D$15,CRONO!$F29,0))),CRONO!AC$12,OFFSET(CÁLCULO!$AR$15:$BR$15,$F29,0,OFFSET(ORÇAMENTO!$D$15,CRONO!$F29,0)))
                +IF(AND($F31&lt;&gt;"",$F31&lt;&gt;0),
                        SUMIF(CÁLCULO!$BS$15:$CS$244,CRONO!AC$12,CÁLCULO!$AR$15:$BR$244)/(ORÇAMENTO!$X$15-CÁLCULO.TotalAdmLocal)*CRONO!$F31,
                        0),
                 AC30*$S29),
          SUMIF(OFFSET($S31,1,0,$R29-2),($M29+1)&amp;"$",OFFSET(AC31,1,0,$R29-2)))</f>
        <v>0</v>
      </c>
      <c r="AD31" s="202" cm="1">
        <f t="array" aca="1" ref="AD31" ca="1">IF($R29=2,
         IF(AND(ACOMPANHAMENTO="PLE",ISNUMBER($F29)),
                SUMIF((OFFSET(CÁLCULO!$BS$15:$CS$15,$F29,0,OFFSET(ORÇAMENTO!$D$15,CRONO!$F29,0))),CRONO!AD$12,OFFSET(CÁLCULO!$AR$15:$BR$15,$F29,0,OFFSET(ORÇAMENTO!$D$15,CRONO!$F29,0)))
                +IF(AND($F31&lt;&gt;"",$F31&lt;&gt;0),
                        SUMIF(CÁLCULO!$BS$15:$CS$244,CRONO!AD$12,CÁLCULO!$AR$15:$BR$244)/(ORÇAMENTO!$X$15-CÁLCULO.TotalAdmLocal)*CRONO!$F31,
                        0),
                 AD30*$S29),
          SUMIF(OFFSET($S31,1,0,$R29-2),($M29+1)&amp;"$",OFFSET(AD31,1,0,$R29-2)))</f>
        <v>0</v>
      </c>
      <c r="AE31" s="202" cm="1">
        <f t="array" aca="1" ref="AE31" ca="1">IF($R29=2,
         IF(AND(ACOMPANHAMENTO="PLE",ISNUMBER($F29)),
                SUMIF((OFFSET(CÁLCULO!$BS$15:$CS$15,$F29,0,OFFSET(ORÇAMENTO!$D$15,CRONO!$F29,0))),CRONO!AE$12,OFFSET(CÁLCULO!$AR$15:$BR$15,$F29,0,OFFSET(ORÇAMENTO!$D$15,CRONO!$F29,0)))
                +IF(AND($F31&lt;&gt;"",$F31&lt;&gt;0),
                        SUMIF(CÁLCULO!$BS$15:$CS$244,CRONO!AE$12,CÁLCULO!$AR$15:$BR$244)/(ORÇAMENTO!$X$15-CÁLCULO.TotalAdmLocal)*CRONO!$F31,
                        0),
                 AE30*$S29),
          SUMIF(OFFSET($S31,1,0,$R29-2),($M29+1)&amp;"$",OFFSET(AE31,1,0,$R29-2)))</f>
        <v>0</v>
      </c>
      <c r="AF31" s="202" cm="1">
        <f t="array" aca="1" ref="AF31" ca="1">IF($R29=2,
         IF(AND(ACOMPANHAMENTO="PLE",ISNUMBER($F29)),
                SUMIF((OFFSET(CÁLCULO!$BS$15:$CS$15,$F29,0,OFFSET(ORÇAMENTO!$D$15,CRONO!$F29,0))),CRONO!AF$12,OFFSET(CÁLCULO!$AR$15:$BR$15,$F29,0,OFFSET(ORÇAMENTO!$D$15,CRONO!$F29,0)))
                +IF(AND($F31&lt;&gt;"",$F31&lt;&gt;0),
                        SUMIF(CÁLCULO!$BS$15:$CS$244,CRONO!AF$12,CÁLCULO!$AR$15:$BR$244)/(ORÇAMENTO!$X$15-CÁLCULO.TotalAdmLocal)*CRONO!$F31,
                        0),
                 AF30*$S29),
          SUMIF(OFFSET($S31,1,0,$R29-2),($M29+1)&amp;"$",OFFSET(AF31,1,0,$R29-2)))</f>
        <v>0</v>
      </c>
      <c r="AG31" s="202" cm="1">
        <f t="array" aca="1" ref="AG31" ca="1">IF($R29=2,
         IF(AND(ACOMPANHAMENTO="PLE",ISNUMBER($F29)),
                SUMIF((OFFSET(CÁLCULO!$BS$15:$CS$15,$F29,0,OFFSET(ORÇAMENTO!$D$15,CRONO!$F29,0))),CRONO!AG$12,OFFSET(CÁLCULO!$AR$15:$BR$15,$F29,0,OFFSET(ORÇAMENTO!$D$15,CRONO!$F29,0)))
                +IF(AND($F31&lt;&gt;"",$F31&lt;&gt;0),
                        SUMIF(CÁLCULO!$BS$15:$CS$244,CRONO!AG$12,CÁLCULO!$AR$15:$BR$244)/(ORÇAMENTO!$X$15-CÁLCULO.TotalAdmLocal)*CRONO!$F31,
                        0),
                 AG30*$S29),
          SUMIF(OFFSET($S31,1,0,$R29-2),($M29+1)&amp;"$",OFFSET(AG31,1,0,$R29-2)))</f>
        <v>0</v>
      </c>
      <c r="AH31" s="202" cm="1">
        <f t="array" aca="1" ref="AH31" ca="1">IF($R29=2,
         IF(AND(ACOMPANHAMENTO="PLE",ISNUMBER($F29)),
                SUMIF((OFFSET(CÁLCULO!$BS$15:$CS$15,$F29,0,OFFSET(ORÇAMENTO!$D$15,CRONO!$F29,0))),CRONO!AH$12,OFFSET(CÁLCULO!$AR$15:$BR$15,$F29,0,OFFSET(ORÇAMENTO!$D$15,CRONO!$F29,0)))
                +IF(AND($F31&lt;&gt;"",$F31&lt;&gt;0),
                        SUMIF(CÁLCULO!$BS$15:$CS$244,CRONO!AH$12,CÁLCULO!$AR$15:$BR$244)/(ORÇAMENTO!$X$15-CÁLCULO.TotalAdmLocal)*CRONO!$F31,
                        0),
                 AH30*$S29),
          SUMIF(OFFSET($S31,1,0,$R29-2),($M29+1)&amp;"$",OFFSET(AH31,1,0,$R29-2)))</f>
        <v>0</v>
      </c>
      <c r="AI31" s="202" cm="1">
        <f t="array" aca="1" ref="AI31" ca="1">IF($R29=2,
         IF(AND(ACOMPANHAMENTO="PLE",ISNUMBER($F29)),
                SUMIF((OFFSET(CÁLCULO!$BS$15:$CS$15,$F29,0,OFFSET(ORÇAMENTO!$D$15,CRONO!$F29,0))),CRONO!AI$12,OFFSET(CÁLCULO!$AR$15:$BR$15,$F29,0,OFFSET(ORÇAMENTO!$D$15,CRONO!$F29,0)))
                +IF(AND($F31&lt;&gt;"",$F31&lt;&gt;0),
                        SUMIF(CÁLCULO!$BS$15:$CS$244,CRONO!AI$12,CÁLCULO!$AR$15:$BR$244)/(ORÇAMENTO!$X$15-CÁLCULO.TotalAdmLocal)*CRONO!$F31,
                        0),
                 AI30*$S29),
          SUMIF(OFFSET($S31,1,0,$R29-2),($M29+1)&amp;"$",OFFSET(AI31,1,0,$R29-2)))</f>
        <v>0</v>
      </c>
      <c r="AJ31" s="202" cm="1">
        <f t="array" aca="1" ref="AJ31" ca="1">IF($R29=2,
         IF(AND(ACOMPANHAMENTO="PLE",ISNUMBER($F29)),
                SUMIF((OFFSET(CÁLCULO!$BS$15:$CS$15,$F29,0,OFFSET(ORÇAMENTO!$D$15,CRONO!$F29,0))),CRONO!AJ$12,OFFSET(CÁLCULO!$AR$15:$BR$15,$F29,0,OFFSET(ORÇAMENTO!$D$15,CRONO!$F29,0)))
                +IF(AND($F31&lt;&gt;"",$F31&lt;&gt;0),
                        SUMIF(CÁLCULO!$BS$15:$CS$244,CRONO!AJ$12,CÁLCULO!$AR$15:$BR$244)/(ORÇAMENTO!$X$15-CÁLCULO.TotalAdmLocal)*CRONO!$F31,
                        0),
                 AJ30*$S29),
          SUMIF(OFFSET($S31,1,0,$R29-2),($M29+1)&amp;"$",OFFSET(AJ31,1,0,$R29-2)))</f>
        <v>0</v>
      </c>
      <c r="AK31" s="202" cm="1">
        <f t="array" aca="1" ref="AK31" ca="1">IF($R29=2,
         IF(AND(ACOMPANHAMENTO="PLE",ISNUMBER($F29)),
                SUMIF((OFFSET(CÁLCULO!$BS$15:$CS$15,$F29,0,OFFSET(ORÇAMENTO!$D$15,CRONO!$F29,0))),CRONO!AK$12,OFFSET(CÁLCULO!$AR$15:$BR$15,$F29,0,OFFSET(ORÇAMENTO!$D$15,CRONO!$F29,0)))
                +IF(AND($F31&lt;&gt;"",$F31&lt;&gt;0),
                        SUMIF(CÁLCULO!$BS$15:$CS$244,CRONO!AK$12,CÁLCULO!$AR$15:$BR$244)/(ORÇAMENTO!$X$15-CÁLCULO.TotalAdmLocal)*CRONO!$F31,
                        0),
                 AK30*$S29),
          SUMIF(OFFSET($S31,1,0,$R29-2),($M29+1)&amp;"$",OFFSET(AK31,1,0,$R29-2)))</f>
        <v>0</v>
      </c>
      <c r="AL31" s="202" cm="1">
        <f t="array" aca="1" ref="AL31" ca="1">IF($R29=2,
         IF(AND(ACOMPANHAMENTO="PLE",ISNUMBER($F29)),
                SUMIF((OFFSET(CÁLCULO!$BS$15:$CS$15,$F29,0,OFFSET(ORÇAMENTO!$D$15,CRONO!$F29,0))),CRONO!AL$12,OFFSET(CÁLCULO!$AR$15:$BR$15,$F29,0,OFFSET(ORÇAMENTO!$D$15,CRONO!$F29,0)))
                +IF(AND($F31&lt;&gt;"",$F31&lt;&gt;0),
                        SUMIF(CÁLCULO!$BS$15:$CS$244,CRONO!AL$12,CÁLCULO!$AR$15:$BR$244)/(ORÇAMENTO!$X$15-CÁLCULO.TotalAdmLocal)*CRONO!$F31,
                        0),
                 AL30*$S29),
          SUMIF(OFFSET($S31,1,0,$R29-2),($M29+1)&amp;"$",OFFSET(AL31,1,0,$R29-2)))</f>
        <v>0</v>
      </c>
      <c r="AM31" s="202" cm="1">
        <f t="array" aca="1" ref="AM31" ca="1">IF($R29=2,
         IF(AND(ACOMPANHAMENTO="PLE",ISNUMBER($F29)),
                SUMIF((OFFSET(CÁLCULO!$BS$15:$CS$15,$F29,0,OFFSET(ORÇAMENTO!$D$15,CRONO!$F29,0))),CRONO!AM$12,OFFSET(CÁLCULO!$AR$15:$BR$15,$F29,0,OFFSET(ORÇAMENTO!$D$15,CRONO!$F29,0)))
                +IF(AND($F31&lt;&gt;"",$F31&lt;&gt;0),
                        SUMIF(CÁLCULO!$BS$15:$CS$244,CRONO!AM$12,CÁLCULO!$AR$15:$BR$244)/(ORÇAMENTO!$X$15-CÁLCULO.TotalAdmLocal)*CRONO!$F31,
                        0),
                 AM30*$S29),
          SUMIF(OFFSET($S31,1,0,$R29-2),($M29+1)&amp;"$",OFFSET(AM31,1,0,$R29-2)))</f>
        <v>0</v>
      </c>
      <c r="AN31" s="202" cm="1">
        <f t="array" aca="1" ref="AN31" ca="1">IF($R29=2,
         IF(AND(ACOMPANHAMENTO="PLE",ISNUMBER($F29)),
                SUMIF((OFFSET(CÁLCULO!$BS$15:$CS$15,$F29,0,OFFSET(ORÇAMENTO!$D$15,CRONO!$F29,0))),CRONO!AN$12,OFFSET(CÁLCULO!$AR$15:$BR$15,$F29,0,OFFSET(ORÇAMENTO!$D$15,CRONO!$F29,0)))
                +IF(AND($F31&lt;&gt;"",$F31&lt;&gt;0),
                        SUMIF(CÁLCULO!$BS$15:$CS$244,CRONO!AN$12,CÁLCULO!$AR$15:$BR$244)/(ORÇAMENTO!$X$15-CÁLCULO.TotalAdmLocal)*CRONO!$F31,
                        0),
                 AN30*$S29),
          SUMIF(OFFSET($S31,1,0,$R29-2),($M29+1)&amp;"$",OFFSET(AN31,1,0,$R29-2)))</f>
        <v>0</v>
      </c>
      <c r="AO31" s="202" cm="1">
        <f t="array" aca="1" ref="AO31" ca="1">IF($R29=2,
         IF(AND(ACOMPANHAMENTO="PLE",ISNUMBER($F29)),
                SUMIF((OFFSET(CÁLCULO!$BS$15:$CS$15,$F29,0,OFFSET(ORÇAMENTO!$D$15,CRONO!$F29,0))),CRONO!AO$12,OFFSET(CÁLCULO!$AR$15:$BR$15,$F29,0,OFFSET(ORÇAMENTO!$D$15,CRONO!$F29,0)))
                +IF(AND($F31&lt;&gt;"",$F31&lt;&gt;0),
                        SUMIF(CÁLCULO!$BS$15:$CS$244,CRONO!AO$12,CÁLCULO!$AR$15:$BR$244)/(ORÇAMENTO!$X$15-CÁLCULO.TotalAdmLocal)*CRONO!$F31,
                        0),
                 AO30*$S29),
          SUMIF(OFFSET($S31,1,0,$R29-2),($M29+1)&amp;"$",OFFSET(AO31,1,0,$R29-2)))</f>
        <v>0</v>
      </c>
      <c r="AP31" s="202" cm="1">
        <f t="array" aca="1" ref="AP31" ca="1">IF($R29=2,
         IF(AND(ACOMPANHAMENTO="PLE",ISNUMBER($F29)),
                SUMIF((OFFSET(CÁLCULO!$BS$15:$CS$15,$F29,0,OFFSET(ORÇAMENTO!$D$15,CRONO!$F29,0))),CRONO!AP$12,OFFSET(CÁLCULO!$AR$15:$BR$15,$F29,0,OFFSET(ORÇAMENTO!$D$15,CRONO!$F29,0)))
                +IF(AND($F31&lt;&gt;"",$F31&lt;&gt;0),
                        SUMIF(CÁLCULO!$BS$15:$CS$244,CRONO!AP$12,CÁLCULO!$AR$15:$BR$244)/(ORÇAMENTO!$X$15-CÁLCULO.TotalAdmLocal)*CRONO!$F31,
                        0),
                 AP30*$S29),
          SUMIF(OFFSET($S31,1,0,$R29-2),($M29+1)&amp;"$",OFFSET(AP31,1,0,$R29-2)))</f>
        <v>0</v>
      </c>
      <c r="AQ31" s="202" cm="1">
        <f t="array" aca="1" ref="AQ31" ca="1">IF($R29=2,
         IF(AND(ACOMPANHAMENTO="PLE",ISNUMBER($F29)),
                SUMIF((OFFSET(CÁLCULO!$BS$15:$CS$15,$F29,0,OFFSET(ORÇAMENTO!$D$15,CRONO!$F29,0))),CRONO!AQ$12,OFFSET(CÁLCULO!$AR$15:$BR$15,$F29,0,OFFSET(ORÇAMENTO!$D$15,CRONO!$F29,0)))
                +IF(AND($F31&lt;&gt;"",$F31&lt;&gt;0),
                        SUMIF(CÁLCULO!$BS$15:$CS$244,CRONO!AQ$12,CÁLCULO!$AR$15:$BR$244)/(ORÇAMENTO!$X$15-CÁLCULO.TotalAdmLocal)*CRONO!$F31,
                        0),
                 AQ30*$S29),
          SUMIF(OFFSET($S31,1,0,$R29-2),($M29+1)&amp;"$",OFFSET(AQ31,1,0,$R29-2)))</f>
        <v>0</v>
      </c>
      <c r="AR31" s="202" cm="1">
        <f t="array" aca="1" ref="AR31" ca="1">IF($R29=2,
         IF(AND(ACOMPANHAMENTO="PLE",ISNUMBER($F29)),
                SUMIF((OFFSET(CÁLCULO!$BS$15:$CS$15,$F29,0,OFFSET(ORÇAMENTO!$D$15,CRONO!$F29,0))),CRONO!AR$12,OFFSET(CÁLCULO!$AR$15:$BR$15,$F29,0,OFFSET(ORÇAMENTO!$D$15,CRONO!$F29,0)))
                +IF(AND($F31&lt;&gt;"",$F31&lt;&gt;0),
                        SUMIF(CÁLCULO!$BS$15:$CS$244,CRONO!AR$12,CÁLCULO!$AR$15:$BR$244)/(ORÇAMENTO!$X$15-CÁLCULO.TotalAdmLocal)*CRONO!$F31,
                        0),
                 AR30*$S29),
          SUMIF(OFFSET($S31,1,0,$R29-2),($M29+1)&amp;"$",OFFSET(AR31,1,0,$R29-2)))</f>
        <v>0</v>
      </c>
      <c r="AS31" s="534"/>
    </row>
    <row r="32" spans="1:45" x14ac:dyDescent="0.2">
      <c r="A32" s="186" t="e">
        <f t="shared" ref="A32" ca="1" si="38">IF($M32&gt;1,_xlfn.CONCAT($I32," ",$J32),"")</f>
        <v>#NAME?</v>
      </c>
      <c r="B32" s="185">
        <f t="shared" ref="B32" ca="1" si="39">OFFSET(B32,-3,0)+1</f>
        <v>7</v>
      </c>
      <c r="C32" s="185">
        <f ca="1">IF($R32&lt;&gt;2,0,IF($S32=0,1,IF(F33&gt;0,OFFSET(QCI!$M$13,SUBSTITUTE(F33,".",""),0),OFFSET(ORÇAMENTO!$AA$15,CRONO!$F32,0))/$S32))</f>
        <v>1</v>
      </c>
      <c r="D32" s="185">
        <f ca="1">IF($R32&lt;&gt;2,0,IF($S32=0,1,IF(F33&gt;0,OFFSET(QCI!$N$13,SUBSTITUTE(F33,".",""),0),OFFSET(ORÇAMENTO!$AB$15,CRONO!$F32,0))/$S32))</f>
        <v>1</v>
      </c>
      <c r="E32" s="188" t="e" cm="1">
        <f t="array" aca="1" ref="E32" ca="1">IF(AND($R32=2,ACOMPANHAMENTO="BM"),ROUND(E33,4),E34/$S32)</f>
        <v>#DIV/0!</v>
      </c>
      <c r="F32" s="185" cm="1">
        <f t="array" aca="1" ref="F32" ca="1">IF(B32&lt;=ORÇAMENTO.MáximoListaCrono,MATCH(B32,ORÇAMENTO.ListaCrono,0),NA())</f>
        <v>11</v>
      </c>
      <c r="G32" s="185" t="str">
        <f t="shared" ref="G32" ca="1" si="40">IF(AND($F33&lt;&gt;-1,$S32&gt;0),"F","")</f>
        <v/>
      </c>
      <c r="H32" s="189" t="str" cm="1">
        <f t="array" aca="1" ref="H32" ca="1">IF(OR(S32=0,S32=""),"Linha",IF(AND(OR(ACOMPANHAMENTO="PLE",$R32&lt;&gt;2),$F33=0),"Linha",ROUND(1-SUM(U32:AS32),4)))</f>
        <v>Linha</v>
      </c>
      <c r="I32" s="190" t="str">
        <f ca="1">IF($F33=0,OFFSET(ORÇAMENTO!O$15,$F32,0),IF($F33&lt;&gt;-1,OFFSET(QCI!$D$13,$F33,0),""))</f>
        <v>3.1.</v>
      </c>
      <c r="J32" s="191" t="str">
        <f ca="1">IF($F33=0,OFFSET(ORÇAMENTO!R$15,$F32,0),IF($F33&lt;&gt;-1,OFFSET(QCI!$G$13,$F33,0),""))</f>
        <v>SAPATA</v>
      </c>
      <c r="K32" s="191"/>
      <c r="L32" s="191"/>
      <c r="M32" s="192">
        <f ca="1">IF($F33=0,OFFSET(ORÇAMENTO!C$15,$F32,0),1)</f>
        <v>2</v>
      </c>
      <c r="N32" s="193">
        <f ca="1">IF($F33=-1,0,IF(N$13&lt;=$M32,IF(ISERROR(MATCH(N$13,OFFSET($M32,1,0,ROW($M$164)-ROW($M32)-1),0)),ROW($M$164)-ROW($M32)-1,MATCH(N$13,OFFSET($M32,1,0,ROW($M$164)-ROW($M32)-1),0)-1),0))</f>
        <v>8</v>
      </c>
      <c r="O32" s="193">
        <f ca="1">IF($F33=-1,0,IF(O$13&lt;=$M32,IF(ISERROR(MATCH(O$13,OFFSET($M32,1,0,ROW($M$164)-ROW($M32)-1),0)),ROW($M$164)-ROW($M32)-1,MATCH(O$13,OFFSET($M32,1,0,ROW($M$164)-ROW($M32)-1),0)-1),0))</f>
        <v>2</v>
      </c>
      <c r="P32" s="193">
        <f ca="1">IF($F33=-1,0,IF(P$13&lt;=$M32,IF(ISERROR(MATCH(P$13,OFFSET($M32,1,0,ROW($M$164)-ROW($M32)-1),0)),ROW($M$164)-ROW($M32)-1,MATCH(P$13,OFFSET($M32,1,0,ROW($M$164)-ROW($M32)-1),0)-1),0))</f>
        <v>0</v>
      </c>
      <c r="Q32" s="193">
        <f ca="1">IF($F33=-1,0,IF(Q$13&lt;=$M32,IF(ISERROR(MATCH(Q$13,OFFSET($M32,1,0,ROW($M$164)-ROW($M32)-1),0)),ROW($M$164)-ROW($M32)-1,MATCH(Q$13,OFFSET($M32,1,0,ROW($M$164)-ROW($M32)-1),0)-1),0))</f>
        <v>0</v>
      </c>
      <c r="R32" s="193">
        <f t="shared" ref="R32" ca="1" si="41">MIN(OFFSET(M32,0,1,,M32))</f>
        <v>2</v>
      </c>
      <c r="S32" s="194">
        <f ca="1">IF($F33=0,OFFSET(ORÇAMENTO!X$15,$F32,0),IF($F33&lt;&gt;-1,OFFSET(QCI!$O$13,$F33,0),""))</f>
        <v>0</v>
      </c>
      <c r="T32" s="195" t="s">
        <v>785</v>
      </c>
      <c r="U32" s="188" t="e" cm="1">
        <f t="array" aca="1" ref="U32" ca="1">IF(AND($R32=2,ACOMPANHAMENTO="BM"),ROUND(U33,4),U34/$S32)</f>
        <v>#DIV/0!</v>
      </c>
      <c r="V32" s="188" t="e" cm="1">
        <f t="array" aca="1" ref="V32" ca="1">IF(AND($R32=2,ACOMPANHAMENTO="BM"),ROUND(V33,4),V34/$S32)</f>
        <v>#DIV/0!</v>
      </c>
      <c r="W32" s="188" t="e" cm="1">
        <f t="array" aca="1" ref="W32" ca="1">IF(AND($R32=2,ACOMPANHAMENTO="BM"),ROUND(W33,4),W34/$S32)</f>
        <v>#DIV/0!</v>
      </c>
      <c r="X32" s="188" t="e" cm="1">
        <f t="array" aca="1" ref="X32" ca="1">IF(AND($R32=2,ACOMPANHAMENTO="BM"),ROUND(X33,4),X34/$S32)</f>
        <v>#DIV/0!</v>
      </c>
      <c r="Y32" s="188" t="e" cm="1">
        <f t="array" aca="1" ref="Y32" ca="1">IF(AND($R32=2,ACOMPANHAMENTO="BM"),ROUND(Y33,4),Y34/$S32)</f>
        <v>#DIV/0!</v>
      </c>
      <c r="Z32" s="188" t="e" cm="1">
        <f t="array" aca="1" ref="Z32" ca="1">IF(AND($R32=2,ACOMPANHAMENTO="BM"),ROUND(Z33,4),Z34/$S32)</f>
        <v>#DIV/0!</v>
      </c>
      <c r="AA32" s="188" t="e" cm="1">
        <f t="array" aca="1" ref="AA32" ca="1">IF(AND($R32=2,ACOMPANHAMENTO="BM"),ROUND(AA33,4),AA34/$S32)</f>
        <v>#DIV/0!</v>
      </c>
      <c r="AB32" s="188" t="e" cm="1">
        <f t="array" aca="1" ref="AB32" ca="1">IF(AND($R32=2,ACOMPANHAMENTO="BM"),ROUND(AB33,4),AB34/$S32)</f>
        <v>#DIV/0!</v>
      </c>
      <c r="AC32" s="188" t="e" cm="1">
        <f t="array" aca="1" ref="AC32" ca="1">IF(AND($R32=2,ACOMPANHAMENTO="BM"),ROUND(AC33,4),AC34/$S32)</f>
        <v>#DIV/0!</v>
      </c>
      <c r="AD32" s="188" t="e" cm="1">
        <f t="array" aca="1" ref="AD32" ca="1">IF(AND($R32=2,ACOMPANHAMENTO="BM"),ROUND(AD33,4),AD34/$S32)</f>
        <v>#DIV/0!</v>
      </c>
      <c r="AE32" s="188" t="e" cm="1">
        <f t="array" aca="1" ref="AE32" ca="1">IF(AND($R32=2,ACOMPANHAMENTO="BM"),ROUND(AE33,4),AE34/$S32)</f>
        <v>#DIV/0!</v>
      </c>
      <c r="AF32" s="188" t="e" cm="1">
        <f t="array" aca="1" ref="AF32" ca="1">IF(AND($R32=2,ACOMPANHAMENTO="BM"),ROUND(AF33,4),AF34/$S32)</f>
        <v>#DIV/0!</v>
      </c>
      <c r="AG32" s="188" t="e" cm="1">
        <f t="array" aca="1" ref="AG32" ca="1">IF(AND($R32=2,ACOMPANHAMENTO="BM"),ROUND(AG33,4),AG34/$S32)</f>
        <v>#DIV/0!</v>
      </c>
      <c r="AH32" s="188" t="e" cm="1">
        <f t="array" aca="1" ref="AH32" ca="1">IF(AND($R32=2,ACOMPANHAMENTO="BM"),ROUND(AH33,4),AH34/$S32)</f>
        <v>#DIV/0!</v>
      </c>
      <c r="AI32" s="188" t="e" cm="1">
        <f t="array" aca="1" ref="AI32" ca="1">IF(AND($R32=2,ACOMPANHAMENTO="BM"),ROUND(AI33,4),AI34/$S32)</f>
        <v>#DIV/0!</v>
      </c>
      <c r="AJ32" s="188" t="e" cm="1">
        <f t="array" aca="1" ref="AJ32" ca="1">IF(AND($R32=2,ACOMPANHAMENTO="BM"),ROUND(AJ33,4),AJ34/$S32)</f>
        <v>#DIV/0!</v>
      </c>
      <c r="AK32" s="188" t="e" cm="1">
        <f t="array" aca="1" ref="AK32" ca="1">IF(AND($R32=2,ACOMPANHAMENTO="BM"),ROUND(AK33,4),AK34/$S32)</f>
        <v>#DIV/0!</v>
      </c>
      <c r="AL32" s="188" t="e" cm="1">
        <f t="array" aca="1" ref="AL32" ca="1">IF(AND($R32=2,ACOMPANHAMENTO="BM"),ROUND(AL33,4),AL34/$S32)</f>
        <v>#DIV/0!</v>
      </c>
      <c r="AM32" s="188" t="e" cm="1">
        <f t="array" aca="1" ref="AM32" ca="1">IF(AND($R32=2,ACOMPANHAMENTO="BM"),ROUND(AM33,4),AM34/$S32)</f>
        <v>#DIV/0!</v>
      </c>
      <c r="AN32" s="188" t="e" cm="1">
        <f t="array" aca="1" ref="AN32" ca="1">IF(AND($R32=2,ACOMPANHAMENTO="BM"),ROUND(AN33,4),AN34/$S32)</f>
        <v>#DIV/0!</v>
      </c>
      <c r="AO32" s="188" t="e" cm="1">
        <f t="array" aca="1" ref="AO32" ca="1">IF(AND($R32=2,ACOMPANHAMENTO="BM"),ROUND(AO33,4),AO34/$S32)</f>
        <v>#DIV/0!</v>
      </c>
      <c r="AP32" s="188" t="e" cm="1">
        <f t="array" aca="1" ref="AP32" ca="1">IF(AND($R32=2,ACOMPANHAMENTO="BM"),ROUND(AP33,4),AP34/$S32)</f>
        <v>#DIV/0!</v>
      </c>
      <c r="AQ32" s="188" t="e" cm="1">
        <f t="array" aca="1" ref="AQ32" ca="1">IF(AND($R32=2,ACOMPANHAMENTO="BM"),ROUND(AQ33,4),AQ34/$S32)</f>
        <v>#DIV/0!</v>
      </c>
      <c r="AR32" s="188" t="e" cm="1">
        <f t="array" aca="1" ref="AR32" ca="1">IF(AND($R32=2,ACOMPANHAMENTO="BM"),ROUND(AR33,4),AR34/$S32)</f>
        <v>#DIV/0!</v>
      </c>
      <c r="AS32" s="534"/>
    </row>
    <row r="33" spans="1:45" ht="12.75" hidden="1" customHeight="1" x14ac:dyDescent="0.2">
      <c r="E33" s="587"/>
      <c r="F33" s="185">
        <f ca="1">IF(ISERROR(F32),IF(1+COUNTIF($M$13:OFFSET(M32,-1,0),1)&lt;=MAX(QCI!$D$13:$D$24),1+COUNTIF($M$13:OFFSET(M32,-1,0),1),-1),0)</f>
        <v>0</v>
      </c>
      <c r="G33" s="185" t="str" cm="1">
        <f t="array" aca="1" ref="G33" ca="1">IF(ACOMPANHAMENTO="BM",OFFSET(G33,-1,0),"")</f>
        <v/>
      </c>
      <c r="H33" s="196" t="str" cm="1">
        <f t="array" aca="1" ref="H33" ca="1">IF(OR(S32=0,S32=""),"vazia",IF(AND(OR(ACOMPANHAMENTO="PLE",$R32&lt;&gt;2),$F33=0),"calculada","--&gt;"))</f>
        <v>vazia</v>
      </c>
      <c r="I33" s="197"/>
      <c r="J33" s="198" t="str">
        <f t="shared" ref="J33" ca="1" si="42">IF(AND(H32&lt;&gt;0,ISNUMBER(H32)),"PREENCHA ESTA LINHA --&gt;","")</f>
        <v/>
      </c>
      <c r="K33" s="198"/>
      <c r="L33" s="198"/>
      <c r="M33" s="199"/>
      <c r="N33" s="199"/>
      <c r="O33" s="199"/>
      <c r="P33" s="199"/>
      <c r="Q33" s="199"/>
      <c r="R33" s="199"/>
      <c r="S33" s="200"/>
      <c r="T33" s="201"/>
      <c r="U33" s="587"/>
      <c r="V33" s="587"/>
      <c r="W33" s="587"/>
      <c r="X33" s="587"/>
      <c r="Y33" s="587"/>
      <c r="Z33" s="587"/>
      <c r="AA33" s="587"/>
      <c r="AB33" s="587"/>
      <c r="AC33" s="587"/>
      <c r="AD33" s="587"/>
      <c r="AE33" s="587"/>
      <c r="AF33" s="587"/>
      <c r="AG33" s="587"/>
      <c r="AH33" s="587"/>
      <c r="AI33" s="587"/>
      <c r="AJ33" s="587"/>
      <c r="AK33" s="587"/>
      <c r="AL33" s="587"/>
      <c r="AM33" s="587"/>
      <c r="AN33" s="587"/>
      <c r="AO33" s="587"/>
      <c r="AP33" s="587"/>
      <c r="AQ33" s="587"/>
      <c r="AR33" s="587"/>
      <c r="AS33" s="534"/>
    </row>
    <row r="34" spans="1:45" ht="12.75" hidden="1" customHeight="1" x14ac:dyDescent="0.2">
      <c r="D34" s="533"/>
      <c r="E34" s="202" cm="1">
        <f t="array" aca="1" ref="E34" ca="1">IF($R32=2,
         IF(AND(ACOMPANHAMENTO="PLE",ISNUMBER($F32)),
                SUMIF((OFFSET(CÁLCULO!$BS$15:$CS$15,$F32,0,OFFSET(ORÇAMENTO!$D$15,CRONO!$F32,0))),CRONO!E$12,OFFSET(CÁLCULO!$AR$15:$BR$15,$F32,0,OFFSET(ORÇAMENTO!$D$15,CRONO!$F32,0)))
                +IF(AND($F34&lt;&gt;"",$F34&lt;&gt;0),
                        SUMIF(CÁLCULO!$BS$15:$CS$244,CRONO!E$12,CÁLCULO!$AR$15:$BR$244)/(ORÇAMENTO!$X$15-CÁLCULO.TotalAdmLocal)*CRONO!$F34,
                        0),
                 E33*$S32),
          SUMIF(OFFSET($S34,1,0,$R32-2),($M32+1)&amp;"$",OFFSET(E34,1,0,$R32-2)))</f>
        <v>0</v>
      </c>
      <c r="F34" s="185">
        <f ca="1">IF(OR($R32&lt;&gt;2,AUTOEVENTO&lt;&gt;"manual",$F33&gt;0),"",
        IF(Import.TipoArredondamento="Tradicional",
              SUMIF(OFFSET(CÁLCULO!$M$15,CRONO!$F32,0,OFFSET(ORÇAMENTO!$D$15,CRONO!$F32,0)),1,OFFSET(ORÇAMENTO!$X$15,CRONO!$F32,0,OFFSET(ORÇAMENTO!$D$15,CRONO!$F32,0))),
              0))</f>
        <v>0</v>
      </c>
      <c r="H34" s="203"/>
      <c r="S34" s="204" t="str">
        <f t="shared" ref="S34" ca="1" si="43">M32&amp;"$"</f>
        <v>2$</v>
      </c>
      <c r="T34" s="205"/>
      <c r="U34" s="202" cm="1">
        <f t="array" aca="1" ref="U34" ca="1">IF($R32=2,
         IF(AND(ACOMPANHAMENTO="PLE",ISNUMBER($F32)),
                SUMIF((OFFSET(CÁLCULO!$BS$15:$CS$15,$F32,0,OFFSET(ORÇAMENTO!$D$15,CRONO!$F32,0))),CRONO!U$12,OFFSET(CÁLCULO!$AR$15:$BR$15,$F32,0,OFFSET(ORÇAMENTO!$D$15,CRONO!$F32,0)))
                +IF(AND($F34&lt;&gt;"",$F34&lt;&gt;0),
                        SUMIF(CÁLCULO!$BS$15:$CS$244,CRONO!U$12,CÁLCULO!$AR$15:$BR$244)/(ORÇAMENTO!$X$15-CÁLCULO.TotalAdmLocal)*CRONO!$F34,
                        0),
                 U33*$S32),
          SUMIF(OFFSET($S34,1,0,$R32-2),($M32+1)&amp;"$",OFFSET(U34,1,0,$R32-2)))</f>
        <v>0</v>
      </c>
      <c r="V34" s="202" cm="1">
        <f t="array" aca="1" ref="V34" ca="1">IF($R32=2,
         IF(AND(ACOMPANHAMENTO="PLE",ISNUMBER($F32)),
                SUMIF((OFFSET(CÁLCULO!$BS$15:$CS$15,$F32,0,OFFSET(ORÇAMENTO!$D$15,CRONO!$F32,0))),CRONO!V$12,OFFSET(CÁLCULO!$AR$15:$BR$15,$F32,0,OFFSET(ORÇAMENTO!$D$15,CRONO!$F32,0)))
                +IF(AND($F34&lt;&gt;"",$F34&lt;&gt;0),
                        SUMIF(CÁLCULO!$BS$15:$CS$244,CRONO!V$12,CÁLCULO!$AR$15:$BR$244)/(ORÇAMENTO!$X$15-CÁLCULO.TotalAdmLocal)*CRONO!$F34,
                        0),
                 V33*$S32),
          SUMIF(OFFSET($S34,1,0,$R32-2),($M32+1)&amp;"$",OFFSET(V34,1,0,$R32-2)))</f>
        <v>0</v>
      </c>
      <c r="W34" s="202" cm="1">
        <f t="array" aca="1" ref="W34" ca="1">IF($R32=2,
         IF(AND(ACOMPANHAMENTO="PLE",ISNUMBER($F32)),
                SUMIF((OFFSET(CÁLCULO!$BS$15:$CS$15,$F32,0,OFFSET(ORÇAMENTO!$D$15,CRONO!$F32,0))),CRONO!W$12,OFFSET(CÁLCULO!$AR$15:$BR$15,$F32,0,OFFSET(ORÇAMENTO!$D$15,CRONO!$F32,0)))
                +IF(AND($F34&lt;&gt;"",$F34&lt;&gt;0),
                        SUMIF(CÁLCULO!$BS$15:$CS$244,CRONO!W$12,CÁLCULO!$AR$15:$BR$244)/(ORÇAMENTO!$X$15-CÁLCULO.TotalAdmLocal)*CRONO!$F34,
                        0),
                 W33*$S32),
          SUMIF(OFFSET($S34,1,0,$R32-2),($M32+1)&amp;"$",OFFSET(W34,1,0,$R32-2)))</f>
        <v>0</v>
      </c>
      <c r="X34" s="202" cm="1">
        <f t="array" aca="1" ref="X34" ca="1">IF($R32=2,
         IF(AND(ACOMPANHAMENTO="PLE",ISNUMBER($F32)),
                SUMIF((OFFSET(CÁLCULO!$BS$15:$CS$15,$F32,0,OFFSET(ORÇAMENTO!$D$15,CRONO!$F32,0))),CRONO!X$12,OFFSET(CÁLCULO!$AR$15:$BR$15,$F32,0,OFFSET(ORÇAMENTO!$D$15,CRONO!$F32,0)))
                +IF(AND($F34&lt;&gt;"",$F34&lt;&gt;0),
                        SUMIF(CÁLCULO!$BS$15:$CS$244,CRONO!X$12,CÁLCULO!$AR$15:$BR$244)/(ORÇAMENTO!$X$15-CÁLCULO.TotalAdmLocal)*CRONO!$F34,
                        0),
                 X33*$S32),
          SUMIF(OFFSET($S34,1,0,$R32-2),($M32+1)&amp;"$",OFFSET(X34,1,0,$R32-2)))</f>
        <v>0</v>
      </c>
      <c r="Y34" s="202" cm="1">
        <f t="array" aca="1" ref="Y34" ca="1">IF($R32=2,
         IF(AND(ACOMPANHAMENTO="PLE",ISNUMBER($F32)),
                SUMIF((OFFSET(CÁLCULO!$BS$15:$CS$15,$F32,0,OFFSET(ORÇAMENTO!$D$15,CRONO!$F32,0))),CRONO!Y$12,OFFSET(CÁLCULO!$AR$15:$BR$15,$F32,0,OFFSET(ORÇAMENTO!$D$15,CRONO!$F32,0)))
                +IF(AND($F34&lt;&gt;"",$F34&lt;&gt;0),
                        SUMIF(CÁLCULO!$BS$15:$CS$244,CRONO!Y$12,CÁLCULO!$AR$15:$BR$244)/(ORÇAMENTO!$X$15-CÁLCULO.TotalAdmLocal)*CRONO!$F34,
                        0),
                 Y33*$S32),
          SUMIF(OFFSET($S34,1,0,$R32-2),($M32+1)&amp;"$",OFFSET(Y34,1,0,$R32-2)))</f>
        <v>0</v>
      </c>
      <c r="Z34" s="202" cm="1">
        <f t="array" aca="1" ref="Z34" ca="1">IF($R32=2,
         IF(AND(ACOMPANHAMENTO="PLE",ISNUMBER($F32)),
                SUMIF((OFFSET(CÁLCULO!$BS$15:$CS$15,$F32,0,OFFSET(ORÇAMENTO!$D$15,CRONO!$F32,0))),CRONO!Z$12,OFFSET(CÁLCULO!$AR$15:$BR$15,$F32,0,OFFSET(ORÇAMENTO!$D$15,CRONO!$F32,0)))
                +IF(AND($F34&lt;&gt;"",$F34&lt;&gt;0),
                        SUMIF(CÁLCULO!$BS$15:$CS$244,CRONO!Z$12,CÁLCULO!$AR$15:$BR$244)/(ORÇAMENTO!$X$15-CÁLCULO.TotalAdmLocal)*CRONO!$F34,
                        0),
                 Z33*$S32),
          SUMIF(OFFSET($S34,1,0,$R32-2),($M32+1)&amp;"$",OFFSET(Z34,1,0,$R32-2)))</f>
        <v>0</v>
      </c>
      <c r="AA34" s="202" cm="1">
        <f t="array" aca="1" ref="AA34" ca="1">IF($R32=2,
         IF(AND(ACOMPANHAMENTO="PLE",ISNUMBER($F32)),
                SUMIF((OFFSET(CÁLCULO!$BS$15:$CS$15,$F32,0,OFFSET(ORÇAMENTO!$D$15,CRONO!$F32,0))),CRONO!AA$12,OFFSET(CÁLCULO!$AR$15:$BR$15,$F32,0,OFFSET(ORÇAMENTO!$D$15,CRONO!$F32,0)))
                +IF(AND($F34&lt;&gt;"",$F34&lt;&gt;0),
                        SUMIF(CÁLCULO!$BS$15:$CS$244,CRONO!AA$12,CÁLCULO!$AR$15:$BR$244)/(ORÇAMENTO!$X$15-CÁLCULO.TotalAdmLocal)*CRONO!$F34,
                        0),
                 AA33*$S32),
          SUMIF(OFFSET($S34,1,0,$R32-2),($M32+1)&amp;"$",OFFSET(AA34,1,0,$R32-2)))</f>
        <v>0</v>
      </c>
      <c r="AB34" s="202" cm="1">
        <f t="array" aca="1" ref="AB34" ca="1">IF($R32=2,
         IF(AND(ACOMPANHAMENTO="PLE",ISNUMBER($F32)),
                SUMIF((OFFSET(CÁLCULO!$BS$15:$CS$15,$F32,0,OFFSET(ORÇAMENTO!$D$15,CRONO!$F32,0))),CRONO!AB$12,OFFSET(CÁLCULO!$AR$15:$BR$15,$F32,0,OFFSET(ORÇAMENTO!$D$15,CRONO!$F32,0)))
                +IF(AND($F34&lt;&gt;"",$F34&lt;&gt;0),
                        SUMIF(CÁLCULO!$BS$15:$CS$244,CRONO!AB$12,CÁLCULO!$AR$15:$BR$244)/(ORÇAMENTO!$X$15-CÁLCULO.TotalAdmLocal)*CRONO!$F34,
                        0),
                 AB33*$S32),
          SUMIF(OFFSET($S34,1,0,$R32-2),($M32+1)&amp;"$",OFFSET(AB34,1,0,$R32-2)))</f>
        <v>0</v>
      </c>
      <c r="AC34" s="202" cm="1">
        <f t="array" aca="1" ref="AC34" ca="1">IF($R32=2,
         IF(AND(ACOMPANHAMENTO="PLE",ISNUMBER($F32)),
                SUMIF((OFFSET(CÁLCULO!$BS$15:$CS$15,$F32,0,OFFSET(ORÇAMENTO!$D$15,CRONO!$F32,0))),CRONO!AC$12,OFFSET(CÁLCULO!$AR$15:$BR$15,$F32,0,OFFSET(ORÇAMENTO!$D$15,CRONO!$F32,0)))
                +IF(AND($F34&lt;&gt;"",$F34&lt;&gt;0),
                        SUMIF(CÁLCULO!$BS$15:$CS$244,CRONO!AC$12,CÁLCULO!$AR$15:$BR$244)/(ORÇAMENTO!$X$15-CÁLCULO.TotalAdmLocal)*CRONO!$F34,
                        0),
                 AC33*$S32),
          SUMIF(OFFSET($S34,1,0,$R32-2),($M32+1)&amp;"$",OFFSET(AC34,1,0,$R32-2)))</f>
        <v>0</v>
      </c>
      <c r="AD34" s="202" cm="1">
        <f t="array" aca="1" ref="AD34" ca="1">IF($R32=2,
         IF(AND(ACOMPANHAMENTO="PLE",ISNUMBER($F32)),
                SUMIF((OFFSET(CÁLCULO!$BS$15:$CS$15,$F32,0,OFFSET(ORÇAMENTO!$D$15,CRONO!$F32,0))),CRONO!AD$12,OFFSET(CÁLCULO!$AR$15:$BR$15,$F32,0,OFFSET(ORÇAMENTO!$D$15,CRONO!$F32,0)))
                +IF(AND($F34&lt;&gt;"",$F34&lt;&gt;0),
                        SUMIF(CÁLCULO!$BS$15:$CS$244,CRONO!AD$12,CÁLCULO!$AR$15:$BR$244)/(ORÇAMENTO!$X$15-CÁLCULO.TotalAdmLocal)*CRONO!$F34,
                        0),
                 AD33*$S32),
          SUMIF(OFFSET($S34,1,0,$R32-2),($M32+1)&amp;"$",OFFSET(AD34,1,0,$R32-2)))</f>
        <v>0</v>
      </c>
      <c r="AE34" s="202" cm="1">
        <f t="array" aca="1" ref="AE34" ca="1">IF($R32=2,
         IF(AND(ACOMPANHAMENTO="PLE",ISNUMBER($F32)),
                SUMIF((OFFSET(CÁLCULO!$BS$15:$CS$15,$F32,0,OFFSET(ORÇAMENTO!$D$15,CRONO!$F32,0))),CRONO!AE$12,OFFSET(CÁLCULO!$AR$15:$BR$15,$F32,0,OFFSET(ORÇAMENTO!$D$15,CRONO!$F32,0)))
                +IF(AND($F34&lt;&gt;"",$F34&lt;&gt;0),
                        SUMIF(CÁLCULO!$BS$15:$CS$244,CRONO!AE$12,CÁLCULO!$AR$15:$BR$244)/(ORÇAMENTO!$X$15-CÁLCULO.TotalAdmLocal)*CRONO!$F34,
                        0),
                 AE33*$S32),
          SUMIF(OFFSET($S34,1,0,$R32-2),($M32+1)&amp;"$",OFFSET(AE34,1,0,$R32-2)))</f>
        <v>0</v>
      </c>
      <c r="AF34" s="202" cm="1">
        <f t="array" aca="1" ref="AF34" ca="1">IF($R32=2,
         IF(AND(ACOMPANHAMENTO="PLE",ISNUMBER($F32)),
                SUMIF((OFFSET(CÁLCULO!$BS$15:$CS$15,$F32,0,OFFSET(ORÇAMENTO!$D$15,CRONO!$F32,0))),CRONO!AF$12,OFFSET(CÁLCULO!$AR$15:$BR$15,$F32,0,OFFSET(ORÇAMENTO!$D$15,CRONO!$F32,0)))
                +IF(AND($F34&lt;&gt;"",$F34&lt;&gt;0),
                        SUMIF(CÁLCULO!$BS$15:$CS$244,CRONO!AF$12,CÁLCULO!$AR$15:$BR$244)/(ORÇAMENTO!$X$15-CÁLCULO.TotalAdmLocal)*CRONO!$F34,
                        0),
                 AF33*$S32),
          SUMIF(OFFSET($S34,1,0,$R32-2),($M32+1)&amp;"$",OFFSET(AF34,1,0,$R32-2)))</f>
        <v>0</v>
      </c>
      <c r="AG34" s="202" cm="1">
        <f t="array" aca="1" ref="AG34" ca="1">IF($R32=2,
         IF(AND(ACOMPANHAMENTO="PLE",ISNUMBER($F32)),
                SUMIF((OFFSET(CÁLCULO!$BS$15:$CS$15,$F32,0,OFFSET(ORÇAMENTO!$D$15,CRONO!$F32,0))),CRONO!AG$12,OFFSET(CÁLCULO!$AR$15:$BR$15,$F32,0,OFFSET(ORÇAMENTO!$D$15,CRONO!$F32,0)))
                +IF(AND($F34&lt;&gt;"",$F34&lt;&gt;0),
                        SUMIF(CÁLCULO!$BS$15:$CS$244,CRONO!AG$12,CÁLCULO!$AR$15:$BR$244)/(ORÇAMENTO!$X$15-CÁLCULO.TotalAdmLocal)*CRONO!$F34,
                        0),
                 AG33*$S32),
          SUMIF(OFFSET($S34,1,0,$R32-2),($M32+1)&amp;"$",OFFSET(AG34,1,0,$R32-2)))</f>
        <v>0</v>
      </c>
      <c r="AH34" s="202" cm="1">
        <f t="array" aca="1" ref="AH34" ca="1">IF($R32=2,
         IF(AND(ACOMPANHAMENTO="PLE",ISNUMBER($F32)),
                SUMIF((OFFSET(CÁLCULO!$BS$15:$CS$15,$F32,0,OFFSET(ORÇAMENTO!$D$15,CRONO!$F32,0))),CRONO!AH$12,OFFSET(CÁLCULO!$AR$15:$BR$15,$F32,0,OFFSET(ORÇAMENTO!$D$15,CRONO!$F32,0)))
                +IF(AND($F34&lt;&gt;"",$F34&lt;&gt;0),
                        SUMIF(CÁLCULO!$BS$15:$CS$244,CRONO!AH$12,CÁLCULO!$AR$15:$BR$244)/(ORÇAMENTO!$X$15-CÁLCULO.TotalAdmLocal)*CRONO!$F34,
                        0),
                 AH33*$S32),
          SUMIF(OFFSET($S34,1,0,$R32-2),($M32+1)&amp;"$",OFFSET(AH34,1,0,$R32-2)))</f>
        <v>0</v>
      </c>
      <c r="AI34" s="202" cm="1">
        <f t="array" aca="1" ref="AI34" ca="1">IF($R32=2,
         IF(AND(ACOMPANHAMENTO="PLE",ISNUMBER($F32)),
                SUMIF((OFFSET(CÁLCULO!$BS$15:$CS$15,$F32,0,OFFSET(ORÇAMENTO!$D$15,CRONO!$F32,0))),CRONO!AI$12,OFFSET(CÁLCULO!$AR$15:$BR$15,$F32,0,OFFSET(ORÇAMENTO!$D$15,CRONO!$F32,0)))
                +IF(AND($F34&lt;&gt;"",$F34&lt;&gt;0),
                        SUMIF(CÁLCULO!$BS$15:$CS$244,CRONO!AI$12,CÁLCULO!$AR$15:$BR$244)/(ORÇAMENTO!$X$15-CÁLCULO.TotalAdmLocal)*CRONO!$F34,
                        0),
                 AI33*$S32),
          SUMIF(OFFSET($S34,1,0,$R32-2),($M32+1)&amp;"$",OFFSET(AI34,1,0,$R32-2)))</f>
        <v>0</v>
      </c>
      <c r="AJ34" s="202" cm="1">
        <f t="array" aca="1" ref="AJ34" ca="1">IF($R32=2,
         IF(AND(ACOMPANHAMENTO="PLE",ISNUMBER($F32)),
                SUMIF((OFFSET(CÁLCULO!$BS$15:$CS$15,$F32,0,OFFSET(ORÇAMENTO!$D$15,CRONO!$F32,0))),CRONO!AJ$12,OFFSET(CÁLCULO!$AR$15:$BR$15,$F32,0,OFFSET(ORÇAMENTO!$D$15,CRONO!$F32,0)))
                +IF(AND($F34&lt;&gt;"",$F34&lt;&gt;0),
                        SUMIF(CÁLCULO!$BS$15:$CS$244,CRONO!AJ$12,CÁLCULO!$AR$15:$BR$244)/(ORÇAMENTO!$X$15-CÁLCULO.TotalAdmLocal)*CRONO!$F34,
                        0),
                 AJ33*$S32),
          SUMIF(OFFSET($S34,1,0,$R32-2),($M32+1)&amp;"$",OFFSET(AJ34,1,0,$R32-2)))</f>
        <v>0</v>
      </c>
      <c r="AK34" s="202" cm="1">
        <f t="array" aca="1" ref="AK34" ca="1">IF($R32=2,
         IF(AND(ACOMPANHAMENTO="PLE",ISNUMBER($F32)),
                SUMIF((OFFSET(CÁLCULO!$BS$15:$CS$15,$F32,0,OFFSET(ORÇAMENTO!$D$15,CRONO!$F32,0))),CRONO!AK$12,OFFSET(CÁLCULO!$AR$15:$BR$15,$F32,0,OFFSET(ORÇAMENTO!$D$15,CRONO!$F32,0)))
                +IF(AND($F34&lt;&gt;"",$F34&lt;&gt;0),
                        SUMIF(CÁLCULO!$BS$15:$CS$244,CRONO!AK$12,CÁLCULO!$AR$15:$BR$244)/(ORÇAMENTO!$X$15-CÁLCULO.TotalAdmLocal)*CRONO!$F34,
                        0),
                 AK33*$S32),
          SUMIF(OFFSET($S34,1,0,$R32-2),($M32+1)&amp;"$",OFFSET(AK34,1,0,$R32-2)))</f>
        <v>0</v>
      </c>
      <c r="AL34" s="202" cm="1">
        <f t="array" aca="1" ref="AL34" ca="1">IF($R32=2,
         IF(AND(ACOMPANHAMENTO="PLE",ISNUMBER($F32)),
                SUMIF((OFFSET(CÁLCULO!$BS$15:$CS$15,$F32,0,OFFSET(ORÇAMENTO!$D$15,CRONO!$F32,0))),CRONO!AL$12,OFFSET(CÁLCULO!$AR$15:$BR$15,$F32,0,OFFSET(ORÇAMENTO!$D$15,CRONO!$F32,0)))
                +IF(AND($F34&lt;&gt;"",$F34&lt;&gt;0),
                        SUMIF(CÁLCULO!$BS$15:$CS$244,CRONO!AL$12,CÁLCULO!$AR$15:$BR$244)/(ORÇAMENTO!$X$15-CÁLCULO.TotalAdmLocal)*CRONO!$F34,
                        0),
                 AL33*$S32),
          SUMIF(OFFSET($S34,1,0,$R32-2),($M32+1)&amp;"$",OFFSET(AL34,1,0,$R32-2)))</f>
        <v>0</v>
      </c>
      <c r="AM34" s="202" cm="1">
        <f t="array" aca="1" ref="AM34" ca="1">IF($R32=2,
         IF(AND(ACOMPANHAMENTO="PLE",ISNUMBER($F32)),
                SUMIF((OFFSET(CÁLCULO!$BS$15:$CS$15,$F32,0,OFFSET(ORÇAMENTO!$D$15,CRONO!$F32,0))),CRONO!AM$12,OFFSET(CÁLCULO!$AR$15:$BR$15,$F32,0,OFFSET(ORÇAMENTO!$D$15,CRONO!$F32,0)))
                +IF(AND($F34&lt;&gt;"",$F34&lt;&gt;0),
                        SUMIF(CÁLCULO!$BS$15:$CS$244,CRONO!AM$12,CÁLCULO!$AR$15:$BR$244)/(ORÇAMENTO!$X$15-CÁLCULO.TotalAdmLocal)*CRONO!$F34,
                        0),
                 AM33*$S32),
          SUMIF(OFFSET($S34,1,0,$R32-2),($M32+1)&amp;"$",OFFSET(AM34,1,0,$R32-2)))</f>
        <v>0</v>
      </c>
      <c r="AN34" s="202" cm="1">
        <f t="array" aca="1" ref="AN34" ca="1">IF($R32=2,
         IF(AND(ACOMPANHAMENTO="PLE",ISNUMBER($F32)),
                SUMIF((OFFSET(CÁLCULO!$BS$15:$CS$15,$F32,0,OFFSET(ORÇAMENTO!$D$15,CRONO!$F32,0))),CRONO!AN$12,OFFSET(CÁLCULO!$AR$15:$BR$15,$F32,0,OFFSET(ORÇAMENTO!$D$15,CRONO!$F32,0)))
                +IF(AND($F34&lt;&gt;"",$F34&lt;&gt;0),
                        SUMIF(CÁLCULO!$BS$15:$CS$244,CRONO!AN$12,CÁLCULO!$AR$15:$BR$244)/(ORÇAMENTO!$X$15-CÁLCULO.TotalAdmLocal)*CRONO!$F34,
                        0),
                 AN33*$S32),
          SUMIF(OFFSET($S34,1,0,$R32-2),($M32+1)&amp;"$",OFFSET(AN34,1,0,$R32-2)))</f>
        <v>0</v>
      </c>
      <c r="AO34" s="202" cm="1">
        <f t="array" aca="1" ref="AO34" ca="1">IF($R32=2,
         IF(AND(ACOMPANHAMENTO="PLE",ISNUMBER($F32)),
                SUMIF((OFFSET(CÁLCULO!$BS$15:$CS$15,$F32,0,OFFSET(ORÇAMENTO!$D$15,CRONO!$F32,0))),CRONO!AO$12,OFFSET(CÁLCULO!$AR$15:$BR$15,$F32,0,OFFSET(ORÇAMENTO!$D$15,CRONO!$F32,0)))
                +IF(AND($F34&lt;&gt;"",$F34&lt;&gt;0),
                        SUMIF(CÁLCULO!$BS$15:$CS$244,CRONO!AO$12,CÁLCULO!$AR$15:$BR$244)/(ORÇAMENTO!$X$15-CÁLCULO.TotalAdmLocal)*CRONO!$F34,
                        0),
                 AO33*$S32),
          SUMIF(OFFSET($S34,1,0,$R32-2),($M32+1)&amp;"$",OFFSET(AO34,1,0,$R32-2)))</f>
        <v>0</v>
      </c>
      <c r="AP34" s="202" cm="1">
        <f t="array" aca="1" ref="AP34" ca="1">IF($R32=2,
         IF(AND(ACOMPANHAMENTO="PLE",ISNUMBER($F32)),
                SUMIF((OFFSET(CÁLCULO!$BS$15:$CS$15,$F32,0,OFFSET(ORÇAMENTO!$D$15,CRONO!$F32,0))),CRONO!AP$12,OFFSET(CÁLCULO!$AR$15:$BR$15,$F32,0,OFFSET(ORÇAMENTO!$D$15,CRONO!$F32,0)))
                +IF(AND($F34&lt;&gt;"",$F34&lt;&gt;0),
                        SUMIF(CÁLCULO!$BS$15:$CS$244,CRONO!AP$12,CÁLCULO!$AR$15:$BR$244)/(ORÇAMENTO!$X$15-CÁLCULO.TotalAdmLocal)*CRONO!$F34,
                        0),
                 AP33*$S32),
          SUMIF(OFFSET($S34,1,0,$R32-2),($M32+1)&amp;"$",OFFSET(AP34,1,0,$R32-2)))</f>
        <v>0</v>
      </c>
      <c r="AQ34" s="202" cm="1">
        <f t="array" aca="1" ref="AQ34" ca="1">IF($R32=2,
         IF(AND(ACOMPANHAMENTO="PLE",ISNUMBER($F32)),
                SUMIF((OFFSET(CÁLCULO!$BS$15:$CS$15,$F32,0,OFFSET(ORÇAMENTO!$D$15,CRONO!$F32,0))),CRONO!AQ$12,OFFSET(CÁLCULO!$AR$15:$BR$15,$F32,0,OFFSET(ORÇAMENTO!$D$15,CRONO!$F32,0)))
                +IF(AND($F34&lt;&gt;"",$F34&lt;&gt;0),
                        SUMIF(CÁLCULO!$BS$15:$CS$244,CRONO!AQ$12,CÁLCULO!$AR$15:$BR$244)/(ORÇAMENTO!$X$15-CÁLCULO.TotalAdmLocal)*CRONO!$F34,
                        0),
                 AQ33*$S32),
          SUMIF(OFFSET($S34,1,0,$R32-2),($M32+1)&amp;"$",OFFSET(AQ34,1,0,$R32-2)))</f>
        <v>0</v>
      </c>
      <c r="AR34" s="202" cm="1">
        <f t="array" aca="1" ref="AR34" ca="1">IF($R32=2,
         IF(AND(ACOMPANHAMENTO="PLE",ISNUMBER($F32)),
                SUMIF((OFFSET(CÁLCULO!$BS$15:$CS$15,$F32,0,OFFSET(ORÇAMENTO!$D$15,CRONO!$F32,0))),CRONO!AR$12,OFFSET(CÁLCULO!$AR$15:$BR$15,$F32,0,OFFSET(ORÇAMENTO!$D$15,CRONO!$F32,0)))
                +IF(AND($F34&lt;&gt;"",$F34&lt;&gt;0),
                        SUMIF(CÁLCULO!$BS$15:$CS$244,CRONO!AR$12,CÁLCULO!$AR$15:$BR$244)/(ORÇAMENTO!$X$15-CÁLCULO.TotalAdmLocal)*CRONO!$F34,
                        0),
                 AR33*$S32),
          SUMIF(OFFSET($S34,1,0,$R32-2),($M32+1)&amp;"$",OFFSET(AR34,1,0,$R32-2)))</f>
        <v>0</v>
      </c>
      <c r="AS34" s="534"/>
    </row>
    <row r="35" spans="1:45" x14ac:dyDescent="0.2">
      <c r="A35" s="186" t="e">
        <f t="shared" ref="A35" ca="1" si="44">IF($M35&gt;1,_xlfn.CONCAT($I35," ",$J35),"")</f>
        <v>#NAME?</v>
      </c>
      <c r="B35" s="185">
        <f t="shared" ref="B35" ca="1" si="45">OFFSET(B35,-3,0)+1</f>
        <v>8</v>
      </c>
      <c r="C35" s="185">
        <f ca="1">IF($R35&lt;&gt;2,0,IF($S35=0,1,IF(F36&gt;0,OFFSET(QCI!$M$13,SUBSTITUTE(F36,".",""),0),OFFSET(ORÇAMENTO!$AA$15,CRONO!$F35,0))/$S35))</f>
        <v>1</v>
      </c>
      <c r="D35" s="185">
        <f ca="1">IF($R35&lt;&gt;2,0,IF($S35=0,1,IF(F36&gt;0,OFFSET(QCI!$N$13,SUBSTITUTE(F36,".",""),0),OFFSET(ORÇAMENTO!$AB$15,CRONO!$F35,0))/$S35))</f>
        <v>1</v>
      </c>
      <c r="E35" s="188" t="e" cm="1">
        <f t="array" aca="1" ref="E35" ca="1">IF(AND($R35=2,ACOMPANHAMENTO="BM"),ROUND(E36,4),E37/$S35)</f>
        <v>#DIV/0!</v>
      </c>
      <c r="F35" s="185" cm="1">
        <f t="array" aca="1" ref="F35" ca="1">IF(B35&lt;=ORÇAMENTO.MáximoListaCrono,MATCH(B35,ORÇAMENTO.ListaCrono,0),NA())</f>
        <v>21</v>
      </c>
      <c r="G35" s="185" t="str">
        <f t="shared" ref="G35" ca="1" si="46">IF(AND($F36&lt;&gt;-1,$S35&gt;0),"F","")</f>
        <v/>
      </c>
      <c r="H35" s="189" t="str" cm="1">
        <f t="array" aca="1" ref="H35" ca="1">IF(OR(S35=0,S35=""),"Linha",IF(AND(OR(ACOMPANHAMENTO="PLE",$R35&lt;&gt;2),$F36=0),"Linha",ROUND(1-SUM(U35:AS35),4)))</f>
        <v>Linha</v>
      </c>
      <c r="I35" s="190" t="str">
        <f ca="1">IF($F36=0,OFFSET(ORÇAMENTO!O$15,$F35,0),IF($F36&lt;&gt;-1,OFFSET(QCI!$D$13,$F36,0),""))</f>
        <v>3.2.</v>
      </c>
      <c r="J35" s="191" t="str">
        <f ca="1">IF($F36=0,OFFSET(ORÇAMENTO!R$15,$F35,0),IF($F36&lt;&gt;-1,OFFSET(QCI!$G$13,$F36,0),""))</f>
        <v>BALDRAMES</v>
      </c>
      <c r="K35" s="191"/>
      <c r="L35" s="191"/>
      <c r="M35" s="192">
        <f ca="1">IF($F36=0,OFFSET(ORÇAMENTO!C$15,$F35,0),1)</f>
        <v>2</v>
      </c>
      <c r="N35" s="193">
        <f ca="1">IF($F36=-1,0,IF(N$13&lt;=$M35,IF(ISERROR(MATCH(N$13,OFFSET($M35,1,0,ROW($M$164)-ROW($M35)-1),0)),ROW($M$164)-ROW($M35)-1,MATCH(N$13,OFFSET($M35,1,0,ROW($M$164)-ROW($M35)-1),0)-1),0))</f>
        <v>5</v>
      </c>
      <c r="O35" s="193">
        <f ca="1">IF($F36=-1,0,IF(O$13&lt;=$M35,IF(ISERROR(MATCH(O$13,OFFSET($M35,1,0,ROW($M$164)-ROW($M35)-1),0)),ROW($M$164)-ROW($M35)-1,MATCH(O$13,OFFSET($M35,1,0,ROW($M$164)-ROW($M35)-1),0)-1),0))</f>
        <v>2</v>
      </c>
      <c r="P35" s="193">
        <f ca="1">IF($F36=-1,0,IF(P$13&lt;=$M35,IF(ISERROR(MATCH(P$13,OFFSET($M35,1,0,ROW($M$164)-ROW($M35)-1),0)),ROW($M$164)-ROW($M35)-1,MATCH(P$13,OFFSET($M35,1,0,ROW($M$164)-ROW($M35)-1),0)-1),0))</f>
        <v>0</v>
      </c>
      <c r="Q35" s="193">
        <f ca="1">IF($F36=-1,0,IF(Q$13&lt;=$M35,IF(ISERROR(MATCH(Q$13,OFFSET($M35,1,0,ROW($M$164)-ROW($M35)-1),0)),ROW($M$164)-ROW($M35)-1,MATCH(Q$13,OFFSET($M35,1,0,ROW($M$164)-ROW($M35)-1),0)-1),0))</f>
        <v>0</v>
      </c>
      <c r="R35" s="193">
        <f t="shared" ref="R35" ca="1" si="47">MIN(OFFSET(M35,0,1,,M35))</f>
        <v>2</v>
      </c>
      <c r="S35" s="194">
        <f ca="1">IF($F36=0,OFFSET(ORÇAMENTO!X$15,$F35,0),IF($F36&lt;&gt;-1,OFFSET(QCI!$O$13,$F36,0),""))</f>
        <v>0</v>
      </c>
      <c r="T35" s="195" t="s">
        <v>785</v>
      </c>
      <c r="U35" s="188" t="e" cm="1">
        <f t="array" aca="1" ref="U35" ca="1">IF(AND($R35=2,ACOMPANHAMENTO="BM"),ROUND(U36,4),U37/$S35)</f>
        <v>#DIV/0!</v>
      </c>
      <c r="V35" s="188" t="e" cm="1">
        <f t="array" aca="1" ref="V35" ca="1">IF(AND($R35=2,ACOMPANHAMENTO="BM"),ROUND(V36,4),V37/$S35)</f>
        <v>#DIV/0!</v>
      </c>
      <c r="W35" s="188" t="e" cm="1">
        <f t="array" aca="1" ref="W35" ca="1">IF(AND($R35=2,ACOMPANHAMENTO="BM"),ROUND(W36,4),W37/$S35)</f>
        <v>#DIV/0!</v>
      </c>
      <c r="X35" s="188" t="e" cm="1">
        <f t="array" aca="1" ref="X35" ca="1">IF(AND($R35=2,ACOMPANHAMENTO="BM"),ROUND(X36,4),X37/$S35)</f>
        <v>#DIV/0!</v>
      </c>
      <c r="Y35" s="188" t="e" cm="1">
        <f t="array" aca="1" ref="Y35" ca="1">IF(AND($R35=2,ACOMPANHAMENTO="BM"),ROUND(Y36,4),Y37/$S35)</f>
        <v>#DIV/0!</v>
      </c>
      <c r="Z35" s="188" t="e" cm="1">
        <f t="array" aca="1" ref="Z35" ca="1">IF(AND($R35=2,ACOMPANHAMENTO="BM"),ROUND(Z36,4),Z37/$S35)</f>
        <v>#DIV/0!</v>
      </c>
      <c r="AA35" s="188" t="e" cm="1">
        <f t="array" aca="1" ref="AA35" ca="1">IF(AND($R35=2,ACOMPANHAMENTO="BM"),ROUND(AA36,4),AA37/$S35)</f>
        <v>#DIV/0!</v>
      </c>
      <c r="AB35" s="188" t="e" cm="1">
        <f t="array" aca="1" ref="AB35" ca="1">IF(AND($R35=2,ACOMPANHAMENTO="BM"),ROUND(AB36,4),AB37/$S35)</f>
        <v>#DIV/0!</v>
      </c>
      <c r="AC35" s="188" t="e" cm="1">
        <f t="array" aca="1" ref="AC35" ca="1">IF(AND($R35=2,ACOMPANHAMENTO="BM"),ROUND(AC36,4),AC37/$S35)</f>
        <v>#DIV/0!</v>
      </c>
      <c r="AD35" s="188" t="e" cm="1">
        <f t="array" aca="1" ref="AD35" ca="1">IF(AND($R35=2,ACOMPANHAMENTO="BM"),ROUND(AD36,4),AD37/$S35)</f>
        <v>#DIV/0!</v>
      </c>
      <c r="AE35" s="188" t="e" cm="1">
        <f t="array" aca="1" ref="AE35" ca="1">IF(AND($R35=2,ACOMPANHAMENTO="BM"),ROUND(AE36,4),AE37/$S35)</f>
        <v>#DIV/0!</v>
      </c>
      <c r="AF35" s="188" t="e" cm="1">
        <f t="array" aca="1" ref="AF35" ca="1">IF(AND($R35=2,ACOMPANHAMENTO="BM"),ROUND(AF36,4),AF37/$S35)</f>
        <v>#DIV/0!</v>
      </c>
      <c r="AG35" s="188" t="e" cm="1">
        <f t="array" aca="1" ref="AG35" ca="1">IF(AND($R35=2,ACOMPANHAMENTO="BM"),ROUND(AG36,4),AG37/$S35)</f>
        <v>#DIV/0!</v>
      </c>
      <c r="AH35" s="188" t="e" cm="1">
        <f t="array" aca="1" ref="AH35" ca="1">IF(AND($R35=2,ACOMPANHAMENTO="BM"),ROUND(AH36,4),AH37/$S35)</f>
        <v>#DIV/0!</v>
      </c>
      <c r="AI35" s="188" t="e" cm="1">
        <f t="array" aca="1" ref="AI35" ca="1">IF(AND($R35=2,ACOMPANHAMENTO="BM"),ROUND(AI36,4),AI37/$S35)</f>
        <v>#DIV/0!</v>
      </c>
      <c r="AJ35" s="188" t="e" cm="1">
        <f t="array" aca="1" ref="AJ35" ca="1">IF(AND($R35=2,ACOMPANHAMENTO="BM"),ROUND(AJ36,4),AJ37/$S35)</f>
        <v>#DIV/0!</v>
      </c>
      <c r="AK35" s="188" t="e" cm="1">
        <f t="array" aca="1" ref="AK35" ca="1">IF(AND($R35=2,ACOMPANHAMENTO="BM"),ROUND(AK36,4),AK37/$S35)</f>
        <v>#DIV/0!</v>
      </c>
      <c r="AL35" s="188" t="e" cm="1">
        <f t="array" aca="1" ref="AL35" ca="1">IF(AND($R35=2,ACOMPANHAMENTO="BM"),ROUND(AL36,4),AL37/$S35)</f>
        <v>#DIV/0!</v>
      </c>
      <c r="AM35" s="188" t="e" cm="1">
        <f t="array" aca="1" ref="AM35" ca="1">IF(AND($R35=2,ACOMPANHAMENTO="BM"),ROUND(AM36,4),AM37/$S35)</f>
        <v>#DIV/0!</v>
      </c>
      <c r="AN35" s="188" t="e" cm="1">
        <f t="array" aca="1" ref="AN35" ca="1">IF(AND($R35=2,ACOMPANHAMENTO="BM"),ROUND(AN36,4),AN37/$S35)</f>
        <v>#DIV/0!</v>
      </c>
      <c r="AO35" s="188" t="e" cm="1">
        <f t="array" aca="1" ref="AO35" ca="1">IF(AND($R35=2,ACOMPANHAMENTO="BM"),ROUND(AO36,4),AO37/$S35)</f>
        <v>#DIV/0!</v>
      </c>
      <c r="AP35" s="188" t="e" cm="1">
        <f t="array" aca="1" ref="AP35" ca="1">IF(AND($R35=2,ACOMPANHAMENTO="BM"),ROUND(AP36,4),AP37/$S35)</f>
        <v>#DIV/0!</v>
      </c>
      <c r="AQ35" s="188" t="e" cm="1">
        <f t="array" aca="1" ref="AQ35" ca="1">IF(AND($R35=2,ACOMPANHAMENTO="BM"),ROUND(AQ36,4),AQ37/$S35)</f>
        <v>#DIV/0!</v>
      </c>
      <c r="AR35" s="188" t="e" cm="1">
        <f t="array" aca="1" ref="AR35" ca="1">IF(AND($R35=2,ACOMPANHAMENTO="BM"),ROUND(AR36,4),AR37/$S35)</f>
        <v>#DIV/0!</v>
      </c>
      <c r="AS35" s="534"/>
    </row>
    <row r="36" spans="1:45" ht="12.75" hidden="1" customHeight="1" x14ac:dyDescent="0.2">
      <c r="E36" s="587"/>
      <c r="F36" s="185">
        <f ca="1">IF(ISERROR(F35),IF(1+COUNTIF($M$13:OFFSET(M35,-1,0),1)&lt;=MAX(QCI!$D$13:$D$24),1+COUNTIF($M$13:OFFSET(M35,-1,0),1),-1),0)</f>
        <v>0</v>
      </c>
      <c r="G36" s="185" t="str" cm="1">
        <f t="array" aca="1" ref="G36" ca="1">IF(ACOMPANHAMENTO="BM",OFFSET(G36,-1,0),"")</f>
        <v/>
      </c>
      <c r="H36" s="196" t="str" cm="1">
        <f t="array" aca="1" ref="H36" ca="1">IF(OR(S35=0,S35=""),"vazia",IF(AND(OR(ACOMPANHAMENTO="PLE",$R35&lt;&gt;2),$F36=0),"calculada","--&gt;"))</f>
        <v>vazia</v>
      </c>
      <c r="I36" s="197"/>
      <c r="J36" s="198" t="str">
        <f t="shared" ref="J36" ca="1" si="48">IF(AND(H35&lt;&gt;0,ISNUMBER(H35)),"PREENCHA ESTA LINHA --&gt;","")</f>
        <v/>
      </c>
      <c r="K36" s="198"/>
      <c r="L36" s="198"/>
      <c r="M36" s="199"/>
      <c r="N36" s="199"/>
      <c r="O36" s="199"/>
      <c r="P36" s="199"/>
      <c r="Q36" s="199"/>
      <c r="R36" s="199"/>
      <c r="S36" s="200"/>
      <c r="T36" s="201"/>
      <c r="U36" s="587"/>
      <c r="V36" s="587"/>
      <c r="W36" s="587"/>
      <c r="X36" s="587"/>
      <c r="Y36" s="587"/>
      <c r="Z36" s="587"/>
      <c r="AA36" s="587"/>
      <c r="AB36" s="587"/>
      <c r="AC36" s="587"/>
      <c r="AD36" s="587"/>
      <c r="AE36" s="587"/>
      <c r="AF36" s="587"/>
      <c r="AG36" s="587"/>
      <c r="AH36" s="587"/>
      <c r="AI36" s="587"/>
      <c r="AJ36" s="587"/>
      <c r="AK36" s="587"/>
      <c r="AL36" s="587"/>
      <c r="AM36" s="587"/>
      <c r="AN36" s="587"/>
      <c r="AO36" s="587"/>
      <c r="AP36" s="587"/>
      <c r="AQ36" s="587"/>
      <c r="AR36" s="587"/>
      <c r="AS36" s="534"/>
    </row>
    <row r="37" spans="1:45" ht="12.75" hidden="1" customHeight="1" x14ac:dyDescent="0.2">
      <c r="D37" s="533"/>
      <c r="E37" s="202" cm="1">
        <f t="array" aca="1" ref="E37" ca="1">IF($R35=2,
         IF(AND(ACOMPANHAMENTO="PLE",ISNUMBER($F35)),
                SUMIF((OFFSET(CÁLCULO!$BS$15:$CS$15,$F35,0,OFFSET(ORÇAMENTO!$D$15,CRONO!$F35,0))),CRONO!E$12,OFFSET(CÁLCULO!$AR$15:$BR$15,$F35,0,OFFSET(ORÇAMENTO!$D$15,CRONO!$F35,0)))
                +IF(AND($F37&lt;&gt;"",$F37&lt;&gt;0),
                        SUMIF(CÁLCULO!$BS$15:$CS$244,CRONO!E$12,CÁLCULO!$AR$15:$BR$244)/(ORÇAMENTO!$X$15-CÁLCULO.TotalAdmLocal)*CRONO!$F37,
                        0),
                 E36*$S35),
          SUMIF(OFFSET($S37,1,0,$R35-2),($M35+1)&amp;"$",OFFSET(E37,1,0,$R35-2)))</f>
        <v>0</v>
      </c>
      <c r="F37" s="185">
        <f ca="1">IF(OR($R35&lt;&gt;2,AUTOEVENTO&lt;&gt;"manual",$F36&gt;0),"",
        IF(Import.TipoArredondamento="Tradicional",
              SUMIF(OFFSET(CÁLCULO!$M$15,CRONO!$F35,0,OFFSET(ORÇAMENTO!$D$15,CRONO!$F35,0)),1,OFFSET(ORÇAMENTO!$X$15,CRONO!$F35,0,OFFSET(ORÇAMENTO!$D$15,CRONO!$F35,0))),
              0))</f>
        <v>0</v>
      </c>
      <c r="H37" s="203"/>
      <c r="S37" s="204" t="str">
        <f t="shared" ref="S37" ca="1" si="49">M35&amp;"$"</f>
        <v>2$</v>
      </c>
      <c r="T37" s="205"/>
      <c r="U37" s="202" cm="1">
        <f t="array" aca="1" ref="U37" ca="1">IF($R35=2,
         IF(AND(ACOMPANHAMENTO="PLE",ISNUMBER($F35)),
                SUMIF((OFFSET(CÁLCULO!$BS$15:$CS$15,$F35,0,OFFSET(ORÇAMENTO!$D$15,CRONO!$F35,0))),CRONO!U$12,OFFSET(CÁLCULO!$AR$15:$BR$15,$F35,0,OFFSET(ORÇAMENTO!$D$15,CRONO!$F35,0)))
                +IF(AND($F37&lt;&gt;"",$F37&lt;&gt;0),
                        SUMIF(CÁLCULO!$BS$15:$CS$244,CRONO!U$12,CÁLCULO!$AR$15:$BR$244)/(ORÇAMENTO!$X$15-CÁLCULO.TotalAdmLocal)*CRONO!$F37,
                        0),
                 U36*$S35),
          SUMIF(OFFSET($S37,1,0,$R35-2),($M35+1)&amp;"$",OFFSET(U37,1,0,$R35-2)))</f>
        <v>0</v>
      </c>
      <c r="V37" s="202" cm="1">
        <f t="array" aca="1" ref="V37" ca="1">IF($R35=2,
         IF(AND(ACOMPANHAMENTO="PLE",ISNUMBER($F35)),
                SUMIF((OFFSET(CÁLCULO!$BS$15:$CS$15,$F35,0,OFFSET(ORÇAMENTO!$D$15,CRONO!$F35,0))),CRONO!V$12,OFFSET(CÁLCULO!$AR$15:$BR$15,$F35,0,OFFSET(ORÇAMENTO!$D$15,CRONO!$F35,0)))
                +IF(AND($F37&lt;&gt;"",$F37&lt;&gt;0),
                        SUMIF(CÁLCULO!$BS$15:$CS$244,CRONO!V$12,CÁLCULO!$AR$15:$BR$244)/(ORÇAMENTO!$X$15-CÁLCULO.TotalAdmLocal)*CRONO!$F37,
                        0),
                 V36*$S35),
          SUMIF(OFFSET($S37,1,0,$R35-2),($M35+1)&amp;"$",OFFSET(V37,1,0,$R35-2)))</f>
        <v>0</v>
      </c>
      <c r="W37" s="202" cm="1">
        <f t="array" aca="1" ref="W37" ca="1">IF($R35=2,
         IF(AND(ACOMPANHAMENTO="PLE",ISNUMBER($F35)),
                SUMIF((OFFSET(CÁLCULO!$BS$15:$CS$15,$F35,0,OFFSET(ORÇAMENTO!$D$15,CRONO!$F35,0))),CRONO!W$12,OFFSET(CÁLCULO!$AR$15:$BR$15,$F35,0,OFFSET(ORÇAMENTO!$D$15,CRONO!$F35,0)))
                +IF(AND($F37&lt;&gt;"",$F37&lt;&gt;0),
                        SUMIF(CÁLCULO!$BS$15:$CS$244,CRONO!W$12,CÁLCULO!$AR$15:$BR$244)/(ORÇAMENTO!$X$15-CÁLCULO.TotalAdmLocal)*CRONO!$F37,
                        0),
                 W36*$S35),
          SUMIF(OFFSET($S37,1,0,$R35-2),($M35+1)&amp;"$",OFFSET(W37,1,0,$R35-2)))</f>
        <v>0</v>
      </c>
      <c r="X37" s="202" cm="1">
        <f t="array" aca="1" ref="X37" ca="1">IF($R35=2,
         IF(AND(ACOMPANHAMENTO="PLE",ISNUMBER($F35)),
                SUMIF((OFFSET(CÁLCULO!$BS$15:$CS$15,$F35,0,OFFSET(ORÇAMENTO!$D$15,CRONO!$F35,0))),CRONO!X$12,OFFSET(CÁLCULO!$AR$15:$BR$15,$F35,0,OFFSET(ORÇAMENTO!$D$15,CRONO!$F35,0)))
                +IF(AND($F37&lt;&gt;"",$F37&lt;&gt;0),
                        SUMIF(CÁLCULO!$BS$15:$CS$244,CRONO!X$12,CÁLCULO!$AR$15:$BR$244)/(ORÇAMENTO!$X$15-CÁLCULO.TotalAdmLocal)*CRONO!$F37,
                        0),
                 X36*$S35),
          SUMIF(OFFSET($S37,1,0,$R35-2),($M35+1)&amp;"$",OFFSET(X37,1,0,$R35-2)))</f>
        <v>0</v>
      </c>
      <c r="Y37" s="202" cm="1">
        <f t="array" aca="1" ref="Y37" ca="1">IF($R35=2,
         IF(AND(ACOMPANHAMENTO="PLE",ISNUMBER($F35)),
                SUMIF((OFFSET(CÁLCULO!$BS$15:$CS$15,$F35,0,OFFSET(ORÇAMENTO!$D$15,CRONO!$F35,0))),CRONO!Y$12,OFFSET(CÁLCULO!$AR$15:$BR$15,$F35,0,OFFSET(ORÇAMENTO!$D$15,CRONO!$F35,0)))
                +IF(AND($F37&lt;&gt;"",$F37&lt;&gt;0),
                        SUMIF(CÁLCULO!$BS$15:$CS$244,CRONO!Y$12,CÁLCULO!$AR$15:$BR$244)/(ORÇAMENTO!$X$15-CÁLCULO.TotalAdmLocal)*CRONO!$F37,
                        0),
                 Y36*$S35),
          SUMIF(OFFSET($S37,1,0,$R35-2),($M35+1)&amp;"$",OFFSET(Y37,1,0,$R35-2)))</f>
        <v>0</v>
      </c>
      <c r="Z37" s="202" cm="1">
        <f t="array" aca="1" ref="Z37" ca="1">IF($R35=2,
         IF(AND(ACOMPANHAMENTO="PLE",ISNUMBER($F35)),
                SUMIF((OFFSET(CÁLCULO!$BS$15:$CS$15,$F35,0,OFFSET(ORÇAMENTO!$D$15,CRONO!$F35,0))),CRONO!Z$12,OFFSET(CÁLCULO!$AR$15:$BR$15,$F35,0,OFFSET(ORÇAMENTO!$D$15,CRONO!$F35,0)))
                +IF(AND($F37&lt;&gt;"",$F37&lt;&gt;0),
                        SUMIF(CÁLCULO!$BS$15:$CS$244,CRONO!Z$12,CÁLCULO!$AR$15:$BR$244)/(ORÇAMENTO!$X$15-CÁLCULO.TotalAdmLocal)*CRONO!$F37,
                        0),
                 Z36*$S35),
          SUMIF(OFFSET($S37,1,0,$R35-2),($M35+1)&amp;"$",OFFSET(Z37,1,0,$R35-2)))</f>
        <v>0</v>
      </c>
      <c r="AA37" s="202" cm="1">
        <f t="array" aca="1" ref="AA37" ca="1">IF($R35=2,
         IF(AND(ACOMPANHAMENTO="PLE",ISNUMBER($F35)),
                SUMIF((OFFSET(CÁLCULO!$BS$15:$CS$15,$F35,0,OFFSET(ORÇAMENTO!$D$15,CRONO!$F35,0))),CRONO!AA$12,OFFSET(CÁLCULO!$AR$15:$BR$15,$F35,0,OFFSET(ORÇAMENTO!$D$15,CRONO!$F35,0)))
                +IF(AND($F37&lt;&gt;"",$F37&lt;&gt;0),
                        SUMIF(CÁLCULO!$BS$15:$CS$244,CRONO!AA$12,CÁLCULO!$AR$15:$BR$244)/(ORÇAMENTO!$X$15-CÁLCULO.TotalAdmLocal)*CRONO!$F37,
                        0),
                 AA36*$S35),
          SUMIF(OFFSET($S37,1,0,$R35-2),($M35+1)&amp;"$",OFFSET(AA37,1,0,$R35-2)))</f>
        <v>0</v>
      </c>
      <c r="AB37" s="202" cm="1">
        <f t="array" aca="1" ref="AB37" ca="1">IF($R35=2,
         IF(AND(ACOMPANHAMENTO="PLE",ISNUMBER($F35)),
                SUMIF((OFFSET(CÁLCULO!$BS$15:$CS$15,$F35,0,OFFSET(ORÇAMENTO!$D$15,CRONO!$F35,0))),CRONO!AB$12,OFFSET(CÁLCULO!$AR$15:$BR$15,$F35,0,OFFSET(ORÇAMENTO!$D$15,CRONO!$F35,0)))
                +IF(AND($F37&lt;&gt;"",$F37&lt;&gt;0),
                        SUMIF(CÁLCULO!$BS$15:$CS$244,CRONO!AB$12,CÁLCULO!$AR$15:$BR$244)/(ORÇAMENTO!$X$15-CÁLCULO.TotalAdmLocal)*CRONO!$F37,
                        0),
                 AB36*$S35),
          SUMIF(OFFSET($S37,1,0,$R35-2),($M35+1)&amp;"$",OFFSET(AB37,1,0,$R35-2)))</f>
        <v>0</v>
      </c>
      <c r="AC37" s="202" cm="1">
        <f t="array" aca="1" ref="AC37" ca="1">IF($R35=2,
         IF(AND(ACOMPANHAMENTO="PLE",ISNUMBER($F35)),
                SUMIF((OFFSET(CÁLCULO!$BS$15:$CS$15,$F35,0,OFFSET(ORÇAMENTO!$D$15,CRONO!$F35,0))),CRONO!AC$12,OFFSET(CÁLCULO!$AR$15:$BR$15,$F35,0,OFFSET(ORÇAMENTO!$D$15,CRONO!$F35,0)))
                +IF(AND($F37&lt;&gt;"",$F37&lt;&gt;0),
                        SUMIF(CÁLCULO!$BS$15:$CS$244,CRONO!AC$12,CÁLCULO!$AR$15:$BR$244)/(ORÇAMENTO!$X$15-CÁLCULO.TotalAdmLocal)*CRONO!$F37,
                        0),
                 AC36*$S35),
          SUMIF(OFFSET($S37,1,0,$R35-2),($M35+1)&amp;"$",OFFSET(AC37,1,0,$R35-2)))</f>
        <v>0</v>
      </c>
      <c r="AD37" s="202" cm="1">
        <f t="array" aca="1" ref="AD37" ca="1">IF($R35=2,
         IF(AND(ACOMPANHAMENTO="PLE",ISNUMBER($F35)),
                SUMIF((OFFSET(CÁLCULO!$BS$15:$CS$15,$F35,0,OFFSET(ORÇAMENTO!$D$15,CRONO!$F35,0))),CRONO!AD$12,OFFSET(CÁLCULO!$AR$15:$BR$15,$F35,0,OFFSET(ORÇAMENTO!$D$15,CRONO!$F35,0)))
                +IF(AND($F37&lt;&gt;"",$F37&lt;&gt;0),
                        SUMIF(CÁLCULO!$BS$15:$CS$244,CRONO!AD$12,CÁLCULO!$AR$15:$BR$244)/(ORÇAMENTO!$X$15-CÁLCULO.TotalAdmLocal)*CRONO!$F37,
                        0),
                 AD36*$S35),
          SUMIF(OFFSET($S37,1,0,$R35-2),($M35+1)&amp;"$",OFFSET(AD37,1,0,$R35-2)))</f>
        <v>0</v>
      </c>
      <c r="AE37" s="202" cm="1">
        <f t="array" aca="1" ref="AE37" ca="1">IF($R35=2,
         IF(AND(ACOMPANHAMENTO="PLE",ISNUMBER($F35)),
                SUMIF((OFFSET(CÁLCULO!$BS$15:$CS$15,$F35,0,OFFSET(ORÇAMENTO!$D$15,CRONO!$F35,0))),CRONO!AE$12,OFFSET(CÁLCULO!$AR$15:$BR$15,$F35,0,OFFSET(ORÇAMENTO!$D$15,CRONO!$F35,0)))
                +IF(AND($F37&lt;&gt;"",$F37&lt;&gt;0),
                        SUMIF(CÁLCULO!$BS$15:$CS$244,CRONO!AE$12,CÁLCULO!$AR$15:$BR$244)/(ORÇAMENTO!$X$15-CÁLCULO.TotalAdmLocal)*CRONO!$F37,
                        0),
                 AE36*$S35),
          SUMIF(OFFSET($S37,1,0,$R35-2),($M35+1)&amp;"$",OFFSET(AE37,1,0,$R35-2)))</f>
        <v>0</v>
      </c>
      <c r="AF37" s="202" cm="1">
        <f t="array" aca="1" ref="AF37" ca="1">IF($R35=2,
         IF(AND(ACOMPANHAMENTO="PLE",ISNUMBER($F35)),
                SUMIF((OFFSET(CÁLCULO!$BS$15:$CS$15,$F35,0,OFFSET(ORÇAMENTO!$D$15,CRONO!$F35,0))),CRONO!AF$12,OFFSET(CÁLCULO!$AR$15:$BR$15,$F35,0,OFFSET(ORÇAMENTO!$D$15,CRONO!$F35,0)))
                +IF(AND($F37&lt;&gt;"",$F37&lt;&gt;0),
                        SUMIF(CÁLCULO!$BS$15:$CS$244,CRONO!AF$12,CÁLCULO!$AR$15:$BR$244)/(ORÇAMENTO!$X$15-CÁLCULO.TotalAdmLocal)*CRONO!$F37,
                        0),
                 AF36*$S35),
          SUMIF(OFFSET($S37,1,0,$R35-2),($M35+1)&amp;"$",OFFSET(AF37,1,0,$R35-2)))</f>
        <v>0</v>
      </c>
      <c r="AG37" s="202" cm="1">
        <f t="array" aca="1" ref="AG37" ca="1">IF($R35=2,
         IF(AND(ACOMPANHAMENTO="PLE",ISNUMBER($F35)),
                SUMIF((OFFSET(CÁLCULO!$BS$15:$CS$15,$F35,0,OFFSET(ORÇAMENTO!$D$15,CRONO!$F35,0))),CRONO!AG$12,OFFSET(CÁLCULO!$AR$15:$BR$15,$F35,0,OFFSET(ORÇAMENTO!$D$15,CRONO!$F35,0)))
                +IF(AND($F37&lt;&gt;"",$F37&lt;&gt;0),
                        SUMIF(CÁLCULO!$BS$15:$CS$244,CRONO!AG$12,CÁLCULO!$AR$15:$BR$244)/(ORÇAMENTO!$X$15-CÁLCULO.TotalAdmLocal)*CRONO!$F37,
                        0),
                 AG36*$S35),
          SUMIF(OFFSET($S37,1,0,$R35-2),($M35+1)&amp;"$",OFFSET(AG37,1,0,$R35-2)))</f>
        <v>0</v>
      </c>
      <c r="AH37" s="202" cm="1">
        <f t="array" aca="1" ref="AH37" ca="1">IF($R35=2,
         IF(AND(ACOMPANHAMENTO="PLE",ISNUMBER($F35)),
                SUMIF((OFFSET(CÁLCULO!$BS$15:$CS$15,$F35,0,OFFSET(ORÇAMENTO!$D$15,CRONO!$F35,0))),CRONO!AH$12,OFFSET(CÁLCULO!$AR$15:$BR$15,$F35,0,OFFSET(ORÇAMENTO!$D$15,CRONO!$F35,0)))
                +IF(AND($F37&lt;&gt;"",$F37&lt;&gt;0),
                        SUMIF(CÁLCULO!$BS$15:$CS$244,CRONO!AH$12,CÁLCULO!$AR$15:$BR$244)/(ORÇAMENTO!$X$15-CÁLCULO.TotalAdmLocal)*CRONO!$F37,
                        0),
                 AH36*$S35),
          SUMIF(OFFSET($S37,1,0,$R35-2),($M35+1)&amp;"$",OFFSET(AH37,1,0,$R35-2)))</f>
        <v>0</v>
      </c>
      <c r="AI37" s="202" cm="1">
        <f t="array" aca="1" ref="AI37" ca="1">IF($R35=2,
         IF(AND(ACOMPANHAMENTO="PLE",ISNUMBER($F35)),
                SUMIF((OFFSET(CÁLCULO!$BS$15:$CS$15,$F35,0,OFFSET(ORÇAMENTO!$D$15,CRONO!$F35,0))),CRONO!AI$12,OFFSET(CÁLCULO!$AR$15:$BR$15,$F35,0,OFFSET(ORÇAMENTO!$D$15,CRONO!$F35,0)))
                +IF(AND($F37&lt;&gt;"",$F37&lt;&gt;0),
                        SUMIF(CÁLCULO!$BS$15:$CS$244,CRONO!AI$12,CÁLCULO!$AR$15:$BR$244)/(ORÇAMENTO!$X$15-CÁLCULO.TotalAdmLocal)*CRONO!$F37,
                        0),
                 AI36*$S35),
          SUMIF(OFFSET($S37,1,0,$R35-2),($M35+1)&amp;"$",OFFSET(AI37,1,0,$R35-2)))</f>
        <v>0</v>
      </c>
      <c r="AJ37" s="202" cm="1">
        <f t="array" aca="1" ref="AJ37" ca="1">IF($R35=2,
         IF(AND(ACOMPANHAMENTO="PLE",ISNUMBER($F35)),
                SUMIF((OFFSET(CÁLCULO!$BS$15:$CS$15,$F35,0,OFFSET(ORÇAMENTO!$D$15,CRONO!$F35,0))),CRONO!AJ$12,OFFSET(CÁLCULO!$AR$15:$BR$15,$F35,0,OFFSET(ORÇAMENTO!$D$15,CRONO!$F35,0)))
                +IF(AND($F37&lt;&gt;"",$F37&lt;&gt;0),
                        SUMIF(CÁLCULO!$BS$15:$CS$244,CRONO!AJ$12,CÁLCULO!$AR$15:$BR$244)/(ORÇAMENTO!$X$15-CÁLCULO.TotalAdmLocal)*CRONO!$F37,
                        0),
                 AJ36*$S35),
          SUMIF(OFFSET($S37,1,0,$R35-2),($M35+1)&amp;"$",OFFSET(AJ37,1,0,$R35-2)))</f>
        <v>0</v>
      </c>
      <c r="AK37" s="202" cm="1">
        <f t="array" aca="1" ref="AK37" ca="1">IF($R35=2,
         IF(AND(ACOMPANHAMENTO="PLE",ISNUMBER($F35)),
                SUMIF((OFFSET(CÁLCULO!$BS$15:$CS$15,$F35,0,OFFSET(ORÇAMENTO!$D$15,CRONO!$F35,0))),CRONO!AK$12,OFFSET(CÁLCULO!$AR$15:$BR$15,$F35,0,OFFSET(ORÇAMENTO!$D$15,CRONO!$F35,0)))
                +IF(AND($F37&lt;&gt;"",$F37&lt;&gt;0),
                        SUMIF(CÁLCULO!$BS$15:$CS$244,CRONO!AK$12,CÁLCULO!$AR$15:$BR$244)/(ORÇAMENTO!$X$15-CÁLCULO.TotalAdmLocal)*CRONO!$F37,
                        0),
                 AK36*$S35),
          SUMIF(OFFSET($S37,1,0,$R35-2),($M35+1)&amp;"$",OFFSET(AK37,1,0,$R35-2)))</f>
        <v>0</v>
      </c>
      <c r="AL37" s="202" cm="1">
        <f t="array" aca="1" ref="AL37" ca="1">IF($R35=2,
         IF(AND(ACOMPANHAMENTO="PLE",ISNUMBER($F35)),
                SUMIF((OFFSET(CÁLCULO!$BS$15:$CS$15,$F35,0,OFFSET(ORÇAMENTO!$D$15,CRONO!$F35,0))),CRONO!AL$12,OFFSET(CÁLCULO!$AR$15:$BR$15,$F35,0,OFFSET(ORÇAMENTO!$D$15,CRONO!$F35,0)))
                +IF(AND($F37&lt;&gt;"",$F37&lt;&gt;0),
                        SUMIF(CÁLCULO!$BS$15:$CS$244,CRONO!AL$12,CÁLCULO!$AR$15:$BR$244)/(ORÇAMENTO!$X$15-CÁLCULO.TotalAdmLocal)*CRONO!$F37,
                        0),
                 AL36*$S35),
          SUMIF(OFFSET($S37,1,0,$R35-2),($M35+1)&amp;"$",OFFSET(AL37,1,0,$R35-2)))</f>
        <v>0</v>
      </c>
      <c r="AM37" s="202" cm="1">
        <f t="array" aca="1" ref="AM37" ca="1">IF($R35=2,
         IF(AND(ACOMPANHAMENTO="PLE",ISNUMBER($F35)),
                SUMIF((OFFSET(CÁLCULO!$BS$15:$CS$15,$F35,0,OFFSET(ORÇAMENTO!$D$15,CRONO!$F35,0))),CRONO!AM$12,OFFSET(CÁLCULO!$AR$15:$BR$15,$F35,0,OFFSET(ORÇAMENTO!$D$15,CRONO!$F35,0)))
                +IF(AND($F37&lt;&gt;"",$F37&lt;&gt;0),
                        SUMIF(CÁLCULO!$BS$15:$CS$244,CRONO!AM$12,CÁLCULO!$AR$15:$BR$244)/(ORÇAMENTO!$X$15-CÁLCULO.TotalAdmLocal)*CRONO!$F37,
                        0),
                 AM36*$S35),
          SUMIF(OFFSET($S37,1,0,$R35-2),($M35+1)&amp;"$",OFFSET(AM37,1,0,$R35-2)))</f>
        <v>0</v>
      </c>
      <c r="AN37" s="202" cm="1">
        <f t="array" aca="1" ref="AN37" ca="1">IF($R35=2,
         IF(AND(ACOMPANHAMENTO="PLE",ISNUMBER($F35)),
                SUMIF((OFFSET(CÁLCULO!$BS$15:$CS$15,$F35,0,OFFSET(ORÇAMENTO!$D$15,CRONO!$F35,0))),CRONO!AN$12,OFFSET(CÁLCULO!$AR$15:$BR$15,$F35,0,OFFSET(ORÇAMENTO!$D$15,CRONO!$F35,0)))
                +IF(AND($F37&lt;&gt;"",$F37&lt;&gt;0),
                        SUMIF(CÁLCULO!$BS$15:$CS$244,CRONO!AN$12,CÁLCULO!$AR$15:$BR$244)/(ORÇAMENTO!$X$15-CÁLCULO.TotalAdmLocal)*CRONO!$F37,
                        0),
                 AN36*$S35),
          SUMIF(OFFSET($S37,1,0,$R35-2),($M35+1)&amp;"$",OFFSET(AN37,1,0,$R35-2)))</f>
        <v>0</v>
      </c>
      <c r="AO37" s="202" cm="1">
        <f t="array" aca="1" ref="AO37" ca="1">IF($R35=2,
         IF(AND(ACOMPANHAMENTO="PLE",ISNUMBER($F35)),
                SUMIF((OFFSET(CÁLCULO!$BS$15:$CS$15,$F35,0,OFFSET(ORÇAMENTO!$D$15,CRONO!$F35,0))),CRONO!AO$12,OFFSET(CÁLCULO!$AR$15:$BR$15,$F35,0,OFFSET(ORÇAMENTO!$D$15,CRONO!$F35,0)))
                +IF(AND($F37&lt;&gt;"",$F37&lt;&gt;0),
                        SUMIF(CÁLCULO!$BS$15:$CS$244,CRONO!AO$12,CÁLCULO!$AR$15:$BR$244)/(ORÇAMENTO!$X$15-CÁLCULO.TotalAdmLocal)*CRONO!$F37,
                        0),
                 AO36*$S35),
          SUMIF(OFFSET($S37,1,0,$R35-2),($M35+1)&amp;"$",OFFSET(AO37,1,0,$R35-2)))</f>
        <v>0</v>
      </c>
      <c r="AP37" s="202" cm="1">
        <f t="array" aca="1" ref="AP37" ca="1">IF($R35=2,
         IF(AND(ACOMPANHAMENTO="PLE",ISNUMBER($F35)),
                SUMIF((OFFSET(CÁLCULO!$BS$15:$CS$15,$F35,0,OFFSET(ORÇAMENTO!$D$15,CRONO!$F35,0))),CRONO!AP$12,OFFSET(CÁLCULO!$AR$15:$BR$15,$F35,0,OFFSET(ORÇAMENTO!$D$15,CRONO!$F35,0)))
                +IF(AND($F37&lt;&gt;"",$F37&lt;&gt;0),
                        SUMIF(CÁLCULO!$BS$15:$CS$244,CRONO!AP$12,CÁLCULO!$AR$15:$BR$244)/(ORÇAMENTO!$X$15-CÁLCULO.TotalAdmLocal)*CRONO!$F37,
                        0),
                 AP36*$S35),
          SUMIF(OFFSET($S37,1,0,$R35-2),($M35+1)&amp;"$",OFFSET(AP37,1,0,$R35-2)))</f>
        <v>0</v>
      </c>
      <c r="AQ37" s="202" cm="1">
        <f t="array" aca="1" ref="AQ37" ca="1">IF($R35=2,
         IF(AND(ACOMPANHAMENTO="PLE",ISNUMBER($F35)),
                SUMIF((OFFSET(CÁLCULO!$BS$15:$CS$15,$F35,0,OFFSET(ORÇAMENTO!$D$15,CRONO!$F35,0))),CRONO!AQ$12,OFFSET(CÁLCULO!$AR$15:$BR$15,$F35,0,OFFSET(ORÇAMENTO!$D$15,CRONO!$F35,0)))
                +IF(AND($F37&lt;&gt;"",$F37&lt;&gt;0),
                        SUMIF(CÁLCULO!$BS$15:$CS$244,CRONO!AQ$12,CÁLCULO!$AR$15:$BR$244)/(ORÇAMENTO!$X$15-CÁLCULO.TotalAdmLocal)*CRONO!$F37,
                        0),
                 AQ36*$S35),
          SUMIF(OFFSET($S37,1,0,$R35-2),($M35+1)&amp;"$",OFFSET(AQ37,1,0,$R35-2)))</f>
        <v>0</v>
      </c>
      <c r="AR37" s="202" cm="1">
        <f t="array" aca="1" ref="AR37" ca="1">IF($R35=2,
         IF(AND(ACOMPANHAMENTO="PLE",ISNUMBER($F35)),
                SUMIF((OFFSET(CÁLCULO!$BS$15:$CS$15,$F35,0,OFFSET(ORÇAMENTO!$D$15,CRONO!$F35,0))),CRONO!AR$12,OFFSET(CÁLCULO!$AR$15:$BR$15,$F35,0,OFFSET(ORÇAMENTO!$D$15,CRONO!$F35,0)))
                +IF(AND($F37&lt;&gt;"",$F37&lt;&gt;0),
                        SUMIF(CÁLCULO!$BS$15:$CS$244,CRONO!AR$12,CÁLCULO!$AR$15:$BR$244)/(ORÇAMENTO!$X$15-CÁLCULO.TotalAdmLocal)*CRONO!$F37,
                        0),
                 AR36*$S35),
          SUMIF(OFFSET($S37,1,0,$R35-2),($M35+1)&amp;"$",OFFSET(AR37,1,0,$R35-2)))</f>
        <v>0</v>
      </c>
      <c r="AS37" s="534"/>
    </row>
    <row r="38" spans="1:45" x14ac:dyDescent="0.2">
      <c r="A38" s="186" t="e">
        <f t="shared" ref="A38" ca="1" si="50">IF($M38&gt;1,_xlfn.CONCAT($I38," ",$J38),"")</f>
        <v>#NAME?</v>
      </c>
      <c r="B38" s="185">
        <f t="shared" ref="B38" ca="1" si="51">OFFSET(B38,-3,0)+1</f>
        <v>9</v>
      </c>
      <c r="C38" s="185">
        <f ca="1">IF($R38&lt;&gt;2,0,IF($S38=0,1,IF(F39&gt;0,OFFSET(QCI!$M$13,SUBSTITUTE(F39,".",""),0),OFFSET(ORÇAMENTO!$AA$15,CRONO!$F38,0))/$S38))</f>
        <v>1</v>
      </c>
      <c r="D38" s="185">
        <f ca="1">IF($R38&lt;&gt;2,0,IF($S38=0,1,IF(F39&gt;0,OFFSET(QCI!$N$13,SUBSTITUTE(F39,".",""),0),OFFSET(ORÇAMENTO!$AB$15,CRONO!$F38,0))/$S38))</f>
        <v>1</v>
      </c>
      <c r="E38" s="188" t="e" cm="1">
        <f t="array" aca="1" ref="E38" ca="1">IF(AND($R38=2,ACOMPANHAMENTO="BM"),ROUND(E39,4),E40/$S38)</f>
        <v>#DIV/0!</v>
      </c>
      <c r="F38" s="185" cm="1">
        <f t="array" aca="1" ref="F38" ca="1">IF(B38&lt;=ORÇAMENTO.MáximoListaCrono,MATCH(B38,ORÇAMENTO.ListaCrono,0),NA())</f>
        <v>30</v>
      </c>
      <c r="G38" s="185" t="str">
        <f t="shared" ref="G38" ca="1" si="52">IF(AND($F39&lt;&gt;-1,$S38&gt;0),"F","")</f>
        <v/>
      </c>
      <c r="H38" s="189" t="str" cm="1">
        <f t="array" aca="1" ref="H38" ca="1">IF(OR(S38=0,S38=""),"Linha",IF(AND(OR(ACOMPANHAMENTO="PLE",$R38&lt;&gt;2),$F39=0),"Linha",ROUND(1-SUM(U38:AS38),4)))</f>
        <v>Linha</v>
      </c>
      <c r="I38" s="190" t="str">
        <f ca="1">IF($F39=0,OFFSET(ORÇAMENTO!O$15,$F38,0),IF($F39&lt;&gt;-1,OFFSET(QCI!$D$13,$F39,0),""))</f>
        <v>3.3.</v>
      </c>
      <c r="J38" s="191" t="str">
        <f ca="1">IF($F39=0,OFFSET(ORÇAMENTO!R$15,$F38,0),IF($F39&lt;&gt;-1,OFFSET(QCI!$G$13,$F39,0),""))</f>
        <v>IMPERMEABILIZAÇÃO</v>
      </c>
      <c r="K38" s="191"/>
      <c r="L38" s="191"/>
      <c r="M38" s="192">
        <f ca="1">IF($F39=0,OFFSET(ORÇAMENTO!C$15,$F38,0),1)</f>
        <v>2</v>
      </c>
      <c r="N38" s="193">
        <f ca="1">IF($F39=-1,0,IF(N$13&lt;=$M38,IF(ISERROR(MATCH(N$13,OFFSET($M38,1,0,ROW($M$164)-ROW($M38)-1),0)),ROW($M$164)-ROW($M38)-1,MATCH(N$13,OFFSET($M38,1,0,ROW($M$164)-ROW($M38)-1),0)-1),0))</f>
        <v>2</v>
      </c>
      <c r="O38" s="193">
        <f ca="1">IF($F39=-1,0,IF(O$13&lt;=$M38,IF(ISERROR(MATCH(O$13,OFFSET($M38,1,0,ROW($M$164)-ROW($M38)-1),0)),ROW($M$164)-ROW($M38)-1,MATCH(O$13,OFFSET($M38,1,0,ROW($M$164)-ROW($M38)-1),0)-1),0))</f>
        <v>5</v>
      </c>
      <c r="P38" s="193">
        <f ca="1">IF($F39=-1,0,IF(P$13&lt;=$M38,IF(ISERROR(MATCH(P$13,OFFSET($M38,1,0,ROW($M$164)-ROW($M38)-1),0)),ROW($M$164)-ROW($M38)-1,MATCH(P$13,OFFSET($M38,1,0,ROW($M$164)-ROW($M38)-1),0)-1),0))</f>
        <v>0</v>
      </c>
      <c r="Q38" s="193">
        <f ca="1">IF($F39=-1,0,IF(Q$13&lt;=$M38,IF(ISERROR(MATCH(Q$13,OFFSET($M38,1,0,ROW($M$164)-ROW($M38)-1),0)),ROW($M$164)-ROW($M38)-1,MATCH(Q$13,OFFSET($M38,1,0,ROW($M$164)-ROW($M38)-1),0)-1),0))</f>
        <v>0</v>
      </c>
      <c r="R38" s="193">
        <f t="shared" ref="R38" ca="1" si="53">MIN(OFFSET(M38,0,1,,M38))</f>
        <v>2</v>
      </c>
      <c r="S38" s="194">
        <f ca="1">IF($F39=0,OFFSET(ORÇAMENTO!X$15,$F38,0),IF($F39&lt;&gt;-1,OFFSET(QCI!$O$13,$F39,0),""))</f>
        <v>0</v>
      </c>
      <c r="T38" s="195" t="s">
        <v>785</v>
      </c>
      <c r="U38" s="188" t="e" cm="1">
        <f t="array" aca="1" ref="U38" ca="1">IF(AND($R38=2,ACOMPANHAMENTO="BM"),ROUND(U39,4),U40/$S38)</f>
        <v>#DIV/0!</v>
      </c>
      <c r="V38" s="188" t="e" cm="1">
        <f t="array" aca="1" ref="V38" ca="1">IF(AND($R38=2,ACOMPANHAMENTO="BM"),ROUND(V39,4),V40/$S38)</f>
        <v>#DIV/0!</v>
      </c>
      <c r="W38" s="188" t="e" cm="1">
        <f t="array" aca="1" ref="W38" ca="1">IF(AND($R38=2,ACOMPANHAMENTO="BM"),ROUND(W39,4),W40/$S38)</f>
        <v>#DIV/0!</v>
      </c>
      <c r="X38" s="188" t="e" cm="1">
        <f t="array" aca="1" ref="X38" ca="1">IF(AND($R38=2,ACOMPANHAMENTO="BM"),ROUND(X39,4),X40/$S38)</f>
        <v>#DIV/0!</v>
      </c>
      <c r="Y38" s="188" t="e" cm="1">
        <f t="array" aca="1" ref="Y38" ca="1">IF(AND($R38=2,ACOMPANHAMENTO="BM"),ROUND(Y39,4),Y40/$S38)</f>
        <v>#DIV/0!</v>
      </c>
      <c r="Z38" s="188" t="e" cm="1">
        <f t="array" aca="1" ref="Z38" ca="1">IF(AND($R38=2,ACOMPANHAMENTO="BM"),ROUND(Z39,4),Z40/$S38)</f>
        <v>#DIV/0!</v>
      </c>
      <c r="AA38" s="188" t="e" cm="1">
        <f t="array" aca="1" ref="AA38" ca="1">IF(AND($R38=2,ACOMPANHAMENTO="BM"),ROUND(AA39,4),AA40/$S38)</f>
        <v>#DIV/0!</v>
      </c>
      <c r="AB38" s="188" t="e" cm="1">
        <f t="array" aca="1" ref="AB38" ca="1">IF(AND($R38=2,ACOMPANHAMENTO="BM"),ROUND(AB39,4),AB40/$S38)</f>
        <v>#DIV/0!</v>
      </c>
      <c r="AC38" s="188" t="e" cm="1">
        <f t="array" aca="1" ref="AC38" ca="1">IF(AND($R38=2,ACOMPANHAMENTO="BM"),ROUND(AC39,4),AC40/$S38)</f>
        <v>#DIV/0!</v>
      </c>
      <c r="AD38" s="188" t="e" cm="1">
        <f t="array" aca="1" ref="AD38" ca="1">IF(AND($R38=2,ACOMPANHAMENTO="BM"),ROUND(AD39,4),AD40/$S38)</f>
        <v>#DIV/0!</v>
      </c>
      <c r="AE38" s="188" t="e" cm="1">
        <f t="array" aca="1" ref="AE38" ca="1">IF(AND($R38=2,ACOMPANHAMENTO="BM"),ROUND(AE39,4),AE40/$S38)</f>
        <v>#DIV/0!</v>
      </c>
      <c r="AF38" s="188" t="e" cm="1">
        <f t="array" aca="1" ref="AF38" ca="1">IF(AND($R38=2,ACOMPANHAMENTO="BM"),ROUND(AF39,4),AF40/$S38)</f>
        <v>#DIV/0!</v>
      </c>
      <c r="AG38" s="188" t="e" cm="1">
        <f t="array" aca="1" ref="AG38" ca="1">IF(AND($R38=2,ACOMPANHAMENTO="BM"),ROUND(AG39,4),AG40/$S38)</f>
        <v>#DIV/0!</v>
      </c>
      <c r="AH38" s="188" t="e" cm="1">
        <f t="array" aca="1" ref="AH38" ca="1">IF(AND($R38=2,ACOMPANHAMENTO="BM"),ROUND(AH39,4),AH40/$S38)</f>
        <v>#DIV/0!</v>
      </c>
      <c r="AI38" s="188" t="e" cm="1">
        <f t="array" aca="1" ref="AI38" ca="1">IF(AND($R38=2,ACOMPANHAMENTO="BM"),ROUND(AI39,4),AI40/$S38)</f>
        <v>#DIV/0!</v>
      </c>
      <c r="AJ38" s="188" t="e" cm="1">
        <f t="array" aca="1" ref="AJ38" ca="1">IF(AND($R38=2,ACOMPANHAMENTO="BM"),ROUND(AJ39,4),AJ40/$S38)</f>
        <v>#DIV/0!</v>
      </c>
      <c r="AK38" s="188" t="e" cm="1">
        <f t="array" aca="1" ref="AK38" ca="1">IF(AND($R38=2,ACOMPANHAMENTO="BM"),ROUND(AK39,4),AK40/$S38)</f>
        <v>#DIV/0!</v>
      </c>
      <c r="AL38" s="188" t="e" cm="1">
        <f t="array" aca="1" ref="AL38" ca="1">IF(AND($R38=2,ACOMPANHAMENTO="BM"),ROUND(AL39,4),AL40/$S38)</f>
        <v>#DIV/0!</v>
      </c>
      <c r="AM38" s="188" t="e" cm="1">
        <f t="array" aca="1" ref="AM38" ca="1">IF(AND($R38=2,ACOMPANHAMENTO="BM"),ROUND(AM39,4),AM40/$S38)</f>
        <v>#DIV/0!</v>
      </c>
      <c r="AN38" s="188" t="e" cm="1">
        <f t="array" aca="1" ref="AN38" ca="1">IF(AND($R38=2,ACOMPANHAMENTO="BM"),ROUND(AN39,4),AN40/$S38)</f>
        <v>#DIV/0!</v>
      </c>
      <c r="AO38" s="188" t="e" cm="1">
        <f t="array" aca="1" ref="AO38" ca="1">IF(AND($R38=2,ACOMPANHAMENTO="BM"),ROUND(AO39,4),AO40/$S38)</f>
        <v>#DIV/0!</v>
      </c>
      <c r="AP38" s="188" t="e" cm="1">
        <f t="array" aca="1" ref="AP38" ca="1">IF(AND($R38=2,ACOMPANHAMENTO="BM"),ROUND(AP39,4),AP40/$S38)</f>
        <v>#DIV/0!</v>
      </c>
      <c r="AQ38" s="188" t="e" cm="1">
        <f t="array" aca="1" ref="AQ38" ca="1">IF(AND($R38=2,ACOMPANHAMENTO="BM"),ROUND(AQ39,4),AQ40/$S38)</f>
        <v>#DIV/0!</v>
      </c>
      <c r="AR38" s="188" t="e" cm="1">
        <f t="array" aca="1" ref="AR38" ca="1">IF(AND($R38=2,ACOMPANHAMENTO="BM"),ROUND(AR39,4),AR40/$S38)</f>
        <v>#DIV/0!</v>
      </c>
      <c r="AS38" s="534"/>
    </row>
    <row r="39" spans="1:45" ht="12.75" hidden="1" customHeight="1" x14ac:dyDescent="0.2">
      <c r="E39" s="587"/>
      <c r="F39" s="185">
        <f ca="1">IF(ISERROR(F38),IF(1+COUNTIF($M$13:OFFSET(M38,-1,0),1)&lt;=MAX(QCI!$D$13:$D$24),1+COUNTIF($M$13:OFFSET(M38,-1,0),1),-1),0)</f>
        <v>0</v>
      </c>
      <c r="G39" s="185" t="str" cm="1">
        <f t="array" aca="1" ref="G39" ca="1">IF(ACOMPANHAMENTO="BM",OFFSET(G39,-1,0),"")</f>
        <v/>
      </c>
      <c r="H39" s="196" t="str" cm="1">
        <f t="array" aca="1" ref="H39" ca="1">IF(OR(S38=0,S38=""),"vazia",IF(AND(OR(ACOMPANHAMENTO="PLE",$R38&lt;&gt;2),$F39=0),"calculada","--&gt;"))</f>
        <v>vazia</v>
      </c>
      <c r="I39" s="197"/>
      <c r="J39" s="198" t="str">
        <f t="shared" ref="J39" ca="1" si="54">IF(AND(H38&lt;&gt;0,ISNUMBER(H38)),"PREENCHA ESTA LINHA --&gt;","")</f>
        <v/>
      </c>
      <c r="K39" s="198"/>
      <c r="L39" s="198"/>
      <c r="M39" s="199"/>
      <c r="N39" s="199"/>
      <c r="O39" s="199"/>
      <c r="P39" s="199"/>
      <c r="Q39" s="199"/>
      <c r="R39" s="199"/>
      <c r="S39" s="200"/>
      <c r="T39" s="201"/>
      <c r="U39" s="587"/>
      <c r="V39" s="587"/>
      <c r="W39" s="587"/>
      <c r="X39" s="587"/>
      <c r="Y39" s="587"/>
      <c r="Z39" s="587"/>
      <c r="AA39" s="587"/>
      <c r="AB39" s="587"/>
      <c r="AC39" s="587"/>
      <c r="AD39" s="587"/>
      <c r="AE39" s="587"/>
      <c r="AF39" s="587"/>
      <c r="AG39" s="587"/>
      <c r="AH39" s="587"/>
      <c r="AI39" s="587"/>
      <c r="AJ39" s="587"/>
      <c r="AK39" s="587"/>
      <c r="AL39" s="587"/>
      <c r="AM39" s="587"/>
      <c r="AN39" s="587"/>
      <c r="AO39" s="587"/>
      <c r="AP39" s="587"/>
      <c r="AQ39" s="587"/>
      <c r="AR39" s="587"/>
      <c r="AS39" s="534"/>
    </row>
    <row r="40" spans="1:45" ht="12.75" hidden="1" customHeight="1" x14ac:dyDescent="0.2">
      <c r="D40" s="533"/>
      <c r="E40" s="202" cm="1">
        <f t="array" aca="1" ref="E40" ca="1">IF($R38=2,
         IF(AND(ACOMPANHAMENTO="PLE",ISNUMBER($F38)),
                SUMIF((OFFSET(CÁLCULO!$BS$15:$CS$15,$F38,0,OFFSET(ORÇAMENTO!$D$15,CRONO!$F38,0))),CRONO!E$12,OFFSET(CÁLCULO!$AR$15:$BR$15,$F38,0,OFFSET(ORÇAMENTO!$D$15,CRONO!$F38,0)))
                +IF(AND($F40&lt;&gt;"",$F40&lt;&gt;0),
                        SUMIF(CÁLCULO!$BS$15:$CS$244,CRONO!E$12,CÁLCULO!$AR$15:$BR$244)/(ORÇAMENTO!$X$15-CÁLCULO.TotalAdmLocal)*CRONO!$F40,
                        0),
                 E39*$S38),
          SUMIF(OFFSET($S40,1,0,$R38-2),($M38+1)&amp;"$",OFFSET(E40,1,0,$R38-2)))</f>
        <v>0</v>
      </c>
      <c r="F40" s="185">
        <f ca="1">IF(OR($R38&lt;&gt;2,AUTOEVENTO&lt;&gt;"manual",$F39&gt;0),"",
        IF(Import.TipoArredondamento="Tradicional",
              SUMIF(OFFSET(CÁLCULO!$M$15,CRONO!$F38,0,OFFSET(ORÇAMENTO!$D$15,CRONO!$F38,0)),1,OFFSET(ORÇAMENTO!$X$15,CRONO!$F38,0,OFFSET(ORÇAMENTO!$D$15,CRONO!$F38,0))),
              0))</f>
        <v>0</v>
      </c>
      <c r="H40" s="203"/>
      <c r="S40" s="204" t="str">
        <f t="shared" ref="S40" ca="1" si="55">M38&amp;"$"</f>
        <v>2$</v>
      </c>
      <c r="T40" s="205"/>
      <c r="U40" s="202" cm="1">
        <f t="array" aca="1" ref="U40" ca="1">IF($R38=2,
         IF(AND(ACOMPANHAMENTO="PLE",ISNUMBER($F38)),
                SUMIF((OFFSET(CÁLCULO!$BS$15:$CS$15,$F38,0,OFFSET(ORÇAMENTO!$D$15,CRONO!$F38,0))),CRONO!U$12,OFFSET(CÁLCULO!$AR$15:$BR$15,$F38,0,OFFSET(ORÇAMENTO!$D$15,CRONO!$F38,0)))
                +IF(AND($F40&lt;&gt;"",$F40&lt;&gt;0),
                        SUMIF(CÁLCULO!$BS$15:$CS$244,CRONO!U$12,CÁLCULO!$AR$15:$BR$244)/(ORÇAMENTO!$X$15-CÁLCULO.TotalAdmLocal)*CRONO!$F40,
                        0),
                 U39*$S38),
          SUMIF(OFFSET($S40,1,0,$R38-2),($M38+1)&amp;"$",OFFSET(U40,1,0,$R38-2)))</f>
        <v>0</v>
      </c>
      <c r="V40" s="202" cm="1">
        <f t="array" aca="1" ref="V40" ca="1">IF($R38=2,
         IF(AND(ACOMPANHAMENTO="PLE",ISNUMBER($F38)),
                SUMIF((OFFSET(CÁLCULO!$BS$15:$CS$15,$F38,0,OFFSET(ORÇAMENTO!$D$15,CRONO!$F38,0))),CRONO!V$12,OFFSET(CÁLCULO!$AR$15:$BR$15,$F38,0,OFFSET(ORÇAMENTO!$D$15,CRONO!$F38,0)))
                +IF(AND($F40&lt;&gt;"",$F40&lt;&gt;0),
                        SUMIF(CÁLCULO!$BS$15:$CS$244,CRONO!V$12,CÁLCULO!$AR$15:$BR$244)/(ORÇAMENTO!$X$15-CÁLCULO.TotalAdmLocal)*CRONO!$F40,
                        0),
                 V39*$S38),
          SUMIF(OFFSET($S40,1,0,$R38-2),($M38+1)&amp;"$",OFFSET(V40,1,0,$R38-2)))</f>
        <v>0</v>
      </c>
      <c r="W40" s="202" cm="1">
        <f t="array" aca="1" ref="W40" ca="1">IF($R38=2,
         IF(AND(ACOMPANHAMENTO="PLE",ISNUMBER($F38)),
                SUMIF((OFFSET(CÁLCULO!$BS$15:$CS$15,$F38,0,OFFSET(ORÇAMENTO!$D$15,CRONO!$F38,0))),CRONO!W$12,OFFSET(CÁLCULO!$AR$15:$BR$15,$F38,0,OFFSET(ORÇAMENTO!$D$15,CRONO!$F38,0)))
                +IF(AND($F40&lt;&gt;"",$F40&lt;&gt;0),
                        SUMIF(CÁLCULO!$BS$15:$CS$244,CRONO!W$12,CÁLCULO!$AR$15:$BR$244)/(ORÇAMENTO!$X$15-CÁLCULO.TotalAdmLocal)*CRONO!$F40,
                        0),
                 W39*$S38),
          SUMIF(OFFSET($S40,1,0,$R38-2),($M38+1)&amp;"$",OFFSET(W40,1,0,$R38-2)))</f>
        <v>0</v>
      </c>
      <c r="X40" s="202" cm="1">
        <f t="array" aca="1" ref="X40" ca="1">IF($R38=2,
         IF(AND(ACOMPANHAMENTO="PLE",ISNUMBER($F38)),
                SUMIF((OFFSET(CÁLCULO!$BS$15:$CS$15,$F38,0,OFFSET(ORÇAMENTO!$D$15,CRONO!$F38,0))),CRONO!X$12,OFFSET(CÁLCULO!$AR$15:$BR$15,$F38,0,OFFSET(ORÇAMENTO!$D$15,CRONO!$F38,0)))
                +IF(AND($F40&lt;&gt;"",$F40&lt;&gt;0),
                        SUMIF(CÁLCULO!$BS$15:$CS$244,CRONO!X$12,CÁLCULO!$AR$15:$BR$244)/(ORÇAMENTO!$X$15-CÁLCULO.TotalAdmLocal)*CRONO!$F40,
                        0),
                 X39*$S38),
          SUMIF(OFFSET($S40,1,0,$R38-2),($M38+1)&amp;"$",OFFSET(X40,1,0,$R38-2)))</f>
        <v>0</v>
      </c>
      <c r="Y40" s="202" cm="1">
        <f t="array" aca="1" ref="Y40" ca="1">IF($R38=2,
         IF(AND(ACOMPANHAMENTO="PLE",ISNUMBER($F38)),
                SUMIF((OFFSET(CÁLCULO!$BS$15:$CS$15,$F38,0,OFFSET(ORÇAMENTO!$D$15,CRONO!$F38,0))),CRONO!Y$12,OFFSET(CÁLCULO!$AR$15:$BR$15,$F38,0,OFFSET(ORÇAMENTO!$D$15,CRONO!$F38,0)))
                +IF(AND($F40&lt;&gt;"",$F40&lt;&gt;0),
                        SUMIF(CÁLCULO!$BS$15:$CS$244,CRONO!Y$12,CÁLCULO!$AR$15:$BR$244)/(ORÇAMENTO!$X$15-CÁLCULO.TotalAdmLocal)*CRONO!$F40,
                        0),
                 Y39*$S38),
          SUMIF(OFFSET($S40,1,0,$R38-2),($M38+1)&amp;"$",OFFSET(Y40,1,0,$R38-2)))</f>
        <v>0</v>
      </c>
      <c r="Z40" s="202" cm="1">
        <f t="array" aca="1" ref="Z40" ca="1">IF($R38=2,
         IF(AND(ACOMPANHAMENTO="PLE",ISNUMBER($F38)),
                SUMIF((OFFSET(CÁLCULO!$BS$15:$CS$15,$F38,0,OFFSET(ORÇAMENTO!$D$15,CRONO!$F38,0))),CRONO!Z$12,OFFSET(CÁLCULO!$AR$15:$BR$15,$F38,0,OFFSET(ORÇAMENTO!$D$15,CRONO!$F38,0)))
                +IF(AND($F40&lt;&gt;"",$F40&lt;&gt;0),
                        SUMIF(CÁLCULO!$BS$15:$CS$244,CRONO!Z$12,CÁLCULO!$AR$15:$BR$244)/(ORÇAMENTO!$X$15-CÁLCULO.TotalAdmLocal)*CRONO!$F40,
                        0),
                 Z39*$S38),
          SUMIF(OFFSET($S40,1,0,$R38-2),($M38+1)&amp;"$",OFFSET(Z40,1,0,$R38-2)))</f>
        <v>0</v>
      </c>
      <c r="AA40" s="202" cm="1">
        <f t="array" aca="1" ref="AA40" ca="1">IF($R38=2,
         IF(AND(ACOMPANHAMENTO="PLE",ISNUMBER($F38)),
                SUMIF((OFFSET(CÁLCULO!$BS$15:$CS$15,$F38,0,OFFSET(ORÇAMENTO!$D$15,CRONO!$F38,0))),CRONO!AA$12,OFFSET(CÁLCULO!$AR$15:$BR$15,$F38,0,OFFSET(ORÇAMENTO!$D$15,CRONO!$F38,0)))
                +IF(AND($F40&lt;&gt;"",$F40&lt;&gt;0),
                        SUMIF(CÁLCULO!$BS$15:$CS$244,CRONO!AA$12,CÁLCULO!$AR$15:$BR$244)/(ORÇAMENTO!$X$15-CÁLCULO.TotalAdmLocal)*CRONO!$F40,
                        0),
                 AA39*$S38),
          SUMIF(OFFSET($S40,1,0,$R38-2),($M38+1)&amp;"$",OFFSET(AA40,1,0,$R38-2)))</f>
        <v>0</v>
      </c>
      <c r="AB40" s="202" cm="1">
        <f t="array" aca="1" ref="AB40" ca="1">IF($R38=2,
         IF(AND(ACOMPANHAMENTO="PLE",ISNUMBER($F38)),
                SUMIF((OFFSET(CÁLCULO!$BS$15:$CS$15,$F38,0,OFFSET(ORÇAMENTO!$D$15,CRONO!$F38,0))),CRONO!AB$12,OFFSET(CÁLCULO!$AR$15:$BR$15,$F38,0,OFFSET(ORÇAMENTO!$D$15,CRONO!$F38,0)))
                +IF(AND($F40&lt;&gt;"",$F40&lt;&gt;0),
                        SUMIF(CÁLCULO!$BS$15:$CS$244,CRONO!AB$12,CÁLCULO!$AR$15:$BR$244)/(ORÇAMENTO!$X$15-CÁLCULO.TotalAdmLocal)*CRONO!$F40,
                        0),
                 AB39*$S38),
          SUMIF(OFFSET($S40,1,0,$R38-2),($M38+1)&amp;"$",OFFSET(AB40,1,0,$R38-2)))</f>
        <v>0</v>
      </c>
      <c r="AC40" s="202" cm="1">
        <f t="array" aca="1" ref="AC40" ca="1">IF($R38=2,
         IF(AND(ACOMPANHAMENTO="PLE",ISNUMBER($F38)),
                SUMIF((OFFSET(CÁLCULO!$BS$15:$CS$15,$F38,0,OFFSET(ORÇAMENTO!$D$15,CRONO!$F38,0))),CRONO!AC$12,OFFSET(CÁLCULO!$AR$15:$BR$15,$F38,0,OFFSET(ORÇAMENTO!$D$15,CRONO!$F38,0)))
                +IF(AND($F40&lt;&gt;"",$F40&lt;&gt;0),
                        SUMIF(CÁLCULO!$BS$15:$CS$244,CRONO!AC$12,CÁLCULO!$AR$15:$BR$244)/(ORÇAMENTO!$X$15-CÁLCULO.TotalAdmLocal)*CRONO!$F40,
                        0),
                 AC39*$S38),
          SUMIF(OFFSET($S40,1,0,$R38-2),($M38+1)&amp;"$",OFFSET(AC40,1,0,$R38-2)))</f>
        <v>0</v>
      </c>
      <c r="AD40" s="202" cm="1">
        <f t="array" aca="1" ref="AD40" ca="1">IF($R38=2,
         IF(AND(ACOMPANHAMENTO="PLE",ISNUMBER($F38)),
                SUMIF((OFFSET(CÁLCULO!$BS$15:$CS$15,$F38,0,OFFSET(ORÇAMENTO!$D$15,CRONO!$F38,0))),CRONO!AD$12,OFFSET(CÁLCULO!$AR$15:$BR$15,$F38,0,OFFSET(ORÇAMENTO!$D$15,CRONO!$F38,0)))
                +IF(AND($F40&lt;&gt;"",$F40&lt;&gt;0),
                        SUMIF(CÁLCULO!$BS$15:$CS$244,CRONO!AD$12,CÁLCULO!$AR$15:$BR$244)/(ORÇAMENTO!$X$15-CÁLCULO.TotalAdmLocal)*CRONO!$F40,
                        0),
                 AD39*$S38),
          SUMIF(OFFSET($S40,1,0,$R38-2),($M38+1)&amp;"$",OFFSET(AD40,1,0,$R38-2)))</f>
        <v>0</v>
      </c>
      <c r="AE40" s="202" cm="1">
        <f t="array" aca="1" ref="AE40" ca="1">IF($R38=2,
         IF(AND(ACOMPANHAMENTO="PLE",ISNUMBER($F38)),
                SUMIF((OFFSET(CÁLCULO!$BS$15:$CS$15,$F38,0,OFFSET(ORÇAMENTO!$D$15,CRONO!$F38,0))),CRONO!AE$12,OFFSET(CÁLCULO!$AR$15:$BR$15,$F38,0,OFFSET(ORÇAMENTO!$D$15,CRONO!$F38,0)))
                +IF(AND($F40&lt;&gt;"",$F40&lt;&gt;0),
                        SUMIF(CÁLCULO!$BS$15:$CS$244,CRONO!AE$12,CÁLCULO!$AR$15:$BR$244)/(ORÇAMENTO!$X$15-CÁLCULO.TotalAdmLocal)*CRONO!$F40,
                        0),
                 AE39*$S38),
          SUMIF(OFFSET($S40,1,0,$R38-2),($M38+1)&amp;"$",OFFSET(AE40,1,0,$R38-2)))</f>
        <v>0</v>
      </c>
      <c r="AF40" s="202" cm="1">
        <f t="array" aca="1" ref="AF40" ca="1">IF($R38=2,
         IF(AND(ACOMPANHAMENTO="PLE",ISNUMBER($F38)),
                SUMIF((OFFSET(CÁLCULO!$BS$15:$CS$15,$F38,0,OFFSET(ORÇAMENTO!$D$15,CRONO!$F38,0))),CRONO!AF$12,OFFSET(CÁLCULO!$AR$15:$BR$15,$F38,0,OFFSET(ORÇAMENTO!$D$15,CRONO!$F38,0)))
                +IF(AND($F40&lt;&gt;"",$F40&lt;&gt;0),
                        SUMIF(CÁLCULO!$BS$15:$CS$244,CRONO!AF$12,CÁLCULO!$AR$15:$BR$244)/(ORÇAMENTO!$X$15-CÁLCULO.TotalAdmLocal)*CRONO!$F40,
                        0),
                 AF39*$S38),
          SUMIF(OFFSET($S40,1,0,$R38-2),($M38+1)&amp;"$",OFFSET(AF40,1,0,$R38-2)))</f>
        <v>0</v>
      </c>
      <c r="AG40" s="202" cm="1">
        <f t="array" aca="1" ref="AG40" ca="1">IF($R38=2,
         IF(AND(ACOMPANHAMENTO="PLE",ISNUMBER($F38)),
                SUMIF((OFFSET(CÁLCULO!$BS$15:$CS$15,$F38,0,OFFSET(ORÇAMENTO!$D$15,CRONO!$F38,0))),CRONO!AG$12,OFFSET(CÁLCULO!$AR$15:$BR$15,$F38,0,OFFSET(ORÇAMENTO!$D$15,CRONO!$F38,0)))
                +IF(AND($F40&lt;&gt;"",$F40&lt;&gt;0),
                        SUMIF(CÁLCULO!$BS$15:$CS$244,CRONO!AG$12,CÁLCULO!$AR$15:$BR$244)/(ORÇAMENTO!$X$15-CÁLCULO.TotalAdmLocal)*CRONO!$F40,
                        0),
                 AG39*$S38),
          SUMIF(OFFSET($S40,1,0,$R38-2),($M38+1)&amp;"$",OFFSET(AG40,1,0,$R38-2)))</f>
        <v>0</v>
      </c>
      <c r="AH40" s="202" cm="1">
        <f t="array" aca="1" ref="AH40" ca="1">IF($R38=2,
         IF(AND(ACOMPANHAMENTO="PLE",ISNUMBER($F38)),
                SUMIF((OFFSET(CÁLCULO!$BS$15:$CS$15,$F38,0,OFFSET(ORÇAMENTO!$D$15,CRONO!$F38,0))),CRONO!AH$12,OFFSET(CÁLCULO!$AR$15:$BR$15,$F38,0,OFFSET(ORÇAMENTO!$D$15,CRONO!$F38,0)))
                +IF(AND($F40&lt;&gt;"",$F40&lt;&gt;0),
                        SUMIF(CÁLCULO!$BS$15:$CS$244,CRONO!AH$12,CÁLCULO!$AR$15:$BR$244)/(ORÇAMENTO!$X$15-CÁLCULO.TotalAdmLocal)*CRONO!$F40,
                        0),
                 AH39*$S38),
          SUMIF(OFFSET($S40,1,0,$R38-2),($M38+1)&amp;"$",OFFSET(AH40,1,0,$R38-2)))</f>
        <v>0</v>
      </c>
      <c r="AI40" s="202" cm="1">
        <f t="array" aca="1" ref="AI40" ca="1">IF($R38=2,
         IF(AND(ACOMPANHAMENTO="PLE",ISNUMBER($F38)),
                SUMIF((OFFSET(CÁLCULO!$BS$15:$CS$15,$F38,0,OFFSET(ORÇAMENTO!$D$15,CRONO!$F38,0))),CRONO!AI$12,OFFSET(CÁLCULO!$AR$15:$BR$15,$F38,0,OFFSET(ORÇAMENTO!$D$15,CRONO!$F38,0)))
                +IF(AND($F40&lt;&gt;"",$F40&lt;&gt;0),
                        SUMIF(CÁLCULO!$BS$15:$CS$244,CRONO!AI$12,CÁLCULO!$AR$15:$BR$244)/(ORÇAMENTO!$X$15-CÁLCULO.TotalAdmLocal)*CRONO!$F40,
                        0),
                 AI39*$S38),
          SUMIF(OFFSET($S40,1,0,$R38-2),($M38+1)&amp;"$",OFFSET(AI40,1,0,$R38-2)))</f>
        <v>0</v>
      </c>
      <c r="AJ40" s="202" cm="1">
        <f t="array" aca="1" ref="AJ40" ca="1">IF($R38=2,
         IF(AND(ACOMPANHAMENTO="PLE",ISNUMBER($F38)),
                SUMIF((OFFSET(CÁLCULO!$BS$15:$CS$15,$F38,0,OFFSET(ORÇAMENTO!$D$15,CRONO!$F38,0))),CRONO!AJ$12,OFFSET(CÁLCULO!$AR$15:$BR$15,$F38,0,OFFSET(ORÇAMENTO!$D$15,CRONO!$F38,0)))
                +IF(AND($F40&lt;&gt;"",$F40&lt;&gt;0),
                        SUMIF(CÁLCULO!$BS$15:$CS$244,CRONO!AJ$12,CÁLCULO!$AR$15:$BR$244)/(ORÇAMENTO!$X$15-CÁLCULO.TotalAdmLocal)*CRONO!$F40,
                        0),
                 AJ39*$S38),
          SUMIF(OFFSET($S40,1,0,$R38-2),($M38+1)&amp;"$",OFFSET(AJ40,1,0,$R38-2)))</f>
        <v>0</v>
      </c>
      <c r="AK40" s="202" cm="1">
        <f t="array" aca="1" ref="AK40" ca="1">IF($R38=2,
         IF(AND(ACOMPANHAMENTO="PLE",ISNUMBER($F38)),
                SUMIF((OFFSET(CÁLCULO!$BS$15:$CS$15,$F38,0,OFFSET(ORÇAMENTO!$D$15,CRONO!$F38,0))),CRONO!AK$12,OFFSET(CÁLCULO!$AR$15:$BR$15,$F38,0,OFFSET(ORÇAMENTO!$D$15,CRONO!$F38,0)))
                +IF(AND($F40&lt;&gt;"",$F40&lt;&gt;0),
                        SUMIF(CÁLCULO!$BS$15:$CS$244,CRONO!AK$12,CÁLCULO!$AR$15:$BR$244)/(ORÇAMENTO!$X$15-CÁLCULO.TotalAdmLocal)*CRONO!$F40,
                        0),
                 AK39*$S38),
          SUMIF(OFFSET($S40,1,0,$R38-2),($M38+1)&amp;"$",OFFSET(AK40,1,0,$R38-2)))</f>
        <v>0</v>
      </c>
      <c r="AL40" s="202" cm="1">
        <f t="array" aca="1" ref="AL40" ca="1">IF($R38=2,
         IF(AND(ACOMPANHAMENTO="PLE",ISNUMBER($F38)),
                SUMIF((OFFSET(CÁLCULO!$BS$15:$CS$15,$F38,0,OFFSET(ORÇAMENTO!$D$15,CRONO!$F38,0))),CRONO!AL$12,OFFSET(CÁLCULO!$AR$15:$BR$15,$F38,0,OFFSET(ORÇAMENTO!$D$15,CRONO!$F38,0)))
                +IF(AND($F40&lt;&gt;"",$F40&lt;&gt;0),
                        SUMIF(CÁLCULO!$BS$15:$CS$244,CRONO!AL$12,CÁLCULO!$AR$15:$BR$244)/(ORÇAMENTO!$X$15-CÁLCULO.TotalAdmLocal)*CRONO!$F40,
                        0),
                 AL39*$S38),
          SUMIF(OFFSET($S40,1,0,$R38-2),($M38+1)&amp;"$",OFFSET(AL40,1,0,$R38-2)))</f>
        <v>0</v>
      </c>
      <c r="AM40" s="202" cm="1">
        <f t="array" aca="1" ref="AM40" ca="1">IF($R38=2,
         IF(AND(ACOMPANHAMENTO="PLE",ISNUMBER($F38)),
                SUMIF((OFFSET(CÁLCULO!$BS$15:$CS$15,$F38,0,OFFSET(ORÇAMENTO!$D$15,CRONO!$F38,0))),CRONO!AM$12,OFFSET(CÁLCULO!$AR$15:$BR$15,$F38,0,OFFSET(ORÇAMENTO!$D$15,CRONO!$F38,0)))
                +IF(AND($F40&lt;&gt;"",$F40&lt;&gt;0),
                        SUMIF(CÁLCULO!$BS$15:$CS$244,CRONO!AM$12,CÁLCULO!$AR$15:$BR$244)/(ORÇAMENTO!$X$15-CÁLCULO.TotalAdmLocal)*CRONO!$F40,
                        0),
                 AM39*$S38),
          SUMIF(OFFSET($S40,1,0,$R38-2),($M38+1)&amp;"$",OFFSET(AM40,1,0,$R38-2)))</f>
        <v>0</v>
      </c>
      <c r="AN40" s="202" cm="1">
        <f t="array" aca="1" ref="AN40" ca="1">IF($R38=2,
         IF(AND(ACOMPANHAMENTO="PLE",ISNUMBER($F38)),
                SUMIF((OFFSET(CÁLCULO!$BS$15:$CS$15,$F38,0,OFFSET(ORÇAMENTO!$D$15,CRONO!$F38,0))),CRONO!AN$12,OFFSET(CÁLCULO!$AR$15:$BR$15,$F38,0,OFFSET(ORÇAMENTO!$D$15,CRONO!$F38,0)))
                +IF(AND($F40&lt;&gt;"",$F40&lt;&gt;0),
                        SUMIF(CÁLCULO!$BS$15:$CS$244,CRONO!AN$12,CÁLCULO!$AR$15:$BR$244)/(ORÇAMENTO!$X$15-CÁLCULO.TotalAdmLocal)*CRONO!$F40,
                        0),
                 AN39*$S38),
          SUMIF(OFFSET($S40,1,0,$R38-2),($M38+1)&amp;"$",OFFSET(AN40,1,0,$R38-2)))</f>
        <v>0</v>
      </c>
      <c r="AO40" s="202" cm="1">
        <f t="array" aca="1" ref="AO40" ca="1">IF($R38=2,
         IF(AND(ACOMPANHAMENTO="PLE",ISNUMBER($F38)),
                SUMIF((OFFSET(CÁLCULO!$BS$15:$CS$15,$F38,0,OFFSET(ORÇAMENTO!$D$15,CRONO!$F38,0))),CRONO!AO$12,OFFSET(CÁLCULO!$AR$15:$BR$15,$F38,0,OFFSET(ORÇAMENTO!$D$15,CRONO!$F38,0)))
                +IF(AND($F40&lt;&gt;"",$F40&lt;&gt;0),
                        SUMIF(CÁLCULO!$BS$15:$CS$244,CRONO!AO$12,CÁLCULO!$AR$15:$BR$244)/(ORÇAMENTO!$X$15-CÁLCULO.TotalAdmLocal)*CRONO!$F40,
                        0),
                 AO39*$S38),
          SUMIF(OFFSET($S40,1,0,$R38-2),($M38+1)&amp;"$",OFFSET(AO40,1,0,$R38-2)))</f>
        <v>0</v>
      </c>
      <c r="AP40" s="202" cm="1">
        <f t="array" aca="1" ref="AP40" ca="1">IF($R38=2,
         IF(AND(ACOMPANHAMENTO="PLE",ISNUMBER($F38)),
                SUMIF((OFFSET(CÁLCULO!$BS$15:$CS$15,$F38,0,OFFSET(ORÇAMENTO!$D$15,CRONO!$F38,0))),CRONO!AP$12,OFFSET(CÁLCULO!$AR$15:$BR$15,$F38,0,OFFSET(ORÇAMENTO!$D$15,CRONO!$F38,0)))
                +IF(AND($F40&lt;&gt;"",$F40&lt;&gt;0),
                        SUMIF(CÁLCULO!$BS$15:$CS$244,CRONO!AP$12,CÁLCULO!$AR$15:$BR$244)/(ORÇAMENTO!$X$15-CÁLCULO.TotalAdmLocal)*CRONO!$F40,
                        0),
                 AP39*$S38),
          SUMIF(OFFSET($S40,1,0,$R38-2),($M38+1)&amp;"$",OFFSET(AP40,1,0,$R38-2)))</f>
        <v>0</v>
      </c>
      <c r="AQ40" s="202" cm="1">
        <f t="array" aca="1" ref="AQ40" ca="1">IF($R38=2,
         IF(AND(ACOMPANHAMENTO="PLE",ISNUMBER($F38)),
                SUMIF((OFFSET(CÁLCULO!$BS$15:$CS$15,$F38,0,OFFSET(ORÇAMENTO!$D$15,CRONO!$F38,0))),CRONO!AQ$12,OFFSET(CÁLCULO!$AR$15:$BR$15,$F38,0,OFFSET(ORÇAMENTO!$D$15,CRONO!$F38,0)))
                +IF(AND($F40&lt;&gt;"",$F40&lt;&gt;0),
                        SUMIF(CÁLCULO!$BS$15:$CS$244,CRONO!AQ$12,CÁLCULO!$AR$15:$BR$244)/(ORÇAMENTO!$X$15-CÁLCULO.TotalAdmLocal)*CRONO!$F40,
                        0),
                 AQ39*$S38),
          SUMIF(OFFSET($S40,1,0,$R38-2),($M38+1)&amp;"$",OFFSET(AQ40,1,0,$R38-2)))</f>
        <v>0</v>
      </c>
      <c r="AR40" s="202" cm="1">
        <f t="array" aca="1" ref="AR40" ca="1">IF($R38=2,
         IF(AND(ACOMPANHAMENTO="PLE",ISNUMBER($F38)),
                SUMIF((OFFSET(CÁLCULO!$BS$15:$CS$15,$F38,0,OFFSET(ORÇAMENTO!$D$15,CRONO!$F38,0))),CRONO!AR$12,OFFSET(CÁLCULO!$AR$15:$BR$15,$F38,0,OFFSET(ORÇAMENTO!$D$15,CRONO!$F38,0)))
                +IF(AND($F40&lt;&gt;"",$F40&lt;&gt;0),
                        SUMIF(CÁLCULO!$BS$15:$CS$244,CRONO!AR$12,CÁLCULO!$AR$15:$BR$244)/(ORÇAMENTO!$X$15-CÁLCULO.TotalAdmLocal)*CRONO!$F40,
                        0),
                 AR39*$S38),
          SUMIF(OFFSET($S40,1,0,$R38-2),($M38+1)&amp;"$",OFFSET(AR40,1,0,$R38-2)))</f>
        <v>0</v>
      </c>
      <c r="AS40" s="534"/>
    </row>
    <row r="41" spans="1:45" x14ac:dyDescent="0.2">
      <c r="A41" s="186" t="str">
        <f t="shared" ref="A41" ca="1" si="56">IF($M41&gt;1,_xlfn.CONCAT($I41," ",$J41),"")</f>
        <v/>
      </c>
      <c r="B41" s="185">
        <f t="shared" ref="B41" ca="1" si="57">OFFSET(B41,-3,0)+1</f>
        <v>10</v>
      </c>
      <c r="C41" s="185">
        <f ca="1">IF($R41&lt;&gt;2,0,IF($S41=0,1,IF(F42&gt;0,OFFSET(QCI!$M$13,SUBSTITUTE(F42,".",""),0),OFFSET(ORÇAMENTO!$AA$15,CRONO!$F41,0))/$S41))</f>
        <v>0</v>
      </c>
      <c r="D41" s="185">
        <f ca="1">IF($R41&lt;&gt;2,0,IF($S41=0,1,IF(F42&gt;0,OFFSET(QCI!$N$13,SUBSTITUTE(F42,".",""),0),OFFSET(ORÇAMENTO!$AB$15,CRONO!$F41,0))/$S41))</f>
        <v>0</v>
      </c>
      <c r="E41" s="188" t="e" cm="1">
        <f t="array" aca="1" ref="E41" ca="1">IF(AND($R41=2,ACOMPANHAMENTO="BM"),ROUND(E42,4),E43/$S41)</f>
        <v>#DIV/0!</v>
      </c>
      <c r="F41" s="185" cm="1">
        <f t="array" aca="1" ref="F41" ca="1">IF(B41&lt;=ORÇAMENTO.MáximoListaCrono,MATCH(B41,ORÇAMENTO.ListaCrono,0),NA())</f>
        <v>34</v>
      </c>
      <c r="G41" s="185" t="str">
        <f t="shared" ref="G41" ca="1" si="58">IF(AND($F42&lt;&gt;-1,$S41&gt;0),"F","")</f>
        <v/>
      </c>
      <c r="H41" s="189" t="str" cm="1">
        <f t="array" aca="1" ref="H41" ca="1">IF(OR(S41=0,S41=""),"Linha",IF(AND(OR(ACOMPANHAMENTO="PLE",$R41&lt;&gt;2),$F42=0),"Linha",ROUND(1-SUM(U41:AS41),4)))</f>
        <v>Linha</v>
      </c>
      <c r="I41" s="190" t="str">
        <f ca="1">IF($F42=0,OFFSET(ORÇAMENTO!O$15,$F41,0),IF($F42&lt;&gt;-1,OFFSET(QCI!$D$13,$F42,0),""))</f>
        <v>4.</v>
      </c>
      <c r="J41" s="191" t="str">
        <f ca="1">IF($F42=0,OFFSET(ORÇAMENTO!R$15,$F41,0),IF($F42&lt;&gt;-1,OFFSET(QCI!$G$13,$F42,0),""))</f>
        <v>SUPRAESTRUTURA</v>
      </c>
      <c r="K41" s="191"/>
      <c r="L41" s="191"/>
      <c r="M41" s="192">
        <f ca="1">IF($F42=0,OFFSET(ORÇAMENTO!C$15,$F41,0),1)</f>
        <v>1</v>
      </c>
      <c r="N41" s="193">
        <f ca="1">IF($F42=-1,0,IF(N$13&lt;=$M41,IF(ISERROR(MATCH(N$13,OFFSET($M41,1,0,ROW($M$164)-ROW($M41)-1),0)),ROW($M$164)-ROW($M41)-1,MATCH(N$13,OFFSET($M41,1,0,ROW($M$164)-ROW($M41)-1),0)-1),0))</f>
        <v>5</v>
      </c>
      <c r="O41" s="193">
        <f ca="1">IF($F42=-1,0,IF(O$13&lt;=$M41,IF(ISERROR(MATCH(O$13,OFFSET($M41,1,0,ROW($M$164)-ROW($M41)-1),0)),ROW($M$164)-ROW($M41)-1,MATCH(O$13,OFFSET($M41,1,0,ROW($M$164)-ROW($M41)-1),0)-1),0))</f>
        <v>0</v>
      </c>
      <c r="P41" s="193">
        <f ca="1">IF($F42=-1,0,IF(P$13&lt;=$M41,IF(ISERROR(MATCH(P$13,OFFSET($M41,1,0,ROW($M$164)-ROW($M41)-1),0)),ROW($M$164)-ROW($M41)-1,MATCH(P$13,OFFSET($M41,1,0,ROW($M$164)-ROW($M41)-1),0)-1),0))</f>
        <v>0</v>
      </c>
      <c r="Q41" s="193">
        <f ca="1">IF($F42=-1,0,IF(Q$13&lt;=$M41,IF(ISERROR(MATCH(Q$13,OFFSET($M41,1,0,ROW($M$164)-ROW($M41)-1),0)),ROW($M$164)-ROW($M41)-1,MATCH(Q$13,OFFSET($M41,1,0,ROW($M$164)-ROW($M41)-1),0)-1),0))</f>
        <v>0</v>
      </c>
      <c r="R41" s="193">
        <f t="shared" ref="R41" ca="1" si="59">MIN(OFFSET(M41,0,1,,M41))</f>
        <v>5</v>
      </c>
      <c r="S41" s="194">
        <f ca="1">IF($F42=0,OFFSET(ORÇAMENTO!X$15,$F41,0),IF($F42&lt;&gt;-1,OFFSET(QCI!$O$13,$F42,0),""))</f>
        <v>0</v>
      </c>
      <c r="T41" s="195" t="s">
        <v>785</v>
      </c>
      <c r="U41" s="188" t="e" cm="1">
        <f t="array" aca="1" ref="U41" ca="1">IF(AND($R41=2,ACOMPANHAMENTO="BM"),ROUND(U42,4),U43/$S41)</f>
        <v>#DIV/0!</v>
      </c>
      <c r="V41" s="188" t="e" cm="1">
        <f t="array" aca="1" ref="V41" ca="1">IF(AND($R41=2,ACOMPANHAMENTO="BM"),ROUND(V42,4),V43/$S41)</f>
        <v>#DIV/0!</v>
      </c>
      <c r="W41" s="188" t="e" cm="1">
        <f t="array" aca="1" ref="W41" ca="1">IF(AND($R41=2,ACOMPANHAMENTO="BM"),ROUND(W42,4),W43/$S41)</f>
        <v>#DIV/0!</v>
      </c>
      <c r="X41" s="188" t="e" cm="1">
        <f t="array" aca="1" ref="X41" ca="1">IF(AND($R41=2,ACOMPANHAMENTO="BM"),ROUND(X42,4),X43/$S41)</f>
        <v>#DIV/0!</v>
      </c>
      <c r="Y41" s="188" t="e" cm="1">
        <f t="array" aca="1" ref="Y41" ca="1">IF(AND($R41=2,ACOMPANHAMENTO="BM"),ROUND(Y42,4),Y43/$S41)</f>
        <v>#DIV/0!</v>
      </c>
      <c r="Z41" s="188" t="e" cm="1">
        <f t="array" aca="1" ref="Z41" ca="1">IF(AND($R41=2,ACOMPANHAMENTO="BM"),ROUND(Z42,4),Z43/$S41)</f>
        <v>#DIV/0!</v>
      </c>
      <c r="AA41" s="188" t="e" cm="1">
        <f t="array" aca="1" ref="AA41" ca="1">IF(AND($R41=2,ACOMPANHAMENTO="BM"),ROUND(AA42,4),AA43/$S41)</f>
        <v>#DIV/0!</v>
      </c>
      <c r="AB41" s="188" t="e" cm="1">
        <f t="array" aca="1" ref="AB41" ca="1">IF(AND($R41=2,ACOMPANHAMENTO="BM"),ROUND(AB42,4),AB43/$S41)</f>
        <v>#DIV/0!</v>
      </c>
      <c r="AC41" s="188" t="e" cm="1">
        <f t="array" aca="1" ref="AC41" ca="1">IF(AND($R41=2,ACOMPANHAMENTO="BM"),ROUND(AC42,4),AC43/$S41)</f>
        <v>#DIV/0!</v>
      </c>
      <c r="AD41" s="188" t="e" cm="1">
        <f t="array" aca="1" ref="AD41" ca="1">IF(AND($R41=2,ACOMPANHAMENTO="BM"),ROUND(AD42,4),AD43/$S41)</f>
        <v>#DIV/0!</v>
      </c>
      <c r="AE41" s="188" t="e" cm="1">
        <f t="array" aca="1" ref="AE41" ca="1">IF(AND($R41=2,ACOMPANHAMENTO="BM"),ROUND(AE42,4),AE43/$S41)</f>
        <v>#DIV/0!</v>
      </c>
      <c r="AF41" s="188" t="e" cm="1">
        <f t="array" aca="1" ref="AF41" ca="1">IF(AND($R41=2,ACOMPANHAMENTO="BM"),ROUND(AF42,4),AF43/$S41)</f>
        <v>#DIV/0!</v>
      </c>
      <c r="AG41" s="188" t="e" cm="1">
        <f t="array" aca="1" ref="AG41" ca="1">IF(AND($R41=2,ACOMPANHAMENTO="BM"),ROUND(AG42,4),AG43/$S41)</f>
        <v>#DIV/0!</v>
      </c>
      <c r="AH41" s="188" t="e" cm="1">
        <f t="array" aca="1" ref="AH41" ca="1">IF(AND($R41=2,ACOMPANHAMENTO="BM"),ROUND(AH42,4),AH43/$S41)</f>
        <v>#DIV/0!</v>
      </c>
      <c r="AI41" s="188" t="e" cm="1">
        <f t="array" aca="1" ref="AI41" ca="1">IF(AND($R41=2,ACOMPANHAMENTO="BM"),ROUND(AI42,4),AI43/$S41)</f>
        <v>#DIV/0!</v>
      </c>
      <c r="AJ41" s="188" t="e" cm="1">
        <f t="array" aca="1" ref="AJ41" ca="1">IF(AND($R41=2,ACOMPANHAMENTO="BM"),ROUND(AJ42,4),AJ43/$S41)</f>
        <v>#DIV/0!</v>
      </c>
      <c r="AK41" s="188" t="e" cm="1">
        <f t="array" aca="1" ref="AK41" ca="1">IF(AND($R41=2,ACOMPANHAMENTO="BM"),ROUND(AK42,4),AK43/$S41)</f>
        <v>#DIV/0!</v>
      </c>
      <c r="AL41" s="188" t="e" cm="1">
        <f t="array" aca="1" ref="AL41" ca="1">IF(AND($R41=2,ACOMPANHAMENTO="BM"),ROUND(AL42,4),AL43/$S41)</f>
        <v>#DIV/0!</v>
      </c>
      <c r="AM41" s="188" t="e" cm="1">
        <f t="array" aca="1" ref="AM41" ca="1">IF(AND($R41=2,ACOMPANHAMENTO="BM"),ROUND(AM42,4),AM43/$S41)</f>
        <v>#DIV/0!</v>
      </c>
      <c r="AN41" s="188" t="e" cm="1">
        <f t="array" aca="1" ref="AN41" ca="1">IF(AND($R41=2,ACOMPANHAMENTO="BM"),ROUND(AN42,4),AN43/$S41)</f>
        <v>#DIV/0!</v>
      </c>
      <c r="AO41" s="188" t="e" cm="1">
        <f t="array" aca="1" ref="AO41" ca="1">IF(AND($R41=2,ACOMPANHAMENTO="BM"),ROUND(AO42,4),AO43/$S41)</f>
        <v>#DIV/0!</v>
      </c>
      <c r="AP41" s="188" t="e" cm="1">
        <f t="array" aca="1" ref="AP41" ca="1">IF(AND($R41=2,ACOMPANHAMENTO="BM"),ROUND(AP42,4),AP43/$S41)</f>
        <v>#DIV/0!</v>
      </c>
      <c r="AQ41" s="188" t="e" cm="1">
        <f t="array" aca="1" ref="AQ41" ca="1">IF(AND($R41=2,ACOMPANHAMENTO="BM"),ROUND(AQ42,4),AQ43/$S41)</f>
        <v>#DIV/0!</v>
      </c>
      <c r="AR41" s="188" t="e" cm="1">
        <f t="array" aca="1" ref="AR41" ca="1">IF(AND($R41=2,ACOMPANHAMENTO="BM"),ROUND(AR42,4),AR43/$S41)</f>
        <v>#DIV/0!</v>
      </c>
      <c r="AS41" s="534"/>
    </row>
    <row r="42" spans="1:45" ht="12.75" hidden="1" customHeight="1" x14ac:dyDescent="0.2">
      <c r="E42" s="587"/>
      <c r="F42" s="185">
        <f ca="1">IF(ISERROR(F41),IF(1+COUNTIF($M$13:OFFSET(M41,-1,0),1)&lt;=MAX(QCI!$D$13:$D$24),1+COUNTIF($M$13:OFFSET(M41,-1,0),1),-1),0)</f>
        <v>0</v>
      </c>
      <c r="G42" s="185" t="str" cm="1">
        <f t="array" aca="1" ref="G42" ca="1">IF(ACOMPANHAMENTO="BM",OFFSET(G42,-1,0),"")</f>
        <v/>
      </c>
      <c r="H42" s="196" t="str" cm="1">
        <f t="array" aca="1" ref="H42" ca="1">IF(OR(S41=0,S41=""),"vazia",IF(AND(OR(ACOMPANHAMENTO="PLE",$R41&lt;&gt;2),$F42=0),"calculada","--&gt;"))</f>
        <v>vazia</v>
      </c>
      <c r="I42" s="197"/>
      <c r="J42" s="198" t="str">
        <f t="shared" ref="J42" ca="1" si="60">IF(AND(H41&lt;&gt;0,ISNUMBER(H41)),"PREENCHA ESTA LINHA --&gt;","")</f>
        <v/>
      </c>
      <c r="K42" s="198"/>
      <c r="L42" s="198"/>
      <c r="M42" s="199"/>
      <c r="N42" s="199"/>
      <c r="O42" s="199"/>
      <c r="P42" s="199"/>
      <c r="Q42" s="199"/>
      <c r="R42" s="199"/>
      <c r="S42" s="200"/>
      <c r="T42" s="201"/>
      <c r="U42" s="587"/>
      <c r="V42" s="587"/>
      <c r="W42" s="587"/>
      <c r="X42" s="587"/>
      <c r="Y42" s="587"/>
      <c r="Z42" s="587"/>
      <c r="AA42" s="587"/>
      <c r="AB42" s="587"/>
      <c r="AC42" s="587"/>
      <c r="AD42" s="587"/>
      <c r="AE42" s="587"/>
      <c r="AF42" s="587"/>
      <c r="AG42" s="587"/>
      <c r="AH42" s="587"/>
      <c r="AI42" s="587"/>
      <c r="AJ42" s="587"/>
      <c r="AK42" s="587"/>
      <c r="AL42" s="587"/>
      <c r="AM42" s="587"/>
      <c r="AN42" s="587"/>
      <c r="AO42" s="587"/>
      <c r="AP42" s="587"/>
      <c r="AQ42" s="587"/>
      <c r="AR42" s="587"/>
      <c r="AS42" s="534"/>
    </row>
    <row r="43" spans="1:45" ht="12.75" hidden="1" customHeight="1" x14ac:dyDescent="0.2">
      <c r="D43" s="533"/>
      <c r="E43" s="202" cm="1">
        <f t="array" aca="1" ref="E43" ca="1">IF($R41=2,
         IF(AND(ACOMPANHAMENTO="PLE",ISNUMBER($F41)),
                SUMIF((OFFSET(CÁLCULO!$BS$15:$CS$15,$F41,0,OFFSET(ORÇAMENTO!$D$15,CRONO!$F41,0))),CRONO!E$12,OFFSET(CÁLCULO!$AR$15:$BR$15,$F41,0,OFFSET(ORÇAMENTO!$D$15,CRONO!$F41,0)))
                +IF(AND($F43&lt;&gt;"",$F43&lt;&gt;0),
                        SUMIF(CÁLCULO!$BS$15:$CS$244,CRONO!E$12,CÁLCULO!$AR$15:$BR$244)/(ORÇAMENTO!$X$15-CÁLCULO.TotalAdmLocal)*CRONO!$F43,
                        0),
                 E42*$S41),
          SUMIF(OFFSET($S43,1,0,$R41-2),($M41+1)&amp;"$",OFFSET(E43,1,0,$R41-2)))</f>
        <v>0</v>
      </c>
      <c r="F43" s="185" t="str">
        <f ca="1">IF(OR($R41&lt;&gt;2,AUTOEVENTO&lt;&gt;"manual",$F42&gt;0),"",
        IF(Import.TipoArredondamento="Tradicional",
              SUMIF(OFFSET(CÁLCULO!$M$15,CRONO!$F41,0,OFFSET(ORÇAMENTO!$D$15,CRONO!$F41,0)),1,OFFSET(ORÇAMENTO!$X$15,CRONO!$F41,0,OFFSET(ORÇAMENTO!$D$15,CRONO!$F41,0))),
              0))</f>
        <v/>
      </c>
      <c r="H43" s="203"/>
      <c r="S43" s="204" t="str">
        <f t="shared" ref="S43" ca="1" si="61">M41&amp;"$"</f>
        <v>1$</v>
      </c>
      <c r="T43" s="205"/>
      <c r="U43" s="202" cm="1">
        <f t="array" aca="1" ref="U43" ca="1">IF($R41=2,
         IF(AND(ACOMPANHAMENTO="PLE",ISNUMBER($F41)),
                SUMIF((OFFSET(CÁLCULO!$BS$15:$CS$15,$F41,0,OFFSET(ORÇAMENTO!$D$15,CRONO!$F41,0))),CRONO!U$12,OFFSET(CÁLCULO!$AR$15:$BR$15,$F41,0,OFFSET(ORÇAMENTO!$D$15,CRONO!$F41,0)))
                +IF(AND($F43&lt;&gt;"",$F43&lt;&gt;0),
                        SUMIF(CÁLCULO!$BS$15:$CS$244,CRONO!U$12,CÁLCULO!$AR$15:$BR$244)/(ORÇAMENTO!$X$15-CÁLCULO.TotalAdmLocal)*CRONO!$F43,
                        0),
                 U42*$S41),
          SUMIF(OFFSET($S43,1,0,$R41-2),($M41+1)&amp;"$",OFFSET(U43,1,0,$R41-2)))</f>
        <v>0</v>
      </c>
      <c r="V43" s="202" cm="1">
        <f t="array" aca="1" ref="V43" ca="1">IF($R41=2,
         IF(AND(ACOMPANHAMENTO="PLE",ISNUMBER($F41)),
                SUMIF((OFFSET(CÁLCULO!$BS$15:$CS$15,$F41,0,OFFSET(ORÇAMENTO!$D$15,CRONO!$F41,0))),CRONO!V$12,OFFSET(CÁLCULO!$AR$15:$BR$15,$F41,0,OFFSET(ORÇAMENTO!$D$15,CRONO!$F41,0)))
                +IF(AND($F43&lt;&gt;"",$F43&lt;&gt;0),
                        SUMIF(CÁLCULO!$BS$15:$CS$244,CRONO!V$12,CÁLCULO!$AR$15:$BR$244)/(ORÇAMENTO!$X$15-CÁLCULO.TotalAdmLocal)*CRONO!$F43,
                        0),
                 V42*$S41),
          SUMIF(OFFSET($S43,1,0,$R41-2),($M41+1)&amp;"$",OFFSET(V43,1,0,$R41-2)))</f>
        <v>0</v>
      </c>
      <c r="W43" s="202" cm="1">
        <f t="array" aca="1" ref="W43" ca="1">IF($R41=2,
         IF(AND(ACOMPANHAMENTO="PLE",ISNUMBER($F41)),
                SUMIF((OFFSET(CÁLCULO!$BS$15:$CS$15,$F41,0,OFFSET(ORÇAMENTO!$D$15,CRONO!$F41,0))),CRONO!W$12,OFFSET(CÁLCULO!$AR$15:$BR$15,$F41,0,OFFSET(ORÇAMENTO!$D$15,CRONO!$F41,0)))
                +IF(AND($F43&lt;&gt;"",$F43&lt;&gt;0),
                        SUMIF(CÁLCULO!$BS$15:$CS$244,CRONO!W$12,CÁLCULO!$AR$15:$BR$244)/(ORÇAMENTO!$X$15-CÁLCULO.TotalAdmLocal)*CRONO!$F43,
                        0),
                 W42*$S41),
          SUMIF(OFFSET($S43,1,0,$R41-2),($M41+1)&amp;"$",OFFSET(W43,1,0,$R41-2)))</f>
        <v>0</v>
      </c>
      <c r="X43" s="202" cm="1">
        <f t="array" aca="1" ref="X43" ca="1">IF($R41=2,
         IF(AND(ACOMPANHAMENTO="PLE",ISNUMBER($F41)),
                SUMIF((OFFSET(CÁLCULO!$BS$15:$CS$15,$F41,0,OFFSET(ORÇAMENTO!$D$15,CRONO!$F41,0))),CRONO!X$12,OFFSET(CÁLCULO!$AR$15:$BR$15,$F41,0,OFFSET(ORÇAMENTO!$D$15,CRONO!$F41,0)))
                +IF(AND($F43&lt;&gt;"",$F43&lt;&gt;0),
                        SUMIF(CÁLCULO!$BS$15:$CS$244,CRONO!X$12,CÁLCULO!$AR$15:$BR$244)/(ORÇAMENTO!$X$15-CÁLCULO.TotalAdmLocal)*CRONO!$F43,
                        0),
                 X42*$S41),
          SUMIF(OFFSET($S43,1,0,$R41-2),($M41+1)&amp;"$",OFFSET(X43,1,0,$R41-2)))</f>
        <v>0</v>
      </c>
      <c r="Y43" s="202" cm="1">
        <f t="array" aca="1" ref="Y43" ca="1">IF($R41=2,
         IF(AND(ACOMPANHAMENTO="PLE",ISNUMBER($F41)),
                SUMIF((OFFSET(CÁLCULO!$BS$15:$CS$15,$F41,0,OFFSET(ORÇAMENTO!$D$15,CRONO!$F41,0))),CRONO!Y$12,OFFSET(CÁLCULO!$AR$15:$BR$15,$F41,0,OFFSET(ORÇAMENTO!$D$15,CRONO!$F41,0)))
                +IF(AND($F43&lt;&gt;"",$F43&lt;&gt;0),
                        SUMIF(CÁLCULO!$BS$15:$CS$244,CRONO!Y$12,CÁLCULO!$AR$15:$BR$244)/(ORÇAMENTO!$X$15-CÁLCULO.TotalAdmLocal)*CRONO!$F43,
                        0),
                 Y42*$S41),
          SUMIF(OFFSET($S43,1,0,$R41-2),($M41+1)&amp;"$",OFFSET(Y43,1,0,$R41-2)))</f>
        <v>0</v>
      </c>
      <c r="Z43" s="202" cm="1">
        <f t="array" aca="1" ref="Z43" ca="1">IF($R41=2,
         IF(AND(ACOMPANHAMENTO="PLE",ISNUMBER($F41)),
                SUMIF((OFFSET(CÁLCULO!$BS$15:$CS$15,$F41,0,OFFSET(ORÇAMENTO!$D$15,CRONO!$F41,0))),CRONO!Z$12,OFFSET(CÁLCULO!$AR$15:$BR$15,$F41,0,OFFSET(ORÇAMENTO!$D$15,CRONO!$F41,0)))
                +IF(AND($F43&lt;&gt;"",$F43&lt;&gt;0),
                        SUMIF(CÁLCULO!$BS$15:$CS$244,CRONO!Z$12,CÁLCULO!$AR$15:$BR$244)/(ORÇAMENTO!$X$15-CÁLCULO.TotalAdmLocal)*CRONO!$F43,
                        0),
                 Z42*$S41),
          SUMIF(OFFSET($S43,1,0,$R41-2),($M41+1)&amp;"$",OFFSET(Z43,1,0,$R41-2)))</f>
        <v>0</v>
      </c>
      <c r="AA43" s="202" cm="1">
        <f t="array" aca="1" ref="AA43" ca="1">IF($R41=2,
         IF(AND(ACOMPANHAMENTO="PLE",ISNUMBER($F41)),
                SUMIF((OFFSET(CÁLCULO!$BS$15:$CS$15,$F41,0,OFFSET(ORÇAMENTO!$D$15,CRONO!$F41,0))),CRONO!AA$12,OFFSET(CÁLCULO!$AR$15:$BR$15,$F41,0,OFFSET(ORÇAMENTO!$D$15,CRONO!$F41,0)))
                +IF(AND($F43&lt;&gt;"",$F43&lt;&gt;0),
                        SUMIF(CÁLCULO!$BS$15:$CS$244,CRONO!AA$12,CÁLCULO!$AR$15:$BR$244)/(ORÇAMENTO!$X$15-CÁLCULO.TotalAdmLocal)*CRONO!$F43,
                        0),
                 AA42*$S41),
          SUMIF(OFFSET($S43,1,0,$R41-2),($M41+1)&amp;"$",OFFSET(AA43,1,0,$R41-2)))</f>
        <v>0</v>
      </c>
      <c r="AB43" s="202" cm="1">
        <f t="array" aca="1" ref="AB43" ca="1">IF($R41=2,
         IF(AND(ACOMPANHAMENTO="PLE",ISNUMBER($F41)),
                SUMIF((OFFSET(CÁLCULO!$BS$15:$CS$15,$F41,0,OFFSET(ORÇAMENTO!$D$15,CRONO!$F41,0))),CRONO!AB$12,OFFSET(CÁLCULO!$AR$15:$BR$15,$F41,0,OFFSET(ORÇAMENTO!$D$15,CRONO!$F41,0)))
                +IF(AND($F43&lt;&gt;"",$F43&lt;&gt;0),
                        SUMIF(CÁLCULO!$BS$15:$CS$244,CRONO!AB$12,CÁLCULO!$AR$15:$BR$244)/(ORÇAMENTO!$X$15-CÁLCULO.TotalAdmLocal)*CRONO!$F43,
                        0),
                 AB42*$S41),
          SUMIF(OFFSET($S43,1,0,$R41-2),($M41+1)&amp;"$",OFFSET(AB43,1,0,$R41-2)))</f>
        <v>0</v>
      </c>
      <c r="AC43" s="202" cm="1">
        <f t="array" aca="1" ref="AC43" ca="1">IF($R41=2,
         IF(AND(ACOMPANHAMENTO="PLE",ISNUMBER($F41)),
                SUMIF((OFFSET(CÁLCULO!$BS$15:$CS$15,$F41,0,OFFSET(ORÇAMENTO!$D$15,CRONO!$F41,0))),CRONO!AC$12,OFFSET(CÁLCULO!$AR$15:$BR$15,$F41,0,OFFSET(ORÇAMENTO!$D$15,CRONO!$F41,0)))
                +IF(AND($F43&lt;&gt;"",$F43&lt;&gt;0),
                        SUMIF(CÁLCULO!$BS$15:$CS$244,CRONO!AC$12,CÁLCULO!$AR$15:$BR$244)/(ORÇAMENTO!$X$15-CÁLCULO.TotalAdmLocal)*CRONO!$F43,
                        0),
                 AC42*$S41),
          SUMIF(OFFSET($S43,1,0,$R41-2),($M41+1)&amp;"$",OFFSET(AC43,1,0,$R41-2)))</f>
        <v>0</v>
      </c>
      <c r="AD43" s="202" cm="1">
        <f t="array" aca="1" ref="AD43" ca="1">IF($R41=2,
         IF(AND(ACOMPANHAMENTO="PLE",ISNUMBER($F41)),
                SUMIF((OFFSET(CÁLCULO!$BS$15:$CS$15,$F41,0,OFFSET(ORÇAMENTO!$D$15,CRONO!$F41,0))),CRONO!AD$12,OFFSET(CÁLCULO!$AR$15:$BR$15,$F41,0,OFFSET(ORÇAMENTO!$D$15,CRONO!$F41,0)))
                +IF(AND($F43&lt;&gt;"",$F43&lt;&gt;0),
                        SUMIF(CÁLCULO!$BS$15:$CS$244,CRONO!AD$12,CÁLCULO!$AR$15:$BR$244)/(ORÇAMENTO!$X$15-CÁLCULO.TotalAdmLocal)*CRONO!$F43,
                        0),
                 AD42*$S41),
          SUMIF(OFFSET($S43,1,0,$R41-2),($M41+1)&amp;"$",OFFSET(AD43,1,0,$R41-2)))</f>
        <v>0</v>
      </c>
      <c r="AE43" s="202" cm="1">
        <f t="array" aca="1" ref="AE43" ca="1">IF($R41=2,
         IF(AND(ACOMPANHAMENTO="PLE",ISNUMBER($F41)),
                SUMIF((OFFSET(CÁLCULO!$BS$15:$CS$15,$F41,0,OFFSET(ORÇAMENTO!$D$15,CRONO!$F41,0))),CRONO!AE$12,OFFSET(CÁLCULO!$AR$15:$BR$15,$F41,0,OFFSET(ORÇAMENTO!$D$15,CRONO!$F41,0)))
                +IF(AND($F43&lt;&gt;"",$F43&lt;&gt;0),
                        SUMIF(CÁLCULO!$BS$15:$CS$244,CRONO!AE$12,CÁLCULO!$AR$15:$BR$244)/(ORÇAMENTO!$X$15-CÁLCULO.TotalAdmLocal)*CRONO!$F43,
                        0),
                 AE42*$S41),
          SUMIF(OFFSET($S43,1,0,$R41-2),($M41+1)&amp;"$",OFFSET(AE43,1,0,$R41-2)))</f>
        <v>0</v>
      </c>
      <c r="AF43" s="202" cm="1">
        <f t="array" aca="1" ref="AF43" ca="1">IF($R41=2,
         IF(AND(ACOMPANHAMENTO="PLE",ISNUMBER($F41)),
                SUMIF((OFFSET(CÁLCULO!$BS$15:$CS$15,$F41,0,OFFSET(ORÇAMENTO!$D$15,CRONO!$F41,0))),CRONO!AF$12,OFFSET(CÁLCULO!$AR$15:$BR$15,$F41,0,OFFSET(ORÇAMENTO!$D$15,CRONO!$F41,0)))
                +IF(AND($F43&lt;&gt;"",$F43&lt;&gt;0),
                        SUMIF(CÁLCULO!$BS$15:$CS$244,CRONO!AF$12,CÁLCULO!$AR$15:$BR$244)/(ORÇAMENTO!$X$15-CÁLCULO.TotalAdmLocal)*CRONO!$F43,
                        0),
                 AF42*$S41),
          SUMIF(OFFSET($S43,1,0,$R41-2),($M41+1)&amp;"$",OFFSET(AF43,1,0,$R41-2)))</f>
        <v>0</v>
      </c>
      <c r="AG43" s="202" cm="1">
        <f t="array" aca="1" ref="AG43" ca="1">IF($R41=2,
         IF(AND(ACOMPANHAMENTO="PLE",ISNUMBER($F41)),
                SUMIF((OFFSET(CÁLCULO!$BS$15:$CS$15,$F41,0,OFFSET(ORÇAMENTO!$D$15,CRONO!$F41,0))),CRONO!AG$12,OFFSET(CÁLCULO!$AR$15:$BR$15,$F41,0,OFFSET(ORÇAMENTO!$D$15,CRONO!$F41,0)))
                +IF(AND($F43&lt;&gt;"",$F43&lt;&gt;0),
                        SUMIF(CÁLCULO!$BS$15:$CS$244,CRONO!AG$12,CÁLCULO!$AR$15:$BR$244)/(ORÇAMENTO!$X$15-CÁLCULO.TotalAdmLocal)*CRONO!$F43,
                        0),
                 AG42*$S41),
          SUMIF(OFFSET($S43,1,0,$R41-2),($M41+1)&amp;"$",OFFSET(AG43,1,0,$R41-2)))</f>
        <v>0</v>
      </c>
      <c r="AH43" s="202" cm="1">
        <f t="array" aca="1" ref="AH43" ca="1">IF($R41=2,
         IF(AND(ACOMPANHAMENTO="PLE",ISNUMBER($F41)),
                SUMIF((OFFSET(CÁLCULO!$BS$15:$CS$15,$F41,0,OFFSET(ORÇAMENTO!$D$15,CRONO!$F41,0))),CRONO!AH$12,OFFSET(CÁLCULO!$AR$15:$BR$15,$F41,0,OFFSET(ORÇAMENTO!$D$15,CRONO!$F41,0)))
                +IF(AND($F43&lt;&gt;"",$F43&lt;&gt;0),
                        SUMIF(CÁLCULO!$BS$15:$CS$244,CRONO!AH$12,CÁLCULO!$AR$15:$BR$244)/(ORÇAMENTO!$X$15-CÁLCULO.TotalAdmLocal)*CRONO!$F43,
                        0),
                 AH42*$S41),
          SUMIF(OFFSET($S43,1,0,$R41-2),($M41+1)&amp;"$",OFFSET(AH43,1,0,$R41-2)))</f>
        <v>0</v>
      </c>
      <c r="AI43" s="202" cm="1">
        <f t="array" aca="1" ref="AI43" ca="1">IF($R41=2,
         IF(AND(ACOMPANHAMENTO="PLE",ISNUMBER($F41)),
                SUMIF((OFFSET(CÁLCULO!$BS$15:$CS$15,$F41,0,OFFSET(ORÇAMENTO!$D$15,CRONO!$F41,0))),CRONO!AI$12,OFFSET(CÁLCULO!$AR$15:$BR$15,$F41,0,OFFSET(ORÇAMENTO!$D$15,CRONO!$F41,0)))
                +IF(AND($F43&lt;&gt;"",$F43&lt;&gt;0),
                        SUMIF(CÁLCULO!$BS$15:$CS$244,CRONO!AI$12,CÁLCULO!$AR$15:$BR$244)/(ORÇAMENTO!$X$15-CÁLCULO.TotalAdmLocal)*CRONO!$F43,
                        0),
                 AI42*$S41),
          SUMIF(OFFSET($S43,1,0,$R41-2),($M41+1)&amp;"$",OFFSET(AI43,1,0,$R41-2)))</f>
        <v>0</v>
      </c>
      <c r="AJ43" s="202" cm="1">
        <f t="array" aca="1" ref="AJ43" ca="1">IF($R41=2,
         IF(AND(ACOMPANHAMENTO="PLE",ISNUMBER($F41)),
                SUMIF((OFFSET(CÁLCULO!$BS$15:$CS$15,$F41,0,OFFSET(ORÇAMENTO!$D$15,CRONO!$F41,0))),CRONO!AJ$12,OFFSET(CÁLCULO!$AR$15:$BR$15,$F41,0,OFFSET(ORÇAMENTO!$D$15,CRONO!$F41,0)))
                +IF(AND($F43&lt;&gt;"",$F43&lt;&gt;0),
                        SUMIF(CÁLCULO!$BS$15:$CS$244,CRONO!AJ$12,CÁLCULO!$AR$15:$BR$244)/(ORÇAMENTO!$X$15-CÁLCULO.TotalAdmLocal)*CRONO!$F43,
                        0),
                 AJ42*$S41),
          SUMIF(OFFSET($S43,1,0,$R41-2),($M41+1)&amp;"$",OFFSET(AJ43,1,0,$R41-2)))</f>
        <v>0</v>
      </c>
      <c r="AK43" s="202" cm="1">
        <f t="array" aca="1" ref="AK43" ca="1">IF($R41=2,
         IF(AND(ACOMPANHAMENTO="PLE",ISNUMBER($F41)),
                SUMIF((OFFSET(CÁLCULO!$BS$15:$CS$15,$F41,0,OFFSET(ORÇAMENTO!$D$15,CRONO!$F41,0))),CRONO!AK$12,OFFSET(CÁLCULO!$AR$15:$BR$15,$F41,0,OFFSET(ORÇAMENTO!$D$15,CRONO!$F41,0)))
                +IF(AND($F43&lt;&gt;"",$F43&lt;&gt;0),
                        SUMIF(CÁLCULO!$BS$15:$CS$244,CRONO!AK$12,CÁLCULO!$AR$15:$BR$244)/(ORÇAMENTO!$X$15-CÁLCULO.TotalAdmLocal)*CRONO!$F43,
                        0),
                 AK42*$S41),
          SUMIF(OFFSET($S43,1,0,$R41-2),($M41+1)&amp;"$",OFFSET(AK43,1,0,$R41-2)))</f>
        <v>0</v>
      </c>
      <c r="AL43" s="202" cm="1">
        <f t="array" aca="1" ref="AL43" ca="1">IF($R41=2,
         IF(AND(ACOMPANHAMENTO="PLE",ISNUMBER($F41)),
                SUMIF((OFFSET(CÁLCULO!$BS$15:$CS$15,$F41,0,OFFSET(ORÇAMENTO!$D$15,CRONO!$F41,0))),CRONO!AL$12,OFFSET(CÁLCULO!$AR$15:$BR$15,$F41,0,OFFSET(ORÇAMENTO!$D$15,CRONO!$F41,0)))
                +IF(AND($F43&lt;&gt;"",$F43&lt;&gt;0),
                        SUMIF(CÁLCULO!$BS$15:$CS$244,CRONO!AL$12,CÁLCULO!$AR$15:$BR$244)/(ORÇAMENTO!$X$15-CÁLCULO.TotalAdmLocal)*CRONO!$F43,
                        0),
                 AL42*$S41),
          SUMIF(OFFSET($S43,1,0,$R41-2),($M41+1)&amp;"$",OFFSET(AL43,1,0,$R41-2)))</f>
        <v>0</v>
      </c>
      <c r="AM43" s="202" cm="1">
        <f t="array" aca="1" ref="AM43" ca="1">IF($R41=2,
         IF(AND(ACOMPANHAMENTO="PLE",ISNUMBER($F41)),
                SUMIF((OFFSET(CÁLCULO!$BS$15:$CS$15,$F41,0,OFFSET(ORÇAMENTO!$D$15,CRONO!$F41,0))),CRONO!AM$12,OFFSET(CÁLCULO!$AR$15:$BR$15,$F41,0,OFFSET(ORÇAMENTO!$D$15,CRONO!$F41,0)))
                +IF(AND($F43&lt;&gt;"",$F43&lt;&gt;0),
                        SUMIF(CÁLCULO!$BS$15:$CS$244,CRONO!AM$12,CÁLCULO!$AR$15:$BR$244)/(ORÇAMENTO!$X$15-CÁLCULO.TotalAdmLocal)*CRONO!$F43,
                        0),
                 AM42*$S41),
          SUMIF(OFFSET($S43,1,0,$R41-2),($M41+1)&amp;"$",OFFSET(AM43,1,0,$R41-2)))</f>
        <v>0</v>
      </c>
      <c r="AN43" s="202" cm="1">
        <f t="array" aca="1" ref="AN43" ca="1">IF($R41=2,
         IF(AND(ACOMPANHAMENTO="PLE",ISNUMBER($F41)),
                SUMIF((OFFSET(CÁLCULO!$BS$15:$CS$15,$F41,0,OFFSET(ORÇAMENTO!$D$15,CRONO!$F41,0))),CRONO!AN$12,OFFSET(CÁLCULO!$AR$15:$BR$15,$F41,0,OFFSET(ORÇAMENTO!$D$15,CRONO!$F41,0)))
                +IF(AND($F43&lt;&gt;"",$F43&lt;&gt;0),
                        SUMIF(CÁLCULO!$BS$15:$CS$244,CRONO!AN$12,CÁLCULO!$AR$15:$BR$244)/(ORÇAMENTO!$X$15-CÁLCULO.TotalAdmLocal)*CRONO!$F43,
                        0),
                 AN42*$S41),
          SUMIF(OFFSET($S43,1,0,$R41-2),($M41+1)&amp;"$",OFFSET(AN43,1,0,$R41-2)))</f>
        <v>0</v>
      </c>
      <c r="AO43" s="202" cm="1">
        <f t="array" aca="1" ref="AO43" ca="1">IF($R41=2,
         IF(AND(ACOMPANHAMENTO="PLE",ISNUMBER($F41)),
                SUMIF((OFFSET(CÁLCULO!$BS$15:$CS$15,$F41,0,OFFSET(ORÇAMENTO!$D$15,CRONO!$F41,0))),CRONO!AO$12,OFFSET(CÁLCULO!$AR$15:$BR$15,$F41,0,OFFSET(ORÇAMENTO!$D$15,CRONO!$F41,0)))
                +IF(AND($F43&lt;&gt;"",$F43&lt;&gt;0),
                        SUMIF(CÁLCULO!$BS$15:$CS$244,CRONO!AO$12,CÁLCULO!$AR$15:$BR$244)/(ORÇAMENTO!$X$15-CÁLCULO.TotalAdmLocal)*CRONO!$F43,
                        0),
                 AO42*$S41),
          SUMIF(OFFSET($S43,1,0,$R41-2),($M41+1)&amp;"$",OFFSET(AO43,1,0,$R41-2)))</f>
        <v>0</v>
      </c>
      <c r="AP43" s="202" cm="1">
        <f t="array" aca="1" ref="AP43" ca="1">IF($R41=2,
         IF(AND(ACOMPANHAMENTO="PLE",ISNUMBER($F41)),
                SUMIF((OFFSET(CÁLCULO!$BS$15:$CS$15,$F41,0,OFFSET(ORÇAMENTO!$D$15,CRONO!$F41,0))),CRONO!AP$12,OFFSET(CÁLCULO!$AR$15:$BR$15,$F41,0,OFFSET(ORÇAMENTO!$D$15,CRONO!$F41,0)))
                +IF(AND($F43&lt;&gt;"",$F43&lt;&gt;0),
                        SUMIF(CÁLCULO!$BS$15:$CS$244,CRONO!AP$12,CÁLCULO!$AR$15:$BR$244)/(ORÇAMENTO!$X$15-CÁLCULO.TotalAdmLocal)*CRONO!$F43,
                        0),
                 AP42*$S41),
          SUMIF(OFFSET($S43,1,0,$R41-2),($M41+1)&amp;"$",OFFSET(AP43,1,0,$R41-2)))</f>
        <v>0</v>
      </c>
      <c r="AQ43" s="202" cm="1">
        <f t="array" aca="1" ref="AQ43" ca="1">IF($R41=2,
         IF(AND(ACOMPANHAMENTO="PLE",ISNUMBER($F41)),
                SUMIF((OFFSET(CÁLCULO!$BS$15:$CS$15,$F41,0,OFFSET(ORÇAMENTO!$D$15,CRONO!$F41,0))),CRONO!AQ$12,OFFSET(CÁLCULO!$AR$15:$BR$15,$F41,0,OFFSET(ORÇAMENTO!$D$15,CRONO!$F41,0)))
                +IF(AND($F43&lt;&gt;"",$F43&lt;&gt;0),
                        SUMIF(CÁLCULO!$BS$15:$CS$244,CRONO!AQ$12,CÁLCULO!$AR$15:$BR$244)/(ORÇAMENTO!$X$15-CÁLCULO.TotalAdmLocal)*CRONO!$F43,
                        0),
                 AQ42*$S41),
          SUMIF(OFFSET($S43,1,0,$R41-2),($M41+1)&amp;"$",OFFSET(AQ43,1,0,$R41-2)))</f>
        <v>0</v>
      </c>
      <c r="AR43" s="202" cm="1">
        <f t="array" aca="1" ref="AR43" ca="1">IF($R41=2,
         IF(AND(ACOMPANHAMENTO="PLE",ISNUMBER($F41)),
                SUMIF((OFFSET(CÁLCULO!$BS$15:$CS$15,$F41,0,OFFSET(ORÇAMENTO!$D$15,CRONO!$F41,0))),CRONO!AR$12,OFFSET(CÁLCULO!$AR$15:$BR$15,$F41,0,OFFSET(ORÇAMENTO!$D$15,CRONO!$F41,0)))
                +IF(AND($F43&lt;&gt;"",$F43&lt;&gt;0),
                        SUMIF(CÁLCULO!$BS$15:$CS$244,CRONO!AR$12,CÁLCULO!$AR$15:$BR$244)/(ORÇAMENTO!$X$15-CÁLCULO.TotalAdmLocal)*CRONO!$F43,
                        0),
                 AR42*$S41),
          SUMIF(OFFSET($S43,1,0,$R41-2),($M41+1)&amp;"$",OFFSET(AR43,1,0,$R41-2)))</f>
        <v>0</v>
      </c>
      <c r="AS43" s="534"/>
    </row>
    <row r="44" spans="1:45" x14ac:dyDescent="0.2">
      <c r="A44" s="186" t="e">
        <f t="shared" ref="A44" ca="1" si="62">IF($M44&gt;1,_xlfn.CONCAT($I44," ",$J44),"")</f>
        <v>#NAME?</v>
      </c>
      <c r="B44" s="185">
        <f t="shared" ref="B44" ca="1" si="63">OFFSET(B44,-3,0)+1</f>
        <v>11</v>
      </c>
      <c r="C44" s="185">
        <f ca="1">IF($R44&lt;&gt;2,0,IF($S44=0,1,IF(F45&gt;0,OFFSET(QCI!$M$13,SUBSTITUTE(F45,".",""),0),OFFSET(ORÇAMENTO!$AA$15,CRONO!$F44,0))/$S44))</f>
        <v>1</v>
      </c>
      <c r="D44" s="185">
        <f ca="1">IF($R44&lt;&gt;2,0,IF($S44=0,1,IF(F45&gt;0,OFFSET(QCI!$N$13,SUBSTITUTE(F45,".",""),0),OFFSET(ORÇAMENTO!$AB$15,CRONO!$F44,0))/$S44))</f>
        <v>1</v>
      </c>
      <c r="E44" s="188" t="e" cm="1">
        <f t="array" aca="1" ref="E44" ca="1">IF(AND($R44=2,ACOMPANHAMENTO="BM"),ROUND(E45,4),E46/$S44)</f>
        <v>#DIV/0!</v>
      </c>
      <c r="F44" s="185" cm="1">
        <f t="array" aca="1" ref="F44" ca="1">IF(B44&lt;=ORÇAMENTO.MáximoListaCrono,MATCH(B44,ORÇAMENTO.ListaCrono,0),NA())</f>
        <v>35</v>
      </c>
      <c r="G44" s="185" t="str">
        <f t="shared" ref="G44" ca="1" si="64">IF(AND($F45&lt;&gt;-1,$S44&gt;0),"F","")</f>
        <v/>
      </c>
      <c r="H44" s="189" t="str" cm="1">
        <f t="array" aca="1" ref="H44" ca="1">IF(OR(S44=0,S44=""),"Linha",IF(AND(OR(ACOMPANHAMENTO="PLE",$R44&lt;&gt;2),$F45=0),"Linha",ROUND(1-SUM(U44:AS44),4)))</f>
        <v>Linha</v>
      </c>
      <c r="I44" s="190" t="str">
        <f ca="1">IF($F45=0,OFFSET(ORÇAMENTO!O$15,$F44,0),IF($F45&lt;&gt;-1,OFFSET(QCI!$D$13,$F45,0),""))</f>
        <v>4.1.</v>
      </c>
      <c r="J44" s="191" t="str">
        <f ca="1">IF($F45=0,OFFSET(ORÇAMENTO!R$15,$F44,0),IF($F45&lt;&gt;-1,OFFSET(QCI!$G$13,$F45,0),""))</f>
        <v>PILARES, VIGAS E LAJES</v>
      </c>
      <c r="K44" s="191"/>
      <c r="L44" s="191"/>
      <c r="M44" s="192">
        <f ca="1">IF($F45=0,OFFSET(ORÇAMENTO!C$15,$F44,0),1)</f>
        <v>2</v>
      </c>
      <c r="N44" s="193">
        <f ca="1">IF($F45=-1,0,IF(N$13&lt;=$M44,IF(ISERROR(MATCH(N$13,OFFSET($M44,1,0,ROW($M$164)-ROW($M44)-1),0)),ROW($M$164)-ROW($M44)-1,MATCH(N$13,OFFSET($M44,1,0,ROW($M$164)-ROW($M44)-1),0)-1),0))</f>
        <v>2</v>
      </c>
      <c r="O44" s="193">
        <f ca="1">IF($F45=-1,0,IF(O$13&lt;=$M44,IF(ISERROR(MATCH(O$13,OFFSET($M44,1,0,ROW($M$164)-ROW($M44)-1),0)),ROW($M$164)-ROW($M44)-1,MATCH(O$13,OFFSET($M44,1,0,ROW($M$164)-ROW($M44)-1),0)-1),0))</f>
        <v>5</v>
      </c>
      <c r="P44" s="193">
        <f ca="1">IF($F45=-1,0,IF(P$13&lt;=$M44,IF(ISERROR(MATCH(P$13,OFFSET($M44,1,0,ROW($M$164)-ROW($M44)-1),0)),ROW($M$164)-ROW($M44)-1,MATCH(P$13,OFFSET($M44,1,0,ROW($M$164)-ROW($M44)-1),0)-1),0))</f>
        <v>0</v>
      </c>
      <c r="Q44" s="193">
        <f ca="1">IF($F45=-1,0,IF(Q$13&lt;=$M44,IF(ISERROR(MATCH(Q$13,OFFSET($M44,1,0,ROW($M$164)-ROW($M44)-1),0)),ROW($M$164)-ROW($M44)-1,MATCH(Q$13,OFFSET($M44,1,0,ROW($M$164)-ROW($M44)-1),0)-1),0))</f>
        <v>0</v>
      </c>
      <c r="R44" s="193">
        <f t="shared" ref="R44" ca="1" si="65">MIN(OFFSET(M44,0,1,,M44))</f>
        <v>2</v>
      </c>
      <c r="S44" s="194">
        <f ca="1">IF($F45=0,OFFSET(ORÇAMENTO!X$15,$F44,0),IF($F45&lt;&gt;-1,OFFSET(QCI!$O$13,$F45,0),""))</f>
        <v>0</v>
      </c>
      <c r="T44" s="195" t="s">
        <v>785</v>
      </c>
      <c r="U44" s="188" t="e" cm="1">
        <f t="array" aca="1" ref="U44" ca="1">IF(AND($R44=2,ACOMPANHAMENTO="BM"),ROUND(U45,4),U46/$S44)</f>
        <v>#DIV/0!</v>
      </c>
      <c r="V44" s="188" t="e" cm="1">
        <f t="array" aca="1" ref="V44" ca="1">IF(AND($R44=2,ACOMPANHAMENTO="BM"),ROUND(V45,4),V46/$S44)</f>
        <v>#DIV/0!</v>
      </c>
      <c r="W44" s="188" t="e" cm="1">
        <f t="array" aca="1" ref="W44" ca="1">IF(AND($R44=2,ACOMPANHAMENTO="BM"),ROUND(W45,4),W46/$S44)</f>
        <v>#DIV/0!</v>
      </c>
      <c r="X44" s="188" t="e" cm="1">
        <f t="array" aca="1" ref="X44" ca="1">IF(AND($R44=2,ACOMPANHAMENTO="BM"),ROUND(X45,4),X46/$S44)</f>
        <v>#DIV/0!</v>
      </c>
      <c r="Y44" s="188" t="e" cm="1">
        <f t="array" aca="1" ref="Y44" ca="1">IF(AND($R44=2,ACOMPANHAMENTO="BM"),ROUND(Y45,4),Y46/$S44)</f>
        <v>#DIV/0!</v>
      </c>
      <c r="Z44" s="188" t="e" cm="1">
        <f t="array" aca="1" ref="Z44" ca="1">IF(AND($R44=2,ACOMPANHAMENTO="BM"),ROUND(Z45,4),Z46/$S44)</f>
        <v>#DIV/0!</v>
      </c>
      <c r="AA44" s="188" t="e" cm="1">
        <f t="array" aca="1" ref="AA44" ca="1">IF(AND($R44=2,ACOMPANHAMENTO="BM"),ROUND(AA45,4),AA46/$S44)</f>
        <v>#DIV/0!</v>
      </c>
      <c r="AB44" s="188" t="e" cm="1">
        <f t="array" aca="1" ref="AB44" ca="1">IF(AND($R44=2,ACOMPANHAMENTO="BM"),ROUND(AB45,4),AB46/$S44)</f>
        <v>#DIV/0!</v>
      </c>
      <c r="AC44" s="188" t="e" cm="1">
        <f t="array" aca="1" ref="AC44" ca="1">IF(AND($R44=2,ACOMPANHAMENTO="BM"),ROUND(AC45,4),AC46/$S44)</f>
        <v>#DIV/0!</v>
      </c>
      <c r="AD44" s="188" t="e" cm="1">
        <f t="array" aca="1" ref="AD44" ca="1">IF(AND($R44=2,ACOMPANHAMENTO="BM"),ROUND(AD45,4),AD46/$S44)</f>
        <v>#DIV/0!</v>
      </c>
      <c r="AE44" s="188" t="e" cm="1">
        <f t="array" aca="1" ref="AE44" ca="1">IF(AND($R44=2,ACOMPANHAMENTO="BM"),ROUND(AE45,4),AE46/$S44)</f>
        <v>#DIV/0!</v>
      </c>
      <c r="AF44" s="188" t="e" cm="1">
        <f t="array" aca="1" ref="AF44" ca="1">IF(AND($R44=2,ACOMPANHAMENTO="BM"),ROUND(AF45,4),AF46/$S44)</f>
        <v>#DIV/0!</v>
      </c>
      <c r="AG44" s="188" t="e" cm="1">
        <f t="array" aca="1" ref="AG44" ca="1">IF(AND($R44=2,ACOMPANHAMENTO="BM"),ROUND(AG45,4),AG46/$S44)</f>
        <v>#DIV/0!</v>
      </c>
      <c r="AH44" s="188" t="e" cm="1">
        <f t="array" aca="1" ref="AH44" ca="1">IF(AND($R44=2,ACOMPANHAMENTO="BM"),ROUND(AH45,4),AH46/$S44)</f>
        <v>#DIV/0!</v>
      </c>
      <c r="AI44" s="188" t="e" cm="1">
        <f t="array" aca="1" ref="AI44" ca="1">IF(AND($R44=2,ACOMPANHAMENTO="BM"),ROUND(AI45,4),AI46/$S44)</f>
        <v>#DIV/0!</v>
      </c>
      <c r="AJ44" s="188" t="e" cm="1">
        <f t="array" aca="1" ref="AJ44" ca="1">IF(AND($R44=2,ACOMPANHAMENTO="BM"),ROUND(AJ45,4),AJ46/$S44)</f>
        <v>#DIV/0!</v>
      </c>
      <c r="AK44" s="188" t="e" cm="1">
        <f t="array" aca="1" ref="AK44" ca="1">IF(AND($R44=2,ACOMPANHAMENTO="BM"),ROUND(AK45,4),AK46/$S44)</f>
        <v>#DIV/0!</v>
      </c>
      <c r="AL44" s="188" t="e" cm="1">
        <f t="array" aca="1" ref="AL44" ca="1">IF(AND($R44=2,ACOMPANHAMENTO="BM"),ROUND(AL45,4),AL46/$S44)</f>
        <v>#DIV/0!</v>
      </c>
      <c r="AM44" s="188" t="e" cm="1">
        <f t="array" aca="1" ref="AM44" ca="1">IF(AND($R44=2,ACOMPANHAMENTO="BM"),ROUND(AM45,4),AM46/$S44)</f>
        <v>#DIV/0!</v>
      </c>
      <c r="AN44" s="188" t="e" cm="1">
        <f t="array" aca="1" ref="AN44" ca="1">IF(AND($R44=2,ACOMPANHAMENTO="BM"),ROUND(AN45,4),AN46/$S44)</f>
        <v>#DIV/0!</v>
      </c>
      <c r="AO44" s="188" t="e" cm="1">
        <f t="array" aca="1" ref="AO44" ca="1">IF(AND($R44=2,ACOMPANHAMENTO="BM"),ROUND(AO45,4),AO46/$S44)</f>
        <v>#DIV/0!</v>
      </c>
      <c r="AP44" s="188" t="e" cm="1">
        <f t="array" aca="1" ref="AP44" ca="1">IF(AND($R44=2,ACOMPANHAMENTO="BM"),ROUND(AP45,4),AP46/$S44)</f>
        <v>#DIV/0!</v>
      </c>
      <c r="AQ44" s="188" t="e" cm="1">
        <f t="array" aca="1" ref="AQ44" ca="1">IF(AND($R44=2,ACOMPANHAMENTO="BM"),ROUND(AQ45,4),AQ46/$S44)</f>
        <v>#DIV/0!</v>
      </c>
      <c r="AR44" s="188" t="e" cm="1">
        <f t="array" aca="1" ref="AR44" ca="1">IF(AND($R44=2,ACOMPANHAMENTO="BM"),ROUND(AR45,4),AR46/$S44)</f>
        <v>#DIV/0!</v>
      </c>
      <c r="AS44" s="534"/>
    </row>
    <row r="45" spans="1:45" ht="12.75" hidden="1" customHeight="1" x14ac:dyDescent="0.2">
      <c r="E45" s="587"/>
      <c r="F45" s="185">
        <f ca="1">IF(ISERROR(F44),IF(1+COUNTIF($M$13:OFFSET(M44,-1,0),1)&lt;=MAX(QCI!$D$13:$D$24),1+COUNTIF($M$13:OFFSET(M44,-1,0),1),-1),0)</f>
        <v>0</v>
      </c>
      <c r="G45" s="185" t="str" cm="1">
        <f t="array" aca="1" ref="G45" ca="1">IF(ACOMPANHAMENTO="BM",OFFSET(G45,-1,0),"")</f>
        <v/>
      </c>
      <c r="H45" s="196" t="str" cm="1">
        <f t="array" aca="1" ref="H45" ca="1">IF(OR(S44=0,S44=""),"vazia",IF(AND(OR(ACOMPANHAMENTO="PLE",$R44&lt;&gt;2),$F45=0),"calculada","--&gt;"))</f>
        <v>vazia</v>
      </c>
      <c r="I45" s="197"/>
      <c r="J45" s="198" t="str">
        <f t="shared" ref="J45" ca="1" si="66">IF(AND(H44&lt;&gt;0,ISNUMBER(H44)),"PREENCHA ESTA LINHA --&gt;","")</f>
        <v/>
      </c>
      <c r="K45" s="198"/>
      <c r="L45" s="198"/>
      <c r="M45" s="199"/>
      <c r="N45" s="199"/>
      <c r="O45" s="199"/>
      <c r="P45" s="199"/>
      <c r="Q45" s="199"/>
      <c r="R45" s="199"/>
      <c r="S45" s="200"/>
      <c r="T45" s="201"/>
      <c r="U45" s="587"/>
      <c r="V45" s="587"/>
      <c r="W45" s="587"/>
      <c r="X45" s="587"/>
      <c r="Y45" s="587"/>
      <c r="Z45" s="587"/>
      <c r="AA45" s="587"/>
      <c r="AB45" s="587"/>
      <c r="AC45" s="587"/>
      <c r="AD45" s="587"/>
      <c r="AE45" s="587"/>
      <c r="AF45" s="587"/>
      <c r="AG45" s="587"/>
      <c r="AH45" s="587"/>
      <c r="AI45" s="587"/>
      <c r="AJ45" s="587"/>
      <c r="AK45" s="587"/>
      <c r="AL45" s="587"/>
      <c r="AM45" s="587"/>
      <c r="AN45" s="587"/>
      <c r="AO45" s="587"/>
      <c r="AP45" s="587"/>
      <c r="AQ45" s="587"/>
      <c r="AR45" s="587"/>
      <c r="AS45" s="534"/>
    </row>
    <row r="46" spans="1:45" ht="12.75" hidden="1" customHeight="1" x14ac:dyDescent="0.2">
      <c r="D46" s="533"/>
      <c r="E46" s="202" cm="1">
        <f t="array" aca="1" ref="E46" ca="1">IF($R44=2,
         IF(AND(ACOMPANHAMENTO="PLE",ISNUMBER($F44)),
                SUMIF((OFFSET(CÁLCULO!$BS$15:$CS$15,$F44,0,OFFSET(ORÇAMENTO!$D$15,CRONO!$F44,0))),CRONO!E$12,OFFSET(CÁLCULO!$AR$15:$BR$15,$F44,0,OFFSET(ORÇAMENTO!$D$15,CRONO!$F44,0)))
                +IF(AND($F46&lt;&gt;"",$F46&lt;&gt;0),
                        SUMIF(CÁLCULO!$BS$15:$CS$244,CRONO!E$12,CÁLCULO!$AR$15:$BR$244)/(ORÇAMENTO!$X$15-CÁLCULO.TotalAdmLocal)*CRONO!$F46,
                        0),
                 E45*$S44),
          SUMIF(OFFSET($S46,1,0,$R44-2),($M44+1)&amp;"$",OFFSET(E46,1,0,$R44-2)))</f>
        <v>0</v>
      </c>
      <c r="F46" s="185">
        <f ca="1">IF(OR($R44&lt;&gt;2,AUTOEVENTO&lt;&gt;"manual",$F45&gt;0),"",
        IF(Import.TipoArredondamento="Tradicional",
              SUMIF(OFFSET(CÁLCULO!$M$15,CRONO!$F44,0,OFFSET(ORÇAMENTO!$D$15,CRONO!$F44,0)),1,OFFSET(ORÇAMENTO!$X$15,CRONO!$F44,0,OFFSET(ORÇAMENTO!$D$15,CRONO!$F44,0))),
              0))</f>
        <v>0</v>
      </c>
      <c r="H46" s="203"/>
      <c r="S46" s="204" t="str">
        <f t="shared" ref="S46" ca="1" si="67">M44&amp;"$"</f>
        <v>2$</v>
      </c>
      <c r="T46" s="205"/>
      <c r="U46" s="202" cm="1">
        <f t="array" aca="1" ref="U46" ca="1">IF($R44=2,
         IF(AND(ACOMPANHAMENTO="PLE",ISNUMBER($F44)),
                SUMIF((OFFSET(CÁLCULO!$BS$15:$CS$15,$F44,0,OFFSET(ORÇAMENTO!$D$15,CRONO!$F44,0))),CRONO!U$12,OFFSET(CÁLCULO!$AR$15:$BR$15,$F44,0,OFFSET(ORÇAMENTO!$D$15,CRONO!$F44,0)))
                +IF(AND($F46&lt;&gt;"",$F46&lt;&gt;0),
                        SUMIF(CÁLCULO!$BS$15:$CS$244,CRONO!U$12,CÁLCULO!$AR$15:$BR$244)/(ORÇAMENTO!$X$15-CÁLCULO.TotalAdmLocal)*CRONO!$F46,
                        0),
                 U45*$S44),
          SUMIF(OFFSET($S46,1,0,$R44-2),($M44+1)&amp;"$",OFFSET(U46,1,0,$R44-2)))</f>
        <v>0</v>
      </c>
      <c r="V46" s="202" cm="1">
        <f t="array" aca="1" ref="V46" ca="1">IF($R44=2,
         IF(AND(ACOMPANHAMENTO="PLE",ISNUMBER($F44)),
                SUMIF((OFFSET(CÁLCULO!$BS$15:$CS$15,$F44,0,OFFSET(ORÇAMENTO!$D$15,CRONO!$F44,0))),CRONO!V$12,OFFSET(CÁLCULO!$AR$15:$BR$15,$F44,0,OFFSET(ORÇAMENTO!$D$15,CRONO!$F44,0)))
                +IF(AND($F46&lt;&gt;"",$F46&lt;&gt;0),
                        SUMIF(CÁLCULO!$BS$15:$CS$244,CRONO!V$12,CÁLCULO!$AR$15:$BR$244)/(ORÇAMENTO!$X$15-CÁLCULO.TotalAdmLocal)*CRONO!$F46,
                        0),
                 V45*$S44),
          SUMIF(OFFSET($S46,1,0,$R44-2),($M44+1)&amp;"$",OFFSET(V46,1,0,$R44-2)))</f>
        <v>0</v>
      </c>
      <c r="W46" s="202" cm="1">
        <f t="array" aca="1" ref="W46" ca="1">IF($R44=2,
         IF(AND(ACOMPANHAMENTO="PLE",ISNUMBER($F44)),
                SUMIF((OFFSET(CÁLCULO!$BS$15:$CS$15,$F44,0,OFFSET(ORÇAMENTO!$D$15,CRONO!$F44,0))),CRONO!W$12,OFFSET(CÁLCULO!$AR$15:$BR$15,$F44,0,OFFSET(ORÇAMENTO!$D$15,CRONO!$F44,0)))
                +IF(AND($F46&lt;&gt;"",$F46&lt;&gt;0),
                        SUMIF(CÁLCULO!$BS$15:$CS$244,CRONO!W$12,CÁLCULO!$AR$15:$BR$244)/(ORÇAMENTO!$X$15-CÁLCULO.TotalAdmLocal)*CRONO!$F46,
                        0),
                 W45*$S44),
          SUMIF(OFFSET($S46,1,0,$R44-2),($M44+1)&amp;"$",OFFSET(W46,1,0,$R44-2)))</f>
        <v>0</v>
      </c>
      <c r="X46" s="202" cm="1">
        <f t="array" aca="1" ref="X46" ca="1">IF($R44=2,
         IF(AND(ACOMPANHAMENTO="PLE",ISNUMBER($F44)),
                SUMIF((OFFSET(CÁLCULO!$BS$15:$CS$15,$F44,0,OFFSET(ORÇAMENTO!$D$15,CRONO!$F44,0))),CRONO!X$12,OFFSET(CÁLCULO!$AR$15:$BR$15,$F44,0,OFFSET(ORÇAMENTO!$D$15,CRONO!$F44,0)))
                +IF(AND($F46&lt;&gt;"",$F46&lt;&gt;0),
                        SUMIF(CÁLCULO!$BS$15:$CS$244,CRONO!X$12,CÁLCULO!$AR$15:$BR$244)/(ORÇAMENTO!$X$15-CÁLCULO.TotalAdmLocal)*CRONO!$F46,
                        0),
                 X45*$S44),
          SUMIF(OFFSET($S46,1,0,$R44-2),($M44+1)&amp;"$",OFFSET(X46,1,0,$R44-2)))</f>
        <v>0</v>
      </c>
      <c r="Y46" s="202" cm="1">
        <f t="array" aca="1" ref="Y46" ca="1">IF($R44=2,
         IF(AND(ACOMPANHAMENTO="PLE",ISNUMBER($F44)),
                SUMIF((OFFSET(CÁLCULO!$BS$15:$CS$15,$F44,0,OFFSET(ORÇAMENTO!$D$15,CRONO!$F44,0))),CRONO!Y$12,OFFSET(CÁLCULO!$AR$15:$BR$15,$F44,0,OFFSET(ORÇAMENTO!$D$15,CRONO!$F44,0)))
                +IF(AND($F46&lt;&gt;"",$F46&lt;&gt;0),
                        SUMIF(CÁLCULO!$BS$15:$CS$244,CRONO!Y$12,CÁLCULO!$AR$15:$BR$244)/(ORÇAMENTO!$X$15-CÁLCULO.TotalAdmLocal)*CRONO!$F46,
                        0),
                 Y45*$S44),
          SUMIF(OFFSET($S46,1,0,$R44-2),($M44+1)&amp;"$",OFFSET(Y46,1,0,$R44-2)))</f>
        <v>0</v>
      </c>
      <c r="Z46" s="202" cm="1">
        <f t="array" aca="1" ref="Z46" ca="1">IF($R44=2,
         IF(AND(ACOMPANHAMENTO="PLE",ISNUMBER($F44)),
                SUMIF((OFFSET(CÁLCULO!$BS$15:$CS$15,$F44,0,OFFSET(ORÇAMENTO!$D$15,CRONO!$F44,0))),CRONO!Z$12,OFFSET(CÁLCULO!$AR$15:$BR$15,$F44,0,OFFSET(ORÇAMENTO!$D$15,CRONO!$F44,0)))
                +IF(AND($F46&lt;&gt;"",$F46&lt;&gt;0),
                        SUMIF(CÁLCULO!$BS$15:$CS$244,CRONO!Z$12,CÁLCULO!$AR$15:$BR$244)/(ORÇAMENTO!$X$15-CÁLCULO.TotalAdmLocal)*CRONO!$F46,
                        0),
                 Z45*$S44),
          SUMIF(OFFSET($S46,1,0,$R44-2),($M44+1)&amp;"$",OFFSET(Z46,1,0,$R44-2)))</f>
        <v>0</v>
      </c>
      <c r="AA46" s="202" cm="1">
        <f t="array" aca="1" ref="AA46" ca="1">IF($R44=2,
         IF(AND(ACOMPANHAMENTO="PLE",ISNUMBER($F44)),
                SUMIF((OFFSET(CÁLCULO!$BS$15:$CS$15,$F44,0,OFFSET(ORÇAMENTO!$D$15,CRONO!$F44,0))),CRONO!AA$12,OFFSET(CÁLCULO!$AR$15:$BR$15,$F44,0,OFFSET(ORÇAMENTO!$D$15,CRONO!$F44,0)))
                +IF(AND($F46&lt;&gt;"",$F46&lt;&gt;0),
                        SUMIF(CÁLCULO!$BS$15:$CS$244,CRONO!AA$12,CÁLCULO!$AR$15:$BR$244)/(ORÇAMENTO!$X$15-CÁLCULO.TotalAdmLocal)*CRONO!$F46,
                        0),
                 AA45*$S44),
          SUMIF(OFFSET($S46,1,0,$R44-2),($M44+1)&amp;"$",OFFSET(AA46,1,0,$R44-2)))</f>
        <v>0</v>
      </c>
      <c r="AB46" s="202" cm="1">
        <f t="array" aca="1" ref="AB46" ca="1">IF($R44=2,
         IF(AND(ACOMPANHAMENTO="PLE",ISNUMBER($F44)),
                SUMIF((OFFSET(CÁLCULO!$BS$15:$CS$15,$F44,0,OFFSET(ORÇAMENTO!$D$15,CRONO!$F44,0))),CRONO!AB$12,OFFSET(CÁLCULO!$AR$15:$BR$15,$F44,0,OFFSET(ORÇAMENTO!$D$15,CRONO!$F44,0)))
                +IF(AND($F46&lt;&gt;"",$F46&lt;&gt;0),
                        SUMIF(CÁLCULO!$BS$15:$CS$244,CRONO!AB$12,CÁLCULO!$AR$15:$BR$244)/(ORÇAMENTO!$X$15-CÁLCULO.TotalAdmLocal)*CRONO!$F46,
                        0),
                 AB45*$S44),
          SUMIF(OFFSET($S46,1,0,$R44-2),($M44+1)&amp;"$",OFFSET(AB46,1,0,$R44-2)))</f>
        <v>0</v>
      </c>
      <c r="AC46" s="202" cm="1">
        <f t="array" aca="1" ref="AC46" ca="1">IF($R44=2,
         IF(AND(ACOMPANHAMENTO="PLE",ISNUMBER($F44)),
                SUMIF((OFFSET(CÁLCULO!$BS$15:$CS$15,$F44,0,OFFSET(ORÇAMENTO!$D$15,CRONO!$F44,0))),CRONO!AC$12,OFFSET(CÁLCULO!$AR$15:$BR$15,$F44,0,OFFSET(ORÇAMENTO!$D$15,CRONO!$F44,0)))
                +IF(AND($F46&lt;&gt;"",$F46&lt;&gt;0),
                        SUMIF(CÁLCULO!$BS$15:$CS$244,CRONO!AC$12,CÁLCULO!$AR$15:$BR$244)/(ORÇAMENTO!$X$15-CÁLCULO.TotalAdmLocal)*CRONO!$F46,
                        0),
                 AC45*$S44),
          SUMIF(OFFSET($S46,1,0,$R44-2),($M44+1)&amp;"$",OFFSET(AC46,1,0,$R44-2)))</f>
        <v>0</v>
      </c>
      <c r="AD46" s="202" cm="1">
        <f t="array" aca="1" ref="AD46" ca="1">IF($R44=2,
         IF(AND(ACOMPANHAMENTO="PLE",ISNUMBER($F44)),
                SUMIF((OFFSET(CÁLCULO!$BS$15:$CS$15,$F44,0,OFFSET(ORÇAMENTO!$D$15,CRONO!$F44,0))),CRONO!AD$12,OFFSET(CÁLCULO!$AR$15:$BR$15,$F44,0,OFFSET(ORÇAMENTO!$D$15,CRONO!$F44,0)))
                +IF(AND($F46&lt;&gt;"",$F46&lt;&gt;0),
                        SUMIF(CÁLCULO!$BS$15:$CS$244,CRONO!AD$12,CÁLCULO!$AR$15:$BR$244)/(ORÇAMENTO!$X$15-CÁLCULO.TotalAdmLocal)*CRONO!$F46,
                        0),
                 AD45*$S44),
          SUMIF(OFFSET($S46,1,0,$R44-2),($M44+1)&amp;"$",OFFSET(AD46,1,0,$R44-2)))</f>
        <v>0</v>
      </c>
      <c r="AE46" s="202" cm="1">
        <f t="array" aca="1" ref="AE46" ca="1">IF($R44=2,
         IF(AND(ACOMPANHAMENTO="PLE",ISNUMBER($F44)),
                SUMIF((OFFSET(CÁLCULO!$BS$15:$CS$15,$F44,0,OFFSET(ORÇAMENTO!$D$15,CRONO!$F44,0))),CRONO!AE$12,OFFSET(CÁLCULO!$AR$15:$BR$15,$F44,0,OFFSET(ORÇAMENTO!$D$15,CRONO!$F44,0)))
                +IF(AND($F46&lt;&gt;"",$F46&lt;&gt;0),
                        SUMIF(CÁLCULO!$BS$15:$CS$244,CRONO!AE$12,CÁLCULO!$AR$15:$BR$244)/(ORÇAMENTO!$X$15-CÁLCULO.TotalAdmLocal)*CRONO!$F46,
                        0),
                 AE45*$S44),
          SUMIF(OFFSET($S46,1,0,$R44-2),($M44+1)&amp;"$",OFFSET(AE46,1,0,$R44-2)))</f>
        <v>0</v>
      </c>
      <c r="AF46" s="202" cm="1">
        <f t="array" aca="1" ref="AF46" ca="1">IF($R44=2,
         IF(AND(ACOMPANHAMENTO="PLE",ISNUMBER($F44)),
                SUMIF((OFFSET(CÁLCULO!$BS$15:$CS$15,$F44,0,OFFSET(ORÇAMENTO!$D$15,CRONO!$F44,0))),CRONO!AF$12,OFFSET(CÁLCULO!$AR$15:$BR$15,$F44,0,OFFSET(ORÇAMENTO!$D$15,CRONO!$F44,0)))
                +IF(AND($F46&lt;&gt;"",$F46&lt;&gt;0),
                        SUMIF(CÁLCULO!$BS$15:$CS$244,CRONO!AF$12,CÁLCULO!$AR$15:$BR$244)/(ORÇAMENTO!$X$15-CÁLCULO.TotalAdmLocal)*CRONO!$F46,
                        0),
                 AF45*$S44),
          SUMIF(OFFSET($S46,1,0,$R44-2),($M44+1)&amp;"$",OFFSET(AF46,1,0,$R44-2)))</f>
        <v>0</v>
      </c>
      <c r="AG46" s="202" cm="1">
        <f t="array" aca="1" ref="AG46" ca="1">IF($R44=2,
         IF(AND(ACOMPANHAMENTO="PLE",ISNUMBER($F44)),
                SUMIF((OFFSET(CÁLCULO!$BS$15:$CS$15,$F44,0,OFFSET(ORÇAMENTO!$D$15,CRONO!$F44,0))),CRONO!AG$12,OFFSET(CÁLCULO!$AR$15:$BR$15,$F44,0,OFFSET(ORÇAMENTO!$D$15,CRONO!$F44,0)))
                +IF(AND($F46&lt;&gt;"",$F46&lt;&gt;0),
                        SUMIF(CÁLCULO!$BS$15:$CS$244,CRONO!AG$12,CÁLCULO!$AR$15:$BR$244)/(ORÇAMENTO!$X$15-CÁLCULO.TotalAdmLocal)*CRONO!$F46,
                        0),
                 AG45*$S44),
          SUMIF(OFFSET($S46,1,0,$R44-2),($M44+1)&amp;"$",OFFSET(AG46,1,0,$R44-2)))</f>
        <v>0</v>
      </c>
      <c r="AH46" s="202" cm="1">
        <f t="array" aca="1" ref="AH46" ca="1">IF($R44=2,
         IF(AND(ACOMPANHAMENTO="PLE",ISNUMBER($F44)),
                SUMIF((OFFSET(CÁLCULO!$BS$15:$CS$15,$F44,0,OFFSET(ORÇAMENTO!$D$15,CRONO!$F44,0))),CRONO!AH$12,OFFSET(CÁLCULO!$AR$15:$BR$15,$F44,0,OFFSET(ORÇAMENTO!$D$15,CRONO!$F44,0)))
                +IF(AND($F46&lt;&gt;"",$F46&lt;&gt;0),
                        SUMIF(CÁLCULO!$BS$15:$CS$244,CRONO!AH$12,CÁLCULO!$AR$15:$BR$244)/(ORÇAMENTO!$X$15-CÁLCULO.TotalAdmLocal)*CRONO!$F46,
                        0),
                 AH45*$S44),
          SUMIF(OFFSET($S46,1,0,$R44-2),($M44+1)&amp;"$",OFFSET(AH46,1,0,$R44-2)))</f>
        <v>0</v>
      </c>
      <c r="AI46" s="202" cm="1">
        <f t="array" aca="1" ref="AI46" ca="1">IF($R44=2,
         IF(AND(ACOMPANHAMENTO="PLE",ISNUMBER($F44)),
                SUMIF((OFFSET(CÁLCULO!$BS$15:$CS$15,$F44,0,OFFSET(ORÇAMENTO!$D$15,CRONO!$F44,0))),CRONO!AI$12,OFFSET(CÁLCULO!$AR$15:$BR$15,$F44,0,OFFSET(ORÇAMENTO!$D$15,CRONO!$F44,0)))
                +IF(AND($F46&lt;&gt;"",$F46&lt;&gt;0),
                        SUMIF(CÁLCULO!$BS$15:$CS$244,CRONO!AI$12,CÁLCULO!$AR$15:$BR$244)/(ORÇAMENTO!$X$15-CÁLCULO.TotalAdmLocal)*CRONO!$F46,
                        0),
                 AI45*$S44),
          SUMIF(OFFSET($S46,1,0,$R44-2),($M44+1)&amp;"$",OFFSET(AI46,1,0,$R44-2)))</f>
        <v>0</v>
      </c>
      <c r="AJ46" s="202" cm="1">
        <f t="array" aca="1" ref="AJ46" ca="1">IF($R44=2,
         IF(AND(ACOMPANHAMENTO="PLE",ISNUMBER($F44)),
                SUMIF((OFFSET(CÁLCULO!$BS$15:$CS$15,$F44,0,OFFSET(ORÇAMENTO!$D$15,CRONO!$F44,0))),CRONO!AJ$12,OFFSET(CÁLCULO!$AR$15:$BR$15,$F44,0,OFFSET(ORÇAMENTO!$D$15,CRONO!$F44,0)))
                +IF(AND($F46&lt;&gt;"",$F46&lt;&gt;0),
                        SUMIF(CÁLCULO!$BS$15:$CS$244,CRONO!AJ$12,CÁLCULO!$AR$15:$BR$244)/(ORÇAMENTO!$X$15-CÁLCULO.TotalAdmLocal)*CRONO!$F46,
                        0),
                 AJ45*$S44),
          SUMIF(OFFSET($S46,1,0,$R44-2),($M44+1)&amp;"$",OFFSET(AJ46,1,0,$R44-2)))</f>
        <v>0</v>
      </c>
      <c r="AK46" s="202" cm="1">
        <f t="array" aca="1" ref="AK46" ca="1">IF($R44=2,
         IF(AND(ACOMPANHAMENTO="PLE",ISNUMBER($F44)),
                SUMIF((OFFSET(CÁLCULO!$BS$15:$CS$15,$F44,0,OFFSET(ORÇAMENTO!$D$15,CRONO!$F44,0))),CRONO!AK$12,OFFSET(CÁLCULO!$AR$15:$BR$15,$F44,0,OFFSET(ORÇAMENTO!$D$15,CRONO!$F44,0)))
                +IF(AND($F46&lt;&gt;"",$F46&lt;&gt;0),
                        SUMIF(CÁLCULO!$BS$15:$CS$244,CRONO!AK$12,CÁLCULO!$AR$15:$BR$244)/(ORÇAMENTO!$X$15-CÁLCULO.TotalAdmLocal)*CRONO!$F46,
                        0),
                 AK45*$S44),
          SUMIF(OFFSET($S46,1,0,$R44-2),($M44+1)&amp;"$",OFFSET(AK46,1,0,$R44-2)))</f>
        <v>0</v>
      </c>
      <c r="AL46" s="202" cm="1">
        <f t="array" aca="1" ref="AL46" ca="1">IF($R44=2,
         IF(AND(ACOMPANHAMENTO="PLE",ISNUMBER($F44)),
                SUMIF((OFFSET(CÁLCULO!$BS$15:$CS$15,$F44,0,OFFSET(ORÇAMENTO!$D$15,CRONO!$F44,0))),CRONO!AL$12,OFFSET(CÁLCULO!$AR$15:$BR$15,$F44,0,OFFSET(ORÇAMENTO!$D$15,CRONO!$F44,0)))
                +IF(AND($F46&lt;&gt;"",$F46&lt;&gt;0),
                        SUMIF(CÁLCULO!$BS$15:$CS$244,CRONO!AL$12,CÁLCULO!$AR$15:$BR$244)/(ORÇAMENTO!$X$15-CÁLCULO.TotalAdmLocal)*CRONO!$F46,
                        0),
                 AL45*$S44),
          SUMIF(OFFSET($S46,1,0,$R44-2),($M44+1)&amp;"$",OFFSET(AL46,1,0,$R44-2)))</f>
        <v>0</v>
      </c>
      <c r="AM46" s="202" cm="1">
        <f t="array" aca="1" ref="AM46" ca="1">IF($R44=2,
         IF(AND(ACOMPANHAMENTO="PLE",ISNUMBER($F44)),
                SUMIF((OFFSET(CÁLCULO!$BS$15:$CS$15,$F44,0,OFFSET(ORÇAMENTO!$D$15,CRONO!$F44,0))),CRONO!AM$12,OFFSET(CÁLCULO!$AR$15:$BR$15,$F44,0,OFFSET(ORÇAMENTO!$D$15,CRONO!$F44,0)))
                +IF(AND($F46&lt;&gt;"",$F46&lt;&gt;0),
                        SUMIF(CÁLCULO!$BS$15:$CS$244,CRONO!AM$12,CÁLCULO!$AR$15:$BR$244)/(ORÇAMENTO!$X$15-CÁLCULO.TotalAdmLocal)*CRONO!$F46,
                        0),
                 AM45*$S44),
          SUMIF(OFFSET($S46,1,0,$R44-2),($M44+1)&amp;"$",OFFSET(AM46,1,0,$R44-2)))</f>
        <v>0</v>
      </c>
      <c r="AN46" s="202" cm="1">
        <f t="array" aca="1" ref="AN46" ca="1">IF($R44=2,
         IF(AND(ACOMPANHAMENTO="PLE",ISNUMBER($F44)),
                SUMIF((OFFSET(CÁLCULO!$BS$15:$CS$15,$F44,0,OFFSET(ORÇAMENTO!$D$15,CRONO!$F44,0))),CRONO!AN$12,OFFSET(CÁLCULO!$AR$15:$BR$15,$F44,0,OFFSET(ORÇAMENTO!$D$15,CRONO!$F44,0)))
                +IF(AND($F46&lt;&gt;"",$F46&lt;&gt;0),
                        SUMIF(CÁLCULO!$BS$15:$CS$244,CRONO!AN$12,CÁLCULO!$AR$15:$BR$244)/(ORÇAMENTO!$X$15-CÁLCULO.TotalAdmLocal)*CRONO!$F46,
                        0),
                 AN45*$S44),
          SUMIF(OFFSET($S46,1,0,$R44-2),($M44+1)&amp;"$",OFFSET(AN46,1,0,$R44-2)))</f>
        <v>0</v>
      </c>
      <c r="AO46" s="202" cm="1">
        <f t="array" aca="1" ref="AO46" ca="1">IF($R44=2,
         IF(AND(ACOMPANHAMENTO="PLE",ISNUMBER($F44)),
                SUMIF((OFFSET(CÁLCULO!$BS$15:$CS$15,$F44,0,OFFSET(ORÇAMENTO!$D$15,CRONO!$F44,0))),CRONO!AO$12,OFFSET(CÁLCULO!$AR$15:$BR$15,$F44,0,OFFSET(ORÇAMENTO!$D$15,CRONO!$F44,0)))
                +IF(AND($F46&lt;&gt;"",$F46&lt;&gt;0),
                        SUMIF(CÁLCULO!$BS$15:$CS$244,CRONO!AO$12,CÁLCULO!$AR$15:$BR$244)/(ORÇAMENTO!$X$15-CÁLCULO.TotalAdmLocal)*CRONO!$F46,
                        0),
                 AO45*$S44),
          SUMIF(OFFSET($S46,1,0,$R44-2),($M44+1)&amp;"$",OFFSET(AO46,1,0,$R44-2)))</f>
        <v>0</v>
      </c>
      <c r="AP46" s="202" cm="1">
        <f t="array" aca="1" ref="AP46" ca="1">IF($R44=2,
         IF(AND(ACOMPANHAMENTO="PLE",ISNUMBER($F44)),
                SUMIF((OFFSET(CÁLCULO!$BS$15:$CS$15,$F44,0,OFFSET(ORÇAMENTO!$D$15,CRONO!$F44,0))),CRONO!AP$12,OFFSET(CÁLCULO!$AR$15:$BR$15,$F44,0,OFFSET(ORÇAMENTO!$D$15,CRONO!$F44,0)))
                +IF(AND($F46&lt;&gt;"",$F46&lt;&gt;0),
                        SUMIF(CÁLCULO!$BS$15:$CS$244,CRONO!AP$12,CÁLCULO!$AR$15:$BR$244)/(ORÇAMENTO!$X$15-CÁLCULO.TotalAdmLocal)*CRONO!$F46,
                        0),
                 AP45*$S44),
          SUMIF(OFFSET($S46,1,0,$R44-2),($M44+1)&amp;"$",OFFSET(AP46,1,0,$R44-2)))</f>
        <v>0</v>
      </c>
      <c r="AQ46" s="202" cm="1">
        <f t="array" aca="1" ref="AQ46" ca="1">IF($R44=2,
         IF(AND(ACOMPANHAMENTO="PLE",ISNUMBER($F44)),
                SUMIF((OFFSET(CÁLCULO!$BS$15:$CS$15,$F44,0,OFFSET(ORÇAMENTO!$D$15,CRONO!$F44,0))),CRONO!AQ$12,OFFSET(CÁLCULO!$AR$15:$BR$15,$F44,0,OFFSET(ORÇAMENTO!$D$15,CRONO!$F44,0)))
                +IF(AND($F46&lt;&gt;"",$F46&lt;&gt;0),
                        SUMIF(CÁLCULO!$BS$15:$CS$244,CRONO!AQ$12,CÁLCULO!$AR$15:$BR$244)/(ORÇAMENTO!$X$15-CÁLCULO.TotalAdmLocal)*CRONO!$F46,
                        0),
                 AQ45*$S44),
          SUMIF(OFFSET($S46,1,0,$R44-2),($M44+1)&amp;"$",OFFSET(AQ46,1,0,$R44-2)))</f>
        <v>0</v>
      </c>
      <c r="AR46" s="202" cm="1">
        <f t="array" aca="1" ref="AR46" ca="1">IF($R44=2,
         IF(AND(ACOMPANHAMENTO="PLE",ISNUMBER($F44)),
                SUMIF((OFFSET(CÁLCULO!$BS$15:$CS$15,$F44,0,OFFSET(ORÇAMENTO!$D$15,CRONO!$F44,0))),CRONO!AR$12,OFFSET(CÁLCULO!$AR$15:$BR$15,$F44,0,OFFSET(ORÇAMENTO!$D$15,CRONO!$F44,0)))
                +IF(AND($F46&lt;&gt;"",$F46&lt;&gt;0),
                        SUMIF(CÁLCULO!$BS$15:$CS$244,CRONO!AR$12,CÁLCULO!$AR$15:$BR$244)/(ORÇAMENTO!$X$15-CÁLCULO.TotalAdmLocal)*CRONO!$F46,
                        0),
                 AR45*$S44),
          SUMIF(OFFSET($S46,1,0,$R44-2),($M44+1)&amp;"$",OFFSET(AR46,1,0,$R44-2)))</f>
        <v>0</v>
      </c>
      <c r="AS46" s="534"/>
    </row>
    <row r="47" spans="1:45" x14ac:dyDescent="0.2">
      <c r="A47" s="186" t="str">
        <f t="shared" ref="A47" ca="1" si="68">IF($M47&gt;1,_xlfn.CONCAT($I47," ",$J47),"")</f>
        <v/>
      </c>
      <c r="B47" s="185">
        <f t="shared" ref="B47" ca="1" si="69">OFFSET(B47,-3,0)+1</f>
        <v>12</v>
      </c>
      <c r="C47" s="185">
        <f ca="1">IF($R47&lt;&gt;2,0,IF($S47=0,1,IF(F48&gt;0,OFFSET(QCI!$M$13,SUBSTITUTE(F48,".",""),0),OFFSET(ORÇAMENTO!$AA$15,CRONO!$F47,0))/$S47))</f>
        <v>0</v>
      </c>
      <c r="D47" s="185">
        <f ca="1">IF($R47&lt;&gt;2,0,IF($S47=0,1,IF(F48&gt;0,OFFSET(QCI!$N$13,SUBSTITUTE(F48,".",""),0),OFFSET(ORÇAMENTO!$AB$15,CRONO!$F47,0))/$S47))</f>
        <v>0</v>
      </c>
      <c r="E47" s="188" t="e" cm="1">
        <f t="array" aca="1" ref="E47" ca="1">IF(AND($R47=2,ACOMPANHAMENTO="BM"),ROUND(E48,4),E49/$S47)</f>
        <v>#DIV/0!</v>
      </c>
      <c r="F47" s="185" cm="1">
        <f t="array" aca="1" ref="F47" ca="1">IF(B47&lt;=ORÇAMENTO.MáximoListaCrono,MATCH(B47,ORÇAMENTO.ListaCrono,0),NA())</f>
        <v>46</v>
      </c>
      <c r="G47" s="185" t="str">
        <f t="shared" ref="G47" ca="1" si="70">IF(AND($F48&lt;&gt;-1,$S47&gt;0),"F","")</f>
        <v/>
      </c>
      <c r="H47" s="189" t="str" cm="1">
        <f t="array" aca="1" ref="H47" ca="1">IF(OR(S47=0,S47=""),"Linha",IF(AND(OR(ACOMPANHAMENTO="PLE",$R47&lt;&gt;2),$F48=0),"Linha",ROUND(1-SUM(U47:AS47),4)))</f>
        <v>Linha</v>
      </c>
      <c r="I47" s="190" t="str">
        <f ca="1">IF($F48=0,OFFSET(ORÇAMENTO!O$15,$F47,0),IF($F48&lt;&gt;-1,OFFSET(QCI!$D$13,$F48,0),""))</f>
        <v>5.</v>
      </c>
      <c r="J47" s="191" t="str">
        <f ca="1">IF($F48=0,OFFSET(ORÇAMENTO!R$15,$F47,0),IF($F48&lt;&gt;-1,OFFSET(QCI!$G$13,$F48,0),""))</f>
        <v>PAREDES E PAINÉIS</v>
      </c>
      <c r="K47" s="191"/>
      <c r="L47" s="191"/>
      <c r="M47" s="192">
        <f ca="1">IF($F48=0,OFFSET(ORÇAMENTO!C$15,$F47,0),1)</f>
        <v>1</v>
      </c>
      <c r="N47" s="193">
        <f ca="1">IF($F48=-1,0,IF(N$13&lt;=$M47,IF(ISERROR(MATCH(N$13,OFFSET($M47,1,0,ROW($M$164)-ROW($M47)-1),0)),ROW($M$164)-ROW($M47)-1,MATCH(N$13,OFFSET($M47,1,0,ROW($M$164)-ROW($M47)-1),0)-1),0))</f>
        <v>11</v>
      </c>
      <c r="O47" s="193">
        <f ca="1">IF($F48=-1,0,IF(O$13&lt;=$M47,IF(ISERROR(MATCH(O$13,OFFSET($M47,1,0,ROW($M$164)-ROW($M47)-1),0)),ROW($M$164)-ROW($M47)-1,MATCH(O$13,OFFSET($M47,1,0,ROW($M$164)-ROW($M47)-1),0)-1),0))</f>
        <v>0</v>
      </c>
      <c r="P47" s="193">
        <f ca="1">IF($F48=-1,0,IF(P$13&lt;=$M47,IF(ISERROR(MATCH(P$13,OFFSET($M47,1,0,ROW($M$164)-ROW($M47)-1),0)),ROW($M$164)-ROW($M47)-1,MATCH(P$13,OFFSET($M47,1,0,ROW($M$164)-ROW($M47)-1),0)-1),0))</f>
        <v>0</v>
      </c>
      <c r="Q47" s="193">
        <f ca="1">IF($F48=-1,0,IF(Q$13&lt;=$M47,IF(ISERROR(MATCH(Q$13,OFFSET($M47,1,0,ROW($M$164)-ROW($M47)-1),0)),ROW($M$164)-ROW($M47)-1,MATCH(Q$13,OFFSET($M47,1,0,ROW($M$164)-ROW($M47)-1),0)-1),0))</f>
        <v>0</v>
      </c>
      <c r="R47" s="193">
        <f t="shared" ref="R47" ca="1" si="71">MIN(OFFSET(M47,0,1,,M47))</f>
        <v>11</v>
      </c>
      <c r="S47" s="194">
        <f ca="1">IF($F48=0,OFFSET(ORÇAMENTO!X$15,$F47,0),IF($F48&lt;&gt;-1,OFFSET(QCI!$O$13,$F48,0),""))</f>
        <v>0</v>
      </c>
      <c r="T47" s="195" t="s">
        <v>785</v>
      </c>
      <c r="U47" s="188" t="e" cm="1">
        <f t="array" aca="1" ref="U47" ca="1">IF(AND($R47=2,ACOMPANHAMENTO="BM"),ROUND(U48,4),U49/$S47)</f>
        <v>#DIV/0!</v>
      </c>
      <c r="V47" s="188" t="e" cm="1">
        <f t="array" aca="1" ref="V47" ca="1">IF(AND($R47=2,ACOMPANHAMENTO="BM"),ROUND(V48,4),V49/$S47)</f>
        <v>#DIV/0!</v>
      </c>
      <c r="W47" s="188" t="e" cm="1">
        <f t="array" aca="1" ref="W47" ca="1">IF(AND($R47=2,ACOMPANHAMENTO="BM"),ROUND(W48,4),W49/$S47)</f>
        <v>#DIV/0!</v>
      </c>
      <c r="X47" s="188" t="e" cm="1">
        <f t="array" aca="1" ref="X47" ca="1">IF(AND($R47=2,ACOMPANHAMENTO="BM"),ROUND(X48,4),X49/$S47)</f>
        <v>#DIV/0!</v>
      </c>
      <c r="Y47" s="188" t="e" cm="1">
        <f t="array" aca="1" ref="Y47" ca="1">IF(AND($R47=2,ACOMPANHAMENTO="BM"),ROUND(Y48,4),Y49/$S47)</f>
        <v>#DIV/0!</v>
      </c>
      <c r="Z47" s="188" t="e" cm="1">
        <f t="array" aca="1" ref="Z47" ca="1">IF(AND($R47=2,ACOMPANHAMENTO="BM"),ROUND(Z48,4),Z49/$S47)</f>
        <v>#DIV/0!</v>
      </c>
      <c r="AA47" s="188" t="e" cm="1">
        <f t="array" aca="1" ref="AA47" ca="1">IF(AND($R47=2,ACOMPANHAMENTO="BM"),ROUND(AA48,4),AA49/$S47)</f>
        <v>#DIV/0!</v>
      </c>
      <c r="AB47" s="188" t="e" cm="1">
        <f t="array" aca="1" ref="AB47" ca="1">IF(AND($R47=2,ACOMPANHAMENTO="BM"),ROUND(AB48,4),AB49/$S47)</f>
        <v>#DIV/0!</v>
      </c>
      <c r="AC47" s="188" t="e" cm="1">
        <f t="array" aca="1" ref="AC47" ca="1">IF(AND($R47=2,ACOMPANHAMENTO="BM"),ROUND(AC48,4),AC49/$S47)</f>
        <v>#DIV/0!</v>
      </c>
      <c r="AD47" s="188" t="e" cm="1">
        <f t="array" aca="1" ref="AD47" ca="1">IF(AND($R47=2,ACOMPANHAMENTO="BM"),ROUND(AD48,4),AD49/$S47)</f>
        <v>#DIV/0!</v>
      </c>
      <c r="AE47" s="188" t="e" cm="1">
        <f t="array" aca="1" ref="AE47" ca="1">IF(AND($R47=2,ACOMPANHAMENTO="BM"),ROUND(AE48,4),AE49/$S47)</f>
        <v>#DIV/0!</v>
      </c>
      <c r="AF47" s="188" t="e" cm="1">
        <f t="array" aca="1" ref="AF47" ca="1">IF(AND($R47=2,ACOMPANHAMENTO="BM"),ROUND(AF48,4),AF49/$S47)</f>
        <v>#DIV/0!</v>
      </c>
      <c r="AG47" s="188" t="e" cm="1">
        <f t="array" aca="1" ref="AG47" ca="1">IF(AND($R47=2,ACOMPANHAMENTO="BM"),ROUND(AG48,4),AG49/$S47)</f>
        <v>#DIV/0!</v>
      </c>
      <c r="AH47" s="188" t="e" cm="1">
        <f t="array" aca="1" ref="AH47" ca="1">IF(AND($R47=2,ACOMPANHAMENTO="BM"),ROUND(AH48,4),AH49/$S47)</f>
        <v>#DIV/0!</v>
      </c>
      <c r="AI47" s="188" t="e" cm="1">
        <f t="array" aca="1" ref="AI47" ca="1">IF(AND($R47=2,ACOMPANHAMENTO="BM"),ROUND(AI48,4),AI49/$S47)</f>
        <v>#DIV/0!</v>
      </c>
      <c r="AJ47" s="188" t="e" cm="1">
        <f t="array" aca="1" ref="AJ47" ca="1">IF(AND($R47=2,ACOMPANHAMENTO="BM"),ROUND(AJ48,4),AJ49/$S47)</f>
        <v>#DIV/0!</v>
      </c>
      <c r="AK47" s="188" t="e" cm="1">
        <f t="array" aca="1" ref="AK47" ca="1">IF(AND($R47=2,ACOMPANHAMENTO="BM"),ROUND(AK48,4),AK49/$S47)</f>
        <v>#DIV/0!</v>
      </c>
      <c r="AL47" s="188" t="e" cm="1">
        <f t="array" aca="1" ref="AL47" ca="1">IF(AND($R47=2,ACOMPANHAMENTO="BM"),ROUND(AL48,4),AL49/$S47)</f>
        <v>#DIV/0!</v>
      </c>
      <c r="AM47" s="188" t="e" cm="1">
        <f t="array" aca="1" ref="AM47" ca="1">IF(AND($R47=2,ACOMPANHAMENTO="BM"),ROUND(AM48,4),AM49/$S47)</f>
        <v>#DIV/0!</v>
      </c>
      <c r="AN47" s="188" t="e" cm="1">
        <f t="array" aca="1" ref="AN47" ca="1">IF(AND($R47=2,ACOMPANHAMENTO="BM"),ROUND(AN48,4),AN49/$S47)</f>
        <v>#DIV/0!</v>
      </c>
      <c r="AO47" s="188" t="e" cm="1">
        <f t="array" aca="1" ref="AO47" ca="1">IF(AND($R47=2,ACOMPANHAMENTO="BM"),ROUND(AO48,4),AO49/$S47)</f>
        <v>#DIV/0!</v>
      </c>
      <c r="AP47" s="188" t="e" cm="1">
        <f t="array" aca="1" ref="AP47" ca="1">IF(AND($R47=2,ACOMPANHAMENTO="BM"),ROUND(AP48,4),AP49/$S47)</f>
        <v>#DIV/0!</v>
      </c>
      <c r="AQ47" s="188" t="e" cm="1">
        <f t="array" aca="1" ref="AQ47" ca="1">IF(AND($R47=2,ACOMPANHAMENTO="BM"),ROUND(AQ48,4),AQ49/$S47)</f>
        <v>#DIV/0!</v>
      </c>
      <c r="AR47" s="188" t="e" cm="1">
        <f t="array" aca="1" ref="AR47" ca="1">IF(AND($R47=2,ACOMPANHAMENTO="BM"),ROUND(AR48,4),AR49/$S47)</f>
        <v>#DIV/0!</v>
      </c>
      <c r="AS47" s="534"/>
    </row>
    <row r="48" spans="1:45" ht="12.75" hidden="1" customHeight="1" x14ac:dyDescent="0.2">
      <c r="E48" s="587"/>
      <c r="F48" s="185">
        <f ca="1">IF(ISERROR(F47),IF(1+COUNTIF($M$13:OFFSET(M47,-1,0),1)&lt;=MAX(QCI!$D$13:$D$24),1+COUNTIF($M$13:OFFSET(M47,-1,0),1),-1),0)</f>
        <v>0</v>
      </c>
      <c r="G48" s="185" t="str" cm="1">
        <f t="array" aca="1" ref="G48" ca="1">IF(ACOMPANHAMENTO="BM",OFFSET(G48,-1,0),"")</f>
        <v/>
      </c>
      <c r="H48" s="196" t="str" cm="1">
        <f t="array" aca="1" ref="H48" ca="1">IF(OR(S47=0,S47=""),"vazia",IF(AND(OR(ACOMPANHAMENTO="PLE",$R47&lt;&gt;2),$F48=0),"calculada","--&gt;"))</f>
        <v>vazia</v>
      </c>
      <c r="I48" s="197"/>
      <c r="J48" s="198" t="str">
        <f t="shared" ref="J48" ca="1" si="72">IF(AND(H47&lt;&gt;0,ISNUMBER(H47)),"PREENCHA ESTA LINHA --&gt;","")</f>
        <v/>
      </c>
      <c r="K48" s="198"/>
      <c r="L48" s="198"/>
      <c r="M48" s="199"/>
      <c r="N48" s="199"/>
      <c r="O48" s="199"/>
      <c r="P48" s="199"/>
      <c r="Q48" s="199"/>
      <c r="R48" s="199"/>
      <c r="S48" s="200"/>
      <c r="T48" s="201"/>
      <c r="U48" s="587"/>
      <c r="V48" s="587"/>
      <c r="W48" s="587"/>
      <c r="X48" s="587"/>
      <c r="Y48" s="587"/>
      <c r="Z48" s="587"/>
      <c r="AA48" s="587"/>
      <c r="AB48" s="587"/>
      <c r="AC48" s="587"/>
      <c r="AD48" s="587"/>
      <c r="AE48" s="587"/>
      <c r="AF48" s="587"/>
      <c r="AG48" s="587"/>
      <c r="AH48" s="587"/>
      <c r="AI48" s="587"/>
      <c r="AJ48" s="587"/>
      <c r="AK48" s="587"/>
      <c r="AL48" s="587"/>
      <c r="AM48" s="587"/>
      <c r="AN48" s="587"/>
      <c r="AO48" s="587"/>
      <c r="AP48" s="587"/>
      <c r="AQ48" s="587"/>
      <c r="AR48" s="587"/>
      <c r="AS48" s="534"/>
    </row>
    <row r="49" spans="1:45" ht="12.75" hidden="1" customHeight="1" x14ac:dyDescent="0.2">
      <c r="D49" s="533"/>
      <c r="E49" s="202" cm="1">
        <f t="array" aca="1" ref="E49" ca="1">IF($R47=2,
         IF(AND(ACOMPANHAMENTO="PLE",ISNUMBER($F47)),
                SUMIF((OFFSET(CÁLCULO!$BS$15:$CS$15,$F47,0,OFFSET(ORÇAMENTO!$D$15,CRONO!$F47,0))),CRONO!E$12,OFFSET(CÁLCULO!$AR$15:$BR$15,$F47,0,OFFSET(ORÇAMENTO!$D$15,CRONO!$F47,0)))
                +IF(AND($F49&lt;&gt;"",$F49&lt;&gt;0),
                        SUMIF(CÁLCULO!$BS$15:$CS$244,CRONO!E$12,CÁLCULO!$AR$15:$BR$244)/(ORÇAMENTO!$X$15-CÁLCULO.TotalAdmLocal)*CRONO!$F49,
                        0),
                 E48*$S47),
          SUMIF(OFFSET($S49,1,0,$R47-2),($M47+1)&amp;"$",OFFSET(E49,1,0,$R47-2)))</f>
        <v>0</v>
      </c>
      <c r="F49" s="185" t="str">
        <f ca="1">IF(OR($R47&lt;&gt;2,AUTOEVENTO&lt;&gt;"manual",$F48&gt;0),"",
        IF(Import.TipoArredondamento="Tradicional",
              SUMIF(OFFSET(CÁLCULO!$M$15,CRONO!$F47,0,OFFSET(ORÇAMENTO!$D$15,CRONO!$F47,0)),1,OFFSET(ORÇAMENTO!$X$15,CRONO!$F47,0,OFFSET(ORÇAMENTO!$D$15,CRONO!$F47,0))),
              0))</f>
        <v/>
      </c>
      <c r="H49" s="203"/>
      <c r="S49" s="204" t="str">
        <f t="shared" ref="S49" ca="1" si="73">M47&amp;"$"</f>
        <v>1$</v>
      </c>
      <c r="T49" s="205"/>
      <c r="U49" s="202" cm="1">
        <f t="array" aca="1" ref="U49" ca="1">IF($R47=2,
         IF(AND(ACOMPANHAMENTO="PLE",ISNUMBER($F47)),
                SUMIF((OFFSET(CÁLCULO!$BS$15:$CS$15,$F47,0,OFFSET(ORÇAMENTO!$D$15,CRONO!$F47,0))),CRONO!U$12,OFFSET(CÁLCULO!$AR$15:$BR$15,$F47,0,OFFSET(ORÇAMENTO!$D$15,CRONO!$F47,0)))
                +IF(AND($F49&lt;&gt;"",$F49&lt;&gt;0),
                        SUMIF(CÁLCULO!$BS$15:$CS$244,CRONO!U$12,CÁLCULO!$AR$15:$BR$244)/(ORÇAMENTO!$X$15-CÁLCULO.TotalAdmLocal)*CRONO!$F49,
                        0),
                 U48*$S47),
          SUMIF(OFFSET($S49,1,0,$R47-2),($M47+1)&amp;"$",OFFSET(U49,1,0,$R47-2)))</f>
        <v>0</v>
      </c>
      <c r="V49" s="202" cm="1">
        <f t="array" aca="1" ref="V49" ca="1">IF($R47=2,
         IF(AND(ACOMPANHAMENTO="PLE",ISNUMBER($F47)),
                SUMIF((OFFSET(CÁLCULO!$BS$15:$CS$15,$F47,0,OFFSET(ORÇAMENTO!$D$15,CRONO!$F47,0))),CRONO!V$12,OFFSET(CÁLCULO!$AR$15:$BR$15,$F47,0,OFFSET(ORÇAMENTO!$D$15,CRONO!$F47,0)))
                +IF(AND($F49&lt;&gt;"",$F49&lt;&gt;0),
                        SUMIF(CÁLCULO!$BS$15:$CS$244,CRONO!V$12,CÁLCULO!$AR$15:$BR$244)/(ORÇAMENTO!$X$15-CÁLCULO.TotalAdmLocal)*CRONO!$F49,
                        0),
                 V48*$S47),
          SUMIF(OFFSET($S49,1,0,$R47-2),($M47+1)&amp;"$",OFFSET(V49,1,0,$R47-2)))</f>
        <v>0</v>
      </c>
      <c r="W49" s="202" cm="1">
        <f t="array" aca="1" ref="W49" ca="1">IF($R47=2,
         IF(AND(ACOMPANHAMENTO="PLE",ISNUMBER($F47)),
                SUMIF((OFFSET(CÁLCULO!$BS$15:$CS$15,$F47,0,OFFSET(ORÇAMENTO!$D$15,CRONO!$F47,0))),CRONO!W$12,OFFSET(CÁLCULO!$AR$15:$BR$15,$F47,0,OFFSET(ORÇAMENTO!$D$15,CRONO!$F47,0)))
                +IF(AND($F49&lt;&gt;"",$F49&lt;&gt;0),
                        SUMIF(CÁLCULO!$BS$15:$CS$244,CRONO!W$12,CÁLCULO!$AR$15:$BR$244)/(ORÇAMENTO!$X$15-CÁLCULO.TotalAdmLocal)*CRONO!$F49,
                        0),
                 W48*$S47),
          SUMIF(OFFSET($S49,1,0,$R47-2),($M47+1)&amp;"$",OFFSET(W49,1,0,$R47-2)))</f>
        <v>0</v>
      </c>
      <c r="X49" s="202" cm="1">
        <f t="array" aca="1" ref="X49" ca="1">IF($R47=2,
         IF(AND(ACOMPANHAMENTO="PLE",ISNUMBER($F47)),
                SUMIF((OFFSET(CÁLCULO!$BS$15:$CS$15,$F47,0,OFFSET(ORÇAMENTO!$D$15,CRONO!$F47,0))),CRONO!X$12,OFFSET(CÁLCULO!$AR$15:$BR$15,$F47,0,OFFSET(ORÇAMENTO!$D$15,CRONO!$F47,0)))
                +IF(AND($F49&lt;&gt;"",$F49&lt;&gt;0),
                        SUMIF(CÁLCULO!$BS$15:$CS$244,CRONO!X$12,CÁLCULO!$AR$15:$BR$244)/(ORÇAMENTO!$X$15-CÁLCULO.TotalAdmLocal)*CRONO!$F49,
                        0),
                 X48*$S47),
          SUMIF(OFFSET($S49,1,0,$R47-2),($M47+1)&amp;"$",OFFSET(X49,1,0,$R47-2)))</f>
        <v>0</v>
      </c>
      <c r="Y49" s="202" cm="1">
        <f t="array" aca="1" ref="Y49" ca="1">IF($R47=2,
         IF(AND(ACOMPANHAMENTO="PLE",ISNUMBER($F47)),
                SUMIF((OFFSET(CÁLCULO!$BS$15:$CS$15,$F47,0,OFFSET(ORÇAMENTO!$D$15,CRONO!$F47,0))),CRONO!Y$12,OFFSET(CÁLCULO!$AR$15:$BR$15,$F47,0,OFFSET(ORÇAMENTO!$D$15,CRONO!$F47,0)))
                +IF(AND($F49&lt;&gt;"",$F49&lt;&gt;0),
                        SUMIF(CÁLCULO!$BS$15:$CS$244,CRONO!Y$12,CÁLCULO!$AR$15:$BR$244)/(ORÇAMENTO!$X$15-CÁLCULO.TotalAdmLocal)*CRONO!$F49,
                        0),
                 Y48*$S47),
          SUMIF(OFFSET($S49,1,0,$R47-2),($M47+1)&amp;"$",OFFSET(Y49,1,0,$R47-2)))</f>
        <v>0</v>
      </c>
      <c r="Z49" s="202" cm="1">
        <f t="array" aca="1" ref="Z49" ca="1">IF($R47=2,
         IF(AND(ACOMPANHAMENTO="PLE",ISNUMBER($F47)),
                SUMIF((OFFSET(CÁLCULO!$BS$15:$CS$15,$F47,0,OFFSET(ORÇAMENTO!$D$15,CRONO!$F47,0))),CRONO!Z$12,OFFSET(CÁLCULO!$AR$15:$BR$15,$F47,0,OFFSET(ORÇAMENTO!$D$15,CRONO!$F47,0)))
                +IF(AND($F49&lt;&gt;"",$F49&lt;&gt;0),
                        SUMIF(CÁLCULO!$BS$15:$CS$244,CRONO!Z$12,CÁLCULO!$AR$15:$BR$244)/(ORÇAMENTO!$X$15-CÁLCULO.TotalAdmLocal)*CRONO!$F49,
                        0),
                 Z48*$S47),
          SUMIF(OFFSET($S49,1,0,$R47-2),($M47+1)&amp;"$",OFFSET(Z49,1,0,$R47-2)))</f>
        <v>0</v>
      </c>
      <c r="AA49" s="202" cm="1">
        <f t="array" aca="1" ref="AA49" ca="1">IF($R47=2,
         IF(AND(ACOMPANHAMENTO="PLE",ISNUMBER($F47)),
                SUMIF((OFFSET(CÁLCULO!$BS$15:$CS$15,$F47,0,OFFSET(ORÇAMENTO!$D$15,CRONO!$F47,0))),CRONO!AA$12,OFFSET(CÁLCULO!$AR$15:$BR$15,$F47,0,OFFSET(ORÇAMENTO!$D$15,CRONO!$F47,0)))
                +IF(AND($F49&lt;&gt;"",$F49&lt;&gt;0),
                        SUMIF(CÁLCULO!$BS$15:$CS$244,CRONO!AA$12,CÁLCULO!$AR$15:$BR$244)/(ORÇAMENTO!$X$15-CÁLCULO.TotalAdmLocal)*CRONO!$F49,
                        0),
                 AA48*$S47),
          SUMIF(OFFSET($S49,1,0,$R47-2),($M47+1)&amp;"$",OFFSET(AA49,1,0,$R47-2)))</f>
        <v>0</v>
      </c>
      <c r="AB49" s="202" cm="1">
        <f t="array" aca="1" ref="AB49" ca="1">IF($R47=2,
         IF(AND(ACOMPANHAMENTO="PLE",ISNUMBER($F47)),
                SUMIF((OFFSET(CÁLCULO!$BS$15:$CS$15,$F47,0,OFFSET(ORÇAMENTO!$D$15,CRONO!$F47,0))),CRONO!AB$12,OFFSET(CÁLCULO!$AR$15:$BR$15,$F47,0,OFFSET(ORÇAMENTO!$D$15,CRONO!$F47,0)))
                +IF(AND($F49&lt;&gt;"",$F49&lt;&gt;0),
                        SUMIF(CÁLCULO!$BS$15:$CS$244,CRONO!AB$12,CÁLCULO!$AR$15:$BR$244)/(ORÇAMENTO!$X$15-CÁLCULO.TotalAdmLocal)*CRONO!$F49,
                        0),
                 AB48*$S47),
          SUMIF(OFFSET($S49,1,0,$R47-2),($M47+1)&amp;"$",OFFSET(AB49,1,0,$R47-2)))</f>
        <v>0</v>
      </c>
      <c r="AC49" s="202" cm="1">
        <f t="array" aca="1" ref="AC49" ca="1">IF($R47=2,
         IF(AND(ACOMPANHAMENTO="PLE",ISNUMBER($F47)),
                SUMIF((OFFSET(CÁLCULO!$BS$15:$CS$15,$F47,0,OFFSET(ORÇAMENTO!$D$15,CRONO!$F47,0))),CRONO!AC$12,OFFSET(CÁLCULO!$AR$15:$BR$15,$F47,0,OFFSET(ORÇAMENTO!$D$15,CRONO!$F47,0)))
                +IF(AND($F49&lt;&gt;"",$F49&lt;&gt;0),
                        SUMIF(CÁLCULO!$BS$15:$CS$244,CRONO!AC$12,CÁLCULO!$AR$15:$BR$244)/(ORÇAMENTO!$X$15-CÁLCULO.TotalAdmLocal)*CRONO!$F49,
                        0),
                 AC48*$S47),
          SUMIF(OFFSET($S49,1,0,$R47-2),($M47+1)&amp;"$",OFFSET(AC49,1,0,$R47-2)))</f>
        <v>0</v>
      </c>
      <c r="AD49" s="202" cm="1">
        <f t="array" aca="1" ref="AD49" ca="1">IF($R47=2,
         IF(AND(ACOMPANHAMENTO="PLE",ISNUMBER($F47)),
                SUMIF((OFFSET(CÁLCULO!$BS$15:$CS$15,$F47,0,OFFSET(ORÇAMENTO!$D$15,CRONO!$F47,0))),CRONO!AD$12,OFFSET(CÁLCULO!$AR$15:$BR$15,$F47,0,OFFSET(ORÇAMENTO!$D$15,CRONO!$F47,0)))
                +IF(AND($F49&lt;&gt;"",$F49&lt;&gt;0),
                        SUMIF(CÁLCULO!$BS$15:$CS$244,CRONO!AD$12,CÁLCULO!$AR$15:$BR$244)/(ORÇAMENTO!$X$15-CÁLCULO.TotalAdmLocal)*CRONO!$F49,
                        0),
                 AD48*$S47),
          SUMIF(OFFSET($S49,1,0,$R47-2),($M47+1)&amp;"$",OFFSET(AD49,1,0,$R47-2)))</f>
        <v>0</v>
      </c>
      <c r="AE49" s="202" cm="1">
        <f t="array" aca="1" ref="AE49" ca="1">IF($R47=2,
         IF(AND(ACOMPANHAMENTO="PLE",ISNUMBER($F47)),
                SUMIF((OFFSET(CÁLCULO!$BS$15:$CS$15,$F47,0,OFFSET(ORÇAMENTO!$D$15,CRONO!$F47,0))),CRONO!AE$12,OFFSET(CÁLCULO!$AR$15:$BR$15,$F47,0,OFFSET(ORÇAMENTO!$D$15,CRONO!$F47,0)))
                +IF(AND($F49&lt;&gt;"",$F49&lt;&gt;0),
                        SUMIF(CÁLCULO!$BS$15:$CS$244,CRONO!AE$12,CÁLCULO!$AR$15:$BR$244)/(ORÇAMENTO!$X$15-CÁLCULO.TotalAdmLocal)*CRONO!$F49,
                        0),
                 AE48*$S47),
          SUMIF(OFFSET($S49,1,0,$R47-2),($M47+1)&amp;"$",OFFSET(AE49,1,0,$R47-2)))</f>
        <v>0</v>
      </c>
      <c r="AF49" s="202" cm="1">
        <f t="array" aca="1" ref="AF49" ca="1">IF($R47=2,
         IF(AND(ACOMPANHAMENTO="PLE",ISNUMBER($F47)),
                SUMIF((OFFSET(CÁLCULO!$BS$15:$CS$15,$F47,0,OFFSET(ORÇAMENTO!$D$15,CRONO!$F47,0))),CRONO!AF$12,OFFSET(CÁLCULO!$AR$15:$BR$15,$F47,0,OFFSET(ORÇAMENTO!$D$15,CRONO!$F47,0)))
                +IF(AND($F49&lt;&gt;"",$F49&lt;&gt;0),
                        SUMIF(CÁLCULO!$BS$15:$CS$244,CRONO!AF$12,CÁLCULO!$AR$15:$BR$244)/(ORÇAMENTO!$X$15-CÁLCULO.TotalAdmLocal)*CRONO!$F49,
                        0),
                 AF48*$S47),
          SUMIF(OFFSET($S49,1,0,$R47-2),($M47+1)&amp;"$",OFFSET(AF49,1,0,$R47-2)))</f>
        <v>0</v>
      </c>
      <c r="AG49" s="202" cm="1">
        <f t="array" aca="1" ref="AG49" ca="1">IF($R47=2,
         IF(AND(ACOMPANHAMENTO="PLE",ISNUMBER($F47)),
                SUMIF((OFFSET(CÁLCULO!$BS$15:$CS$15,$F47,0,OFFSET(ORÇAMENTO!$D$15,CRONO!$F47,0))),CRONO!AG$12,OFFSET(CÁLCULO!$AR$15:$BR$15,$F47,0,OFFSET(ORÇAMENTO!$D$15,CRONO!$F47,0)))
                +IF(AND($F49&lt;&gt;"",$F49&lt;&gt;0),
                        SUMIF(CÁLCULO!$BS$15:$CS$244,CRONO!AG$12,CÁLCULO!$AR$15:$BR$244)/(ORÇAMENTO!$X$15-CÁLCULO.TotalAdmLocal)*CRONO!$F49,
                        0),
                 AG48*$S47),
          SUMIF(OFFSET($S49,1,0,$R47-2),($M47+1)&amp;"$",OFFSET(AG49,1,0,$R47-2)))</f>
        <v>0</v>
      </c>
      <c r="AH49" s="202" cm="1">
        <f t="array" aca="1" ref="AH49" ca="1">IF($R47=2,
         IF(AND(ACOMPANHAMENTO="PLE",ISNUMBER($F47)),
                SUMIF((OFFSET(CÁLCULO!$BS$15:$CS$15,$F47,0,OFFSET(ORÇAMENTO!$D$15,CRONO!$F47,0))),CRONO!AH$12,OFFSET(CÁLCULO!$AR$15:$BR$15,$F47,0,OFFSET(ORÇAMENTO!$D$15,CRONO!$F47,0)))
                +IF(AND($F49&lt;&gt;"",$F49&lt;&gt;0),
                        SUMIF(CÁLCULO!$BS$15:$CS$244,CRONO!AH$12,CÁLCULO!$AR$15:$BR$244)/(ORÇAMENTO!$X$15-CÁLCULO.TotalAdmLocal)*CRONO!$F49,
                        0),
                 AH48*$S47),
          SUMIF(OFFSET($S49,1,0,$R47-2),($M47+1)&amp;"$",OFFSET(AH49,1,0,$R47-2)))</f>
        <v>0</v>
      </c>
      <c r="AI49" s="202" cm="1">
        <f t="array" aca="1" ref="AI49" ca="1">IF($R47=2,
         IF(AND(ACOMPANHAMENTO="PLE",ISNUMBER($F47)),
                SUMIF((OFFSET(CÁLCULO!$BS$15:$CS$15,$F47,0,OFFSET(ORÇAMENTO!$D$15,CRONO!$F47,0))),CRONO!AI$12,OFFSET(CÁLCULO!$AR$15:$BR$15,$F47,0,OFFSET(ORÇAMENTO!$D$15,CRONO!$F47,0)))
                +IF(AND($F49&lt;&gt;"",$F49&lt;&gt;0),
                        SUMIF(CÁLCULO!$BS$15:$CS$244,CRONO!AI$12,CÁLCULO!$AR$15:$BR$244)/(ORÇAMENTO!$X$15-CÁLCULO.TotalAdmLocal)*CRONO!$F49,
                        0),
                 AI48*$S47),
          SUMIF(OFFSET($S49,1,0,$R47-2),($M47+1)&amp;"$",OFFSET(AI49,1,0,$R47-2)))</f>
        <v>0</v>
      </c>
      <c r="AJ49" s="202" cm="1">
        <f t="array" aca="1" ref="AJ49" ca="1">IF($R47=2,
         IF(AND(ACOMPANHAMENTO="PLE",ISNUMBER($F47)),
                SUMIF((OFFSET(CÁLCULO!$BS$15:$CS$15,$F47,0,OFFSET(ORÇAMENTO!$D$15,CRONO!$F47,0))),CRONO!AJ$12,OFFSET(CÁLCULO!$AR$15:$BR$15,$F47,0,OFFSET(ORÇAMENTO!$D$15,CRONO!$F47,0)))
                +IF(AND($F49&lt;&gt;"",$F49&lt;&gt;0),
                        SUMIF(CÁLCULO!$BS$15:$CS$244,CRONO!AJ$12,CÁLCULO!$AR$15:$BR$244)/(ORÇAMENTO!$X$15-CÁLCULO.TotalAdmLocal)*CRONO!$F49,
                        0),
                 AJ48*$S47),
          SUMIF(OFFSET($S49,1,0,$R47-2),($M47+1)&amp;"$",OFFSET(AJ49,1,0,$R47-2)))</f>
        <v>0</v>
      </c>
      <c r="AK49" s="202" cm="1">
        <f t="array" aca="1" ref="AK49" ca="1">IF($R47=2,
         IF(AND(ACOMPANHAMENTO="PLE",ISNUMBER($F47)),
                SUMIF((OFFSET(CÁLCULO!$BS$15:$CS$15,$F47,0,OFFSET(ORÇAMENTO!$D$15,CRONO!$F47,0))),CRONO!AK$12,OFFSET(CÁLCULO!$AR$15:$BR$15,$F47,0,OFFSET(ORÇAMENTO!$D$15,CRONO!$F47,0)))
                +IF(AND($F49&lt;&gt;"",$F49&lt;&gt;0),
                        SUMIF(CÁLCULO!$BS$15:$CS$244,CRONO!AK$12,CÁLCULO!$AR$15:$BR$244)/(ORÇAMENTO!$X$15-CÁLCULO.TotalAdmLocal)*CRONO!$F49,
                        0),
                 AK48*$S47),
          SUMIF(OFFSET($S49,1,0,$R47-2),($M47+1)&amp;"$",OFFSET(AK49,1,0,$R47-2)))</f>
        <v>0</v>
      </c>
      <c r="AL49" s="202" cm="1">
        <f t="array" aca="1" ref="AL49" ca="1">IF($R47=2,
         IF(AND(ACOMPANHAMENTO="PLE",ISNUMBER($F47)),
                SUMIF((OFFSET(CÁLCULO!$BS$15:$CS$15,$F47,0,OFFSET(ORÇAMENTO!$D$15,CRONO!$F47,0))),CRONO!AL$12,OFFSET(CÁLCULO!$AR$15:$BR$15,$F47,0,OFFSET(ORÇAMENTO!$D$15,CRONO!$F47,0)))
                +IF(AND($F49&lt;&gt;"",$F49&lt;&gt;0),
                        SUMIF(CÁLCULO!$BS$15:$CS$244,CRONO!AL$12,CÁLCULO!$AR$15:$BR$244)/(ORÇAMENTO!$X$15-CÁLCULO.TotalAdmLocal)*CRONO!$F49,
                        0),
                 AL48*$S47),
          SUMIF(OFFSET($S49,1,0,$R47-2),($M47+1)&amp;"$",OFFSET(AL49,1,0,$R47-2)))</f>
        <v>0</v>
      </c>
      <c r="AM49" s="202" cm="1">
        <f t="array" aca="1" ref="AM49" ca="1">IF($R47=2,
         IF(AND(ACOMPANHAMENTO="PLE",ISNUMBER($F47)),
                SUMIF((OFFSET(CÁLCULO!$BS$15:$CS$15,$F47,0,OFFSET(ORÇAMENTO!$D$15,CRONO!$F47,0))),CRONO!AM$12,OFFSET(CÁLCULO!$AR$15:$BR$15,$F47,0,OFFSET(ORÇAMENTO!$D$15,CRONO!$F47,0)))
                +IF(AND($F49&lt;&gt;"",$F49&lt;&gt;0),
                        SUMIF(CÁLCULO!$BS$15:$CS$244,CRONO!AM$12,CÁLCULO!$AR$15:$BR$244)/(ORÇAMENTO!$X$15-CÁLCULO.TotalAdmLocal)*CRONO!$F49,
                        0),
                 AM48*$S47),
          SUMIF(OFFSET($S49,1,0,$R47-2),($M47+1)&amp;"$",OFFSET(AM49,1,0,$R47-2)))</f>
        <v>0</v>
      </c>
      <c r="AN49" s="202" cm="1">
        <f t="array" aca="1" ref="AN49" ca="1">IF($R47=2,
         IF(AND(ACOMPANHAMENTO="PLE",ISNUMBER($F47)),
                SUMIF((OFFSET(CÁLCULO!$BS$15:$CS$15,$F47,0,OFFSET(ORÇAMENTO!$D$15,CRONO!$F47,0))),CRONO!AN$12,OFFSET(CÁLCULO!$AR$15:$BR$15,$F47,0,OFFSET(ORÇAMENTO!$D$15,CRONO!$F47,0)))
                +IF(AND($F49&lt;&gt;"",$F49&lt;&gt;0),
                        SUMIF(CÁLCULO!$BS$15:$CS$244,CRONO!AN$12,CÁLCULO!$AR$15:$BR$244)/(ORÇAMENTO!$X$15-CÁLCULO.TotalAdmLocal)*CRONO!$F49,
                        0),
                 AN48*$S47),
          SUMIF(OFFSET($S49,1,0,$R47-2),($M47+1)&amp;"$",OFFSET(AN49,1,0,$R47-2)))</f>
        <v>0</v>
      </c>
      <c r="AO49" s="202" cm="1">
        <f t="array" aca="1" ref="AO49" ca="1">IF($R47=2,
         IF(AND(ACOMPANHAMENTO="PLE",ISNUMBER($F47)),
                SUMIF((OFFSET(CÁLCULO!$BS$15:$CS$15,$F47,0,OFFSET(ORÇAMENTO!$D$15,CRONO!$F47,0))),CRONO!AO$12,OFFSET(CÁLCULO!$AR$15:$BR$15,$F47,0,OFFSET(ORÇAMENTO!$D$15,CRONO!$F47,0)))
                +IF(AND($F49&lt;&gt;"",$F49&lt;&gt;0),
                        SUMIF(CÁLCULO!$BS$15:$CS$244,CRONO!AO$12,CÁLCULO!$AR$15:$BR$244)/(ORÇAMENTO!$X$15-CÁLCULO.TotalAdmLocal)*CRONO!$F49,
                        0),
                 AO48*$S47),
          SUMIF(OFFSET($S49,1,0,$R47-2),($M47+1)&amp;"$",OFFSET(AO49,1,0,$R47-2)))</f>
        <v>0</v>
      </c>
      <c r="AP49" s="202" cm="1">
        <f t="array" aca="1" ref="AP49" ca="1">IF($R47=2,
         IF(AND(ACOMPANHAMENTO="PLE",ISNUMBER($F47)),
                SUMIF((OFFSET(CÁLCULO!$BS$15:$CS$15,$F47,0,OFFSET(ORÇAMENTO!$D$15,CRONO!$F47,0))),CRONO!AP$12,OFFSET(CÁLCULO!$AR$15:$BR$15,$F47,0,OFFSET(ORÇAMENTO!$D$15,CRONO!$F47,0)))
                +IF(AND($F49&lt;&gt;"",$F49&lt;&gt;0),
                        SUMIF(CÁLCULO!$BS$15:$CS$244,CRONO!AP$12,CÁLCULO!$AR$15:$BR$244)/(ORÇAMENTO!$X$15-CÁLCULO.TotalAdmLocal)*CRONO!$F49,
                        0),
                 AP48*$S47),
          SUMIF(OFFSET($S49,1,0,$R47-2),($M47+1)&amp;"$",OFFSET(AP49,1,0,$R47-2)))</f>
        <v>0</v>
      </c>
      <c r="AQ49" s="202" cm="1">
        <f t="array" aca="1" ref="AQ49" ca="1">IF($R47=2,
         IF(AND(ACOMPANHAMENTO="PLE",ISNUMBER($F47)),
                SUMIF((OFFSET(CÁLCULO!$BS$15:$CS$15,$F47,0,OFFSET(ORÇAMENTO!$D$15,CRONO!$F47,0))),CRONO!AQ$12,OFFSET(CÁLCULO!$AR$15:$BR$15,$F47,0,OFFSET(ORÇAMENTO!$D$15,CRONO!$F47,0)))
                +IF(AND($F49&lt;&gt;"",$F49&lt;&gt;0),
                        SUMIF(CÁLCULO!$BS$15:$CS$244,CRONO!AQ$12,CÁLCULO!$AR$15:$BR$244)/(ORÇAMENTO!$X$15-CÁLCULO.TotalAdmLocal)*CRONO!$F49,
                        0),
                 AQ48*$S47),
          SUMIF(OFFSET($S49,1,0,$R47-2),($M47+1)&amp;"$",OFFSET(AQ49,1,0,$R47-2)))</f>
        <v>0</v>
      </c>
      <c r="AR49" s="202" cm="1">
        <f t="array" aca="1" ref="AR49" ca="1">IF($R47=2,
         IF(AND(ACOMPANHAMENTO="PLE",ISNUMBER($F47)),
                SUMIF((OFFSET(CÁLCULO!$BS$15:$CS$15,$F47,0,OFFSET(ORÇAMENTO!$D$15,CRONO!$F47,0))),CRONO!AR$12,OFFSET(CÁLCULO!$AR$15:$BR$15,$F47,0,OFFSET(ORÇAMENTO!$D$15,CRONO!$F47,0)))
                +IF(AND($F49&lt;&gt;"",$F49&lt;&gt;0),
                        SUMIF(CÁLCULO!$BS$15:$CS$244,CRONO!AR$12,CÁLCULO!$AR$15:$BR$244)/(ORÇAMENTO!$X$15-CÁLCULO.TotalAdmLocal)*CRONO!$F49,
                        0),
                 AR48*$S47),
          SUMIF(OFFSET($S49,1,0,$R47-2),($M47+1)&amp;"$",OFFSET(AR49,1,0,$R47-2)))</f>
        <v>0</v>
      </c>
      <c r="AS49" s="534"/>
    </row>
    <row r="50" spans="1:45" x14ac:dyDescent="0.2">
      <c r="A50" s="186" t="e">
        <f t="shared" ref="A50" ca="1" si="74">IF($M50&gt;1,_xlfn.CONCAT($I50," ",$J50),"")</f>
        <v>#NAME?</v>
      </c>
      <c r="B50" s="185">
        <f t="shared" ref="B50" ca="1" si="75">OFFSET(B50,-3,0)+1</f>
        <v>13</v>
      </c>
      <c r="C50" s="185">
        <f ca="1">IF($R50&lt;&gt;2,0,IF($S50=0,1,IF(F51&gt;0,OFFSET(QCI!$M$13,SUBSTITUTE(F51,".",""),0),OFFSET(ORÇAMENTO!$AA$15,CRONO!$F50,0))/$S50))</f>
        <v>1</v>
      </c>
      <c r="D50" s="185">
        <f ca="1">IF($R50&lt;&gt;2,0,IF($S50=0,1,IF(F51&gt;0,OFFSET(QCI!$N$13,SUBSTITUTE(F51,".",""),0),OFFSET(ORÇAMENTO!$AB$15,CRONO!$F50,0))/$S50))</f>
        <v>1</v>
      </c>
      <c r="E50" s="188" t="e" cm="1">
        <f t="array" aca="1" ref="E50" ca="1">IF(AND($R50=2,ACOMPANHAMENTO="BM"),ROUND(E51,4),E52/$S50)</f>
        <v>#DIV/0!</v>
      </c>
      <c r="F50" s="185" cm="1">
        <f t="array" aca="1" ref="F50" ca="1">IF(B50&lt;=ORÇAMENTO.MáximoListaCrono,MATCH(B50,ORÇAMENTO.ListaCrono,0),NA())</f>
        <v>47</v>
      </c>
      <c r="G50" s="185" t="str">
        <f t="shared" ref="G50" ca="1" si="76">IF(AND($F51&lt;&gt;-1,$S50&gt;0),"F","")</f>
        <v/>
      </c>
      <c r="H50" s="189" t="str" cm="1">
        <f t="array" aca="1" ref="H50" ca="1">IF(OR(S50=0,S50=""),"Linha",IF(AND(OR(ACOMPANHAMENTO="PLE",$R50&lt;&gt;2),$F51=0),"Linha",ROUND(1-SUM(U50:AS50),4)))</f>
        <v>Linha</v>
      </c>
      <c r="I50" s="190" t="str">
        <f ca="1">IF($F51=0,OFFSET(ORÇAMENTO!O$15,$F50,0),IF($F51&lt;&gt;-1,OFFSET(QCI!$D$13,$F51,0),""))</f>
        <v>5.1.</v>
      </c>
      <c r="J50" s="191" t="str">
        <f ca="1">IF($F51=0,OFFSET(ORÇAMENTO!R$15,$F50,0),IF($F51&lt;&gt;-1,OFFSET(QCI!$G$13,$F51,0),""))</f>
        <v>ALVENARIA/FECHAMENTOS</v>
      </c>
      <c r="K50" s="191"/>
      <c r="L50" s="191"/>
      <c r="M50" s="192">
        <f ca="1">IF($F51=0,OFFSET(ORÇAMENTO!C$15,$F50,0),1)</f>
        <v>2</v>
      </c>
      <c r="N50" s="193">
        <f ca="1">IF($F51=-1,0,IF(N$13&lt;=$M50,IF(ISERROR(MATCH(N$13,OFFSET($M50,1,0,ROW($M$164)-ROW($M50)-1),0)),ROW($M$164)-ROW($M50)-1,MATCH(N$13,OFFSET($M50,1,0,ROW($M$164)-ROW($M50)-1),0)-1),0))</f>
        <v>8</v>
      </c>
      <c r="O50" s="193">
        <f ca="1">IF($F51=-1,0,IF(O$13&lt;=$M50,IF(ISERROR(MATCH(O$13,OFFSET($M50,1,0,ROW($M$164)-ROW($M50)-1),0)),ROW($M$164)-ROW($M50)-1,MATCH(O$13,OFFSET($M50,1,0,ROW($M$164)-ROW($M50)-1),0)-1),0))</f>
        <v>2</v>
      </c>
      <c r="P50" s="193">
        <f ca="1">IF($F51=-1,0,IF(P$13&lt;=$M50,IF(ISERROR(MATCH(P$13,OFFSET($M50,1,0,ROW($M$164)-ROW($M50)-1),0)),ROW($M$164)-ROW($M50)-1,MATCH(P$13,OFFSET($M50,1,0,ROW($M$164)-ROW($M50)-1),0)-1),0))</f>
        <v>0</v>
      </c>
      <c r="Q50" s="193">
        <f ca="1">IF($F51=-1,0,IF(Q$13&lt;=$M50,IF(ISERROR(MATCH(Q$13,OFFSET($M50,1,0,ROW($M$164)-ROW($M50)-1),0)),ROW($M$164)-ROW($M50)-1,MATCH(Q$13,OFFSET($M50,1,0,ROW($M$164)-ROW($M50)-1),0)-1),0))</f>
        <v>0</v>
      </c>
      <c r="R50" s="193">
        <f t="shared" ref="R50" ca="1" si="77">MIN(OFFSET(M50,0,1,,M50))</f>
        <v>2</v>
      </c>
      <c r="S50" s="194">
        <f ca="1">IF($F51=0,OFFSET(ORÇAMENTO!X$15,$F50,0),IF($F51&lt;&gt;-1,OFFSET(QCI!$O$13,$F51,0),""))</f>
        <v>0</v>
      </c>
      <c r="T50" s="195" t="s">
        <v>785</v>
      </c>
      <c r="U50" s="188" t="e" cm="1">
        <f t="array" aca="1" ref="U50" ca="1">IF(AND($R50=2,ACOMPANHAMENTO="BM"),ROUND(U51,4),U52/$S50)</f>
        <v>#DIV/0!</v>
      </c>
      <c r="V50" s="188" t="e" cm="1">
        <f t="array" aca="1" ref="V50" ca="1">IF(AND($R50=2,ACOMPANHAMENTO="BM"),ROUND(V51,4),V52/$S50)</f>
        <v>#DIV/0!</v>
      </c>
      <c r="W50" s="188" t="e" cm="1">
        <f t="array" aca="1" ref="W50" ca="1">IF(AND($R50=2,ACOMPANHAMENTO="BM"),ROUND(W51,4),W52/$S50)</f>
        <v>#DIV/0!</v>
      </c>
      <c r="X50" s="188" t="e" cm="1">
        <f t="array" aca="1" ref="X50" ca="1">IF(AND($R50=2,ACOMPANHAMENTO="BM"),ROUND(X51,4),X52/$S50)</f>
        <v>#DIV/0!</v>
      </c>
      <c r="Y50" s="188" t="e" cm="1">
        <f t="array" aca="1" ref="Y50" ca="1">IF(AND($R50=2,ACOMPANHAMENTO="BM"),ROUND(Y51,4),Y52/$S50)</f>
        <v>#DIV/0!</v>
      </c>
      <c r="Z50" s="188" t="e" cm="1">
        <f t="array" aca="1" ref="Z50" ca="1">IF(AND($R50=2,ACOMPANHAMENTO="BM"),ROUND(Z51,4),Z52/$S50)</f>
        <v>#DIV/0!</v>
      </c>
      <c r="AA50" s="188" t="e" cm="1">
        <f t="array" aca="1" ref="AA50" ca="1">IF(AND($R50=2,ACOMPANHAMENTO="BM"),ROUND(AA51,4),AA52/$S50)</f>
        <v>#DIV/0!</v>
      </c>
      <c r="AB50" s="188" t="e" cm="1">
        <f t="array" aca="1" ref="AB50" ca="1">IF(AND($R50=2,ACOMPANHAMENTO="BM"),ROUND(AB51,4),AB52/$S50)</f>
        <v>#DIV/0!</v>
      </c>
      <c r="AC50" s="188" t="e" cm="1">
        <f t="array" aca="1" ref="AC50" ca="1">IF(AND($R50=2,ACOMPANHAMENTO="BM"),ROUND(AC51,4),AC52/$S50)</f>
        <v>#DIV/0!</v>
      </c>
      <c r="AD50" s="188" t="e" cm="1">
        <f t="array" aca="1" ref="AD50" ca="1">IF(AND($R50=2,ACOMPANHAMENTO="BM"),ROUND(AD51,4),AD52/$S50)</f>
        <v>#DIV/0!</v>
      </c>
      <c r="AE50" s="188" t="e" cm="1">
        <f t="array" aca="1" ref="AE50" ca="1">IF(AND($R50=2,ACOMPANHAMENTO="BM"),ROUND(AE51,4),AE52/$S50)</f>
        <v>#DIV/0!</v>
      </c>
      <c r="AF50" s="188" t="e" cm="1">
        <f t="array" aca="1" ref="AF50" ca="1">IF(AND($R50=2,ACOMPANHAMENTO="BM"),ROUND(AF51,4),AF52/$S50)</f>
        <v>#DIV/0!</v>
      </c>
      <c r="AG50" s="188" t="e" cm="1">
        <f t="array" aca="1" ref="AG50" ca="1">IF(AND($R50=2,ACOMPANHAMENTO="BM"),ROUND(AG51,4),AG52/$S50)</f>
        <v>#DIV/0!</v>
      </c>
      <c r="AH50" s="188" t="e" cm="1">
        <f t="array" aca="1" ref="AH50" ca="1">IF(AND($R50=2,ACOMPANHAMENTO="BM"),ROUND(AH51,4),AH52/$S50)</f>
        <v>#DIV/0!</v>
      </c>
      <c r="AI50" s="188" t="e" cm="1">
        <f t="array" aca="1" ref="AI50" ca="1">IF(AND($R50=2,ACOMPANHAMENTO="BM"),ROUND(AI51,4),AI52/$S50)</f>
        <v>#DIV/0!</v>
      </c>
      <c r="AJ50" s="188" t="e" cm="1">
        <f t="array" aca="1" ref="AJ50" ca="1">IF(AND($R50=2,ACOMPANHAMENTO="BM"),ROUND(AJ51,4),AJ52/$S50)</f>
        <v>#DIV/0!</v>
      </c>
      <c r="AK50" s="188" t="e" cm="1">
        <f t="array" aca="1" ref="AK50" ca="1">IF(AND($R50=2,ACOMPANHAMENTO="BM"),ROUND(AK51,4),AK52/$S50)</f>
        <v>#DIV/0!</v>
      </c>
      <c r="AL50" s="188" t="e" cm="1">
        <f t="array" aca="1" ref="AL50" ca="1">IF(AND($R50=2,ACOMPANHAMENTO="BM"),ROUND(AL51,4),AL52/$S50)</f>
        <v>#DIV/0!</v>
      </c>
      <c r="AM50" s="188" t="e" cm="1">
        <f t="array" aca="1" ref="AM50" ca="1">IF(AND($R50=2,ACOMPANHAMENTO="BM"),ROUND(AM51,4),AM52/$S50)</f>
        <v>#DIV/0!</v>
      </c>
      <c r="AN50" s="188" t="e" cm="1">
        <f t="array" aca="1" ref="AN50" ca="1">IF(AND($R50=2,ACOMPANHAMENTO="BM"),ROUND(AN51,4),AN52/$S50)</f>
        <v>#DIV/0!</v>
      </c>
      <c r="AO50" s="188" t="e" cm="1">
        <f t="array" aca="1" ref="AO50" ca="1">IF(AND($R50=2,ACOMPANHAMENTO="BM"),ROUND(AO51,4),AO52/$S50)</f>
        <v>#DIV/0!</v>
      </c>
      <c r="AP50" s="188" t="e" cm="1">
        <f t="array" aca="1" ref="AP50" ca="1">IF(AND($R50=2,ACOMPANHAMENTO="BM"),ROUND(AP51,4),AP52/$S50)</f>
        <v>#DIV/0!</v>
      </c>
      <c r="AQ50" s="188" t="e" cm="1">
        <f t="array" aca="1" ref="AQ50" ca="1">IF(AND($R50=2,ACOMPANHAMENTO="BM"),ROUND(AQ51,4),AQ52/$S50)</f>
        <v>#DIV/0!</v>
      </c>
      <c r="AR50" s="188" t="e" cm="1">
        <f t="array" aca="1" ref="AR50" ca="1">IF(AND($R50=2,ACOMPANHAMENTO="BM"),ROUND(AR51,4),AR52/$S50)</f>
        <v>#DIV/0!</v>
      </c>
      <c r="AS50" s="534"/>
    </row>
    <row r="51" spans="1:45" ht="12.75" hidden="1" customHeight="1" x14ac:dyDescent="0.2">
      <c r="E51" s="587"/>
      <c r="F51" s="185">
        <f ca="1">IF(ISERROR(F50),IF(1+COUNTIF($M$13:OFFSET(M50,-1,0),1)&lt;=MAX(QCI!$D$13:$D$24),1+COUNTIF($M$13:OFFSET(M50,-1,0),1),-1),0)</f>
        <v>0</v>
      </c>
      <c r="G51" s="185" t="str" cm="1">
        <f t="array" aca="1" ref="G51" ca="1">IF(ACOMPANHAMENTO="BM",OFFSET(G51,-1,0),"")</f>
        <v/>
      </c>
      <c r="H51" s="196" t="str" cm="1">
        <f t="array" aca="1" ref="H51" ca="1">IF(OR(S50=0,S50=""),"vazia",IF(AND(OR(ACOMPANHAMENTO="PLE",$R50&lt;&gt;2),$F51=0),"calculada","--&gt;"))</f>
        <v>vazia</v>
      </c>
      <c r="I51" s="197"/>
      <c r="J51" s="198" t="str">
        <f t="shared" ref="J51" ca="1" si="78">IF(AND(H50&lt;&gt;0,ISNUMBER(H50)),"PREENCHA ESTA LINHA --&gt;","")</f>
        <v/>
      </c>
      <c r="K51" s="198"/>
      <c r="L51" s="198"/>
      <c r="M51" s="199"/>
      <c r="N51" s="199"/>
      <c r="O51" s="199"/>
      <c r="P51" s="199"/>
      <c r="Q51" s="199"/>
      <c r="R51" s="199"/>
      <c r="S51" s="200"/>
      <c r="T51" s="201"/>
      <c r="U51" s="587"/>
      <c r="V51" s="587"/>
      <c r="W51" s="587"/>
      <c r="X51" s="587"/>
      <c r="Y51" s="587"/>
      <c r="Z51" s="587"/>
      <c r="AA51" s="587"/>
      <c r="AB51" s="587"/>
      <c r="AC51" s="587"/>
      <c r="AD51" s="587"/>
      <c r="AE51" s="587"/>
      <c r="AF51" s="587"/>
      <c r="AG51" s="587"/>
      <c r="AH51" s="587"/>
      <c r="AI51" s="587"/>
      <c r="AJ51" s="587"/>
      <c r="AK51" s="587"/>
      <c r="AL51" s="587"/>
      <c r="AM51" s="587"/>
      <c r="AN51" s="587"/>
      <c r="AO51" s="587"/>
      <c r="AP51" s="587"/>
      <c r="AQ51" s="587"/>
      <c r="AR51" s="587"/>
      <c r="AS51" s="534"/>
    </row>
    <row r="52" spans="1:45" ht="12.75" hidden="1" customHeight="1" x14ac:dyDescent="0.2">
      <c r="D52" s="533"/>
      <c r="E52" s="202" cm="1">
        <f t="array" aca="1" ref="E52" ca="1">IF($R50=2,
         IF(AND(ACOMPANHAMENTO="PLE",ISNUMBER($F50)),
                SUMIF((OFFSET(CÁLCULO!$BS$15:$CS$15,$F50,0,OFFSET(ORÇAMENTO!$D$15,CRONO!$F50,0))),CRONO!E$12,OFFSET(CÁLCULO!$AR$15:$BR$15,$F50,0,OFFSET(ORÇAMENTO!$D$15,CRONO!$F50,0)))
                +IF(AND($F52&lt;&gt;"",$F52&lt;&gt;0),
                        SUMIF(CÁLCULO!$BS$15:$CS$244,CRONO!E$12,CÁLCULO!$AR$15:$BR$244)/(ORÇAMENTO!$X$15-CÁLCULO.TotalAdmLocal)*CRONO!$F52,
                        0),
                 E51*$S50),
          SUMIF(OFFSET($S52,1,0,$R50-2),($M50+1)&amp;"$",OFFSET(E52,1,0,$R50-2)))</f>
        <v>0</v>
      </c>
      <c r="F52" s="185">
        <f ca="1">IF(OR($R50&lt;&gt;2,AUTOEVENTO&lt;&gt;"manual",$F51&gt;0),"",
        IF(Import.TipoArredondamento="Tradicional",
              SUMIF(OFFSET(CÁLCULO!$M$15,CRONO!$F50,0,OFFSET(ORÇAMENTO!$D$15,CRONO!$F50,0)),1,OFFSET(ORÇAMENTO!$X$15,CRONO!$F50,0,OFFSET(ORÇAMENTO!$D$15,CRONO!$F50,0))),
              0))</f>
        <v>0</v>
      </c>
      <c r="H52" s="203"/>
      <c r="S52" s="204" t="str">
        <f t="shared" ref="S52" ca="1" si="79">M50&amp;"$"</f>
        <v>2$</v>
      </c>
      <c r="T52" s="205"/>
      <c r="U52" s="202" cm="1">
        <f t="array" aca="1" ref="U52" ca="1">IF($R50=2,
         IF(AND(ACOMPANHAMENTO="PLE",ISNUMBER($F50)),
                SUMIF((OFFSET(CÁLCULO!$BS$15:$CS$15,$F50,0,OFFSET(ORÇAMENTO!$D$15,CRONO!$F50,0))),CRONO!U$12,OFFSET(CÁLCULO!$AR$15:$BR$15,$F50,0,OFFSET(ORÇAMENTO!$D$15,CRONO!$F50,0)))
                +IF(AND($F52&lt;&gt;"",$F52&lt;&gt;0),
                        SUMIF(CÁLCULO!$BS$15:$CS$244,CRONO!U$12,CÁLCULO!$AR$15:$BR$244)/(ORÇAMENTO!$X$15-CÁLCULO.TotalAdmLocal)*CRONO!$F52,
                        0),
                 U51*$S50),
          SUMIF(OFFSET($S52,1,0,$R50-2),($M50+1)&amp;"$",OFFSET(U52,1,0,$R50-2)))</f>
        <v>0</v>
      </c>
      <c r="V52" s="202" cm="1">
        <f t="array" aca="1" ref="V52" ca="1">IF($R50=2,
         IF(AND(ACOMPANHAMENTO="PLE",ISNUMBER($F50)),
                SUMIF((OFFSET(CÁLCULO!$BS$15:$CS$15,$F50,0,OFFSET(ORÇAMENTO!$D$15,CRONO!$F50,0))),CRONO!V$12,OFFSET(CÁLCULO!$AR$15:$BR$15,$F50,0,OFFSET(ORÇAMENTO!$D$15,CRONO!$F50,0)))
                +IF(AND($F52&lt;&gt;"",$F52&lt;&gt;0),
                        SUMIF(CÁLCULO!$BS$15:$CS$244,CRONO!V$12,CÁLCULO!$AR$15:$BR$244)/(ORÇAMENTO!$X$15-CÁLCULO.TotalAdmLocal)*CRONO!$F52,
                        0),
                 V51*$S50),
          SUMIF(OFFSET($S52,1,0,$R50-2),($M50+1)&amp;"$",OFFSET(V52,1,0,$R50-2)))</f>
        <v>0</v>
      </c>
      <c r="W52" s="202" cm="1">
        <f t="array" aca="1" ref="W52" ca="1">IF($R50=2,
         IF(AND(ACOMPANHAMENTO="PLE",ISNUMBER($F50)),
                SUMIF((OFFSET(CÁLCULO!$BS$15:$CS$15,$F50,0,OFFSET(ORÇAMENTO!$D$15,CRONO!$F50,0))),CRONO!W$12,OFFSET(CÁLCULO!$AR$15:$BR$15,$F50,0,OFFSET(ORÇAMENTO!$D$15,CRONO!$F50,0)))
                +IF(AND($F52&lt;&gt;"",$F52&lt;&gt;0),
                        SUMIF(CÁLCULO!$BS$15:$CS$244,CRONO!W$12,CÁLCULO!$AR$15:$BR$244)/(ORÇAMENTO!$X$15-CÁLCULO.TotalAdmLocal)*CRONO!$F52,
                        0),
                 W51*$S50),
          SUMIF(OFFSET($S52,1,0,$R50-2),($M50+1)&amp;"$",OFFSET(W52,1,0,$R50-2)))</f>
        <v>0</v>
      </c>
      <c r="X52" s="202" cm="1">
        <f t="array" aca="1" ref="X52" ca="1">IF($R50=2,
         IF(AND(ACOMPANHAMENTO="PLE",ISNUMBER($F50)),
                SUMIF((OFFSET(CÁLCULO!$BS$15:$CS$15,$F50,0,OFFSET(ORÇAMENTO!$D$15,CRONO!$F50,0))),CRONO!X$12,OFFSET(CÁLCULO!$AR$15:$BR$15,$F50,0,OFFSET(ORÇAMENTO!$D$15,CRONO!$F50,0)))
                +IF(AND($F52&lt;&gt;"",$F52&lt;&gt;0),
                        SUMIF(CÁLCULO!$BS$15:$CS$244,CRONO!X$12,CÁLCULO!$AR$15:$BR$244)/(ORÇAMENTO!$X$15-CÁLCULO.TotalAdmLocal)*CRONO!$F52,
                        0),
                 X51*$S50),
          SUMIF(OFFSET($S52,1,0,$R50-2),($M50+1)&amp;"$",OFFSET(X52,1,0,$R50-2)))</f>
        <v>0</v>
      </c>
      <c r="Y52" s="202" cm="1">
        <f t="array" aca="1" ref="Y52" ca="1">IF($R50=2,
         IF(AND(ACOMPANHAMENTO="PLE",ISNUMBER($F50)),
                SUMIF((OFFSET(CÁLCULO!$BS$15:$CS$15,$F50,0,OFFSET(ORÇAMENTO!$D$15,CRONO!$F50,0))),CRONO!Y$12,OFFSET(CÁLCULO!$AR$15:$BR$15,$F50,0,OFFSET(ORÇAMENTO!$D$15,CRONO!$F50,0)))
                +IF(AND($F52&lt;&gt;"",$F52&lt;&gt;0),
                        SUMIF(CÁLCULO!$BS$15:$CS$244,CRONO!Y$12,CÁLCULO!$AR$15:$BR$244)/(ORÇAMENTO!$X$15-CÁLCULO.TotalAdmLocal)*CRONO!$F52,
                        0),
                 Y51*$S50),
          SUMIF(OFFSET($S52,1,0,$R50-2),($M50+1)&amp;"$",OFFSET(Y52,1,0,$R50-2)))</f>
        <v>0</v>
      </c>
      <c r="Z52" s="202" cm="1">
        <f t="array" aca="1" ref="Z52" ca="1">IF($R50=2,
         IF(AND(ACOMPANHAMENTO="PLE",ISNUMBER($F50)),
                SUMIF((OFFSET(CÁLCULO!$BS$15:$CS$15,$F50,0,OFFSET(ORÇAMENTO!$D$15,CRONO!$F50,0))),CRONO!Z$12,OFFSET(CÁLCULO!$AR$15:$BR$15,$F50,0,OFFSET(ORÇAMENTO!$D$15,CRONO!$F50,0)))
                +IF(AND($F52&lt;&gt;"",$F52&lt;&gt;0),
                        SUMIF(CÁLCULO!$BS$15:$CS$244,CRONO!Z$12,CÁLCULO!$AR$15:$BR$244)/(ORÇAMENTO!$X$15-CÁLCULO.TotalAdmLocal)*CRONO!$F52,
                        0),
                 Z51*$S50),
          SUMIF(OFFSET($S52,1,0,$R50-2),($M50+1)&amp;"$",OFFSET(Z52,1,0,$R50-2)))</f>
        <v>0</v>
      </c>
      <c r="AA52" s="202" cm="1">
        <f t="array" aca="1" ref="AA52" ca="1">IF($R50=2,
         IF(AND(ACOMPANHAMENTO="PLE",ISNUMBER($F50)),
                SUMIF((OFFSET(CÁLCULO!$BS$15:$CS$15,$F50,0,OFFSET(ORÇAMENTO!$D$15,CRONO!$F50,0))),CRONO!AA$12,OFFSET(CÁLCULO!$AR$15:$BR$15,$F50,0,OFFSET(ORÇAMENTO!$D$15,CRONO!$F50,0)))
                +IF(AND($F52&lt;&gt;"",$F52&lt;&gt;0),
                        SUMIF(CÁLCULO!$BS$15:$CS$244,CRONO!AA$12,CÁLCULO!$AR$15:$BR$244)/(ORÇAMENTO!$X$15-CÁLCULO.TotalAdmLocal)*CRONO!$F52,
                        0),
                 AA51*$S50),
          SUMIF(OFFSET($S52,1,0,$R50-2),($M50+1)&amp;"$",OFFSET(AA52,1,0,$R50-2)))</f>
        <v>0</v>
      </c>
      <c r="AB52" s="202" cm="1">
        <f t="array" aca="1" ref="AB52" ca="1">IF($R50=2,
         IF(AND(ACOMPANHAMENTO="PLE",ISNUMBER($F50)),
                SUMIF((OFFSET(CÁLCULO!$BS$15:$CS$15,$F50,0,OFFSET(ORÇAMENTO!$D$15,CRONO!$F50,0))),CRONO!AB$12,OFFSET(CÁLCULO!$AR$15:$BR$15,$F50,0,OFFSET(ORÇAMENTO!$D$15,CRONO!$F50,0)))
                +IF(AND($F52&lt;&gt;"",$F52&lt;&gt;0),
                        SUMIF(CÁLCULO!$BS$15:$CS$244,CRONO!AB$12,CÁLCULO!$AR$15:$BR$244)/(ORÇAMENTO!$X$15-CÁLCULO.TotalAdmLocal)*CRONO!$F52,
                        0),
                 AB51*$S50),
          SUMIF(OFFSET($S52,1,0,$R50-2),($M50+1)&amp;"$",OFFSET(AB52,1,0,$R50-2)))</f>
        <v>0</v>
      </c>
      <c r="AC52" s="202" cm="1">
        <f t="array" aca="1" ref="AC52" ca="1">IF($R50=2,
         IF(AND(ACOMPANHAMENTO="PLE",ISNUMBER($F50)),
                SUMIF((OFFSET(CÁLCULO!$BS$15:$CS$15,$F50,0,OFFSET(ORÇAMENTO!$D$15,CRONO!$F50,0))),CRONO!AC$12,OFFSET(CÁLCULO!$AR$15:$BR$15,$F50,0,OFFSET(ORÇAMENTO!$D$15,CRONO!$F50,0)))
                +IF(AND($F52&lt;&gt;"",$F52&lt;&gt;0),
                        SUMIF(CÁLCULO!$BS$15:$CS$244,CRONO!AC$12,CÁLCULO!$AR$15:$BR$244)/(ORÇAMENTO!$X$15-CÁLCULO.TotalAdmLocal)*CRONO!$F52,
                        0),
                 AC51*$S50),
          SUMIF(OFFSET($S52,1,0,$R50-2),($M50+1)&amp;"$",OFFSET(AC52,1,0,$R50-2)))</f>
        <v>0</v>
      </c>
      <c r="AD52" s="202" cm="1">
        <f t="array" aca="1" ref="AD52" ca="1">IF($R50=2,
         IF(AND(ACOMPANHAMENTO="PLE",ISNUMBER($F50)),
                SUMIF((OFFSET(CÁLCULO!$BS$15:$CS$15,$F50,0,OFFSET(ORÇAMENTO!$D$15,CRONO!$F50,0))),CRONO!AD$12,OFFSET(CÁLCULO!$AR$15:$BR$15,$F50,0,OFFSET(ORÇAMENTO!$D$15,CRONO!$F50,0)))
                +IF(AND($F52&lt;&gt;"",$F52&lt;&gt;0),
                        SUMIF(CÁLCULO!$BS$15:$CS$244,CRONO!AD$12,CÁLCULO!$AR$15:$BR$244)/(ORÇAMENTO!$X$15-CÁLCULO.TotalAdmLocal)*CRONO!$F52,
                        0),
                 AD51*$S50),
          SUMIF(OFFSET($S52,1,0,$R50-2),($M50+1)&amp;"$",OFFSET(AD52,1,0,$R50-2)))</f>
        <v>0</v>
      </c>
      <c r="AE52" s="202" cm="1">
        <f t="array" aca="1" ref="AE52" ca="1">IF($R50=2,
         IF(AND(ACOMPANHAMENTO="PLE",ISNUMBER($F50)),
                SUMIF((OFFSET(CÁLCULO!$BS$15:$CS$15,$F50,0,OFFSET(ORÇAMENTO!$D$15,CRONO!$F50,0))),CRONO!AE$12,OFFSET(CÁLCULO!$AR$15:$BR$15,$F50,0,OFFSET(ORÇAMENTO!$D$15,CRONO!$F50,0)))
                +IF(AND($F52&lt;&gt;"",$F52&lt;&gt;0),
                        SUMIF(CÁLCULO!$BS$15:$CS$244,CRONO!AE$12,CÁLCULO!$AR$15:$BR$244)/(ORÇAMENTO!$X$15-CÁLCULO.TotalAdmLocal)*CRONO!$F52,
                        0),
                 AE51*$S50),
          SUMIF(OFFSET($S52,1,0,$R50-2),($M50+1)&amp;"$",OFFSET(AE52,1,0,$R50-2)))</f>
        <v>0</v>
      </c>
      <c r="AF52" s="202" cm="1">
        <f t="array" aca="1" ref="AF52" ca="1">IF($R50=2,
         IF(AND(ACOMPANHAMENTO="PLE",ISNUMBER($F50)),
                SUMIF((OFFSET(CÁLCULO!$BS$15:$CS$15,$F50,0,OFFSET(ORÇAMENTO!$D$15,CRONO!$F50,0))),CRONO!AF$12,OFFSET(CÁLCULO!$AR$15:$BR$15,$F50,0,OFFSET(ORÇAMENTO!$D$15,CRONO!$F50,0)))
                +IF(AND($F52&lt;&gt;"",$F52&lt;&gt;0),
                        SUMIF(CÁLCULO!$BS$15:$CS$244,CRONO!AF$12,CÁLCULO!$AR$15:$BR$244)/(ORÇAMENTO!$X$15-CÁLCULO.TotalAdmLocal)*CRONO!$F52,
                        0),
                 AF51*$S50),
          SUMIF(OFFSET($S52,1,0,$R50-2),($M50+1)&amp;"$",OFFSET(AF52,1,0,$R50-2)))</f>
        <v>0</v>
      </c>
      <c r="AG52" s="202" cm="1">
        <f t="array" aca="1" ref="AG52" ca="1">IF($R50=2,
         IF(AND(ACOMPANHAMENTO="PLE",ISNUMBER($F50)),
                SUMIF((OFFSET(CÁLCULO!$BS$15:$CS$15,$F50,0,OFFSET(ORÇAMENTO!$D$15,CRONO!$F50,0))),CRONO!AG$12,OFFSET(CÁLCULO!$AR$15:$BR$15,$F50,0,OFFSET(ORÇAMENTO!$D$15,CRONO!$F50,0)))
                +IF(AND($F52&lt;&gt;"",$F52&lt;&gt;0),
                        SUMIF(CÁLCULO!$BS$15:$CS$244,CRONO!AG$12,CÁLCULO!$AR$15:$BR$244)/(ORÇAMENTO!$X$15-CÁLCULO.TotalAdmLocal)*CRONO!$F52,
                        0),
                 AG51*$S50),
          SUMIF(OFFSET($S52,1,0,$R50-2),($M50+1)&amp;"$",OFFSET(AG52,1,0,$R50-2)))</f>
        <v>0</v>
      </c>
      <c r="AH52" s="202" cm="1">
        <f t="array" aca="1" ref="AH52" ca="1">IF($R50=2,
         IF(AND(ACOMPANHAMENTO="PLE",ISNUMBER($F50)),
                SUMIF((OFFSET(CÁLCULO!$BS$15:$CS$15,$F50,0,OFFSET(ORÇAMENTO!$D$15,CRONO!$F50,0))),CRONO!AH$12,OFFSET(CÁLCULO!$AR$15:$BR$15,$F50,0,OFFSET(ORÇAMENTO!$D$15,CRONO!$F50,0)))
                +IF(AND($F52&lt;&gt;"",$F52&lt;&gt;0),
                        SUMIF(CÁLCULO!$BS$15:$CS$244,CRONO!AH$12,CÁLCULO!$AR$15:$BR$244)/(ORÇAMENTO!$X$15-CÁLCULO.TotalAdmLocal)*CRONO!$F52,
                        0),
                 AH51*$S50),
          SUMIF(OFFSET($S52,1,0,$R50-2),($M50+1)&amp;"$",OFFSET(AH52,1,0,$R50-2)))</f>
        <v>0</v>
      </c>
      <c r="AI52" s="202" cm="1">
        <f t="array" aca="1" ref="AI52" ca="1">IF($R50=2,
         IF(AND(ACOMPANHAMENTO="PLE",ISNUMBER($F50)),
                SUMIF((OFFSET(CÁLCULO!$BS$15:$CS$15,$F50,0,OFFSET(ORÇAMENTO!$D$15,CRONO!$F50,0))),CRONO!AI$12,OFFSET(CÁLCULO!$AR$15:$BR$15,$F50,0,OFFSET(ORÇAMENTO!$D$15,CRONO!$F50,0)))
                +IF(AND($F52&lt;&gt;"",$F52&lt;&gt;0),
                        SUMIF(CÁLCULO!$BS$15:$CS$244,CRONO!AI$12,CÁLCULO!$AR$15:$BR$244)/(ORÇAMENTO!$X$15-CÁLCULO.TotalAdmLocal)*CRONO!$F52,
                        0),
                 AI51*$S50),
          SUMIF(OFFSET($S52,1,0,$R50-2),($M50+1)&amp;"$",OFFSET(AI52,1,0,$R50-2)))</f>
        <v>0</v>
      </c>
      <c r="AJ52" s="202" cm="1">
        <f t="array" aca="1" ref="AJ52" ca="1">IF($R50=2,
         IF(AND(ACOMPANHAMENTO="PLE",ISNUMBER($F50)),
                SUMIF((OFFSET(CÁLCULO!$BS$15:$CS$15,$F50,0,OFFSET(ORÇAMENTO!$D$15,CRONO!$F50,0))),CRONO!AJ$12,OFFSET(CÁLCULO!$AR$15:$BR$15,$F50,0,OFFSET(ORÇAMENTO!$D$15,CRONO!$F50,0)))
                +IF(AND($F52&lt;&gt;"",$F52&lt;&gt;0),
                        SUMIF(CÁLCULO!$BS$15:$CS$244,CRONO!AJ$12,CÁLCULO!$AR$15:$BR$244)/(ORÇAMENTO!$X$15-CÁLCULO.TotalAdmLocal)*CRONO!$F52,
                        0),
                 AJ51*$S50),
          SUMIF(OFFSET($S52,1,0,$R50-2),($M50+1)&amp;"$",OFFSET(AJ52,1,0,$R50-2)))</f>
        <v>0</v>
      </c>
      <c r="AK52" s="202" cm="1">
        <f t="array" aca="1" ref="AK52" ca="1">IF($R50=2,
         IF(AND(ACOMPANHAMENTO="PLE",ISNUMBER($F50)),
                SUMIF((OFFSET(CÁLCULO!$BS$15:$CS$15,$F50,0,OFFSET(ORÇAMENTO!$D$15,CRONO!$F50,0))),CRONO!AK$12,OFFSET(CÁLCULO!$AR$15:$BR$15,$F50,0,OFFSET(ORÇAMENTO!$D$15,CRONO!$F50,0)))
                +IF(AND($F52&lt;&gt;"",$F52&lt;&gt;0),
                        SUMIF(CÁLCULO!$BS$15:$CS$244,CRONO!AK$12,CÁLCULO!$AR$15:$BR$244)/(ORÇAMENTO!$X$15-CÁLCULO.TotalAdmLocal)*CRONO!$F52,
                        0),
                 AK51*$S50),
          SUMIF(OFFSET($S52,1,0,$R50-2),($M50+1)&amp;"$",OFFSET(AK52,1,0,$R50-2)))</f>
        <v>0</v>
      </c>
      <c r="AL52" s="202" cm="1">
        <f t="array" aca="1" ref="AL52" ca="1">IF($R50=2,
         IF(AND(ACOMPANHAMENTO="PLE",ISNUMBER($F50)),
                SUMIF((OFFSET(CÁLCULO!$BS$15:$CS$15,$F50,0,OFFSET(ORÇAMENTO!$D$15,CRONO!$F50,0))),CRONO!AL$12,OFFSET(CÁLCULO!$AR$15:$BR$15,$F50,0,OFFSET(ORÇAMENTO!$D$15,CRONO!$F50,0)))
                +IF(AND($F52&lt;&gt;"",$F52&lt;&gt;0),
                        SUMIF(CÁLCULO!$BS$15:$CS$244,CRONO!AL$12,CÁLCULO!$AR$15:$BR$244)/(ORÇAMENTO!$X$15-CÁLCULO.TotalAdmLocal)*CRONO!$F52,
                        0),
                 AL51*$S50),
          SUMIF(OFFSET($S52,1,0,$R50-2),($M50+1)&amp;"$",OFFSET(AL52,1,0,$R50-2)))</f>
        <v>0</v>
      </c>
      <c r="AM52" s="202" cm="1">
        <f t="array" aca="1" ref="AM52" ca="1">IF($R50=2,
         IF(AND(ACOMPANHAMENTO="PLE",ISNUMBER($F50)),
                SUMIF((OFFSET(CÁLCULO!$BS$15:$CS$15,$F50,0,OFFSET(ORÇAMENTO!$D$15,CRONO!$F50,0))),CRONO!AM$12,OFFSET(CÁLCULO!$AR$15:$BR$15,$F50,0,OFFSET(ORÇAMENTO!$D$15,CRONO!$F50,0)))
                +IF(AND($F52&lt;&gt;"",$F52&lt;&gt;0),
                        SUMIF(CÁLCULO!$BS$15:$CS$244,CRONO!AM$12,CÁLCULO!$AR$15:$BR$244)/(ORÇAMENTO!$X$15-CÁLCULO.TotalAdmLocal)*CRONO!$F52,
                        0),
                 AM51*$S50),
          SUMIF(OFFSET($S52,1,0,$R50-2),($M50+1)&amp;"$",OFFSET(AM52,1,0,$R50-2)))</f>
        <v>0</v>
      </c>
      <c r="AN52" s="202" cm="1">
        <f t="array" aca="1" ref="AN52" ca="1">IF($R50=2,
         IF(AND(ACOMPANHAMENTO="PLE",ISNUMBER($F50)),
                SUMIF((OFFSET(CÁLCULO!$BS$15:$CS$15,$F50,0,OFFSET(ORÇAMENTO!$D$15,CRONO!$F50,0))),CRONO!AN$12,OFFSET(CÁLCULO!$AR$15:$BR$15,$F50,0,OFFSET(ORÇAMENTO!$D$15,CRONO!$F50,0)))
                +IF(AND($F52&lt;&gt;"",$F52&lt;&gt;0),
                        SUMIF(CÁLCULO!$BS$15:$CS$244,CRONO!AN$12,CÁLCULO!$AR$15:$BR$244)/(ORÇAMENTO!$X$15-CÁLCULO.TotalAdmLocal)*CRONO!$F52,
                        0),
                 AN51*$S50),
          SUMIF(OFFSET($S52,1,0,$R50-2),($M50+1)&amp;"$",OFFSET(AN52,1,0,$R50-2)))</f>
        <v>0</v>
      </c>
      <c r="AO52" s="202" cm="1">
        <f t="array" aca="1" ref="AO52" ca="1">IF($R50=2,
         IF(AND(ACOMPANHAMENTO="PLE",ISNUMBER($F50)),
                SUMIF((OFFSET(CÁLCULO!$BS$15:$CS$15,$F50,0,OFFSET(ORÇAMENTO!$D$15,CRONO!$F50,0))),CRONO!AO$12,OFFSET(CÁLCULO!$AR$15:$BR$15,$F50,0,OFFSET(ORÇAMENTO!$D$15,CRONO!$F50,0)))
                +IF(AND($F52&lt;&gt;"",$F52&lt;&gt;0),
                        SUMIF(CÁLCULO!$BS$15:$CS$244,CRONO!AO$12,CÁLCULO!$AR$15:$BR$244)/(ORÇAMENTO!$X$15-CÁLCULO.TotalAdmLocal)*CRONO!$F52,
                        0),
                 AO51*$S50),
          SUMIF(OFFSET($S52,1,0,$R50-2),($M50+1)&amp;"$",OFFSET(AO52,1,0,$R50-2)))</f>
        <v>0</v>
      </c>
      <c r="AP52" s="202" cm="1">
        <f t="array" aca="1" ref="AP52" ca="1">IF($R50=2,
         IF(AND(ACOMPANHAMENTO="PLE",ISNUMBER($F50)),
                SUMIF((OFFSET(CÁLCULO!$BS$15:$CS$15,$F50,0,OFFSET(ORÇAMENTO!$D$15,CRONO!$F50,0))),CRONO!AP$12,OFFSET(CÁLCULO!$AR$15:$BR$15,$F50,0,OFFSET(ORÇAMENTO!$D$15,CRONO!$F50,0)))
                +IF(AND($F52&lt;&gt;"",$F52&lt;&gt;0),
                        SUMIF(CÁLCULO!$BS$15:$CS$244,CRONO!AP$12,CÁLCULO!$AR$15:$BR$244)/(ORÇAMENTO!$X$15-CÁLCULO.TotalAdmLocal)*CRONO!$F52,
                        0),
                 AP51*$S50),
          SUMIF(OFFSET($S52,1,0,$R50-2),($M50+1)&amp;"$",OFFSET(AP52,1,0,$R50-2)))</f>
        <v>0</v>
      </c>
      <c r="AQ52" s="202" cm="1">
        <f t="array" aca="1" ref="AQ52" ca="1">IF($R50=2,
         IF(AND(ACOMPANHAMENTO="PLE",ISNUMBER($F50)),
                SUMIF((OFFSET(CÁLCULO!$BS$15:$CS$15,$F50,0,OFFSET(ORÇAMENTO!$D$15,CRONO!$F50,0))),CRONO!AQ$12,OFFSET(CÁLCULO!$AR$15:$BR$15,$F50,0,OFFSET(ORÇAMENTO!$D$15,CRONO!$F50,0)))
                +IF(AND($F52&lt;&gt;"",$F52&lt;&gt;0),
                        SUMIF(CÁLCULO!$BS$15:$CS$244,CRONO!AQ$12,CÁLCULO!$AR$15:$BR$244)/(ORÇAMENTO!$X$15-CÁLCULO.TotalAdmLocal)*CRONO!$F52,
                        0),
                 AQ51*$S50),
          SUMIF(OFFSET($S52,1,0,$R50-2),($M50+1)&amp;"$",OFFSET(AQ52,1,0,$R50-2)))</f>
        <v>0</v>
      </c>
      <c r="AR52" s="202" cm="1">
        <f t="array" aca="1" ref="AR52" ca="1">IF($R50=2,
         IF(AND(ACOMPANHAMENTO="PLE",ISNUMBER($F50)),
                SUMIF((OFFSET(CÁLCULO!$BS$15:$CS$15,$F50,0,OFFSET(ORÇAMENTO!$D$15,CRONO!$F50,0))),CRONO!AR$12,OFFSET(CÁLCULO!$AR$15:$BR$15,$F50,0,OFFSET(ORÇAMENTO!$D$15,CRONO!$F50,0)))
                +IF(AND($F52&lt;&gt;"",$F52&lt;&gt;0),
                        SUMIF(CÁLCULO!$BS$15:$CS$244,CRONO!AR$12,CÁLCULO!$AR$15:$BR$244)/(ORÇAMENTO!$X$15-CÁLCULO.TotalAdmLocal)*CRONO!$F52,
                        0),
                 AR51*$S50),
          SUMIF(OFFSET($S52,1,0,$R50-2),($M50+1)&amp;"$",OFFSET(AR52,1,0,$R50-2)))</f>
        <v>0</v>
      </c>
      <c r="AS52" s="534"/>
    </row>
    <row r="53" spans="1:45" x14ac:dyDescent="0.2">
      <c r="A53" s="186" t="e">
        <f t="shared" ref="A53" ca="1" si="80">IF($M53&gt;1,_xlfn.CONCAT($I53," ",$J53),"")</f>
        <v>#NAME?</v>
      </c>
      <c r="B53" s="185">
        <f t="shared" ref="B53" ca="1" si="81">OFFSET(B53,-3,0)+1</f>
        <v>14</v>
      </c>
      <c r="C53" s="185">
        <f ca="1">IF($R53&lt;&gt;2,0,IF($S53=0,1,IF(F54&gt;0,OFFSET(QCI!$M$13,SUBSTITUTE(F54,".",""),0),OFFSET(ORÇAMENTO!$AA$15,CRONO!$F53,0))/$S53))</f>
        <v>1</v>
      </c>
      <c r="D53" s="185">
        <f ca="1">IF($R53&lt;&gt;2,0,IF($S53=0,1,IF(F54&gt;0,OFFSET(QCI!$N$13,SUBSTITUTE(F54,".",""),0),OFFSET(ORÇAMENTO!$AB$15,CRONO!$F53,0))/$S53))</f>
        <v>1</v>
      </c>
      <c r="E53" s="188" t="e" cm="1">
        <f t="array" aca="1" ref="E53" ca="1">IF(AND($R53=2,ACOMPANHAMENTO="BM"),ROUND(E54,4),E55/$S53)</f>
        <v>#DIV/0!</v>
      </c>
      <c r="F53" s="185" cm="1">
        <f t="array" aca="1" ref="F53" ca="1">IF(B53&lt;=ORÇAMENTO.MáximoListaCrono,MATCH(B53,ORÇAMENTO.ListaCrono,0),NA())</f>
        <v>51</v>
      </c>
      <c r="G53" s="185" t="str">
        <f t="shared" ref="G53" ca="1" si="82">IF(AND($F54&lt;&gt;-1,$S53&gt;0),"F","")</f>
        <v/>
      </c>
      <c r="H53" s="189" t="str" cm="1">
        <f t="array" aca="1" ref="H53" ca="1">IF(OR(S53=0,S53=""),"Linha",IF(AND(OR(ACOMPANHAMENTO="PLE",$R53&lt;&gt;2),$F54=0),"Linha",ROUND(1-SUM(U53:AS53),4)))</f>
        <v>Linha</v>
      </c>
      <c r="I53" s="190" t="str">
        <f ca="1">IF($F54=0,OFFSET(ORÇAMENTO!O$15,$F53,0),IF($F54&lt;&gt;-1,OFFSET(QCI!$D$13,$F54,0),""))</f>
        <v>5.2.</v>
      </c>
      <c r="J53" s="191" t="str">
        <f ca="1">IF($F54=0,OFFSET(ORÇAMENTO!R$15,$F53,0),IF($F54&lt;&gt;-1,OFFSET(QCI!$G$13,$F54,0),""))</f>
        <v>ESQUADRIAS METÁLICAS</v>
      </c>
      <c r="K53" s="191"/>
      <c r="L53" s="191"/>
      <c r="M53" s="192">
        <f ca="1">IF($F54=0,OFFSET(ORÇAMENTO!C$15,$F53,0),1)</f>
        <v>2</v>
      </c>
      <c r="N53" s="193">
        <f ca="1">IF($F54=-1,0,IF(N$13&lt;=$M53,IF(ISERROR(MATCH(N$13,OFFSET($M53,1,0,ROW($M$164)-ROW($M53)-1),0)),ROW($M$164)-ROW($M53)-1,MATCH(N$13,OFFSET($M53,1,0,ROW($M$164)-ROW($M53)-1),0)-1),0))</f>
        <v>5</v>
      </c>
      <c r="O53" s="193">
        <f ca="1">IF($F54=-1,0,IF(O$13&lt;=$M53,IF(ISERROR(MATCH(O$13,OFFSET($M53,1,0,ROW($M$164)-ROW($M53)-1),0)),ROW($M$164)-ROW($M53)-1,MATCH(O$13,OFFSET($M53,1,0,ROW($M$164)-ROW($M53)-1),0)-1),0))</f>
        <v>2</v>
      </c>
      <c r="P53" s="193">
        <f ca="1">IF($F54=-1,0,IF(P$13&lt;=$M53,IF(ISERROR(MATCH(P$13,OFFSET($M53,1,0,ROW($M$164)-ROW($M53)-1),0)),ROW($M$164)-ROW($M53)-1,MATCH(P$13,OFFSET($M53,1,0,ROW($M$164)-ROW($M53)-1),0)-1),0))</f>
        <v>0</v>
      </c>
      <c r="Q53" s="193">
        <f ca="1">IF($F54=-1,0,IF(Q$13&lt;=$M53,IF(ISERROR(MATCH(Q$13,OFFSET($M53,1,0,ROW($M$164)-ROW($M53)-1),0)),ROW($M$164)-ROW($M53)-1,MATCH(Q$13,OFFSET($M53,1,0,ROW($M$164)-ROW($M53)-1),0)-1),0))</f>
        <v>0</v>
      </c>
      <c r="R53" s="193">
        <f t="shared" ref="R53" ca="1" si="83">MIN(OFFSET(M53,0,1,,M53))</f>
        <v>2</v>
      </c>
      <c r="S53" s="194">
        <f ca="1">IF($F54=0,OFFSET(ORÇAMENTO!X$15,$F53,0),IF($F54&lt;&gt;-1,OFFSET(QCI!$O$13,$F54,0),""))</f>
        <v>0</v>
      </c>
      <c r="T53" s="195" t="s">
        <v>785</v>
      </c>
      <c r="U53" s="188" t="e" cm="1">
        <f t="array" aca="1" ref="U53" ca="1">IF(AND($R53=2,ACOMPANHAMENTO="BM"),ROUND(U54,4),U55/$S53)</f>
        <v>#DIV/0!</v>
      </c>
      <c r="V53" s="188" t="e" cm="1">
        <f t="array" aca="1" ref="V53" ca="1">IF(AND($R53=2,ACOMPANHAMENTO="BM"),ROUND(V54,4),V55/$S53)</f>
        <v>#DIV/0!</v>
      </c>
      <c r="W53" s="188" t="e" cm="1">
        <f t="array" aca="1" ref="W53" ca="1">IF(AND($R53=2,ACOMPANHAMENTO="BM"),ROUND(W54,4),W55/$S53)</f>
        <v>#DIV/0!</v>
      </c>
      <c r="X53" s="188" t="e" cm="1">
        <f t="array" aca="1" ref="X53" ca="1">IF(AND($R53=2,ACOMPANHAMENTO="BM"),ROUND(X54,4),X55/$S53)</f>
        <v>#DIV/0!</v>
      </c>
      <c r="Y53" s="188" t="e" cm="1">
        <f t="array" aca="1" ref="Y53" ca="1">IF(AND($R53=2,ACOMPANHAMENTO="BM"),ROUND(Y54,4),Y55/$S53)</f>
        <v>#DIV/0!</v>
      </c>
      <c r="Z53" s="188" t="e" cm="1">
        <f t="array" aca="1" ref="Z53" ca="1">IF(AND($R53=2,ACOMPANHAMENTO="BM"),ROUND(Z54,4),Z55/$S53)</f>
        <v>#DIV/0!</v>
      </c>
      <c r="AA53" s="188" t="e" cm="1">
        <f t="array" aca="1" ref="AA53" ca="1">IF(AND($R53=2,ACOMPANHAMENTO="BM"),ROUND(AA54,4),AA55/$S53)</f>
        <v>#DIV/0!</v>
      </c>
      <c r="AB53" s="188" t="e" cm="1">
        <f t="array" aca="1" ref="AB53" ca="1">IF(AND($R53=2,ACOMPANHAMENTO="BM"),ROUND(AB54,4),AB55/$S53)</f>
        <v>#DIV/0!</v>
      </c>
      <c r="AC53" s="188" t="e" cm="1">
        <f t="array" aca="1" ref="AC53" ca="1">IF(AND($R53=2,ACOMPANHAMENTO="BM"),ROUND(AC54,4),AC55/$S53)</f>
        <v>#DIV/0!</v>
      </c>
      <c r="AD53" s="188" t="e" cm="1">
        <f t="array" aca="1" ref="AD53" ca="1">IF(AND($R53=2,ACOMPANHAMENTO="BM"),ROUND(AD54,4),AD55/$S53)</f>
        <v>#DIV/0!</v>
      </c>
      <c r="AE53" s="188" t="e" cm="1">
        <f t="array" aca="1" ref="AE53" ca="1">IF(AND($R53=2,ACOMPANHAMENTO="BM"),ROUND(AE54,4),AE55/$S53)</f>
        <v>#DIV/0!</v>
      </c>
      <c r="AF53" s="188" t="e" cm="1">
        <f t="array" aca="1" ref="AF53" ca="1">IF(AND($R53=2,ACOMPANHAMENTO="BM"),ROUND(AF54,4),AF55/$S53)</f>
        <v>#DIV/0!</v>
      </c>
      <c r="AG53" s="188" t="e" cm="1">
        <f t="array" aca="1" ref="AG53" ca="1">IF(AND($R53=2,ACOMPANHAMENTO="BM"),ROUND(AG54,4),AG55/$S53)</f>
        <v>#DIV/0!</v>
      </c>
      <c r="AH53" s="188" t="e" cm="1">
        <f t="array" aca="1" ref="AH53" ca="1">IF(AND($R53=2,ACOMPANHAMENTO="BM"),ROUND(AH54,4),AH55/$S53)</f>
        <v>#DIV/0!</v>
      </c>
      <c r="AI53" s="188" t="e" cm="1">
        <f t="array" aca="1" ref="AI53" ca="1">IF(AND($R53=2,ACOMPANHAMENTO="BM"),ROUND(AI54,4),AI55/$S53)</f>
        <v>#DIV/0!</v>
      </c>
      <c r="AJ53" s="188" t="e" cm="1">
        <f t="array" aca="1" ref="AJ53" ca="1">IF(AND($R53=2,ACOMPANHAMENTO="BM"),ROUND(AJ54,4),AJ55/$S53)</f>
        <v>#DIV/0!</v>
      </c>
      <c r="AK53" s="188" t="e" cm="1">
        <f t="array" aca="1" ref="AK53" ca="1">IF(AND($R53=2,ACOMPANHAMENTO="BM"),ROUND(AK54,4),AK55/$S53)</f>
        <v>#DIV/0!</v>
      </c>
      <c r="AL53" s="188" t="e" cm="1">
        <f t="array" aca="1" ref="AL53" ca="1">IF(AND($R53=2,ACOMPANHAMENTO="BM"),ROUND(AL54,4),AL55/$S53)</f>
        <v>#DIV/0!</v>
      </c>
      <c r="AM53" s="188" t="e" cm="1">
        <f t="array" aca="1" ref="AM53" ca="1">IF(AND($R53=2,ACOMPANHAMENTO="BM"),ROUND(AM54,4),AM55/$S53)</f>
        <v>#DIV/0!</v>
      </c>
      <c r="AN53" s="188" t="e" cm="1">
        <f t="array" aca="1" ref="AN53" ca="1">IF(AND($R53=2,ACOMPANHAMENTO="BM"),ROUND(AN54,4),AN55/$S53)</f>
        <v>#DIV/0!</v>
      </c>
      <c r="AO53" s="188" t="e" cm="1">
        <f t="array" aca="1" ref="AO53" ca="1">IF(AND($R53=2,ACOMPANHAMENTO="BM"),ROUND(AO54,4),AO55/$S53)</f>
        <v>#DIV/0!</v>
      </c>
      <c r="AP53" s="188" t="e" cm="1">
        <f t="array" aca="1" ref="AP53" ca="1">IF(AND($R53=2,ACOMPANHAMENTO="BM"),ROUND(AP54,4),AP55/$S53)</f>
        <v>#DIV/0!</v>
      </c>
      <c r="AQ53" s="188" t="e" cm="1">
        <f t="array" aca="1" ref="AQ53" ca="1">IF(AND($R53=2,ACOMPANHAMENTO="BM"),ROUND(AQ54,4),AQ55/$S53)</f>
        <v>#DIV/0!</v>
      </c>
      <c r="AR53" s="188" t="e" cm="1">
        <f t="array" aca="1" ref="AR53" ca="1">IF(AND($R53=2,ACOMPANHAMENTO="BM"),ROUND(AR54,4),AR55/$S53)</f>
        <v>#DIV/0!</v>
      </c>
      <c r="AS53" s="534"/>
    </row>
    <row r="54" spans="1:45" ht="12.75" hidden="1" customHeight="1" x14ac:dyDescent="0.2">
      <c r="E54" s="587"/>
      <c r="F54" s="185">
        <f ca="1">IF(ISERROR(F53),IF(1+COUNTIF($M$13:OFFSET(M53,-1,0),1)&lt;=MAX(QCI!$D$13:$D$24),1+COUNTIF($M$13:OFFSET(M53,-1,0),1),-1),0)</f>
        <v>0</v>
      </c>
      <c r="G54" s="185" t="str" cm="1">
        <f t="array" aca="1" ref="G54" ca="1">IF(ACOMPANHAMENTO="BM",OFFSET(G54,-1,0),"")</f>
        <v/>
      </c>
      <c r="H54" s="196" t="str" cm="1">
        <f t="array" aca="1" ref="H54" ca="1">IF(OR(S53=0,S53=""),"vazia",IF(AND(OR(ACOMPANHAMENTO="PLE",$R53&lt;&gt;2),$F54=0),"calculada","--&gt;"))</f>
        <v>vazia</v>
      </c>
      <c r="I54" s="197"/>
      <c r="J54" s="198" t="str">
        <f t="shared" ref="J54" ca="1" si="84">IF(AND(H53&lt;&gt;0,ISNUMBER(H53)),"PREENCHA ESTA LINHA --&gt;","")</f>
        <v/>
      </c>
      <c r="K54" s="198"/>
      <c r="L54" s="198"/>
      <c r="M54" s="199"/>
      <c r="N54" s="199"/>
      <c r="O54" s="199"/>
      <c r="P54" s="199"/>
      <c r="Q54" s="199"/>
      <c r="R54" s="199"/>
      <c r="S54" s="200"/>
      <c r="T54" s="201"/>
      <c r="U54" s="587"/>
      <c r="V54" s="587"/>
      <c r="W54" s="587"/>
      <c r="X54" s="587"/>
      <c r="Y54" s="587"/>
      <c r="Z54" s="587"/>
      <c r="AA54" s="587"/>
      <c r="AB54" s="587"/>
      <c r="AC54" s="587"/>
      <c r="AD54" s="587"/>
      <c r="AE54" s="587"/>
      <c r="AF54" s="587"/>
      <c r="AG54" s="587"/>
      <c r="AH54" s="587"/>
      <c r="AI54" s="587"/>
      <c r="AJ54" s="587"/>
      <c r="AK54" s="587"/>
      <c r="AL54" s="587"/>
      <c r="AM54" s="587"/>
      <c r="AN54" s="587"/>
      <c r="AO54" s="587"/>
      <c r="AP54" s="587"/>
      <c r="AQ54" s="587"/>
      <c r="AR54" s="587"/>
      <c r="AS54" s="534"/>
    </row>
    <row r="55" spans="1:45" ht="12.75" hidden="1" customHeight="1" x14ac:dyDescent="0.2">
      <c r="D55" s="533"/>
      <c r="E55" s="202" cm="1">
        <f t="array" aca="1" ref="E55" ca="1">IF($R53=2,
         IF(AND(ACOMPANHAMENTO="PLE",ISNUMBER($F53)),
                SUMIF((OFFSET(CÁLCULO!$BS$15:$CS$15,$F53,0,OFFSET(ORÇAMENTO!$D$15,CRONO!$F53,0))),CRONO!E$12,OFFSET(CÁLCULO!$AR$15:$BR$15,$F53,0,OFFSET(ORÇAMENTO!$D$15,CRONO!$F53,0)))
                +IF(AND($F55&lt;&gt;"",$F55&lt;&gt;0),
                        SUMIF(CÁLCULO!$BS$15:$CS$244,CRONO!E$12,CÁLCULO!$AR$15:$BR$244)/(ORÇAMENTO!$X$15-CÁLCULO.TotalAdmLocal)*CRONO!$F55,
                        0),
                 E54*$S53),
          SUMIF(OFFSET($S55,1,0,$R53-2),($M53+1)&amp;"$",OFFSET(E55,1,0,$R53-2)))</f>
        <v>0</v>
      </c>
      <c r="F55" s="185">
        <f ca="1">IF(OR($R53&lt;&gt;2,AUTOEVENTO&lt;&gt;"manual",$F54&gt;0),"",
        IF(Import.TipoArredondamento="Tradicional",
              SUMIF(OFFSET(CÁLCULO!$M$15,CRONO!$F53,0,OFFSET(ORÇAMENTO!$D$15,CRONO!$F53,0)),1,OFFSET(ORÇAMENTO!$X$15,CRONO!$F53,0,OFFSET(ORÇAMENTO!$D$15,CRONO!$F53,0))),
              0))</f>
        <v>0</v>
      </c>
      <c r="H55" s="203"/>
      <c r="S55" s="204" t="str">
        <f t="shared" ref="S55" ca="1" si="85">M53&amp;"$"</f>
        <v>2$</v>
      </c>
      <c r="T55" s="205"/>
      <c r="U55" s="202" cm="1">
        <f t="array" aca="1" ref="U55" ca="1">IF($R53=2,
         IF(AND(ACOMPANHAMENTO="PLE",ISNUMBER($F53)),
                SUMIF((OFFSET(CÁLCULO!$BS$15:$CS$15,$F53,0,OFFSET(ORÇAMENTO!$D$15,CRONO!$F53,0))),CRONO!U$12,OFFSET(CÁLCULO!$AR$15:$BR$15,$F53,0,OFFSET(ORÇAMENTO!$D$15,CRONO!$F53,0)))
                +IF(AND($F55&lt;&gt;"",$F55&lt;&gt;0),
                        SUMIF(CÁLCULO!$BS$15:$CS$244,CRONO!U$12,CÁLCULO!$AR$15:$BR$244)/(ORÇAMENTO!$X$15-CÁLCULO.TotalAdmLocal)*CRONO!$F55,
                        0),
                 U54*$S53),
          SUMIF(OFFSET($S55,1,0,$R53-2),($M53+1)&amp;"$",OFFSET(U55,1,0,$R53-2)))</f>
        <v>0</v>
      </c>
      <c r="V55" s="202" cm="1">
        <f t="array" aca="1" ref="V55" ca="1">IF($R53=2,
         IF(AND(ACOMPANHAMENTO="PLE",ISNUMBER($F53)),
                SUMIF((OFFSET(CÁLCULO!$BS$15:$CS$15,$F53,0,OFFSET(ORÇAMENTO!$D$15,CRONO!$F53,0))),CRONO!V$12,OFFSET(CÁLCULO!$AR$15:$BR$15,$F53,0,OFFSET(ORÇAMENTO!$D$15,CRONO!$F53,0)))
                +IF(AND($F55&lt;&gt;"",$F55&lt;&gt;0),
                        SUMIF(CÁLCULO!$BS$15:$CS$244,CRONO!V$12,CÁLCULO!$AR$15:$BR$244)/(ORÇAMENTO!$X$15-CÁLCULO.TotalAdmLocal)*CRONO!$F55,
                        0),
                 V54*$S53),
          SUMIF(OFFSET($S55,1,0,$R53-2),($M53+1)&amp;"$",OFFSET(V55,1,0,$R53-2)))</f>
        <v>0</v>
      </c>
      <c r="W55" s="202" cm="1">
        <f t="array" aca="1" ref="W55" ca="1">IF($R53=2,
         IF(AND(ACOMPANHAMENTO="PLE",ISNUMBER($F53)),
                SUMIF((OFFSET(CÁLCULO!$BS$15:$CS$15,$F53,0,OFFSET(ORÇAMENTO!$D$15,CRONO!$F53,0))),CRONO!W$12,OFFSET(CÁLCULO!$AR$15:$BR$15,$F53,0,OFFSET(ORÇAMENTO!$D$15,CRONO!$F53,0)))
                +IF(AND($F55&lt;&gt;"",$F55&lt;&gt;0),
                        SUMIF(CÁLCULO!$BS$15:$CS$244,CRONO!W$12,CÁLCULO!$AR$15:$BR$244)/(ORÇAMENTO!$X$15-CÁLCULO.TotalAdmLocal)*CRONO!$F55,
                        0),
                 W54*$S53),
          SUMIF(OFFSET($S55,1,0,$R53-2),($M53+1)&amp;"$",OFFSET(W55,1,0,$R53-2)))</f>
        <v>0</v>
      </c>
      <c r="X55" s="202" cm="1">
        <f t="array" aca="1" ref="X55" ca="1">IF($R53=2,
         IF(AND(ACOMPANHAMENTO="PLE",ISNUMBER($F53)),
                SUMIF((OFFSET(CÁLCULO!$BS$15:$CS$15,$F53,0,OFFSET(ORÇAMENTO!$D$15,CRONO!$F53,0))),CRONO!X$12,OFFSET(CÁLCULO!$AR$15:$BR$15,$F53,0,OFFSET(ORÇAMENTO!$D$15,CRONO!$F53,0)))
                +IF(AND($F55&lt;&gt;"",$F55&lt;&gt;0),
                        SUMIF(CÁLCULO!$BS$15:$CS$244,CRONO!X$12,CÁLCULO!$AR$15:$BR$244)/(ORÇAMENTO!$X$15-CÁLCULO.TotalAdmLocal)*CRONO!$F55,
                        0),
                 X54*$S53),
          SUMIF(OFFSET($S55,1,0,$R53-2),($M53+1)&amp;"$",OFFSET(X55,1,0,$R53-2)))</f>
        <v>0</v>
      </c>
      <c r="Y55" s="202" cm="1">
        <f t="array" aca="1" ref="Y55" ca="1">IF($R53=2,
         IF(AND(ACOMPANHAMENTO="PLE",ISNUMBER($F53)),
                SUMIF((OFFSET(CÁLCULO!$BS$15:$CS$15,$F53,0,OFFSET(ORÇAMENTO!$D$15,CRONO!$F53,0))),CRONO!Y$12,OFFSET(CÁLCULO!$AR$15:$BR$15,$F53,0,OFFSET(ORÇAMENTO!$D$15,CRONO!$F53,0)))
                +IF(AND($F55&lt;&gt;"",$F55&lt;&gt;0),
                        SUMIF(CÁLCULO!$BS$15:$CS$244,CRONO!Y$12,CÁLCULO!$AR$15:$BR$244)/(ORÇAMENTO!$X$15-CÁLCULO.TotalAdmLocal)*CRONO!$F55,
                        0),
                 Y54*$S53),
          SUMIF(OFFSET($S55,1,0,$R53-2),($M53+1)&amp;"$",OFFSET(Y55,1,0,$R53-2)))</f>
        <v>0</v>
      </c>
      <c r="Z55" s="202" cm="1">
        <f t="array" aca="1" ref="Z55" ca="1">IF($R53=2,
         IF(AND(ACOMPANHAMENTO="PLE",ISNUMBER($F53)),
                SUMIF((OFFSET(CÁLCULO!$BS$15:$CS$15,$F53,0,OFFSET(ORÇAMENTO!$D$15,CRONO!$F53,0))),CRONO!Z$12,OFFSET(CÁLCULO!$AR$15:$BR$15,$F53,0,OFFSET(ORÇAMENTO!$D$15,CRONO!$F53,0)))
                +IF(AND($F55&lt;&gt;"",$F55&lt;&gt;0),
                        SUMIF(CÁLCULO!$BS$15:$CS$244,CRONO!Z$12,CÁLCULO!$AR$15:$BR$244)/(ORÇAMENTO!$X$15-CÁLCULO.TotalAdmLocal)*CRONO!$F55,
                        0),
                 Z54*$S53),
          SUMIF(OFFSET($S55,1,0,$R53-2),($M53+1)&amp;"$",OFFSET(Z55,1,0,$R53-2)))</f>
        <v>0</v>
      </c>
      <c r="AA55" s="202" cm="1">
        <f t="array" aca="1" ref="AA55" ca="1">IF($R53=2,
         IF(AND(ACOMPANHAMENTO="PLE",ISNUMBER($F53)),
                SUMIF((OFFSET(CÁLCULO!$BS$15:$CS$15,$F53,0,OFFSET(ORÇAMENTO!$D$15,CRONO!$F53,0))),CRONO!AA$12,OFFSET(CÁLCULO!$AR$15:$BR$15,$F53,0,OFFSET(ORÇAMENTO!$D$15,CRONO!$F53,0)))
                +IF(AND($F55&lt;&gt;"",$F55&lt;&gt;0),
                        SUMIF(CÁLCULO!$BS$15:$CS$244,CRONO!AA$12,CÁLCULO!$AR$15:$BR$244)/(ORÇAMENTO!$X$15-CÁLCULO.TotalAdmLocal)*CRONO!$F55,
                        0),
                 AA54*$S53),
          SUMIF(OFFSET($S55,1,0,$R53-2),($M53+1)&amp;"$",OFFSET(AA55,1,0,$R53-2)))</f>
        <v>0</v>
      </c>
      <c r="AB55" s="202" cm="1">
        <f t="array" aca="1" ref="AB55" ca="1">IF($R53=2,
         IF(AND(ACOMPANHAMENTO="PLE",ISNUMBER($F53)),
                SUMIF((OFFSET(CÁLCULO!$BS$15:$CS$15,$F53,0,OFFSET(ORÇAMENTO!$D$15,CRONO!$F53,0))),CRONO!AB$12,OFFSET(CÁLCULO!$AR$15:$BR$15,$F53,0,OFFSET(ORÇAMENTO!$D$15,CRONO!$F53,0)))
                +IF(AND($F55&lt;&gt;"",$F55&lt;&gt;0),
                        SUMIF(CÁLCULO!$BS$15:$CS$244,CRONO!AB$12,CÁLCULO!$AR$15:$BR$244)/(ORÇAMENTO!$X$15-CÁLCULO.TotalAdmLocal)*CRONO!$F55,
                        0),
                 AB54*$S53),
          SUMIF(OFFSET($S55,1,0,$R53-2),($M53+1)&amp;"$",OFFSET(AB55,1,0,$R53-2)))</f>
        <v>0</v>
      </c>
      <c r="AC55" s="202" cm="1">
        <f t="array" aca="1" ref="AC55" ca="1">IF($R53=2,
         IF(AND(ACOMPANHAMENTO="PLE",ISNUMBER($F53)),
                SUMIF((OFFSET(CÁLCULO!$BS$15:$CS$15,$F53,0,OFFSET(ORÇAMENTO!$D$15,CRONO!$F53,0))),CRONO!AC$12,OFFSET(CÁLCULO!$AR$15:$BR$15,$F53,0,OFFSET(ORÇAMENTO!$D$15,CRONO!$F53,0)))
                +IF(AND($F55&lt;&gt;"",$F55&lt;&gt;0),
                        SUMIF(CÁLCULO!$BS$15:$CS$244,CRONO!AC$12,CÁLCULO!$AR$15:$BR$244)/(ORÇAMENTO!$X$15-CÁLCULO.TotalAdmLocal)*CRONO!$F55,
                        0),
                 AC54*$S53),
          SUMIF(OFFSET($S55,1,0,$R53-2),($M53+1)&amp;"$",OFFSET(AC55,1,0,$R53-2)))</f>
        <v>0</v>
      </c>
      <c r="AD55" s="202" cm="1">
        <f t="array" aca="1" ref="AD55" ca="1">IF($R53=2,
         IF(AND(ACOMPANHAMENTO="PLE",ISNUMBER($F53)),
                SUMIF((OFFSET(CÁLCULO!$BS$15:$CS$15,$F53,0,OFFSET(ORÇAMENTO!$D$15,CRONO!$F53,0))),CRONO!AD$12,OFFSET(CÁLCULO!$AR$15:$BR$15,$F53,0,OFFSET(ORÇAMENTO!$D$15,CRONO!$F53,0)))
                +IF(AND($F55&lt;&gt;"",$F55&lt;&gt;0),
                        SUMIF(CÁLCULO!$BS$15:$CS$244,CRONO!AD$12,CÁLCULO!$AR$15:$BR$244)/(ORÇAMENTO!$X$15-CÁLCULO.TotalAdmLocal)*CRONO!$F55,
                        0),
                 AD54*$S53),
          SUMIF(OFFSET($S55,1,0,$R53-2),($M53+1)&amp;"$",OFFSET(AD55,1,0,$R53-2)))</f>
        <v>0</v>
      </c>
      <c r="AE55" s="202" cm="1">
        <f t="array" aca="1" ref="AE55" ca="1">IF($R53=2,
         IF(AND(ACOMPANHAMENTO="PLE",ISNUMBER($F53)),
                SUMIF((OFFSET(CÁLCULO!$BS$15:$CS$15,$F53,0,OFFSET(ORÇAMENTO!$D$15,CRONO!$F53,0))),CRONO!AE$12,OFFSET(CÁLCULO!$AR$15:$BR$15,$F53,0,OFFSET(ORÇAMENTO!$D$15,CRONO!$F53,0)))
                +IF(AND($F55&lt;&gt;"",$F55&lt;&gt;0),
                        SUMIF(CÁLCULO!$BS$15:$CS$244,CRONO!AE$12,CÁLCULO!$AR$15:$BR$244)/(ORÇAMENTO!$X$15-CÁLCULO.TotalAdmLocal)*CRONO!$F55,
                        0),
                 AE54*$S53),
          SUMIF(OFFSET($S55,1,0,$R53-2),($M53+1)&amp;"$",OFFSET(AE55,1,0,$R53-2)))</f>
        <v>0</v>
      </c>
      <c r="AF55" s="202" cm="1">
        <f t="array" aca="1" ref="AF55" ca="1">IF($R53=2,
         IF(AND(ACOMPANHAMENTO="PLE",ISNUMBER($F53)),
                SUMIF((OFFSET(CÁLCULO!$BS$15:$CS$15,$F53,0,OFFSET(ORÇAMENTO!$D$15,CRONO!$F53,0))),CRONO!AF$12,OFFSET(CÁLCULO!$AR$15:$BR$15,$F53,0,OFFSET(ORÇAMENTO!$D$15,CRONO!$F53,0)))
                +IF(AND($F55&lt;&gt;"",$F55&lt;&gt;0),
                        SUMIF(CÁLCULO!$BS$15:$CS$244,CRONO!AF$12,CÁLCULO!$AR$15:$BR$244)/(ORÇAMENTO!$X$15-CÁLCULO.TotalAdmLocal)*CRONO!$F55,
                        0),
                 AF54*$S53),
          SUMIF(OFFSET($S55,1,0,$R53-2),($M53+1)&amp;"$",OFFSET(AF55,1,0,$R53-2)))</f>
        <v>0</v>
      </c>
      <c r="AG55" s="202" cm="1">
        <f t="array" aca="1" ref="AG55" ca="1">IF($R53=2,
         IF(AND(ACOMPANHAMENTO="PLE",ISNUMBER($F53)),
                SUMIF((OFFSET(CÁLCULO!$BS$15:$CS$15,$F53,0,OFFSET(ORÇAMENTO!$D$15,CRONO!$F53,0))),CRONO!AG$12,OFFSET(CÁLCULO!$AR$15:$BR$15,$F53,0,OFFSET(ORÇAMENTO!$D$15,CRONO!$F53,0)))
                +IF(AND($F55&lt;&gt;"",$F55&lt;&gt;0),
                        SUMIF(CÁLCULO!$BS$15:$CS$244,CRONO!AG$12,CÁLCULO!$AR$15:$BR$244)/(ORÇAMENTO!$X$15-CÁLCULO.TotalAdmLocal)*CRONO!$F55,
                        0),
                 AG54*$S53),
          SUMIF(OFFSET($S55,1,0,$R53-2),($M53+1)&amp;"$",OFFSET(AG55,1,0,$R53-2)))</f>
        <v>0</v>
      </c>
      <c r="AH55" s="202" cm="1">
        <f t="array" aca="1" ref="AH55" ca="1">IF($R53=2,
         IF(AND(ACOMPANHAMENTO="PLE",ISNUMBER($F53)),
                SUMIF((OFFSET(CÁLCULO!$BS$15:$CS$15,$F53,0,OFFSET(ORÇAMENTO!$D$15,CRONO!$F53,0))),CRONO!AH$12,OFFSET(CÁLCULO!$AR$15:$BR$15,$F53,0,OFFSET(ORÇAMENTO!$D$15,CRONO!$F53,0)))
                +IF(AND($F55&lt;&gt;"",$F55&lt;&gt;0),
                        SUMIF(CÁLCULO!$BS$15:$CS$244,CRONO!AH$12,CÁLCULO!$AR$15:$BR$244)/(ORÇAMENTO!$X$15-CÁLCULO.TotalAdmLocal)*CRONO!$F55,
                        0),
                 AH54*$S53),
          SUMIF(OFFSET($S55,1,0,$R53-2),($M53+1)&amp;"$",OFFSET(AH55,1,0,$R53-2)))</f>
        <v>0</v>
      </c>
      <c r="AI55" s="202" cm="1">
        <f t="array" aca="1" ref="AI55" ca="1">IF($R53=2,
         IF(AND(ACOMPANHAMENTO="PLE",ISNUMBER($F53)),
                SUMIF((OFFSET(CÁLCULO!$BS$15:$CS$15,$F53,0,OFFSET(ORÇAMENTO!$D$15,CRONO!$F53,0))),CRONO!AI$12,OFFSET(CÁLCULO!$AR$15:$BR$15,$F53,0,OFFSET(ORÇAMENTO!$D$15,CRONO!$F53,0)))
                +IF(AND($F55&lt;&gt;"",$F55&lt;&gt;0),
                        SUMIF(CÁLCULO!$BS$15:$CS$244,CRONO!AI$12,CÁLCULO!$AR$15:$BR$244)/(ORÇAMENTO!$X$15-CÁLCULO.TotalAdmLocal)*CRONO!$F55,
                        0),
                 AI54*$S53),
          SUMIF(OFFSET($S55,1,0,$R53-2),($M53+1)&amp;"$",OFFSET(AI55,1,0,$R53-2)))</f>
        <v>0</v>
      </c>
      <c r="AJ55" s="202" cm="1">
        <f t="array" aca="1" ref="AJ55" ca="1">IF($R53=2,
         IF(AND(ACOMPANHAMENTO="PLE",ISNUMBER($F53)),
                SUMIF((OFFSET(CÁLCULO!$BS$15:$CS$15,$F53,0,OFFSET(ORÇAMENTO!$D$15,CRONO!$F53,0))),CRONO!AJ$12,OFFSET(CÁLCULO!$AR$15:$BR$15,$F53,0,OFFSET(ORÇAMENTO!$D$15,CRONO!$F53,0)))
                +IF(AND($F55&lt;&gt;"",$F55&lt;&gt;0),
                        SUMIF(CÁLCULO!$BS$15:$CS$244,CRONO!AJ$12,CÁLCULO!$AR$15:$BR$244)/(ORÇAMENTO!$X$15-CÁLCULO.TotalAdmLocal)*CRONO!$F55,
                        0),
                 AJ54*$S53),
          SUMIF(OFFSET($S55,1,0,$R53-2),($M53+1)&amp;"$",OFFSET(AJ55,1,0,$R53-2)))</f>
        <v>0</v>
      </c>
      <c r="AK55" s="202" cm="1">
        <f t="array" aca="1" ref="AK55" ca="1">IF($R53=2,
         IF(AND(ACOMPANHAMENTO="PLE",ISNUMBER($F53)),
                SUMIF((OFFSET(CÁLCULO!$BS$15:$CS$15,$F53,0,OFFSET(ORÇAMENTO!$D$15,CRONO!$F53,0))),CRONO!AK$12,OFFSET(CÁLCULO!$AR$15:$BR$15,$F53,0,OFFSET(ORÇAMENTO!$D$15,CRONO!$F53,0)))
                +IF(AND($F55&lt;&gt;"",$F55&lt;&gt;0),
                        SUMIF(CÁLCULO!$BS$15:$CS$244,CRONO!AK$12,CÁLCULO!$AR$15:$BR$244)/(ORÇAMENTO!$X$15-CÁLCULO.TotalAdmLocal)*CRONO!$F55,
                        0),
                 AK54*$S53),
          SUMIF(OFFSET($S55,1,0,$R53-2),($M53+1)&amp;"$",OFFSET(AK55,1,0,$R53-2)))</f>
        <v>0</v>
      </c>
      <c r="AL55" s="202" cm="1">
        <f t="array" aca="1" ref="AL55" ca="1">IF($R53=2,
         IF(AND(ACOMPANHAMENTO="PLE",ISNUMBER($F53)),
                SUMIF((OFFSET(CÁLCULO!$BS$15:$CS$15,$F53,0,OFFSET(ORÇAMENTO!$D$15,CRONO!$F53,0))),CRONO!AL$12,OFFSET(CÁLCULO!$AR$15:$BR$15,$F53,0,OFFSET(ORÇAMENTO!$D$15,CRONO!$F53,0)))
                +IF(AND($F55&lt;&gt;"",$F55&lt;&gt;0),
                        SUMIF(CÁLCULO!$BS$15:$CS$244,CRONO!AL$12,CÁLCULO!$AR$15:$BR$244)/(ORÇAMENTO!$X$15-CÁLCULO.TotalAdmLocal)*CRONO!$F55,
                        0),
                 AL54*$S53),
          SUMIF(OFFSET($S55,1,0,$R53-2),($M53+1)&amp;"$",OFFSET(AL55,1,0,$R53-2)))</f>
        <v>0</v>
      </c>
      <c r="AM55" s="202" cm="1">
        <f t="array" aca="1" ref="AM55" ca="1">IF($R53=2,
         IF(AND(ACOMPANHAMENTO="PLE",ISNUMBER($F53)),
                SUMIF((OFFSET(CÁLCULO!$BS$15:$CS$15,$F53,0,OFFSET(ORÇAMENTO!$D$15,CRONO!$F53,0))),CRONO!AM$12,OFFSET(CÁLCULO!$AR$15:$BR$15,$F53,0,OFFSET(ORÇAMENTO!$D$15,CRONO!$F53,0)))
                +IF(AND($F55&lt;&gt;"",$F55&lt;&gt;0),
                        SUMIF(CÁLCULO!$BS$15:$CS$244,CRONO!AM$12,CÁLCULO!$AR$15:$BR$244)/(ORÇAMENTO!$X$15-CÁLCULO.TotalAdmLocal)*CRONO!$F55,
                        0),
                 AM54*$S53),
          SUMIF(OFFSET($S55,1,0,$R53-2),($M53+1)&amp;"$",OFFSET(AM55,1,0,$R53-2)))</f>
        <v>0</v>
      </c>
      <c r="AN55" s="202" cm="1">
        <f t="array" aca="1" ref="AN55" ca="1">IF($R53=2,
         IF(AND(ACOMPANHAMENTO="PLE",ISNUMBER($F53)),
                SUMIF((OFFSET(CÁLCULO!$BS$15:$CS$15,$F53,0,OFFSET(ORÇAMENTO!$D$15,CRONO!$F53,0))),CRONO!AN$12,OFFSET(CÁLCULO!$AR$15:$BR$15,$F53,0,OFFSET(ORÇAMENTO!$D$15,CRONO!$F53,0)))
                +IF(AND($F55&lt;&gt;"",$F55&lt;&gt;0),
                        SUMIF(CÁLCULO!$BS$15:$CS$244,CRONO!AN$12,CÁLCULO!$AR$15:$BR$244)/(ORÇAMENTO!$X$15-CÁLCULO.TotalAdmLocal)*CRONO!$F55,
                        0),
                 AN54*$S53),
          SUMIF(OFFSET($S55,1,0,$R53-2),($M53+1)&amp;"$",OFFSET(AN55,1,0,$R53-2)))</f>
        <v>0</v>
      </c>
      <c r="AO55" s="202" cm="1">
        <f t="array" aca="1" ref="AO55" ca="1">IF($R53=2,
         IF(AND(ACOMPANHAMENTO="PLE",ISNUMBER($F53)),
                SUMIF((OFFSET(CÁLCULO!$BS$15:$CS$15,$F53,0,OFFSET(ORÇAMENTO!$D$15,CRONO!$F53,0))),CRONO!AO$12,OFFSET(CÁLCULO!$AR$15:$BR$15,$F53,0,OFFSET(ORÇAMENTO!$D$15,CRONO!$F53,0)))
                +IF(AND($F55&lt;&gt;"",$F55&lt;&gt;0),
                        SUMIF(CÁLCULO!$BS$15:$CS$244,CRONO!AO$12,CÁLCULO!$AR$15:$BR$244)/(ORÇAMENTO!$X$15-CÁLCULO.TotalAdmLocal)*CRONO!$F55,
                        0),
                 AO54*$S53),
          SUMIF(OFFSET($S55,1,0,$R53-2),($M53+1)&amp;"$",OFFSET(AO55,1,0,$R53-2)))</f>
        <v>0</v>
      </c>
      <c r="AP55" s="202" cm="1">
        <f t="array" aca="1" ref="AP55" ca="1">IF($R53=2,
         IF(AND(ACOMPANHAMENTO="PLE",ISNUMBER($F53)),
                SUMIF((OFFSET(CÁLCULO!$BS$15:$CS$15,$F53,0,OFFSET(ORÇAMENTO!$D$15,CRONO!$F53,0))),CRONO!AP$12,OFFSET(CÁLCULO!$AR$15:$BR$15,$F53,0,OFFSET(ORÇAMENTO!$D$15,CRONO!$F53,0)))
                +IF(AND($F55&lt;&gt;"",$F55&lt;&gt;0),
                        SUMIF(CÁLCULO!$BS$15:$CS$244,CRONO!AP$12,CÁLCULO!$AR$15:$BR$244)/(ORÇAMENTO!$X$15-CÁLCULO.TotalAdmLocal)*CRONO!$F55,
                        0),
                 AP54*$S53),
          SUMIF(OFFSET($S55,1,0,$R53-2),($M53+1)&amp;"$",OFFSET(AP55,1,0,$R53-2)))</f>
        <v>0</v>
      </c>
      <c r="AQ55" s="202" cm="1">
        <f t="array" aca="1" ref="AQ55" ca="1">IF($R53=2,
         IF(AND(ACOMPANHAMENTO="PLE",ISNUMBER($F53)),
                SUMIF((OFFSET(CÁLCULO!$BS$15:$CS$15,$F53,0,OFFSET(ORÇAMENTO!$D$15,CRONO!$F53,0))),CRONO!AQ$12,OFFSET(CÁLCULO!$AR$15:$BR$15,$F53,0,OFFSET(ORÇAMENTO!$D$15,CRONO!$F53,0)))
                +IF(AND($F55&lt;&gt;"",$F55&lt;&gt;0),
                        SUMIF(CÁLCULO!$BS$15:$CS$244,CRONO!AQ$12,CÁLCULO!$AR$15:$BR$244)/(ORÇAMENTO!$X$15-CÁLCULO.TotalAdmLocal)*CRONO!$F55,
                        0),
                 AQ54*$S53),
          SUMIF(OFFSET($S55,1,0,$R53-2),($M53+1)&amp;"$",OFFSET(AQ55,1,0,$R53-2)))</f>
        <v>0</v>
      </c>
      <c r="AR55" s="202" cm="1">
        <f t="array" aca="1" ref="AR55" ca="1">IF($R53=2,
         IF(AND(ACOMPANHAMENTO="PLE",ISNUMBER($F53)),
                SUMIF((OFFSET(CÁLCULO!$BS$15:$CS$15,$F53,0,OFFSET(ORÇAMENTO!$D$15,CRONO!$F53,0))),CRONO!AR$12,OFFSET(CÁLCULO!$AR$15:$BR$15,$F53,0,OFFSET(ORÇAMENTO!$D$15,CRONO!$F53,0)))
                +IF(AND($F55&lt;&gt;"",$F55&lt;&gt;0),
                        SUMIF(CÁLCULO!$BS$15:$CS$244,CRONO!AR$12,CÁLCULO!$AR$15:$BR$244)/(ORÇAMENTO!$X$15-CÁLCULO.TotalAdmLocal)*CRONO!$F55,
                        0),
                 AR54*$S53),
          SUMIF(OFFSET($S55,1,0,$R53-2),($M53+1)&amp;"$",OFFSET(AR55,1,0,$R53-2)))</f>
        <v>0</v>
      </c>
      <c r="AS55" s="534"/>
    </row>
    <row r="56" spans="1:45" x14ac:dyDescent="0.2">
      <c r="A56" s="186" t="e">
        <f t="shared" ref="A56" ca="1" si="86">IF($M56&gt;1,_xlfn.CONCAT($I56," ",$J56),"")</f>
        <v>#NAME?</v>
      </c>
      <c r="B56" s="185">
        <f t="shared" ref="B56" ca="1" si="87">OFFSET(B56,-3,0)+1</f>
        <v>15</v>
      </c>
      <c r="C56" s="185">
        <f ca="1">IF($R56&lt;&gt;2,0,IF($S56=0,1,IF(F57&gt;0,OFFSET(QCI!$M$13,SUBSTITUTE(F57,".",""),0),OFFSET(ORÇAMENTO!$AA$15,CRONO!$F56,0))/$S56))</f>
        <v>1</v>
      </c>
      <c r="D56" s="185">
        <f ca="1">IF($R56&lt;&gt;2,0,IF($S56=0,1,IF(F57&gt;0,OFFSET(QCI!$N$13,SUBSTITUTE(F57,".",""),0),OFFSET(ORÇAMENTO!$AB$15,CRONO!$F56,0))/$S56))</f>
        <v>1</v>
      </c>
      <c r="E56" s="188" t="e" cm="1">
        <f t="array" aca="1" ref="E56" ca="1">IF(AND($R56=2,ACOMPANHAMENTO="BM"),ROUND(E57,4),E58/$S56)</f>
        <v>#DIV/0!</v>
      </c>
      <c r="F56" s="185" cm="1">
        <f t="array" aca="1" ref="F56" ca="1">IF(B56&lt;=ORÇAMENTO.MáximoListaCrono,MATCH(B56,ORÇAMENTO.ListaCrono,0),NA())</f>
        <v>58</v>
      </c>
      <c r="G56" s="185" t="str">
        <f t="shared" ref="G56" ca="1" si="88">IF(AND($F57&lt;&gt;-1,$S56&gt;0),"F","")</f>
        <v/>
      </c>
      <c r="H56" s="189" t="str" cm="1">
        <f t="array" aca="1" ref="H56" ca="1">IF(OR(S56=0,S56=""),"Linha",IF(AND(OR(ACOMPANHAMENTO="PLE",$R56&lt;&gt;2),$F57=0),"Linha",ROUND(1-SUM(U56:AS56),4)))</f>
        <v>Linha</v>
      </c>
      <c r="I56" s="190" t="str">
        <f ca="1">IF($F57=0,OFFSET(ORÇAMENTO!O$15,$F56,0),IF($F57&lt;&gt;-1,OFFSET(QCI!$D$13,$F57,0),""))</f>
        <v>5.3.</v>
      </c>
      <c r="J56" s="191" t="str">
        <f ca="1">IF($F57=0,OFFSET(ORÇAMENTO!R$15,$F56,0),IF($F57&lt;&gt;-1,OFFSET(QCI!$G$13,$F57,0),""))</f>
        <v>ESQUADRIAS DE MADEIRAS</v>
      </c>
      <c r="K56" s="191"/>
      <c r="L56" s="191"/>
      <c r="M56" s="192">
        <f ca="1">IF($F57=0,OFFSET(ORÇAMENTO!C$15,$F56,0),1)</f>
        <v>2</v>
      </c>
      <c r="N56" s="193">
        <f ca="1">IF($F57=-1,0,IF(N$13&lt;=$M56,IF(ISERROR(MATCH(N$13,OFFSET($M56,1,0,ROW($M$164)-ROW($M56)-1),0)),ROW($M$164)-ROW($M56)-1,MATCH(N$13,OFFSET($M56,1,0,ROW($M$164)-ROW($M56)-1),0)-1),0))</f>
        <v>2</v>
      </c>
      <c r="O56" s="193">
        <f ca="1">IF($F57=-1,0,IF(O$13&lt;=$M56,IF(ISERROR(MATCH(O$13,OFFSET($M56,1,0,ROW($M$164)-ROW($M56)-1),0)),ROW($M$164)-ROW($M56)-1,MATCH(O$13,OFFSET($M56,1,0,ROW($M$164)-ROW($M56)-1),0)-1),0))</f>
        <v>5</v>
      </c>
      <c r="P56" s="193">
        <f ca="1">IF($F57=-1,0,IF(P$13&lt;=$M56,IF(ISERROR(MATCH(P$13,OFFSET($M56,1,0,ROW($M$164)-ROW($M56)-1),0)),ROW($M$164)-ROW($M56)-1,MATCH(P$13,OFFSET($M56,1,0,ROW($M$164)-ROW($M56)-1),0)-1),0))</f>
        <v>0</v>
      </c>
      <c r="Q56" s="193">
        <f ca="1">IF($F57=-1,0,IF(Q$13&lt;=$M56,IF(ISERROR(MATCH(Q$13,OFFSET($M56,1,0,ROW($M$164)-ROW($M56)-1),0)),ROW($M$164)-ROW($M56)-1,MATCH(Q$13,OFFSET($M56,1,0,ROW($M$164)-ROW($M56)-1),0)-1),0))</f>
        <v>0</v>
      </c>
      <c r="R56" s="193">
        <f t="shared" ref="R56" ca="1" si="89">MIN(OFFSET(M56,0,1,,M56))</f>
        <v>2</v>
      </c>
      <c r="S56" s="194">
        <f ca="1">IF($F57=0,OFFSET(ORÇAMENTO!X$15,$F56,0),IF($F57&lt;&gt;-1,OFFSET(QCI!$O$13,$F57,0),""))</f>
        <v>0</v>
      </c>
      <c r="T56" s="195" t="s">
        <v>785</v>
      </c>
      <c r="U56" s="188" t="e" cm="1">
        <f t="array" aca="1" ref="U56" ca="1">IF(AND($R56=2,ACOMPANHAMENTO="BM"),ROUND(U57,4),U58/$S56)</f>
        <v>#DIV/0!</v>
      </c>
      <c r="V56" s="188" t="e" cm="1">
        <f t="array" aca="1" ref="V56" ca="1">IF(AND($R56=2,ACOMPANHAMENTO="BM"),ROUND(V57,4),V58/$S56)</f>
        <v>#DIV/0!</v>
      </c>
      <c r="W56" s="188" t="e" cm="1">
        <f t="array" aca="1" ref="W56" ca="1">IF(AND($R56=2,ACOMPANHAMENTO="BM"),ROUND(W57,4),W58/$S56)</f>
        <v>#DIV/0!</v>
      </c>
      <c r="X56" s="188" t="e" cm="1">
        <f t="array" aca="1" ref="X56" ca="1">IF(AND($R56=2,ACOMPANHAMENTO="BM"),ROUND(X57,4),X58/$S56)</f>
        <v>#DIV/0!</v>
      </c>
      <c r="Y56" s="188" t="e" cm="1">
        <f t="array" aca="1" ref="Y56" ca="1">IF(AND($R56=2,ACOMPANHAMENTO="BM"),ROUND(Y57,4),Y58/$S56)</f>
        <v>#DIV/0!</v>
      </c>
      <c r="Z56" s="188" t="e" cm="1">
        <f t="array" aca="1" ref="Z56" ca="1">IF(AND($R56=2,ACOMPANHAMENTO="BM"),ROUND(Z57,4),Z58/$S56)</f>
        <v>#DIV/0!</v>
      </c>
      <c r="AA56" s="188" t="e" cm="1">
        <f t="array" aca="1" ref="AA56" ca="1">IF(AND($R56=2,ACOMPANHAMENTO="BM"),ROUND(AA57,4),AA58/$S56)</f>
        <v>#DIV/0!</v>
      </c>
      <c r="AB56" s="188" t="e" cm="1">
        <f t="array" aca="1" ref="AB56" ca="1">IF(AND($R56=2,ACOMPANHAMENTO="BM"),ROUND(AB57,4),AB58/$S56)</f>
        <v>#DIV/0!</v>
      </c>
      <c r="AC56" s="188" t="e" cm="1">
        <f t="array" aca="1" ref="AC56" ca="1">IF(AND($R56=2,ACOMPANHAMENTO="BM"),ROUND(AC57,4),AC58/$S56)</f>
        <v>#DIV/0!</v>
      </c>
      <c r="AD56" s="188" t="e" cm="1">
        <f t="array" aca="1" ref="AD56" ca="1">IF(AND($R56=2,ACOMPANHAMENTO="BM"),ROUND(AD57,4),AD58/$S56)</f>
        <v>#DIV/0!</v>
      </c>
      <c r="AE56" s="188" t="e" cm="1">
        <f t="array" aca="1" ref="AE56" ca="1">IF(AND($R56=2,ACOMPANHAMENTO="BM"),ROUND(AE57,4),AE58/$S56)</f>
        <v>#DIV/0!</v>
      </c>
      <c r="AF56" s="188" t="e" cm="1">
        <f t="array" aca="1" ref="AF56" ca="1">IF(AND($R56=2,ACOMPANHAMENTO="BM"),ROUND(AF57,4),AF58/$S56)</f>
        <v>#DIV/0!</v>
      </c>
      <c r="AG56" s="188" t="e" cm="1">
        <f t="array" aca="1" ref="AG56" ca="1">IF(AND($R56=2,ACOMPANHAMENTO="BM"),ROUND(AG57,4),AG58/$S56)</f>
        <v>#DIV/0!</v>
      </c>
      <c r="AH56" s="188" t="e" cm="1">
        <f t="array" aca="1" ref="AH56" ca="1">IF(AND($R56=2,ACOMPANHAMENTO="BM"),ROUND(AH57,4),AH58/$S56)</f>
        <v>#DIV/0!</v>
      </c>
      <c r="AI56" s="188" t="e" cm="1">
        <f t="array" aca="1" ref="AI56" ca="1">IF(AND($R56=2,ACOMPANHAMENTO="BM"),ROUND(AI57,4),AI58/$S56)</f>
        <v>#DIV/0!</v>
      </c>
      <c r="AJ56" s="188" t="e" cm="1">
        <f t="array" aca="1" ref="AJ56" ca="1">IF(AND($R56=2,ACOMPANHAMENTO="BM"),ROUND(AJ57,4),AJ58/$S56)</f>
        <v>#DIV/0!</v>
      </c>
      <c r="AK56" s="188" t="e" cm="1">
        <f t="array" aca="1" ref="AK56" ca="1">IF(AND($R56=2,ACOMPANHAMENTO="BM"),ROUND(AK57,4),AK58/$S56)</f>
        <v>#DIV/0!</v>
      </c>
      <c r="AL56" s="188" t="e" cm="1">
        <f t="array" aca="1" ref="AL56" ca="1">IF(AND($R56=2,ACOMPANHAMENTO="BM"),ROUND(AL57,4),AL58/$S56)</f>
        <v>#DIV/0!</v>
      </c>
      <c r="AM56" s="188" t="e" cm="1">
        <f t="array" aca="1" ref="AM56" ca="1">IF(AND($R56=2,ACOMPANHAMENTO="BM"),ROUND(AM57,4),AM58/$S56)</f>
        <v>#DIV/0!</v>
      </c>
      <c r="AN56" s="188" t="e" cm="1">
        <f t="array" aca="1" ref="AN56" ca="1">IF(AND($R56=2,ACOMPANHAMENTO="BM"),ROUND(AN57,4),AN58/$S56)</f>
        <v>#DIV/0!</v>
      </c>
      <c r="AO56" s="188" t="e" cm="1">
        <f t="array" aca="1" ref="AO56" ca="1">IF(AND($R56=2,ACOMPANHAMENTO="BM"),ROUND(AO57,4),AO58/$S56)</f>
        <v>#DIV/0!</v>
      </c>
      <c r="AP56" s="188" t="e" cm="1">
        <f t="array" aca="1" ref="AP56" ca="1">IF(AND($R56=2,ACOMPANHAMENTO="BM"),ROUND(AP57,4),AP58/$S56)</f>
        <v>#DIV/0!</v>
      </c>
      <c r="AQ56" s="188" t="e" cm="1">
        <f t="array" aca="1" ref="AQ56" ca="1">IF(AND($R56=2,ACOMPANHAMENTO="BM"),ROUND(AQ57,4),AQ58/$S56)</f>
        <v>#DIV/0!</v>
      </c>
      <c r="AR56" s="188" t="e" cm="1">
        <f t="array" aca="1" ref="AR56" ca="1">IF(AND($R56=2,ACOMPANHAMENTO="BM"),ROUND(AR57,4),AR58/$S56)</f>
        <v>#DIV/0!</v>
      </c>
      <c r="AS56" s="534"/>
    </row>
    <row r="57" spans="1:45" ht="12.75" hidden="1" customHeight="1" x14ac:dyDescent="0.2">
      <c r="E57" s="587"/>
      <c r="F57" s="185">
        <f ca="1">IF(ISERROR(F56),IF(1+COUNTIF($M$13:OFFSET(M56,-1,0),1)&lt;=MAX(QCI!$D$13:$D$24),1+COUNTIF($M$13:OFFSET(M56,-1,0),1),-1),0)</f>
        <v>0</v>
      </c>
      <c r="G57" s="185" t="str" cm="1">
        <f t="array" aca="1" ref="G57" ca="1">IF(ACOMPANHAMENTO="BM",OFFSET(G57,-1,0),"")</f>
        <v/>
      </c>
      <c r="H57" s="196" t="str" cm="1">
        <f t="array" aca="1" ref="H57" ca="1">IF(OR(S56=0,S56=""),"vazia",IF(AND(OR(ACOMPANHAMENTO="PLE",$R56&lt;&gt;2),$F57=0),"calculada","--&gt;"))</f>
        <v>vazia</v>
      </c>
      <c r="I57" s="197"/>
      <c r="J57" s="198" t="str">
        <f t="shared" ref="J57" ca="1" si="90">IF(AND(H56&lt;&gt;0,ISNUMBER(H56)),"PREENCHA ESTA LINHA --&gt;","")</f>
        <v/>
      </c>
      <c r="K57" s="198"/>
      <c r="L57" s="198"/>
      <c r="M57" s="199"/>
      <c r="N57" s="199"/>
      <c r="O57" s="199"/>
      <c r="P57" s="199"/>
      <c r="Q57" s="199"/>
      <c r="R57" s="199"/>
      <c r="S57" s="200"/>
      <c r="T57" s="201"/>
      <c r="U57" s="587"/>
      <c r="V57" s="587"/>
      <c r="W57" s="587"/>
      <c r="X57" s="587"/>
      <c r="Y57" s="587"/>
      <c r="Z57" s="587"/>
      <c r="AA57" s="587"/>
      <c r="AB57" s="587"/>
      <c r="AC57" s="587"/>
      <c r="AD57" s="587"/>
      <c r="AE57" s="587"/>
      <c r="AF57" s="587"/>
      <c r="AG57" s="587"/>
      <c r="AH57" s="587"/>
      <c r="AI57" s="587"/>
      <c r="AJ57" s="587"/>
      <c r="AK57" s="587"/>
      <c r="AL57" s="587"/>
      <c r="AM57" s="587"/>
      <c r="AN57" s="587"/>
      <c r="AO57" s="587"/>
      <c r="AP57" s="587"/>
      <c r="AQ57" s="587"/>
      <c r="AR57" s="587"/>
      <c r="AS57" s="534"/>
    </row>
    <row r="58" spans="1:45" ht="12.75" hidden="1" customHeight="1" x14ac:dyDescent="0.2">
      <c r="D58" s="533"/>
      <c r="E58" s="202" cm="1">
        <f t="array" aca="1" ref="E58" ca="1">IF($R56=2,
         IF(AND(ACOMPANHAMENTO="PLE",ISNUMBER($F56)),
                SUMIF((OFFSET(CÁLCULO!$BS$15:$CS$15,$F56,0,OFFSET(ORÇAMENTO!$D$15,CRONO!$F56,0))),CRONO!E$12,OFFSET(CÁLCULO!$AR$15:$BR$15,$F56,0,OFFSET(ORÇAMENTO!$D$15,CRONO!$F56,0)))
                +IF(AND($F58&lt;&gt;"",$F58&lt;&gt;0),
                        SUMIF(CÁLCULO!$BS$15:$CS$244,CRONO!E$12,CÁLCULO!$AR$15:$BR$244)/(ORÇAMENTO!$X$15-CÁLCULO.TotalAdmLocal)*CRONO!$F58,
                        0),
                 E57*$S56),
          SUMIF(OFFSET($S58,1,0,$R56-2),($M56+1)&amp;"$",OFFSET(E58,1,0,$R56-2)))</f>
        <v>0</v>
      </c>
      <c r="F58" s="185">
        <f ca="1">IF(OR($R56&lt;&gt;2,AUTOEVENTO&lt;&gt;"manual",$F57&gt;0),"",
        IF(Import.TipoArredondamento="Tradicional",
              SUMIF(OFFSET(CÁLCULO!$M$15,CRONO!$F56,0,OFFSET(ORÇAMENTO!$D$15,CRONO!$F56,0)),1,OFFSET(ORÇAMENTO!$X$15,CRONO!$F56,0,OFFSET(ORÇAMENTO!$D$15,CRONO!$F56,0))),
              0))</f>
        <v>0</v>
      </c>
      <c r="H58" s="203"/>
      <c r="S58" s="204" t="str">
        <f t="shared" ref="S58" ca="1" si="91">M56&amp;"$"</f>
        <v>2$</v>
      </c>
      <c r="T58" s="205"/>
      <c r="U58" s="202" cm="1">
        <f t="array" aca="1" ref="U58" ca="1">IF($R56=2,
         IF(AND(ACOMPANHAMENTO="PLE",ISNUMBER($F56)),
                SUMIF((OFFSET(CÁLCULO!$BS$15:$CS$15,$F56,0,OFFSET(ORÇAMENTO!$D$15,CRONO!$F56,0))),CRONO!U$12,OFFSET(CÁLCULO!$AR$15:$BR$15,$F56,0,OFFSET(ORÇAMENTO!$D$15,CRONO!$F56,0)))
                +IF(AND($F58&lt;&gt;"",$F58&lt;&gt;0),
                        SUMIF(CÁLCULO!$BS$15:$CS$244,CRONO!U$12,CÁLCULO!$AR$15:$BR$244)/(ORÇAMENTO!$X$15-CÁLCULO.TotalAdmLocal)*CRONO!$F58,
                        0),
                 U57*$S56),
          SUMIF(OFFSET($S58,1,0,$R56-2),($M56+1)&amp;"$",OFFSET(U58,1,0,$R56-2)))</f>
        <v>0</v>
      </c>
      <c r="V58" s="202" cm="1">
        <f t="array" aca="1" ref="V58" ca="1">IF($R56=2,
         IF(AND(ACOMPANHAMENTO="PLE",ISNUMBER($F56)),
                SUMIF((OFFSET(CÁLCULO!$BS$15:$CS$15,$F56,0,OFFSET(ORÇAMENTO!$D$15,CRONO!$F56,0))),CRONO!V$12,OFFSET(CÁLCULO!$AR$15:$BR$15,$F56,0,OFFSET(ORÇAMENTO!$D$15,CRONO!$F56,0)))
                +IF(AND($F58&lt;&gt;"",$F58&lt;&gt;0),
                        SUMIF(CÁLCULO!$BS$15:$CS$244,CRONO!V$12,CÁLCULO!$AR$15:$BR$244)/(ORÇAMENTO!$X$15-CÁLCULO.TotalAdmLocal)*CRONO!$F58,
                        0),
                 V57*$S56),
          SUMIF(OFFSET($S58,1,0,$R56-2),($M56+1)&amp;"$",OFFSET(V58,1,0,$R56-2)))</f>
        <v>0</v>
      </c>
      <c r="W58" s="202" cm="1">
        <f t="array" aca="1" ref="W58" ca="1">IF($R56=2,
         IF(AND(ACOMPANHAMENTO="PLE",ISNUMBER($F56)),
                SUMIF((OFFSET(CÁLCULO!$BS$15:$CS$15,$F56,0,OFFSET(ORÇAMENTO!$D$15,CRONO!$F56,0))),CRONO!W$12,OFFSET(CÁLCULO!$AR$15:$BR$15,$F56,0,OFFSET(ORÇAMENTO!$D$15,CRONO!$F56,0)))
                +IF(AND($F58&lt;&gt;"",$F58&lt;&gt;0),
                        SUMIF(CÁLCULO!$BS$15:$CS$244,CRONO!W$12,CÁLCULO!$AR$15:$BR$244)/(ORÇAMENTO!$X$15-CÁLCULO.TotalAdmLocal)*CRONO!$F58,
                        0),
                 W57*$S56),
          SUMIF(OFFSET($S58,1,0,$R56-2),($M56+1)&amp;"$",OFFSET(W58,1,0,$R56-2)))</f>
        <v>0</v>
      </c>
      <c r="X58" s="202" cm="1">
        <f t="array" aca="1" ref="X58" ca="1">IF($R56=2,
         IF(AND(ACOMPANHAMENTO="PLE",ISNUMBER($F56)),
                SUMIF((OFFSET(CÁLCULO!$BS$15:$CS$15,$F56,0,OFFSET(ORÇAMENTO!$D$15,CRONO!$F56,0))),CRONO!X$12,OFFSET(CÁLCULO!$AR$15:$BR$15,$F56,0,OFFSET(ORÇAMENTO!$D$15,CRONO!$F56,0)))
                +IF(AND($F58&lt;&gt;"",$F58&lt;&gt;0),
                        SUMIF(CÁLCULO!$BS$15:$CS$244,CRONO!X$12,CÁLCULO!$AR$15:$BR$244)/(ORÇAMENTO!$X$15-CÁLCULO.TotalAdmLocal)*CRONO!$F58,
                        0),
                 X57*$S56),
          SUMIF(OFFSET($S58,1,0,$R56-2),($M56+1)&amp;"$",OFFSET(X58,1,0,$R56-2)))</f>
        <v>0</v>
      </c>
      <c r="Y58" s="202" cm="1">
        <f t="array" aca="1" ref="Y58" ca="1">IF($R56=2,
         IF(AND(ACOMPANHAMENTO="PLE",ISNUMBER($F56)),
                SUMIF((OFFSET(CÁLCULO!$BS$15:$CS$15,$F56,0,OFFSET(ORÇAMENTO!$D$15,CRONO!$F56,0))),CRONO!Y$12,OFFSET(CÁLCULO!$AR$15:$BR$15,$F56,0,OFFSET(ORÇAMENTO!$D$15,CRONO!$F56,0)))
                +IF(AND($F58&lt;&gt;"",$F58&lt;&gt;0),
                        SUMIF(CÁLCULO!$BS$15:$CS$244,CRONO!Y$12,CÁLCULO!$AR$15:$BR$244)/(ORÇAMENTO!$X$15-CÁLCULO.TotalAdmLocal)*CRONO!$F58,
                        0),
                 Y57*$S56),
          SUMIF(OFFSET($S58,1,0,$R56-2),($M56+1)&amp;"$",OFFSET(Y58,1,0,$R56-2)))</f>
        <v>0</v>
      </c>
      <c r="Z58" s="202" cm="1">
        <f t="array" aca="1" ref="Z58" ca="1">IF($R56=2,
         IF(AND(ACOMPANHAMENTO="PLE",ISNUMBER($F56)),
                SUMIF((OFFSET(CÁLCULO!$BS$15:$CS$15,$F56,0,OFFSET(ORÇAMENTO!$D$15,CRONO!$F56,0))),CRONO!Z$12,OFFSET(CÁLCULO!$AR$15:$BR$15,$F56,0,OFFSET(ORÇAMENTO!$D$15,CRONO!$F56,0)))
                +IF(AND($F58&lt;&gt;"",$F58&lt;&gt;0),
                        SUMIF(CÁLCULO!$BS$15:$CS$244,CRONO!Z$12,CÁLCULO!$AR$15:$BR$244)/(ORÇAMENTO!$X$15-CÁLCULO.TotalAdmLocal)*CRONO!$F58,
                        0),
                 Z57*$S56),
          SUMIF(OFFSET($S58,1,0,$R56-2),($M56+1)&amp;"$",OFFSET(Z58,1,0,$R56-2)))</f>
        <v>0</v>
      </c>
      <c r="AA58" s="202" cm="1">
        <f t="array" aca="1" ref="AA58" ca="1">IF($R56=2,
         IF(AND(ACOMPANHAMENTO="PLE",ISNUMBER($F56)),
                SUMIF((OFFSET(CÁLCULO!$BS$15:$CS$15,$F56,0,OFFSET(ORÇAMENTO!$D$15,CRONO!$F56,0))),CRONO!AA$12,OFFSET(CÁLCULO!$AR$15:$BR$15,$F56,0,OFFSET(ORÇAMENTO!$D$15,CRONO!$F56,0)))
                +IF(AND($F58&lt;&gt;"",$F58&lt;&gt;0),
                        SUMIF(CÁLCULO!$BS$15:$CS$244,CRONO!AA$12,CÁLCULO!$AR$15:$BR$244)/(ORÇAMENTO!$X$15-CÁLCULO.TotalAdmLocal)*CRONO!$F58,
                        0),
                 AA57*$S56),
          SUMIF(OFFSET($S58,1,0,$R56-2),($M56+1)&amp;"$",OFFSET(AA58,1,0,$R56-2)))</f>
        <v>0</v>
      </c>
      <c r="AB58" s="202" cm="1">
        <f t="array" aca="1" ref="AB58" ca="1">IF($R56=2,
         IF(AND(ACOMPANHAMENTO="PLE",ISNUMBER($F56)),
                SUMIF((OFFSET(CÁLCULO!$BS$15:$CS$15,$F56,0,OFFSET(ORÇAMENTO!$D$15,CRONO!$F56,0))),CRONO!AB$12,OFFSET(CÁLCULO!$AR$15:$BR$15,$F56,0,OFFSET(ORÇAMENTO!$D$15,CRONO!$F56,0)))
                +IF(AND($F58&lt;&gt;"",$F58&lt;&gt;0),
                        SUMIF(CÁLCULO!$BS$15:$CS$244,CRONO!AB$12,CÁLCULO!$AR$15:$BR$244)/(ORÇAMENTO!$X$15-CÁLCULO.TotalAdmLocal)*CRONO!$F58,
                        0),
                 AB57*$S56),
          SUMIF(OFFSET($S58,1,0,$R56-2),($M56+1)&amp;"$",OFFSET(AB58,1,0,$R56-2)))</f>
        <v>0</v>
      </c>
      <c r="AC58" s="202" cm="1">
        <f t="array" aca="1" ref="AC58" ca="1">IF($R56=2,
         IF(AND(ACOMPANHAMENTO="PLE",ISNUMBER($F56)),
                SUMIF((OFFSET(CÁLCULO!$BS$15:$CS$15,$F56,0,OFFSET(ORÇAMENTO!$D$15,CRONO!$F56,0))),CRONO!AC$12,OFFSET(CÁLCULO!$AR$15:$BR$15,$F56,0,OFFSET(ORÇAMENTO!$D$15,CRONO!$F56,0)))
                +IF(AND($F58&lt;&gt;"",$F58&lt;&gt;0),
                        SUMIF(CÁLCULO!$BS$15:$CS$244,CRONO!AC$12,CÁLCULO!$AR$15:$BR$244)/(ORÇAMENTO!$X$15-CÁLCULO.TotalAdmLocal)*CRONO!$F58,
                        0),
                 AC57*$S56),
          SUMIF(OFFSET($S58,1,0,$R56-2),($M56+1)&amp;"$",OFFSET(AC58,1,0,$R56-2)))</f>
        <v>0</v>
      </c>
      <c r="AD58" s="202" cm="1">
        <f t="array" aca="1" ref="AD58" ca="1">IF($R56=2,
         IF(AND(ACOMPANHAMENTO="PLE",ISNUMBER($F56)),
                SUMIF((OFFSET(CÁLCULO!$BS$15:$CS$15,$F56,0,OFFSET(ORÇAMENTO!$D$15,CRONO!$F56,0))),CRONO!AD$12,OFFSET(CÁLCULO!$AR$15:$BR$15,$F56,0,OFFSET(ORÇAMENTO!$D$15,CRONO!$F56,0)))
                +IF(AND($F58&lt;&gt;"",$F58&lt;&gt;0),
                        SUMIF(CÁLCULO!$BS$15:$CS$244,CRONO!AD$12,CÁLCULO!$AR$15:$BR$244)/(ORÇAMENTO!$X$15-CÁLCULO.TotalAdmLocal)*CRONO!$F58,
                        0),
                 AD57*$S56),
          SUMIF(OFFSET($S58,1,0,$R56-2),($M56+1)&amp;"$",OFFSET(AD58,1,0,$R56-2)))</f>
        <v>0</v>
      </c>
      <c r="AE58" s="202" cm="1">
        <f t="array" aca="1" ref="AE58" ca="1">IF($R56=2,
         IF(AND(ACOMPANHAMENTO="PLE",ISNUMBER($F56)),
                SUMIF((OFFSET(CÁLCULO!$BS$15:$CS$15,$F56,0,OFFSET(ORÇAMENTO!$D$15,CRONO!$F56,0))),CRONO!AE$12,OFFSET(CÁLCULO!$AR$15:$BR$15,$F56,0,OFFSET(ORÇAMENTO!$D$15,CRONO!$F56,0)))
                +IF(AND($F58&lt;&gt;"",$F58&lt;&gt;0),
                        SUMIF(CÁLCULO!$BS$15:$CS$244,CRONO!AE$12,CÁLCULO!$AR$15:$BR$244)/(ORÇAMENTO!$X$15-CÁLCULO.TotalAdmLocal)*CRONO!$F58,
                        0),
                 AE57*$S56),
          SUMIF(OFFSET($S58,1,0,$R56-2),($M56+1)&amp;"$",OFFSET(AE58,1,0,$R56-2)))</f>
        <v>0</v>
      </c>
      <c r="AF58" s="202" cm="1">
        <f t="array" aca="1" ref="AF58" ca="1">IF($R56=2,
         IF(AND(ACOMPANHAMENTO="PLE",ISNUMBER($F56)),
                SUMIF((OFFSET(CÁLCULO!$BS$15:$CS$15,$F56,0,OFFSET(ORÇAMENTO!$D$15,CRONO!$F56,0))),CRONO!AF$12,OFFSET(CÁLCULO!$AR$15:$BR$15,$F56,0,OFFSET(ORÇAMENTO!$D$15,CRONO!$F56,0)))
                +IF(AND($F58&lt;&gt;"",$F58&lt;&gt;0),
                        SUMIF(CÁLCULO!$BS$15:$CS$244,CRONO!AF$12,CÁLCULO!$AR$15:$BR$244)/(ORÇAMENTO!$X$15-CÁLCULO.TotalAdmLocal)*CRONO!$F58,
                        0),
                 AF57*$S56),
          SUMIF(OFFSET($S58,1,0,$R56-2),($M56+1)&amp;"$",OFFSET(AF58,1,0,$R56-2)))</f>
        <v>0</v>
      </c>
      <c r="AG58" s="202" cm="1">
        <f t="array" aca="1" ref="AG58" ca="1">IF($R56=2,
         IF(AND(ACOMPANHAMENTO="PLE",ISNUMBER($F56)),
                SUMIF((OFFSET(CÁLCULO!$BS$15:$CS$15,$F56,0,OFFSET(ORÇAMENTO!$D$15,CRONO!$F56,0))),CRONO!AG$12,OFFSET(CÁLCULO!$AR$15:$BR$15,$F56,0,OFFSET(ORÇAMENTO!$D$15,CRONO!$F56,0)))
                +IF(AND($F58&lt;&gt;"",$F58&lt;&gt;0),
                        SUMIF(CÁLCULO!$BS$15:$CS$244,CRONO!AG$12,CÁLCULO!$AR$15:$BR$244)/(ORÇAMENTO!$X$15-CÁLCULO.TotalAdmLocal)*CRONO!$F58,
                        0),
                 AG57*$S56),
          SUMIF(OFFSET($S58,1,0,$R56-2),($M56+1)&amp;"$",OFFSET(AG58,1,0,$R56-2)))</f>
        <v>0</v>
      </c>
      <c r="AH58" s="202" cm="1">
        <f t="array" aca="1" ref="AH58" ca="1">IF($R56=2,
         IF(AND(ACOMPANHAMENTO="PLE",ISNUMBER($F56)),
                SUMIF((OFFSET(CÁLCULO!$BS$15:$CS$15,$F56,0,OFFSET(ORÇAMENTO!$D$15,CRONO!$F56,0))),CRONO!AH$12,OFFSET(CÁLCULO!$AR$15:$BR$15,$F56,0,OFFSET(ORÇAMENTO!$D$15,CRONO!$F56,0)))
                +IF(AND($F58&lt;&gt;"",$F58&lt;&gt;0),
                        SUMIF(CÁLCULO!$BS$15:$CS$244,CRONO!AH$12,CÁLCULO!$AR$15:$BR$244)/(ORÇAMENTO!$X$15-CÁLCULO.TotalAdmLocal)*CRONO!$F58,
                        0),
                 AH57*$S56),
          SUMIF(OFFSET($S58,1,0,$R56-2),($M56+1)&amp;"$",OFFSET(AH58,1,0,$R56-2)))</f>
        <v>0</v>
      </c>
      <c r="AI58" s="202" cm="1">
        <f t="array" aca="1" ref="AI58" ca="1">IF($R56=2,
         IF(AND(ACOMPANHAMENTO="PLE",ISNUMBER($F56)),
                SUMIF((OFFSET(CÁLCULO!$BS$15:$CS$15,$F56,0,OFFSET(ORÇAMENTO!$D$15,CRONO!$F56,0))),CRONO!AI$12,OFFSET(CÁLCULO!$AR$15:$BR$15,$F56,0,OFFSET(ORÇAMENTO!$D$15,CRONO!$F56,0)))
                +IF(AND($F58&lt;&gt;"",$F58&lt;&gt;0),
                        SUMIF(CÁLCULO!$BS$15:$CS$244,CRONO!AI$12,CÁLCULO!$AR$15:$BR$244)/(ORÇAMENTO!$X$15-CÁLCULO.TotalAdmLocal)*CRONO!$F58,
                        0),
                 AI57*$S56),
          SUMIF(OFFSET($S58,1,0,$R56-2),($M56+1)&amp;"$",OFFSET(AI58,1,0,$R56-2)))</f>
        <v>0</v>
      </c>
      <c r="AJ58" s="202" cm="1">
        <f t="array" aca="1" ref="AJ58" ca="1">IF($R56=2,
         IF(AND(ACOMPANHAMENTO="PLE",ISNUMBER($F56)),
                SUMIF((OFFSET(CÁLCULO!$BS$15:$CS$15,$F56,0,OFFSET(ORÇAMENTO!$D$15,CRONO!$F56,0))),CRONO!AJ$12,OFFSET(CÁLCULO!$AR$15:$BR$15,$F56,0,OFFSET(ORÇAMENTO!$D$15,CRONO!$F56,0)))
                +IF(AND($F58&lt;&gt;"",$F58&lt;&gt;0),
                        SUMIF(CÁLCULO!$BS$15:$CS$244,CRONO!AJ$12,CÁLCULO!$AR$15:$BR$244)/(ORÇAMENTO!$X$15-CÁLCULO.TotalAdmLocal)*CRONO!$F58,
                        0),
                 AJ57*$S56),
          SUMIF(OFFSET($S58,1,0,$R56-2),($M56+1)&amp;"$",OFFSET(AJ58,1,0,$R56-2)))</f>
        <v>0</v>
      </c>
      <c r="AK58" s="202" cm="1">
        <f t="array" aca="1" ref="AK58" ca="1">IF($R56=2,
         IF(AND(ACOMPANHAMENTO="PLE",ISNUMBER($F56)),
                SUMIF((OFFSET(CÁLCULO!$BS$15:$CS$15,$F56,0,OFFSET(ORÇAMENTO!$D$15,CRONO!$F56,0))),CRONO!AK$12,OFFSET(CÁLCULO!$AR$15:$BR$15,$F56,0,OFFSET(ORÇAMENTO!$D$15,CRONO!$F56,0)))
                +IF(AND($F58&lt;&gt;"",$F58&lt;&gt;0),
                        SUMIF(CÁLCULO!$BS$15:$CS$244,CRONO!AK$12,CÁLCULO!$AR$15:$BR$244)/(ORÇAMENTO!$X$15-CÁLCULO.TotalAdmLocal)*CRONO!$F58,
                        0),
                 AK57*$S56),
          SUMIF(OFFSET($S58,1,0,$R56-2),($M56+1)&amp;"$",OFFSET(AK58,1,0,$R56-2)))</f>
        <v>0</v>
      </c>
      <c r="AL58" s="202" cm="1">
        <f t="array" aca="1" ref="AL58" ca="1">IF($R56=2,
         IF(AND(ACOMPANHAMENTO="PLE",ISNUMBER($F56)),
                SUMIF((OFFSET(CÁLCULO!$BS$15:$CS$15,$F56,0,OFFSET(ORÇAMENTO!$D$15,CRONO!$F56,0))),CRONO!AL$12,OFFSET(CÁLCULO!$AR$15:$BR$15,$F56,0,OFFSET(ORÇAMENTO!$D$15,CRONO!$F56,0)))
                +IF(AND($F58&lt;&gt;"",$F58&lt;&gt;0),
                        SUMIF(CÁLCULO!$BS$15:$CS$244,CRONO!AL$12,CÁLCULO!$AR$15:$BR$244)/(ORÇAMENTO!$X$15-CÁLCULO.TotalAdmLocal)*CRONO!$F58,
                        0),
                 AL57*$S56),
          SUMIF(OFFSET($S58,1,0,$R56-2),($M56+1)&amp;"$",OFFSET(AL58,1,0,$R56-2)))</f>
        <v>0</v>
      </c>
      <c r="AM58" s="202" cm="1">
        <f t="array" aca="1" ref="AM58" ca="1">IF($R56=2,
         IF(AND(ACOMPANHAMENTO="PLE",ISNUMBER($F56)),
                SUMIF((OFFSET(CÁLCULO!$BS$15:$CS$15,$F56,0,OFFSET(ORÇAMENTO!$D$15,CRONO!$F56,0))),CRONO!AM$12,OFFSET(CÁLCULO!$AR$15:$BR$15,$F56,0,OFFSET(ORÇAMENTO!$D$15,CRONO!$F56,0)))
                +IF(AND($F58&lt;&gt;"",$F58&lt;&gt;0),
                        SUMIF(CÁLCULO!$BS$15:$CS$244,CRONO!AM$12,CÁLCULO!$AR$15:$BR$244)/(ORÇAMENTO!$X$15-CÁLCULO.TotalAdmLocal)*CRONO!$F58,
                        0),
                 AM57*$S56),
          SUMIF(OFFSET($S58,1,0,$R56-2),($M56+1)&amp;"$",OFFSET(AM58,1,0,$R56-2)))</f>
        <v>0</v>
      </c>
      <c r="AN58" s="202" cm="1">
        <f t="array" aca="1" ref="AN58" ca="1">IF($R56=2,
         IF(AND(ACOMPANHAMENTO="PLE",ISNUMBER($F56)),
                SUMIF((OFFSET(CÁLCULO!$BS$15:$CS$15,$F56,0,OFFSET(ORÇAMENTO!$D$15,CRONO!$F56,0))),CRONO!AN$12,OFFSET(CÁLCULO!$AR$15:$BR$15,$F56,0,OFFSET(ORÇAMENTO!$D$15,CRONO!$F56,0)))
                +IF(AND($F58&lt;&gt;"",$F58&lt;&gt;0),
                        SUMIF(CÁLCULO!$BS$15:$CS$244,CRONO!AN$12,CÁLCULO!$AR$15:$BR$244)/(ORÇAMENTO!$X$15-CÁLCULO.TotalAdmLocal)*CRONO!$F58,
                        0),
                 AN57*$S56),
          SUMIF(OFFSET($S58,1,0,$R56-2),($M56+1)&amp;"$",OFFSET(AN58,1,0,$R56-2)))</f>
        <v>0</v>
      </c>
      <c r="AO58" s="202" cm="1">
        <f t="array" aca="1" ref="AO58" ca="1">IF($R56=2,
         IF(AND(ACOMPANHAMENTO="PLE",ISNUMBER($F56)),
                SUMIF((OFFSET(CÁLCULO!$BS$15:$CS$15,$F56,0,OFFSET(ORÇAMENTO!$D$15,CRONO!$F56,0))),CRONO!AO$12,OFFSET(CÁLCULO!$AR$15:$BR$15,$F56,0,OFFSET(ORÇAMENTO!$D$15,CRONO!$F56,0)))
                +IF(AND($F58&lt;&gt;"",$F58&lt;&gt;0),
                        SUMIF(CÁLCULO!$BS$15:$CS$244,CRONO!AO$12,CÁLCULO!$AR$15:$BR$244)/(ORÇAMENTO!$X$15-CÁLCULO.TotalAdmLocal)*CRONO!$F58,
                        0),
                 AO57*$S56),
          SUMIF(OFFSET($S58,1,0,$R56-2),($M56+1)&amp;"$",OFFSET(AO58,1,0,$R56-2)))</f>
        <v>0</v>
      </c>
      <c r="AP58" s="202" cm="1">
        <f t="array" aca="1" ref="AP58" ca="1">IF($R56=2,
         IF(AND(ACOMPANHAMENTO="PLE",ISNUMBER($F56)),
                SUMIF((OFFSET(CÁLCULO!$BS$15:$CS$15,$F56,0,OFFSET(ORÇAMENTO!$D$15,CRONO!$F56,0))),CRONO!AP$12,OFFSET(CÁLCULO!$AR$15:$BR$15,$F56,0,OFFSET(ORÇAMENTO!$D$15,CRONO!$F56,0)))
                +IF(AND($F58&lt;&gt;"",$F58&lt;&gt;0),
                        SUMIF(CÁLCULO!$BS$15:$CS$244,CRONO!AP$12,CÁLCULO!$AR$15:$BR$244)/(ORÇAMENTO!$X$15-CÁLCULO.TotalAdmLocal)*CRONO!$F58,
                        0),
                 AP57*$S56),
          SUMIF(OFFSET($S58,1,0,$R56-2),($M56+1)&amp;"$",OFFSET(AP58,1,0,$R56-2)))</f>
        <v>0</v>
      </c>
      <c r="AQ58" s="202" cm="1">
        <f t="array" aca="1" ref="AQ58" ca="1">IF($R56=2,
         IF(AND(ACOMPANHAMENTO="PLE",ISNUMBER($F56)),
                SUMIF((OFFSET(CÁLCULO!$BS$15:$CS$15,$F56,0,OFFSET(ORÇAMENTO!$D$15,CRONO!$F56,0))),CRONO!AQ$12,OFFSET(CÁLCULO!$AR$15:$BR$15,$F56,0,OFFSET(ORÇAMENTO!$D$15,CRONO!$F56,0)))
                +IF(AND($F58&lt;&gt;"",$F58&lt;&gt;0),
                        SUMIF(CÁLCULO!$BS$15:$CS$244,CRONO!AQ$12,CÁLCULO!$AR$15:$BR$244)/(ORÇAMENTO!$X$15-CÁLCULO.TotalAdmLocal)*CRONO!$F58,
                        0),
                 AQ57*$S56),
          SUMIF(OFFSET($S58,1,0,$R56-2),($M56+1)&amp;"$",OFFSET(AQ58,1,0,$R56-2)))</f>
        <v>0</v>
      </c>
      <c r="AR58" s="202" cm="1">
        <f t="array" aca="1" ref="AR58" ca="1">IF($R56=2,
         IF(AND(ACOMPANHAMENTO="PLE",ISNUMBER($F56)),
                SUMIF((OFFSET(CÁLCULO!$BS$15:$CS$15,$F56,0,OFFSET(ORÇAMENTO!$D$15,CRONO!$F56,0))),CRONO!AR$12,OFFSET(CÁLCULO!$AR$15:$BR$15,$F56,0,OFFSET(ORÇAMENTO!$D$15,CRONO!$F56,0)))
                +IF(AND($F58&lt;&gt;"",$F58&lt;&gt;0),
                        SUMIF(CÁLCULO!$BS$15:$CS$244,CRONO!AR$12,CÁLCULO!$AR$15:$BR$244)/(ORÇAMENTO!$X$15-CÁLCULO.TotalAdmLocal)*CRONO!$F58,
                        0),
                 AR57*$S56),
          SUMIF(OFFSET($S58,1,0,$R56-2),($M56+1)&amp;"$",OFFSET(AR58,1,0,$R56-2)))</f>
        <v>0</v>
      </c>
      <c r="AS58" s="534"/>
    </row>
    <row r="59" spans="1:45" x14ac:dyDescent="0.2">
      <c r="A59" s="186" t="str">
        <f t="shared" ref="A59" ca="1" si="92">IF($M59&gt;1,_xlfn.CONCAT($I59," ",$J59),"")</f>
        <v/>
      </c>
      <c r="B59" s="185">
        <f t="shared" ref="B59" ca="1" si="93">OFFSET(B59,-3,0)+1</f>
        <v>16</v>
      </c>
      <c r="C59" s="185">
        <f ca="1">IF($R59&lt;&gt;2,0,IF($S59=0,1,IF(F60&gt;0,OFFSET(QCI!$M$13,SUBSTITUTE(F60,".",""),0),OFFSET(ORÇAMENTO!$AA$15,CRONO!$F59,0))/$S59))</f>
        <v>0</v>
      </c>
      <c r="D59" s="185">
        <f ca="1">IF($R59&lt;&gt;2,0,IF($S59=0,1,IF(F60&gt;0,OFFSET(QCI!$N$13,SUBSTITUTE(F60,".",""),0),OFFSET(ORÇAMENTO!$AB$15,CRONO!$F59,0))/$S59))</f>
        <v>0</v>
      </c>
      <c r="E59" s="188" t="e" cm="1">
        <f t="array" aca="1" ref="E59" ca="1">IF(AND($R59=2,ACOMPANHAMENTO="BM"),ROUND(E60,4),E61/$S59)</f>
        <v>#DIV/0!</v>
      </c>
      <c r="F59" s="185" cm="1">
        <f t="array" aca="1" ref="F59" ca="1">IF(B59&lt;=ORÇAMENTO.MáximoListaCrono,MATCH(B59,ORÇAMENTO.ListaCrono,0),NA())</f>
        <v>60</v>
      </c>
      <c r="G59" s="185" t="str">
        <f t="shared" ref="G59" ca="1" si="94">IF(AND($F60&lt;&gt;-1,$S59&gt;0),"F","")</f>
        <v/>
      </c>
      <c r="H59" s="189" t="str" cm="1">
        <f t="array" aca="1" ref="H59" ca="1">IF(OR(S59=0,S59=""),"Linha",IF(AND(OR(ACOMPANHAMENTO="PLE",$R59&lt;&gt;2),$F60=0),"Linha",ROUND(1-SUM(U59:AS59),4)))</f>
        <v>Linha</v>
      </c>
      <c r="I59" s="190" t="str">
        <f ca="1">IF($F60=0,OFFSET(ORÇAMENTO!O$15,$F59,0),IF($F60&lt;&gt;-1,OFFSET(QCI!$D$13,$F60,0),""))</f>
        <v>6.</v>
      </c>
      <c r="J59" s="191" t="str">
        <f ca="1">IF($F60=0,OFFSET(ORÇAMENTO!R$15,$F59,0),IF($F60&lt;&gt;-1,OFFSET(QCI!$G$13,$F60,0),""))</f>
        <v>COBERTURA E PROTEÇÕES</v>
      </c>
      <c r="K59" s="191"/>
      <c r="L59" s="191"/>
      <c r="M59" s="192">
        <f ca="1">IF($F60=0,OFFSET(ORÇAMENTO!C$15,$F59,0),1)</f>
        <v>1</v>
      </c>
      <c r="N59" s="193">
        <f ca="1">IF($F60=-1,0,IF(N$13&lt;=$M59,IF(ISERROR(MATCH(N$13,OFFSET($M59,1,0,ROW($M$164)-ROW($M59)-1),0)),ROW($M$164)-ROW($M59)-1,MATCH(N$13,OFFSET($M59,1,0,ROW($M$164)-ROW($M59)-1),0)-1),0))</f>
        <v>5</v>
      </c>
      <c r="O59" s="193">
        <f ca="1">IF($F60=-1,0,IF(O$13&lt;=$M59,IF(ISERROR(MATCH(O$13,OFFSET($M59,1,0,ROW($M$164)-ROW($M59)-1),0)),ROW($M$164)-ROW($M59)-1,MATCH(O$13,OFFSET($M59,1,0,ROW($M$164)-ROW($M59)-1),0)-1),0))</f>
        <v>0</v>
      </c>
      <c r="P59" s="193">
        <f ca="1">IF($F60=-1,0,IF(P$13&lt;=$M59,IF(ISERROR(MATCH(P$13,OFFSET($M59,1,0,ROW($M$164)-ROW($M59)-1),0)),ROW($M$164)-ROW($M59)-1,MATCH(P$13,OFFSET($M59,1,0,ROW($M$164)-ROW($M59)-1),0)-1),0))</f>
        <v>0</v>
      </c>
      <c r="Q59" s="193">
        <f ca="1">IF($F60=-1,0,IF(Q$13&lt;=$M59,IF(ISERROR(MATCH(Q$13,OFFSET($M59,1,0,ROW($M$164)-ROW($M59)-1),0)),ROW($M$164)-ROW($M59)-1,MATCH(Q$13,OFFSET($M59,1,0,ROW($M$164)-ROW($M59)-1),0)-1),0))</f>
        <v>0</v>
      </c>
      <c r="R59" s="193">
        <f t="shared" ref="R59" ca="1" si="95">MIN(OFFSET(M59,0,1,,M59))</f>
        <v>5</v>
      </c>
      <c r="S59" s="194">
        <f ca="1">IF($F60=0,OFFSET(ORÇAMENTO!X$15,$F59,0),IF($F60&lt;&gt;-1,OFFSET(QCI!$O$13,$F60,0),""))</f>
        <v>0</v>
      </c>
      <c r="T59" s="195" t="s">
        <v>785</v>
      </c>
      <c r="U59" s="188" t="e" cm="1">
        <f t="array" aca="1" ref="U59" ca="1">IF(AND($R59=2,ACOMPANHAMENTO="BM"),ROUND(U60,4),U61/$S59)</f>
        <v>#DIV/0!</v>
      </c>
      <c r="V59" s="188" t="e" cm="1">
        <f t="array" aca="1" ref="V59" ca="1">IF(AND($R59=2,ACOMPANHAMENTO="BM"),ROUND(V60,4),V61/$S59)</f>
        <v>#DIV/0!</v>
      </c>
      <c r="W59" s="188" t="e" cm="1">
        <f t="array" aca="1" ref="W59" ca="1">IF(AND($R59=2,ACOMPANHAMENTO="BM"),ROUND(W60,4),W61/$S59)</f>
        <v>#DIV/0!</v>
      </c>
      <c r="X59" s="188" t="e" cm="1">
        <f t="array" aca="1" ref="X59" ca="1">IF(AND($R59=2,ACOMPANHAMENTO="BM"),ROUND(X60,4),X61/$S59)</f>
        <v>#DIV/0!</v>
      </c>
      <c r="Y59" s="188" t="e" cm="1">
        <f t="array" aca="1" ref="Y59" ca="1">IF(AND($R59=2,ACOMPANHAMENTO="BM"),ROUND(Y60,4),Y61/$S59)</f>
        <v>#DIV/0!</v>
      </c>
      <c r="Z59" s="188" t="e" cm="1">
        <f t="array" aca="1" ref="Z59" ca="1">IF(AND($R59=2,ACOMPANHAMENTO="BM"),ROUND(Z60,4),Z61/$S59)</f>
        <v>#DIV/0!</v>
      </c>
      <c r="AA59" s="188" t="e" cm="1">
        <f t="array" aca="1" ref="AA59" ca="1">IF(AND($R59=2,ACOMPANHAMENTO="BM"),ROUND(AA60,4),AA61/$S59)</f>
        <v>#DIV/0!</v>
      </c>
      <c r="AB59" s="188" t="e" cm="1">
        <f t="array" aca="1" ref="AB59" ca="1">IF(AND($R59=2,ACOMPANHAMENTO="BM"),ROUND(AB60,4),AB61/$S59)</f>
        <v>#DIV/0!</v>
      </c>
      <c r="AC59" s="188" t="e" cm="1">
        <f t="array" aca="1" ref="AC59" ca="1">IF(AND($R59=2,ACOMPANHAMENTO="BM"),ROUND(AC60,4),AC61/$S59)</f>
        <v>#DIV/0!</v>
      </c>
      <c r="AD59" s="188" t="e" cm="1">
        <f t="array" aca="1" ref="AD59" ca="1">IF(AND($R59=2,ACOMPANHAMENTO="BM"),ROUND(AD60,4),AD61/$S59)</f>
        <v>#DIV/0!</v>
      </c>
      <c r="AE59" s="188" t="e" cm="1">
        <f t="array" aca="1" ref="AE59" ca="1">IF(AND($R59=2,ACOMPANHAMENTO="BM"),ROUND(AE60,4),AE61/$S59)</f>
        <v>#DIV/0!</v>
      </c>
      <c r="AF59" s="188" t="e" cm="1">
        <f t="array" aca="1" ref="AF59" ca="1">IF(AND($R59=2,ACOMPANHAMENTO="BM"),ROUND(AF60,4),AF61/$S59)</f>
        <v>#DIV/0!</v>
      </c>
      <c r="AG59" s="188" t="e" cm="1">
        <f t="array" aca="1" ref="AG59" ca="1">IF(AND($R59=2,ACOMPANHAMENTO="BM"),ROUND(AG60,4),AG61/$S59)</f>
        <v>#DIV/0!</v>
      </c>
      <c r="AH59" s="188" t="e" cm="1">
        <f t="array" aca="1" ref="AH59" ca="1">IF(AND($R59=2,ACOMPANHAMENTO="BM"),ROUND(AH60,4),AH61/$S59)</f>
        <v>#DIV/0!</v>
      </c>
      <c r="AI59" s="188" t="e" cm="1">
        <f t="array" aca="1" ref="AI59" ca="1">IF(AND($R59=2,ACOMPANHAMENTO="BM"),ROUND(AI60,4),AI61/$S59)</f>
        <v>#DIV/0!</v>
      </c>
      <c r="AJ59" s="188" t="e" cm="1">
        <f t="array" aca="1" ref="AJ59" ca="1">IF(AND($R59=2,ACOMPANHAMENTO="BM"),ROUND(AJ60,4),AJ61/$S59)</f>
        <v>#DIV/0!</v>
      </c>
      <c r="AK59" s="188" t="e" cm="1">
        <f t="array" aca="1" ref="AK59" ca="1">IF(AND($R59=2,ACOMPANHAMENTO="BM"),ROUND(AK60,4),AK61/$S59)</f>
        <v>#DIV/0!</v>
      </c>
      <c r="AL59" s="188" t="e" cm="1">
        <f t="array" aca="1" ref="AL59" ca="1">IF(AND($R59=2,ACOMPANHAMENTO="BM"),ROUND(AL60,4),AL61/$S59)</f>
        <v>#DIV/0!</v>
      </c>
      <c r="AM59" s="188" t="e" cm="1">
        <f t="array" aca="1" ref="AM59" ca="1">IF(AND($R59=2,ACOMPANHAMENTO="BM"),ROUND(AM60,4),AM61/$S59)</f>
        <v>#DIV/0!</v>
      </c>
      <c r="AN59" s="188" t="e" cm="1">
        <f t="array" aca="1" ref="AN59" ca="1">IF(AND($R59=2,ACOMPANHAMENTO="BM"),ROUND(AN60,4),AN61/$S59)</f>
        <v>#DIV/0!</v>
      </c>
      <c r="AO59" s="188" t="e" cm="1">
        <f t="array" aca="1" ref="AO59" ca="1">IF(AND($R59=2,ACOMPANHAMENTO="BM"),ROUND(AO60,4),AO61/$S59)</f>
        <v>#DIV/0!</v>
      </c>
      <c r="AP59" s="188" t="e" cm="1">
        <f t="array" aca="1" ref="AP59" ca="1">IF(AND($R59=2,ACOMPANHAMENTO="BM"),ROUND(AP60,4),AP61/$S59)</f>
        <v>#DIV/0!</v>
      </c>
      <c r="AQ59" s="188" t="e" cm="1">
        <f t="array" aca="1" ref="AQ59" ca="1">IF(AND($R59=2,ACOMPANHAMENTO="BM"),ROUND(AQ60,4),AQ61/$S59)</f>
        <v>#DIV/0!</v>
      </c>
      <c r="AR59" s="188" t="e" cm="1">
        <f t="array" aca="1" ref="AR59" ca="1">IF(AND($R59=2,ACOMPANHAMENTO="BM"),ROUND(AR60,4),AR61/$S59)</f>
        <v>#DIV/0!</v>
      </c>
      <c r="AS59" s="534"/>
    </row>
    <row r="60" spans="1:45" ht="12.75" hidden="1" customHeight="1" x14ac:dyDescent="0.2">
      <c r="E60" s="587"/>
      <c r="F60" s="185">
        <f ca="1">IF(ISERROR(F59),IF(1+COUNTIF($M$13:OFFSET(M59,-1,0),1)&lt;=MAX(QCI!$D$13:$D$24),1+COUNTIF($M$13:OFFSET(M59,-1,0),1),-1),0)</f>
        <v>0</v>
      </c>
      <c r="G60" s="185" t="str" cm="1">
        <f t="array" aca="1" ref="G60" ca="1">IF(ACOMPANHAMENTO="BM",OFFSET(G60,-1,0),"")</f>
        <v/>
      </c>
      <c r="H60" s="196" t="str" cm="1">
        <f t="array" aca="1" ref="H60" ca="1">IF(OR(S59=0,S59=""),"vazia",IF(AND(OR(ACOMPANHAMENTO="PLE",$R59&lt;&gt;2),$F60=0),"calculada","--&gt;"))</f>
        <v>vazia</v>
      </c>
      <c r="I60" s="197"/>
      <c r="J60" s="198" t="str">
        <f t="shared" ref="J60" ca="1" si="96">IF(AND(H59&lt;&gt;0,ISNUMBER(H59)),"PREENCHA ESTA LINHA --&gt;","")</f>
        <v/>
      </c>
      <c r="K60" s="198"/>
      <c r="L60" s="198"/>
      <c r="M60" s="199"/>
      <c r="N60" s="199"/>
      <c r="O60" s="199"/>
      <c r="P60" s="199"/>
      <c r="Q60" s="199"/>
      <c r="R60" s="199"/>
      <c r="S60" s="200"/>
      <c r="T60" s="201"/>
      <c r="U60" s="587"/>
      <c r="V60" s="587"/>
      <c r="W60" s="587"/>
      <c r="X60" s="587"/>
      <c r="Y60" s="587"/>
      <c r="Z60" s="587"/>
      <c r="AA60" s="587"/>
      <c r="AB60" s="587"/>
      <c r="AC60" s="587"/>
      <c r="AD60" s="587"/>
      <c r="AE60" s="587"/>
      <c r="AF60" s="587"/>
      <c r="AG60" s="587"/>
      <c r="AH60" s="587"/>
      <c r="AI60" s="587"/>
      <c r="AJ60" s="587"/>
      <c r="AK60" s="587"/>
      <c r="AL60" s="587"/>
      <c r="AM60" s="587"/>
      <c r="AN60" s="587"/>
      <c r="AO60" s="587"/>
      <c r="AP60" s="587"/>
      <c r="AQ60" s="587"/>
      <c r="AR60" s="587"/>
      <c r="AS60" s="534"/>
    </row>
    <row r="61" spans="1:45" ht="12.75" hidden="1" customHeight="1" x14ac:dyDescent="0.2">
      <c r="D61" s="533"/>
      <c r="E61" s="202" cm="1">
        <f t="array" aca="1" ref="E61" ca="1">IF($R59=2,
         IF(AND(ACOMPANHAMENTO="PLE",ISNUMBER($F59)),
                SUMIF((OFFSET(CÁLCULO!$BS$15:$CS$15,$F59,0,OFFSET(ORÇAMENTO!$D$15,CRONO!$F59,0))),CRONO!E$12,OFFSET(CÁLCULO!$AR$15:$BR$15,$F59,0,OFFSET(ORÇAMENTO!$D$15,CRONO!$F59,0)))
                +IF(AND($F61&lt;&gt;"",$F61&lt;&gt;0),
                        SUMIF(CÁLCULO!$BS$15:$CS$244,CRONO!E$12,CÁLCULO!$AR$15:$BR$244)/(ORÇAMENTO!$X$15-CÁLCULO.TotalAdmLocal)*CRONO!$F61,
                        0),
                 E60*$S59),
          SUMIF(OFFSET($S61,1,0,$R59-2),($M59+1)&amp;"$",OFFSET(E61,1,0,$R59-2)))</f>
        <v>0</v>
      </c>
      <c r="F61" s="185" t="str">
        <f ca="1">IF(OR($R59&lt;&gt;2,AUTOEVENTO&lt;&gt;"manual",$F60&gt;0),"",
        IF(Import.TipoArredondamento="Tradicional",
              SUMIF(OFFSET(CÁLCULO!$M$15,CRONO!$F59,0,OFFSET(ORÇAMENTO!$D$15,CRONO!$F59,0)),1,OFFSET(ORÇAMENTO!$X$15,CRONO!$F59,0,OFFSET(ORÇAMENTO!$D$15,CRONO!$F59,0))),
              0))</f>
        <v/>
      </c>
      <c r="H61" s="203"/>
      <c r="S61" s="204" t="str">
        <f t="shared" ref="S61" ca="1" si="97">M59&amp;"$"</f>
        <v>1$</v>
      </c>
      <c r="T61" s="205"/>
      <c r="U61" s="202" cm="1">
        <f t="array" aca="1" ref="U61" ca="1">IF($R59=2,
         IF(AND(ACOMPANHAMENTO="PLE",ISNUMBER($F59)),
                SUMIF((OFFSET(CÁLCULO!$BS$15:$CS$15,$F59,0,OFFSET(ORÇAMENTO!$D$15,CRONO!$F59,0))),CRONO!U$12,OFFSET(CÁLCULO!$AR$15:$BR$15,$F59,0,OFFSET(ORÇAMENTO!$D$15,CRONO!$F59,0)))
                +IF(AND($F61&lt;&gt;"",$F61&lt;&gt;0),
                        SUMIF(CÁLCULO!$BS$15:$CS$244,CRONO!U$12,CÁLCULO!$AR$15:$BR$244)/(ORÇAMENTO!$X$15-CÁLCULO.TotalAdmLocal)*CRONO!$F61,
                        0),
                 U60*$S59),
          SUMIF(OFFSET($S61,1,0,$R59-2),($M59+1)&amp;"$",OFFSET(U61,1,0,$R59-2)))</f>
        <v>0</v>
      </c>
      <c r="V61" s="202" cm="1">
        <f t="array" aca="1" ref="V61" ca="1">IF($R59=2,
         IF(AND(ACOMPANHAMENTO="PLE",ISNUMBER($F59)),
                SUMIF((OFFSET(CÁLCULO!$BS$15:$CS$15,$F59,0,OFFSET(ORÇAMENTO!$D$15,CRONO!$F59,0))),CRONO!V$12,OFFSET(CÁLCULO!$AR$15:$BR$15,$F59,0,OFFSET(ORÇAMENTO!$D$15,CRONO!$F59,0)))
                +IF(AND($F61&lt;&gt;"",$F61&lt;&gt;0),
                        SUMIF(CÁLCULO!$BS$15:$CS$244,CRONO!V$12,CÁLCULO!$AR$15:$BR$244)/(ORÇAMENTO!$X$15-CÁLCULO.TotalAdmLocal)*CRONO!$F61,
                        0),
                 V60*$S59),
          SUMIF(OFFSET($S61,1,0,$R59-2),($M59+1)&amp;"$",OFFSET(V61,1,0,$R59-2)))</f>
        <v>0</v>
      </c>
      <c r="W61" s="202" cm="1">
        <f t="array" aca="1" ref="W61" ca="1">IF($R59=2,
         IF(AND(ACOMPANHAMENTO="PLE",ISNUMBER($F59)),
                SUMIF((OFFSET(CÁLCULO!$BS$15:$CS$15,$F59,0,OFFSET(ORÇAMENTO!$D$15,CRONO!$F59,0))),CRONO!W$12,OFFSET(CÁLCULO!$AR$15:$BR$15,$F59,0,OFFSET(ORÇAMENTO!$D$15,CRONO!$F59,0)))
                +IF(AND($F61&lt;&gt;"",$F61&lt;&gt;0),
                        SUMIF(CÁLCULO!$BS$15:$CS$244,CRONO!W$12,CÁLCULO!$AR$15:$BR$244)/(ORÇAMENTO!$X$15-CÁLCULO.TotalAdmLocal)*CRONO!$F61,
                        0),
                 W60*$S59),
          SUMIF(OFFSET($S61,1,0,$R59-2),($M59+1)&amp;"$",OFFSET(W61,1,0,$R59-2)))</f>
        <v>0</v>
      </c>
      <c r="X61" s="202" cm="1">
        <f t="array" aca="1" ref="X61" ca="1">IF($R59=2,
         IF(AND(ACOMPANHAMENTO="PLE",ISNUMBER($F59)),
                SUMIF((OFFSET(CÁLCULO!$BS$15:$CS$15,$F59,0,OFFSET(ORÇAMENTO!$D$15,CRONO!$F59,0))),CRONO!X$12,OFFSET(CÁLCULO!$AR$15:$BR$15,$F59,0,OFFSET(ORÇAMENTO!$D$15,CRONO!$F59,0)))
                +IF(AND($F61&lt;&gt;"",$F61&lt;&gt;0),
                        SUMIF(CÁLCULO!$BS$15:$CS$244,CRONO!X$12,CÁLCULO!$AR$15:$BR$244)/(ORÇAMENTO!$X$15-CÁLCULO.TotalAdmLocal)*CRONO!$F61,
                        0),
                 X60*$S59),
          SUMIF(OFFSET($S61,1,0,$R59-2),($M59+1)&amp;"$",OFFSET(X61,1,0,$R59-2)))</f>
        <v>0</v>
      </c>
      <c r="Y61" s="202" cm="1">
        <f t="array" aca="1" ref="Y61" ca="1">IF($R59=2,
         IF(AND(ACOMPANHAMENTO="PLE",ISNUMBER($F59)),
                SUMIF((OFFSET(CÁLCULO!$BS$15:$CS$15,$F59,0,OFFSET(ORÇAMENTO!$D$15,CRONO!$F59,0))),CRONO!Y$12,OFFSET(CÁLCULO!$AR$15:$BR$15,$F59,0,OFFSET(ORÇAMENTO!$D$15,CRONO!$F59,0)))
                +IF(AND($F61&lt;&gt;"",$F61&lt;&gt;0),
                        SUMIF(CÁLCULO!$BS$15:$CS$244,CRONO!Y$12,CÁLCULO!$AR$15:$BR$244)/(ORÇAMENTO!$X$15-CÁLCULO.TotalAdmLocal)*CRONO!$F61,
                        0),
                 Y60*$S59),
          SUMIF(OFFSET($S61,1,0,$R59-2),($M59+1)&amp;"$",OFFSET(Y61,1,0,$R59-2)))</f>
        <v>0</v>
      </c>
      <c r="Z61" s="202" cm="1">
        <f t="array" aca="1" ref="Z61" ca="1">IF($R59=2,
         IF(AND(ACOMPANHAMENTO="PLE",ISNUMBER($F59)),
                SUMIF((OFFSET(CÁLCULO!$BS$15:$CS$15,$F59,0,OFFSET(ORÇAMENTO!$D$15,CRONO!$F59,0))),CRONO!Z$12,OFFSET(CÁLCULO!$AR$15:$BR$15,$F59,0,OFFSET(ORÇAMENTO!$D$15,CRONO!$F59,0)))
                +IF(AND($F61&lt;&gt;"",$F61&lt;&gt;0),
                        SUMIF(CÁLCULO!$BS$15:$CS$244,CRONO!Z$12,CÁLCULO!$AR$15:$BR$244)/(ORÇAMENTO!$X$15-CÁLCULO.TotalAdmLocal)*CRONO!$F61,
                        0),
                 Z60*$S59),
          SUMIF(OFFSET($S61,1,0,$R59-2),($M59+1)&amp;"$",OFFSET(Z61,1,0,$R59-2)))</f>
        <v>0</v>
      </c>
      <c r="AA61" s="202" cm="1">
        <f t="array" aca="1" ref="AA61" ca="1">IF($R59=2,
         IF(AND(ACOMPANHAMENTO="PLE",ISNUMBER($F59)),
                SUMIF((OFFSET(CÁLCULO!$BS$15:$CS$15,$F59,0,OFFSET(ORÇAMENTO!$D$15,CRONO!$F59,0))),CRONO!AA$12,OFFSET(CÁLCULO!$AR$15:$BR$15,$F59,0,OFFSET(ORÇAMENTO!$D$15,CRONO!$F59,0)))
                +IF(AND($F61&lt;&gt;"",$F61&lt;&gt;0),
                        SUMIF(CÁLCULO!$BS$15:$CS$244,CRONO!AA$12,CÁLCULO!$AR$15:$BR$244)/(ORÇAMENTO!$X$15-CÁLCULO.TotalAdmLocal)*CRONO!$F61,
                        0),
                 AA60*$S59),
          SUMIF(OFFSET($S61,1,0,$R59-2),($M59+1)&amp;"$",OFFSET(AA61,1,0,$R59-2)))</f>
        <v>0</v>
      </c>
      <c r="AB61" s="202" cm="1">
        <f t="array" aca="1" ref="AB61" ca="1">IF($R59=2,
         IF(AND(ACOMPANHAMENTO="PLE",ISNUMBER($F59)),
                SUMIF((OFFSET(CÁLCULO!$BS$15:$CS$15,$F59,0,OFFSET(ORÇAMENTO!$D$15,CRONO!$F59,0))),CRONO!AB$12,OFFSET(CÁLCULO!$AR$15:$BR$15,$F59,0,OFFSET(ORÇAMENTO!$D$15,CRONO!$F59,0)))
                +IF(AND($F61&lt;&gt;"",$F61&lt;&gt;0),
                        SUMIF(CÁLCULO!$BS$15:$CS$244,CRONO!AB$12,CÁLCULO!$AR$15:$BR$244)/(ORÇAMENTO!$X$15-CÁLCULO.TotalAdmLocal)*CRONO!$F61,
                        0),
                 AB60*$S59),
          SUMIF(OFFSET($S61,1,0,$R59-2),($M59+1)&amp;"$",OFFSET(AB61,1,0,$R59-2)))</f>
        <v>0</v>
      </c>
      <c r="AC61" s="202" cm="1">
        <f t="array" aca="1" ref="AC61" ca="1">IF($R59=2,
         IF(AND(ACOMPANHAMENTO="PLE",ISNUMBER($F59)),
                SUMIF((OFFSET(CÁLCULO!$BS$15:$CS$15,$F59,0,OFFSET(ORÇAMENTO!$D$15,CRONO!$F59,0))),CRONO!AC$12,OFFSET(CÁLCULO!$AR$15:$BR$15,$F59,0,OFFSET(ORÇAMENTO!$D$15,CRONO!$F59,0)))
                +IF(AND($F61&lt;&gt;"",$F61&lt;&gt;0),
                        SUMIF(CÁLCULO!$BS$15:$CS$244,CRONO!AC$12,CÁLCULO!$AR$15:$BR$244)/(ORÇAMENTO!$X$15-CÁLCULO.TotalAdmLocal)*CRONO!$F61,
                        0),
                 AC60*$S59),
          SUMIF(OFFSET($S61,1,0,$R59-2),($M59+1)&amp;"$",OFFSET(AC61,1,0,$R59-2)))</f>
        <v>0</v>
      </c>
      <c r="AD61" s="202" cm="1">
        <f t="array" aca="1" ref="AD61" ca="1">IF($R59=2,
         IF(AND(ACOMPANHAMENTO="PLE",ISNUMBER($F59)),
                SUMIF((OFFSET(CÁLCULO!$BS$15:$CS$15,$F59,0,OFFSET(ORÇAMENTO!$D$15,CRONO!$F59,0))),CRONO!AD$12,OFFSET(CÁLCULO!$AR$15:$BR$15,$F59,0,OFFSET(ORÇAMENTO!$D$15,CRONO!$F59,0)))
                +IF(AND($F61&lt;&gt;"",$F61&lt;&gt;0),
                        SUMIF(CÁLCULO!$BS$15:$CS$244,CRONO!AD$12,CÁLCULO!$AR$15:$BR$244)/(ORÇAMENTO!$X$15-CÁLCULO.TotalAdmLocal)*CRONO!$F61,
                        0),
                 AD60*$S59),
          SUMIF(OFFSET($S61,1,0,$R59-2),($M59+1)&amp;"$",OFFSET(AD61,1,0,$R59-2)))</f>
        <v>0</v>
      </c>
      <c r="AE61" s="202" cm="1">
        <f t="array" aca="1" ref="AE61" ca="1">IF($R59=2,
         IF(AND(ACOMPANHAMENTO="PLE",ISNUMBER($F59)),
                SUMIF((OFFSET(CÁLCULO!$BS$15:$CS$15,$F59,0,OFFSET(ORÇAMENTO!$D$15,CRONO!$F59,0))),CRONO!AE$12,OFFSET(CÁLCULO!$AR$15:$BR$15,$F59,0,OFFSET(ORÇAMENTO!$D$15,CRONO!$F59,0)))
                +IF(AND($F61&lt;&gt;"",$F61&lt;&gt;0),
                        SUMIF(CÁLCULO!$BS$15:$CS$244,CRONO!AE$12,CÁLCULO!$AR$15:$BR$244)/(ORÇAMENTO!$X$15-CÁLCULO.TotalAdmLocal)*CRONO!$F61,
                        0),
                 AE60*$S59),
          SUMIF(OFFSET($S61,1,0,$R59-2),($M59+1)&amp;"$",OFFSET(AE61,1,0,$R59-2)))</f>
        <v>0</v>
      </c>
      <c r="AF61" s="202" cm="1">
        <f t="array" aca="1" ref="AF61" ca="1">IF($R59=2,
         IF(AND(ACOMPANHAMENTO="PLE",ISNUMBER($F59)),
                SUMIF((OFFSET(CÁLCULO!$BS$15:$CS$15,$F59,0,OFFSET(ORÇAMENTO!$D$15,CRONO!$F59,0))),CRONO!AF$12,OFFSET(CÁLCULO!$AR$15:$BR$15,$F59,0,OFFSET(ORÇAMENTO!$D$15,CRONO!$F59,0)))
                +IF(AND($F61&lt;&gt;"",$F61&lt;&gt;0),
                        SUMIF(CÁLCULO!$BS$15:$CS$244,CRONO!AF$12,CÁLCULO!$AR$15:$BR$244)/(ORÇAMENTO!$X$15-CÁLCULO.TotalAdmLocal)*CRONO!$F61,
                        0),
                 AF60*$S59),
          SUMIF(OFFSET($S61,1,0,$R59-2),($M59+1)&amp;"$",OFFSET(AF61,1,0,$R59-2)))</f>
        <v>0</v>
      </c>
      <c r="AG61" s="202" cm="1">
        <f t="array" aca="1" ref="AG61" ca="1">IF($R59=2,
         IF(AND(ACOMPANHAMENTO="PLE",ISNUMBER($F59)),
                SUMIF((OFFSET(CÁLCULO!$BS$15:$CS$15,$F59,0,OFFSET(ORÇAMENTO!$D$15,CRONO!$F59,0))),CRONO!AG$12,OFFSET(CÁLCULO!$AR$15:$BR$15,$F59,0,OFFSET(ORÇAMENTO!$D$15,CRONO!$F59,0)))
                +IF(AND($F61&lt;&gt;"",$F61&lt;&gt;0),
                        SUMIF(CÁLCULO!$BS$15:$CS$244,CRONO!AG$12,CÁLCULO!$AR$15:$BR$244)/(ORÇAMENTO!$X$15-CÁLCULO.TotalAdmLocal)*CRONO!$F61,
                        0),
                 AG60*$S59),
          SUMIF(OFFSET($S61,1,0,$R59-2),($M59+1)&amp;"$",OFFSET(AG61,1,0,$R59-2)))</f>
        <v>0</v>
      </c>
      <c r="AH61" s="202" cm="1">
        <f t="array" aca="1" ref="AH61" ca="1">IF($R59=2,
         IF(AND(ACOMPANHAMENTO="PLE",ISNUMBER($F59)),
                SUMIF((OFFSET(CÁLCULO!$BS$15:$CS$15,$F59,0,OFFSET(ORÇAMENTO!$D$15,CRONO!$F59,0))),CRONO!AH$12,OFFSET(CÁLCULO!$AR$15:$BR$15,$F59,0,OFFSET(ORÇAMENTO!$D$15,CRONO!$F59,0)))
                +IF(AND($F61&lt;&gt;"",$F61&lt;&gt;0),
                        SUMIF(CÁLCULO!$BS$15:$CS$244,CRONO!AH$12,CÁLCULO!$AR$15:$BR$244)/(ORÇAMENTO!$X$15-CÁLCULO.TotalAdmLocal)*CRONO!$F61,
                        0),
                 AH60*$S59),
          SUMIF(OFFSET($S61,1,0,$R59-2),($M59+1)&amp;"$",OFFSET(AH61,1,0,$R59-2)))</f>
        <v>0</v>
      </c>
      <c r="AI61" s="202" cm="1">
        <f t="array" aca="1" ref="AI61" ca="1">IF($R59=2,
         IF(AND(ACOMPANHAMENTO="PLE",ISNUMBER($F59)),
                SUMIF((OFFSET(CÁLCULO!$BS$15:$CS$15,$F59,0,OFFSET(ORÇAMENTO!$D$15,CRONO!$F59,0))),CRONO!AI$12,OFFSET(CÁLCULO!$AR$15:$BR$15,$F59,0,OFFSET(ORÇAMENTO!$D$15,CRONO!$F59,0)))
                +IF(AND($F61&lt;&gt;"",$F61&lt;&gt;0),
                        SUMIF(CÁLCULO!$BS$15:$CS$244,CRONO!AI$12,CÁLCULO!$AR$15:$BR$244)/(ORÇAMENTO!$X$15-CÁLCULO.TotalAdmLocal)*CRONO!$F61,
                        0),
                 AI60*$S59),
          SUMIF(OFFSET($S61,1,0,$R59-2),($M59+1)&amp;"$",OFFSET(AI61,1,0,$R59-2)))</f>
        <v>0</v>
      </c>
      <c r="AJ61" s="202" cm="1">
        <f t="array" aca="1" ref="AJ61" ca="1">IF($R59=2,
         IF(AND(ACOMPANHAMENTO="PLE",ISNUMBER($F59)),
                SUMIF((OFFSET(CÁLCULO!$BS$15:$CS$15,$F59,0,OFFSET(ORÇAMENTO!$D$15,CRONO!$F59,0))),CRONO!AJ$12,OFFSET(CÁLCULO!$AR$15:$BR$15,$F59,0,OFFSET(ORÇAMENTO!$D$15,CRONO!$F59,0)))
                +IF(AND($F61&lt;&gt;"",$F61&lt;&gt;0),
                        SUMIF(CÁLCULO!$BS$15:$CS$244,CRONO!AJ$12,CÁLCULO!$AR$15:$BR$244)/(ORÇAMENTO!$X$15-CÁLCULO.TotalAdmLocal)*CRONO!$F61,
                        0),
                 AJ60*$S59),
          SUMIF(OFFSET($S61,1,0,$R59-2),($M59+1)&amp;"$",OFFSET(AJ61,1,0,$R59-2)))</f>
        <v>0</v>
      </c>
      <c r="AK61" s="202" cm="1">
        <f t="array" aca="1" ref="AK61" ca="1">IF($R59=2,
         IF(AND(ACOMPANHAMENTO="PLE",ISNUMBER($F59)),
                SUMIF((OFFSET(CÁLCULO!$BS$15:$CS$15,$F59,0,OFFSET(ORÇAMENTO!$D$15,CRONO!$F59,0))),CRONO!AK$12,OFFSET(CÁLCULO!$AR$15:$BR$15,$F59,0,OFFSET(ORÇAMENTO!$D$15,CRONO!$F59,0)))
                +IF(AND($F61&lt;&gt;"",$F61&lt;&gt;0),
                        SUMIF(CÁLCULO!$BS$15:$CS$244,CRONO!AK$12,CÁLCULO!$AR$15:$BR$244)/(ORÇAMENTO!$X$15-CÁLCULO.TotalAdmLocal)*CRONO!$F61,
                        0),
                 AK60*$S59),
          SUMIF(OFFSET($S61,1,0,$R59-2),($M59+1)&amp;"$",OFFSET(AK61,1,0,$R59-2)))</f>
        <v>0</v>
      </c>
      <c r="AL61" s="202" cm="1">
        <f t="array" aca="1" ref="AL61" ca="1">IF($R59=2,
         IF(AND(ACOMPANHAMENTO="PLE",ISNUMBER($F59)),
                SUMIF((OFFSET(CÁLCULO!$BS$15:$CS$15,$F59,0,OFFSET(ORÇAMENTO!$D$15,CRONO!$F59,0))),CRONO!AL$12,OFFSET(CÁLCULO!$AR$15:$BR$15,$F59,0,OFFSET(ORÇAMENTO!$D$15,CRONO!$F59,0)))
                +IF(AND($F61&lt;&gt;"",$F61&lt;&gt;0),
                        SUMIF(CÁLCULO!$BS$15:$CS$244,CRONO!AL$12,CÁLCULO!$AR$15:$BR$244)/(ORÇAMENTO!$X$15-CÁLCULO.TotalAdmLocal)*CRONO!$F61,
                        0),
                 AL60*$S59),
          SUMIF(OFFSET($S61,1,0,$R59-2),($M59+1)&amp;"$",OFFSET(AL61,1,0,$R59-2)))</f>
        <v>0</v>
      </c>
      <c r="AM61" s="202" cm="1">
        <f t="array" aca="1" ref="AM61" ca="1">IF($R59=2,
         IF(AND(ACOMPANHAMENTO="PLE",ISNUMBER($F59)),
                SUMIF((OFFSET(CÁLCULO!$BS$15:$CS$15,$F59,0,OFFSET(ORÇAMENTO!$D$15,CRONO!$F59,0))),CRONO!AM$12,OFFSET(CÁLCULO!$AR$15:$BR$15,$F59,0,OFFSET(ORÇAMENTO!$D$15,CRONO!$F59,0)))
                +IF(AND($F61&lt;&gt;"",$F61&lt;&gt;0),
                        SUMIF(CÁLCULO!$BS$15:$CS$244,CRONO!AM$12,CÁLCULO!$AR$15:$BR$244)/(ORÇAMENTO!$X$15-CÁLCULO.TotalAdmLocal)*CRONO!$F61,
                        0),
                 AM60*$S59),
          SUMIF(OFFSET($S61,1,0,$R59-2),($M59+1)&amp;"$",OFFSET(AM61,1,0,$R59-2)))</f>
        <v>0</v>
      </c>
      <c r="AN61" s="202" cm="1">
        <f t="array" aca="1" ref="AN61" ca="1">IF($R59=2,
         IF(AND(ACOMPANHAMENTO="PLE",ISNUMBER($F59)),
                SUMIF((OFFSET(CÁLCULO!$BS$15:$CS$15,$F59,0,OFFSET(ORÇAMENTO!$D$15,CRONO!$F59,0))),CRONO!AN$12,OFFSET(CÁLCULO!$AR$15:$BR$15,$F59,0,OFFSET(ORÇAMENTO!$D$15,CRONO!$F59,0)))
                +IF(AND($F61&lt;&gt;"",$F61&lt;&gt;0),
                        SUMIF(CÁLCULO!$BS$15:$CS$244,CRONO!AN$12,CÁLCULO!$AR$15:$BR$244)/(ORÇAMENTO!$X$15-CÁLCULO.TotalAdmLocal)*CRONO!$F61,
                        0),
                 AN60*$S59),
          SUMIF(OFFSET($S61,1,0,$R59-2),($M59+1)&amp;"$",OFFSET(AN61,1,0,$R59-2)))</f>
        <v>0</v>
      </c>
      <c r="AO61" s="202" cm="1">
        <f t="array" aca="1" ref="AO61" ca="1">IF($R59=2,
         IF(AND(ACOMPANHAMENTO="PLE",ISNUMBER($F59)),
                SUMIF((OFFSET(CÁLCULO!$BS$15:$CS$15,$F59,0,OFFSET(ORÇAMENTO!$D$15,CRONO!$F59,0))),CRONO!AO$12,OFFSET(CÁLCULO!$AR$15:$BR$15,$F59,0,OFFSET(ORÇAMENTO!$D$15,CRONO!$F59,0)))
                +IF(AND($F61&lt;&gt;"",$F61&lt;&gt;0),
                        SUMIF(CÁLCULO!$BS$15:$CS$244,CRONO!AO$12,CÁLCULO!$AR$15:$BR$244)/(ORÇAMENTO!$X$15-CÁLCULO.TotalAdmLocal)*CRONO!$F61,
                        0),
                 AO60*$S59),
          SUMIF(OFFSET($S61,1,0,$R59-2),($M59+1)&amp;"$",OFFSET(AO61,1,0,$R59-2)))</f>
        <v>0</v>
      </c>
      <c r="AP61" s="202" cm="1">
        <f t="array" aca="1" ref="AP61" ca="1">IF($R59=2,
         IF(AND(ACOMPANHAMENTO="PLE",ISNUMBER($F59)),
                SUMIF((OFFSET(CÁLCULO!$BS$15:$CS$15,$F59,0,OFFSET(ORÇAMENTO!$D$15,CRONO!$F59,0))),CRONO!AP$12,OFFSET(CÁLCULO!$AR$15:$BR$15,$F59,0,OFFSET(ORÇAMENTO!$D$15,CRONO!$F59,0)))
                +IF(AND($F61&lt;&gt;"",$F61&lt;&gt;0),
                        SUMIF(CÁLCULO!$BS$15:$CS$244,CRONO!AP$12,CÁLCULO!$AR$15:$BR$244)/(ORÇAMENTO!$X$15-CÁLCULO.TotalAdmLocal)*CRONO!$F61,
                        0),
                 AP60*$S59),
          SUMIF(OFFSET($S61,1,0,$R59-2),($M59+1)&amp;"$",OFFSET(AP61,1,0,$R59-2)))</f>
        <v>0</v>
      </c>
      <c r="AQ61" s="202" cm="1">
        <f t="array" aca="1" ref="AQ61" ca="1">IF($R59=2,
         IF(AND(ACOMPANHAMENTO="PLE",ISNUMBER($F59)),
                SUMIF((OFFSET(CÁLCULO!$BS$15:$CS$15,$F59,0,OFFSET(ORÇAMENTO!$D$15,CRONO!$F59,0))),CRONO!AQ$12,OFFSET(CÁLCULO!$AR$15:$BR$15,$F59,0,OFFSET(ORÇAMENTO!$D$15,CRONO!$F59,0)))
                +IF(AND($F61&lt;&gt;"",$F61&lt;&gt;0),
                        SUMIF(CÁLCULO!$BS$15:$CS$244,CRONO!AQ$12,CÁLCULO!$AR$15:$BR$244)/(ORÇAMENTO!$X$15-CÁLCULO.TotalAdmLocal)*CRONO!$F61,
                        0),
                 AQ60*$S59),
          SUMIF(OFFSET($S61,1,0,$R59-2),($M59+1)&amp;"$",OFFSET(AQ61,1,0,$R59-2)))</f>
        <v>0</v>
      </c>
      <c r="AR61" s="202" cm="1">
        <f t="array" aca="1" ref="AR61" ca="1">IF($R59=2,
         IF(AND(ACOMPANHAMENTO="PLE",ISNUMBER($F59)),
                SUMIF((OFFSET(CÁLCULO!$BS$15:$CS$15,$F59,0,OFFSET(ORÇAMENTO!$D$15,CRONO!$F59,0))),CRONO!AR$12,OFFSET(CÁLCULO!$AR$15:$BR$15,$F59,0,OFFSET(ORÇAMENTO!$D$15,CRONO!$F59,0)))
                +IF(AND($F61&lt;&gt;"",$F61&lt;&gt;0),
                        SUMIF(CÁLCULO!$BS$15:$CS$244,CRONO!AR$12,CÁLCULO!$AR$15:$BR$244)/(ORÇAMENTO!$X$15-CÁLCULO.TotalAdmLocal)*CRONO!$F61,
                        0),
                 AR60*$S59),
          SUMIF(OFFSET($S61,1,0,$R59-2),($M59+1)&amp;"$",OFFSET(AR61,1,0,$R59-2)))</f>
        <v>0</v>
      </c>
      <c r="AS61" s="534"/>
    </row>
    <row r="62" spans="1:45" x14ac:dyDescent="0.2">
      <c r="A62" s="186" t="e">
        <f t="shared" ref="A62" ca="1" si="98">IF($M62&gt;1,_xlfn.CONCAT($I62," ",$J62),"")</f>
        <v>#NAME?</v>
      </c>
      <c r="B62" s="185">
        <f t="shared" ref="B62" ca="1" si="99">OFFSET(B62,-3,0)+1</f>
        <v>17</v>
      </c>
      <c r="C62" s="185">
        <f ca="1">IF($R62&lt;&gt;2,0,IF($S62=0,1,IF(F63&gt;0,OFFSET(QCI!$M$13,SUBSTITUTE(F63,".",""),0),OFFSET(ORÇAMENTO!$AA$15,CRONO!$F62,0))/$S62))</f>
        <v>1</v>
      </c>
      <c r="D62" s="185">
        <f ca="1">IF($R62&lt;&gt;2,0,IF($S62=0,1,IF(F63&gt;0,OFFSET(QCI!$N$13,SUBSTITUTE(F63,".",""),0),OFFSET(ORÇAMENTO!$AB$15,CRONO!$F62,0))/$S62))</f>
        <v>1</v>
      </c>
      <c r="E62" s="188" t="e" cm="1">
        <f t="array" aca="1" ref="E62" ca="1">IF(AND($R62=2,ACOMPANHAMENTO="BM"),ROUND(E63,4),E64/$S62)</f>
        <v>#DIV/0!</v>
      </c>
      <c r="F62" s="185" cm="1">
        <f t="array" aca="1" ref="F62" ca="1">IF(B62&lt;=ORÇAMENTO.MáximoListaCrono,MATCH(B62,ORÇAMENTO.ListaCrono,0),NA())</f>
        <v>61</v>
      </c>
      <c r="G62" s="185" t="str">
        <f t="shared" ref="G62" ca="1" si="100">IF(AND($F63&lt;&gt;-1,$S62&gt;0),"F","")</f>
        <v/>
      </c>
      <c r="H62" s="189" t="str" cm="1">
        <f t="array" aca="1" ref="H62" ca="1">IF(OR(S62=0,S62=""),"Linha",IF(AND(OR(ACOMPANHAMENTO="PLE",$R62&lt;&gt;2),$F63=0),"Linha",ROUND(1-SUM(U62:AS62),4)))</f>
        <v>Linha</v>
      </c>
      <c r="I62" s="190" t="str">
        <f ca="1">IF($F63=0,OFFSET(ORÇAMENTO!O$15,$F62,0),IF($F63&lt;&gt;-1,OFFSET(QCI!$D$13,$F63,0),""))</f>
        <v>6.1.</v>
      </c>
      <c r="J62" s="191" t="str">
        <f ca="1">IF($F63=0,OFFSET(ORÇAMENTO!R$15,$F62,0),IF($F63&lt;&gt;-1,OFFSET(QCI!$G$13,$F63,0),""))</f>
        <v>TELHADOS</v>
      </c>
      <c r="K62" s="191"/>
      <c r="L62" s="191"/>
      <c r="M62" s="192">
        <f ca="1">IF($F63=0,OFFSET(ORÇAMENTO!C$15,$F62,0),1)</f>
        <v>2</v>
      </c>
      <c r="N62" s="193">
        <f ca="1">IF($F63=-1,0,IF(N$13&lt;=$M62,IF(ISERROR(MATCH(N$13,OFFSET($M62,1,0,ROW($M$164)-ROW($M62)-1),0)),ROW($M$164)-ROW($M62)-1,MATCH(N$13,OFFSET($M62,1,0,ROW($M$164)-ROW($M62)-1),0)-1),0))</f>
        <v>2</v>
      </c>
      <c r="O62" s="193">
        <f ca="1">IF($F63=-1,0,IF(O$13&lt;=$M62,IF(ISERROR(MATCH(O$13,OFFSET($M62,1,0,ROW($M$164)-ROW($M62)-1),0)),ROW($M$164)-ROW($M62)-1,MATCH(O$13,OFFSET($M62,1,0,ROW($M$164)-ROW($M62)-1),0)-1),0))</f>
        <v>5</v>
      </c>
      <c r="P62" s="193">
        <f ca="1">IF($F63=-1,0,IF(P$13&lt;=$M62,IF(ISERROR(MATCH(P$13,OFFSET($M62,1,0,ROW($M$164)-ROW($M62)-1),0)),ROW($M$164)-ROW($M62)-1,MATCH(P$13,OFFSET($M62,1,0,ROW($M$164)-ROW($M62)-1),0)-1),0))</f>
        <v>0</v>
      </c>
      <c r="Q62" s="193">
        <f ca="1">IF($F63=-1,0,IF(Q$13&lt;=$M62,IF(ISERROR(MATCH(Q$13,OFFSET($M62,1,0,ROW($M$164)-ROW($M62)-1),0)),ROW($M$164)-ROW($M62)-1,MATCH(Q$13,OFFSET($M62,1,0,ROW($M$164)-ROW($M62)-1),0)-1),0))</f>
        <v>0</v>
      </c>
      <c r="R62" s="193">
        <f t="shared" ref="R62" ca="1" si="101">MIN(OFFSET(M62,0,1,,M62))</f>
        <v>2</v>
      </c>
      <c r="S62" s="194">
        <f ca="1">IF($F63=0,OFFSET(ORÇAMENTO!X$15,$F62,0),IF($F63&lt;&gt;-1,OFFSET(QCI!$O$13,$F63,0),""))</f>
        <v>0</v>
      </c>
      <c r="T62" s="195" t="s">
        <v>785</v>
      </c>
      <c r="U62" s="188" t="e" cm="1">
        <f t="array" aca="1" ref="U62" ca="1">IF(AND($R62=2,ACOMPANHAMENTO="BM"),ROUND(U63,4),U64/$S62)</f>
        <v>#DIV/0!</v>
      </c>
      <c r="V62" s="188" t="e" cm="1">
        <f t="array" aca="1" ref="V62" ca="1">IF(AND($R62=2,ACOMPANHAMENTO="BM"),ROUND(V63,4),V64/$S62)</f>
        <v>#DIV/0!</v>
      </c>
      <c r="W62" s="188" t="e" cm="1">
        <f t="array" aca="1" ref="W62" ca="1">IF(AND($R62=2,ACOMPANHAMENTO="BM"),ROUND(W63,4),W64/$S62)</f>
        <v>#DIV/0!</v>
      </c>
      <c r="X62" s="188" t="e" cm="1">
        <f t="array" aca="1" ref="X62" ca="1">IF(AND($R62=2,ACOMPANHAMENTO="BM"),ROUND(X63,4),X64/$S62)</f>
        <v>#DIV/0!</v>
      </c>
      <c r="Y62" s="188" t="e" cm="1">
        <f t="array" aca="1" ref="Y62" ca="1">IF(AND($R62=2,ACOMPANHAMENTO="BM"),ROUND(Y63,4),Y64/$S62)</f>
        <v>#DIV/0!</v>
      </c>
      <c r="Z62" s="188" t="e" cm="1">
        <f t="array" aca="1" ref="Z62" ca="1">IF(AND($R62=2,ACOMPANHAMENTO="BM"),ROUND(Z63,4),Z64/$S62)</f>
        <v>#DIV/0!</v>
      </c>
      <c r="AA62" s="188" t="e" cm="1">
        <f t="array" aca="1" ref="AA62" ca="1">IF(AND($R62=2,ACOMPANHAMENTO="BM"),ROUND(AA63,4),AA64/$S62)</f>
        <v>#DIV/0!</v>
      </c>
      <c r="AB62" s="188" t="e" cm="1">
        <f t="array" aca="1" ref="AB62" ca="1">IF(AND($R62=2,ACOMPANHAMENTO="BM"),ROUND(AB63,4),AB64/$S62)</f>
        <v>#DIV/0!</v>
      </c>
      <c r="AC62" s="188" t="e" cm="1">
        <f t="array" aca="1" ref="AC62" ca="1">IF(AND($R62=2,ACOMPANHAMENTO="BM"),ROUND(AC63,4),AC64/$S62)</f>
        <v>#DIV/0!</v>
      </c>
      <c r="AD62" s="188" t="e" cm="1">
        <f t="array" aca="1" ref="AD62" ca="1">IF(AND($R62=2,ACOMPANHAMENTO="BM"),ROUND(AD63,4),AD64/$S62)</f>
        <v>#DIV/0!</v>
      </c>
      <c r="AE62" s="188" t="e" cm="1">
        <f t="array" aca="1" ref="AE62" ca="1">IF(AND($R62=2,ACOMPANHAMENTO="BM"),ROUND(AE63,4),AE64/$S62)</f>
        <v>#DIV/0!</v>
      </c>
      <c r="AF62" s="188" t="e" cm="1">
        <f t="array" aca="1" ref="AF62" ca="1">IF(AND($R62=2,ACOMPANHAMENTO="BM"),ROUND(AF63,4),AF64/$S62)</f>
        <v>#DIV/0!</v>
      </c>
      <c r="AG62" s="188" t="e" cm="1">
        <f t="array" aca="1" ref="AG62" ca="1">IF(AND($R62=2,ACOMPANHAMENTO="BM"),ROUND(AG63,4),AG64/$S62)</f>
        <v>#DIV/0!</v>
      </c>
      <c r="AH62" s="188" t="e" cm="1">
        <f t="array" aca="1" ref="AH62" ca="1">IF(AND($R62=2,ACOMPANHAMENTO="BM"),ROUND(AH63,4),AH64/$S62)</f>
        <v>#DIV/0!</v>
      </c>
      <c r="AI62" s="188" t="e" cm="1">
        <f t="array" aca="1" ref="AI62" ca="1">IF(AND($R62=2,ACOMPANHAMENTO="BM"),ROUND(AI63,4),AI64/$S62)</f>
        <v>#DIV/0!</v>
      </c>
      <c r="AJ62" s="188" t="e" cm="1">
        <f t="array" aca="1" ref="AJ62" ca="1">IF(AND($R62=2,ACOMPANHAMENTO="BM"),ROUND(AJ63,4),AJ64/$S62)</f>
        <v>#DIV/0!</v>
      </c>
      <c r="AK62" s="188" t="e" cm="1">
        <f t="array" aca="1" ref="AK62" ca="1">IF(AND($R62=2,ACOMPANHAMENTO="BM"),ROUND(AK63,4),AK64/$S62)</f>
        <v>#DIV/0!</v>
      </c>
      <c r="AL62" s="188" t="e" cm="1">
        <f t="array" aca="1" ref="AL62" ca="1">IF(AND($R62=2,ACOMPANHAMENTO="BM"),ROUND(AL63,4),AL64/$S62)</f>
        <v>#DIV/0!</v>
      </c>
      <c r="AM62" s="188" t="e" cm="1">
        <f t="array" aca="1" ref="AM62" ca="1">IF(AND($R62=2,ACOMPANHAMENTO="BM"),ROUND(AM63,4),AM64/$S62)</f>
        <v>#DIV/0!</v>
      </c>
      <c r="AN62" s="188" t="e" cm="1">
        <f t="array" aca="1" ref="AN62" ca="1">IF(AND($R62=2,ACOMPANHAMENTO="BM"),ROUND(AN63,4),AN64/$S62)</f>
        <v>#DIV/0!</v>
      </c>
      <c r="AO62" s="188" t="e" cm="1">
        <f t="array" aca="1" ref="AO62" ca="1">IF(AND($R62=2,ACOMPANHAMENTO="BM"),ROUND(AO63,4),AO64/$S62)</f>
        <v>#DIV/0!</v>
      </c>
      <c r="AP62" s="188" t="e" cm="1">
        <f t="array" aca="1" ref="AP62" ca="1">IF(AND($R62=2,ACOMPANHAMENTO="BM"),ROUND(AP63,4),AP64/$S62)</f>
        <v>#DIV/0!</v>
      </c>
      <c r="AQ62" s="188" t="e" cm="1">
        <f t="array" aca="1" ref="AQ62" ca="1">IF(AND($R62=2,ACOMPANHAMENTO="BM"),ROUND(AQ63,4),AQ64/$S62)</f>
        <v>#DIV/0!</v>
      </c>
      <c r="AR62" s="188" t="e" cm="1">
        <f t="array" aca="1" ref="AR62" ca="1">IF(AND($R62=2,ACOMPANHAMENTO="BM"),ROUND(AR63,4),AR64/$S62)</f>
        <v>#DIV/0!</v>
      </c>
      <c r="AS62" s="534"/>
    </row>
    <row r="63" spans="1:45" ht="12.75" hidden="1" customHeight="1" x14ac:dyDescent="0.2">
      <c r="E63" s="587"/>
      <c r="F63" s="185">
        <f ca="1">IF(ISERROR(F62),IF(1+COUNTIF($M$13:OFFSET(M62,-1,0),1)&lt;=MAX(QCI!$D$13:$D$24),1+COUNTIF($M$13:OFFSET(M62,-1,0),1),-1),0)</f>
        <v>0</v>
      </c>
      <c r="G63" s="185" t="str" cm="1">
        <f t="array" aca="1" ref="G63" ca="1">IF(ACOMPANHAMENTO="BM",OFFSET(G63,-1,0),"")</f>
        <v/>
      </c>
      <c r="H63" s="196" t="str" cm="1">
        <f t="array" aca="1" ref="H63" ca="1">IF(OR(S62=0,S62=""),"vazia",IF(AND(OR(ACOMPANHAMENTO="PLE",$R62&lt;&gt;2),$F63=0),"calculada","--&gt;"))</f>
        <v>vazia</v>
      </c>
      <c r="I63" s="197"/>
      <c r="J63" s="198" t="str">
        <f t="shared" ref="J63" ca="1" si="102">IF(AND(H62&lt;&gt;0,ISNUMBER(H62)),"PREENCHA ESTA LINHA --&gt;","")</f>
        <v/>
      </c>
      <c r="K63" s="198"/>
      <c r="L63" s="198"/>
      <c r="M63" s="199"/>
      <c r="N63" s="199"/>
      <c r="O63" s="199"/>
      <c r="P63" s="199"/>
      <c r="Q63" s="199"/>
      <c r="R63" s="199"/>
      <c r="S63" s="200"/>
      <c r="T63" s="201"/>
      <c r="U63" s="587"/>
      <c r="V63" s="587"/>
      <c r="W63" s="587"/>
      <c r="X63" s="587"/>
      <c r="Y63" s="587"/>
      <c r="Z63" s="587"/>
      <c r="AA63" s="587"/>
      <c r="AB63" s="587"/>
      <c r="AC63" s="587"/>
      <c r="AD63" s="587"/>
      <c r="AE63" s="587"/>
      <c r="AF63" s="587"/>
      <c r="AG63" s="587"/>
      <c r="AH63" s="587"/>
      <c r="AI63" s="587"/>
      <c r="AJ63" s="587"/>
      <c r="AK63" s="587"/>
      <c r="AL63" s="587"/>
      <c r="AM63" s="587"/>
      <c r="AN63" s="587"/>
      <c r="AO63" s="587"/>
      <c r="AP63" s="587"/>
      <c r="AQ63" s="587"/>
      <c r="AR63" s="587"/>
      <c r="AS63" s="534"/>
    </row>
    <row r="64" spans="1:45" ht="12.75" hidden="1" customHeight="1" x14ac:dyDescent="0.2">
      <c r="D64" s="533"/>
      <c r="E64" s="202" cm="1">
        <f t="array" aca="1" ref="E64" ca="1">IF($R62=2,
         IF(AND(ACOMPANHAMENTO="PLE",ISNUMBER($F62)),
                SUMIF((OFFSET(CÁLCULO!$BS$15:$CS$15,$F62,0,OFFSET(ORÇAMENTO!$D$15,CRONO!$F62,0))),CRONO!E$12,OFFSET(CÁLCULO!$AR$15:$BR$15,$F62,0,OFFSET(ORÇAMENTO!$D$15,CRONO!$F62,0)))
                +IF(AND($F64&lt;&gt;"",$F64&lt;&gt;0),
                        SUMIF(CÁLCULO!$BS$15:$CS$244,CRONO!E$12,CÁLCULO!$AR$15:$BR$244)/(ORÇAMENTO!$X$15-CÁLCULO.TotalAdmLocal)*CRONO!$F64,
                        0),
                 E63*$S62),
          SUMIF(OFFSET($S64,1,0,$R62-2),($M62+1)&amp;"$",OFFSET(E64,1,0,$R62-2)))</f>
        <v>0</v>
      </c>
      <c r="F64" s="185">
        <f ca="1">IF(OR($R62&lt;&gt;2,AUTOEVENTO&lt;&gt;"manual",$F63&gt;0),"",
        IF(Import.TipoArredondamento="Tradicional",
              SUMIF(OFFSET(CÁLCULO!$M$15,CRONO!$F62,0,OFFSET(ORÇAMENTO!$D$15,CRONO!$F62,0)),1,OFFSET(ORÇAMENTO!$X$15,CRONO!$F62,0,OFFSET(ORÇAMENTO!$D$15,CRONO!$F62,0))),
              0))</f>
        <v>0</v>
      </c>
      <c r="H64" s="203"/>
      <c r="S64" s="204" t="str">
        <f t="shared" ref="S64" ca="1" si="103">M62&amp;"$"</f>
        <v>2$</v>
      </c>
      <c r="T64" s="205"/>
      <c r="U64" s="202" cm="1">
        <f t="array" aca="1" ref="U64" ca="1">IF($R62=2,
         IF(AND(ACOMPANHAMENTO="PLE",ISNUMBER($F62)),
                SUMIF((OFFSET(CÁLCULO!$BS$15:$CS$15,$F62,0,OFFSET(ORÇAMENTO!$D$15,CRONO!$F62,0))),CRONO!U$12,OFFSET(CÁLCULO!$AR$15:$BR$15,$F62,0,OFFSET(ORÇAMENTO!$D$15,CRONO!$F62,0)))
                +IF(AND($F64&lt;&gt;"",$F64&lt;&gt;0),
                        SUMIF(CÁLCULO!$BS$15:$CS$244,CRONO!U$12,CÁLCULO!$AR$15:$BR$244)/(ORÇAMENTO!$X$15-CÁLCULO.TotalAdmLocal)*CRONO!$F64,
                        0),
                 U63*$S62),
          SUMIF(OFFSET($S64,1,0,$R62-2),($M62+1)&amp;"$",OFFSET(U64,1,0,$R62-2)))</f>
        <v>0</v>
      </c>
      <c r="V64" s="202" cm="1">
        <f t="array" aca="1" ref="V64" ca="1">IF($R62=2,
         IF(AND(ACOMPANHAMENTO="PLE",ISNUMBER($F62)),
                SUMIF((OFFSET(CÁLCULO!$BS$15:$CS$15,$F62,0,OFFSET(ORÇAMENTO!$D$15,CRONO!$F62,0))),CRONO!V$12,OFFSET(CÁLCULO!$AR$15:$BR$15,$F62,0,OFFSET(ORÇAMENTO!$D$15,CRONO!$F62,0)))
                +IF(AND($F64&lt;&gt;"",$F64&lt;&gt;0),
                        SUMIF(CÁLCULO!$BS$15:$CS$244,CRONO!V$12,CÁLCULO!$AR$15:$BR$244)/(ORÇAMENTO!$X$15-CÁLCULO.TotalAdmLocal)*CRONO!$F64,
                        0),
                 V63*$S62),
          SUMIF(OFFSET($S64,1,0,$R62-2),($M62+1)&amp;"$",OFFSET(V64,1,0,$R62-2)))</f>
        <v>0</v>
      </c>
      <c r="W64" s="202" cm="1">
        <f t="array" aca="1" ref="W64" ca="1">IF($R62=2,
         IF(AND(ACOMPANHAMENTO="PLE",ISNUMBER($F62)),
                SUMIF((OFFSET(CÁLCULO!$BS$15:$CS$15,$F62,0,OFFSET(ORÇAMENTO!$D$15,CRONO!$F62,0))),CRONO!W$12,OFFSET(CÁLCULO!$AR$15:$BR$15,$F62,0,OFFSET(ORÇAMENTO!$D$15,CRONO!$F62,0)))
                +IF(AND($F64&lt;&gt;"",$F64&lt;&gt;0),
                        SUMIF(CÁLCULO!$BS$15:$CS$244,CRONO!W$12,CÁLCULO!$AR$15:$BR$244)/(ORÇAMENTO!$X$15-CÁLCULO.TotalAdmLocal)*CRONO!$F64,
                        0),
                 W63*$S62),
          SUMIF(OFFSET($S64,1,0,$R62-2),($M62+1)&amp;"$",OFFSET(W64,1,0,$R62-2)))</f>
        <v>0</v>
      </c>
      <c r="X64" s="202" cm="1">
        <f t="array" aca="1" ref="X64" ca="1">IF($R62=2,
         IF(AND(ACOMPANHAMENTO="PLE",ISNUMBER($F62)),
                SUMIF((OFFSET(CÁLCULO!$BS$15:$CS$15,$F62,0,OFFSET(ORÇAMENTO!$D$15,CRONO!$F62,0))),CRONO!X$12,OFFSET(CÁLCULO!$AR$15:$BR$15,$F62,0,OFFSET(ORÇAMENTO!$D$15,CRONO!$F62,0)))
                +IF(AND($F64&lt;&gt;"",$F64&lt;&gt;0),
                        SUMIF(CÁLCULO!$BS$15:$CS$244,CRONO!X$12,CÁLCULO!$AR$15:$BR$244)/(ORÇAMENTO!$X$15-CÁLCULO.TotalAdmLocal)*CRONO!$F64,
                        0),
                 X63*$S62),
          SUMIF(OFFSET($S64,1,0,$R62-2),($M62+1)&amp;"$",OFFSET(X64,1,0,$R62-2)))</f>
        <v>0</v>
      </c>
      <c r="Y64" s="202" cm="1">
        <f t="array" aca="1" ref="Y64" ca="1">IF($R62=2,
         IF(AND(ACOMPANHAMENTO="PLE",ISNUMBER($F62)),
                SUMIF((OFFSET(CÁLCULO!$BS$15:$CS$15,$F62,0,OFFSET(ORÇAMENTO!$D$15,CRONO!$F62,0))),CRONO!Y$12,OFFSET(CÁLCULO!$AR$15:$BR$15,$F62,0,OFFSET(ORÇAMENTO!$D$15,CRONO!$F62,0)))
                +IF(AND($F64&lt;&gt;"",$F64&lt;&gt;0),
                        SUMIF(CÁLCULO!$BS$15:$CS$244,CRONO!Y$12,CÁLCULO!$AR$15:$BR$244)/(ORÇAMENTO!$X$15-CÁLCULO.TotalAdmLocal)*CRONO!$F64,
                        0),
                 Y63*$S62),
          SUMIF(OFFSET($S64,1,0,$R62-2),($M62+1)&amp;"$",OFFSET(Y64,1,0,$R62-2)))</f>
        <v>0</v>
      </c>
      <c r="Z64" s="202" cm="1">
        <f t="array" aca="1" ref="Z64" ca="1">IF($R62=2,
         IF(AND(ACOMPANHAMENTO="PLE",ISNUMBER($F62)),
                SUMIF((OFFSET(CÁLCULO!$BS$15:$CS$15,$F62,0,OFFSET(ORÇAMENTO!$D$15,CRONO!$F62,0))),CRONO!Z$12,OFFSET(CÁLCULO!$AR$15:$BR$15,$F62,0,OFFSET(ORÇAMENTO!$D$15,CRONO!$F62,0)))
                +IF(AND($F64&lt;&gt;"",$F64&lt;&gt;0),
                        SUMIF(CÁLCULO!$BS$15:$CS$244,CRONO!Z$12,CÁLCULO!$AR$15:$BR$244)/(ORÇAMENTO!$X$15-CÁLCULO.TotalAdmLocal)*CRONO!$F64,
                        0),
                 Z63*$S62),
          SUMIF(OFFSET($S64,1,0,$R62-2),($M62+1)&amp;"$",OFFSET(Z64,1,0,$R62-2)))</f>
        <v>0</v>
      </c>
      <c r="AA64" s="202" cm="1">
        <f t="array" aca="1" ref="AA64" ca="1">IF($R62=2,
         IF(AND(ACOMPANHAMENTO="PLE",ISNUMBER($F62)),
                SUMIF((OFFSET(CÁLCULO!$BS$15:$CS$15,$F62,0,OFFSET(ORÇAMENTO!$D$15,CRONO!$F62,0))),CRONO!AA$12,OFFSET(CÁLCULO!$AR$15:$BR$15,$F62,0,OFFSET(ORÇAMENTO!$D$15,CRONO!$F62,0)))
                +IF(AND($F64&lt;&gt;"",$F64&lt;&gt;0),
                        SUMIF(CÁLCULO!$BS$15:$CS$244,CRONO!AA$12,CÁLCULO!$AR$15:$BR$244)/(ORÇAMENTO!$X$15-CÁLCULO.TotalAdmLocal)*CRONO!$F64,
                        0),
                 AA63*$S62),
          SUMIF(OFFSET($S64,1,0,$R62-2),($M62+1)&amp;"$",OFFSET(AA64,1,0,$R62-2)))</f>
        <v>0</v>
      </c>
      <c r="AB64" s="202" cm="1">
        <f t="array" aca="1" ref="AB64" ca="1">IF($R62=2,
         IF(AND(ACOMPANHAMENTO="PLE",ISNUMBER($F62)),
                SUMIF((OFFSET(CÁLCULO!$BS$15:$CS$15,$F62,0,OFFSET(ORÇAMENTO!$D$15,CRONO!$F62,0))),CRONO!AB$12,OFFSET(CÁLCULO!$AR$15:$BR$15,$F62,0,OFFSET(ORÇAMENTO!$D$15,CRONO!$F62,0)))
                +IF(AND($F64&lt;&gt;"",$F64&lt;&gt;0),
                        SUMIF(CÁLCULO!$BS$15:$CS$244,CRONO!AB$12,CÁLCULO!$AR$15:$BR$244)/(ORÇAMENTO!$X$15-CÁLCULO.TotalAdmLocal)*CRONO!$F64,
                        0),
                 AB63*$S62),
          SUMIF(OFFSET($S64,1,0,$R62-2),($M62+1)&amp;"$",OFFSET(AB64,1,0,$R62-2)))</f>
        <v>0</v>
      </c>
      <c r="AC64" s="202" cm="1">
        <f t="array" aca="1" ref="AC64" ca="1">IF($R62=2,
         IF(AND(ACOMPANHAMENTO="PLE",ISNUMBER($F62)),
                SUMIF((OFFSET(CÁLCULO!$BS$15:$CS$15,$F62,0,OFFSET(ORÇAMENTO!$D$15,CRONO!$F62,0))),CRONO!AC$12,OFFSET(CÁLCULO!$AR$15:$BR$15,$F62,0,OFFSET(ORÇAMENTO!$D$15,CRONO!$F62,0)))
                +IF(AND($F64&lt;&gt;"",$F64&lt;&gt;0),
                        SUMIF(CÁLCULO!$BS$15:$CS$244,CRONO!AC$12,CÁLCULO!$AR$15:$BR$244)/(ORÇAMENTO!$X$15-CÁLCULO.TotalAdmLocal)*CRONO!$F64,
                        0),
                 AC63*$S62),
          SUMIF(OFFSET($S64,1,0,$R62-2),($M62+1)&amp;"$",OFFSET(AC64,1,0,$R62-2)))</f>
        <v>0</v>
      </c>
      <c r="AD64" s="202" cm="1">
        <f t="array" aca="1" ref="AD64" ca="1">IF($R62=2,
         IF(AND(ACOMPANHAMENTO="PLE",ISNUMBER($F62)),
                SUMIF((OFFSET(CÁLCULO!$BS$15:$CS$15,$F62,0,OFFSET(ORÇAMENTO!$D$15,CRONO!$F62,0))),CRONO!AD$12,OFFSET(CÁLCULO!$AR$15:$BR$15,$F62,0,OFFSET(ORÇAMENTO!$D$15,CRONO!$F62,0)))
                +IF(AND($F64&lt;&gt;"",$F64&lt;&gt;0),
                        SUMIF(CÁLCULO!$BS$15:$CS$244,CRONO!AD$12,CÁLCULO!$AR$15:$BR$244)/(ORÇAMENTO!$X$15-CÁLCULO.TotalAdmLocal)*CRONO!$F64,
                        0),
                 AD63*$S62),
          SUMIF(OFFSET($S64,1,0,$R62-2),($M62+1)&amp;"$",OFFSET(AD64,1,0,$R62-2)))</f>
        <v>0</v>
      </c>
      <c r="AE64" s="202" cm="1">
        <f t="array" aca="1" ref="AE64" ca="1">IF($R62=2,
         IF(AND(ACOMPANHAMENTO="PLE",ISNUMBER($F62)),
                SUMIF((OFFSET(CÁLCULO!$BS$15:$CS$15,$F62,0,OFFSET(ORÇAMENTO!$D$15,CRONO!$F62,0))),CRONO!AE$12,OFFSET(CÁLCULO!$AR$15:$BR$15,$F62,0,OFFSET(ORÇAMENTO!$D$15,CRONO!$F62,0)))
                +IF(AND($F64&lt;&gt;"",$F64&lt;&gt;0),
                        SUMIF(CÁLCULO!$BS$15:$CS$244,CRONO!AE$12,CÁLCULO!$AR$15:$BR$244)/(ORÇAMENTO!$X$15-CÁLCULO.TotalAdmLocal)*CRONO!$F64,
                        0),
                 AE63*$S62),
          SUMIF(OFFSET($S64,1,0,$R62-2),($M62+1)&amp;"$",OFFSET(AE64,1,0,$R62-2)))</f>
        <v>0</v>
      </c>
      <c r="AF64" s="202" cm="1">
        <f t="array" aca="1" ref="AF64" ca="1">IF($R62=2,
         IF(AND(ACOMPANHAMENTO="PLE",ISNUMBER($F62)),
                SUMIF((OFFSET(CÁLCULO!$BS$15:$CS$15,$F62,0,OFFSET(ORÇAMENTO!$D$15,CRONO!$F62,0))),CRONO!AF$12,OFFSET(CÁLCULO!$AR$15:$BR$15,$F62,0,OFFSET(ORÇAMENTO!$D$15,CRONO!$F62,0)))
                +IF(AND($F64&lt;&gt;"",$F64&lt;&gt;0),
                        SUMIF(CÁLCULO!$BS$15:$CS$244,CRONO!AF$12,CÁLCULO!$AR$15:$BR$244)/(ORÇAMENTO!$X$15-CÁLCULO.TotalAdmLocal)*CRONO!$F64,
                        0),
                 AF63*$S62),
          SUMIF(OFFSET($S64,1,0,$R62-2),($M62+1)&amp;"$",OFFSET(AF64,1,0,$R62-2)))</f>
        <v>0</v>
      </c>
      <c r="AG64" s="202" cm="1">
        <f t="array" aca="1" ref="AG64" ca="1">IF($R62=2,
         IF(AND(ACOMPANHAMENTO="PLE",ISNUMBER($F62)),
                SUMIF((OFFSET(CÁLCULO!$BS$15:$CS$15,$F62,0,OFFSET(ORÇAMENTO!$D$15,CRONO!$F62,0))),CRONO!AG$12,OFFSET(CÁLCULO!$AR$15:$BR$15,$F62,0,OFFSET(ORÇAMENTO!$D$15,CRONO!$F62,0)))
                +IF(AND($F64&lt;&gt;"",$F64&lt;&gt;0),
                        SUMIF(CÁLCULO!$BS$15:$CS$244,CRONO!AG$12,CÁLCULO!$AR$15:$BR$244)/(ORÇAMENTO!$X$15-CÁLCULO.TotalAdmLocal)*CRONO!$F64,
                        0),
                 AG63*$S62),
          SUMIF(OFFSET($S64,1,0,$R62-2),($M62+1)&amp;"$",OFFSET(AG64,1,0,$R62-2)))</f>
        <v>0</v>
      </c>
      <c r="AH64" s="202" cm="1">
        <f t="array" aca="1" ref="AH64" ca="1">IF($R62=2,
         IF(AND(ACOMPANHAMENTO="PLE",ISNUMBER($F62)),
                SUMIF((OFFSET(CÁLCULO!$BS$15:$CS$15,$F62,0,OFFSET(ORÇAMENTO!$D$15,CRONO!$F62,0))),CRONO!AH$12,OFFSET(CÁLCULO!$AR$15:$BR$15,$F62,0,OFFSET(ORÇAMENTO!$D$15,CRONO!$F62,0)))
                +IF(AND($F64&lt;&gt;"",$F64&lt;&gt;0),
                        SUMIF(CÁLCULO!$BS$15:$CS$244,CRONO!AH$12,CÁLCULO!$AR$15:$BR$244)/(ORÇAMENTO!$X$15-CÁLCULO.TotalAdmLocal)*CRONO!$F64,
                        0),
                 AH63*$S62),
          SUMIF(OFFSET($S64,1,0,$R62-2),($M62+1)&amp;"$",OFFSET(AH64,1,0,$R62-2)))</f>
        <v>0</v>
      </c>
      <c r="AI64" s="202" cm="1">
        <f t="array" aca="1" ref="AI64" ca="1">IF($R62=2,
         IF(AND(ACOMPANHAMENTO="PLE",ISNUMBER($F62)),
                SUMIF((OFFSET(CÁLCULO!$BS$15:$CS$15,$F62,0,OFFSET(ORÇAMENTO!$D$15,CRONO!$F62,0))),CRONO!AI$12,OFFSET(CÁLCULO!$AR$15:$BR$15,$F62,0,OFFSET(ORÇAMENTO!$D$15,CRONO!$F62,0)))
                +IF(AND($F64&lt;&gt;"",$F64&lt;&gt;0),
                        SUMIF(CÁLCULO!$BS$15:$CS$244,CRONO!AI$12,CÁLCULO!$AR$15:$BR$244)/(ORÇAMENTO!$X$15-CÁLCULO.TotalAdmLocal)*CRONO!$F64,
                        0),
                 AI63*$S62),
          SUMIF(OFFSET($S64,1,0,$R62-2),($M62+1)&amp;"$",OFFSET(AI64,1,0,$R62-2)))</f>
        <v>0</v>
      </c>
      <c r="AJ64" s="202" cm="1">
        <f t="array" aca="1" ref="AJ64" ca="1">IF($R62=2,
         IF(AND(ACOMPANHAMENTO="PLE",ISNUMBER($F62)),
                SUMIF((OFFSET(CÁLCULO!$BS$15:$CS$15,$F62,0,OFFSET(ORÇAMENTO!$D$15,CRONO!$F62,0))),CRONO!AJ$12,OFFSET(CÁLCULO!$AR$15:$BR$15,$F62,0,OFFSET(ORÇAMENTO!$D$15,CRONO!$F62,0)))
                +IF(AND($F64&lt;&gt;"",$F64&lt;&gt;0),
                        SUMIF(CÁLCULO!$BS$15:$CS$244,CRONO!AJ$12,CÁLCULO!$AR$15:$BR$244)/(ORÇAMENTO!$X$15-CÁLCULO.TotalAdmLocal)*CRONO!$F64,
                        0),
                 AJ63*$S62),
          SUMIF(OFFSET($S64,1,0,$R62-2),($M62+1)&amp;"$",OFFSET(AJ64,1,0,$R62-2)))</f>
        <v>0</v>
      </c>
      <c r="AK64" s="202" cm="1">
        <f t="array" aca="1" ref="AK64" ca="1">IF($R62=2,
         IF(AND(ACOMPANHAMENTO="PLE",ISNUMBER($F62)),
                SUMIF((OFFSET(CÁLCULO!$BS$15:$CS$15,$F62,0,OFFSET(ORÇAMENTO!$D$15,CRONO!$F62,0))),CRONO!AK$12,OFFSET(CÁLCULO!$AR$15:$BR$15,$F62,0,OFFSET(ORÇAMENTO!$D$15,CRONO!$F62,0)))
                +IF(AND($F64&lt;&gt;"",$F64&lt;&gt;0),
                        SUMIF(CÁLCULO!$BS$15:$CS$244,CRONO!AK$12,CÁLCULO!$AR$15:$BR$244)/(ORÇAMENTO!$X$15-CÁLCULO.TotalAdmLocal)*CRONO!$F64,
                        0),
                 AK63*$S62),
          SUMIF(OFFSET($S64,1,0,$R62-2),($M62+1)&amp;"$",OFFSET(AK64,1,0,$R62-2)))</f>
        <v>0</v>
      </c>
      <c r="AL64" s="202" cm="1">
        <f t="array" aca="1" ref="AL64" ca="1">IF($R62=2,
         IF(AND(ACOMPANHAMENTO="PLE",ISNUMBER($F62)),
                SUMIF((OFFSET(CÁLCULO!$BS$15:$CS$15,$F62,0,OFFSET(ORÇAMENTO!$D$15,CRONO!$F62,0))),CRONO!AL$12,OFFSET(CÁLCULO!$AR$15:$BR$15,$F62,0,OFFSET(ORÇAMENTO!$D$15,CRONO!$F62,0)))
                +IF(AND($F64&lt;&gt;"",$F64&lt;&gt;0),
                        SUMIF(CÁLCULO!$BS$15:$CS$244,CRONO!AL$12,CÁLCULO!$AR$15:$BR$244)/(ORÇAMENTO!$X$15-CÁLCULO.TotalAdmLocal)*CRONO!$F64,
                        0),
                 AL63*$S62),
          SUMIF(OFFSET($S64,1,0,$R62-2),($M62+1)&amp;"$",OFFSET(AL64,1,0,$R62-2)))</f>
        <v>0</v>
      </c>
      <c r="AM64" s="202" cm="1">
        <f t="array" aca="1" ref="AM64" ca="1">IF($R62=2,
         IF(AND(ACOMPANHAMENTO="PLE",ISNUMBER($F62)),
                SUMIF((OFFSET(CÁLCULO!$BS$15:$CS$15,$F62,0,OFFSET(ORÇAMENTO!$D$15,CRONO!$F62,0))),CRONO!AM$12,OFFSET(CÁLCULO!$AR$15:$BR$15,$F62,0,OFFSET(ORÇAMENTO!$D$15,CRONO!$F62,0)))
                +IF(AND($F64&lt;&gt;"",$F64&lt;&gt;0),
                        SUMIF(CÁLCULO!$BS$15:$CS$244,CRONO!AM$12,CÁLCULO!$AR$15:$BR$244)/(ORÇAMENTO!$X$15-CÁLCULO.TotalAdmLocal)*CRONO!$F64,
                        0),
                 AM63*$S62),
          SUMIF(OFFSET($S64,1,0,$R62-2),($M62+1)&amp;"$",OFFSET(AM64,1,0,$R62-2)))</f>
        <v>0</v>
      </c>
      <c r="AN64" s="202" cm="1">
        <f t="array" aca="1" ref="AN64" ca="1">IF($R62=2,
         IF(AND(ACOMPANHAMENTO="PLE",ISNUMBER($F62)),
                SUMIF((OFFSET(CÁLCULO!$BS$15:$CS$15,$F62,0,OFFSET(ORÇAMENTO!$D$15,CRONO!$F62,0))),CRONO!AN$12,OFFSET(CÁLCULO!$AR$15:$BR$15,$F62,0,OFFSET(ORÇAMENTO!$D$15,CRONO!$F62,0)))
                +IF(AND($F64&lt;&gt;"",$F64&lt;&gt;0),
                        SUMIF(CÁLCULO!$BS$15:$CS$244,CRONO!AN$12,CÁLCULO!$AR$15:$BR$244)/(ORÇAMENTO!$X$15-CÁLCULO.TotalAdmLocal)*CRONO!$F64,
                        0),
                 AN63*$S62),
          SUMIF(OFFSET($S64,1,0,$R62-2),($M62+1)&amp;"$",OFFSET(AN64,1,0,$R62-2)))</f>
        <v>0</v>
      </c>
      <c r="AO64" s="202" cm="1">
        <f t="array" aca="1" ref="AO64" ca="1">IF($R62=2,
         IF(AND(ACOMPANHAMENTO="PLE",ISNUMBER($F62)),
                SUMIF((OFFSET(CÁLCULO!$BS$15:$CS$15,$F62,0,OFFSET(ORÇAMENTO!$D$15,CRONO!$F62,0))),CRONO!AO$12,OFFSET(CÁLCULO!$AR$15:$BR$15,$F62,0,OFFSET(ORÇAMENTO!$D$15,CRONO!$F62,0)))
                +IF(AND($F64&lt;&gt;"",$F64&lt;&gt;0),
                        SUMIF(CÁLCULO!$BS$15:$CS$244,CRONO!AO$12,CÁLCULO!$AR$15:$BR$244)/(ORÇAMENTO!$X$15-CÁLCULO.TotalAdmLocal)*CRONO!$F64,
                        0),
                 AO63*$S62),
          SUMIF(OFFSET($S64,1,0,$R62-2),($M62+1)&amp;"$",OFFSET(AO64,1,0,$R62-2)))</f>
        <v>0</v>
      </c>
      <c r="AP64" s="202" cm="1">
        <f t="array" aca="1" ref="AP64" ca="1">IF($R62=2,
         IF(AND(ACOMPANHAMENTO="PLE",ISNUMBER($F62)),
                SUMIF((OFFSET(CÁLCULO!$BS$15:$CS$15,$F62,0,OFFSET(ORÇAMENTO!$D$15,CRONO!$F62,0))),CRONO!AP$12,OFFSET(CÁLCULO!$AR$15:$BR$15,$F62,0,OFFSET(ORÇAMENTO!$D$15,CRONO!$F62,0)))
                +IF(AND($F64&lt;&gt;"",$F64&lt;&gt;0),
                        SUMIF(CÁLCULO!$BS$15:$CS$244,CRONO!AP$12,CÁLCULO!$AR$15:$BR$244)/(ORÇAMENTO!$X$15-CÁLCULO.TotalAdmLocal)*CRONO!$F64,
                        0),
                 AP63*$S62),
          SUMIF(OFFSET($S64,1,0,$R62-2),($M62+1)&amp;"$",OFFSET(AP64,1,0,$R62-2)))</f>
        <v>0</v>
      </c>
      <c r="AQ64" s="202" cm="1">
        <f t="array" aca="1" ref="AQ64" ca="1">IF($R62=2,
         IF(AND(ACOMPANHAMENTO="PLE",ISNUMBER($F62)),
                SUMIF((OFFSET(CÁLCULO!$BS$15:$CS$15,$F62,0,OFFSET(ORÇAMENTO!$D$15,CRONO!$F62,0))),CRONO!AQ$12,OFFSET(CÁLCULO!$AR$15:$BR$15,$F62,0,OFFSET(ORÇAMENTO!$D$15,CRONO!$F62,0)))
                +IF(AND($F64&lt;&gt;"",$F64&lt;&gt;0),
                        SUMIF(CÁLCULO!$BS$15:$CS$244,CRONO!AQ$12,CÁLCULO!$AR$15:$BR$244)/(ORÇAMENTO!$X$15-CÁLCULO.TotalAdmLocal)*CRONO!$F64,
                        0),
                 AQ63*$S62),
          SUMIF(OFFSET($S64,1,0,$R62-2),($M62+1)&amp;"$",OFFSET(AQ64,1,0,$R62-2)))</f>
        <v>0</v>
      </c>
      <c r="AR64" s="202" cm="1">
        <f t="array" aca="1" ref="AR64" ca="1">IF($R62=2,
         IF(AND(ACOMPANHAMENTO="PLE",ISNUMBER($F62)),
                SUMIF((OFFSET(CÁLCULO!$BS$15:$CS$15,$F62,0,OFFSET(ORÇAMENTO!$D$15,CRONO!$F62,0))),CRONO!AR$12,OFFSET(CÁLCULO!$AR$15:$BR$15,$F62,0,OFFSET(ORÇAMENTO!$D$15,CRONO!$F62,0)))
                +IF(AND($F64&lt;&gt;"",$F64&lt;&gt;0),
                        SUMIF(CÁLCULO!$BS$15:$CS$244,CRONO!AR$12,CÁLCULO!$AR$15:$BR$244)/(ORÇAMENTO!$X$15-CÁLCULO.TotalAdmLocal)*CRONO!$F64,
                        0),
                 AR63*$S62),
          SUMIF(OFFSET($S64,1,0,$R62-2),($M62+1)&amp;"$",OFFSET(AR64,1,0,$R62-2)))</f>
        <v>0</v>
      </c>
      <c r="AS64" s="534"/>
    </row>
    <row r="65" spans="1:45" x14ac:dyDescent="0.2">
      <c r="A65" s="186" t="str">
        <f t="shared" ref="A65" ca="1" si="104">IF($M65&gt;1,_xlfn.CONCAT($I65," ",$J65),"")</f>
        <v/>
      </c>
      <c r="B65" s="185">
        <f t="shared" ref="B65" ca="1" si="105">OFFSET(B65,-3,0)+1</f>
        <v>18</v>
      </c>
      <c r="C65" s="185">
        <f ca="1">IF($R65&lt;&gt;2,0,IF($S65=0,1,IF(F66&gt;0,OFFSET(QCI!$M$13,SUBSTITUTE(F66,".",""),0),OFFSET(ORÇAMENTO!$AA$15,CRONO!$F65,0))/$S65))</f>
        <v>0</v>
      </c>
      <c r="D65" s="185">
        <f ca="1">IF($R65&lt;&gt;2,0,IF($S65=0,1,IF(F66&gt;0,OFFSET(QCI!$N$13,SUBSTITUTE(F66,".",""),0),OFFSET(ORÇAMENTO!$AB$15,CRONO!$F65,0))/$S65))</f>
        <v>0</v>
      </c>
      <c r="E65" s="188" t="e" cm="1">
        <f t="array" aca="1" ref="E65" ca="1">IF(AND($R65=2,ACOMPANHAMENTO="BM"),ROUND(E66,4),E67/$S65)</f>
        <v>#DIV/0!</v>
      </c>
      <c r="F65" s="185" cm="1">
        <f t="array" aca="1" ref="F65" ca="1">IF(B65&lt;=ORÇAMENTO.MáximoListaCrono,MATCH(B65,ORÇAMENTO.ListaCrono,0),NA())</f>
        <v>68</v>
      </c>
      <c r="G65" s="185" t="str">
        <f t="shared" ref="G65" ca="1" si="106">IF(AND($F66&lt;&gt;-1,$S65&gt;0),"F","")</f>
        <v/>
      </c>
      <c r="H65" s="189" t="str" cm="1">
        <f t="array" aca="1" ref="H65" ca="1">IF(OR(S65=0,S65=""),"Linha",IF(AND(OR(ACOMPANHAMENTO="PLE",$R65&lt;&gt;2),$F66=0),"Linha",ROUND(1-SUM(U65:AS65),4)))</f>
        <v>Linha</v>
      </c>
      <c r="I65" s="190" t="str">
        <f ca="1">IF($F66=0,OFFSET(ORÇAMENTO!O$15,$F65,0),IF($F66&lt;&gt;-1,OFFSET(QCI!$D$13,$F66,0),""))</f>
        <v>7.</v>
      </c>
      <c r="J65" s="191" t="str">
        <f ca="1">IF($F66=0,OFFSET(ORÇAMENTO!R$15,$F65,0),IF($F66&lt;&gt;-1,OFFSET(QCI!$G$13,$F66,0),""))</f>
        <v>REVESTIMENTOS</v>
      </c>
      <c r="K65" s="191"/>
      <c r="L65" s="191"/>
      <c r="M65" s="192">
        <f ca="1">IF($F66=0,OFFSET(ORÇAMENTO!C$15,$F65,0),1)</f>
        <v>1</v>
      </c>
      <c r="N65" s="193">
        <f ca="1">IF($F66=-1,0,IF(N$13&lt;=$M65,IF(ISERROR(MATCH(N$13,OFFSET($M65,1,0,ROW($M$164)-ROW($M65)-1),0)),ROW($M$164)-ROW($M65)-1,MATCH(N$13,OFFSET($M65,1,0,ROW($M$164)-ROW($M65)-1),0)-1),0))</f>
        <v>26</v>
      </c>
      <c r="O65" s="193">
        <f ca="1">IF($F66=-1,0,IF(O$13&lt;=$M65,IF(ISERROR(MATCH(O$13,OFFSET($M65,1,0,ROW($M$164)-ROW($M65)-1),0)),ROW($M$164)-ROW($M65)-1,MATCH(O$13,OFFSET($M65,1,0,ROW($M$164)-ROW($M65)-1),0)-1),0))</f>
        <v>0</v>
      </c>
      <c r="P65" s="193">
        <f ca="1">IF($F66=-1,0,IF(P$13&lt;=$M65,IF(ISERROR(MATCH(P$13,OFFSET($M65,1,0,ROW($M$164)-ROW($M65)-1),0)),ROW($M$164)-ROW($M65)-1,MATCH(P$13,OFFSET($M65,1,0,ROW($M$164)-ROW($M65)-1),0)-1),0))</f>
        <v>0</v>
      </c>
      <c r="Q65" s="193">
        <f ca="1">IF($F66=-1,0,IF(Q$13&lt;=$M65,IF(ISERROR(MATCH(Q$13,OFFSET($M65,1,0,ROW($M$164)-ROW($M65)-1),0)),ROW($M$164)-ROW($M65)-1,MATCH(Q$13,OFFSET($M65,1,0,ROW($M$164)-ROW($M65)-1),0)-1),0))</f>
        <v>0</v>
      </c>
      <c r="R65" s="193">
        <f t="shared" ref="R65" ca="1" si="107">MIN(OFFSET(M65,0,1,,M65))</f>
        <v>26</v>
      </c>
      <c r="S65" s="194">
        <f ca="1">IF($F66=0,OFFSET(ORÇAMENTO!X$15,$F65,0),IF($F66&lt;&gt;-1,OFFSET(QCI!$O$13,$F66,0),""))</f>
        <v>0</v>
      </c>
      <c r="T65" s="195" t="s">
        <v>785</v>
      </c>
      <c r="U65" s="188" t="e" cm="1">
        <f t="array" aca="1" ref="U65" ca="1">IF(AND($R65=2,ACOMPANHAMENTO="BM"),ROUND(U66,4),U67/$S65)</f>
        <v>#DIV/0!</v>
      </c>
      <c r="V65" s="188" t="e" cm="1">
        <f t="array" aca="1" ref="V65" ca="1">IF(AND($R65=2,ACOMPANHAMENTO="BM"),ROUND(V66,4),V67/$S65)</f>
        <v>#DIV/0!</v>
      </c>
      <c r="W65" s="188" t="e" cm="1">
        <f t="array" aca="1" ref="W65" ca="1">IF(AND($R65=2,ACOMPANHAMENTO="BM"),ROUND(W66,4),W67/$S65)</f>
        <v>#DIV/0!</v>
      </c>
      <c r="X65" s="188" t="e" cm="1">
        <f t="array" aca="1" ref="X65" ca="1">IF(AND($R65=2,ACOMPANHAMENTO="BM"),ROUND(X66,4),X67/$S65)</f>
        <v>#DIV/0!</v>
      </c>
      <c r="Y65" s="188" t="e" cm="1">
        <f t="array" aca="1" ref="Y65" ca="1">IF(AND($R65=2,ACOMPANHAMENTO="BM"),ROUND(Y66,4),Y67/$S65)</f>
        <v>#DIV/0!</v>
      </c>
      <c r="Z65" s="188" t="e" cm="1">
        <f t="array" aca="1" ref="Z65" ca="1">IF(AND($R65=2,ACOMPANHAMENTO="BM"),ROUND(Z66,4),Z67/$S65)</f>
        <v>#DIV/0!</v>
      </c>
      <c r="AA65" s="188" t="e" cm="1">
        <f t="array" aca="1" ref="AA65" ca="1">IF(AND($R65=2,ACOMPANHAMENTO="BM"),ROUND(AA66,4),AA67/$S65)</f>
        <v>#DIV/0!</v>
      </c>
      <c r="AB65" s="188" t="e" cm="1">
        <f t="array" aca="1" ref="AB65" ca="1">IF(AND($R65=2,ACOMPANHAMENTO="BM"),ROUND(AB66,4),AB67/$S65)</f>
        <v>#DIV/0!</v>
      </c>
      <c r="AC65" s="188" t="e" cm="1">
        <f t="array" aca="1" ref="AC65" ca="1">IF(AND($R65=2,ACOMPANHAMENTO="BM"),ROUND(AC66,4),AC67/$S65)</f>
        <v>#DIV/0!</v>
      </c>
      <c r="AD65" s="188" t="e" cm="1">
        <f t="array" aca="1" ref="AD65" ca="1">IF(AND($R65=2,ACOMPANHAMENTO="BM"),ROUND(AD66,4),AD67/$S65)</f>
        <v>#DIV/0!</v>
      </c>
      <c r="AE65" s="188" t="e" cm="1">
        <f t="array" aca="1" ref="AE65" ca="1">IF(AND($R65=2,ACOMPANHAMENTO="BM"),ROUND(AE66,4),AE67/$S65)</f>
        <v>#DIV/0!</v>
      </c>
      <c r="AF65" s="188" t="e" cm="1">
        <f t="array" aca="1" ref="AF65" ca="1">IF(AND($R65=2,ACOMPANHAMENTO="BM"),ROUND(AF66,4),AF67/$S65)</f>
        <v>#DIV/0!</v>
      </c>
      <c r="AG65" s="188" t="e" cm="1">
        <f t="array" aca="1" ref="AG65" ca="1">IF(AND($R65=2,ACOMPANHAMENTO="BM"),ROUND(AG66,4),AG67/$S65)</f>
        <v>#DIV/0!</v>
      </c>
      <c r="AH65" s="188" t="e" cm="1">
        <f t="array" aca="1" ref="AH65" ca="1">IF(AND($R65=2,ACOMPANHAMENTO="BM"),ROUND(AH66,4),AH67/$S65)</f>
        <v>#DIV/0!</v>
      </c>
      <c r="AI65" s="188" t="e" cm="1">
        <f t="array" aca="1" ref="AI65" ca="1">IF(AND($R65=2,ACOMPANHAMENTO="BM"),ROUND(AI66,4),AI67/$S65)</f>
        <v>#DIV/0!</v>
      </c>
      <c r="AJ65" s="188" t="e" cm="1">
        <f t="array" aca="1" ref="AJ65" ca="1">IF(AND($R65=2,ACOMPANHAMENTO="BM"),ROUND(AJ66,4),AJ67/$S65)</f>
        <v>#DIV/0!</v>
      </c>
      <c r="AK65" s="188" t="e" cm="1">
        <f t="array" aca="1" ref="AK65" ca="1">IF(AND($R65=2,ACOMPANHAMENTO="BM"),ROUND(AK66,4),AK67/$S65)</f>
        <v>#DIV/0!</v>
      </c>
      <c r="AL65" s="188" t="e" cm="1">
        <f t="array" aca="1" ref="AL65" ca="1">IF(AND($R65=2,ACOMPANHAMENTO="BM"),ROUND(AL66,4),AL67/$S65)</f>
        <v>#DIV/0!</v>
      </c>
      <c r="AM65" s="188" t="e" cm="1">
        <f t="array" aca="1" ref="AM65" ca="1">IF(AND($R65=2,ACOMPANHAMENTO="BM"),ROUND(AM66,4),AM67/$S65)</f>
        <v>#DIV/0!</v>
      </c>
      <c r="AN65" s="188" t="e" cm="1">
        <f t="array" aca="1" ref="AN65" ca="1">IF(AND($R65=2,ACOMPANHAMENTO="BM"),ROUND(AN66,4),AN67/$S65)</f>
        <v>#DIV/0!</v>
      </c>
      <c r="AO65" s="188" t="e" cm="1">
        <f t="array" aca="1" ref="AO65" ca="1">IF(AND($R65=2,ACOMPANHAMENTO="BM"),ROUND(AO66,4),AO67/$S65)</f>
        <v>#DIV/0!</v>
      </c>
      <c r="AP65" s="188" t="e" cm="1">
        <f t="array" aca="1" ref="AP65" ca="1">IF(AND($R65=2,ACOMPANHAMENTO="BM"),ROUND(AP66,4),AP67/$S65)</f>
        <v>#DIV/0!</v>
      </c>
      <c r="AQ65" s="188" t="e" cm="1">
        <f t="array" aca="1" ref="AQ65" ca="1">IF(AND($R65=2,ACOMPANHAMENTO="BM"),ROUND(AQ66,4),AQ67/$S65)</f>
        <v>#DIV/0!</v>
      </c>
      <c r="AR65" s="188" t="e" cm="1">
        <f t="array" aca="1" ref="AR65" ca="1">IF(AND($R65=2,ACOMPANHAMENTO="BM"),ROUND(AR66,4),AR67/$S65)</f>
        <v>#DIV/0!</v>
      </c>
      <c r="AS65" s="534"/>
    </row>
    <row r="66" spans="1:45" ht="12.75" hidden="1" customHeight="1" x14ac:dyDescent="0.2">
      <c r="E66" s="587"/>
      <c r="F66" s="185">
        <f ca="1">IF(ISERROR(F65),IF(1+COUNTIF($M$13:OFFSET(M65,-1,0),1)&lt;=MAX(QCI!$D$13:$D$24),1+COUNTIF($M$13:OFFSET(M65,-1,0),1),-1),0)</f>
        <v>0</v>
      </c>
      <c r="G66" s="185" t="str" cm="1">
        <f t="array" aca="1" ref="G66" ca="1">IF(ACOMPANHAMENTO="BM",OFFSET(G66,-1,0),"")</f>
        <v/>
      </c>
      <c r="H66" s="196" t="str" cm="1">
        <f t="array" aca="1" ref="H66" ca="1">IF(OR(S65=0,S65=""),"vazia",IF(AND(OR(ACOMPANHAMENTO="PLE",$R65&lt;&gt;2),$F66=0),"calculada","--&gt;"))</f>
        <v>vazia</v>
      </c>
      <c r="I66" s="197"/>
      <c r="J66" s="198" t="str">
        <f t="shared" ref="J66" ca="1" si="108">IF(AND(H65&lt;&gt;0,ISNUMBER(H65)),"PREENCHA ESTA LINHA --&gt;","")</f>
        <v/>
      </c>
      <c r="K66" s="198"/>
      <c r="L66" s="198"/>
      <c r="M66" s="199"/>
      <c r="N66" s="199"/>
      <c r="O66" s="199"/>
      <c r="P66" s="199"/>
      <c r="Q66" s="199"/>
      <c r="R66" s="199"/>
      <c r="S66" s="200"/>
      <c r="T66" s="201"/>
      <c r="U66" s="587"/>
      <c r="V66" s="587"/>
      <c r="W66" s="587"/>
      <c r="X66" s="587"/>
      <c r="Y66" s="587"/>
      <c r="Z66" s="587"/>
      <c r="AA66" s="587"/>
      <c r="AB66" s="587"/>
      <c r="AC66" s="587"/>
      <c r="AD66" s="587"/>
      <c r="AE66" s="587"/>
      <c r="AF66" s="587"/>
      <c r="AG66" s="587"/>
      <c r="AH66" s="587"/>
      <c r="AI66" s="587"/>
      <c r="AJ66" s="587"/>
      <c r="AK66" s="587"/>
      <c r="AL66" s="587"/>
      <c r="AM66" s="587"/>
      <c r="AN66" s="587"/>
      <c r="AO66" s="587"/>
      <c r="AP66" s="587"/>
      <c r="AQ66" s="587"/>
      <c r="AR66" s="587"/>
      <c r="AS66" s="534"/>
    </row>
    <row r="67" spans="1:45" ht="12.75" hidden="1" customHeight="1" x14ac:dyDescent="0.2">
      <c r="D67" s="533"/>
      <c r="E67" s="202" cm="1">
        <f t="array" aca="1" ref="E67" ca="1">IF($R65=2,
         IF(AND(ACOMPANHAMENTO="PLE",ISNUMBER($F65)),
                SUMIF((OFFSET(CÁLCULO!$BS$15:$CS$15,$F65,0,OFFSET(ORÇAMENTO!$D$15,CRONO!$F65,0))),CRONO!E$12,OFFSET(CÁLCULO!$AR$15:$BR$15,$F65,0,OFFSET(ORÇAMENTO!$D$15,CRONO!$F65,0)))
                +IF(AND($F67&lt;&gt;"",$F67&lt;&gt;0),
                        SUMIF(CÁLCULO!$BS$15:$CS$244,CRONO!E$12,CÁLCULO!$AR$15:$BR$244)/(ORÇAMENTO!$X$15-CÁLCULO.TotalAdmLocal)*CRONO!$F67,
                        0),
                 E66*$S65),
          SUMIF(OFFSET($S67,1,0,$R65-2),($M65+1)&amp;"$",OFFSET(E67,1,0,$R65-2)))</f>
        <v>0</v>
      </c>
      <c r="F67" s="185" t="str">
        <f ca="1">IF(OR($R65&lt;&gt;2,AUTOEVENTO&lt;&gt;"manual",$F66&gt;0),"",
        IF(Import.TipoArredondamento="Tradicional",
              SUMIF(OFFSET(CÁLCULO!$M$15,CRONO!$F65,0,OFFSET(ORÇAMENTO!$D$15,CRONO!$F65,0)),1,OFFSET(ORÇAMENTO!$X$15,CRONO!$F65,0,OFFSET(ORÇAMENTO!$D$15,CRONO!$F65,0))),
              0))</f>
        <v/>
      </c>
      <c r="H67" s="203"/>
      <c r="S67" s="204" t="str">
        <f t="shared" ref="S67" ca="1" si="109">M65&amp;"$"</f>
        <v>1$</v>
      </c>
      <c r="T67" s="205"/>
      <c r="U67" s="202" cm="1">
        <f t="array" aca="1" ref="U67" ca="1">IF($R65=2,
         IF(AND(ACOMPANHAMENTO="PLE",ISNUMBER($F65)),
                SUMIF((OFFSET(CÁLCULO!$BS$15:$CS$15,$F65,0,OFFSET(ORÇAMENTO!$D$15,CRONO!$F65,0))),CRONO!U$12,OFFSET(CÁLCULO!$AR$15:$BR$15,$F65,0,OFFSET(ORÇAMENTO!$D$15,CRONO!$F65,0)))
                +IF(AND($F67&lt;&gt;"",$F67&lt;&gt;0),
                        SUMIF(CÁLCULO!$BS$15:$CS$244,CRONO!U$12,CÁLCULO!$AR$15:$BR$244)/(ORÇAMENTO!$X$15-CÁLCULO.TotalAdmLocal)*CRONO!$F67,
                        0),
                 U66*$S65),
          SUMIF(OFFSET($S67,1,0,$R65-2),($M65+1)&amp;"$",OFFSET(U67,1,0,$R65-2)))</f>
        <v>0</v>
      </c>
      <c r="V67" s="202" cm="1">
        <f t="array" aca="1" ref="V67" ca="1">IF($R65=2,
         IF(AND(ACOMPANHAMENTO="PLE",ISNUMBER($F65)),
                SUMIF((OFFSET(CÁLCULO!$BS$15:$CS$15,$F65,0,OFFSET(ORÇAMENTO!$D$15,CRONO!$F65,0))),CRONO!V$12,OFFSET(CÁLCULO!$AR$15:$BR$15,$F65,0,OFFSET(ORÇAMENTO!$D$15,CRONO!$F65,0)))
                +IF(AND($F67&lt;&gt;"",$F67&lt;&gt;0),
                        SUMIF(CÁLCULO!$BS$15:$CS$244,CRONO!V$12,CÁLCULO!$AR$15:$BR$244)/(ORÇAMENTO!$X$15-CÁLCULO.TotalAdmLocal)*CRONO!$F67,
                        0),
                 V66*$S65),
          SUMIF(OFFSET($S67,1,0,$R65-2),($M65+1)&amp;"$",OFFSET(V67,1,0,$R65-2)))</f>
        <v>0</v>
      </c>
      <c r="W67" s="202" cm="1">
        <f t="array" aca="1" ref="W67" ca="1">IF($R65=2,
         IF(AND(ACOMPANHAMENTO="PLE",ISNUMBER($F65)),
                SUMIF((OFFSET(CÁLCULO!$BS$15:$CS$15,$F65,0,OFFSET(ORÇAMENTO!$D$15,CRONO!$F65,0))),CRONO!W$12,OFFSET(CÁLCULO!$AR$15:$BR$15,$F65,0,OFFSET(ORÇAMENTO!$D$15,CRONO!$F65,0)))
                +IF(AND($F67&lt;&gt;"",$F67&lt;&gt;0),
                        SUMIF(CÁLCULO!$BS$15:$CS$244,CRONO!W$12,CÁLCULO!$AR$15:$BR$244)/(ORÇAMENTO!$X$15-CÁLCULO.TotalAdmLocal)*CRONO!$F67,
                        0),
                 W66*$S65),
          SUMIF(OFFSET($S67,1,0,$R65-2),($M65+1)&amp;"$",OFFSET(W67,1,0,$R65-2)))</f>
        <v>0</v>
      </c>
      <c r="X67" s="202" cm="1">
        <f t="array" aca="1" ref="X67" ca="1">IF($R65=2,
         IF(AND(ACOMPANHAMENTO="PLE",ISNUMBER($F65)),
                SUMIF((OFFSET(CÁLCULO!$BS$15:$CS$15,$F65,0,OFFSET(ORÇAMENTO!$D$15,CRONO!$F65,0))),CRONO!X$12,OFFSET(CÁLCULO!$AR$15:$BR$15,$F65,0,OFFSET(ORÇAMENTO!$D$15,CRONO!$F65,0)))
                +IF(AND($F67&lt;&gt;"",$F67&lt;&gt;0),
                        SUMIF(CÁLCULO!$BS$15:$CS$244,CRONO!X$12,CÁLCULO!$AR$15:$BR$244)/(ORÇAMENTO!$X$15-CÁLCULO.TotalAdmLocal)*CRONO!$F67,
                        0),
                 X66*$S65),
          SUMIF(OFFSET($S67,1,0,$R65-2),($M65+1)&amp;"$",OFFSET(X67,1,0,$R65-2)))</f>
        <v>0</v>
      </c>
      <c r="Y67" s="202" cm="1">
        <f t="array" aca="1" ref="Y67" ca="1">IF($R65=2,
         IF(AND(ACOMPANHAMENTO="PLE",ISNUMBER($F65)),
                SUMIF((OFFSET(CÁLCULO!$BS$15:$CS$15,$F65,0,OFFSET(ORÇAMENTO!$D$15,CRONO!$F65,0))),CRONO!Y$12,OFFSET(CÁLCULO!$AR$15:$BR$15,$F65,0,OFFSET(ORÇAMENTO!$D$15,CRONO!$F65,0)))
                +IF(AND($F67&lt;&gt;"",$F67&lt;&gt;0),
                        SUMIF(CÁLCULO!$BS$15:$CS$244,CRONO!Y$12,CÁLCULO!$AR$15:$BR$244)/(ORÇAMENTO!$X$15-CÁLCULO.TotalAdmLocal)*CRONO!$F67,
                        0),
                 Y66*$S65),
          SUMIF(OFFSET($S67,1,0,$R65-2),($M65+1)&amp;"$",OFFSET(Y67,1,0,$R65-2)))</f>
        <v>0</v>
      </c>
      <c r="Z67" s="202" cm="1">
        <f t="array" aca="1" ref="Z67" ca="1">IF($R65=2,
         IF(AND(ACOMPANHAMENTO="PLE",ISNUMBER($F65)),
                SUMIF((OFFSET(CÁLCULO!$BS$15:$CS$15,$F65,0,OFFSET(ORÇAMENTO!$D$15,CRONO!$F65,0))),CRONO!Z$12,OFFSET(CÁLCULO!$AR$15:$BR$15,$F65,0,OFFSET(ORÇAMENTO!$D$15,CRONO!$F65,0)))
                +IF(AND($F67&lt;&gt;"",$F67&lt;&gt;0),
                        SUMIF(CÁLCULO!$BS$15:$CS$244,CRONO!Z$12,CÁLCULO!$AR$15:$BR$244)/(ORÇAMENTO!$X$15-CÁLCULO.TotalAdmLocal)*CRONO!$F67,
                        0),
                 Z66*$S65),
          SUMIF(OFFSET($S67,1,0,$R65-2),($M65+1)&amp;"$",OFFSET(Z67,1,0,$R65-2)))</f>
        <v>0</v>
      </c>
      <c r="AA67" s="202" cm="1">
        <f t="array" aca="1" ref="AA67" ca="1">IF($R65=2,
         IF(AND(ACOMPANHAMENTO="PLE",ISNUMBER($F65)),
                SUMIF((OFFSET(CÁLCULO!$BS$15:$CS$15,$F65,0,OFFSET(ORÇAMENTO!$D$15,CRONO!$F65,0))),CRONO!AA$12,OFFSET(CÁLCULO!$AR$15:$BR$15,$F65,0,OFFSET(ORÇAMENTO!$D$15,CRONO!$F65,0)))
                +IF(AND($F67&lt;&gt;"",$F67&lt;&gt;0),
                        SUMIF(CÁLCULO!$BS$15:$CS$244,CRONO!AA$12,CÁLCULO!$AR$15:$BR$244)/(ORÇAMENTO!$X$15-CÁLCULO.TotalAdmLocal)*CRONO!$F67,
                        0),
                 AA66*$S65),
          SUMIF(OFFSET($S67,1,0,$R65-2),($M65+1)&amp;"$",OFFSET(AA67,1,0,$R65-2)))</f>
        <v>0</v>
      </c>
      <c r="AB67" s="202" cm="1">
        <f t="array" aca="1" ref="AB67" ca="1">IF($R65=2,
         IF(AND(ACOMPANHAMENTO="PLE",ISNUMBER($F65)),
                SUMIF((OFFSET(CÁLCULO!$BS$15:$CS$15,$F65,0,OFFSET(ORÇAMENTO!$D$15,CRONO!$F65,0))),CRONO!AB$12,OFFSET(CÁLCULO!$AR$15:$BR$15,$F65,0,OFFSET(ORÇAMENTO!$D$15,CRONO!$F65,0)))
                +IF(AND($F67&lt;&gt;"",$F67&lt;&gt;0),
                        SUMIF(CÁLCULO!$BS$15:$CS$244,CRONO!AB$12,CÁLCULO!$AR$15:$BR$244)/(ORÇAMENTO!$X$15-CÁLCULO.TotalAdmLocal)*CRONO!$F67,
                        0),
                 AB66*$S65),
          SUMIF(OFFSET($S67,1,0,$R65-2),($M65+1)&amp;"$",OFFSET(AB67,1,0,$R65-2)))</f>
        <v>0</v>
      </c>
      <c r="AC67" s="202" cm="1">
        <f t="array" aca="1" ref="AC67" ca="1">IF($R65=2,
         IF(AND(ACOMPANHAMENTO="PLE",ISNUMBER($F65)),
                SUMIF((OFFSET(CÁLCULO!$BS$15:$CS$15,$F65,0,OFFSET(ORÇAMENTO!$D$15,CRONO!$F65,0))),CRONO!AC$12,OFFSET(CÁLCULO!$AR$15:$BR$15,$F65,0,OFFSET(ORÇAMENTO!$D$15,CRONO!$F65,0)))
                +IF(AND($F67&lt;&gt;"",$F67&lt;&gt;0),
                        SUMIF(CÁLCULO!$BS$15:$CS$244,CRONO!AC$12,CÁLCULO!$AR$15:$BR$244)/(ORÇAMENTO!$X$15-CÁLCULO.TotalAdmLocal)*CRONO!$F67,
                        0),
                 AC66*$S65),
          SUMIF(OFFSET($S67,1,0,$R65-2),($M65+1)&amp;"$",OFFSET(AC67,1,0,$R65-2)))</f>
        <v>0</v>
      </c>
      <c r="AD67" s="202" cm="1">
        <f t="array" aca="1" ref="AD67" ca="1">IF($R65=2,
         IF(AND(ACOMPANHAMENTO="PLE",ISNUMBER($F65)),
                SUMIF((OFFSET(CÁLCULO!$BS$15:$CS$15,$F65,0,OFFSET(ORÇAMENTO!$D$15,CRONO!$F65,0))),CRONO!AD$12,OFFSET(CÁLCULO!$AR$15:$BR$15,$F65,0,OFFSET(ORÇAMENTO!$D$15,CRONO!$F65,0)))
                +IF(AND($F67&lt;&gt;"",$F67&lt;&gt;0),
                        SUMIF(CÁLCULO!$BS$15:$CS$244,CRONO!AD$12,CÁLCULO!$AR$15:$BR$244)/(ORÇAMENTO!$X$15-CÁLCULO.TotalAdmLocal)*CRONO!$F67,
                        0),
                 AD66*$S65),
          SUMIF(OFFSET($S67,1,0,$R65-2),($M65+1)&amp;"$",OFFSET(AD67,1,0,$R65-2)))</f>
        <v>0</v>
      </c>
      <c r="AE67" s="202" cm="1">
        <f t="array" aca="1" ref="AE67" ca="1">IF($R65=2,
         IF(AND(ACOMPANHAMENTO="PLE",ISNUMBER($F65)),
                SUMIF((OFFSET(CÁLCULO!$BS$15:$CS$15,$F65,0,OFFSET(ORÇAMENTO!$D$15,CRONO!$F65,0))),CRONO!AE$12,OFFSET(CÁLCULO!$AR$15:$BR$15,$F65,0,OFFSET(ORÇAMENTO!$D$15,CRONO!$F65,0)))
                +IF(AND($F67&lt;&gt;"",$F67&lt;&gt;0),
                        SUMIF(CÁLCULO!$BS$15:$CS$244,CRONO!AE$12,CÁLCULO!$AR$15:$BR$244)/(ORÇAMENTO!$X$15-CÁLCULO.TotalAdmLocal)*CRONO!$F67,
                        0),
                 AE66*$S65),
          SUMIF(OFFSET($S67,1,0,$R65-2),($M65+1)&amp;"$",OFFSET(AE67,1,0,$R65-2)))</f>
        <v>0</v>
      </c>
      <c r="AF67" s="202" cm="1">
        <f t="array" aca="1" ref="AF67" ca="1">IF($R65=2,
         IF(AND(ACOMPANHAMENTO="PLE",ISNUMBER($F65)),
                SUMIF((OFFSET(CÁLCULO!$BS$15:$CS$15,$F65,0,OFFSET(ORÇAMENTO!$D$15,CRONO!$F65,0))),CRONO!AF$12,OFFSET(CÁLCULO!$AR$15:$BR$15,$F65,0,OFFSET(ORÇAMENTO!$D$15,CRONO!$F65,0)))
                +IF(AND($F67&lt;&gt;"",$F67&lt;&gt;0),
                        SUMIF(CÁLCULO!$BS$15:$CS$244,CRONO!AF$12,CÁLCULO!$AR$15:$BR$244)/(ORÇAMENTO!$X$15-CÁLCULO.TotalAdmLocal)*CRONO!$F67,
                        0),
                 AF66*$S65),
          SUMIF(OFFSET($S67,1,0,$R65-2),($M65+1)&amp;"$",OFFSET(AF67,1,0,$R65-2)))</f>
        <v>0</v>
      </c>
      <c r="AG67" s="202" cm="1">
        <f t="array" aca="1" ref="AG67" ca="1">IF($R65=2,
         IF(AND(ACOMPANHAMENTO="PLE",ISNUMBER($F65)),
                SUMIF((OFFSET(CÁLCULO!$BS$15:$CS$15,$F65,0,OFFSET(ORÇAMENTO!$D$15,CRONO!$F65,0))),CRONO!AG$12,OFFSET(CÁLCULO!$AR$15:$BR$15,$F65,0,OFFSET(ORÇAMENTO!$D$15,CRONO!$F65,0)))
                +IF(AND($F67&lt;&gt;"",$F67&lt;&gt;0),
                        SUMIF(CÁLCULO!$BS$15:$CS$244,CRONO!AG$12,CÁLCULO!$AR$15:$BR$244)/(ORÇAMENTO!$X$15-CÁLCULO.TotalAdmLocal)*CRONO!$F67,
                        0),
                 AG66*$S65),
          SUMIF(OFFSET($S67,1,0,$R65-2),($M65+1)&amp;"$",OFFSET(AG67,1,0,$R65-2)))</f>
        <v>0</v>
      </c>
      <c r="AH67" s="202" cm="1">
        <f t="array" aca="1" ref="AH67" ca="1">IF($R65=2,
         IF(AND(ACOMPANHAMENTO="PLE",ISNUMBER($F65)),
                SUMIF((OFFSET(CÁLCULO!$BS$15:$CS$15,$F65,0,OFFSET(ORÇAMENTO!$D$15,CRONO!$F65,0))),CRONO!AH$12,OFFSET(CÁLCULO!$AR$15:$BR$15,$F65,0,OFFSET(ORÇAMENTO!$D$15,CRONO!$F65,0)))
                +IF(AND($F67&lt;&gt;"",$F67&lt;&gt;0),
                        SUMIF(CÁLCULO!$BS$15:$CS$244,CRONO!AH$12,CÁLCULO!$AR$15:$BR$244)/(ORÇAMENTO!$X$15-CÁLCULO.TotalAdmLocal)*CRONO!$F67,
                        0),
                 AH66*$S65),
          SUMIF(OFFSET($S67,1,0,$R65-2),($M65+1)&amp;"$",OFFSET(AH67,1,0,$R65-2)))</f>
        <v>0</v>
      </c>
      <c r="AI67" s="202" cm="1">
        <f t="array" aca="1" ref="AI67" ca="1">IF($R65=2,
         IF(AND(ACOMPANHAMENTO="PLE",ISNUMBER($F65)),
                SUMIF((OFFSET(CÁLCULO!$BS$15:$CS$15,$F65,0,OFFSET(ORÇAMENTO!$D$15,CRONO!$F65,0))),CRONO!AI$12,OFFSET(CÁLCULO!$AR$15:$BR$15,$F65,0,OFFSET(ORÇAMENTO!$D$15,CRONO!$F65,0)))
                +IF(AND($F67&lt;&gt;"",$F67&lt;&gt;0),
                        SUMIF(CÁLCULO!$BS$15:$CS$244,CRONO!AI$12,CÁLCULO!$AR$15:$BR$244)/(ORÇAMENTO!$X$15-CÁLCULO.TotalAdmLocal)*CRONO!$F67,
                        0),
                 AI66*$S65),
          SUMIF(OFFSET($S67,1,0,$R65-2),($M65+1)&amp;"$",OFFSET(AI67,1,0,$R65-2)))</f>
        <v>0</v>
      </c>
      <c r="AJ67" s="202" cm="1">
        <f t="array" aca="1" ref="AJ67" ca="1">IF($R65=2,
         IF(AND(ACOMPANHAMENTO="PLE",ISNUMBER($F65)),
                SUMIF((OFFSET(CÁLCULO!$BS$15:$CS$15,$F65,0,OFFSET(ORÇAMENTO!$D$15,CRONO!$F65,0))),CRONO!AJ$12,OFFSET(CÁLCULO!$AR$15:$BR$15,$F65,0,OFFSET(ORÇAMENTO!$D$15,CRONO!$F65,0)))
                +IF(AND($F67&lt;&gt;"",$F67&lt;&gt;0),
                        SUMIF(CÁLCULO!$BS$15:$CS$244,CRONO!AJ$12,CÁLCULO!$AR$15:$BR$244)/(ORÇAMENTO!$X$15-CÁLCULO.TotalAdmLocal)*CRONO!$F67,
                        0),
                 AJ66*$S65),
          SUMIF(OFFSET($S67,1,0,$R65-2),($M65+1)&amp;"$",OFFSET(AJ67,1,0,$R65-2)))</f>
        <v>0</v>
      </c>
      <c r="AK67" s="202" cm="1">
        <f t="array" aca="1" ref="AK67" ca="1">IF($R65=2,
         IF(AND(ACOMPANHAMENTO="PLE",ISNUMBER($F65)),
                SUMIF((OFFSET(CÁLCULO!$BS$15:$CS$15,$F65,0,OFFSET(ORÇAMENTO!$D$15,CRONO!$F65,0))),CRONO!AK$12,OFFSET(CÁLCULO!$AR$15:$BR$15,$F65,0,OFFSET(ORÇAMENTO!$D$15,CRONO!$F65,0)))
                +IF(AND($F67&lt;&gt;"",$F67&lt;&gt;0),
                        SUMIF(CÁLCULO!$BS$15:$CS$244,CRONO!AK$12,CÁLCULO!$AR$15:$BR$244)/(ORÇAMENTO!$X$15-CÁLCULO.TotalAdmLocal)*CRONO!$F67,
                        0),
                 AK66*$S65),
          SUMIF(OFFSET($S67,1,0,$R65-2),($M65+1)&amp;"$",OFFSET(AK67,1,0,$R65-2)))</f>
        <v>0</v>
      </c>
      <c r="AL67" s="202" cm="1">
        <f t="array" aca="1" ref="AL67" ca="1">IF($R65=2,
         IF(AND(ACOMPANHAMENTO="PLE",ISNUMBER($F65)),
                SUMIF((OFFSET(CÁLCULO!$BS$15:$CS$15,$F65,0,OFFSET(ORÇAMENTO!$D$15,CRONO!$F65,0))),CRONO!AL$12,OFFSET(CÁLCULO!$AR$15:$BR$15,$F65,0,OFFSET(ORÇAMENTO!$D$15,CRONO!$F65,0)))
                +IF(AND($F67&lt;&gt;"",$F67&lt;&gt;0),
                        SUMIF(CÁLCULO!$BS$15:$CS$244,CRONO!AL$12,CÁLCULO!$AR$15:$BR$244)/(ORÇAMENTO!$X$15-CÁLCULO.TotalAdmLocal)*CRONO!$F67,
                        0),
                 AL66*$S65),
          SUMIF(OFFSET($S67,1,0,$R65-2),($M65+1)&amp;"$",OFFSET(AL67,1,0,$R65-2)))</f>
        <v>0</v>
      </c>
      <c r="AM67" s="202" cm="1">
        <f t="array" aca="1" ref="AM67" ca="1">IF($R65=2,
         IF(AND(ACOMPANHAMENTO="PLE",ISNUMBER($F65)),
                SUMIF((OFFSET(CÁLCULO!$BS$15:$CS$15,$F65,0,OFFSET(ORÇAMENTO!$D$15,CRONO!$F65,0))),CRONO!AM$12,OFFSET(CÁLCULO!$AR$15:$BR$15,$F65,0,OFFSET(ORÇAMENTO!$D$15,CRONO!$F65,0)))
                +IF(AND($F67&lt;&gt;"",$F67&lt;&gt;0),
                        SUMIF(CÁLCULO!$BS$15:$CS$244,CRONO!AM$12,CÁLCULO!$AR$15:$BR$244)/(ORÇAMENTO!$X$15-CÁLCULO.TotalAdmLocal)*CRONO!$F67,
                        0),
                 AM66*$S65),
          SUMIF(OFFSET($S67,1,0,$R65-2),($M65+1)&amp;"$",OFFSET(AM67,1,0,$R65-2)))</f>
        <v>0</v>
      </c>
      <c r="AN67" s="202" cm="1">
        <f t="array" aca="1" ref="AN67" ca="1">IF($R65=2,
         IF(AND(ACOMPANHAMENTO="PLE",ISNUMBER($F65)),
                SUMIF((OFFSET(CÁLCULO!$BS$15:$CS$15,$F65,0,OFFSET(ORÇAMENTO!$D$15,CRONO!$F65,0))),CRONO!AN$12,OFFSET(CÁLCULO!$AR$15:$BR$15,$F65,0,OFFSET(ORÇAMENTO!$D$15,CRONO!$F65,0)))
                +IF(AND($F67&lt;&gt;"",$F67&lt;&gt;0),
                        SUMIF(CÁLCULO!$BS$15:$CS$244,CRONO!AN$12,CÁLCULO!$AR$15:$BR$244)/(ORÇAMENTO!$X$15-CÁLCULO.TotalAdmLocal)*CRONO!$F67,
                        0),
                 AN66*$S65),
          SUMIF(OFFSET($S67,1,0,$R65-2),($M65+1)&amp;"$",OFFSET(AN67,1,0,$R65-2)))</f>
        <v>0</v>
      </c>
      <c r="AO67" s="202" cm="1">
        <f t="array" aca="1" ref="AO67" ca="1">IF($R65=2,
         IF(AND(ACOMPANHAMENTO="PLE",ISNUMBER($F65)),
                SUMIF((OFFSET(CÁLCULO!$BS$15:$CS$15,$F65,0,OFFSET(ORÇAMENTO!$D$15,CRONO!$F65,0))),CRONO!AO$12,OFFSET(CÁLCULO!$AR$15:$BR$15,$F65,0,OFFSET(ORÇAMENTO!$D$15,CRONO!$F65,0)))
                +IF(AND($F67&lt;&gt;"",$F67&lt;&gt;0),
                        SUMIF(CÁLCULO!$BS$15:$CS$244,CRONO!AO$12,CÁLCULO!$AR$15:$BR$244)/(ORÇAMENTO!$X$15-CÁLCULO.TotalAdmLocal)*CRONO!$F67,
                        0),
                 AO66*$S65),
          SUMIF(OFFSET($S67,1,0,$R65-2),($M65+1)&amp;"$",OFFSET(AO67,1,0,$R65-2)))</f>
        <v>0</v>
      </c>
      <c r="AP67" s="202" cm="1">
        <f t="array" aca="1" ref="AP67" ca="1">IF($R65=2,
         IF(AND(ACOMPANHAMENTO="PLE",ISNUMBER($F65)),
                SUMIF((OFFSET(CÁLCULO!$BS$15:$CS$15,$F65,0,OFFSET(ORÇAMENTO!$D$15,CRONO!$F65,0))),CRONO!AP$12,OFFSET(CÁLCULO!$AR$15:$BR$15,$F65,0,OFFSET(ORÇAMENTO!$D$15,CRONO!$F65,0)))
                +IF(AND($F67&lt;&gt;"",$F67&lt;&gt;0),
                        SUMIF(CÁLCULO!$BS$15:$CS$244,CRONO!AP$12,CÁLCULO!$AR$15:$BR$244)/(ORÇAMENTO!$X$15-CÁLCULO.TotalAdmLocal)*CRONO!$F67,
                        0),
                 AP66*$S65),
          SUMIF(OFFSET($S67,1,0,$R65-2),($M65+1)&amp;"$",OFFSET(AP67,1,0,$R65-2)))</f>
        <v>0</v>
      </c>
      <c r="AQ67" s="202" cm="1">
        <f t="array" aca="1" ref="AQ67" ca="1">IF($R65=2,
         IF(AND(ACOMPANHAMENTO="PLE",ISNUMBER($F65)),
                SUMIF((OFFSET(CÁLCULO!$BS$15:$CS$15,$F65,0,OFFSET(ORÇAMENTO!$D$15,CRONO!$F65,0))),CRONO!AQ$12,OFFSET(CÁLCULO!$AR$15:$BR$15,$F65,0,OFFSET(ORÇAMENTO!$D$15,CRONO!$F65,0)))
                +IF(AND($F67&lt;&gt;"",$F67&lt;&gt;0),
                        SUMIF(CÁLCULO!$BS$15:$CS$244,CRONO!AQ$12,CÁLCULO!$AR$15:$BR$244)/(ORÇAMENTO!$X$15-CÁLCULO.TotalAdmLocal)*CRONO!$F67,
                        0),
                 AQ66*$S65),
          SUMIF(OFFSET($S67,1,0,$R65-2),($M65+1)&amp;"$",OFFSET(AQ67,1,0,$R65-2)))</f>
        <v>0</v>
      </c>
      <c r="AR67" s="202" cm="1">
        <f t="array" aca="1" ref="AR67" ca="1">IF($R65=2,
         IF(AND(ACOMPANHAMENTO="PLE",ISNUMBER($F65)),
                SUMIF((OFFSET(CÁLCULO!$BS$15:$CS$15,$F65,0,OFFSET(ORÇAMENTO!$D$15,CRONO!$F65,0))),CRONO!AR$12,OFFSET(CÁLCULO!$AR$15:$BR$15,$F65,0,OFFSET(ORÇAMENTO!$D$15,CRONO!$F65,0)))
                +IF(AND($F67&lt;&gt;"",$F67&lt;&gt;0),
                        SUMIF(CÁLCULO!$BS$15:$CS$244,CRONO!AR$12,CÁLCULO!$AR$15:$BR$244)/(ORÇAMENTO!$X$15-CÁLCULO.TotalAdmLocal)*CRONO!$F67,
                        0),
                 AR66*$S65),
          SUMIF(OFFSET($S67,1,0,$R65-2),($M65+1)&amp;"$",OFFSET(AR67,1,0,$R65-2)))</f>
        <v>0</v>
      </c>
      <c r="AS67" s="534"/>
    </row>
    <row r="68" spans="1:45" x14ac:dyDescent="0.2">
      <c r="A68" s="186" t="e">
        <f t="shared" ref="A68" ca="1" si="110">IF($M68&gt;1,_xlfn.CONCAT($I68," ",$J68),"")</f>
        <v>#NAME?</v>
      </c>
      <c r="B68" s="185">
        <f t="shared" ref="B68" ca="1" si="111">OFFSET(B68,-3,0)+1</f>
        <v>19</v>
      </c>
      <c r="C68" s="185">
        <f ca="1">IF($R68&lt;&gt;2,0,IF($S68=0,1,IF(F69&gt;0,OFFSET(QCI!$M$13,SUBSTITUTE(F69,".",""),0),OFFSET(ORÇAMENTO!$AA$15,CRONO!$F68,0))/$S68))</f>
        <v>1</v>
      </c>
      <c r="D68" s="185">
        <f ca="1">IF($R68&lt;&gt;2,0,IF($S68=0,1,IF(F69&gt;0,OFFSET(QCI!$N$13,SUBSTITUTE(F69,".",""),0),OFFSET(ORÇAMENTO!$AB$15,CRONO!$F68,0))/$S68))</f>
        <v>1</v>
      </c>
      <c r="E68" s="188" t="e" cm="1">
        <f t="array" aca="1" ref="E68" ca="1">IF(AND($R68=2,ACOMPANHAMENTO="BM"),ROUND(E69,4),E70/$S68)</f>
        <v>#DIV/0!</v>
      </c>
      <c r="F68" s="185" cm="1">
        <f t="array" aca="1" ref="F68" ca="1">IF(B68&lt;=ORÇAMENTO.MáximoListaCrono,MATCH(B68,ORÇAMENTO.ListaCrono,0),NA())</f>
        <v>69</v>
      </c>
      <c r="G68" s="185" t="str">
        <f t="shared" ref="G68" ca="1" si="112">IF(AND($F69&lt;&gt;-1,$S68&gt;0),"F","")</f>
        <v/>
      </c>
      <c r="H68" s="189" t="str" cm="1">
        <f t="array" aca="1" ref="H68" ca="1">IF(OR(S68=0,S68=""),"Linha",IF(AND(OR(ACOMPANHAMENTO="PLE",$R68&lt;&gt;2),$F69=0),"Linha",ROUND(1-SUM(U68:AS68),4)))</f>
        <v>Linha</v>
      </c>
      <c r="I68" s="190" t="str">
        <f ca="1">IF($F69=0,OFFSET(ORÇAMENTO!O$15,$F68,0),IF($F69&lt;&gt;-1,OFFSET(QCI!$D$13,$F69,0),""))</f>
        <v>7.1.</v>
      </c>
      <c r="J68" s="191" t="str">
        <f ca="1">IF($F69=0,OFFSET(ORÇAMENTO!R$15,$F68,0),IF($F69&lt;&gt;-1,OFFSET(QCI!$G$13,$F69,0),""))</f>
        <v>REVESTIMENTOS INTERNOS</v>
      </c>
      <c r="K68" s="191"/>
      <c r="L68" s="191"/>
      <c r="M68" s="192">
        <f ca="1">IF($F69=0,OFFSET(ORÇAMENTO!C$15,$F68,0),1)</f>
        <v>2</v>
      </c>
      <c r="N68" s="193">
        <f ca="1">IF($F69=-1,0,IF(N$13&lt;=$M68,IF(ISERROR(MATCH(N$13,OFFSET($M68,1,0,ROW($M$164)-ROW($M68)-1),0)),ROW($M$164)-ROW($M68)-1,MATCH(N$13,OFFSET($M68,1,0,ROW($M$164)-ROW($M68)-1),0)-1),0))</f>
        <v>23</v>
      </c>
      <c r="O68" s="193">
        <f ca="1">IF($F69=-1,0,IF(O$13&lt;=$M68,IF(ISERROR(MATCH(O$13,OFFSET($M68,1,0,ROW($M$164)-ROW($M68)-1),0)),ROW($M$164)-ROW($M68)-1,MATCH(O$13,OFFSET($M68,1,0,ROW($M$164)-ROW($M68)-1),0)-1),0))</f>
        <v>2</v>
      </c>
      <c r="P68" s="193">
        <f ca="1">IF($F69=-1,0,IF(P$13&lt;=$M68,IF(ISERROR(MATCH(P$13,OFFSET($M68,1,0,ROW($M$164)-ROW($M68)-1),0)),ROW($M$164)-ROW($M68)-1,MATCH(P$13,OFFSET($M68,1,0,ROW($M$164)-ROW($M68)-1),0)-1),0))</f>
        <v>0</v>
      </c>
      <c r="Q68" s="193">
        <f ca="1">IF($F69=-1,0,IF(Q$13&lt;=$M68,IF(ISERROR(MATCH(Q$13,OFFSET($M68,1,0,ROW($M$164)-ROW($M68)-1),0)),ROW($M$164)-ROW($M68)-1,MATCH(Q$13,OFFSET($M68,1,0,ROW($M$164)-ROW($M68)-1),0)-1),0))</f>
        <v>0</v>
      </c>
      <c r="R68" s="193">
        <f t="shared" ref="R68" ca="1" si="113">MIN(OFFSET(M68,0,1,,M68))</f>
        <v>2</v>
      </c>
      <c r="S68" s="194">
        <f ca="1">IF($F69=0,OFFSET(ORÇAMENTO!X$15,$F68,0),IF($F69&lt;&gt;-1,OFFSET(QCI!$O$13,$F69,0),""))</f>
        <v>0</v>
      </c>
      <c r="T68" s="195" t="s">
        <v>785</v>
      </c>
      <c r="U68" s="188" t="e" cm="1">
        <f t="array" aca="1" ref="U68" ca="1">IF(AND($R68=2,ACOMPANHAMENTO="BM"),ROUND(U69,4),U70/$S68)</f>
        <v>#DIV/0!</v>
      </c>
      <c r="V68" s="188" t="e" cm="1">
        <f t="array" aca="1" ref="V68" ca="1">IF(AND($R68=2,ACOMPANHAMENTO="BM"),ROUND(V69,4),V70/$S68)</f>
        <v>#DIV/0!</v>
      </c>
      <c r="W68" s="188" t="e" cm="1">
        <f t="array" aca="1" ref="W68" ca="1">IF(AND($R68=2,ACOMPANHAMENTO="BM"),ROUND(W69,4),W70/$S68)</f>
        <v>#DIV/0!</v>
      </c>
      <c r="X68" s="188" t="e" cm="1">
        <f t="array" aca="1" ref="X68" ca="1">IF(AND($R68=2,ACOMPANHAMENTO="BM"),ROUND(X69,4),X70/$S68)</f>
        <v>#DIV/0!</v>
      </c>
      <c r="Y68" s="188" t="e" cm="1">
        <f t="array" aca="1" ref="Y68" ca="1">IF(AND($R68=2,ACOMPANHAMENTO="BM"),ROUND(Y69,4),Y70/$S68)</f>
        <v>#DIV/0!</v>
      </c>
      <c r="Z68" s="188" t="e" cm="1">
        <f t="array" aca="1" ref="Z68" ca="1">IF(AND($R68=2,ACOMPANHAMENTO="BM"),ROUND(Z69,4),Z70/$S68)</f>
        <v>#DIV/0!</v>
      </c>
      <c r="AA68" s="188" t="e" cm="1">
        <f t="array" aca="1" ref="AA68" ca="1">IF(AND($R68=2,ACOMPANHAMENTO="BM"),ROUND(AA69,4),AA70/$S68)</f>
        <v>#DIV/0!</v>
      </c>
      <c r="AB68" s="188" t="e" cm="1">
        <f t="array" aca="1" ref="AB68" ca="1">IF(AND($R68=2,ACOMPANHAMENTO="BM"),ROUND(AB69,4),AB70/$S68)</f>
        <v>#DIV/0!</v>
      </c>
      <c r="AC68" s="188" t="e" cm="1">
        <f t="array" aca="1" ref="AC68" ca="1">IF(AND($R68=2,ACOMPANHAMENTO="BM"),ROUND(AC69,4),AC70/$S68)</f>
        <v>#DIV/0!</v>
      </c>
      <c r="AD68" s="188" t="e" cm="1">
        <f t="array" aca="1" ref="AD68" ca="1">IF(AND($R68=2,ACOMPANHAMENTO="BM"),ROUND(AD69,4),AD70/$S68)</f>
        <v>#DIV/0!</v>
      </c>
      <c r="AE68" s="188" t="e" cm="1">
        <f t="array" aca="1" ref="AE68" ca="1">IF(AND($R68=2,ACOMPANHAMENTO="BM"),ROUND(AE69,4),AE70/$S68)</f>
        <v>#DIV/0!</v>
      </c>
      <c r="AF68" s="188" t="e" cm="1">
        <f t="array" aca="1" ref="AF68" ca="1">IF(AND($R68=2,ACOMPANHAMENTO="BM"),ROUND(AF69,4),AF70/$S68)</f>
        <v>#DIV/0!</v>
      </c>
      <c r="AG68" s="188" t="e" cm="1">
        <f t="array" aca="1" ref="AG68" ca="1">IF(AND($R68=2,ACOMPANHAMENTO="BM"),ROUND(AG69,4),AG70/$S68)</f>
        <v>#DIV/0!</v>
      </c>
      <c r="AH68" s="188" t="e" cm="1">
        <f t="array" aca="1" ref="AH68" ca="1">IF(AND($R68=2,ACOMPANHAMENTO="BM"),ROUND(AH69,4),AH70/$S68)</f>
        <v>#DIV/0!</v>
      </c>
      <c r="AI68" s="188" t="e" cm="1">
        <f t="array" aca="1" ref="AI68" ca="1">IF(AND($R68=2,ACOMPANHAMENTO="BM"),ROUND(AI69,4),AI70/$S68)</f>
        <v>#DIV/0!</v>
      </c>
      <c r="AJ68" s="188" t="e" cm="1">
        <f t="array" aca="1" ref="AJ68" ca="1">IF(AND($R68=2,ACOMPANHAMENTO="BM"),ROUND(AJ69,4),AJ70/$S68)</f>
        <v>#DIV/0!</v>
      </c>
      <c r="AK68" s="188" t="e" cm="1">
        <f t="array" aca="1" ref="AK68" ca="1">IF(AND($R68=2,ACOMPANHAMENTO="BM"),ROUND(AK69,4),AK70/$S68)</f>
        <v>#DIV/0!</v>
      </c>
      <c r="AL68" s="188" t="e" cm="1">
        <f t="array" aca="1" ref="AL68" ca="1">IF(AND($R68=2,ACOMPANHAMENTO="BM"),ROUND(AL69,4),AL70/$S68)</f>
        <v>#DIV/0!</v>
      </c>
      <c r="AM68" s="188" t="e" cm="1">
        <f t="array" aca="1" ref="AM68" ca="1">IF(AND($R68=2,ACOMPANHAMENTO="BM"),ROUND(AM69,4),AM70/$S68)</f>
        <v>#DIV/0!</v>
      </c>
      <c r="AN68" s="188" t="e" cm="1">
        <f t="array" aca="1" ref="AN68" ca="1">IF(AND($R68=2,ACOMPANHAMENTO="BM"),ROUND(AN69,4),AN70/$S68)</f>
        <v>#DIV/0!</v>
      </c>
      <c r="AO68" s="188" t="e" cm="1">
        <f t="array" aca="1" ref="AO68" ca="1">IF(AND($R68=2,ACOMPANHAMENTO="BM"),ROUND(AO69,4),AO70/$S68)</f>
        <v>#DIV/0!</v>
      </c>
      <c r="AP68" s="188" t="e" cm="1">
        <f t="array" aca="1" ref="AP68" ca="1">IF(AND($R68=2,ACOMPANHAMENTO="BM"),ROUND(AP69,4),AP70/$S68)</f>
        <v>#DIV/0!</v>
      </c>
      <c r="AQ68" s="188" t="e" cm="1">
        <f t="array" aca="1" ref="AQ68" ca="1">IF(AND($R68=2,ACOMPANHAMENTO="BM"),ROUND(AQ69,4),AQ70/$S68)</f>
        <v>#DIV/0!</v>
      </c>
      <c r="AR68" s="188" t="e" cm="1">
        <f t="array" aca="1" ref="AR68" ca="1">IF(AND($R68=2,ACOMPANHAMENTO="BM"),ROUND(AR69,4),AR70/$S68)</f>
        <v>#DIV/0!</v>
      </c>
      <c r="AS68" s="534"/>
    </row>
    <row r="69" spans="1:45" ht="12.75" hidden="1" customHeight="1" x14ac:dyDescent="0.2">
      <c r="E69" s="587"/>
      <c r="F69" s="185">
        <f ca="1">IF(ISERROR(F68),IF(1+COUNTIF($M$13:OFFSET(M68,-1,0),1)&lt;=MAX(QCI!$D$13:$D$24),1+COUNTIF($M$13:OFFSET(M68,-1,0),1),-1),0)</f>
        <v>0</v>
      </c>
      <c r="G69" s="185" t="str" cm="1">
        <f t="array" aca="1" ref="G69" ca="1">IF(ACOMPANHAMENTO="BM",OFFSET(G69,-1,0),"")</f>
        <v/>
      </c>
      <c r="H69" s="196" t="str" cm="1">
        <f t="array" aca="1" ref="H69" ca="1">IF(OR(S68=0,S68=""),"vazia",IF(AND(OR(ACOMPANHAMENTO="PLE",$R68&lt;&gt;2),$F69=0),"calculada","--&gt;"))</f>
        <v>vazia</v>
      </c>
      <c r="I69" s="197"/>
      <c r="J69" s="198" t="str">
        <f t="shared" ref="J69" ca="1" si="114">IF(AND(H68&lt;&gt;0,ISNUMBER(H68)),"PREENCHA ESTA LINHA --&gt;","")</f>
        <v/>
      </c>
      <c r="K69" s="198"/>
      <c r="L69" s="198"/>
      <c r="M69" s="199"/>
      <c r="N69" s="199"/>
      <c r="O69" s="199"/>
      <c r="P69" s="199"/>
      <c r="Q69" s="199"/>
      <c r="R69" s="199"/>
      <c r="S69" s="200"/>
      <c r="T69" s="201"/>
      <c r="U69" s="587"/>
      <c r="V69" s="587"/>
      <c r="W69" s="587"/>
      <c r="X69" s="587"/>
      <c r="Y69" s="587"/>
      <c r="Z69" s="587"/>
      <c r="AA69" s="587"/>
      <c r="AB69" s="587"/>
      <c r="AC69" s="587"/>
      <c r="AD69" s="587"/>
      <c r="AE69" s="587"/>
      <c r="AF69" s="587"/>
      <c r="AG69" s="587"/>
      <c r="AH69" s="587"/>
      <c r="AI69" s="587"/>
      <c r="AJ69" s="587"/>
      <c r="AK69" s="587"/>
      <c r="AL69" s="587"/>
      <c r="AM69" s="587"/>
      <c r="AN69" s="587"/>
      <c r="AO69" s="587"/>
      <c r="AP69" s="587"/>
      <c r="AQ69" s="587"/>
      <c r="AR69" s="587"/>
      <c r="AS69" s="534"/>
    </row>
    <row r="70" spans="1:45" ht="12.75" hidden="1" customHeight="1" x14ac:dyDescent="0.2">
      <c r="D70" s="533"/>
      <c r="E70" s="202" cm="1">
        <f t="array" aca="1" ref="E70" ca="1">IF($R68=2,
         IF(AND(ACOMPANHAMENTO="PLE",ISNUMBER($F68)),
                SUMIF((OFFSET(CÁLCULO!$BS$15:$CS$15,$F68,0,OFFSET(ORÇAMENTO!$D$15,CRONO!$F68,0))),CRONO!E$12,OFFSET(CÁLCULO!$AR$15:$BR$15,$F68,0,OFFSET(ORÇAMENTO!$D$15,CRONO!$F68,0)))
                +IF(AND($F70&lt;&gt;"",$F70&lt;&gt;0),
                        SUMIF(CÁLCULO!$BS$15:$CS$244,CRONO!E$12,CÁLCULO!$AR$15:$BR$244)/(ORÇAMENTO!$X$15-CÁLCULO.TotalAdmLocal)*CRONO!$F70,
                        0),
                 E69*$S68),
          SUMIF(OFFSET($S70,1,0,$R68-2),($M68+1)&amp;"$",OFFSET(E70,1,0,$R68-2)))</f>
        <v>0</v>
      </c>
      <c r="F70" s="185">
        <f ca="1">IF(OR($R68&lt;&gt;2,AUTOEVENTO&lt;&gt;"manual",$F69&gt;0),"",
        IF(Import.TipoArredondamento="Tradicional",
              SUMIF(OFFSET(CÁLCULO!$M$15,CRONO!$F68,0,OFFSET(ORÇAMENTO!$D$15,CRONO!$F68,0)),1,OFFSET(ORÇAMENTO!$X$15,CRONO!$F68,0,OFFSET(ORÇAMENTO!$D$15,CRONO!$F68,0))),
              0))</f>
        <v>0</v>
      </c>
      <c r="H70" s="203"/>
      <c r="S70" s="204" t="str">
        <f t="shared" ref="S70" ca="1" si="115">M68&amp;"$"</f>
        <v>2$</v>
      </c>
      <c r="T70" s="205"/>
      <c r="U70" s="202" cm="1">
        <f t="array" aca="1" ref="U70" ca="1">IF($R68=2,
         IF(AND(ACOMPANHAMENTO="PLE",ISNUMBER($F68)),
                SUMIF((OFFSET(CÁLCULO!$BS$15:$CS$15,$F68,0,OFFSET(ORÇAMENTO!$D$15,CRONO!$F68,0))),CRONO!U$12,OFFSET(CÁLCULO!$AR$15:$BR$15,$F68,0,OFFSET(ORÇAMENTO!$D$15,CRONO!$F68,0)))
                +IF(AND($F70&lt;&gt;"",$F70&lt;&gt;0),
                        SUMIF(CÁLCULO!$BS$15:$CS$244,CRONO!U$12,CÁLCULO!$AR$15:$BR$244)/(ORÇAMENTO!$X$15-CÁLCULO.TotalAdmLocal)*CRONO!$F70,
                        0),
                 U69*$S68),
          SUMIF(OFFSET($S70,1,0,$R68-2),($M68+1)&amp;"$",OFFSET(U70,1,0,$R68-2)))</f>
        <v>0</v>
      </c>
      <c r="V70" s="202" cm="1">
        <f t="array" aca="1" ref="V70" ca="1">IF($R68=2,
         IF(AND(ACOMPANHAMENTO="PLE",ISNUMBER($F68)),
                SUMIF((OFFSET(CÁLCULO!$BS$15:$CS$15,$F68,0,OFFSET(ORÇAMENTO!$D$15,CRONO!$F68,0))),CRONO!V$12,OFFSET(CÁLCULO!$AR$15:$BR$15,$F68,0,OFFSET(ORÇAMENTO!$D$15,CRONO!$F68,0)))
                +IF(AND($F70&lt;&gt;"",$F70&lt;&gt;0),
                        SUMIF(CÁLCULO!$BS$15:$CS$244,CRONO!V$12,CÁLCULO!$AR$15:$BR$244)/(ORÇAMENTO!$X$15-CÁLCULO.TotalAdmLocal)*CRONO!$F70,
                        0),
                 V69*$S68),
          SUMIF(OFFSET($S70,1,0,$R68-2),($M68+1)&amp;"$",OFFSET(V70,1,0,$R68-2)))</f>
        <v>0</v>
      </c>
      <c r="W70" s="202" cm="1">
        <f t="array" aca="1" ref="W70" ca="1">IF($R68=2,
         IF(AND(ACOMPANHAMENTO="PLE",ISNUMBER($F68)),
                SUMIF((OFFSET(CÁLCULO!$BS$15:$CS$15,$F68,0,OFFSET(ORÇAMENTO!$D$15,CRONO!$F68,0))),CRONO!W$12,OFFSET(CÁLCULO!$AR$15:$BR$15,$F68,0,OFFSET(ORÇAMENTO!$D$15,CRONO!$F68,0)))
                +IF(AND($F70&lt;&gt;"",$F70&lt;&gt;0),
                        SUMIF(CÁLCULO!$BS$15:$CS$244,CRONO!W$12,CÁLCULO!$AR$15:$BR$244)/(ORÇAMENTO!$X$15-CÁLCULO.TotalAdmLocal)*CRONO!$F70,
                        0),
                 W69*$S68),
          SUMIF(OFFSET($S70,1,0,$R68-2),($M68+1)&amp;"$",OFFSET(W70,1,0,$R68-2)))</f>
        <v>0</v>
      </c>
      <c r="X70" s="202" cm="1">
        <f t="array" aca="1" ref="X70" ca="1">IF($R68=2,
         IF(AND(ACOMPANHAMENTO="PLE",ISNUMBER($F68)),
                SUMIF((OFFSET(CÁLCULO!$BS$15:$CS$15,$F68,0,OFFSET(ORÇAMENTO!$D$15,CRONO!$F68,0))),CRONO!X$12,OFFSET(CÁLCULO!$AR$15:$BR$15,$F68,0,OFFSET(ORÇAMENTO!$D$15,CRONO!$F68,0)))
                +IF(AND($F70&lt;&gt;"",$F70&lt;&gt;0),
                        SUMIF(CÁLCULO!$BS$15:$CS$244,CRONO!X$12,CÁLCULO!$AR$15:$BR$244)/(ORÇAMENTO!$X$15-CÁLCULO.TotalAdmLocal)*CRONO!$F70,
                        0),
                 X69*$S68),
          SUMIF(OFFSET($S70,1,0,$R68-2),($M68+1)&amp;"$",OFFSET(X70,1,0,$R68-2)))</f>
        <v>0</v>
      </c>
      <c r="Y70" s="202" cm="1">
        <f t="array" aca="1" ref="Y70" ca="1">IF($R68=2,
         IF(AND(ACOMPANHAMENTO="PLE",ISNUMBER($F68)),
                SUMIF((OFFSET(CÁLCULO!$BS$15:$CS$15,$F68,0,OFFSET(ORÇAMENTO!$D$15,CRONO!$F68,0))),CRONO!Y$12,OFFSET(CÁLCULO!$AR$15:$BR$15,$F68,0,OFFSET(ORÇAMENTO!$D$15,CRONO!$F68,0)))
                +IF(AND($F70&lt;&gt;"",$F70&lt;&gt;0),
                        SUMIF(CÁLCULO!$BS$15:$CS$244,CRONO!Y$12,CÁLCULO!$AR$15:$BR$244)/(ORÇAMENTO!$X$15-CÁLCULO.TotalAdmLocal)*CRONO!$F70,
                        0),
                 Y69*$S68),
          SUMIF(OFFSET($S70,1,0,$R68-2),($M68+1)&amp;"$",OFFSET(Y70,1,0,$R68-2)))</f>
        <v>0</v>
      </c>
      <c r="Z70" s="202" cm="1">
        <f t="array" aca="1" ref="Z70" ca="1">IF($R68=2,
         IF(AND(ACOMPANHAMENTO="PLE",ISNUMBER($F68)),
                SUMIF((OFFSET(CÁLCULO!$BS$15:$CS$15,$F68,0,OFFSET(ORÇAMENTO!$D$15,CRONO!$F68,0))),CRONO!Z$12,OFFSET(CÁLCULO!$AR$15:$BR$15,$F68,0,OFFSET(ORÇAMENTO!$D$15,CRONO!$F68,0)))
                +IF(AND($F70&lt;&gt;"",$F70&lt;&gt;0),
                        SUMIF(CÁLCULO!$BS$15:$CS$244,CRONO!Z$12,CÁLCULO!$AR$15:$BR$244)/(ORÇAMENTO!$X$15-CÁLCULO.TotalAdmLocal)*CRONO!$F70,
                        0),
                 Z69*$S68),
          SUMIF(OFFSET($S70,1,0,$R68-2),($M68+1)&amp;"$",OFFSET(Z70,1,0,$R68-2)))</f>
        <v>0</v>
      </c>
      <c r="AA70" s="202" cm="1">
        <f t="array" aca="1" ref="AA70" ca="1">IF($R68=2,
         IF(AND(ACOMPANHAMENTO="PLE",ISNUMBER($F68)),
                SUMIF((OFFSET(CÁLCULO!$BS$15:$CS$15,$F68,0,OFFSET(ORÇAMENTO!$D$15,CRONO!$F68,0))),CRONO!AA$12,OFFSET(CÁLCULO!$AR$15:$BR$15,$F68,0,OFFSET(ORÇAMENTO!$D$15,CRONO!$F68,0)))
                +IF(AND($F70&lt;&gt;"",$F70&lt;&gt;0),
                        SUMIF(CÁLCULO!$BS$15:$CS$244,CRONO!AA$12,CÁLCULO!$AR$15:$BR$244)/(ORÇAMENTO!$X$15-CÁLCULO.TotalAdmLocal)*CRONO!$F70,
                        0),
                 AA69*$S68),
          SUMIF(OFFSET($S70,1,0,$R68-2),($M68+1)&amp;"$",OFFSET(AA70,1,0,$R68-2)))</f>
        <v>0</v>
      </c>
      <c r="AB70" s="202" cm="1">
        <f t="array" aca="1" ref="AB70" ca="1">IF($R68=2,
         IF(AND(ACOMPANHAMENTO="PLE",ISNUMBER($F68)),
                SUMIF((OFFSET(CÁLCULO!$BS$15:$CS$15,$F68,0,OFFSET(ORÇAMENTO!$D$15,CRONO!$F68,0))),CRONO!AB$12,OFFSET(CÁLCULO!$AR$15:$BR$15,$F68,0,OFFSET(ORÇAMENTO!$D$15,CRONO!$F68,0)))
                +IF(AND($F70&lt;&gt;"",$F70&lt;&gt;0),
                        SUMIF(CÁLCULO!$BS$15:$CS$244,CRONO!AB$12,CÁLCULO!$AR$15:$BR$244)/(ORÇAMENTO!$X$15-CÁLCULO.TotalAdmLocal)*CRONO!$F70,
                        0),
                 AB69*$S68),
          SUMIF(OFFSET($S70,1,0,$R68-2),($M68+1)&amp;"$",OFFSET(AB70,1,0,$R68-2)))</f>
        <v>0</v>
      </c>
      <c r="AC70" s="202" cm="1">
        <f t="array" aca="1" ref="AC70" ca="1">IF($R68=2,
         IF(AND(ACOMPANHAMENTO="PLE",ISNUMBER($F68)),
                SUMIF((OFFSET(CÁLCULO!$BS$15:$CS$15,$F68,0,OFFSET(ORÇAMENTO!$D$15,CRONO!$F68,0))),CRONO!AC$12,OFFSET(CÁLCULO!$AR$15:$BR$15,$F68,0,OFFSET(ORÇAMENTO!$D$15,CRONO!$F68,0)))
                +IF(AND($F70&lt;&gt;"",$F70&lt;&gt;0),
                        SUMIF(CÁLCULO!$BS$15:$CS$244,CRONO!AC$12,CÁLCULO!$AR$15:$BR$244)/(ORÇAMENTO!$X$15-CÁLCULO.TotalAdmLocal)*CRONO!$F70,
                        0),
                 AC69*$S68),
          SUMIF(OFFSET($S70,1,0,$R68-2),($M68+1)&amp;"$",OFFSET(AC70,1,0,$R68-2)))</f>
        <v>0</v>
      </c>
      <c r="AD70" s="202" cm="1">
        <f t="array" aca="1" ref="AD70" ca="1">IF($R68=2,
         IF(AND(ACOMPANHAMENTO="PLE",ISNUMBER($F68)),
                SUMIF((OFFSET(CÁLCULO!$BS$15:$CS$15,$F68,0,OFFSET(ORÇAMENTO!$D$15,CRONO!$F68,0))),CRONO!AD$12,OFFSET(CÁLCULO!$AR$15:$BR$15,$F68,0,OFFSET(ORÇAMENTO!$D$15,CRONO!$F68,0)))
                +IF(AND($F70&lt;&gt;"",$F70&lt;&gt;0),
                        SUMIF(CÁLCULO!$BS$15:$CS$244,CRONO!AD$12,CÁLCULO!$AR$15:$BR$244)/(ORÇAMENTO!$X$15-CÁLCULO.TotalAdmLocal)*CRONO!$F70,
                        0),
                 AD69*$S68),
          SUMIF(OFFSET($S70,1,0,$R68-2),($M68+1)&amp;"$",OFFSET(AD70,1,0,$R68-2)))</f>
        <v>0</v>
      </c>
      <c r="AE70" s="202" cm="1">
        <f t="array" aca="1" ref="AE70" ca="1">IF($R68=2,
         IF(AND(ACOMPANHAMENTO="PLE",ISNUMBER($F68)),
                SUMIF((OFFSET(CÁLCULO!$BS$15:$CS$15,$F68,0,OFFSET(ORÇAMENTO!$D$15,CRONO!$F68,0))),CRONO!AE$12,OFFSET(CÁLCULO!$AR$15:$BR$15,$F68,0,OFFSET(ORÇAMENTO!$D$15,CRONO!$F68,0)))
                +IF(AND($F70&lt;&gt;"",$F70&lt;&gt;0),
                        SUMIF(CÁLCULO!$BS$15:$CS$244,CRONO!AE$12,CÁLCULO!$AR$15:$BR$244)/(ORÇAMENTO!$X$15-CÁLCULO.TotalAdmLocal)*CRONO!$F70,
                        0),
                 AE69*$S68),
          SUMIF(OFFSET($S70,1,0,$R68-2),($M68+1)&amp;"$",OFFSET(AE70,1,0,$R68-2)))</f>
        <v>0</v>
      </c>
      <c r="AF70" s="202" cm="1">
        <f t="array" aca="1" ref="AF70" ca="1">IF($R68=2,
         IF(AND(ACOMPANHAMENTO="PLE",ISNUMBER($F68)),
                SUMIF((OFFSET(CÁLCULO!$BS$15:$CS$15,$F68,0,OFFSET(ORÇAMENTO!$D$15,CRONO!$F68,0))),CRONO!AF$12,OFFSET(CÁLCULO!$AR$15:$BR$15,$F68,0,OFFSET(ORÇAMENTO!$D$15,CRONO!$F68,0)))
                +IF(AND($F70&lt;&gt;"",$F70&lt;&gt;0),
                        SUMIF(CÁLCULO!$BS$15:$CS$244,CRONO!AF$12,CÁLCULO!$AR$15:$BR$244)/(ORÇAMENTO!$X$15-CÁLCULO.TotalAdmLocal)*CRONO!$F70,
                        0),
                 AF69*$S68),
          SUMIF(OFFSET($S70,1,0,$R68-2),($M68+1)&amp;"$",OFFSET(AF70,1,0,$R68-2)))</f>
        <v>0</v>
      </c>
      <c r="AG70" s="202" cm="1">
        <f t="array" aca="1" ref="AG70" ca="1">IF($R68=2,
         IF(AND(ACOMPANHAMENTO="PLE",ISNUMBER($F68)),
                SUMIF((OFFSET(CÁLCULO!$BS$15:$CS$15,$F68,0,OFFSET(ORÇAMENTO!$D$15,CRONO!$F68,0))),CRONO!AG$12,OFFSET(CÁLCULO!$AR$15:$BR$15,$F68,0,OFFSET(ORÇAMENTO!$D$15,CRONO!$F68,0)))
                +IF(AND($F70&lt;&gt;"",$F70&lt;&gt;0),
                        SUMIF(CÁLCULO!$BS$15:$CS$244,CRONO!AG$12,CÁLCULO!$AR$15:$BR$244)/(ORÇAMENTO!$X$15-CÁLCULO.TotalAdmLocal)*CRONO!$F70,
                        0),
                 AG69*$S68),
          SUMIF(OFFSET($S70,1,0,$R68-2),($M68+1)&amp;"$",OFFSET(AG70,1,0,$R68-2)))</f>
        <v>0</v>
      </c>
      <c r="AH70" s="202" cm="1">
        <f t="array" aca="1" ref="AH70" ca="1">IF($R68=2,
         IF(AND(ACOMPANHAMENTO="PLE",ISNUMBER($F68)),
                SUMIF((OFFSET(CÁLCULO!$BS$15:$CS$15,$F68,0,OFFSET(ORÇAMENTO!$D$15,CRONO!$F68,0))),CRONO!AH$12,OFFSET(CÁLCULO!$AR$15:$BR$15,$F68,0,OFFSET(ORÇAMENTO!$D$15,CRONO!$F68,0)))
                +IF(AND($F70&lt;&gt;"",$F70&lt;&gt;0),
                        SUMIF(CÁLCULO!$BS$15:$CS$244,CRONO!AH$12,CÁLCULO!$AR$15:$BR$244)/(ORÇAMENTO!$X$15-CÁLCULO.TotalAdmLocal)*CRONO!$F70,
                        0),
                 AH69*$S68),
          SUMIF(OFFSET($S70,1,0,$R68-2),($M68+1)&amp;"$",OFFSET(AH70,1,0,$R68-2)))</f>
        <v>0</v>
      </c>
      <c r="AI70" s="202" cm="1">
        <f t="array" aca="1" ref="AI70" ca="1">IF($R68=2,
         IF(AND(ACOMPANHAMENTO="PLE",ISNUMBER($F68)),
                SUMIF((OFFSET(CÁLCULO!$BS$15:$CS$15,$F68,0,OFFSET(ORÇAMENTO!$D$15,CRONO!$F68,0))),CRONO!AI$12,OFFSET(CÁLCULO!$AR$15:$BR$15,$F68,0,OFFSET(ORÇAMENTO!$D$15,CRONO!$F68,0)))
                +IF(AND($F70&lt;&gt;"",$F70&lt;&gt;0),
                        SUMIF(CÁLCULO!$BS$15:$CS$244,CRONO!AI$12,CÁLCULO!$AR$15:$BR$244)/(ORÇAMENTO!$X$15-CÁLCULO.TotalAdmLocal)*CRONO!$F70,
                        0),
                 AI69*$S68),
          SUMIF(OFFSET($S70,1,0,$R68-2),($M68+1)&amp;"$",OFFSET(AI70,1,0,$R68-2)))</f>
        <v>0</v>
      </c>
      <c r="AJ70" s="202" cm="1">
        <f t="array" aca="1" ref="AJ70" ca="1">IF($R68=2,
         IF(AND(ACOMPANHAMENTO="PLE",ISNUMBER($F68)),
                SUMIF((OFFSET(CÁLCULO!$BS$15:$CS$15,$F68,0,OFFSET(ORÇAMENTO!$D$15,CRONO!$F68,0))),CRONO!AJ$12,OFFSET(CÁLCULO!$AR$15:$BR$15,$F68,0,OFFSET(ORÇAMENTO!$D$15,CRONO!$F68,0)))
                +IF(AND($F70&lt;&gt;"",$F70&lt;&gt;0),
                        SUMIF(CÁLCULO!$BS$15:$CS$244,CRONO!AJ$12,CÁLCULO!$AR$15:$BR$244)/(ORÇAMENTO!$X$15-CÁLCULO.TotalAdmLocal)*CRONO!$F70,
                        0),
                 AJ69*$S68),
          SUMIF(OFFSET($S70,1,0,$R68-2),($M68+1)&amp;"$",OFFSET(AJ70,1,0,$R68-2)))</f>
        <v>0</v>
      </c>
      <c r="AK70" s="202" cm="1">
        <f t="array" aca="1" ref="AK70" ca="1">IF($R68=2,
         IF(AND(ACOMPANHAMENTO="PLE",ISNUMBER($F68)),
                SUMIF((OFFSET(CÁLCULO!$BS$15:$CS$15,$F68,0,OFFSET(ORÇAMENTO!$D$15,CRONO!$F68,0))),CRONO!AK$12,OFFSET(CÁLCULO!$AR$15:$BR$15,$F68,0,OFFSET(ORÇAMENTO!$D$15,CRONO!$F68,0)))
                +IF(AND($F70&lt;&gt;"",$F70&lt;&gt;0),
                        SUMIF(CÁLCULO!$BS$15:$CS$244,CRONO!AK$12,CÁLCULO!$AR$15:$BR$244)/(ORÇAMENTO!$X$15-CÁLCULO.TotalAdmLocal)*CRONO!$F70,
                        0),
                 AK69*$S68),
          SUMIF(OFFSET($S70,1,0,$R68-2),($M68+1)&amp;"$",OFFSET(AK70,1,0,$R68-2)))</f>
        <v>0</v>
      </c>
      <c r="AL70" s="202" cm="1">
        <f t="array" aca="1" ref="AL70" ca="1">IF($R68=2,
         IF(AND(ACOMPANHAMENTO="PLE",ISNUMBER($F68)),
                SUMIF((OFFSET(CÁLCULO!$BS$15:$CS$15,$F68,0,OFFSET(ORÇAMENTO!$D$15,CRONO!$F68,0))),CRONO!AL$12,OFFSET(CÁLCULO!$AR$15:$BR$15,$F68,0,OFFSET(ORÇAMENTO!$D$15,CRONO!$F68,0)))
                +IF(AND($F70&lt;&gt;"",$F70&lt;&gt;0),
                        SUMIF(CÁLCULO!$BS$15:$CS$244,CRONO!AL$12,CÁLCULO!$AR$15:$BR$244)/(ORÇAMENTO!$X$15-CÁLCULO.TotalAdmLocal)*CRONO!$F70,
                        0),
                 AL69*$S68),
          SUMIF(OFFSET($S70,1,0,$R68-2),($M68+1)&amp;"$",OFFSET(AL70,1,0,$R68-2)))</f>
        <v>0</v>
      </c>
      <c r="AM70" s="202" cm="1">
        <f t="array" aca="1" ref="AM70" ca="1">IF($R68=2,
         IF(AND(ACOMPANHAMENTO="PLE",ISNUMBER($F68)),
                SUMIF((OFFSET(CÁLCULO!$BS$15:$CS$15,$F68,0,OFFSET(ORÇAMENTO!$D$15,CRONO!$F68,0))),CRONO!AM$12,OFFSET(CÁLCULO!$AR$15:$BR$15,$F68,0,OFFSET(ORÇAMENTO!$D$15,CRONO!$F68,0)))
                +IF(AND($F70&lt;&gt;"",$F70&lt;&gt;0),
                        SUMIF(CÁLCULO!$BS$15:$CS$244,CRONO!AM$12,CÁLCULO!$AR$15:$BR$244)/(ORÇAMENTO!$X$15-CÁLCULO.TotalAdmLocal)*CRONO!$F70,
                        0),
                 AM69*$S68),
          SUMIF(OFFSET($S70,1,0,$R68-2),($M68+1)&amp;"$",OFFSET(AM70,1,0,$R68-2)))</f>
        <v>0</v>
      </c>
      <c r="AN70" s="202" cm="1">
        <f t="array" aca="1" ref="AN70" ca="1">IF($R68=2,
         IF(AND(ACOMPANHAMENTO="PLE",ISNUMBER($F68)),
                SUMIF((OFFSET(CÁLCULO!$BS$15:$CS$15,$F68,0,OFFSET(ORÇAMENTO!$D$15,CRONO!$F68,0))),CRONO!AN$12,OFFSET(CÁLCULO!$AR$15:$BR$15,$F68,0,OFFSET(ORÇAMENTO!$D$15,CRONO!$F68,0)))
                +IF(AND($F70&lt;&gt;"",$F70&lt;&gt;0),
                        SUMIF(CÁLCULO!$BS$15:$CS$244,CRONO!AN$12,CÁLCULO!$AR$15:$BR$244)/(ORÇAMENTO!$X$15-CÁLCULO.TotalAdmLocal)*CRONO!$F70,
                        0),
                 AN69*$S68),
          SUMIF(OFFSET($S70,1,0,$R68-2),($M68+1)&amp;"$",OFFSET(AN70,1,0,$R68-2)))</f>
        <v>0</v>
      </c>
      <c r="AO70" s="202" cm="1">
        <f t="array" aca="1" ref="AO70" ca="1">IF($R68=2,
         IF(AND(ACOMPANHAMENTO="PLE",ISNUMBER($F68)),
                SUMIF((OFFSET(CÁLCULO!$BS$15:$CS$15,$F68,0,OFFSET(ORÇAMENTO!$D$15,CRONO!$F68,0))),CRONO!AO$12,OFFSET(CÁLCULO!$AR$15:$BR$15,$F68,0,OFFSET(ORÇAMENTO!$D$15,CRONO!$F68,0)))
                +IF(AND($F70&lt;&gt;"",$F70&lt;&gt;0),
                        SUMIF(CÁLCULO!$BS$15:$CS$244,CRONO!AO$12,CÁLCULO!$AR$15:$BR$244)/(ORÇAMENTO!$X$15-CÁLCULO.TotalAdmLocal)*CRONO!$F70,
                        0),
                 AO69*$S68),
          SUMIF(OFFSET($S70,1,0,$R68-2),($M68+1)&amp;"$",OFFSET(AO70,1,0,$R68-2)))</f>
        <v>0</v>
      </c>
      <c r="AP70" s="202" cm="1">
        <f t="array" aca="1" ref="AP70" ca="1">IF($R68=2,
         IF(AND(ACOMPANHAMENTO="PLE",ISNUMBER($F68)),
                SUMIF((OFFSET(CÁLCULO!$BS$15:$CS$15,$F68,0,OFFSET(ORÇAMENTO!$D$15,CRONO!$F68,0))),CRONO!AP$12,OFFSET(CÁLCULO!$AR$15:$BR$15,$F68,0,OFFSET(ORÇAMENTO!$D$15,CRONO!$F68,0)))
                +IF(AND($F70&lt;&gt;"",$F70&lt;&gt;0),
                        SUMIF(CÁLCULO!$BS$15:$CS$244,CRONO!AP$12,CÁLCULO!$AR$15:$BR$244)/(ORÇAMENTO!$X$15-CÁLCULO.TotalAdmLocal)*CRONO!$F70,
                        0),
                 AP69*$S68),
          SUMIF(OFFSET($S70,1,0,$R68-2),($M68+1)&amp;"$",OFFSET(AP70,1,0,$R68-2)))</f>
        <v>0</v>
      </c>
      <c r="AQ70" s="202" cm="1">
        <f t="array" aca="1" ref="AQ70" ca="1">IF($R68=2,
         IF(AND(ACOMPANHAMENTO="PLE",ISNUMBER($F68)),
                SUMIF((OFFSET(CÁLCULO!$BS$15:$CS$15,$F68,0,OFFSET(ORÇAMENTO!$D$15,CRONO!$F68,0))),CRONO!AQ$12,OFFSET(CÁLCULO!$AR$15:$BR$15,$F68,0,OFFSET(ORÇAMENTO!$D$15,CRONO!$F68,0)))
                +IF(AND($F70&lt;&gt;"",$F70&lt;&gt;0),
                        SUMIF(CÁLCULO!$BS$15:$CS$244,CRONO!AQ$12,CÁLCULO!$AR$15:$BR$244)/(ORÇAMENTO!$X$15-CÁLCULO.TotalAdmLocal)*CRONO!$F70,
                        0),
                 AQ69*$S68),
          SUMIF(OFFSET($S70,1,0,$R68-2),($M68+1)&amp;"$",OFFSET(AQ70,1,0,$R68-2)))</f>
        <v>0</v>
      </c>
      <c r="AR70" s="202" cm="1">
        <f t="array" aca="1" ref="AR70" ca="1">IF($R68=2,
         IF(AND(ACOMPANHAMENTO="PLE",ISNUMBER($F68)),
                SUMIF((OFFSET(CÁLCULO!$BS$15:$CS$15,$F68,0,OFFSET(ORÇAMENTO!$D$15,CRONO!$F68,0))),CRONO!AR$12,OFFSET(CÁLCULO!$AR$15:$BR$15,$F68,0,OFFSET(ORÇAMENTO!$D$15,CRONO!$F68,0)))
                +IF(AND($F70&lt;&gt;"",$F70&lt;&gt;0),
                        SUMIF(CÁLCULO!$BS$15:$CS$244,CRONO!AR$12,CÁLCULO!$AR$15:$BR$244)/(ORÇAMENTO!$X$15-CÁLCULO.TotalAdmLocal)*CRONO!$F70,
                        0),
                 AR69*$S68),
          SUMIF(OFFSET($S70,1,0,$R68-2),($M68+1)&amp;"$",OFFSET(AR70,1,0,$R68-2)))</f>
        <v>0</v>
      </c>
      <c r="AS70" s="534"/>
    </row>
    <row r="71" spans="1:45" x14ac:dyDescent="0.2">
      <c r="A71" s="186" t="e">
        <f t="shared" ref="A71" ca="1" si="116">IF($M71&gt;1,_xlfn.CONCAT($I71," ",$J71),"")</f>
        <v>#NAME?</v>
      </c>
      <c r="B71" s="185">
        <f t="shared" ref="B71" ca="1" si="117">OFFSET(B71,-3,0)+1</f>
        <v>20</v>
      </c>
      <c r="C71" s="185">
        <f ca="1">IF($R71&lt;&gt;2,0,IF($S71=0,1,IF(F72&gt;0,OFFSET(QCI!$M$13,SUBSTITUTE(F72,".",""),0),OFFSET(ORÇAMENTO!$AA$15,CRONO!$F71,0))/$S71))</f>
        <v>1</v>
      </c>
      <c r="D71" s="185">
        <f ca="1">IF($R71&lt;&gt;2,0,IF($S71=0,1,IF(F72&gt;0,OFFSET(QCI!$N$13,SUBSTITUTE(F72,".",""),0),OFFSET(ORÇAMENTO!$AB$15,CRONO!$F71,0))/$S71))</f>
        <v>1</v>
      </c>
      <c r="E71" s="188" t="e" cm="1">
        <f t="array" aca="1" ref="E71" ca="1">IF(AND($R71=2,ACOMPANHAMENTO="BM"),ROUND(E72,4),E73/$S71)</f>
        <v>#DIV/0!</v>
      </c>
      <c r="F71" s="185" cm="1">
        <f t="array" aca="1" ref="F71" ca="1">IF(B71&lt;=ORÇAMENTO.MáximoListaCrono,MATCH(B71,ORÇAMENTO.ListaCrono,0),NA())</f>
        <v>76</v>
      </c>
      <c r="G71" s="185" t="str">
        <f t="shared" ref="G71" ca="1" si="118">IF(AND($F72&lt;&gt;-1,$S71&gt;0),"F","")</f>
        <v/>
      </c>
      <c r="H71" s="189" t="str" cm="1">
        <f t="array" aca="1" ref="H71" ca="1">IF(OR(S71=0,S71=""),"Linha",IF(AND(OR(ACOMPANHAMENTO="PLE",$R71&lt;&gt;2),$F72=0),"Linha",ROUND(1-SUM(U71:AS71),4)))</f>
        <v>Linha</v>
      </c>
      <c r="I71" s="190" t="str">
        <f ca="1">IF($F72=0,OFFSET(ORÇAMENTO!O$15,$F71,0),IF($F72&lt;&gt;-1,OFFSET(QCI!$D$13,$F72,0),""))</f>
        <v>7.2.</v>
      </c>
      <c r="J71" s="191" t="str">
        <f ca="1">IF($F72=0,OFFSET(ORÇAMENTO!R$15,$F71,0),IF($F72&lt;&gt;-1,OFFSET(QCI!$G$13,$F72,0),""))</f>
        <v>REVESTIMENTOS CERÂMICOS</v>
      </c>
      <c r="K71" s="191"/>
      <c r="L71" s="191"/>
      <c r="M71" s="192">
        <f ca="1">IF($F72=0,OFFSET(ORÇAMENTO!C$15,$F71,0),1)</f>
        <v>2</v>
      </c>
      <c r="N71" s="193">
        <f ca="1">IF($F72=-1,0,IF(N$13&lt;=$M71,IF(ISERROR(MATCH(N$13,OFFSET($M71,1,0,ROW($M$164)-ROW($M71)-1),0)),ROW($M$164)-ROW($M71)-1,MATCH(N$13,OFFSET($M71,1,0,ROW($M$164)-ROW($M71)-1),0)-1),0))</f>
        <v>20</v>
      </c>
      <c r="O71" s="193">
        <f ca="1">IF($F72=-1,0,IF(O$13&lt;=$M71,IF(ISERROR(MATCH(O$13,OFFSET($M71,1,0,ROW($M$164)-ROW($M71)-1),0)),ROW($M$164)-ROW($M71)-1,MATCH(O$13,OFFSET($M71,1,0,ROW($M$164)-ROW($M71)-1),0)-1),0))</f>
        <v>2</v>
      </c>
      <c r="P71" s="193">
        <f ca="1">IF($F72=-1,0,IF(P$13&lt;=$M71,IF(ISERROR(MATCH(P$13,OFFSET($M71,1,0,ROW($M$164)-ROW($M71)-1),0)),ROW($M$164)-ROW($M71)-1,MATCH(P$13,OFFSET($M71,1,0,ROW($M$164)-ROW($M71)-1),0)-1),0))</f>
        <v>0</v>
      </c>
      <c r="Q71" s="193">
        <f ca="1">IF($F72=-1,0,IF(Q$13&lt;=$M71,IF(ISERROR(MATCH(Q$13,OFFSET($M71,1,0,ROW($M$164)-ROW($M71)-1),0)),ROW($M$164)-ROW($M71)-1,MATCH(Q$13,OFFSET($M71,1,0,ROW($M$164)-ROW($M71)-1),0)-1),0))</f>
        <v>0</v>
      </c>
      <c r="R71" s="193">
        <f t="shared" ref="R71" ca="1" si="119">MIN(OFFSET(M71,0,1,,M71))</f>
        <v>2</v>
      </c>
      <c r="S71" s="194">
        <f ca="1">IF($F72=0,OFFSET(ORÇAMENTO!X$15,$F71,0),IF($F72&lt;&gt;-1,OFFSET(QCI!$O$13,$F72,0),""))</f>
        <v>0</v>
      </c>
      <c r="T71" s="195" t="s">
        <v>785</v>
      </c>
      <c r="U71" s="188" t="e" cm="1">
        <f t="array" aca="1" ref="U71" ca="1">IF(AND($R71=2,ACOMPANHAMENTO="BM"),ROUND(U72,4),U73/$S71)</f>
        <v>#DIV/0!</v>
      </c>
      <c r="V71" s="188" t="e" cm="1">
        <f t="array" aca="1" ref="V71" ca="1">IF(AND($R71=2,ACOMPANHAMENTO="BM"),ROUND(V72,4),V73/$S71)</f>
        <v>#DIV/0!</v>
      </c>
      <c r="W71" s="188" t="e" cm="1">
        <f t="array" aca="1" ref="W71" ca="1">IF(AND($R71=2,ACOMPANHAMENTO="BM"),ROUND(W72,4),W73/$S71)</f>
        <v>#DIV/0!</v>
      </c>
      <c r="X71" s="188" t="e" cm="1">
        <f t="array" aca="1" ref="X71" ca="1">IF(AND($R71=2,ACOMPANHAMENTO="BM"),ROUND(X72,4),X73/$S71)</f>
        <v>#DIV/0!</v>
      </c>
      <c r="Y71" s="188" t="e" cm="1">
        <f t="array" aca="1" ref="Y71" ca="1">IF(AND($R71=2,ACOMPANHAMENTO="BM"),ROUND(Y72,4),Y73/$S71)</f>
        <v>#DIV/0!</v>
      </c>
      <c r="Z71" s="188" t="e" cm="1">
        <f t="array" aca="1" ref="Z71" ca="1">IF(AND($R71=2,ACOMPANHAMENTO="BM"),ROUND(Z72,4),Z73/$S71)</f>
        <v>#DIV/0!</v>
      </c>
      <c r="AA71" s="188" t="e" cm="1">
        <f t="array" aca="1" ref="AA71" ca="1">IF(AND($R71=2,ACOMPANHAMENTO="BM"),ROUND(AA72,4),AA73/$S71)</f>
        <v>#DIV/0!</v>
      </c>
      <c r="AB71" s="188" t="e" cm="1">
        <f t="array" aca="1" ref="AB71" ca="1">IF(AND($R71=2,ACOMPANHAMENTO="BM"),ROUND(AB72,4),AB73/$S71)</f>
        <v>#DIV/0!</v>
      </c>
      <c r="AC71" s="188" t="e" cm="1">
        <f t="array" aca="1" ref="AC71" ca="1">IF(AND($R71=2,ACOMPANHAMENTO="BM"),ROUND(AC72,4),AC73/$S71)</f>
        <v>#DIV/0!</v>
      </c>
      <c r="AD71" s="188" t="e" cm="1">
        <f t="array" aca="1" ref="AD71" ca="1">IF(AND($R71=2,ACOMPANHAMENTO="BM"),ROUND(AD72,4),AD73/$S71)</f>
        <v>#DIV/0!</v>
      </c>
      <c r="AE71" s="188" t="e" cm="1">
        <f t="array" aca="1" ref="AE71" ca="1">IF(AND($R71=2,ACOMPANHAMENTO="BM"),ROUND(AE72,4),AE73/$S71)</f>
        <v>#DIV/0!</v>
      </c>
      <c r="AF71" s="188" t="e" cm="1">
        <f t="array" aca="1" ref="AF71" ca="1">IF(AND($R71=2,ACOMPANHAMENTO="BM"),ROUND(AF72,4),AF73/$S71)</f>
        <v>#DIV/0!</v>
      </c>
      <c r="AG71" s="188" t="e" cm="1">
        <f t="array" aca="1" ref="AG71" ca="1">IF(AND($R71=2,ACOMPANHAMENTO="BM"),ROUND(AG72,4),AG73/$S71)</f>
        <v>#DIV/0!</v>
      </c>
      <c r="AH71" s="188" t="e" cm="1">
        <f t="array" aca="1" ref="AH71" ca="1">IF(AND($R71=2,ACOMPANHAMENTO="BM"),ROUND(AH72,4),AH73/$S71)</f>
        <v>#DIV/0!</v>
      </c>
      <c r="AI71" s="188" t="e" cm="1">
        <f t="array" aca="1" ref="AI71" ca="1">IF(AND($R71=2,ACOMPANHAMENTO="BM"),ROUND(AI72,4),AI73/$S71)</f>
        <v>#DIV/0!</v>
      </c>
      <c r="AJ71" s="188" t="e" cm="1">
        <f t="array" aca="1" ref="AJ71" ca="1">IF(AND($R71=2,ACOMPANHAMENTO="BM"),ROUND(AJ72,4),AJ73/$S71)</f>
        <v>#DIV/0!</v>
      </c>
      <c r="AK71" s="188" t="e" cm="1">
        <f t="array" aca="1" ref="AK71" ca="1">IF(AND($R71=2,ACOMPANHAMENTO="BM"),ROUND(AK72,4),AK73/$S71)</f>
        <v>#DIV/0!</v>
      </c>
      <c r="AL71" s="188" t="e" cm="1">
        <f t="array" aca="1" ref="AL71" ca="1">IF(AND($R71=2,ACOMPANHAMENTO="BM"),ROUND(AL72,4),AL73/$S71)</f>
        <v>#DIV/0!</v>
      </c>
      <c r="AM71" s="188" t="e" cm="1">
        <f t="array" aca="1" ref="AM71" ca="1">IF(AND($R71=2,ACOMPANHAMENTO="BM"),ROUND(AM72,4),AM73/$S71)</f>
        <v>#DIV/0!</v>
      </c>
      <c r="AN71" s="188" t="e" cm="1">
        <f t="array" aca="1" ref="AN71" ca="1">IF(AND($R71=2,ACOMPANHAMENTO="BM"),ROUND(AN72,4),AN73/$S71)</f>
        <v>#DIV/0!</v>
      </c>
      <c r="AO71" s="188" t="e" cm="1">
        <f t="array" aca="1" ref="AO71" ca="1">IF(AND($R71=2,ACOMPANHAMENTO="BM"),ROUND(AO72,4),AO73/$S71)</f>
        <v>#DIV/0!</v>
      </c>
      <c r="AP71" s="188" t="e" cm="1">
        <f t="array" aca="1" ref="AP71" ca="1">IF(AND($R71=2,ACOMPANHAMENTO="BM"),ROUND(AP72,4),AP73/$S71)</f>
        <v>#DIV/0!</v>
      </c>
      <c r="AQ71" s="188" t="e" cm="1">
        <f t="array" aca="1" ref="AQ71" ca="1">IF(AND($R71=2,ACOMPANHAMENTO="BM"),ROUND(AQ72,4),AQ73/$S71)</f>
        <v>#DIV/0!</v>
      </c>
      <c r="AR71" s="188" t="e" cm="1">
        <f t="array" aca="1" ref="AR71" ca="1">IF(AND($R71=2,ACOMPANHAMENTO="BM"),ROUND(AR72,4),AR73/$S71)</f>
        <v>#DIV/0!</v>
      </c>
      <c r="AS71" s="534"/>
    </row>
    <row r="72" spans="1:45" ht="12.75" hidden="1" customHeight="1" x14ac:dyDescent="0.2">
      <c r="E72" s="587"/>
      <c r="F72" s="185">
        <f ca="1">IF(ISERROR(F71),IF(1+COUNTIF($M$13:OFFSET(M71,-1,0),1)&lt;=MAX(QCI!$D$13:$D$24),1+COUNTIF($M$13:OFFSET(M71,-1,0),1),-1),0)</f>
        <v>0</v>
      </c>
      <c r="G72" s="185" t="str" cm="1">
        <f t="array" aca="1" ref="G72" ca="1">IF(ACOMPANHAMENTO="BM",OFFSET(G72,-1,0),"")</f>
        <v/>
      </c>
      <c r="H72" s="196" t="str" cm="1">
        <f t="array" aca="1" ref="H72" ca="1">IF(OR(S71=0,S71=""),"vazia",IF(AND(OR(ACOMPANHAMENTO="PLE",$R71&lt;&gt;2),$F72=0),"calculada","--&gt;"))</f>
        <v>vazia</v>
      </c>
      <c r="I72" s="197"/>
      <c r="J72" s="198" t="str">
        <f t="shared" ref="J72" ca="1" si="120">IF(AND(H71&lt;&gt;0,ISNUMBER(H71)),"PREENCHA ESTA LINHA --&gt;","")</f>
        <v/>
      </c>
      <c r="K72" s="198"/>
      <c r="L72" s="198"/>
      <c r="M72" s="199"/>
      <c r="N72" s="199"/>
      <c r="O72" s="199"/>
      <c r="P72" s="199"/>
      <c r="Q72" s="199"/>
      <c r="R72" s="199"/>
      <c r="S72" s="200"/>
      <c r="T72" s="201"/>
      <c r="U72" s="587"/>
      <c r="V72" s="587"/>
      <c r="W72" s="587"/>
      <c r="X72" s="587"/>
      <c r="Y72" s="587"/>
      <c r="Z72" s="587"/>
      <c r="AA72" s="587"/>
      <c r="AB72" s="587"/>
      <c r="AC72" s="587"/>
      <c r="AD72" s="587"/>
      <c r="AE72" s="587"/>
      <c r="AF72" s="587"/>
      <c r="AG72" s="587"/>
      <c r="AH72" s="587"/>
      <c r="AI72" s="587"/>
      <c r="AJ72" s="587"/>
      <c r="AK72" s="587"/>
      <c r="AL72" s="587"/>
      <c r="AM72" s="587"/>
      <c r="AN72" s="587"/>
      <c r="AO72" s="587"/>
      <c r="AP72" s="587"/>
      <c r="AQ72" s="587"/>
      <c r="AR72" s="587"/>
      <c r="AS72" s="534"/>
    </row>
    <row r="73" spans="1:45" ht="12.75" hidden="1" customHeight="1" x14ac:dyDescent="0.2">
      <c r="D73" s="533"/>
      <c r="E73" s="202" cm="1">
        <f t="array" aca="1" ref="E73" ca="1">IF($R71=2,
         IF(AND(ACOMPANHAMENTO="PLE",ISNUMBER($F71)),
                SUMIF((OFFSET(CÁLCULO!$BS$15:$CS$15,$F71,0,OFFSET(ORÇAMENTO!$D$15,CRONO!$F71,0))),CRONO!E$12,OFFSET(CÁLCULO!$AR$15:$BR$15,$F71,0,OFFSET(ORÇAMENTO!$D$15,CRONO!$F71,0)))
                +IF(AND($F73&lt;&gt;"",$F73&lt;&gt;0),
                        SUMIF(CÁLCULO!$BS$15:$CS$244,CRONO!E$12,CÁLCULO!$AR$15:$BR$244)/(ORÇAMENTO!$X$15-CÁLCULO.TotalAdmLocal)*CRONO!$F73,
                        0),
                 E72*$S71),
          SUMIF(OFFSET($S73,1,0,$R71-2),($M71+1)&amp;"$",OFFSET(E73,1,0,$R71-2)))</f>
        <v>0</v>
      </c>
      <c r="F73" s="185">
        <f ca="1">IF(OR($R71&lt;&gt;2,AUTOEVENTO&lt;&gt;"manual",$F72&gt;0),"",
        IF(Import.TipoArredondamento="Tradicional",
              SUMIF(OFFSET(CÁLCULO!$M$15,CRONO!$F71,0,OFFSET(ORÇAMENTO!$D$15,CRONO!$F71,0)),1,OFFSET(ORÇAMENTO!$X$15,CRONO!$F71,0,OFFSET(ORÇAMENTO!$D$15,CRONO!$F71,0))),
              0))</f>
        <v>0</v>
      </c>
      <c r="H73" s="203"/>
      <c r="S73" s="204" t="str">
        <f t="shared" ref="S73" ca="1" si="121">M71&amp;"$"</f>
        <v>2$</v>
      </c>
      <c r="T73" s="205"/>
      <c r="U73" s="202" cm="1">
        <f t="array" aca="1" ref="U73" ca="1">IF($R71=2,
         IF(AND(ACOMPANHAMENTO="PLE",ISNUMBER($F71)),
                SUMIF((OFFSET(CÁLCULO!$BS$15:$CS$15,$F71,0,OFFSET(ORÇAMENTO!$D$15,CRONO!$F71,0))),CRONO!U$12,OFFSET(CÁLCULO!$AR$15:$BR$15,$F71,0,OFFSET(ORÇAMENTO!$D$15,CRONO!$F71,0)))
                +IF(AND($F73&lt;&gt;"",$F73&lt;&gt;0),
                        SUMIF(CÁLCULO!$BS$15:$CS$244,CRONO!U$12,CÁLCULO!$AR$15:$BR$244)/(ORÇAMENTO!$X$15-CÁLCULO.TotalAdmLocal)*CRONO!$F73,
                        0),
                 U72*$S71),
          SUMIF(OFFSET($S73,1,0,$R71-2),($M71+1)&amp;"$",OFFSET(U73,1,0,$R71-2)))</f>
        <v>0</v>
      </c>
      <c r="V73" s="202" cm="1">
        <f t="array" aca="1" ref="V73" ca="1">IF($R71=2,
         IF(AND(ACOMPANHAMENTO="PLE",ISNUMBER($F71)),
                SUMIF((OFFSET(CÁLCULO!$BS$15:$CS$15,$F71,0,OFFSET(ORÇAMENTO!$D$15,CRONO!$F71,0))),CRONO!V$12,OFFSET(CÁLCULO!$AR$15:$BR$15,$F71,0,OFFSET(ORÇAMENTO!$D$15,CRONO!$F71,0)))
                +IF(AND($F73&lt;&gt;"",$F73&lt;&gt;0),
                        SUMIF(CÁLCULO!$BS$15:$CS$244,CRONO!V$12,CÁLCULO!$AR$15:$BR$244)/(ORÇAMENTO!$X$15-CÁLCULO.TotalAdmLocal)*CRONO!$F73,
                        0),
                 V72*$S71),
          SUMIF(OFFSET($S73,1,0,$R71-2),($M71+1)&amp;"$",OFFSET(V73,1,0,$R71-2)))</f>
        <v>0</v>
      </c>
      <c r="W73" s="202" cm="1">
        <f t="array" aca="1" ref="W73" ca="1">IF($R71=2,
         IF(AND(ACOMPANHAMENTO="PLE",ISNUMBER($F71)),
                SUMIF((OFFSET(CÁLCULO!$BS$15:$CS$15,$F71,0,OFFSET(ORÇAMENTO!$D$15,CRONO!$F71,0))),CRONO!W$12,OFFSET(CÁLCULO!$AR$15:$BR$15,$F71,0,OFFSET(ORÇAMENTO!$D$15,CRONO!$F71,0)))
                +IF(AND($F73&lt;&gt;"",$F73&lt;&gt;0),
                        SUMIF(CÁLCULO!$BS$15:$CS$244,CRONO!W$12,CÁLCULO!$AR$15:$BR$244)/(ORÇAMENTO!$X$15-CÁLCULO.TotalAdmLocal)*CRONO!$F73,
                        0),
                 W72*$S71),
          SUMIF(OFFSET($S73,1,0,$R71-2),($M71+1)&amp;"$",OFFSET(W73,1,0,$R71-2)))</f>
        <v>0</v>
      </c>
      <c r="X73" s="202" cm="1">
        <f t="array" aca="1" ref="X73" ca="1">IF($R71=2,
         IF(AND(ACOMPANHAMENTO="PLE",ISNUMBER($F71)),
                SUMIF((OFFSET(CÁLCULO!$BS$15:$CS$15,$F71,0,OFFSET(ORÇAMENTO!$D$15,CRONO!$F71,0))),CRONO!X$12,OFFSET(CÁLCULO!$AR$15:$BR$15,$F71,0,OFFSET(ORÇAMENTO!$D$15,CRONO!$F71,0)))
                +IF(AND($F73&lt;&gt;"",$F73&lt;&gt;0),
                        SUMIF(CÁLCULO!$BS$15:$CS$244,CRONO!X$12,CÁLCULO!$AR$15:$BR$244)/(ORÇAMENTO!$X$15-CÁLCULO.TotalAdmLocal)*CRONO!$F73,
                        0),
                 X72*$S71),
          SUMIF(OFFSET($S73,1,0,$R71-2),($M71+1)&amp;"$",OFFSET(X73,1,0,$R71-2)))</f>
        <v>0</v>
      </c>
      <c r="Y73" s="202" cm="1">
        <f t="array" aca="1" ref="Y73" ca="1">IF($R71=2,
         IF(AND(ACOMPANHAMENTO="PLE",ISNUMBER($F71)),
                SUMIF((OFFSET(CÁLCULO!$BS$15:$CS$15,$F71,0,OFFSET(ORÇAMENTO!$D$15,CRONO!$F71,0))),CRONO!Y$12,OFFSET(CÁLCULO!$AR$15:$BR$15,$F71,0,OFFSET(ORÇAMENTO!$D$15,CRONO!$F71,0)))
                +IF(AND($F73&lt;&gt;"",$F73&lt;&gt;0),
                        SUMIF(CÁLCULO!$BS$15:$CS$244,CRONO!Y$12,CÁLCULO!$AR$15:$BR$244)/(ORÇAMENTO!$X$15-CÁLCULO.TotalAdmLocal)*CRONO!$F73,
                        0),
                 Y72*$S71),
          SUMIF(OFFSET($S73,1,0,$R71-2),($M71+1)&amp;"$",OFFSET(Y73,1,0,$R71-2)))</f>
        <v>0</v>
      </c>
      <c r="Z73" s="202" cm="1">
        <f t="array" aca="1" ref="Z73" ca="1">IF($R71=2,
         IF(AND(ACOMPANHAMENTO="PLE",ISNUMBER($F71)),
                SUMIF((OFFSET(CÁLCULO!$BS$15:$CS$15,$F71,0,OFFSET(ORÇAMENTO!$D$15,CRONO!$F71,0))),CRONO!Z$12,OFFSET(CÁLCULO!$AR$15:$BR$15,$F71,0,OFFSET(ORÇAMENTO!$D$15,CRONO!$F71,0)))
                +IF(AND($F73&lt;&gt;"",$F73&lt;&gt;0),
                        SUMIF(CÁLCULO!$BS$15:$CS$244,CRONO!Z$12,CÁLCULO!$AR$15:$BR$244)/(ORÇAMENTO!$X$15-CÁLCULO.TotalAdmLocal)*CRONO!$F73,
                        0),
                 Z72*$S71),
          SUMIF(OFFSET($S73,1,0,$R71-2),($M71+1)&amp;"$",OFFSET(Z73,1,0,$R71-2)))</f>
        <v>0</v>
      </c>
      <c r="AA73" s="202" cm="1">
        <f t="array" aca="1" ref="AA73" ca="1">IF($R71=2,
         IF(AND(ACOMPANHAMENTO="PLE",ISNUMBER($F71)),
                SUMIF((OFFSET(CÁLCULO!$BS$15:$CS$15,$F71,0,OFFSET(ORÇAMENTO!$D$15,CRONO!$F71,0))),CRONO!AA$12,OFFSET(CÁLCULO!$AR$15:$BR$15,$F71,0,OFFSET(ORÇAMENTO!$D$15,CRONO!$F71,0)))
                +IF(AND($F73&lt;&gt;"",$F73&lt;&gt;0),
                        SUMIF(CÁLCULO!$BS$15:$CS$244,CRONO!AA$12,CÁLCULO!$AR$15:$BR$244)/(ORÇAMENTO!$X$15-CÁLCULO.TotalAdmLocal)*CRONO!$F73,
                        0),
                 AA72*$S71),
          SUMIF(OFFSET($S73,1,0,$R71-2),($M71+1)&amp;"$",OFFSET(AA73,1,0,$R71-2)))</f>
        <v>0</v>
      </c>
      <c r="AB73" s="202" cm="1">
        <f t="array" aca="1" ref="AB73" ca="1">IF($R71=2,
         IF(AND(ACOMPANHAMENTO="PLE",ISNUMBER($F71)),
                SUMIF((OFFSET(CÁLCULO!$BS$15:$CS$15,$F71,0,OFFSET(ORÇAMENTO!$D$15,CRONO!$F71,0))),CRONO!AB$12,OFFSET(CÁLCULO!$AR$15:$BR$15,$F71,0,OFFSET(ORÇAMENTO!$D$15,CRONO!$F71,0)))
                +IF(AND($F73&lt;&gt;"",$F73&lt;&gt;0),
                        SUMIF(CÁLCULO!$BS$15:$CS$244,CRONO!AB$12,CÁLCULO!$AR$15:$BR$244)/(ORÇAMENTO!$X$15-CÁLCULO.TotalAdmLocal)*CRONO!$F73,
                        0),
                 AB72*$S71),
          SUMIF(OFFSET($S73,1,0,$R71-2),($M71+1)&amp;"$",OFFSET(AB73,1,0,$R71-2)))</f>
        <v>0</v>
      </c>
      <c r="AC73" s="202" cm="1">
        <f t="array" aca="1" ref="AC73" ca="1">IF($R71=2,
         IF(AND(ACOMPANHAMENTO="PLE",ISNUMBER($F71)),
                SUMIF((OFFSET(CÁLCULO!$BS$15:$CS$15,$F71,0,OFFSET(ORÇAMENTO!$D$15,CRONO!$F71,0))),CRONO!AC$12,OFFSET(CÁLCULO!$AR$15:$BR$15,$F71,0,OFFSET(ORÇAMENTO!$D$15,CRONO!$F71,0)))
                +IF(AND($F73&lt;&gt;"",$F73&lt;&gt;0),
                        SUMIF(CÁLCULO!$BS$15:$CS$244,CRONO!AC$12,CÁLCULO!$AR$15:$BR$244)/(ORÇAMENTO!$X$15-CÁLCULO.TotalAdmLocal)*CRONO!$F73,
                        0),
                 AC72*$S71),
          SUMIF(OFFSET($S73,1,0,$R71-2),($M71+1)&amp;"$",OFFSET(AC73,1,0,$R71-2)))</f>
        <v>0</v>
      </c>
      <c r="AD73" s="202" cm="1">
        <f t="array" aca="1" ref="AD73" ca="1">IF($R71=2,
         IF(AND(ACOMPANHAMENTO="PLE",ISNUMBER($F71)),
                SUMIF((OFFSET(CÁLCULO!$BS$15:$CS$15,$F71,0,OFFSET(ORÇAMENTO!$D$15,CRONO!$F71,0))),CRONO!AD$12,OFFSET(CÁLCULO!$AR$15:$BR$15,$F71,0,OFFSET(ORÇAMENTO!$D$15,CRONO!$F71,0)))
                +IF(AND($F73&lt;&gt;"",$F73&lt;&gt;0),
                        SUMIF(CÁLCULO!$BS$15:$CS$244,CRONO!AD$12,CÁLCULO!$AR$15:$BR$244)/(ORÇAMENTO!$X$15-CÁLCULO.TotalAdmLocal)*CRONO!$F73,
                        0),
                 AD72*$S71),
          SUMIF(OFFSET($S73,1,0,$R71-2),($M71+1)&amp;"$",OFFSET(AD73,1,0,$R71-2)))</f>
        <v>0</v>
      </c>
      <c r="AE73" s="202" cm="1">
        <f t="array" aca="1" ref="AE73" ca="1">IF($R71=2,
         IF(AND(ACOMPANHAMENTO="PLE",ISNUMBER($F71)),
                SUMIF((OFFSET(CÁLCULO!$BS$15:$CS$15,$F71,0,OFFSET(ORÇAMENTO!$D$15,CRONO!$F71,0))),CRONO!AE$12,OFFSET(CÁLCULO!$AR$15:$BR$15,$F71,0,OFFSET(ORÇAMENTO!$D$15,CRONO!$F71,0)))
                +IF(AND($F73&lt;&gt;"",$F73&lt;&gt;0),
                        SUMIF(CÁLCULO!$BS$15:$CS$244,CRONO!AE$12,CÁLCULO!$AR$15:$BR$244)/(ORÇAMENTO!$X$15-CÁLCULO.TotalAdmLocal)*CRONO!$F73,
                        0),
                 AE72*$S71),
          SUMIF(OFFSET($S73,1,0,$R71-2),($M71+1)&amp;"$",OFFSET(AE73,1,0,$R71-2)))</f>
        <v>0</v>
      </c>
      <c r="AF73" s="202" cm="1">
        <f t="array" aca="1" ref="AF73" ca="1">IF($R71=2,
         IF(AND(ACOMPANHAMENTO="PLE",ISNUMBER($F71)),
                SUMIF((OFFSET(CÁLCULO!$BS$15:$CS$15,$F71,0,OFFSET(ORÇAMENTO!$D$15,CRONO!$F71,0))),CRONO!AF$12,OFFSET(CÁLCULO!$AR$15:$BR$15,$F71,0,OFFSET(ORÇAMENTO!$D$15,CRONO!$F71,0)))
                +IF(AND($F73&lt;&gt;"",$F73&lt;&gt;0),
                        SUMIF(CÁLCULO!$BS$15:$CS$244,CRONO!AF$12,CÁLCULO!$AR$15:$BR$244)/(ORÇAMENTO!$X$15-CÁLCULO.TotalAdmLocal)*CRONO!$F73,
                        0),
                 AF72*$S71),
          SUMIF(OFFSET($S73,1,0,$R71-2),($M71+1)&amp;"$",OFFSET(AF73,1,0,$R71-2)))</f>
        <v>0</v>
      </c>
      <c r="AG73" s="202" cm="1">
        <f t="array" aca="1" ref="AG73" ca="1">IF($R71=2,
         IF(AND(ACOMPANHAMENTO="PLE",ISNUMBER($F71)),
                SUMIF((OFFSET(CÁLCULO!$BS$15:$CS$15,$F71,0,OFFSET(ORÇAMENTO!$D$15,CRONO!$F71,0))),CRONO!AG$12,OFFSET(CÁLCULO!$AR$15:$BR$15,$F71,0,OFFSET(ORÇAMENTO!$D$15,CRONO!$F71,0)))
                +IF(AND($F73&lt;&gt;"",$F73&lt;&gt;0),
                        SUMIF(CÁLCULO!$BS$15:$CS$244,CRONO!AG$12,CÁLCULO!$AR$15:$BR$244)/(ORÇAMENTO!$X$15-CÁLCULO.TotalAdmLocal)*CRONO!$F73,
                        0),
                 AG72*$S71),
          SUMIF(OFFSET($S73,1,0,$R71-2),($M71+1)&amp;"$",OFFSET(AG73,1,0,$R71-2)))</f>
        <v>0</v>
      </c>
      <c r="AH73" s="202" cm="1">
        <f t="array" aca="1" ref="AH73" ca="1">IF($R71=2,
         IF(AND(ACOMPANHAMENTO="PLE",ISNUMBER($F71)),
                SUMIF((OFFSET(CÁLCULO!$BS$15:$CS$15,$F71,0,OFFSET(ORÇAMENTO!$D$15,CRONO!$F71,0))),CRONO!AH$12,OFFSET(CÁLCULO!$AR$15:$BR$15,$F71,0,OFFSET(ORÇAMENTO!$D$15,CRONO!$F71,0)))
                +IF(AND($F73&lt;&gt;"",$F73&lt;&gt;0),
                        SUMIF(CÁLCULO!$BS$15:$CS$244,CRONO!AH$12,CÁLCULO!$AR$15:$BR$244)/(ORÇAMENTO!$X$15-CÁLCULO.TotalAdmLocal)*CRONO!$F73,
                        0),
                 AH72*$S71),
          SUMIF(OFFSET($S73,1,0,$R71-2),($M71+1)&amp;"$",OFFSET(AH73,1,0,$R71-2)))</f>
        <v>0</v>
      </c>
      <c r="AI73" s="202" cm="1">
        <f t="array" aca="1" ref="AI73" ca="1">IF($R71=2,
         IF(AND(ACOMPANHAMENTO="PLE",ISNUMBER($F71)),
                SUMIF((OFFSET(CÁLCULO!$BS$15:$CS$15,$F71,0,OFFSET(ORÇAMENTO!$D$15,CRONO!$F71,0))),CRONO!AI$12,OFFSET(CÁLCULO!$AR$15:$BR$15,$F71,0,OFFSET(ORÇAMENTO!$D$15,CRONO!$F71,0)))
                +IF(AND($F73&lt;&gt;"",$F73&lt;&gt;0),
                        SUMIF(CÁLCULO!$BS$15:$CS$244,CRONO!AI$12,CÁLCULO!$AR$15:$BR$244)/(ORÇAMENTO!$X$15-CÁLCULO.TotalAdmLocal)*CRONO!$F73,
                        0),
                 AI72*$S71),
          SUMIF(OFFSET($S73,1,0,$R71-2),($M71+1)&amp;"$",OFFSET(AI73,1,0,$R71-2)))</f>
        <v>0</v>
      </c>
      <c r="AJ73" s="202" cm="1">
        <f t="array" aca="1" ref="AJ73" ca="1">IF($R71=2,
         IF(AND(ACOMPANHAMENTO="PLE",ISNUMBER($F71)),
                SUMIF((OFFSET(CÁLCULO!$BS$15:$CS$15,$F71,0,OFFSET(ORÇAMENTO!$D$15,CRONO!$F71,0))),CRONO!AJ$12,OFFSET(CÁLCULO!$AR$15:$BR$15,$F71,0,OFFSET(ORÇAMENTO!$D$15,CRONO!$F71,0)))
                +IF(AND($F73&lt;&gt;"",$F73&lt;&gt;0),
                        SUMIF(CÁLCULO!$BS$15:$CS$244,CRONO!AJ$12,CÁLCULO!$AR$15:$BR$244)/(ORÇAMENTO!$X$15-CÁLCULO.TotalAdmLocal)*CRONO!$F73,
                        0),
                 AJ72*$S71),
          SUMIF(OFFSET($S73,1,0,$R71-2),($M71+1)&amp;"$",OFFSET(AJ73,1,0,$R71-2)))</f>
        <v>0</v>
      </c>
      <c r="AK73" s="202" cm="1">
        <f t="array" aca="1" ref="AK73" ca="1">IF($R71=2,
         IF(AND(ACOMPANHAMENTO="PLE",ISNUMBER($F71)),
                SUMIF((OFFSET(CÁLCULO!$BS$15:$CS$15,$F71,0,OFFSET(ORÇAMENTO!$D$15,CRONO!$F71,0))),CRONO!AK$12,OFFSET(CÁLCULO!$AR$15:$BR$15,$F71,0,OFFSET(ORÇAMENTO!$D$15,CRONO!$F71,0)))
                +IF(AND($F73&lt;&gt;"",$F73&lt;&gt;0),
                        SUMIF(CÁLCULO!$BS$15:$CS$244,CRONO!AK$12,CÁLCULO!$AR$15:$BR$244)/(ORÇAMENTO!$X$15-CÁLCULO.TotalAdmLocal)*CRONO!$F73,
                        0),
                 AK72*$S71),
          SUMIF(OFFSET($S73,1,0,$R71-2),($M71+1)&amp;"$",OFFSET(AK73,1,0,$R71-2)))</f>
        <v>0</v>
      </c>
      <c r="AL73" s="202" cm="1">
        <f t="array" aca="1" ref="AL73" ca="1">IF($R71=2,
         IF(AND(ACOMPANHAMENTO="PLE",ISNUMBER($F71)),
                SUMIF((OFFSET(CÁLCULO!$BS$15:$CS$15,$F71,0,OFFSET(ORÇAMENTO!$D$15,CRONO!$F71,0))),CRONO!AL$12,OFFSET(CÁLCULO!$AR$15:$BR$15,$F71,0,OFFSET(ORÇAMENTO!$D$15,CRONO!$F71,0)))
                +IF(AND($F73&lt;&gt;"",$F73&lt;&gt;0),
                        SUMIF(CÁLCULO!$BS$15:$CS$244,CRONO!AL$12,CÁLCULO!$AR$15:$BR$244)/(ORÇAMENTO!$X$15-CÁLCULO.TotalAdmLocal)*CRONO!$F73,
                        0),
                 AL72*$S71),
          SUMIF(OFFSET($S73,1,0,$R71-2),($M71+1)&amp;"$",OFFSET(AL73,1,0,$R71-2)))</f>
        <v>0</v>
      </c>
      <c r="AM73" s="202" cm="1">
        <f t="array" aca="1" ref="AM73" ca="1">IF($R71=2,
         IF(AND(ACOMPANHAMENTO="PLE",ISNUMBER($F71)),
                SUMIF((OFFSET(CÁLCULO!$BS$15:$CS$15,$F71,0,OFFSET(ORÇAMENTO!$D$15,CRONO!$F71,0))),CRONO!AM$12,OFFSET(CÁLCULO!$AR$15:$BR$15,$F71,0,OFFSET(ORÇAMENTO!$D$15,CRONO!$F71,0)))
                +IF(AND($F73&lt;&gt;"",$F73&lt;&gt;0),
                        SUMIF(CÁLCULO!$BS$15:$CS$244,CRONO!AM$12,CÁLCULO!$AR$15:$BR$244)/(ORÇAMENTO!$X$15-CÁLCULO.TotalAdmLocal)*CRONO!$F73,
                        0),
                 AM72*$S71),
          SUMIF(OFFSET($S73,1,0,$R71-2),($M71+1)&amp;"$",OFFSET(AM73,1,0,$R71-2)))</f>
        <v>0</v>
      </c>
      <c r="AN73" s="202" cm="1">
        <f t="array" aca="1" ref="AN73" ca="1">IF($R71=2,
         IF(AND(ACOMPANHAMENTO="PLE",ISNUMBER($F71)),
                SUMIF((OFFSET(CÁLCULO!$BS$15:$CS$15,$F71,0,OFFSET(ORÇAMENTO!$D$15,CRONO!$F71,0))),CRONO!AN$12,OFFSET(CÁLCULO!$AR$15:$BR$15,$F71,0,OFFSET(ORÇAMENTO!$D$15,CRONO!$F71,0)))
                +IF(AND($F73&lt;&gt;"",$F73&lt;&gt;0),
                        SUMIF(CÁLCULO!$BS$15:$CS$244,CRONO!AN$12,CÁLCULO!$AR$15:$BR$244)/(ORÇAMENTO!$X$15-CÁLCULO.TotalAdmLocal)*CRONO!$F73,
                        0),
                 AN72*$S71),
          SUMIF(OFFSET($S73,1,0,$R71-2),($M71+1)&amp;"$",OFFSET(AN73,1,0,$R71-2)))</f>
        <v>0</v>
      </c>
      <c r="AO73" s="202" cm="1">
        <f t="array" aca="1" ref="AO73" ca="1">IF($R71=2,
         IF(AND(ACOMPANHAMENTO="PLE",ISNUMBER($F71)),
                SUMIF((OFFSET(CÁLCULO!$BS$15:$CS$15,$F71,0,OFFSET(ORÇAMENTO!$D$15,CRONO!$F71,0))),CRONO!AO$12,OFFSET(CÁLCULO!$AR$15:$BR$15,$F71,0,OFFSET(ORÇAMENTO!$D$15,CRONO!$F71,0)))
                +IF(AND($F73&lt;&gt;"",$F73&lt;&gt;0),
                        SUMIF(CÁLCULO!$BS$15:$CS$244,CRONO!AO$12,CÁLCULO!$AR$15:$BR$244)/(ORÇAMENTO!$X$15-CÁLCULO.TotalAdmLocal)*CRONO!$F73,
                        0),
                 AO72*$S71),
          SUMIF(OFFSET($S73,1,0,$R71-2),($M71+1)&amp;"$",OFFSET(AO73,1,0,$R71-2)))</f>
        <v>0</v>
      </c>
      <c r="AP73" s="202" cm="1">
        <f t="array" aca="1" ref="AP73" ca="1">IF($R71=2,
         IF(AND(ACOMPANHAMENTO="PLE",ISNUMBER($F71)),
                SUMIF((OFFSET(CÁLCULO!$BS$15:$CS$15,$F71,0,OFFSET(ORÇAMENTO!$D$15,CRONO!$F71,0))),CRONO!AP$12,OFFSET(CÁLCULO!$AR$15:$BR$15,$F71,0,OFFSET(ORÇAMENTO!$D$15,CRONO!$F71,0)))
                +IF(AND($F73&lt;&gt;"",$F73&lt;&gt;0),
                        SUMIF(CÁLCULO!$BS$15:$CS$244,CRONO!AP$12,CÁLCULO!$AR$15:$BR$244)/(ORÇAMENTO!$X$15-CÁLCULO.TotalAdmLocal)*CRONO!$F73,
                        0),
                 AP72*$S71),
          SUMIF(OFFSET($S73,1,0,$R71-2),($M71+1)&amp;"$",OFFSET(AP73,1,0,$R71-2)))</f>
        <v>0</v>
      </c>
      <c r="AQ73" s="202" cm="1">
        <f t="array" aca="1" ref="AQ73" ca="1">IF($R71=2,
         IF(AND(ACOMPANHAMENTO="PLE",ISNUMBER($F71)),
                SUMIF((OFFSET(CÁLCULO!$BS$15:$CS$15,$F71,0,OFFSET(ORÇAMENTO!$D$15,CRONO!$F71,0))),CRONO!AQ$12,OFFSET(CÁLCULO!$AR$15:$BR$15,$F71,0,OFFSET(ORÇAMENTO!$D$15,CRONO!$F71,0)))
                +IF(AND($F73&lt;&gt;"",$F73&lt;&gt;0),
                        SUMIF(CÁLCULO!$BS$15:$CS$244,CRONO!AQ$12,CÁLCULO!$AR$15:$BR$244)/(ORÇAMENTO!$X$15-CÁLCULO.TotalAdmLocal)*CRONO!$F73,
                        0),
                 AQ72*$S71),
          SUMIF(OFFSET($S73,1,0,$R71-2),($M71+1)&amp;"$",OFFSET(AQ73,1,0,$R71-2)))</f>
        <v>0</v>
      </c>
      <c r="AR73" s="202" cm="1">
        <f t="array" aca="1" ref="AR73" ca="1">IF($R71=2,
         IF(AND(ACOMPANHAMENTO="PLE",ISNUMBER($F71)),
                SUMIF((OFFSET(CÁLCULO!$BS$15:$CS$15,$F71,0,OFFSET(ORÇAMENTO!$D$15,CRONO!$F71,0))),CRONO!AR$12,OFFSET(CÁLCULO!$AR$15:$BR$15,$F71,0,OFFSET(ORÇAMENTO!$D$15,CRONO!$F71,0)))
                +IF(AND($F73&lt;&gt;"",$F73&lt;&gt;0),
                        SUMIF(CÁLCULO!$BS$15:$CS$244,CRONO!AR$12,CÁLCULO!$AR$15:$BR$244)/(ORÇAMENTO!$X$15-CÁLCULO.TotalAdmLocal)*CRONO!$F73,
                        0),
                 AR72*$S71),
          SUMIF(OFFSET($S73,1,0,$R71-2),($M71+1)&amp;"$",OFFSET(AR73,1,0,$R71-2)))</f>
        <v>0</v>
      </c>
      <c r="AS73" s="534"/>
    </row>
    <row r="74" spans="1:45" x14ac:dyDescent="0.2">
      <c r="A74" s="186" t="e">
        <f t="shared" ref="A74" ca="1" si="122">IF($M74&gt;1,_xlfn.CONCAT($I74," ",$J74),"")</f>
        <v>#NAME?</v>
      </c>
      <c r="B74" s="185">
        <f t="shared" ref="B74" ca="1" si="123">OFFSET(B74,-3,0)+1</f>
        <v>21</v>
      </c>
      <c r="C74" s="185">
        <f ca="1">IF($R74&lt;&gt;2,0,IF($S74=0,1,IF(F75&gt;0,OFFSET(QCI!$M$13,SUBSTITUTE(F75,".",""),0),OFFSET(ORÇAMENTO!$AA$15,CRONO!$F74,0))/$S74))</f>
        <v>1</v>
      </c>
      <c r="D74" s="185">
        <f ca="1">IF($R74&lt;&gt;2,0,IF($S74=0,1,IF(F75&gt;0,OFFSET(QCI!$N$13,SUBSTITUTE(F75,".",""),0),OFFSET(ORÇAMENTO!$AB$15,CRONO!$F74,0))/$S74))</f>
        <v>1</v>
      </c>
      <c r="E74" s="188" t="e" cm="1">
        <f t="array" aca="1" ref="E74" ca="1">IF(AND($R74=2,ACOMPANHAMENTO="BM"),ROUND(E75,4),E76/$S74)</f>
        <v>#DIV/0!</v>
      </c>
      <c r="F74" s="185" cm="1">
        <f t="array" aca="1" ref="F74" ca="1">IF(B74&lt;=ORÇAMENTO.MáximoListaCrono,MATCH(B74,ORÇAMENTO.ListaCrono,0),NA())</f>
        <v>79</v>
      </c>
      <c r="G74" s="185" t="str">
        <f t="shared" ref="G74" ca="1" si="124">IF(AND($F75&lt;&gt;-1,$S74&gt;0),"F","")</f>
        <v/>
      </c>
      <c r="H74" s="189" t="str" cm="1">
        <f t="array" aca="1" ref="H74" ca="1">IF(OR(S74=0,S74=""),"Linha",IF(AND(OR(ACOMPANHAMENTO="PLE",$R74&lt;&gt;2),$F75=0),"Linha",ROUND(1-SUM(U74:AS74),4)))</f>
        <v>Linha</v>
      </c>
      <c r="I74" s="190" t="str">
        <f ca="1">IF($F75=0,OFFSET(ORÇAMENTO!O$15,$F74,0),IF($F75&lt;&gt;-1,OFFSET(QCI!$D$13,$F75,0),""))</f>
        <v>7.3.</v>
      </c>
      <c r="J74" s="191" t="str">
        <f ca="1">IF($F75=0,OFFSET(ORÇAMENTO!R$15,$F74,0),IF($F75&lt;&gt;-1,OFFSET(QCI!$G$13,$F75,0),""))</f>
        <v>REVESTIMENTOS EXTERNOS</v>
      </c>
      <c r="K74" s="191"/>
      <c r="L74" s="191"/>
      <c r="M74" s="192">
        <f ca="1">IF($F75=0,OFFSET(ORÇAMENTO!C$15,$F74,0),1)</f>
        <v>2</v>
      </c>
      <c r="N74" s="193">
        <f ca="1">IF($F75=-1,0,IF(N$13&lt;=$M74,IF(ISERROR(MATCH(N$13,OFFSET($M74,1,0,ROW($M$164)-ROW($M74)-1),0)),ROW($M$164)-ROW($M74)-1,MATCH(N$13,OFFSET($M74,1,0,ROW($M$164)-ROW($M74)-1),0)-1),0))</f>
        <v>17</v>
      </c>
      <c r="O74" s="193">
        <f ca="1">IF($F75=-1,0,IF(O$13&lt;=$M74,IF(ISERROR(MATCH(O$13,OFFSET($M74,1,0,ROW($M$164)-ROW($M74)-1),0)),ROW($M$164)-ROW($M74)-1,MATCH(O$13,OFFSET($M74,1,0,ROW($M$164)-ROW($M74)-1),0)-1),0))</f>
        <v>2</v>
      </c>
      <c r="P74" s="193">
        <f ca="1">IF($F75=-1,0,IF(P$13&lt;=$M74,IF(ISERROR(MATCH(P$13,OFFSET($M74,1,0,ROW($M$164)-ROW($M74)-1),0)),ROW($M$164)-ROW($M74)-1,MATCH(P$13,OFFSET($M74,1,0,ROW($M$164)-ROW($M74)-1),0)-1),0))</f>
        <v>0</v>
      </c>
      <c r="Q74" s="193">
        <f ca="1">IF($F75=-1,0,IF(Q$13&lt;=$M74,IF(ISERROR(MATCH(Q$13,OFFSET($M74,1,0,ROW($M$164)-ROW($M74)-1),0)),ROW($M$164)-ROW($M74)-1,MATCH(Q$13,OFFSET($M74,1,0,ROW($M$164)-ROW($M74)-1),0)-1),0))</f>
        <v>0</v>
      </c>
      <c r="R74" s="193">
        <f t="shared" ref="R74" ca="1" si="125">MIN(OFFSET(M74,0,1,,M74))</f>
        <v>2</v>
      </c>
      <c r="S74" s="194">
        <f ca="1">IF($F75=0,OFFSET(ORÇAMENTO!X$15,$F74,0),IF($F75&lt;&gt;-1,OFFSET(QCI!$O$13,$F75,0),""))</f>
        <v>0</v>
      </c>
      <c r="T74" s="195" t="s">
        <v>785</v>
      </c>
      <c r="U74" s="188" t="e" cm="1">
        <f t="array" aca="1" ref="U74" ca="1">IF(AND($R74=2,ACOMPANHAMENTO="BM"),ROUND(U75,4),U76/$S74)</f>
        <v>#DIV/0!</v>
      </c>
      <c r="V74" s="188" t="e" cm="1">
        <f t="array" aca="1" ref="V74" ca="1">IF(AND($R74=2,ACOMPANHAMENTO="BM"),ROUND(V75,4),V76/$S74)</f>
        <v>#DIV/0!</v>
      </c>
      <c r="W74" s="188" t="e" cm="1">
        <f t="array" aca="1" ref="W74" ca="1">IF(AND($R74=2,ACOMPANHAMENTO="BM"),ROUND(W75,4),W76/$S74)</f>
        <v>#DIV/0!</v>
      </c>
      <c r="X74" s="188" t="e" cm="1">
        <f t="array" aca="1" ref="X74" ca="1">IF(AND($R74=2,ACOMPANHAMENTO="BM"),ROUND(X75,4),X76/$S74)</f>
        <v>#DIV/0!</v>
      </c>
      <c r="Y74" s="188" t="e" cm="1">
        <f t="array" aca="1" ref="Y74" ca="1">IF(AND($R74=2,ACOMPANHAMENTO="BM"),ROUND(Y75,4),Y76/$S74)</f>
        <v>#DIV/0!</v>
      </c>
      <c r="Z74" s="188" t="e" cm="1">
        <f t="array" aca="1" ref="Z74" ca="1">IF(AND($R74=2,ACOMPANHAMENTO="BM"),ROUND(Z75,4),Z76/$S74)</f>
        <v>#DIV/0!</v>
      </c>
      <c r="AA74" s="188" t="e" cm="1">
        <f t="array" aca="1" ref="AA74" ca="1">IF(AND($R74=2,ACOMPANHAMENTO="BM"),ROUND(AA75,4),AA76/$S74)</f>
        <v>#DIV/0!</v>
      </c>
      <c r="AB74" s="188" t="e" cm="1">
        <f t="array" aca="1" ref="AB74" ca="1">IF(AND($R74=2,ACOMPANHAMENTO="BM"),ROUND(AB75,4),AB76/$S74)</f>
        <v>#DIV/0!</v>
      </c>
      <c r="AC74" s="188" t="e" cm="1">
        <f t="array" aca="1" ref="AC74" ca="1">IF(AND($R74=2,ACOMPANHAMENTO="BM"),ROUND(AC75,4),AC76/$S74)</f>
        <v>#DIV/0!</v>
      </c>
      <c r="AD74" s="188" t="e" cm="1">
        <f t="array" aca="1" ref="AD74" ca="1">IF(AND($R74=2,ACOMPANHAMENTO="BM"),ROUND(AD75,4),AD76/$S74)</f>
        <v>#DIV/0!</v>
      </c>
      <c r="AE74" s="188" t="e" cm="1">
        <f t="array" aca="1" ref="AE74" ca="1">IF(AND($R74=2,ACOMPANHAMENTO="BM"),ROUND(AE75,4),AE76/$S74)</f>
        <v>#DIV/0!</v>
      </c>
      <c r="AF74" s="188" t="e" cm="1">
        <f t="array" aca="1" ref="AF74" ca="1">IF(AND($R74=2,ACOMPANHAMENTO="BM"),ROUND(AF75,4),AF76/$S74)</f>
        <v>#DIV/0!</v>
      </c>
      <c r="AG74" s="188" t="e" cm="1">
        <f t="array" aca="1" ref="AG74" ca="1">IF(AND($R74=2,ACOMPANHAMENTO="BM"),ROUND(AG75,4),AG76/$S74)</f>
        <v>#DIV/0!</v>
      </c>
      <c r="AH74" s="188" t="e" cm="1">
        <f t="array" aca="1" ref="AH74" ca="1">IF(AND($R74=2,ACOMPANHAMENTO="BM"),ROUND(AH75,4),AH76/$S74)</f>
        <v>#DIV/0!</v>
      </c>
      <c r="AI74" s="188" t="e" cm="1">
        <f t="array" aca="1" ref="AI74" ca="1">IF(AND($R74=2,ACOMPANHAMENTO="BM"),ROUND(AI75,4),AI76/$S74)</f>
        <v>#DIV/0!</v>
      </c>
      <c r="AJ74" s="188" t="e" cm="1">
        <f t="array" aca="1" ref="AJ74" ca="1">IF(AND($R74=2,ACOMPANHAMENTO="BM"),ROUND(AJ75,4),AJ76/$S74)</f>
        <v>#DIV/0!</v>
      </c>
      <c r="AK74" s="188" t="e" cm="1">
        <f t="array" aca="1" ref="AK74" ca="1">IF(AND($R74=2,ACOMPANHAMENTO="BM"),ROUND(AK75,4),AK76/$S74)</f>
        <v>#DIV/0!</v>
      </c>
      <c r="AL74" s="188" t="e" cm="1">
        <f t="array" aca="1" ref="AL74" ca="1">IF(AND($R74=2,ACOMPANHAMENTO="BM"),ROUND(AL75,4),AL76/$S74)</f>
        <v>#DIV/0!</v>
      </c>
      <c r="AM74" s="188" t="e" cm="1">
        <f t="array" aca="1" ref="AM74" ca="1">IF(AND($R74=2,ACOMPANHAMENTO="BM"),ROUND(AM75,4),AM76/$S74)</f>
        <v>#DIV/0!</v>
      </c>
      <c r="AN74" s="188" t="e" cm="1">
        <f t="array" aca="1" ref="AN74" ca="1">IF(AND($R74=2,ACOMPANHAMENTO="BM"),ROUND(AN75,4),AN76/$S74)</f>
        <v>#DIV/0!</v>
      </c>
      <c r="AO74" s="188" t="e" cm="1">
        <f t="array" aca="1" ref="AO74" ca="1">IF(AND($R74=2,ACOMPANHAMENTO="BM"),ROUND(AO75,4),AO76/$S74)</f>
        <v>#DIV/0!</v>
      </c>
      <c r="AP74" s="188" t="e" cm="1">
        <f t="array" aca="1" ref="AP74" ca="1">IF(AND($R74=2,ACOMPANHAMENTO="BM"),ROUND(AP75,4),AP76/$S74)</f>
        <v>#DIV/0!</v>
      </c>
      <c r="AQ74" s="188" t="e" cm="1">
        <f t="array" aca="1" ref="AQ74" ca="1">IF(AND($R74=2,ACOMPANHAMENTO="BM"),ROUND(AQ75,4),AQ76/$S74)</f>
        <v>#DIV/0!</v>
      </c>
      <c r="AR74" s="188" t="e" cm="1">
        <f t="array" aca="1" ref="AR74" ca="1">IF(AND($R74=2,ACOMPANHAMENTO="BM"),ROUND(AR75,4),AR76/$S74)</f>
        <v>#DIV/0!</v>
      </c>
      <c r="AS74" s="534"/>
    </row>
    <row r="75" spans="1:45" ht="12.75" hidden="1" customHeight="1" x14ac:dyDescent="0.2">
      <c r="E75" s="587"/>
      <c r="F75" s="185">
        <f ca="1">IF(ISERROR(F74),IF(1+COUNTIF($M$13:OFFSET(M74,-1,0),1)&lt;=MAX(QCI!$D$13:$D$24),1+COUNTIF($M$13:OFFSET(M74,-1,0),1),-1),0)</f>
        <v>0</v>
      </c>
      <c r="G75" s="185" t="str" cm="1">
        <f t="array" aca="1" ref="G75" ca="1">IF(ACOMPANHAMENTO="BM",OFFSET(G75,-1,0),"")</f>
        <v/>
      </c>
      <c r="H75" s="196" t="str" cm="1">
        <f t="array" aca="1" ref="H75" ca="1">IF(OR(S74=0,S74=""),"vazia",IF(AND(OR(ACOMPANHAMENTO="PLE",$R74&lt;&gt;2),$F75=0),"calculada","--&gt;"))</f>
        <v>vazia</v>
      </c>
      <c r="I75" s="197"/>
      <c r="J75" s="198" t="str">
        <f t="shared" ref="J75" ca="1" si="126">IF(AND(H74&lt;&gt;0,ISNUMBER(H74)),"PREENCHA ESTA LINHA --&gt;","")</f>
        <v/>
      </c>
      <c r="K75" s="198"/>
      <c r="L75" s="198"/>
      <c r="M75" s="199"/>
      <c r="N75" s="199"/>
      <c r="O75" s="199"/>
      <c r="P75" s="199"/>
      <c r="Q75" s="199"/>
      <c r="R75" s="199"/>
      <c r="S75" s="200"/>
      <c r="T75" s="201"/>
      <c r="U75" s="587"/>
      <c r="V75" s="587"/>
      <c r="W75" s="587"/>
      <c r="X75" s="587"/>
      <c r="Y75" s="587"/>
      <c r="Z75" s="587"/>
      <c r="AA75" s="587"/>
      <c r="AB75" s="587"/>
      <c r="AC75" s="587"/>
      <c r="AD75" s="587"/>
      <c r="AE75" s="587"/>
      <c r="AF75" s="587"/>
      <c r="AG75" s="587"/>
      <c r="AH75" s="587"/>
      <c r="AI75" s="587"/>
      <c r="AJ75" s="587"/>
      <c r="AK75" s="587"/>
      <c r="AL75" s="587"/>
      <c r="AM75" s="587"/>
      <c r="AN75" s="587"/>
      <c r="AO75" s="587"/>
      <c r="AP75" s="587"/>
      <c r="AQ75" s="587"/>
      <c r="AR75" s="587"/>
      <c r="AS75" s="534"/>
    </row>
    <row r="76" spans="1:45" ht="12.75" hidden="1" customHeight="1" x14ac:dyDescent="0.2">
      <c r="D76" s="533"/>
      <c r="E76" s="202" cm="1">
        <f t="array" aca="1" ref="E76" ca="1">IF($R74=2,
         IF(AND(ACOMPANHAMENTO="PLE",ISNUMBER($F74)),
                SUMIF((OFFSET(CÁLCULO!$BS$15:$CS$15,$F74,0,OFFSET(ORÇAMENTO!$D$15,CRONO!$F74,0))),CRONO!E$12,OFFSET(CÁLCULO!$AR$15:$BR$15,$F74,0,OFFSET(ORÇAMENTO!$D$15,CRONO!$F74,0)))
                +IF(AND($F76&lt;&gt;"",$F76&lt;&gt;0),
                        SUMIF(CÁLCULO!$BS$15:$CS$244,CRONO!E$12,CÁLCULO!$AR$15:$BR$244)/(ORÇAMENTO!$X$15-CÁLCULO.TotalAdmLocal)*CRONO!$F76,
                        0),
                 E75*$S74),
          SUMIF(OFFSET($S76,1,0,$R74-2),($M74+1)&amp;"$",OFFSET(E76,1,0,$R74-2)))</f>
        <v>0</v>
      </c>
      <c r="F76" s="185">
        <f ca="1">IF(OR($R74&lt;&gt;2,AUTOEVENTO&lt;&gt;"manual",$F75&gt;0),"",
        IF(Import.TipoArredondamento="Tradicional",
              SUMIF(OFFSET(CÁLCULO!$M$15,CRONO!$F74,0,OFFSET(ORÇAMENTO!$D$15,CRONO!$F74,0)),1,OFFSET(ORÇAMENTO!$X$15,CRONO!$F74,0,OFFSET(ORÇAMENTO!$D$15,CRONO!$F74,0))),
              0))</f>
        <v>0</v>
      </c>
      <c r="H76" s="203"/>
      <c r="S76" s="204" t="str">
        <f t="shared" ref="S76" ca="1" si="127">M74&amp;"$"</f>
        <v>2$</v>
      </c>
      <c r="T76" s="205"/>
      <c r="U76" s="202" cm="1">
        <f t="array" aca="1" ref="U76" ca="1">IF($R74=2,
         IF(AND(ACOMPANHAMENTO="PLE",ISNUMBER($F74)),
                SUMIF((OFFSET(CÁLCULO!$BS$15:$CS$15,$F74,0,OFFSET(ORÇAMENTO!$D$15,CRONO!$F74,0))),CRONO!U$12,OFFSET(CÁLCULO!$AR$15:$BR$15,$F74,0,OFFSET(ORÇAMENTO!$D$15,CRONO!$F74,0)))
                +IF(AND($F76&lt;&gt;"",$F76&lt;&gt;0),
                        SUMIF(CÁLCULO!$BS$15:$CS$244,CRONO!U$12,CÁLCULO!$AR$15:$BR$244)/(ORÇAMENTO!$X$15-CÁLCULO.TotalAdmLocal)*CRONO!$F76,
                        0),
                 U75*$S74),
          SUMIF(OFFSET($S76,1,0,$R74-2),($M74+1)&amp;"$",OFFSET(U76,1,0,$R74-2)))</f>
        <v>0</v>
      </c>
      <c r="V76" s="202" cm="1">
        <f t="array" aca="1" ref="V76" ca="1">IF($R74=2,
         IF(AND(ACOMPANHAMENTO="PLE",ISNUMBER($F74)),
                SUMIF((OFFSET(CÁLCULO!$BS$15:$CS$15,$F74,0,OFFSET(ORÇAMENTO!$D$15,CRONO!$F74,0))),CRONO!V$12,OFFSET(CÁLCULO!$AR$15:$BR$15,$F74,0,OFFSET(ORÇAMENTO!$D$15,CRONO!$F74,0)))
                +IF(AND($F76&lt;&gt;"",$F76&lt;&gt;0),
                        SUMIF(CÁLCULO!$BS$15:$CS$244,CRONO!V$12,CÁLCULO!$AR$15:$BR$244)/(ORÇAMENTO!$X$15-CÁLCULO.TotalAdmLocal)*CRONO!$F76,
                        0),
                 V75*$S74),
          SUMIF(OFFSET($S76,1,0,$R74-2),($M74+1)&amp;"$",OFFSET(V76,1,0,$R74-2)))</f>
        <v>0</v>
      </c>
      <c r="W76" s="202" cm="1">
        <f t="array" aca="1" ref="W76" ca="1">IF($R74=2,
         IF(AND(ACOMPANHAMENTO="PLE",ISNUMBER($F74)),
                SUMIF((OFFSET(CÁLCULO!$BS$15:$CS$15,$F74,0,OFFSET(ORÇAMENTO!$D$15,CRONO!$F74,0))),CRONO!W$12,OFFSET(CÁLCULO!$AR$15:$BR$15,$F74,0,OFFSET(ORÇAMENTO!$D$15,CRONO!$F74,0)))
                +IF(AND($F76&lt;&gt;"",$F76&lt;&gt;0),
                        SUMIF(CÁLCULO!$BS$15:$CS$244,CRONO!W$12,CÁLCULO!$AR$15:$BR$244)/(ORÇAMENTO!$X$15-CÁLCULO.TotalAdmLocal)*CRONO!$F76,
                        0),
                 W75*$S74),
          SUMIF(OFFSET($S76,1,0,$R74-2),($M74+1)&amp;"$",OFFSET(W76,1,0,$R74-2)))</f>
        <v>0</v>
      </c>
      <c r="X76" s="202" cm="1">
        <f t="array" aca="1" ref="X76" ca="1">IF($R74=2,
         IF(AND(ACOMPANHAMENTO="PLE",ISNUMBER($F74)),
                SUMIF((OFFSET(CÁLCULO!$BS$15:$CS$15,$F74,0,OFFSET(ORÇAMENTO!$D$15,CRONO!$F74,0))),CRONO!X$12,OFFSET(CÁLCULO!$AR$15:$BR$15,$F74,0,OFFSET(ORÇAMENTO!$D$15,CRONO!$F74,0)))
                +IF(AND($F76&lt;&gt;"",$F76&lt;&gt;0),
                        SUMIF(CÁLCULO!$BS$15:$CS$244,CRONO!X$12,CÁLCULO!$AR$15:$BR$244)/(ORÇAMENTO!$X$15-CÁLCULO.TotalAdmLocal)*CRONO!$F76,
                        0),
                 X75*$S74),
          SUMIF(OFFSET($S76,1,0,$R74-2),($M74+1)&amp;"$",OFFSET(X76,1,0,$R74-2)))</f>
        <v>0</v>
      </c>
      <c r="Y76" s="202" cm="1">
        <f t="array" aca="1" ref="Y76" ca="1">IF($R74=2,
         IF(AND(ACOMPANHAMENTO="PLE",ISNUMBER($F74)),
                SUMIF((OFFSET(CÁLCULO!$BS$15:$CS$15,$F74,0,OFFSET(ORÇAMENTO!$D$15,CRONO!$F74,0))),CRONO!Y$12,OFFSET(CÁLCULO!$AR$15:$BR$15,$F74,0,OFFSET(ORÇAMENTO!$D$15,CRONO!$F74,0)))
                +IF(AND($F76&lt;&gt;"",$F76&lt;&gt;0),
                        SUMIF(CÁLCULO!$BS$15:$CS$244,CRONO!Y$12,CÁLCULO!$AR$15:$BR$244)/(ORÇAMENTO!$X$15-CÁLCULO.TotalAdmLocal)*CRONO!$F76,
                        0),
                 Y75*$S74),
          SUMIF(OFFSET($S76,1,0,$R74-2),($M74+1)&amp;"$",OFFSET(Y76,1,0,$R74-2)))</f>
        <v>0</v>
      </c>
      <c r="Z76" s="202" cm="1">
        <f t="array" aca="1" ref="Z76" ca="1">IF($R74=2,
         IF(AND(ACOMPANHAMENTO="PLE",ISNUMBER($F74)),
                SUMIF((OFFSET(CÁLCULO!$BS$15:$CS$15,$F74,0,OFFSET(ORÇAMENTO!$D$15,CRONO!$F74,0))),CRONO!Z$12,OFFSET(CÁLCULO!$AR$15:$BR$15,$F74,0,OFFSET(ORÇAMENTO!$D$15,CRONO!$F74,0)))
                +IF(AND($F76&lt;&gt;"",$F76&lt;&gt;0),
                        SUMIF(CÁLCULO!$BS$15:$CS$244,CRONO!Z$12,CÁLCULO!$AR$15:$BR$244)/(ORÇAMENTO!$X$15-CÁLCULO.TotalAdmLocal)*CRONO!$F76,
                        0),
                 Z75*$S74),
          SUMIF(OFFSET($S76,1,0,$R74-2),($M74+1)&amp;"$",OFFSET(Z76,1,0,$R74-2)))</f>
        <v>0</v>
      </c>
      <c r="AA76" s="202" cm="1">
        <f t="array" aca="1" ref="AA76" ca="1">IF($R74=2,
         IF(AND(ACOMPANHAMENTO="PLE",ISNUMBER($F74)),
                SUMIF((OFFSET(CÁLCULO!$BS$15:$CS$15,$F74,0,OFFSET(ORÇAMENTO!$D$15,CRONO!$F74,0))),CRONO!AA$12,OFFSET(CÁLCULO!$AR$15:$BR$15,$F74,0,OFFSET(ORÇAMENTO!$D$15,CRONO!$F74,0)))
                +IF(AND($F76&lt;&gt;"",$F76&lt;&gt;0),
                        SUMIF(CÁLCULO!$BS$15:$CS$244,CRONO!AA$12,CÁLCULO!$AR$15:$BR$244)/(ORÇAMENTO!$X$15-CÁLCULO.TotalAdmLocal)*CRONO!$F76,
                        0),
                 AA75*$S74),
          SUMIF(OFFSET($S76,1,0,$R74-2),($M74+1)&amp;"$",OFFSET(AA76,1,0,$R74-2)))</f>
        <v>0</v>
      </c>
      <c r="AB76" s="202" cm="1">
        <f t="array" aca="1" ref="AB76" ca="1">IF($R74=2,
         IF(AND(ACOMPANHAMENTO="PLE",ISNUMBER($F74)),
                SUMIF((OFFSET(CÁLCULO!$BS$15:$CS$15,$F74,0,OFFSET(ORÇAMENTO!$D$15,CRONO!$F74,0))),CRONO!AB$12,OFFSET(CÁLCULO!$AR$15:$BR$15,$F74,0,OFFSET(ORÇAMENTO!$D$15,CRONO!$F74,0)))
                +IF(AND($F76&lt;&gt;"",$F76&lt;&gt;0),
                        SUMIF(CÁLCULO!$BS$15:$CS$244,CRONO!AB$12,CÁLCULO!$AR$15:$BR$244)/(ORÇAMENTO!$X$15-CÁLCULO.TotalAdmLocal)*CRONO!$F76,
                        0),
                 AB75*$S74),
          SUMIF(OFFSET($S76,1,0,$R74-2),($M74+1)&amp;"$",OFFSET(AB76,1,0,$R74-2)))</f>
        <v>0</v>
      </c>
      <c r="AC76" s="202" cm="1">
        <f t="array" aca="1" ref="AC76" ca="1">IF($R74=2,
         IF(AND(ACOMPANHAMENTO="PLE",ISNUMBER($F74)),
                SUMIF((OFFSET(CÁLCULO!$BS$15:$CS$15,$F74,0,OFFSET(ORÇAMENTO!$D$15,CRONO!$F74,0))),CRONO!AC$12,OFFSET(CÁLCULO!$AR$15:$BR$15,$F74,0,OFFSET(ORÇAMENTO!$D$15,CRONO!$F74,0)))
                +IF(AND($F76&lt;&gt;"",$F76&lt;&gt;0),
                        SUMIF(CÁLCULO!$BS$15:$CS$244,CRONO!AC$12,CÁLCULO!$AR$15:$BR$244)/(ORÇAMENTO!$X$15-CÁLCULO.TotalAdmLocal)*CRONO!$F76,
                        0),
                 AC75*$S74),
          SUMIF(OFFSET($S76,1,0,$R74-2),($M74+1)&amp;"$",OFFSET(AC76,1,0,$R74-2)))</f>
        <v>0</v>
      </c>
      <c r="AD76" s="202" cm="1">
        <f t="array" aca="1" ref="AD76" ca="1">IF($R74=2,
         IF(AND(ACOMPANHAMENTO="PLE",ISNUMBER($F74)),
                SUMIF((OFFSET(CÁLCULO!$BS$15:$CS$15,$F74,0,OFFSET(ORÇAMENTO!$D$15,CRONO!$F74,0))),CRONO!AD$12,OFFSET(CÁLCULO!$AR$15:$BR$15,$F74,0,OFFSET(ORÇAMENTO!$D$15,CRONO!$F74,0)))
                +IF(AND($F76&lt;&gt;"",$F76&lt;&gt;0),
                        SUMIF(CÁLCULO!$BS$15:$CS$244,CRONO!AD$12,CÁLCULO!$AR$15:$BR$244)/(ORÇAMENTO!$X$15-CÁLCULO.TotalAdmLocal)*CRONO!$F76,
                        0),
                 AD75*$S74),
          SUMIF(OFFSET($S76,1,0,$R74-2),($M74+1)&amp;"$",OFFSET(AD76,1,0,$R74-2)))</f>
        <v>0</v>
      </c>
      <c r="AE76" s="202" cm="1">
        <f t="array" aca="1" ref="AE76" ca="1">IF($R74=2,
         IF(AND(ACOMPANHAMENTO="PLE",ISNUMBER($F74)),
                SUMIF((OFFSET(CÁLCULO!$BS$15:$CS$15,$F74,0,OFFSET(ORÇAMENTO!$D$15,CRONO!$F74,0))),CRONO!AE$12,OFFSET(CÁLCULO!$AR$15:$BR$15,$F74,0,OFFSET(ORÇAMENTO!$D$15,CRONO!$F74,0)))
                +IF(AND($F76&lt;&gt;"",$F76&lt;&gt;0),
                        SUMIF(CÁLCULO!$BS$15:$CS$244,CRONO!AE$12,CÁLCULO!$AR$15:$BR$244)/(ORÇAMENTO!$X$15-CÁLCULO.TotalAdmLocal)*CRONO!$F76,
                        0),
                 AE75*$S74),
          SUMIF(OFFSET($S76,1,0,$R74-2),($M74+1)&amp;"$",OFFSET(AE76,1,0,$R74-2)))</f>
        <v>0</v>
      </c>
      <c r="AF76" s="202" cm="1">
        <f t="array" aca="1" ref="AF76" ca="1">IF($R74=2,
         IF(AND(ACOMPANHAMENTO="PLE",ISNUMBER($F74)),
                SUMIF((OFFSET(CÁLCULO!$BS$15:$CS$15,$F74,0,OFFSET(ORÇAMENTO!$D$15,CRONO!$F74,0))),CRONO!AF$12,OFFSET(CÁLCULO!$AR$15:$BR$15,$F74,0,OFFSET(ORÇAMENTO!$D$15,CRONO!$F74,0)))
                +IF(AND($F76&lt;&gt;"",$F76&lt;&gt;0),
                        SUMIF(CÁLCULO!$BS$15:$CS$244,CRONO!AF$12,CÁLCULO!$AR$15:$BR$244)/(ORÇAMENTO!$X$15-CÁLCULO.TotalAdmLocal)*CRONO!$F76,
                        0),
                 AF75*$S74),
          SUMIF(OFFSET($S76,1,0,$R74-2),($M74+1)&amp;"$",OFFSET(AF76,1,0,$R74-2)))</f>
        <v>0</v>
      </c>
      <c r="AG76" s="202" cm="1">
        <f t="array" aca="1" ref="AG76" ca="1">IF($R74=2,
         IF(AND(ACOMPANHAMENTO="PLE",ISNUMBER($F74)),
                SUMIF((OFFSET(CÁLCULO!$BS$15:$CS$15,$F74,0,OFFSET(ORÇAMENTO!$D$15,CRONO!$F74,0))),CRONO!AG$12,OFFSET(CÁLCULO!$AR$15:$BR$15,$F74,0,OFFSET(ORÇAMENTO!$D$15,CRONO!$F74,0)))
                +IF(AND($F76&lt;&gt;"",$F76&lt;&gt;0),
                        SUMIF(CÁLCULO!$BS$15:$CS$244,CRONO!AG$12,CÁLCULO!$AR$15:$BR$244)/(ORÇAMENTO!$X$15-CÁLCULO.TotalAdmLocal)*CRONO!$F76,
                        0),
                 AG75*$S74),
          SUMIF(OFFSET($S76,1,0,$R74-2),($M74+1)&amp;"$",OFFSET(AG76,1,0,$R74-2)))</f>
        <v>0</v>
      </c>
      <c r="AH76" s="202" cm="1">
        <f t="array" aca="1" ref="AH76" ca="1">IF($R74=2,
         IF(AND(ACOMPANHAMENTO="PLE",ISNUMBER($F74)),
                SUMIF((OFFSET(CÁLCULO!$BS$15:$CS$15,$F74,0,OFFSET(ORÇAMENTO!$D$15,CRONO!$F74,0))),CRONO!AH$12,OFFSET(CÁLCULO!$AR$15:$BR$15,$F74,0,OFFSET(ORÇAMENTO!$D$15,CRONO!$F74,0)))
                +IF(AND($F76&lt;&gt;"",$F76&lt;&gt;0),
                        SUMIF(CÁLCULO!$BS$15:$CS$244,CRONO!AH$12,CÁLCULO!$AR$15:$BR$244)/(ORÇAMENTO!$X$15-CÁLCULO.TotalAdmLocal)*CRONO!$F76,
                        0),
                 AH75*$S74),
          SUMIF(OFFSET($S76,1,0,$R74-2),($M74+1)&amp;"$",OFFSET(AH76,1,0,$R74-2)))</f>
        <v>0</v>
      </c>
      <c r="AI76" s="202" cm="1">
        <f t="array" aca="1" ref="AI76" ca="1">IF($R74=2,
         IF(AND(ACOMPANHAMENTO="PLE",ISNUMBER($F74)),
                SUMIF((OFFSET(CÁLCULO!$BS$15:$CS$15,$F74,0,OFFSET(ORÇAMENTO!$D$15,CRONO!$F74,0))),CRONO!AI$12,OFFSET(CÁLCULO!$AR$15:$BR$15,$F74,0,OFFSET(ORÇAMENTO!$D$15,CRONO!$F74,0)))
                +IF(AND($F76&lt;&gt;"",$F76&lt;&gt;0),
                        SUMIF(CÁLCULO!$BS$15:$CS$244,CRONO!AI$12,CÁLCULO!$AR$15:$BR$244)/(ORÇAMENTO!$X$15-CÁLCULO.TotalAdmLocal)*CRONO!$F76,
                        0),
                 AI75*$S74),
          SUMIF(OFFSET($S76,1,0,$R74-2),($M74+1)&amp;"$",OFFSET(AI76,1,0,$R74-2)))</f>
        <v>0</v>
      </c>
      <c r="AJ76" s="202" cm="1">
        <f t="array" aca="1" ref="AJ76" ca="1">IF($R74=2,
         IF(AND(ACOMPANHAMENTO="PLE",ISNUMBER($F74)),
                SUMIF((OFFSET(CÁLCULO!$BS$15:$CS$15,$F74,0,OFFSET(ORÇAMENTO!$D$15,CRONO!$F74,0))),CRONO!AJ$12,OFFSET(CÁLCULO!$AR$15:$BR$15,$F74,0,OFFSET(ORÇAMENTO!$D$15,CRONO!$F74,0)))
                +IF(AND($F76&lt;&gt;"",$F76&lt;&gt;0),
                        SUMIF(CÁLCULO!$BS$15:$CS$244,CRONO!AJ$12,CÁLCULO!$AR$15:$BR$244)/(ORÇAMENTO!$X$15-CÁLCULO.TotalAdmLocal)*CRONO!$F76,
                        0),
                 AJ75*$S74),
          SUMIF(OFFSET($S76,1,0,$R74-2),($M74+1)&amp;"$",OFFSET(AJ76,1,0,$R74-2)))</f>
        <v>0</v>
      </c>
      <c r="AK76" s="202" cm="1">
        <f t="array" aca="1" ref="AK76" ca="1">IF($R74=2,
         IF(AND(ACOMPANHAMENTO="PLE",ISNUMBER($F74)),
                SUMIF((OFFSET(CÁLCULO!$BS$15:$CS$15,$F74,0,OFFSET(ORÇAMENTO!$D$15,CRONO!$F74,0))),CRONO!AK$12,OFFSET(CÁLCULO!$AR$15:$BR$15,$F74,0,OFFSET(ORÇAMENTO!$D$15,CRONO!$F74,0)))
                +IF(AND($F76&lt;&gt;"",$F76&lt;&gt;0),
                        SUMIF(CÁLCULO!$BS$15:$CS$244,CRONO!AK$12,CÁLCULO!$AR$15:$BR$244)/(ORÇAMENTO!$X$15-CÁLCULO.TotalAdmLocal)*CRONO!$F76,
                        0),
                 AK75*$S74),
          SUMIF(OFFSET($S76,1,0,$R74-2),($M74+1)&amp;"$",OFFSET(AK76,1,0,$R74-2)))</f>
        <v>0</v>
      </c>
      <c r="AL76" s="202" cm="1">
        <f t="array" aca="1" ref="AL76" ca="1">IF($R74=2,
         IF(AND(ACOMPANHAMENTO="PLE",ISNUMBER($F74)),
                SUMIF((OFFSET(CÁLCULO!$BS$15:$CS$15,$F74,0,OFFSET(ORÇAMENTO!$D$15,CRONO!$F74,0))),CRONO!AL$12,OFFSET(CÁLCULO!$AR$15:$BR$15,$F74,0,OFFSET(ORÇAMENTO!$D$15,CRONO!$F74,0)))
                +IF(AND($F76&lt;&gt;"",$F76&lt;&gt;0),
                        SUMIF(CÁLCULO!$BS$15:$CS$244,CRONO!AL$12,CÁLCULO!$AR$15:$BR$244)/(ORÇAMENTO!$X$15-CÁLCULO.TotalAdmLocal)*CRONO!$F76,
                        0),
                 AL75*$S74),
          SUMIF(OFFSET($S76,1,0,$R74-2),($M74+1)&amp;"$",OFFSET(AL76,1,0,$R74-2)))</f>
        <v>0</v>
      </c>
      <c r="AM76" s="202" cm="1">
        <f t="array" aca="1" ref="AM76" ca="1">IF($R74=2,
         IF(AND(ACOMPANHAMENTO="PLE",ISNUMBER($F74)),
                SUMIF((OFFSET(CÁLCULO!$BS$15:$CS$15,$F74,0,OFFSET(ORÇAMENTO!$D$15,CRONO!$F74,0))),CRONO!AM$12,OFFSET(CÁLCULO!$AR$15:$BR$15,$F74,0,OFFSET(ORÇAMENTO!$D$15,CRONO!$F74,0)))
                +IF(AND($F76&lt;&gt;"",$F76&lt;&gt;0),
                        SUMIF(CÁLCULO!$BS$15:$CS$244,CRONO!AM$12,CÁLCULO!$AR$15:$BR$244)/(ORÇAMENTO!$X$15-CÁLCULO.TotalAdmLocal)*CRONO!$F76,
                        0),
                 AM75*$S74),
          SUMIF(OFFSET($S76,1,0,$R74-2),($M74+1)&amp;"$",OFFSET(AM76,1,0,$R74-2)))</f>
        <v>0</v>
      </c>
      <c r="AN76" s="202" cm="1">
        <f t="array" aca="1" ref="AN76" ca="1">IF($R74=2,
         IF(AND(ACOMPANHAMENTO="PLE",ISNUMBER($F74)),
                SUMIF((OFFSET(CÁLCULO!$BS$15:$CS$15,$F74,0,OFFSET(ORÇAMENTO!$D$15,CRONO!$F74,0))),CRONO!AN$12,OFFSET(CÁLCULO!$AR$15:$BR$15,$F74,0,OFFSET(ORÇAMENTO!$D$15,CRONO!$F74,0)))
                +IF(AND($F76&lt;&gt;"",$F76&lt;&gt;0),
                        SUMIF(CÁLCULO!$BS$15:$CS$244,CRONO!AN$12,CÁLCULO!$AR$15:$BR$244)/(ORÇAMENTO!$X$15-CÁLCULO.TotalAdmLocal)*CRONO!$F76,
                        0),
                 AN75*$S74),
          SUMIF(OFFSET($S76,1,0,$R74-2),($M74+1)&amp;"$",OFFSET(AN76,1,0,$R74-2)))</f>
        <v>0</v>
      </c>
      <c r="AO76" s="202" cm="1">
        <f t="array" aca="1" ref="AO76" ca="1">IF($R74=2,
         IF(AND(ACOMPANHAMENTO="PLE",ISNUMBER($F74)),
                SUMIF((OFFSET(CÁLCULO!$BS$15:$CS$15,$F74,0,OFFSET(ORÇAMENTO!$D$15,CRONO!$F74,0))),CRONO!AO$12,OFFSET(CÁLCULO!$AR$15:$BR$15,$F74,0,OFFSET(ORÇAMENTO!$D$15,CRONO!$F74,0)))
                +IF(AND($F76&lt;&gt;"",$F76&lt;&gt;0),
                        SUMIF(CÁLCULO!$BS$15:$CS$244,CRONO!AO$12,CÁLCULO!$AR$15:$BR$244)/(ORÇAMENTO!$X$15-CÁLCULO.TotalAdmLocal)*CRONO!$F76,
                        0),
                 AO75*$S74),
          SUMIF(OFFSET($S76,1,0,$R74-2),($M74+1)&amp;"$",OFFSET(AO76,1,0,$R74-2)))</f>
        <v>0</v>
      </c>
      <c r="AP76" s="202" cm="1">
        <f t="array" aca="1" ref="AP76" ca="1">IF($R74=2,
         IF(AND(ACOMPANHAMENTO="PLE",ISNUMBER($F74)),
                SUMIF((OFFSET(CÁLCULO!$BS$15:$CS$15,$F74,0,OFFSET(ORÇAMENTO!$D$15,CRONO!$F74,0))),CRONO!AP$12,OFFSET(CÁLCULO!$AR$15:$BR$15,$F74,0,OFFSET(ORÇAMENTO!$D$15,CRONO!$F74,0)))
                +IF(AND($F76&lt;&gt;"",$F76&lt;&gt;0),
                        SUMIF(CÁLCULO!$BS$15:$CS$244,CRONO!AP$12,CÁLCULO!$AR$15:$BR$244)/(ORÇAMENTO!$X$15-CÁLCULO.TotalAdmLocal)*CRONO!$F76,
                        0),
                 AP75*$S74),
          SUMIF(OFFSET($S76,1,0,$R74-2),($M74+1)&amp;"$",OFFSET(AP76,1,0,$R74-2)))</f>
        <v>0</v>
      </c>
      <c r="AQ76" s="202" cm="1">
        <f t="array" aca="1" ref="AQ76" ca="1">IF($R74=2,
         IF(AND(ACOMPANHAMENTO="PLE",ISNUMBER($F74)),
                SUMIF((OFFSET(CÁLCULO!$BS$15:$CS$15,$F74,0,OFFSET(ORÇAMENTO!$D$15,CRONO!$F74,0))),CRONO!AQ$12,OFFSET(CÁLCULO!$AR$15:$BR$15,$F74,0,OFFSET(ORÇAMENTO!$D$15,CRONO!$F74,0)))
                +IF(AND($F76&lt;&gt;"",$F76&lt;&gt;0),
                        SUMIF(CÁLCULO!$BS$15:$CS$244,CRONO!AQ$12,CÁLCULO!$AR$15:$BR$244)/(ORÇAMENTO!$X$15-CÁLCULO.TotalAdmLocal)*CRONO!$F76,
                        0),
                 AQ75*$S74),
          SUMIF(OFFSET($S76,1,0,$R74-2),($M74+1)&amp;"$",OFFSET(AQ76,1,0,$R74-2)))</f>
        <v>0</v>
      </c>
      <c r="AR76" s="202" cm="1">
        <f t="array" aca="1" ref="AR76" ca="1">IF($R74=2,
         IF(AND(ACOMPANHAMENTO="PLE",ISNUMBER($F74)),
                SUMIF((OFFSET(CÁLCULO!$BS$15:$CS$15,$F74,0,OFFSET(ORÇAMENTO!$D$15,CRONO!$F74,0))),CRONO!AR$12,OFFSET(CÁLCULO!$AR$15:$BR$15,$F74,0,OFFSET(ORÇAMENTO!$D$15,CRONO!$F74,0)))
                +IF(AND($F76&lt;&gt;"",$F76&lt;&gt;0),
                        SUMIF(CÁLCULO!$BS$15:$CS$244,CRONO!AR$12,CÁLCULO!$AR$15:$BR$244)/(ORÇAMENTO!$X$15-CÁLCULO.TotalAdmLocal)*CRONO!$F76,
                        0),
                 AR75*$S74),
          SUMIF(OFFSET($S76,1,0,$R74-2),($M74+1)&amp;"$",OFFSET(AR76,1,0,$R74-2)))</f>
        <v>0</v>
      </c>
      <c r="AS76" s="534"/>
    </row>
    <row r="77" spans="1:45" x14ac:dyDescent="0.2">
      <c r="A77" s="186" t="e">
        <f t="shared" ref="A77" ca="1" si="128">IF($M77&gt;1,_xlfn.CONCAT($I77," ",$J77),"")</f>
        <v>#NAME?</v>
      </c>
      <c r="B77" s="185">
        <f t="shared" ref="B77" ca="1" si="129">OFFSET(B77,-3,0)+1</f>
        <v>22</v>
      </c>
      <c r="C77" s="185">
        <f ca="1">IF($R77&lt;&gt;2,0,IF($S77=0,1,IF(F78&gt;0,OFFSET(QCI!$M$13,SUBSTITUTE(F78,".",""),0),OFFSET(ORÇAMENTO!$AA$15,CRONO!$F77,0))/$S77))</f>
        <v>1</v>
      </c>
      <c r="D77" s="185">
        <f ca="1">IF($R77&lt;&gt;2,0,IF($S77=0,1,IF(F78&gt;0,OFFSET(QCI!$N$13,SUBSTITUTE(F78,".",""),0),OFFSET(ORÇAMENTO!$AB$15,CRONO!$F77,0))/$S77))</f>
        <v>1</v>
      </c>
      <c r="E77" s="188" t="e" cm="1">
        <f t="array" aca="1" ref="E77" ca="1">IF(AND($R77=2,ACOMPANHAMENTO="BM"),ROUND(E78,4),E79/$S77)</f>
        <v>#DIV/0!</v>
      </c>
      <c r="F77" s="185" cm="1">
        <f t="array" aca="1" ref="F77" ca="1">IF(B77&lt;=ORÇAMENTO.MáximoListaCrono,MATCH(B77,ORÇAMENTO.ListaCrono,0),NA())</f>
        <v>84</v>
      </c>
      <c r="G77" s="185" t="str">
        <f t="shared" ref="G77" ca="1" si="130">IF(AND($F78&lt;&gt;-1,$S77&gt;0),"F","")</f>
        <v/>
      </c>
      <c r="H77" s="189" t="str" cm="1">
        <f t="array" aca="1" ref="H77" ca="1">IF(OR(S77=0,S77=""),"Linha",IF(AND(OR(ACOMPANHAMENTO="PLE",$R77&lt;&gt;2),$F78=0),"Linha",ROUND(1-SUM(U77:AS77),4)))</f>
        <v>Linha</v>
      </c>
      <c r="I77" s="190" t="str">
        <f ca="1">IF($F78=0,OFFSET(ORÇAMENTO!O$15,$F77,0),IF($F78&lt;&gt;-1,OFFSET(QCI!$D$13,$F78,0),""))</f>
        <v>7.4.</v>
      </c>
      <c r="J77" s="191" t="str">
        <f ca="1">IF($F78=0,OFFSET(ORÇAMENTO!R$15,$F77,0),IF($F78&lt;&gt;-1,OFFSET(QCI!$G$13,$F78,0),""))</f>
        <v>FORROS</v>
      </c>
      <c r="K77" s="191"/>
      <c r="L77" s="191"/>
      <c r="M77" s="192">
        <f ca="1">IF($F78=0,OFFSET(ORÇAMENTO!C$15,$F77,0),1)</f>
        <v>2</v>
      </c>
      <c r="N77" s="193">
        <f ca="1">IF($F78=-1,0,IF(N$13&lt;=$M77,IF(ISERROR(MATCH(N$13,OFFSET($M77,1,0,ROW($M$164)-ROW($M77)-1),0)),ROW($M$164)-ROW($M77)-1,MATCH(N$13,OFFSET($M77,1,0,ROW($M$164)-ROW($M77)-1),0)-1),0))</f>
        <v>14</v>
      </c>
      <c r="O77" s="193">
        <f ca="1">IF($F78=-1,0,IF(O$13&lt;=$M77,IF(ISERROR(MATCH(O$13,OFFSET($M77,1,0,ROW($M$164)-ROW($M77)-1),0)),ROW($M$164)-ROW($M77)-1,MATCH(O$13,OFFSET($M77,1,0,ROW($M$164)-ROW($M77)-1),0)-1),0))</f>
        <v>2</v>
      </c>
      <c r="P77" s="193">
        <f ca="1">IF($F78=-1,0,IF(P$13&lt;=$M77,IF(ISERROR(MATCH(P$13,OFFSET($M77,1,0,ROW($M$164)-ROW($M77)-1),0)),ROW($M$164)-ROW($M77)-1,MATCH(P$13,OFFSET($M77,1,0,ROW($M$164)-ROW($M77)-1),0)-1),0))</f>
        <v>0</v>
      </c>
      <c r="Q77" s="193">
        <f ca="1">IF($F78=-1,0,IF(Q$13&lt;=$M77,IF(ISERROR(MATCH(Q$13,OFFSET($M77,1,0,ROW($M$164)-ROW($M77)-1),0)),ROW($M$164)-ROW($M77)-1,MATCH(Q$13,OFFSET($M77,1,0,ROW($M$164)-ROW($M77)-1),0)-1),0))</f>
        <v>0</v>
      </c>
      <c r="R77" s="193">
        <f t="shared" ref="R77" ca="1" si="131">MIN(OFFSET(M77,0,1,,M77))</f>
        <v>2</v>
      </c>
      <c r="S77" s="194">
        <f ca="1">IF($F78=0,OFFSET(ORÇAMENTO!X$15,$F77,0),IF($F78&lt;&gt;-1,OFFSET(QCI!$O$13,$F78,0),""))</f>
        <v>0</v>
      </c>
      <c r="T77" s="195" t="s">
        <v>785</v>
      </c>
      <c r="U77" s="188" t="e" cm="1">
        <f t="array" aca="1" ref="U77" ca="1">IF(AND($R77=2,ACOMPANHAMENTO="BM"),ROUND(U78,4),U79/$S77)</f>
        <v>#DIV/0!</v>
      </c>
      <c r="V77" s="188" t="e" cm="1">
        <f t="array" aca="1" ref="V77" ca="1">IF(AND($R77=2,ACOMPANHAMENTO="BM"),ROUND(V78,4),V79/$S77)</f>
        <v>#DIV/0!</v>
      </c>
      <c r="W77" s="188" t="e" cm="1">
        <f t="array" aca="1" ref="W77" ca="1">IF(AND($R77=2,ACOMPANHAMENTO="BM"),ROUND(W78,4),W79/$S77)</f>
        <v>#DIV/0!</v>
      </c>
      <c r="X77" s="188" t="e" cm="1">
        <f t="array" aca="1" ref="X77" ca="1">IF(AND($R77=2,ACOMPANHAMENTO="BM"),ROUND(X78,4),X79/$S77)</f>
        <v>#DIV/0!</v>
      </c>
      <c r="Y77" s="188" t="e" cm="1">
        <f t="array" aca="1" ref="Y77" ca="1">IF(AND($R77=2,ACOMPANHAMENTO="BM"),ROUND(Y78,4),Y79/$S77)</f>
        <v>#DIV/0!</v>
      </c>
      <c r="Z77" s="188" t="e" cm="1">
        <f t="array" aca="1" ref="Z77" ca="1">IF(AND($R77=2,ACOMPANHAMENTO="BM"),ROUND(Z78,4),Z79/$S77)</f>
        <v>#DIV/0!</v>
      </c>
      <c r="AA77" s="188" t="e" cm="1">
        <f t="array" aca="1" ref="AA77" ca="1">IF(AND($R77=2,ACOMPANHAMENTO="BM"),ROUND(AA78,4),AA79/$S77)</f>
        <v>#DIV/0!</v>
      </c>
      <c r="AB77" s="188" t="e" cm="1">
        <f t="array" aca="1" ref="AB77" ca="1">IF(AND($R77=2,ACOMPANHAMENTO="BM"),ROUND(AB78,4),AB79/$S77)</f>
        <v>#DIV/0!</v>
      </c>
      <c r="AC77" s="188" t="e" cm="1">
        <f t="array" aca="1" ref="AC77" ca="1">IF(AND($R77=2,ACOMPANHAMENTO="BM"),ROUND(AC78,4),AC79/$S77)</f>
        <v>#DIV/0!</v>
      </c>
      <c r="AD77" s="188" t="e" cm="1">
        <f t="array" aca="1" ref="AD77" ca="1">IF(AND($R77=2,ACOMPANHAMENTO="BM"),ROUND(AD78,4),AD79/$S77)</f>
        <v>#DIV/0!</v>
      </c>
      <c r="AE77" s="188" t="e" cm="1">
        <f t="array" aca="1" ref="AE77" ca="1">IF(AND($R77=2,ACOMPANHAMENTO="BM"),ROUND(AE78,4),AE79/$S77)</f>
        <v>#DIV/0!</v>
      </c>
      <c r="AF77" s="188" t="e" cm="1">
        <f t="array" aca="1" ref="AF77" ca="1">IF(AND($R77=2,ACOMPANHAMENTO="BM"),ROUND(AF78,4),AF79/$S77)</f>
        <v>#DIV/0!</v>
      </c>
      <c r="AG77" s="188" t="e" cm="1">
        <f t="array" aca="1" ref="AG77" ca="1">IF(AND($R77=2,ACOMPANHAMENTO="BM"),ROUND(AG78,4),AG79/$S77)</f>
        <v>#DIV/0!</v>
      </c>
      <c r="AH77" s="188" t="e" cm="1">
        <f t="array" aca="1" ref="AH77" ca="1">IF(AND($R77=2,ACOMPANHAMENTO="BM"),ROUND(AH78,4),AH79/$S77)</f>
        <v>#DIV/0!</v>
      </c>
      <c r="AI77" s="188" t="e" cm="1">
        <f t="array" aca="1" ref="AI77" ca="1">IF(AND($R77=2,ACOMPANHAMENTO="BM"),ROUND(AI78,4),AI79/$S77)</f>
        <v>#DIV/0!</v>
      </c>
      <c r="AJ77" s="188" t="e" cm="1">
        <f t="array" aca="1" ref="AJ77" ca="1">IF(AND($R77=2,ACOMPANHAMENTO="BM"),ROUND(AJ78,4),AJ79/$S77)</f>
        <v>#DIV/0!</v>
      </c>
      <c r="AK77" s="188" t="e" cm="1">
        <f t="array" aca="1" ref="AK77" ca="1">IF(AND($R77=2,ACOMPANHAMENTO="BM"),ROUND(AK78,4),AK79/$S77)</f>
        <v>#DIV/0!</v>
      </c>
      <c r="AL77" s="188" t="e" cm="1">
        <f t="array" aca="1" ref="AL77" ca="1">IF(AND($R77=2,ACOMPANHAMENTO="BM"),ROUND(AL78,4),AL79/$S77)</f>
        <v>#DIV/0!</v>
      </c>
      <c r="AM77" s="188" t="e" cm="1">
        <f t="array" aca="1" ref="AM77" ca="1">IF(AND($R77=2,ACOMPANHAMENTO="BM"),ROUND(AM78,4),AM79/$S77)</f>
        <v>#DIV/0!</v>
      </c>
      <c r="AN77" s="188" t="e" cm="1">
        <f t="array" aca="1" ref="AN77" ca="1">IF(AND($R77=2,ACOMPANHAMENTO="BM"),ROUND(AN78,4),AN79/$S77)</f>
        <v>#DIV/0!</v>
      </c>
      <c r="AO77" s="188" t="e" cm="1">
        <f t="array" aca="1" ref="AO77" ca="1">IF(AND($R77=2,ACOMPANHAMENTO="BM"),ROUND(AO78,4),AO79/$S77)</f>
        <v>#DIV/0!</v>
      </c>
      <c r="AP77" s="188" t="e" cm="1">
        <f t="array" aca="1" ref="AP77" ca="1">IF(AND($R77=2,ACOMPANHAMENTO="BM"),ROUND(AP78,4),AP79/$S77)</f>
        <v>#DIV/0!</v>
      </c>
      <c r="AQ77" s="188" t="e" cm="1">
        <f t="array" aca="1" ref="AQ77" ca="1">IF(AND($R77=2,ACOMPANHAMENTO="BM"),ROUND(AQ78,4),AQ79/$S77)</f>
        <v>#DIV/0!</v>
      </c>
      <c r="AR77" s="188" t="e" cm="1">
        <f t="array" aca="1" ref="AR77" ca="1">IF(AND($R77=2,ACOMPANHAMENTO="BM"),ROUND(AR78,4),AR79/$S77)</f>
        <v>#DIV/0!</v>
      </c>
      <c r="AS77" s="534"/>
    </row>
    <row r="78" spans="1:45" ht="12.75" hidden="1" customHeight="1" x14ac:dyDescent="0.2">
      <c r="E78" s="587"/>
      <c r="F78" s="185">
        <f ca="1">IF(ISERROR(F77),IF(1+COUNTIF($M$13:OFFSET(M77,-1,0),1)&lt;=MAX(QCI!$D$13:$D$24),1+COUNTIF($M$13:OFFSET(M77,-1,0),1),-1),0)</f>
        <v>0</v>
      </c>
      <c r="G78" s="185" t="str" cm="1">
        <f t="array" aca="1" ref="G78" ca="1">IF(ACOMPANHAMENTO="BM",OFFSET(G78,-1,0),"")</f>
        <v/>
      </c>
      <c r="H78" s="196" t="str" cm="1">
        <f t="array" aca="1" ref="H78" ca="1">IF(OR(S77=0,S77=""),"vazia",IF(AND(OR(ACOMPANHAMENTO="PLE",$R77&lt;&gt;2),$F78=0),"calculada","--&gt;"))</f>
        <v>vazia</v>
      </c>
      <c r="I78" s="197"/>
      <c r="J78" s="198" t="str">
        <f t="shared" ref="J78" ca="1" si="132">IF(AND(H77&lt;&gt;0,ISNUMBER(H77)),"PREENCHA ESTA LINHA --&gt;","")</f>
        <v/>
      </c>
      <c r="K78" s="198"/>
      <c r="L78" s="198"/>
      <c r="M78" s="199"/>
      <c r="N78" s="199"/>
      <c r="O78" s="199"/>
      <c r="P78" s="199"/>
      <c r="Q78" s="199"/>
      <c r="R78" s="199"/>
      <c r="S78" s="200"/>
      <c r="T78" s="201"/>
      <c r="U78" s="587"/>
      <c r="V78" s="587"/>
      <c r="W78" s="587"/>
      <c r="X78" s="587"/>
      <c r="Y78" s="587"/>
      <c r="Z78" s="587"/>
      <c r="AA78" s="587"/>
      <c r="AB78" s="587"/>
      <c r="AC78" s="587"/>
      <c r="AD78" s="587"/>
      <c r="AE78" s="587"/>
      <c r="AF78" s="587"/>
      <c r="AG78" s="587"/>
      <c r="AH78" s="587"/>
      <c r="AI78" s="587"/>
      <c r="AJ78" s="587"/>
      <c r="AK78" s="587"/>
      <c r="AL78" s="587"/>
      <c r="AM78" s="587"/>
      <c r="AN78" s="587"/>
      <c r="AO78" s="587"/>
      <c r="AP78" s="587"/>
      <c r="AQ78" s="587"/>
      <c r="AR78" s="587"/>
      <c r="AS78" s="534"/>
    </row>
    <row r="79" spans="1:45" ht="12.75" hidden="1" customHeight="1" x14ac:dyDescent="0.2">
      <c r="D79" s="533"/>
      <c r="E79" s="202" cm="1">
        <f t="array" aca="1" ref="E79" ca="1">IF($R77=2,
         IF(AND(ACOMPANHAMENTO="PLE",ISNUMBER($F77)),
                SUMIF((OFFSET(CÁLCULO!$BS$15:$CS$15,$F77,0,OFFSET(ORÇAMENTO!$D$15,CRONO!$F77,0))),CRONO!E$12,OFFSET(CÁLCULO!$AR$15:$BR$15,$F77,0,OFFSET(ORÇAMENTO!$D$15,CRONO!$F77,0)))
                +IF(AND($F79&lt;&gt;"",$F79&lt;&gt;0),
                        SUMIF(CÁLCULO!$BS$15:$CS$244,CRONO!E$12,CÁLCULO!$AR$15:$BR$244)/(ORÇAMENTO!$X$15-CÁLCULO.TotalAdmLocal)*CRONO!$F79,
                        0),
                 E78*$S77),
          SUMIF(OFFSET($S79,1,0,$R77-2),($M77+1)&amp;"$",OFFSET(E79,1,0,$R77-2)))</f>
        <v>0</v>
      </c>
      <c r="F79" s="185">
        <f ca="1">IF(OR($R77&lt;&gt;2,AUTOEVENTO&lt;&gt;"manual",$F78&gt;0),"",
        IF(Import.TipoArredondamento="Tradicional",
              SUMIF(OFFSET(CÁLCULO!$M$15,CRONO!$F77,0,OFFSET(ORÇAMENTO!$D$15,CRONO!$F77,0)),1,OFFSET(ORÇAMENTO!$X$15,CRONO!$F77,0,OFFSET(ORÇAMENTO!$D$15,CRONO!$F77,0))),
              0))</f>
        <v>0</v>
      </c>
      <c r="H79" s="203"/>
      <c r="S79" s="204" t="str">
        <f t="shared" ref="S79" ca="1" si="133">M77&amp;"$"</f>
        <v>2$</v>
      </c>
      <c r="T79" s="205"/>
      <c r="U79" s="202" cm="1">
        <f t="array" aca="1" ref="U79" ca="1">IF($R77=2,
         IF(AND(ACOMPANHAMENTO="PLE",ISNUMBER($F77)),
                SUMIF((OFFSET(CÁLCULO!$BS$15:$CS$15,$F77,0,OFFSET(ORÇAMENTO!$D$15,CRONO!$F77,0))),CRONO!U$12,OFFSET(CÁLCULO!$AR$15:$BR$15,$F77,0,OFFSET(ORÇAMENTO!$D$15,CRONO!$F77,0)))
                +IF(AND($F79&lt;&gt;"",$F79&lt;&gt;0),
                        SUMIF(CÁLCULO!$BS$15:$CS$244,CRONO!U$12,CÁLCULO!$AR$15:$BR$244)/(ORÇAMENTO!$X$15-CÁLCULO.TotalAdmLocal)*CRONO!$F79,
                        0),
                 U78*$S77),
          SUMIF(OFFSET($S79,1,0,$R77-2),($M77+1)&amp;"$",OFFSET(U79,1,0,$R77-2)))</f>
        <v>0</v>
      </c>
      <c r="V79" s="202" cm="1">
        <f t="array" aca="1" ref="V79" ca="1">IF($R77=2,
         IF(AND(ACOMPANHAMENTO="PLE",ISNUMBER($F77)),
                SUMIF((OFFSET(CÁLCULO!$BS$15:$CS$15,$F77,0,OFFSET(ORÇAMENTO!$D$15,CRONO!$F77,0))),CRONO!V$12,OFFSET(CÁLCULO!$AR$15:$BR$15,$F77,0,OFFSET(ORÇAMENTO!$D$15,CRONO!$F77,0)))
                +IF(AND($F79&lt;&gt;"",$F79&lt;&gt;0),
                        SUMIF(CÁLCULO!$BS$15:$CS$244,CRONO!V$12,CÁLCULO!$AR$15:$BR$244)/(ORÇAMENTO!$X$15-CÁLCULO.TotalAdmLocal)*CRONO!$F79,
                        0),
                 V78*$S77),
          SUMIF(OFFSET($S79,1,0,$R77-2),($M77+1)&amp;"$",OFFSET(V79,1,0,$R77-2)))</f>
        <v>0</v>
      </c>
      <c r="W79" s="202" cm="1">
        <f t="array" aca="1" ref="W79" ca="1">IF($R77=2,
         IF(AND(ACOMPANHAMENTO="PLE",ISNUMBER($F77)),
                SUMIF((OFFSET(CÁLCULO!$BS$15:$CS$15,$F77,0,OFFSET(ORÇAMENTO!$D$15,CRONO!$F77,0))),CRONO!W$12,OFFSET(CÁLCULO!$AR$15:$BR$15,$F77,0,OFFSET(ORÇAMENTO!$D$15,CRONO!$F77,0)))
                +IF(AND($F79&lt;&gt;"",$F79&lt;&gt;0),
                        SUMIF(CÁLCULO!$BS$15:$CS$244,CRONO!W$12,CÁLCULO!$AR$15:$BR$244)/(ORÇAMENTO!$X$15-CÁLCULO.TotalAdmLocal)*CRONO!$F79,
                        0),
                 W78*$S77),
          SUMIF(OFFSET($S79,1,0,$R77-2),($M77+1)&amp;"$",OFFSET(W79,1,0,$R77-2)))</f>
        <v>0</v>
      </c>
      <c r="X79" s="202" cm="1">
        <f t="array" aca="1" ref="X79" ca="1">IF($R77=2,
         IF(AND(ACOMPANHAMENTO="PLE",ISNUMBER($F77)),
                SUMIF((OFFSET(CÁLCULO!$BS$15:$CS$15,$F77,0,OFFSET(ORÇAMENTO!$D$15,CRONO!$F77,0))),CRONO!X$12,OFFSET(CÁLCULO!$AR$15:$BR$15,$F77,0,OFFSET(ORÇAMENTO!$D$15,CRONO!$F77,0)))
                +IF(AND($F79&lt;&gt;"",$F79&lt;&gt;0),
                        SUMIF(CÁLCULO!$BS$15:$CS$244,CRONO!X$12,CÁLCULO!$AR$15:$BR$244)/(ORÇAMENTO!$X$15-CÁLCULO.TotalAdmLocal)*CRONO!$F79,
                        0),
                 X78*$S77),
          SUMIF(OFFSET($S79,1,0,$R77-2),($M77+1)&amp;"$",OFFSET(X79,1,0,$R77-2)))</f>
        <v>0</v>
      </c>
      <c r="Y79" s="202" cm="1">
        <f t="array" aca="1" ref="Y79" ca="1">IF($R77=2,
         IF(AND(ACOMPANHAMENTO="PLE",ISNUMBER($F77)),
                SUMIF((OFFSET(CÁLCULO!$BS$15:$CS$15,$F77,0,OFFSET(ORÇAMENTO!$D$15,CRONO!$F77,0))),CRONO!Y$12,OFFSET(CÁLCULO!$AR$15:$BR$15,$F77,0,OFFSET(ORÇAMENTO!$D$15,CRONO!$F77,0)))
                +IF(AND($F79&lt;&gt;"",$F79&lt;&gt;0),
                        SUMIF(CÁLCULO!$BS$15:$CS$244,CRONO!Y$12,CÁLCULO!$AR$15:$BR$244)/(ORÇAMENTO!$X$15-CÁLCULO.TotalAdmLocal)*CRONO!$F79,
                        0),
                 Y78*$S77),
          SUMIF(OFFSET($S79,1,0,$R77-2),($M77+1)&amp;"$",OFFSET(Y79,1,0,$R77-2)))</f>
        <v>0</v>
      </c>
      <c r="Z79" s="202" cm="1">
        <f t="array" aca="1" ref="Z79" ca="1">IF($R77=2,
         IF(AND(ACOMPANHAMENTO="PLE",ISNUMBER($F77)),
                SUMIF((OFFSET(CÁLCULO!$BS$15:$CS$15,$F77,0,OFFSET(ORÇAMENTO!$D$15,CRONO!$F77,0))),CRONO!Z$12,OFFSET(CÁLCULO!$AR$15:$BR$15,$F77,0,OFFSET(ORÇAMENTO!$D$15,CRONO!$F77,0)))
                +IF(AND($F79&lt;&gt;"",$F79&lt;&gt;0),
                        SUMIF(CÁLCULO!$BS$15:$CS$244,CRONO!Z$12,CÁLCULO!$AR$15:$BR$244)/(ORÇAMENTO!$X$15-CÁLCULO.TotalAdmLocal)*CRONO!$F79,
                        0),
                 Z78*$S77),
          SUMIF(OFFSET($S79,1,0,$R77-2),($M77+1)&amp;"$",OFFSET(Z79,1,0,$R77-2)))</f>
        <v>0</v>
      </c>
      <c r="AA79" s="202" cm="1">
        <f t="array" aca="1" ref="AA79" ca="1">IF($R77=2,
         IF(AND(ACOMPANHAMENTO="PLE",ISNUMBER($F77)),
                SUMIF((OFFSET(CÁLCULO!$BS$15:$CS$15,$F77,0,OFFSET(ORÇAMENTO!$D$15,CRONO!$F77,0))),CRONO!AA$12,OFFSET(CÁLCULO!$AR$15:$BR$15,$F77,0,OFFSET(ORÇAMENTO!$D$15,CRONO!$F77,0)))
                +IF(AND($F79&lt;&gt;"",$F79&lt;&gt;0),
                        SUMIF(CÁLCULO!$BS$15:$CS$244,CRONO!AA$12,CÁLCULO!$AR$15:$BR$244)/(ORÇAMENTO!$X$15-CÁLCULO.TotalAdmLocal)*CRONO!$F79,
                        0),
                 AA78*$S77),
          SUMIF(OFFSET($S79,1,0,$R77-2),($M77+1)&amp;"$",OFFSET(AA79,1,0,$R77-2)))</f>
        <v>0</v>
      </c>
      <c r="AB79" s="202" cm="1">
        <f t="array" aca="1" ref="AB79" ca="1">IF($R77=2,
         IF(AND(ACOMPANHAMENTO="PLE",ISNUMBER($F77)),
                SUMIF((OFFSET(CÁLCULO!$BS$15:$CS$15,$F77,0,OFFSET(ORÇAMENTO!$D$15,CRONO!$F77,0))),CRONO!AB$12,OFFSET(CÁLCULO!$AR$15:$BR$15,$F77,0,OFFSET(ORÇAMENTO!$D$15,CRONO!$F77,0)))
                +IF(AND($F79&lt;&gt;"",$F79&lt;&gt;0),
                        SUMIF(CÁLCULO!$BS$15:$CS$244,CRONO!AB$12,CÁLCULO!$AR$15:$BR$244)/(ORÇAMENTO!$X$15-CÁLCULO.TotalAdmLocal)*CRONO!$F79,
                        0),
                 AB78*$S77),
          SUMIF(OFFSET($S79,1,0,$R77-2),($M77+1)&amp;"$",OFFSET(AB79,1,0,$R77-2)))</f>
        <v>0</v>
      </c>
      <c r="AC79" s="202" cm="1">
        <f t="array" aca="1" ref="AC79" ca="1">IF($R77=2,
         IF(AND(ACOMPANHAMENTO="PLE",ISNUMBER($F77)),
                SUMIF((OFFSET(CÁLCULO!$BS$15:$CS$15,$F77,0,OFFSET(ORÇAMENTO!$D$15,CRONO!$F77,0))),CRONO!AC$12,OFFSET(CÁLCULO!$AR$15:$BR$15,$F77,0,OFFSET(ORÇAMENTO!$D$15,CRONO!$F77,0)))
                +IF(AND($F79&lt;&gt;"",$F79&lt;&gt;0),
                        SUMIF(CÁLCULO!$BS$15:$CS$244,CRONO!AC$12,CÁLCULO!$AR$15:$BR$244)/(ORÇAMENTO!$X$15-CÁLCULO.TotalAdmLocal)*CRONO!$F79,
                        0),
                 AC78*$S77),
          SUMIF(OFFSET($S79,1,0,$R77-2),($M77+1)&amp;"$",OFFSET(AC79,1,0,$R77-2)))</f>
        <v>0</v>
      </c>
      <c r="AD79" s="202" cm="1">
        <f t="array" aca="1" ref="AD79" ca="1">IF($R77=2,
         IF(AND(ACOMPANHAMENTO="PLE",ISNUMBER($F77)),
                SUMIF((OFFSET(CÁLCULO!$BS$15:$CS$15,$F77,0,OFFSET(ORÇAMENTO!$D$15,CRONO!$F77,0))),CRONO!AD$12,OFFSET(CÁLCULO!$AR$15:$BR$15,$F77,0,OFFSET(ORÇAMENTO!$D$15,CRONO!$F77,0)))
                +IF(AND($F79&lt;&gt;"",$F79&lt;&gt;0),
                        SUMIF(CÁLCULO!$BS$15:$CS$244,CRONO!AD$12,CÁLCULO!$AR$15:$BR$244)/(ORÇAMENTO!$X$15-CÁLCULO.TotalAdmLocal)*CRONO!$F79,
                        0),
                 AD78*$S77),
          SUMIF(OFFSET($S79,1,0,$R77-2),($M77+1)&amp;"$",OFFSET(AD79,1,0,$R77-2)))</f>
        <v>0</v>
      </c>
      <c r="AE79" s="202" cm="1">
        <f t="array" aca="1" ref="AE79" ca="1">IF($R77=2,
         IF(AND(ACOMPANHAMENTO="PLE",ISNUMBER($F77)),
                SUMIF((OFFSET(CÁLCULO!$BS$15:$CS$15,$F77,0,OFFSET(ORÇAMENTO!$D$15,CRONO!$F77,0))),CRONO!AE$12,OFFSET(CÁLCULO!$AR$15:$BR$15,$F77,0,OFFSET(ORÇAMENTO!$D$15,CRONO!$F77,0)))
                +IF(AND($F79&lt;&gt;"",$F79&lt;&gt;0),
                        SUMIF(CÁLCULO!$BS$15:$CS$244,CRONO!AE$12,CÁLCULO!$AR$15:$BR$244)/(ORÇAMENTO!$X$15-CÁLCULO.TotalAdmLocal)*CRONO!$F79,
                        0),
                 AE78*$S77),
          SUMIF(OFFSET($S79,1,0,$R77-2),($M77+1)&amp;"$",OFFSET(AE79,1,0,$R77-2)))</f>
        <v>0</v>
      </c>
      <c r="AF79" s="202" cm="1">
        <f t="array" aca="1" ref="AF79" ca="1">IF($R77=2,
         IF(AND(ACOMPANHAMENTO="PLE",ISNUMBER($F77)),
                SUMIF((OFFSET(CÁLCULO!$BS$15:$CS$15,$F77,0,OFFSET(ORÇAMENTO!$D$15,CRONO!$F77,0))),CRONO!AF$12,OFFSET(CÁLCULO!$AR$15:$BR$15,$F77,0,OFFSET(ORÇAMENTO!$D$15,CRONO!$F77,0)))
                +IF(AND($F79&lt;&gt;"",$F79&lt;&gt;0),
                        SUMIF(CÁLCULO!$BS$15:$CS$244,CRONO!AF$12,CÁLCULO!$AR$15:$BR$244)/(ORÇAMENTO!$X$15-CÁLCULO.TotalAdmLocal)*CRONO!$F79,
                        0),
                 AF78*$S77),
          SUMIF(OFFSET($S79,1,0,$R77-2),($M77+1)&amp;"$",OFFSET(AF79,1,0,$R77-2)))</f>
        <v>0</v>
      </c>
      <c r="AG79" s="202" cm="1">
        <f t="array" aca="1" ref="AG79" ca="1">IF($R77=2,
         IF(AND(ACOMPANHAMENTO="PLE",ISNUMBER($F77)),
                SUMIF((OFFSET(CÁLCULO!$BS$15:$CS$15,$F77,0,OFFSET(ORÇAMENTO!$D$15,CRONO!$F77,0))),CRONO!AG$12,OFFSET(CÁLCULO!$AR$15:$BR$15,$F77,0,OFFSET(ORÇAMENTO!$D$15,CRONO!$F77,0)))
                +IF(AND($F79&lt;&gt;"",$F79&lt;&gt;0),
                        SUMIF(CÁLCULO!$BS$15:$CS$244,CRONO!AG$12,CÁLCULO!$AR$15:$BR$244)/(ORÇAMENTO!$X$15-CÁLCULO.TotalAdmLocal)*CRONO!$F79,
                        0),
                 AG78*$S77),
          SUMIF(OFFSET($S79,1,0,$R77-2),($M77+1)&amp;"$",OFFSET(AG79,1,0,$R77-2)))</f>
        <v>0</v>
      </c>
      <c r="AH79" s="202" cm="1">
        <f t="array" aca="1" ref="AH79" ca="1">IF($R77=2,
         IF(AND(ACOMPANHAMENTO="PLE",ISNUMBER($F77)),
                SUMIF((OFFSET(CÁLCULO!$BS$15:$CS$15,$F77,0,OFFSET(ORÇAMENTO!$D$15,CRONO!$F77,0))),CRONO!AH$12,OFFSET(CÁLCULO!$AR$15:$BR$15,$F77,0,OFFSET(ORÇAMENTO!$D$15,CRONO!$F77,0)))
                +IF(AND($F79&lt;&gt;"",$F79&lt;&gt;0),
                        SUMIF(CÁLCULO!$BS$15:$CS$244,CRONO!AH$12,CÁLCULO!$AR$15:$BR$244)/(ORÇAMENTO!$X$15-CÁLCULO.TotalAdmLocal)*CRONO!$F79,
                        0),
                 AH78*$S77),
          SUMIF(OFFSET($S79,1,0,$R77-2),($M77+1)&amp;"$",OFFSET(AH79,1,0,$R77-2)))</f>
        <v>0</v>
      </c>
      <c r="AI79" s="202" cm="1">
        <f t="array" aca="1" ref="AI79" ca="1">IF($R77=2,
         IF(AND(ACOMPANHAMENTO="PLE",ISNUMBER($F77)),
                SUMIF((OFFSET(CÁLCULO!$BS$15:$CS$15,$F77,0,OFFSET(ORÇAMENTO!$D$15,CRONO!$F77,0))),CRONO!AI$12,OFFSET(CÁLCULO!$AR$15:$BR$15,$F77,0,OFFSET(ORÇAMENTO!$D$15,CRONO!$F77,0)))
                +IF(AND($F79&lt;&gt;"",$F79&lt;&gt;0),
                        SUMIF(CÁLCULO!$BS$15:$CS$244,CRONO!AI$12,CÁLCULO!$AR$15:$BR$244)/(ORÇAMENTO!$X$15-CÁLCULO.TotalAdmLocal)*CRONO!$F79,
                        0),
                 AI78*$S77),
          SUMIF(OFFSET($S79,1,0,$R77-2),($M77+1)&amp;"$",OFFSET(AI79,1,0,$R77-2)))</f>
        <v>0</v>
      </c>
      <c r="AJ79" s="202" cm="1">
        <f t="array" aca="1" ref="AJ79" ca="1">IF($R77=2,
         IF(AND(ACOMPANHAMENTO="PLE",ISNUMBER($F77)),
                SUMIF((OFFSET(CÁLCULO!$BS$15:$CS$15,$F77,0,OFFSET(ORÇAMENTO!$D$15,CRONO!$F77,0))),CRONO!AJ$12,OFFSET(CÁLCULO!$AR$15:$BR$15,$F77,0,OFFSET(ORÇAMENTO!$D$15,CRONO!$F77,0)))
                +IF(AND($F79&lt;&gt;"",$F79&lt;&gt;0),
                        SUMIF(CÁLCULO!$BS$15:$CS$244,CRONO!AJ$12,CÁLCULO!$AR$15:$BR$244)/(ORÇAMENTO!$X$15-CÁLCULO.TotalAdmLocal)*CRONO!$F79,
                        0),
                 AJ78*$S77),
          SUMIF(OFFSET($S79,1,0,$R77-2),($M77+1)&amp;"$",OFFSET(AJ79,1,0,$R77-2)))</f>
        <v>0</v>
      </c>
      <c r="AK79" s="202" cm="1">
        <f t="array" aca="1" ref="AK79" ca="1">IF($R77=2,
         IF(AND(ACOMPANHAMENTO="PLE",ISNUMBER($F77)),
                SUMIF((OFFSET(CÁLCULO!$BS$15:$CS$15,$F77,0,OFFSET(ORÇAMENTO!$D$15,CRONO!$F77,0))),CRONO!AK$12,OFFSET(CÁLCULO!$AR$15:$BR$15,$F77,0,OFFSET(ORÇAMENTO!$D$15,CRONO!$F77,0)))
                +IF(AND($F79&lt;&gt;"",$F79&lt;&gt;0),
                        SUMIF(CÁLCULO!$BS$15:$CS$244,CRONO!AK$12,CÁLCULO!$AR$15:$BR$244)/(ORÇAMENTO!$X$15-CÁLCULO.TotalAdmLocal)*CRONO!$F79,
                        0),
                 AK78*$S77),
          SUMIF(OFFSET($S79,1,0,$R77-2),($M77+1)&amp;"$",OFFSET(AK79,1,0,$R77-2)))</f>
        <v>0</v>
      </c>
      <c r="AL79" s="202" cm="1">
        <f t="array" aca="1" ref="AL79" ca="1">IF($R77=2,
         IF(AND(ACOMPANHAMENTO="PLE",ISNUMBER($F77)),
                SUMIF((OFFSET(CÁLCULO!$BS$15:$CS$15,$F77,0,OFFSET(ORÇAMENTO!$D$15,CRONO!$F77,0))),CRONO!AL$12,OFFSET(CÁLCULO!$AR$15:$BR$15,$F77,0,OFFSET(ORÇAMENTO!$D$15,CRONO!$F77,0)))
                +IF(AND($F79&lt;&gt;"",$F79&lt;&gt;0),
                        SUMIF(CÁLCULO!$BS$15:$CS$244,CRONO!AL$12,CÁLCULO!$AR$15:$BR$244)/(ORÇAMENTO!$X$15-CÁLCULO.TotalAdmLocal)*CRONO!$F79,
                        0),
                 AL78*$S77),
          SUMIF(OFFSET($S79,1,0,$R77-2),($M77+1)&amp;"$",OFFSET(AL79,1,0,$R77-2)))</f>
        <v>0</v>
      </c>
      <c r="AM79" s="202" cm="1">
        <f t="array" aca="1" ref="AM79" ca="1">IF($R77=2,
         IF(AND(ACOMPANHAMENTO="PLE",ISNUMBER($F77)),
                SUMIF((OFFSET(CÁLCULO!$BS$15:$CS$15,$F77,0,OFFSET(ORÇAMENTO!$D$15,CRONO!$F77,0))),CRONO!AM$12,OFFSET(CÁLCULO!$AR$15:$BR$15,$F77,0,OFFSET(ORÇAMENTO!$D$15,CRONO!$F77,0)))
                +IF(AND($F79&lt;&gt;"",$F79&lt;&gt;0),
                        SUMIF(CÁLCULO!$BS$15:$CS$244,CRONO!AM$12,CÁLCULO!$AR$15:$BR$244)/(ORÇAMENTO!$X$15-CÁLCULO.TotalAdmLocal)*CRONO!$F79,
                        0),
                 AM78*$S77),
          SUMIF(OFFSET($S79,1,0,$R77-2),($M77+1)&amp;"$",OFFSET(AM79,1,0,$R77-2)))</f>
        <v>0</v>
      </c>
      <c r="AN79" s="202" cm="1">
        <f t="array" aca="1" ref="AN79" ca="1">IF($R77=2,
         IF(AND(ACOMPANHAMENTO="PLE",ISNUMBER($F77)),
                SUMIF((OFFSET(CÁLCULO!$BS$15:$CS$15,$F77,0,OFFSET(ORÇAMENTO!$D$15,CRONO!$F77,0))),CRONO!AN$12,OFFSET(CÁLCULO!$AR$15:$BR$15,$F77,0,OFFSET(ORÇAMENTO!$D$15,CRONO!$F77,0)))
                +IF(AND($F79&lt;&gt;"",$F79&lt;&gt;0),
                        SUMIF(CÁLCULO!$BS$15:$CS$244,CRONO!AN$12,CÁLCULO!$AR$15:$BR$244)/(ORÇAMENTO!$X$15-CÁLCULO.TotalAdmLocal)*CRONO!$F79,
                        0),
                 AN78*$S77),
          SUMIF(OFFSET($S79,1,0,$R77-2),($M77+1)&amp;"$",OFFSET(AN79,1,0,$R77-2)))</f>
        <v>0</v>
      </c>
      <c r="AO79" s="202" cm="1">
        <f t="array" aca="1" ref="AO79" ca="1">IF($R77=2,
         IF(AND(ACOMPANHAMENTO="PLE",ISNUMBER($F77)),
                SUMIF((OFFSET(CÁLCULO!$BS$15:$CS$15,$F77,0,OFFSET(ORÇAMENTO!$D$15,CRONO!$F77,0))),CRONO!AO$12,OFFSET(CÁLCULO!$AR$15:$BR$15,$F77,0,OFFSET(ORÇAMENTO!$D$15,CRONO!$F77,0)))
                +IF(AND($F79&lt;&gt;"",$F79&lt;&gt;0),
                        SUMIF(CÁLCULO!$BS$15:$CS$244,CRONO!AO$12,CÁLCULO!$AR$15:$BR$244)/(ORÇAMENTO!$X$15-CÁLCULO.TotalAdmLocal)*CRONO!$F79,
                        0),
                 AO78*$S77),
          SUMIF(OFFSET($S79,1,0,$R77-2),($M77+1)&amp;"$",OFFSET(AO79,1,0,$R77-2)))</f>
        <v>0</v>
      </c>
      <c r="AP79" s="202" cm="1">
        <f t="array" aca="1" ref="AP79" ca="1">IF($R77=2,
         IF(AND(ACOMPANHAMENTO="PLE",ISNUMBER($F77)),
                SUMIF((OFFSET(CÁLCULO!$BS$15:$CS$15,$F77,0,OFFSET(ORÇAMENTO!$D$15,CRONO!$F77,0))),CRONO!AP$12,OFFSET(CÁLCULO!$AR$15:$BR$15,$F77,0,OFFSET(ORÇAMENTO!$D$15,CRONO!$F77,0)))
                +IF(AND($F79&lt;&gt;"",$F79&lt;&gt;0),
                        SUMIF(CÁLCULO!$BS$15:$CS$244,CRONO!AP$12,CÁLCULO!$AR$15:$BR$244)/(ORÇAMENTO!$X$15-CÁLCULO.TotalAdmLocal)*CRONO!$F79,
                        0),
                 AP78*$S77),
          SUMIF(OFFSET($S79,1,0,$R77-2),($M77+1)&amp;"$",OFFSET(AP79,1,0,$R77-2)))</f>
        <v>0</v>
      </c>
      <c r="AQ79" s="202" cm="1">
        <f t="array" aca="1" ref="AQ79" ca="1">IF($R77=2,
         IF(AND(ACOMPANHAMENTO="PLE",ISNUMBER($F77)),
                SUMIF((OFFSET(CÁLCULO!$BS$15:$CS$15,$F77,0,OFFSET(ORÇAMENTO!$D$15,CRONO!$F77,0))),CRONO!AQ$12,OFFSET(CÁLCULO!$AR$15:$BR$15,$F77,0,OFFSET(ORÇAMENTO!$D$15,CRONO!$F77,0)))
                +IF(AND($F79&lt;&gt;"",$F79&lt;&gt;0),
                        SUMIF(CÁLCULO!$BS$15:$CS$244,CRONO!AQ$12,CÁLCULO!$AR$15:$BR$244)/(ORÇAMENTO!$X$15-CÁLCULO.TotalAdmLocal)*CRONO!$F79,
                        0),
                 AQ78*$S77),
          SUMIF(OFFSET($S79,1,0,$R77-2),($M77+1)&amp;"$",OFFSET(AQ79,1,0,$R77-2)))</f>
        <v>0</v>
      </c>
      <c r="AR79" s="202" cm="1">
        <f t="array" aca="1" ref="AR79" ca="1">IF($R77=2,
         IF(AND(ACOMPANHAMENTO="PLE",ISNUMBER($F77)),
                SUMIF((OFFSET(CÁLCULO!$BS$15:$CS$15,$F77,0,OFFSET(ORÇAMENTO!$D$15,CRONO!$F77,0))),CRONO!AR$12,OFFSET(CÁLCULO!$AR$15:$BR$15,$F77,0,OFFSET(ORÇAMENTO!$D$15,CRONO!$F77,0)))
                +IF(AND($F79&lt;&gt;"",$F79&lt;&gt;0),
                        SUMIF(CÁLCULO!$BS$15:$CS$244,CRONO!AR$12,CÁLCULO!$AR$15:$BR$244)/(ORÇAMENTO!$X$15-CÁLCULO.TotalAdmLocal)*CRONO!$F79,
                        0),
                 AR78*$S77),
          SUMIF(OFFSET($S79,1,0,$R77-2),($M77+1)&amp;"$",OFFSET(AR79,1,0,$R77-2)))</f>
        <v>0</v>
      </c>
      <c r="AS79" s="534"/>
    </row>
    <row r="80" spans="1:45" x14ac:dyDescent="0.2">
      <c r="A80" s="186" t="e">
        <f t="shared" ref="A80" ca="1" si="134">IF($M80&gt;1,_xlfn.CONCAT($I80," ",$J80),"")</f>
        <v>#NAME?</v>
      </c>
      <c r="B80" s="185">
        <f t="shared" ref="B80" ca="1" si="135">OFFSET(B80,-3,0)+1</f>
        <v>23</v>
      </c>
      <c r="C80" s="185">
        <f ca="1">IF($R80&lt;&gt;2,0,IF($S80=0,1,IF(F81&gt;0,OFFSET(QCI!$M$13,SUBSTITUTE(F81,".",""),0),OFFSET(ORÇAMENTO!$AA$15,CRONO!$F80,0))/$S80))</f>
        <v>0</v>
      </c>
      <c r="D80" s="185">
        <f ca="1">IF($R80&lt;&gt;2,0,IF($S80=0,1,IF(F81&gt;0,OFFSET(QCI!$N$13,SUBSTITUTE(F81,".",""),0),OFFSET(ORÇAMENTO!$AB$15,CRONO!$F80,0))/$S80))</f>
        <v>0</v>
      </c>
      <c r="E80" s="188" t="e" cm="1">
        <f t="array" aca="1" ref="E80" ca="1">IF(AND($R80=2,ACOMPANHAMENTO="BM"),ROUND(E81,4),E82/$S80)</f>
        <v>#DIV/0!</v>
      </c>
      <c r="F80" s="185" cm="1">
        <f t="array" aca="1" ref="F80" ca="1">IF(B80&lt;=ORÇAMENTO.MáximoListaCrono,MATCH(B80,ORÇAMENTO.ListaCrono,0),NA())</f>
        <v>86</v>
      </c>
      <c r="G80" s="185" t="str">
        <f t="shared" ref="G80" ca="1" si="136">IF(AND($F81&lt;&gt;-1,$S80&gt;0),"F","")</f>
        <v/>
      </c>
      <c r="H80" s="189" t="str" cm="1">
        <f t="array" aca="1" ref="H80" ca="1">IF(OR(S80=0,S80=""),"Linha",IF(AND(OR(ACOMPANHAMENTO="PLE",$R80&lt;&gt;2),$F81=0),"Linha",ROUND(1-SUM(U80:AS80),4)))</f>
        <v>Linha</v>
      </c>
      <c r="I80" s="190" t="str">
        <f ca="1">IF($F81=0,OFFSET(ORÇAMENTO!O$15,$F80,0),IF($F81&lt;&gt;-1,OFFSET(QCI!$D$13,$F81,0),""))</f>
        <v>7.5.</v>
      </c>
      <c r="J80" s="191" t="str">
        <f ca="1">IF($F81=0,OFFSET(ORÇAMENTO!R$15,$F80,0),IF($F81&lt;&gt;-1,OFFSET(QCI!$G$13,$F81,0),""))</f>
        <v>PINTURA</v>
      </c>
      <c r="K80" s="191"/>
      <c r="L80" s="191"/>
      <c r="M80" s="192">
        <f ca="1">IF($F81=0,OFFSET(ORÇAMENTO!C$15,$F80,0),1)</f>
        <v>2</v>
      </c>
      <c r="N80" s="193">
        <f ca="1">IF($F81=-1,0,IF(N$13&lt;=$M80,IF(ISERROR(MATCH(N$13,OFFSET($M80,1,0,ROW($M$164)-ROW($M80)-1),0)),ROW($M$164)-ROW($M80)-1,MATCH(N$13,OFFSET($M80,1,0,ROW($M$164)-ROW($M80)-1),0)-1),0))</f>
        <v>11</v>
      </c>
      <c r="O80" s="193">
        <f ca="1">IF($F81=-1,0,IF(O$13&lt;=$M80,IF(ISERROR(MATCH(O$13,OFFSET($M80,1,0,ROW($M$164)-ROW($M80)-1),0)),ROW($M$164)-ROW($M80)-1,MATCH(O$13,OFFSET($M80,1,0,ROW($M$164)-ROW($M80)-1),0)-1),0))</f>
        <v>14</v>
      </c>
      <c r="P80" s="193">
        <f ca="1">IF($F81=-1,0,IF(P$13&lt;=$M80,IF(ISERROR(MATCH(P$13,OFFSET($M80,1,0,ROW($M$164)-ROW($M80)-1),0)),ROW($M$164)-ROW($M80)-1,MATCH(P$13,OFFSET($M80,1,0,ROW($M$164)-ROW($M80)-1),0)-1),0))</f>
        <v>0</v>
      </c>
      <c r="Q80" s="193">
        <f ca="1">IF($F81=-1,0,IF(Q$13&lt;=$M80,IF(ISERROR(MATCH(Q$13,OFFSET($M80,1,0,ROW($M$164)-ROW($M80)-1),0)),ROW($M$164)-ROW($M80)-1,MATCH(Q$13,OFFSET($M80,1,0,ROW($M$164)-ROW($M80)-1),0)-1),0))</f>
        <v>0</v>
      </c>
      <c r="R80" s="193">
        <f t="shared" ref="R80" ca="1" si="137">MIN(OFFSET(M80,0,1,,M80))</f>
        <v>11</v>
      </c>
      <c r="S80" s="194">
        <f ca="1">IF($F81=0,OFFSET(ORÇAMENTO!X$15,$F80,0),IF($F81&lt;&gt;-1,OFFSET(QCI!$O$13,$F81,0),""))</f>
        <v>0</v>
      </c>
      <c r="T80" s="195" t="s">
        <v>785</v>
      </c>
      <c r="U80" s="188" t="e" cm="1">
        <f t="array" aca="1" ref="U80" ca="1">IF(AND($R80=2,ACOMPANHAMENTO="BM"),ROUND(U81,4),U82/$S80)</f>
        <v>#DIV/0!</v>
      </c>
      <c r="V80" s="188" t="e" cm="1">
        <f t="array" aca="1" ref="V80" ca="1">IF(AND($R80=2,ACOMPANHAMENTO="BM"),ROUND(V81,4),V82/$S80)</f>
        <v>#DIV/0!</v>
      </c>
      <c r="W80" s="188" t="e" cm="1">
        <f t="array" aca="1" ref="W80" ca="1">IF(AND($R80=2,ACOMPANHAMENTO="BM"),ROUND(W81,4),W82/$S80)</f>
        <v>#DIV/0!</v>
      </c>
      <c r="X80" s="188" t="e" cm="1">
        <f t="array" aca="1" ref="X80" ca="1">IF(AND($R80=2,ACOMPANHAMENTO="BM"),ROUND(X81,4),X82/$S80)</f>
        <v>#DIV/0!</v>
      </c>
      <c r="Y80" s="188" t="e" cm="1">
        <f t="array" aca="1" ref="Y80" ca="1">IF(AND($R80=2,ACOMPANHAMENTO="BM"),ROUND(Y81,4),Y82/$S80)</f>
        <v>#DIV/0!</v>
      </c>
      <c r="Z80" s="188" t="e" cm="1">
        <f t="array" aca="1" ref="Z80" ca="1">IF(AND($R80=2,ACOMPANHAMENTO="BM"),ROUND(Z81,4),Z82/$S80)</f>
        <v>#DIV/0!</v>
      </c>
      <c r="AA80" s="188" t="e" cm="1">
        <f t="array" aca="1" ref="AA80" ca="1">IF(AND($R80=2,ACOMPANHAMENTO="BM"),ROUND(AA81,4),AA82/$S80)</f>
        <v>#DIV/0!</v>
      </c>
      <c r="AB80" s="188" t="e" cm="1">
        <f t="array" aca="1" ref="AB80" ca="1">IF(AND($R80=2,ACOMPANHAMENTO="BM"),ROUND(AB81,4),AB82/$S80)</f>
        <v>#DIV/0!</v>
      </c>
      <c r="AC80" s="188" t="e" cm="1">
        <f t="array" aca="1" ref="AC80" ca="1">IF(AND($R80=2,ACOMPANHAMENTO="BM"),ROUND(AC81,4),AC82/$S80)</f>
        <v>#DIV/0!</v>
      </c>
      <c r="AD80" s="188" t="e" cm="1">
        <f t="array" aca="1" ref="AD80" ca="1">IF(AND($R80=2,ACOMPANHAMENTO="BM"),ROUND(AD81,4),AD82/$S80)</f>
        <v>#DIV/0!</v>
      </c>
      <c r="AE80" s="188" t="e" cm="1">
        <f t="array" aca="1" ref="AE80" ca="1">IF(AND($R80=2,ACOMPANHAMENTO="BM"),ROUND(AE81,4),AE82/$S80)</f>
        <v>#DIV/0!</v>
      </c>
      <c r="AF80" s="188" t="e" cm="1">
        <f t="array" aca="1" ref="AF80" ca="1">IF(AND($R80=2,ACOMPANHAMENTO="BM"),ROUND(AF81,4),AF82/$S80)</f>
        <v>#DIV/0!</v>
      </c>
      <c r="AG80" s="188" t="e" cm="1">
        <f t="array" aca="1" ref="AG80" ca="1">IF(AND($R80=2,ACOMPANHAMENTO="BM"),ROUND(AG81,4),AG82/$S80)</f>
        <v>#DIV/0!</v>
      </c>
      <c r="AH80" s="188" t="e" cm="1">
        <f t="array" aca="1" ref="AH80" ca="1">IF(AND($R80=2,ACOMPANHAMENTO="BM"),ROUND(AH81,4),AH82/$S80)</f>
        <v>#DIV/0!</v>
      </c>
      <c r="AI80" s="188" t="e" cm="1">
        <f t="array" aca="1" ref="AI80" ca="1">IF(AND($R80=2,ACOMPANHAMENTO="BM"),ROUND(AI81,4),AI82/$S80)</f>
        <v>#DIV/0!</v>
      </c>
      <c r="AJ80" s="188" t="e" cm="1">
        <f t="array" aca="1" ref="AJ80" ca="1">IF(AND($R80=2,ACOMPANHAMENTO="BM"),ROUND(AJ81,4),AJ82/$S80)</f>
        <v>#DIV/0!</v>
      </c>
      <c r="AK80" s="188" t="e" cm="1">
        <f t="array" aca="1" ref="AK80" ca="1">IF(AND($R80=2,ACOMPANHAMENTO="BM"),ROUND(AK81,4),AK82/$S80)</f>
        <v>#DIV/0!</v>
      </c>
      <c r="AL80" s="188" t="e" cm="1">
        <f t="array" aca="1" ref="AL80" ca="1">IF(AND($R80=2,ACOMPANHAMENTO="BM"),ROUND(AL81,4),AL82/$S80)</f>
        <v>#DIV/0!</v>
      </c>
      <c r="AM80" s="188" t="e" cm="1">
        <f t="array" aca="1" ref="AM80" ca="1">IF(AND($R80=2,ACOMPANHAMENTO="BM"),ROUND(AM81,4),AM82/$S80)</f>
        <v>#DIV/0!</v>
      </c>
      <c r="AN80" s="188" t="e" cm="1">
        <f t="array" aca="1" ref="AN80" ca="1">IF(AND($R80=2,ACOMPANHAMENTO="BM"),ROUND(AN81,4),AN82/$S80)</f>
        <v>#DIV/0!</v>
      </c>
      <c r="AO80" s="188" t="e" cm="1">
        <f t="array" aca="1" ref="AO80" ca="1">IF(AND($R80=2,ACOMPANHAMENTO="BM"),ROUND(AO81,4),AO82/$S80)</f>
        <v>#DIV/0!</v>
      </c>
      <c r="AP80" s="188" t="e" cm="1">
        <f t="array" aca="1" ref="AP80" ca="1">IF(AND($R80=2,ACOMPANHAMENTO="BM"),ROUND(AP81,4),AP82/$S80)</f>
        <v>#DIV/0!</v>
      </c>
      <c r="AQ80" s="188" t="e" cm="1">
        <f t="array" aca="1" ref="AQ80" ca="1">IF(AND($R80=2,ACOMPANHAMENTO="BM"),ROUND(AQ81,4),AQ82/$S80)</f>
        <v>#DIV/0!</v>
      </c>
      <c r="AR80" s="188" t="e" cm="1">
        <f t="array" aca="1" ref="AR80" ca="1">IF(AND($R80=2,ACOMPANHAMENTO="BM"),ROUND(AR81,4),AR82/$S80)</f>
        <v>#DIV/0!</v>
      </c>
      <c r="AS80" s="534"/>
    </row>
    <row r="81" spans="1:45" ht="12.75" hidden="1" customHeight="1" x14ac:dyDescent="0.2">
      <c r="E81" s="587"/>
      <c r="F81" s="185">
        <f ca="1">IF(ISERROR(F80),IF(1+COUNTIF($M$13:OFFSET(M80,-1,0),1)&lt;=MAX(QCI!$D$13:$D$24),1+COUNTIF($M$13:OFFSET(M80,-1,0),1),-1),0)</f>
        <v>0</v>
      </c>
      <c r="G81" s="185" t="str" cm="1">
        <f t="array" aca="1" ref="G81" ca="1">IF(ACOMPANHAMENTO="BM",OFFSET(G81,-1,0),"")</f>
        <v/>
      </c>
      <c r="H81" s="196" t="str" cm="1">
        <f t="array" aca="1" ref="H81" ca="1">IF(OR(S80=0,S80=""),"vazia",IF(AND(OR(ACOMPANHAMENTO="PLE",$R80&lt;&gt;2),$F81=0),"calculada","--&gt;"))</f>
        <v>vazia</v>
      </c>
      <c r="I81" s="197"/>
      <c r="J81" s="198" t="str">
        <f t="shared" ref="J81" ca="1" si="138">IF(AND(H80&lt;&gt;0,ISNUMBER(H80)),"PREENCHA ESTA LINHA --&gt;","")</f>
        <v/>
      </c>
      <c r="K81" s="198"/>
      <c r="L81" s="198"/>
      <c r="M81" s="199"/>
      <c r="N81" s="199"/>
      <c r="O81" s="199"/>
      <c r="P81" s="199"/>
      <c r="Q81" s="199"/>
      <c r="R81" s="199"/>
      <c r="S81" s="200"/>
      <c r="T81" s="201"/>
      <c r="U81" s="587"/>
      <c r="V81" s="587"/>
      <c r="W81" s="587"/>
      <c r="X81" s="587"/>
      <c r="Y81" s="587"/>
      <c r="Z81" s="587"/>
      <c r="AA81" s="587"/>
      <c r="AB81" s="587"/>
      <c r="AC81" s="587"/>
      <c r="AD81" s="587"/>
      <c r="AE81" s="587"/>
      <c r="AF81" s="587"/>
      <c r="AG81" s="587"/>
      <c r="AH81" s="587"/>
      <c r="AI81" s="587"/>
      <c r="AJ81" s="587"/>
      <c r="AK81" s="587"/>
      <c r="AL81" s="587"/>
      <c r="AM81" s="587"/>
      <c r="AN81" s="587"/>
      <c r="AO81" s="587"/>
      <c r="AP81" s="587"/>
      <c r="AQ81" s="587"/>
      <c r="AR81" s="587"/>
      <c r="AS81" s="534"/>
    </row>
    <row r="82" spans="1:45" ht="12.75" hidden="1" customHeight="1" x14ac:dyDescent="0.2">
      <c r="D82" s="533"/>
      <c r="E82" s="202" cm="1">
        <f t="array" aca="1" ref="E82" ca="1">IF($R80=2,
         IF(AND(ACOMPANHAMENTO="PLE",ISNUMBER($F80)),
                SUMIF((OFFSET(CÁLCULO!$BS$15:$CS$15,$F80,0,OFFSET(ORÇAMENTO!$D$15,CRONO!$F80,0))),CRONO!E$12,OFFSET(CÁLCULO!$AR$15:$BR$15,$F80,0,OFFSET(ORÇAMENTO!$D$15,CRONO!$F80,0)))
                +IF(AND($F82&lt;&gt;"",$F82&lt;&gt;0),
                        SUMIF(CÁLCULO!$BS$15:$CS$244,CRONO!E$12,CÁLCULO!$AR$15:$BR$244)/(ORÇAMENTO!$X$15-CÁLCULO.TotalAdmLocal)*CRONO!$F82,
                        0),
                 E81*$S80),
          SUMIF(OFFSET($S82,1,0,$R80-2),($M80+1)&amp;"$",OFFSET(E82,1,0,$R80-2)))</f>
        <v>0</v>
      </c>
      <c r="F82" s="185" t="str">
        <f ca="1">IF(OR($R80&lt;&gt;2,AUTOEVENTO&lt;&gt;"manual",$F81&gt;0),"",
        IF(Import.TipoArredondamento="Tradicional",
              SUMIF(OFFSET(CÁLCULO!$M$15,CRONO!$F80,0,OFFSET(ORÇAMENTO!$D$15,CRONO!$F80,0)),1,OFFSET(ORÇAMENTO!$X$15,CRONO!$F80,0,OFFSET(ORÇAMENTO!$D$15,CRONO!$F80,0))),
              0))</f>
        <v/>
      </c>
      <c r="H82" s="203"/>
      <c r="S82" s="204" t="str">
        <f t="shared" ref="S82" ca="1" si="139">M80&amp;"$"</f>
        <v>2$</v>
      </c>
      <c r="T82" s="205"/>
      <c r="U82" s="202" cm="1">
        <f t="array" aca="1" ref="U82" ca="1">IF($R80=2,
         IF(AND(ACOMPANHAMENTO="PLE",ISNUMBER($F80)),
                SUMIF((OFFSET(CÁLCULO!$BS$15:$CS$15,$F80,0,OFFSET(ORÇAMENTO!$D$15,CRONO!$F80,0))),CRONO!U$12,OFFSET(CÁLCULO!$AR$15:$BR$15,$F80,0,OFFSET(ORÇAMENTO!$D$15,CRONO!$F80,0)))
                +IF(AND($F82&lt;&gt;"",$F82&lt;&gt;0),
                        SUMIF(CÁLCULO!$BS$15:$CS$244,CRONO!U$12,CÁLCULO!$AR$15:$BR$244)/(ORÇAMENTO!$X$15-CÁLCULO.TotalAdmLocal)*CRONO!$F82,
                        0),
                 U81*$S80),
          SUMIF(OFFSET($S82,1,0,$R80-2),($M80+1)&amp;"$",OFFSET(U82,1,0,$R80-2)))</f>
        <v>0</v>
      </c>
      <c r="V82" s="202" cm="1">
        <f t="array" aca="1" ref="V82" ca="1">IF($R80=2,
         IF(AND(ACOMPANHAMENTO="PLE",ISNUMBER($F80)),
                SUMIF((OFFSET(CÁLCULO!$BS$15:$CS$15,$F80,0,OFFSET(ORÇAMENTO!$D$15,CRONO!$F80,0))),CRONO!V$12,OFFSET(CÁLCULO!$AR$15:$BR$15,$F80,0,OFFSET(ORÇAMENTO!$D$15,CRONO!$F80,0)))
                +IF(AND($F82&lt;&gt;"",$F82&lt;&gt;0),
                        SUMIF(CÁLCULO!$BS$15:$CS$244,CRONO!V$12,CÁLCULO!$AR$15:$BR$244)/(ORÇAMENTO!$X$15-CÁLCULO.TotalAdmLocal)*CRONO!$F82,
                        0),
                 V81*$S80),
          SUMIF(OFFSET($S82,1,0,$R80-2),($M80+1)&amp;"$",OFFSET(V82,1,0,$R80-2)))</f>
        <v>0</v>
      </c>
      <c r="W82" s="202" cm="1">
        <f t="array" aca="1" ref="W82" ca="1">IF($R80=2,
         IF(AND(ACOMPANHAMENTO="PLE",ISNUMBER($F80)),
                SUMIF((OFFSET(CÁLCULO!$BS$15:$CS$15,$F80,0,OFFSET(ORÇAMENTO!$D$15,CRONO!$F80,0))),CRONO!W$12,OFFSET(CÁLCULO!$AR$15:$BR$15,$F80,0,OFFSET(ORÇAMENTO!$D$15,CRONO!$F80,0)))
                +IF(AND($F82&lt;&gt;"",$F82&lt;&gt;0),
                        SUMIF(CÁLCULO!$BS$15:$CS$244,CRONO!W$12,CÁLCULO!$AR$15:$BR$244)/(ORÇAMENTO!$X$15-CÁLCULO.TotalAdmLocal)*CRONO!$F82,
                        0),
                 W81*$S80),
          SUMIF(OFFSET($S82,1,0,$R80-2),($M80+1)&amp;"$",OFFSET(W82,1,0,$R80-2)))</f>
        <v>0</v>
      </c>
      <c r="X82" s="202" cm="1">
        <f t="array" aca="1" ref="X82" ca="1">IF($R80=2,
         IF(AND(ACOMPANHAMENTO="PLE",ISNUMBER($F80)),
                SUMIF((OFFSET(CÁLCULO!$BS$15:$CS$15,$F80,0,OFFSET(ORÇAMENTO!$D$15,CRONO!$F80,0))),CRONO!X$12,OFFSET(CÁLCULO!$AR$15:$BR$15,$F80,0,OFFSET(ORÇAMENTO!$D$15,CRONO!$F80,0)))
                +IF(AND($F82&lt;&gt;"",$F82&lt;&gt;0),
                        SUMIF(CÁLCULO!$BS$15:$CS$244,CRONO!X$12,CÁLCULO!$AR$15:$BR$244)/(ORÇAMENTO!$X$15-CÁLCULO.TotalAdmLocal)*CRONO!$F82,
                        0),
                 X81*$S80),
          SUMIF(OFFSET($S82,1,0,$R80-2),($M80+1)&amp;"$",OFFSET(X82,1,0,$R80-2)))</f>
        <v>0</v>
      </c>
      <c r="Y82" s="202" cm="1">
        <f t="array" aca="1" ref="Y82" ca="1">IF($R80=2,
         IF(AND(ACOMPANHAMENTO="PLE",ISNUMBER($F80)),
                SUMIF((OFFSET(CÁLCULO!$BS$15:$CS$15,$F80,0,OFFSET(ORÇAMENTO!$D$15,CRONO!$F80,0))),CRONO!Y$12,OFFSET(CÁLCULO!$AR$15:$BR$15,$F80,0,OFFSET(ORÇAMENTO!$D$15,CRONO!$F80,0)))
                +IF(AND($F82&lt;&gt;"",$F82&lt;&gt;0),
                        SUMIF(CÁLCULO!$BS$15:$CS$244,CRONO!Y$12,CÁLCULO!$AR$15:$BR$244)/(ORÇAMENTO!$X$15-CÁLCULO.TotalAdmLocal)*CRONO!$F82,
                        0),
                 Y81*$S80),
          SUMIF(OFFSET($S82,1,0,$R80-2),($M80+1)&amp;"$",OFFSET(Y82,1,0,$R80-2)))</f>
        <v>0</v>
      </c>
      <c r="Z82" s="202" cm="1">
        <f t="array" aca="1" ref="Z82" ca="1">IF($R80=2,
         IF(AND(ACOMPANHAMENTO="PLE",ISNUMBER($F80)),
                SUMIF((OFFSET(CÁLCULO!$BS$15:$CS$15,$F80,0,OFFSET(ORÇAMENTO!$D$15,CRONO!$F80,0))),CRONO!Z$12,OFFSET(CÁLCULO!$AR$15:$BR$15,$F80,0,OFFSET(ORÇAMENTO!$D$15,CRONO!$F80,0)))
                +IF(AND($F82&lt;&gt;"",$F82&lt;&gt;0),
                        SUMIF(CÁLCULO!$BS$15:$CS$244,CRONO!Z$12,CÁLCULO!$AR$15:$BR$244)/(ORÇAMENTO!$X$15-CÁLCULO.TotalAdmLocal)*CRONO!$F82,
                        0),
                 Z81*$S80),
          SUMIF(OFFSET($S82,1,0,$R80-2),($M80+1)&amp;"$",OFFSET(Z82,1,0,$R80-2)))</f>
        <v>0</v>
      </c>
      <c r="AA82" s="202" cm="1">
        <f t="array" aca="1" ref="AA82" ca="1">IF($R80=2,
         IF(AND(ACOMPANHAMENTO="PLE",ISNUMBER($F80)),
                SUMIF((OFFSET(CÁLCULO!$BS$15:$CS$15,$F80,0,OFFSET(ORÇAMENTO!$D$15,CRONO!$F80,0))),CRONO!AA$12,OFFSET(CÁLCULO!$AR$15:$BR$15,$F80,0,OFFSET(ORÇAMENTO!$D$15,CRONO!$F80,0)))
                +IF(AND($F82&lt;&gt;"",$F82&lt;&gt;0),
                        SUMIF(CÁLCULO!$BS$15:$CS$244,CRONO!AA$12,CÁLCULO!$AR$15:$BR$244)/(ORÇAMENTO!$X$15-CÁLCULO.TotalAdmLocal)*CRONO!$F82,
                        0),
                 AA81*$S80),
          SUMIF(OFFSET($S82,1,0,$R80-2),($M80+1)&amp;"$",OFFSET(AA82,1,0,$R80-2)))</f>
        <v>0</v>
      </c>
      <c r="AB82" s="202" cm="1">
        <f t="array" aca="1" ref="AB82" ca="1">IF($R80=2,
         IF(AND(ACOMPANHAMENTO="PLE",ISNUMBER($F80)),
                SUMIF((OFFSET(CÁLCULO!$BS$15:$CS$15,$F80,0,OFFSET(ORÇAMENTO!$D$15,CRONO!$F80,0))),CRONO!AB$12,OFFSET(CÁLCULO!$AR$15:$BR$15,$F80,0,OFFSET(ORÇAMENTO!$D$15,CRONO!$F80,0)))
                +IF(AND($F82&lt;&gt;"",$F82&lt;&gt;0),
                        SUMIF(CÁLCULO!$BS$15:$CS$244,CRONO!AB$12,CÁLCULO!$AR$15:$BR$244)/(ORÇAMENTO!$X$15-CÁLCULO.TotalAdmLocal)*CRONO!$F82,
                        0),
                 AB81*$S80),
          SUMIF(OFFSET($S82,1,0,$R80-2),($M80+1)&amp;"$",OFFSET(AB82,1,0,$R80-2)))</f>
        <v>0</v>
      </c>
      <c r="AC82" s="202" cm="1">
        <f t="array" aca="1" ref="AC82" ca="1">IF($R80=2,
         IF(AND(ACOMPANHAMENTO="PLE",ISNUMBER($F80)),
                SUMIF((OFFSET(CÁLCULO!$BS$15:$CS$15,$F80,0,OFFSET(ORÇAMENTO!$D$15,CRONO!$F80,0))),CRONO!AC$12,OFFSET(CÁLCULO!$AR$15:$BR$15,$F80,0,OFFSET(ORÇAMENTO!$D$15,CRONO!$F80,0)))
                +IF(AND($F82&lt;&gt;"",$F82&lt;&gt;0),
                        SUMIF(CÁLCULO!$BS$15:$CS$244,CRONO!AC$12,CÁLCULO!$AR$15:$BR$244)/(ORÇAMENTO!$X$15-CÁLCULO.TotalAdmLocal)*CRONO!$F82,
                        0),
                 AC81*$S80),
          SUMIF(OFFSET($S82,1,0,$R80-2),($M80+1)&amp;"$",OFFSET(AC82,1,0,$R80-2)))</f>
        <v>0</v>
      </c>
      <c r="AD82" s="202" cm="1">
        <f t="array" aca="1" ref="AD82" ca="1">IF($R80=2,
         IF(AND(ACOMPANHAMENTO="PLE",ISNUMBER($F80)),
                SUMIF((OFFSET(CÁLCULO!$BS$15:$CS$15,$F80,0,OFFSET(ORÇAMENTO!$D$15,CRONO!$F80,0))),CRONO!AD$12,OFFSET(CÁLCULO!$AR$15:$BR$15,$F80,0,OFFSET(ORÇAMENTO!$D$15,CRONO!$F80,0)))
                +IF(AND($F82&lt;&gt;"",$F82&lt;&gt;0),
                        SUMIF(CÁLCULO!$BS$15:$CS$244,CRONO!AD$12,CÁLCULO!$AR$15:$BR$244)/(ORÇAMENTO!$X$15-CÁLCULO.TotalAdmLocal)*CRONO!$F82,
                        0),
                 AD81*$S80),
          SUMIF(OFFSET($S82,1,0,$R80-2),($M80+1)&amp;"$",OFFSET(AD82,1,0,$R80-2)))</f>
        <v>0</v>
      </c>
      <c r="AE82" s="202" cm="1">
        <f t="array" aca="1" ref="AE82" ca="1">IF($R80=2,
         IF(AND(ACOMPANHAMENTO="PLE",ISNUMBER($F80)),
                SUMIF((OFFSET(CÁLCULO!$BS$15:$CS$15,$F80,0,OFFSET(ORÇAMENTO!$D$15,CRONO!$F80,0))),CRONO!AE$12,OFFSET(CÁLCULO!$AR$15:$BR$15,$F80,0,OFFSET(ORÇAMENTO!$D$15,CRONO!$F80,0)))
                +IF(AND($F82&lt;&gt;"",$F82&lt;&gt;0),
                        SUMIF(CÁLCULO!$BS$15:$CS$244,CRONO!AE$12,CÁLCULO!$AR$15:$BR$244)/(ORÇAMENTO!$X$15-CÁLCULO.TotalAdmLocal)*CRONO!$F82,
                        0),
                 AE81*$S80),
          SUMIF(OFFSET($S82,1,0,$R80-2),($M80+1)&amp;"$",OFFSET(AE82,1,0,$R80-2)))</f>
        <v>0</v>
      </c>
      <c r="AF82" s="202" cm="1">
        <f t="array" aca="1" ref="AF82" ca="1">IF($R80=2,
         IF(AND(ACOMPANHAMENTO="PLE",ISNUMBER($F80)),
                SUMIF((OFFSET(CÁLCULO!$BS$15:$CS$15,$F80,0,OFFSET(ORÇAMENTO!$D$15,CRONO!$F80,0))),CRONO!AF$12,OFFSET(CÁLCULO!$AR$15:$BR$15,$F80,0,OFFSET(ORÇAMENTO!$D$15,CRONO!$F80,0)))
                +IF(AND($F82&lt;&gt;"",$F82&lt;&gt;0),
                        SUMIF(CÁLCULO!$BS$15:$CS$244,CRONO!AF$12,CÁLCULO!$AR$15:$BR$244)/(ORÇAMENTO!$X$15-CÁLCULO.TotalAdmLocal)*CRONO!$F82,
                        0),
                 AF81*$S80),
          SUMIF(OFFSET($S82,1,0,$R80-2),($M80+1)&amp;"$",OFFSET(AF82,1,0,$R80-2)))</f>
        <v>0</v>
      </c>
      <c r="AG82" s="202" cm="1">
        <f t="array" aca="1" ref="AG82" ca="1">IF($R80=2,
         IF(AND(ACOMPANHAMENTO="PLE",ISNUMBER($F80)),
                SUMIF((OFFSET(CÁLCULO!$BS$15:$CS$15,$F80,0,OFFSET(ORÇAMENTO!$D$15,CRONO!$F80,0))),CRONO!AG$12,OFFSET(CÁLCULO!$AR$15:$BR$15,$F80,0,OFFSET(ORÇAMENTO!$D$15,CRONO!$F80,0)))
                +IF(AND($F82&lt;&gt;"",$F82&lt;&gt;0),
                        SUMIF(CÁLCULO!$BS$15:$CS$244,CRONO!AG$12,CÁLCULO!$AR$15:$BR$244)/(ORÇAMENTO!$X$15-CÁLCULO.TotalAdmLocal)*CRONO!$F82,
                        0),
                 AG81*$S80),
          SUMIF(OFFSET($S82,1,0,$R80-2),($M80+1)&amp;"$",OFFSET(AG82,1,0,$R80-2)))</f>
        <v>0</v>
      </c>
      <c r="AH82" s="202" cm="1">
        <f t="array" aca="1" ref="AH82" ca="1">IF($R80=2,
         IF(AND(ACOMPANHAMENTO="PLE",ISNUMBER($F80)),
                SUMIF((OFFSET(CÁLCULO!$BS$15:$CS$15,$F80,0,OFFSET(ORÇAMENTO!$D$15,CRONO!$F80,0))),CRONO!AH$12,OFFSET(CÁLCULO!$AR$15:$BR$15,$F80,0,OFFSET(ORÇAMENTO!$D$15,CRONO!$F80,0)))
                +IF(AND($F82&lt;&gt;"",$F82&lt;&gt;0),
                        SUMIF(CÁLCULO!$BS$15:$CS$244,CRONO!AH$12,CÁLCULO!$AR$15:$BR$244)/(ORÇAMENTO!$X$15-CÁLCULO.TotalAdmLocal)*CRONO!$F82,
                        0),
                 AH81*$S80),
          SUMIF(OFFSET($S82,1,0,$R80-2),($M80+1)&amp;"$",OFFSET(AH82,1,0,$R80-2)))</f>
        <v>0</v>
      </c>
      <c r="AI82" s="202" cm="1">
        <f t="array" aca="1" ref="AI82" ca="1">IF($R80=2,
         IF(AND(ACOMPANHAMENTO="PLE",ISNUMBER($F80)),
                SUMIF((OFFSET(CÁLCULO!$BS$15:$CS$15,$F80,0,OFFSET(ORÇAMENTO!$D$15,CRONO!$F80,0))),CRONO!AI$12,OFFSET(CÁLCULO!$AR$15:$BR$15,$F80,0,OFFSET(ORÇAMENTO!$D$15,CRONO!$F80,0)))
                +IF(AND($F82&lt;&gt;"",$F82&lt;&gt;0),
                        SUMIF(CÁLCULO!$BS$15:$CS$244,CRONO!AI$12,CÁLCULO!$AR$15:$BR$244)/(ORÇAMENTO!$X$15-CÁLCULO.TotalAdmLocal)*CRONO!$F82,
                        0),
                 AI81*$S80),
          SUMIF(OFFSET($S82,1,0,$R80-2),($M80+1)&amp;"$",OFFSET(AI82,1,0,$R80-2)))</f>
        <v>0</v>
      </c>
      <c r="AJ82" s="202" cm="1">
        <f t="array" aca="1" ref="AJ82" ca="1">IF($R80=2,
         IF(AND(ACOMPANHAMENTO="PLE",ISNUMBER($F80)),
                SUMIF((OFFSET(CÁLCULO!$BS$15:$CS$15,$F80,0,OFFSET(ORÇAMENTO!$D$15,CRONO!$F80,0))),CRONO!AJ$12,OFFSET(CÁLCULO!$AR$15:$BR$15,$F80,0,OFFSET(ORÇAMENTO!$D$15,CRONO!$F80,0)))
                +IF(AND($F82&lt;&gt;"",$F82&lt;&gt;0),
                        SUMIF(CÁLCULO!$BS$15:$CS$244,CRONO!AJ$12,CÁLCULO!$AR$15:$BR$244)/(ORÇAMENTO!$X$15-CÁLCULO.TotalAdmLocal)*CRONO!$F82,
                        0),
                 AJ81*$S80),
          SUMIF(OFFSET($S82,1,0,$R80-2),($M80+1)&amp;"$",OFFSET(AJ82,1,0,$R80-2)))</f>
        <v>0</v>
      </c>
      <c r="AK82" s="202" cm="1">
        <f t="array" aca="1" ref="AK82" ca="1">IF($R80=2,
         IF(AND(ACOMPANHAMENTO="PLE",ISNUMBER($F80)),
                SUMIF((OFFSET(CÁLCULO!$BS$15:$CS$15,$F80,0,OFFSET(ORÇAMENTO!$D$15,CRONO!$F80,0))),CRONO!AK$12,OFFSET(CÁLCULO!$AR$15:$BR$15,$F80,0,OFFSET(ORÇAMENTO!$D$15,CRONO!$F80,0)))
                +IF(AND($F82&lt;&gt;"",$F82&lt;&gt;0),
                        SUMIF(CÁLCULO!$BS$15:$CS$244,CRONO!AK$12,CÁLCULO!$AR$15:$BR$244)/(ORÇAMENTO!$X$15-CÁLCULO.TotalAdmLocal)*CRONO!$F82,
                        0),
                 AK81*$S80),
          SUMIF(OFFSET($S82,1,0,$R80-2),($M80+1)&amp;"$",OFFSET(AK82,1,0,$R80-2)))</f>
        <v>0</v>
      </c>
      <c r="AL82" s="202" cm="1">
        <f t="array" aca="1" ref="AL82" ca="1">IF($R80=2,
         IF(AND(ACOMPANHAMENTO="PLE",ISNUMBER($F80)),
                SUMIF((OFFSET(CÁLCULO!$BS$15:$CS$15,$F80,0,OFFSET(ORÇAMENTO!$D$15,CRONO!$F80,0))),CRONO!AL$12,OFFSET(CÁLCULO!$AR$15:$BR$15,$F80,0,OFFSET(ORÇAMENTO!$D$15,CRONO!$F80,0)))
                +IF(AND($F82&lt;&gt;"",$F82&lt;&gt;0),
                        SUMIF(CÁLCULO!$BS$15:$CS$244,CRONO!AL$12,CÁLCULO!$AR$15:$BR$244)/(ORÇAMENTO!$X$15-CÁLCULO.TotalAdmLocal)*CRONO!$F82,
                        0),
                 AL81*$S80),
          SUMIF(OFFSET($S82,1,0,$R80-2),($M80+1)&amp;"$",OFFSET(AL82,1,0,$R80-2)))</f>
        <v>0</v>
      </c>
      <c r="AM82" s="202" cm="1">
        <f t="array" aca="1" ref="AM82" ca="1">IF($R80=2,
         IF(AND(ACOMPANHAMENTO="PLE",ISNUMBER($F80)),
                SUMIF((OFFSET(CÁLCULO!$BS$15:$CS$15,$F80,0,OFFSET(ORÇAMENTO!$D$15,CRONO!$F80,0))),CRONO!AM$12,OFFSET(CÁLCULO!$AR$15:$BR$15,$F80,0,OFFSET(ORÇAMENTO!$D$15,CRONO!$F80,0)))
                +IF(AND($F82&lt;&gt;"",$F82&lt;&gt;0),
                        SUMIF(CÁLCULO!$BS$15:$CS$244,CRONO!AM$12,CÁLCULO!$AR$15:$BR$244)/(ORÇAMENTO!$X$15-CÁLCULO.TotalAdmLocal)*CRONO!$F82,
                        0),
                 AM81*$S80),
          SUMIF(OFFSET($S82,1,0,$R80-2),($M80+1)&amp;"$",OFFSET(AM82,1,0,$R80-2)))</f>
        <v>0</v>
      </c>
      <c r="AN82" s="202" cm="1">
        <f t="array" aca="1" ref="AN82" ca="1">IF($R80=2,
         IF(AND(ACOMPANHAMENTO="PLE",ISNUMBER($F80)),
                SUMIF((OFFSET(CÁLCULO!$BS$15:$CS$15,$F80,0,OFFSET(ORÇAMENTO!$D$15,CRONO!$F80,0))),CRONO!AN$12,OFFSET(CÁLCULO!$AR$15:$BR$15,$F80,0,OFFSET(ORÇAMENTO!$D$15,CRONO!$F80,0)))
                +IF(AND($F82&lt;&gt;"",$F82&lt;&gt;0),
                        SUMIF(CÁLCULO!$BS$15:$CS$244,CRONO!AN$12,CÁLCULO!$AR$15:$BR$244)/(ORÇAMENTO!$X$15-CÁLCULO.TotalAdmLocal)*CRONO!$F82,
                        0),
                 AN81*$S80),
          SUMIF(OFFSET($S82,1,0,$R80-2),($M80+1)&amp;"$",OFFSET(AN82,1,0,$R80-2)))</f>
        <v>0</v>
      </c>
      <c r="AO82" s="202" cm="1">
        <f t="array" aca="1" ref="AO82" ca="1">IF($R80=2,
         IF(AND(ACOMPANHAMENTO="PLE",ISNUMBER($F80)),
                SUMIF((OFFSET(CÁLCULO!$BS$15:$CS$15,$F80,0,OFFSET(ORÇAMENTO!$D$15,CRONO!$F80,0))),CRONO!AO$12,OFFSET(CÁLCULO!$AR$15:$BR$15,$F80,0,OFFSET(ORÇAMENTO!$D$15,CRONO!$F80,0)))
                +IF(AND($F82&lt;&gt;"",$F82&lt;&gt;0),
                        SUMIF(CÁLCULO!$BS$15:$CS$244,CRONO!AO$12,CÁLCULO!$AR$15:$BR$244)/(ORÇAMENTO!$X$15-CÁLCULO.TotalAdmLocal)*CRONO!$F82,
                        0),
                 AO81*$S80),
          SUMIF(OFFSET($S82,1,0,$R80-2),($M80+1)&amp;"$",OFFSET(AO82,1,0,$R80-2)))</f>
        <v>0</v>
      </c>
      <c r="AP82" s="202" cm="1">
        <f t="array" aca="1" ref="AP82" ca="1">IF($R80=2,
         IF(AND(ACOMPANHAMENTO="PLE",ISNUMBER($F80)),
                SUMIF((OFFSET(CÁLCULO!$BS$15:$CS$15,$F80,0,OFFSET(ORÇAMENTO!$D$15,CRONO!$F80,0))),CRONO!AP$12,OFFSET(CÁLCULO!$AR$15:$BR$15,$F80,0,OFFSET(ORÇAMENTO!$D$15,CRONO!$F80,0)))
                +IF(AND($F82&lt;&gt;"",$F82&lt;&gt;0),
                        SUMIF(CÁLCULO!$BS$15:$CS$244,CRONO!AP$12,CÁLCULO!$AR$15:$BR$244)/(ORÇAMENTO!$X$15-CÁLCULO.TotalAdmLocal)*CRONO!$F82,
                        0),
                 AP81*$S80),
          SUMIF(OFFSET($S82,1,0,$R80-2),($M80+1)&amp;"$",OFFSET(AP82,1,0,$R80-2)))</f>
        <v>0</v>
      </c>
      <c r="AQ82" s="202" cm="1">
        <f t="array" aca="1" ref="AQ82" ca="1">IF($R80=2,
         IF(AND(ACOMPANHAMENTO="PLE",ISNUMBER($F80)),
                SUMIF((OFFSET(CÁLCULO!$BS$15:$CS$15,$F80,0,OFFSET(ORÇAMENTO!$D$15,CRONO!$F80,0))),CRONO!AQ$12,OFFSET(CÁLCULO!$AR$15:$BR$15,$F80,0,OFFSET(ORÇAMENTO!$D$15,CRONO!$F80,0)))
                +IF(AND($F82&lt;&gt;"",$F82&lt;&gt;0),
                        SUMIF(CÁLCULO!$BS$15:$CS$244,CRONO!AQ$12,CÁLCULO!$AR$15:$BR$244)/(ORÇAMENTO!$X$15-CÁLCULO.TotalAdmLocal)*CRONO!$F82,
                        0),
                 AQ81*$S80),
          SUMIF(OFFSET($S82,1,0,$R80-2),($M80+1)&amp;"$",OFFSET(AQ82,1,0,$R80-2)))</f>
        <v>0</v>
      </c>
      <c r="AR82" s="202" cm="1">
        <f t="array" aca="1" ref="AR82" ca="1">IF($R80=2,
         IF(AND(ACOMPANHAMENTO="PLE",ISNUMBER($F80)),
                SUMIF((OFFSET(CÁLCULO!$BS$15:$CS$15,$F80,0,OFFSET(ORÇAMENTO!$D$15,CRONO!$F80,0))),CRONO!AR$12,OFFSET(CÁLCULO!$AR$15:$BR$15,$F80,0,OFFSET(ORÇAMENTO!$D$15,CRONO!$F80,0)))
                +IF(AND($F82&lt;&gt;"",$F82&lt;&gt;0),
                        SUMIF(CÁLCULO!$BS$15:$CS$244,CRONO!AR$12,CÁLCULO!$AR$15:$BR$244)/(ORÇAMENTO!$X$15-CÁLCULO.TotalAdmLocal)*CRONO!$F82,
                        0),
                 AR81*$S80),
          SUMIF(OFFSET($S82,1,0,$R80-2),($M80+1)&amp;"$",OFFSET(AR82,1,0,$R80-2)))</f>
        <v>0</v>
      </c>
      <c r="AS82" s="534"/>
    </row>
    <row r="83" spans="1:45" x14ac:dyDescent="0.2">
      <c r="A83" s="186" t="e">
        <f t="shared" ref="A83" ca="1" si="140">IF($M83&gt;1,_xlfn.CONCAT($I83," ",$J83),"")</f>
        <v>#NAME?</v>
      </c>
      <c r="B83" s="185">
        <f t="shared" ref="B83" ca="1" si="141">OFFSET(B83,-3,0)+1</f>
        <v>24</v>
      </c>
      <c r="C83" s="185">
        <f ca="1">IF($R83&lt;&gt;2,0,IF($S83=0,1,IF(F84&gt;0,OFFSET(QCI!$M$13,SUBSTITUTE(F84,".",""),0),OFFSET(ORÇAMENTO!$AA$15,CRONO!$F83,0))/$S83))</f>
        <v>1</v>
      </c>
      <c r="D83" s="185">
        <f ca="1">IF($R83&lt;&gt;2,0,IF($S83=0,1,IF(F84&gt;0,OFFSET(QCI!$N$13,SUBSTITUTE(F84,".",""),0),OFFSET(ORÇAMENTO!$AB$15,CRONO!$F83,0))/$S83))</f>
        <v>1</v>
      </c>
      <c r="E83" s="188" t="e" cm="1">
        <f t="array" aca="1" ref="E83" ca="1">IF(AND($R83=2,ACOMPANHAMENTO="BM"),ROUND(E84,4),E85/$S83)</f>
        <v>#DIV/0!</v>
      </c>
      <c r="F83" s="185" cm="1">
        <f t="array" aca="1" ref="F83" ca="1">IF(B83&lt;=ORÇAMENTO.MáximoListaCrono,MATCH(B83,ORÇAMENTO.ListaCrono,0),NA())</f>
        <v>87</v>
      </c>
      <c r="G83" s="185" t="str">
        <f t="shared" ref="G83" ca="1" si="142">IF(AND($F84&lt;&gt;-1,$S83&gt;0),"F","")</f>
        <v/>
      </c>
      <c r="H83" s="189" t="str" cm="1">
        <f t="array" aca="1" ref="H83" ca="1">IF(OR(S83=0,S83=""),"Linha",IF(AND(OR(ACOMPANHAMENTO="PLE",$R83&lt;&gt;2),$F84=0),"Linha",ROUND(1-SUM(U83:AS83),4)))</f>
        <v>Linha</v>
      </c>
      <c r="I83" s="190" t="str">
        <f ca="1">IF($F84=0,OFFSET(ORÇAMENTO!O$15,$F83,0),IF($F84&lt;&gt;-1,OFFSET(QCI!$D$13,$F84,0),""))</f>
        <v>7.5.1.</v>
      </c>
      <c r="J83" s="191" t="str">
        <f ca="1">IF($F84=0,OFFSET(ORÇAMENTO!R$15,$F83,0),IF($F84&lt;&gt;-1,OFFSET(QCI!$G$13,$F84,0),""))</f>
        <v>PINTURAS INTERNAS</v>
      </c>
      <c r="K83" s="191"/>
      <c r="L83" s="191"/>
      <c r="M83" s="192">
        <f ca="1">IF($F84=0,OFFSET(ORÇAMENTO!C$15,$F83,0),1)</f>
        <v>3</v>
      </c>
      <c r="N83" s="193">
        <f ca="1">IF($F84=-1,0,IF(N$13&lt;=$M83,IF(ISERROR(MATCH(N$13,OFFSET($M83,1,0,ROW($M$164)-ROW($M83)-1),0)),ROW($M$164)-ROW($M83)-1,MATCH(N$13,OFFSET($M83,1,0,ROW($M$164)-ROW($M83)-1),0)-1),0))</f>
        <v>8</v>
      </c>
      <c r="O83" s="193">
        <f ca="1">IF($F84=-1,0,IF(O$13&lt;=$M83,IF(ISERROR(MATCH(O$13,OFFSET($M83,1,0,ROW($M$164)-ROW($M83)-1),0)),ROW($M$164)-ROW($M83)-1,MATCH(O$13,OFFSET($M83,1,0,ROW($M$164)-ROW($M83)-1),0)-1),0))</f>
        <v>11</v>
      </c>
      <c r="P83" s="193">
        <f ca="1">IF($F84=-1,0,IF(P$13&lt;=$M83,IF(ISERROR(MATCH(P$13,OFFSET($M83,1,0,ROW($M$164)-ROW($M83)-1),0)),ROW($M$164)-ROW($M83)-1,MATCH(P$13,OFFSET($M83,1,0,ROW($M$164)-ROW($M83)-1),0)-1),0))</f>
        <v>2</v>
      </c>
      <c r="Q83" s="193">
        <f ca="1">IF($F84=-1,0,IF(Q$13&lt;=$M83,IF(ISERROR(MATCH(Q$13,OFFSET($M83,1,0,ROW($M$164)-ROW($M83)-1),0)),ROW($M$164)-ROW($M83)-1,MATCH(Q$13,OFFSET($M83,1,0,ROW($M$164)-ROW($M83)-1),0)-1),0))</f>
        <v>0</v>
      </c>
      <c r="R83" s="193">
        <f t="shared" ref="R83" ca="1" si="143">MIN(OFFSET(M83,0,1,,M83))</f>
        <v>2</v>
      </c>
      <c r="S83" s="194">
        <f ca="1">IF($F84=0,OFFSET(ORÇAMENTO!X$15,$F83,0),IF($F84&lt;&gt;-1,OFFSET(QCI!$O$13,$F84,0),""))</f>
        <v>0</v>
      </c>
      <c r="T83" s="195" t="s">
        <v>785</v>
      </c>
      <c r="U83" s="188" t="e" cm="1">
        <f t="array" aca="1" ref="U83" ca="1">IF(AND($R83=2,ACOMPANHAMENTO="BM"),ROUND(U84,4),U85/$S83)</f>
        <v>#DIV/0!</v>
      </c>
      <c r="V83" s="188" t="e" cm="1">
        <f t="array" aca="1" ref="V83" ca="1">IF(AND($R83=2,ACOMPANHAMENTO="BM"),ROUND(V84,4),V85/$S83)</f>
        <v>#DIV/0!</v>
      </c>
      <c r="W83" s="188" t="e" cm="1">
        <f t="array" aca="1" ref="W83" ca="1">IF(AND($R83=2,ACOMPANHAMENTO="BM"),ROUND(W84,4),W85/$S83)</f>
        <v>#DIV/0!</v>
      </c>
      <c r="X83" s="188" t="e" cm="1">
        <f t="array" aca="1" ref="X83" ca="1">IF(AND($R83=2,ACOMPANHAMENTO="BM"),ROUND(X84,4),X85/$S83)</f>
        <v>#DIV/0!</v>
      </c>
      <c r="Y83" s="188" t="e" cm="1">
        <f t="array" aca="1" ref="Y83" ca="1">IF(AND($R83=2,ACOMPANHAMENTO="BM"),ROUND(Y84,4),Y85/$S83)</f>
        <v>#DIV/0!</v>
      </c>
      <c r="Z83" s="188" t="e" cm="1">
        <f t="array" aca="1" ref="Z83" ca="1">IF(AND($R83=2,ACOMPANHAMENTO="BM"),ROUND(Z84,4),Z85/$S83)</f>
        <v>#DIV/0!</v>
      </c>
      <c r="AA83" s="188" t="e" cm="1">
        <f t="array" aca="1" ref="AA83" ca="1">IF(AND($R83=2,ACOMPANHAMENTO="BM"),ROUND(AA84,4),AA85/$S83)</f>
        <v>#DIV/0!</v>
      </c>
      <c r="AB83" s="188" t="e" cm="1">
        <f t="array" aca="1" ref="AB83" ca="1">IF(AND($R83=2,ACOMPANHAMENTO="BM"),ROUND(AB84,4),AB85/$S83)</f>
        <v>#DIV/0!</v>
      </c>
      <c r="AC83" s="188" t="e" cm="1">
        <f t="array" aca="1" ref="AC83" ca="1">IF(AND($R83=2,ACOMPANHAMENTO="BM"),ROUND(AC84,4),AC85/$S83)</f>
        <v>#DIV/0!</v>
      </c>
      <c r="AD83" s="188" t="e" cm="1">
        <f t="array" aca="1" ref="AD83" ca="1">IF(AND($R83=2,ACOMPANHAMENTO="BM"),ROUND(AD84,4),AD85/$S83)</f>
        <v>#DIV/0!</v>
      </c>
      <c r="AE83" s="188" t="e" cm="1">
        <f t="array" aca="1" ref="AE83" ca="1">IF(AND($R83=2,ACOMPANHAMENTO="BM"),ROUND(AE84,4),AE85/$S83)</f>
        <v>#DIV/0!</v>
      </c>
      <c r="AF83" s="188" t="e" cm="1">
        <f t="array" aca="1" ref="AF83" ca="1">IF(AND($R83=2,ACOMPANHAMENTO="BM"),ROUND(AF84,4),AF85/$S83)</f>
        <v>#DIV/0!</v>
      </c>
      <c r="AG83" s="188" t="e" cm="1">
        <f t="array" aca="1" ref="AG83" ca="1">IF(AND($R83=2,ACOMPANHAMENTO="BM"),ROUND(AG84,4),AG85/$S83)</f>
        <v>#DIV/0!</v>
      </c>
      <c r="AH83" s="188" t="e" cm="1">
        <f t="array" aca="1" ref="AH83" ca="1">IF(AND($R83=2,ACOMPANHAMENTO="BM"),ROUND(AH84,4),AH85/$S83)</f>
        <v>#DIV/0!</v>
      </c>
      <c r="AI83" s="188" t="e" cm="1">
        <f t="array" aca="1" ref="AI83" ca="1">IF(AND($R83=2,ACOMPANHAMENTO="BM"),ROUND(AI84,4),AI85/$S83)</f>
        <v>#DIV/0!</v>
      </c>
      <c r="AJ83" s="188" t="e" cm="1">
        <f t="array" aca="1" ref="AJ83" ca="1">IF(AND($R83=2,ACOMPANHAMENTO="BM"),ROUND(AJ84,4),AJ85/$S83)</f>
        <v>#DIV/0!</v>
      </c>
      <c r="AK83" s="188" t="e" cm="1">
        <f t="array" aca="1" ref="AK83" ca="1">IF(AND($R83=2,ACOMPANHAMENTO="BM"),ROUND(AK84,4),AK85/$S83)</f>
        <v>#DIV/0!</v>
      </c>
      <c r="AL83" s="188" t="e" cm="1">
        <f t="array" aca="1" ref="AL83" ca="1">IF(AND($R83=2,ACOMPANHAMENTO="BM"),ROUND(AL84,4),AL85/$S83)</f>
        <v>#DIV/0!</v>
      </c>
      <c r="AM83" s="188" t="e" cm="1">
        <f t="array" aca="1" ref="AM83" ca="1">IF(AND($R83=2,ACOMPANHAMENTO="BM"),ROUND(AM84,4),AM85/$S83)</f>
        <v>#DIV/0!</v>
      </c>
      <c r="AN83" s="188" t="e" cm="1">
        <f t="array" aca="1" ref="AN83" ca="1">IF(AND($R83=2,ACOMPANHAMENTO="BM"),ROUND(AN84,4),AN85/$S83)</f>
        <v>#DIV/0!</v>
      </c>
      <c r="AO83" s="188" t="e" cm="1">
        <f t="array" aca="1" ref="AO83" ca="1">IF(AND($R83=2,ACOMPANHAMENTO="BM"),ROUND(AO84,4),AO85/$S83)</f>
        <v>#DIV/0!</v>
      </c>
      <c r="AP83" s="188" t="e" cm="1">
        <f t="array" aca="1" ref="AP83" ca="1">IF(AND($R83=2,ACOMPANHAMENTO="BM"),ROUND(AP84,4),AP85/$S83)</f>
        <v>#DIV/0!</v>
      </c>
      <c r="AQ83" s="188" t="e" cm="1">
        <f t="array" aca="1" ref="AQ83" ca="1">IF(AND($R83=2,ACOMPANHAMENTO="BM"),ROUND(AQ84,4),AQ85/$S83)</f>
        <v>#DIV/0!</v>
      </c>
      <c r="AR83" s="188" t="e" cm="1">
        <f t="array" aca="1" ref="AR83" ca="1">IF(AND($R83=2,ACOMPANHAMENTO="BM"),ROUND(AR84,4),AR85/$S83)</f>
        <v>#DIV/0!</v>
      </c>
      <c r="AS83" s="534"/>
    </row>
    <row r="84" spans="1:45" ht="12.75" hidden="1" customHeight="1" x14ac:dyDescent="0.2">
      <c r="E84" s="587"/>
      <c r="F84" s="185">
        <f ca="1">IF(ISERROR(F83),IF(1+COUNTIF($M$13:OFFSET(M83,-1,0),1)&lt;=MAX(QCI!$D$13:$D$24),1+COUNTIF($M$13:OFFSET(M83,-1,0),1),-1),0)</f>
        <v>0</v>
      </c>
      <c r="G84" s="185" t="str" cm="1">
        <f t="array" aca="1" ref="G84" ca="1">IF(ACOMPANHAMENTO="BM",OFFSET(G84,-1,0),"")</f>
        <v/>
      </c>
      <c r="H84" s="196" t="str" cm="1">
        <f t="array" aca="1" ref="H84" ca="1">IF(OR(S83=0,S83=""),"vazia",IF(AND(OR(ACOMPANHAMENTO="PLE",$R83&lt;&gt;2),$F84=0),"calculada","--&gt;"))</f>
        <v>vazia</v>
      </c>
      <c r="I84" s="197"/>
      <c r="J84" s="198" t="str">
        <f t="shared" ref="J84" ca="1" si="144">IF(AND(H83&lt;&gt;0,ISNUMBER(H83)),"PREENCHA ESTA LINHA --&gt;","")</f>
        <v/>
      </c>
      <c r="K84" s="198"/>
      <c r="L84" s="198"/>
      <c r="M84" s="199"/>
      <c r="N84" s="199"/>
      <c r="O84" s="199"/>
      <c r="P84" s="199"/>
      <c r="Q84" s="199"/>
      <c r="R84" s="199"/>
      <c r="S84" s="200"/>
      <c r="T84" s="201"/>
      <c r="U84" s="587"/>
      <c r="V84" s="587"/>
      <c r="W84" s="587"/>
      <c r="X84" s="587"/>
      <c r="Y84" s="587"/>
      <c r="Z84" s="587"/>
      <c r="AA84" s="587"/>
      <c r="AB84" s="587"/>
      <c r="AC84" s="587"/>
      <c r="AD84" s="587"/>
      <c r="AE84" s="587"/>
      <c r="AF84" s="587"/>
      <c r="AG84" s="587"/>
      <c r="AH84" s="587"/>
      <c r="AI84" s="587"/>
      <c r="AJ84" s="587"/>
      <c r="AK84" s="587"/>
      <c r="AL84" s="587"/>
      <c r="AM84" s="587"/>
      <c r="AN84" s="587"/>
      <c r="AO84" s="587"/>
      <c r="AP84" s="587"/>
      <c r="AQ84" s="587"/>
      <c r="AR84" s="587"/>
      <c r="AS84" s="534"/>
    </row>
    <row r="85" spans="1:45" ht="12.75" hidden="1" customHeight="1" x14ac:dyDescent="0.2">
      <c r="D85" s="533"/>
      <c r="E85" s="202" cm="1">
        <f t="array" aca="1" ref="E85" ca="1">IF($R83=2,
         IF(AND(ACOMPANHAMENTO="PLE",ISNUMBER($F83)),
                SUMIF((OFFSET(CÁLCULO!$BS$15:$CS$15,$F83,0,OFFSET(ORÇAMENTO!$D$15,CRONO!$F83,0))),CRONO!E$12,OFFSET(CÁLCULO!$AR$15:$BR$15,$F83,0,OFFSET(ORÇAMENTO!$D$15,CRONO!$F83,0)))
                +IF(AND($F85&lt;&gt;"",$F85&lt;&gt;0),
                        SUMIF(CÁLCULO!$BS$15:$CS$244,CRONO!E$12,CÁLCULO!$AR$15:$BR$244)/(ORÇAMENTO!$X$15-CÁLCULO.TotalAdmLocal)*CRONO!$F85,
                        0),
                 E84*$S83),
          SUMIF(OFFSET($S85,1,0,$R83-2),($M83+1)&amp;"$",OFFSET(E85,1,0,$R83-2)))</f>
        <v>0</v>
      </c>
      <c r="F85" s="185">
        <f ca="1">IF(OR($R83&lt;&gt;2,AUTOEVENTO&lt;&gt;"manual",$F84&gt;0),"",
        IF(Import.TipoArredondamento="Tradicional",
              SUMIF(OFFSET(CÁLCULO!$M$15,CRONO!$F83,0,OFFSET(ORÇAMENTO!$D$15,CRONO!$F83,0)),1,OFFSET(ORÇAMENTO!$X$15,CRONO!$F83,0,OFFSET(ORÇAMENTO!$D$15,CRONO!$F83,0))),
              0))</f>
        <v>0</v>
      </c>
      <c r="H85" s="203"/>
      <c r="S85" s="204" t="str">
        <f t="shared" ref="S85" ca="1" si="145">M83&amp;"$"</f>
        <v>3$</v>
      </c>
      <c r="T85" s="205"/>
      <c r="U85" s="202" cm="1">
        <f t="array" aca="1" ref="U85" ca="1">IF($R83=2,
         IF(AND(ACOMPANHAMENTO="PLE",ISNUMBER($F83)),
                SUMIF((OFFSET(CÁLCULO!$BS$15:$CS$15,$F83,0,OFFSET(ORÇAMENTO!$D$15,CRONO!$F83,0))),CRONO!U$12,OFFSET(CÁLCULO!$AR$15:$BR$15,$F83,0,OFFSET(ORÇAMENTO!$D$15,CRONO!$F83,0)))
                +IF(AND($F85&lt;&gt;"",$F85&lt;&gt;0),
                        SUMIF(CÁLCULO!$BS$15:$CS$244,CRONO!U$12,CÁLCULO!$AR$15:$BR$244)/(ORÇAMENTO!$X$15-CÁLCULO.TotalAdmLocal)*CRONO!$F85,
                        0),
                 U84*$S83),
          SUMIF(OFFSET($S85,1,0,$R83-2),($M83+1)&amp;"$",OFFSET(U85,1,0,$R83-2)))</f>
        <v>0</v>
      </c>
      <c r="V85" s="202" cm="1">
        <f t="array" aca="1" ref="V85" ca="1">IF($R83=2,
         IF(AND(ACOMPANHAMENTO="PLE",ISNUMBER($F83)),
                SUMIF((OFFSET(CÁLCULO!$BS$15:$CS$15,$F83,0,OFFSET(ORÇAMENTO!$D$15,CRONO!$F83,0))),CRONO!V$12,OFFSET(CÁLCULO!$AR$15:$BR$15,$F83,0,OFFSET(ORÇAMENTO!$D$15,CRONO!$F83,0)))
                +IF(AND($F85&lt;&gt;"",$F85&lt;&gt;0),
                        SUMIF(CÁLCULO!$BS$15:$CS$244,CRONO!V$12,CÁLCULO!$AR$15:$BR$244)/(ORÇAMENTO!$X$15-CÁLCULO.TotalAdmLocal)*CRONO!$F85,
                        0),
                 V84*$S83),
          SUMIF(OFFSET($S85,1,0,$R83-2),($M83+1)&amp;"$",OFFSET(V85,1,0,$R83-2)))</f>
        <v>0</v>
      </c>
      <c r="W85" s="202" cm="1">
        <f t="array" aca="1" ref="W85" ca="1">IF($R83=2,
         IF(AND(ACOMPANHAMENTO="PLE",ISNUMBER($F83)),
                SUMIF((OFFSET(CÁLCULO!$BS$15:$CS$15,$F83,0,OFFSET(ORÇAMENTO!$D$15,CRONO!$F83,0))),CRONO!W$12,OFFSET(CÁLCULO!$AR$15:$BR$15,$F83,0,OFFSET(ORÇAMENTO!$D$15,CRONO!$F83,0)))
                +IF(AND($F85&lt;&gt;"",$F85&lt;&gt;0),
                        SUMIF(CÁLCULO!$BS$15:$CS$244,CRONO!W$12,CÁLCULO!$AR$15:$BR$244)/(ORÇAMENTO!$X$15-CÁLCULO.TotalAdmLocal)*CRONO!$F85,
                        0),
                 W84*$S83),
          SUMIF(OFFSET($S85,1,0,$R83-2),($M83+1)&amp;"$",OFFSET(W85,1,0,$R83-2)))</f>
        <v>0</v>
      </c>
      <c r="X85" s="202" cm="1">
        <f t="array" aca="1" ref="X85" ca="1">IF($R83=2,
         IF(AND(ACOMPANHAMENTO="PLE",ISNUMBER($F83)),
                SUMIF((OFFSET(CÁLCULO!$BS$15:$CS$15,$F83,0,OFFSET(ORÇAMENTO!$D$15,CRONO!$F83,0))),CRONO!X$12,OFFSET(CÁLCULO!$AR$15:$BR$15,$F83,0,OFFSET(ORÇAMENTO!$D$15,CRONO!$F83,0)))
                +IF(AND($F85&lt;&gt;"",$F85&lt;&gt;0),
                        SUMIF(CÁLCULO!$BS$15:$CS$244,CRONO!X$12,CÁLCULO!$AR$15:$BR$244)/(ORÇAMENTO!$X$15-CÁLCULO.TotalAdmLocal)*CRONO!$F85,
                        0),
                 X84*$S83),
          SUMIF(OFFSET($S85,1,0,$R83-2),($M83+1)&amp;"$",OFFSET(X85,1,0,$R83-2)))</f>
        <v>0</v>
      </c>
      <c r="Y85" s="202" cm="1">
        <f t="array" aca="1" ref="Y85" ca="1">IF($R83=2,
         IF(AND(ACOMPANHAMENTO="PLE",ISNUMBER($F83)),
                SUMIF((OFFSET(CÁLCULO!$BS$15:$CS$15,$F83,0,OFFSET(ORÇAMENTO!$D$15,CRONO!$F83,0))),CRONO!Y$12,OFFSET(CÁLCULO!$AR$15:$BR$15,$F83,0,OFFSET(ORÇAMENTO!$D$15,CRONO!$F83,0)))
                +IF(AND($F85&lt;&gt;"",$F85&lt;&gt;0),
                        SUMIF(CÁLCULO!$BS$15:$CS$244,CRONO!Y$12,CÁLCULO!$AR$15:$BR$244)/(ORÇAMENTO!$X$15-CÁLCULO.TotalAdmLocal)*CRONO!$F85,
                        0),
                 Y84*$S83),
          SUMIF(OFFSET($S85,1,0,$R83-2),($M83+1)&amp;"$",OFFSET(Y85,1,0,$R83-2)))</f>
        <v>0</v>
      </c>
      <c r="Z85" s="202" cm="1">
        <f t="array" aca="1" ref="Z85" ca="1">IF($R83=2,
         IF(AND(ACOMPANHAMENTO="PLE",ISNUMBER($F83)),
                SUMIF((OFFSET(CÁLCULO!$BS$15:$CS$15,$F83,0,OFFSET(ORÇAMENTO!$D$15,CRONO!$F83,0))),CRONO!Z$12,OFFSET(CÁLCULO!$AR$15:$BR$15,$F83,0,OFFSET(ORÇAMENTO!$D$15,CRONO!$F83,0)))
                +IF(AND($F85&lt;&gt;"",$F85&lt;&gt;0),
                        SUMIF(CÁLCULO!$BS$15:$CS$244,CRONO!Z$12,CÁLCULO!$AR$15:$BR$244)/(ORÇAMENTO!$X$15-CÁLCULO.TotalAdmLocal)*CRONO!$F85,
                        0),
                 Z84*$S83),
          SUMIF(OFFSET($S85,1,0,$R83-2),($M83+1)&amp;"$",OFFSET(Z85,1,0,$R83-2)))</f>
        <v>0</v>
      </c>
      <c r="AA85" s="202" cm="1">
        <f t="array" aca="1" ref="AA85" ca="1">IF($R83=2,
         IF(AND(ACOMPANHAMENTO="PLE",ISNUMBER($F83)),
                SUMIF((OFFSET(CÁLCULO!$BS$15:$CS$15,$F83,0,OFFSET(ORÇAMENTO!$D$15,CRONO!$F83,0))),CRONO!AA$12,OFFSET(CÁLCULO!$AR$15:$BR$15,$F83,0,OFFSET(ORÇAMENTO!$D$15,CRONO!$F83,0)))
                +IF(AND($F85&lt;&gt;"",$F85&lt;&gt;0),
                        SUMIF(CÁLCULO!$BS$15:$CS$244,CRONO!AA$12,CÁLCULO!$AR$15:$BR$244)/(ORÇAMENTO!$X$15-CÁLCULO.TotalAdmLocal)*CRONO!$F85,
                        0),
                 AA84*$S83),
          SUMIF(OFFSET($S85,1,0,$R83-2),($M83+1)&amp;"$",OFFSET(AA85,1,0,$R83-2)))</f>
        <v>0</v>
      </c>
      <c r="AB85" s="202" cm="1">
        <f t="array" aca="1" ref="AB85" ca="1">IF($R83=2,
         IF(AND(ACOMPANHAMENTO="PLE",ISNUMBER($F83)),
                SUMIF((OFFSET(CÁLCULO!$BS$15:$CS$15,$F83,0,OFFSET(ORÇAMENTO!$D$15,CRONO!$F83,0))),CRONO!AB$12,OFFSET(CÁLCULO!$AR$15:$BR$15,$F83,0,OFFSET(ORÇAMENTO!$D$15,CRONO!$F83,0)))
                +IF(AND($F85&lt;&gt;"",$F85&lt;&gt;0),
                        SUMIF(CÁLCULO!$BS$15:$CS$244,CRONO!AB$12,CÁLCULO!$AR$15:$BR$244)/(ORÇAMENTO!$X$15-CÁLCULO.TotalAdmLocal)*CRONO!$F85,
                        0),
                 AB84*$S83),
          SUMIF(OFFSET($S85,1,0,$R83-2),($M83+1)&amp;"$",OFFSET(AB85,1,0,$R83-2)))</f>
        <v>0</v>
      </c>
      <c r="AC85" s="202" cm="1">
        <f t="array" aca="1" ref="AC85" ca="1">IF($R83=2,
         IF(AND(ACOMPANHAMENTO="PLE",ISNUMBER($F83)),
                SUMIF((OFFSET(CÁLCULO!$BS$15:$CS$15,$F83,0,OFFSET(ORÇAMENTO!$D$15,CRONO!$F83,0))),CRONO!AC$12,OFFSET(CÁLCULO!$AR$15:$BR$15,$F83,0,OFFSET(ORÇAMENTO!$D$15,CRONO!$F83,0)))
                +IF(AND($F85&lt;&gt;"",$F85&lt;&gt;0),
                        SUMIF(CÁLCULO!$BS$15:$CS$244,CRONO!AC$12,CÁLCULO!$AR$15:$BR$244)/(ORÇAMENTO!$X$15-CÁLCULO.TotalAdmLocal)*CRONO!$F85,
                        0),
                 AC84*$S83),
          SUMIF(OFFSET($S85,1,0,$R83-2),($M83+1)&amp;"$",OFFSET(AC85,1,0,$R83-2)))</f>
        <v>0</v>
      </c>
      <c r="AD85" s="202" cm="1">
        <f t="array" aca="1" ref="AD85" ca="1">IF($R83=2,
         IF(AND(ACOMPANHAMENTO="PLE",ISNUMBER($F83)),
                SUMIF((OFFSET(CÁLCULO!$BS$15:$CS$15,$F83,0,OFFSET(ORÇAMENTO!$D$15,CRONO!$F83,0))),CRONO!AD$12,OFFSET(CÁLCULO!$AR$15:$BR$15,$F83,0,OFFSET(ORÇAMENTO!$D$15,CRONO!$F83,0)))
                +IF(AND($F85&lt;&gt;"",$F85&lt;&gt;0),
                        SUMIF(CÁLCULO!$BS$15:$CS$244,CRONO!AD$12,CÁLCULO!$AR$15:$BR$244)/(ORÇAMENTO!$X$15-CÁLCULO.TotalAdmLocal)*CRONO!$F85,
                        0),
                 AD84*$S83),
          SUMIF(OFFSET($S85,1,0,$R83-2),($M83+1)&amp;"$",OFFSET(AD85,1,0,$R83-2)))</f>
        <v>0</v>
      </c>
      <c r="AE85" s="202" cm="1">
        <f t="array" aca="1" ref="AE85" ca="1">IF($R83=2,
         IF(AND(ACOMPANHAMENTO="PLE",ISNUMBER($F83)),
                SUMIF((OFFSET(CÁLCULO!$BS$15:$CS$15,$F83,0,OFFSET(ORÇAMENTO!$D$15,CRONO!$F83,0))),CRONO!AE$12,OFFSET(CÁLCULO!$AR$15:$BR$15,$F83,0,OFFSET(ORÇAMENTO!$D$15,CRONO!$F83,0)))
                +IF(AND($F85&lt;&gt;"",$F85&lt;&gt;0),
                        SUMIF(CÁLCULO!$BS$15:$CS$244,CRONO!AE$12,CÁLCULO!$AR$15:$BR$244)/(ORÇAMENTO!$X$15-CÁLCULO.TotalAdmLocal)*CRONO!$F85,
                        0),
                 AE84*$S83),
          SUMIF(OFFSET($S85,1,0,$R83-2),($M83+1)&amp;"$",OFFSET(AE85,1,0,$R83-2)))</f>
        <v>0</v>
      </c>
      <c r="AF85" s="202" cm="1">
        <f t="array" aca="1" ref="AF85" ca="1">IF($R83=2,
         IF(AND(ACOMPANHAMENTO="PLE",ISNUMBER($F83)),
                SUMIF((OFFSET(CÁLCULO!$BS$15:$CS$15,$F83,0,OFFSET(ORÇAMENTO!$D$15,CRONO!$F83,0))),CRONO!AF$12,OFFSET(CÁLCULO!$AR$15:$BR$15,$F83,0,OFFSET(ORÇAMENTO!$D$15,CRONO!$F83,0)))
                +IF(AND($F85&lt;&gt;"",$F85&lt;&gt;0),
                        SUMIF(CÁLCULO!$BS$15:$CS$244,CRONO!AF$12,CÁLCULO!$AR$15:$BR$244)/(ORÇAMENTO!$X$15-CÁLCULO.TotalAdmLocal)*CRONO!$F85,
                        0),
                 AF84*$S83),
          SUMIF(OFFSET($S85,1,0,$R83-2),($M83+1)&amp;"$",OFFSET(AF85,1,0,$R83-2)))</f>
        <v>0</v>
      </c>
      <c r="AG85" s="202" cm="1">
        <f t="array" aca="1" ref="AG85" ca="1">IF($R83=2,
         IF(AND(ACOMPANHAMENTO="PLE",ISNUMBER($F83)),
                SUMIF((OFFSET(CÁLCULO!$BS$15:$CS$15,$F83,0,OFFSET(ORÇAMENTO!$D$15,CRONO!$F83,0))),CRONO!AG$12,OFFSET(CÁLCULO!$AR$15:$BR$15,$F83,0,OFFSET(ORÇAMENTO!$D$15,CRONO!$F83,0)))
                +IF(AND($F85&lt;&gt;"",$F85&lt;&gt;0),
                        SUMIF(CÁLCULO!$BS$15:$CS$244,CRONO!AG$12,CÁLCULO!$AR$15:$BR$244)/(ORÇAMENTO!$X$15-CÁLCULO.TotalAdmLocal)*CRONO!$F85,
                        0),
                 AG84*$S83),
          SUMIF(OFFSET($S85,1,0,$R83-2),($M83+1)&amp;"$",OFFSET(AG85,1,0,$R83-2)))</f>
        <v>0</v>
      </c>
      <c r="AH85" s="202" cm="1">
        <f t="array" aca="1" ref="AH85" ca="1">IF($R83=2,
         IF(AND(ACOMPANHAMENTO="PLE",ISNUMBER($F83)),
                SUMIF((OFFSET(CÁLCULO!$BS$15:$CS$15,$F83,0,OFFSET(ORÇAMENTO!$D$15,CRONO!$F83,0))),CRONO!AH$12,OFFSET(CÁLCULO!$AR$15:$BR$15,$F83,0,OFFSET(ORÇAMENTO!$D$15,CRONO!$F83,0)))
                +IF(AND($F85&lt;&gt;"",$F85&lt;&gt;0),
                        SUMIF(CÁLCULO!$BS$15:$CS$244,CRONO!AH$12,CÁLCULO!$AR$15:$BR$244)/(ORÇAMENTO!$X$15-CÁLCULO.TotalAdmLocal)*CRONO!$F85,
                        0),
                 AH84*$S83),
          SUMIF(OFFSET($S85,1,0,$R83-2),($M83+1)&amp;"$",OFFSET(AH85,1,0,$R83-2)))</f>
        <v>0</v>
      </c>
      <c r="AI85" s="202" cm="1">
        <f t="array" aca="1" ref="AI85" ca="1">IF($R83=2,
         IF(AND(ACOMPANHAMENTO="PLE",ISNUMBER($F83)),
                SUMIF((OFFSET(CÁLCULO!$BS$15:$CS$15,$F83,0,OFFSET(ORÇAMENTO!$D$15,CRONO!$F83,0))),CRONO!AI$12,OFFSET(CÁLCULO!$AR$15:$BR$15,$F83,0,OFFSET(ORÇAMENTO!$D$15,CRONO!$F83,0)))
                +IF(AND($F85&lt;&gt;"",$F85&lt;&gt;0),
                        SUMIF(CÁLCULO!$BS$15:$CS$244,CRONO!AI$12,CÁLCULO!$AR$15:$BR$244)/(ORÇAMENTO!$X$15-CÁLCULO.TotalAdmLocal)*CRONO!$F85,
                        0),
                 AI84*$S83),
          SUMIF(OFFSET($S85,1,0,$R83-2),($M83+1)&amp;"$",OFFSET(AI85,1,0,$R83-2)))</f>
        <v>0</v>
      </c>
      <c r="AJ85" s="202" cm="1">
        <f t="array" aca="1" ref="AJ85" ca="1">IF($R83=2,
         IF(AND(ACOMPANHAMENTO="PLE",ISNUMBER($F83)),
                SUMIF((OFFSET(CÁLCULO!$BS$15:$CS$15,$F83,0,OFFSET(ORÇAMENTO!$D$15,CRONO!$F83,0))),CRONO!AJ$12,OFFSET(CÁLCULO!$AR$15:$BR$15,$F83,0,OFFSET(ORÇAMENTO!$D$15,CRONO!$F83,0)))
                +IF(AND($F85&lt;&gt;"",$F85&lt;&gt;0),
                        SUMIF(CÁLCULO!$BS$15:$CS$244,CRONO!AJ$12,CÁLCULO!$AR$15:$BR$244)/(ORÇAMENTO!$X$15-CÁLCULO.TotalAdmLocal)*CRONO!$F85,
                        0),
                 AJ84*$S83),
          SUMIF(OFFSET($S85,1,0,$R83-2),($M83+1)&amp;"$",OFFSET(AJ85,1,0,$R83-2)))</f>
        <v>0</v>
      </c>
      <c r="AK85" s="202" cm="1">
        <f t="array" aca="1" ref="AK85" ca="1">IF($R83=2,
         IF(AND(ACOMPANHAMENTO="PLE",ISNUMBER($F83)),
                SUMIF((OFFSET(CÁLCULO!$BS$15:$CS$15,$F83,0,OFFSET(ORÇAMENTO!$D$15,CRONO!$F83,0))),CRONO!AK$12,OFFSET(CÁLCULO!$AR$15:$BR$15,$F83,0,OFFSET(ORÇAMENTO!$D$15,CRONO!$F83,0)))
                +IF(AND($F85&lt;&gt;"",$F85&lt;&gt;0),
                        SUMIF(CÁLCULO!$BS$15:$CS$244,CRONO!AK$12,CÁLCULO!$AR$15:$BR$244)/(ORÇAMENTO!$X$15-CÁLCULO.TotalAdmLocal)*CRONO!$F85,
                        0),
                 AK84*$S83),
          SUMIF(OFFSET($S85,1,0,$R83-2),($M83+1)&amp;"$",OFFSET(AK85,1,0,$R83-2)))</f>
        <v>0</v>
      </c>
      <c r="AL85" s="202" cm="1">
        <f t="array" aca="1" ref="AL85" ca="1">IF($R83=2,
         IF(AND(ACOMPANHAMENTO="PLE",ISNUMBER($F83)),
                SUMIF((OFFSET(CÁLCULO!$BS$15:$CS$15,$F83,0,OFFSET(ORÇAMENTO!$D$15,CRONO!$F83,0))),CRONO!AL$12,OFFSET(CÁLCULO!$AR$15:$BR$15,$F83,0,OFFSET(ORÇAMENTO!$D$15,CRONO!$F83,0)))
                +IF(AND($F85&lt;&gt;"",$F85&lt;&gt;0),
                        SUMIF(CÁLCULO!$BS$15:$CS$244,CRONO!AL$12,CÁLCULO!$AR$15:$BR$244)/(ORÇAMENTO!$X$15-CÁLCULO.TotalAdmLocal)*CRONO!$F85,
                        0),
                 AL84*$S83),
          SUMIF(OFFSET($S85,1,0,$R83-2),($M83+1)&amp;"$",OFFSET(AL85,1,0,$R83-2)))</f>
        <v>0</v>
      </c>
      <c r="AM85" s="202" cm="1">
        <f t="array" aca="1" ref="AM85" ca="1">IF($R83=2,
         IF(AND(ACOMPANHAMENTO="PLE",ISNUMBER($F83)),
                SUMIF((OFFSET(CÁLCULO!$BS$15:$CS$15,$F83,0,OFFSET(ORÇAMENTO!$D$15,CRONO!$F83,0))),CRONO!AM$12,OFFSET(CÁLCULO!$AR$15:$BR$15,$F83,0,OFFSET(ORÇAMENTO!$D$15,CRONO!$F83,0)))
                +IF(AND($F85&lt;&gt;"",$F85&lt;&gt;0),
                        SUMIF(CÁLCULO!$BS$15:$CS$244,CRONO!AM$12,CÁLCULO!$AR$15:$BR$244)/(ORÇAMENTO!$X$15-CÁLCULO.TotalAdmLocal)*CRONO!$F85,
                        0),
                 AM84*$S83),
          SUMIF(OFFSET($S85,1,0,$R83-2),($M83+1)&amp;"$",OFFSET(AM85,1,0,$R83-2)))</f>
        <v>0</v>
      </c>
      <c r="AN85" s="202" cm="1">
        <f t="array" aca="1" ref="AN85" ca="1">IF($R83=2,
         IF(AND(ACOMPANHAMENTO="PLE",ISNUMBER($F83)),
                SUMIF((OFFSET(CÁLCULO!$BS$15:$CS$15,$F83,0,OFFSET(ORÇAMENTO!$D$15,CRONO!$F83,0))),CRONO!AN$12,OFFSET(CÁLCULO!$AR$15:$BR$15,$F83,0,OFFSET(ORÇAMENTO!$D$15,CRONO!$F83,0)))
                +IF(AND($F85&lt;&gt;"",$F85&lt;&gt;0),
                        SUMIF(CÁLCULO!$BS$15:$CS$244,CRONO!AN$12,CÁLCULO!$AR$15:$BR$244)/(ORÇAMENTO!$X$15-CÁLCULO.TotalAdmLocal)*CRONO!$F85,
                        0),
                 AN84*$S83),
          SUMIF(OFFSET($S85,1,0,$R83-2),($M83+1)&amp;"$",OFFSET(AN85,1,0,$R83-2)))</f>
        <v>0</v>
      </c>
      <c r="AO85" s="202" cm="1">
        <f t="array" aca="1" ref="AO85" ca="1">IF($R83=2,
         IF(AND(ACOMPANHAMENTO="PLE",ISNUMBER($F83)),
                SUMIF((OFFSET(CÁLCULO!$BS$15:$CS$15,$F83,0,OFFSET(ORÇAMENTO!$D$15,CRONO!$F83,0))),CRONO!AO$12,OFFSET(CÁLCULO!$AR$15:$BR$15,$F83,0,OFFSET(ORÇAMENTO!$D$15,CRONO!$F83,0)))
                +IF(AND($F85&lt;&gt;"",$F85&lt;&gt;0),
                        SUMIF(CÁLCULO!$BS$15:$CS$244,CRONO!AO$12,CÁLCULO!$AR$15:$BR$244)/(ORÇAMENTO!$X$15-CÁLCULO.TotalAdmLocal)*CRONO!$F85,
                        0),
                 AO84*$S83),
          SUMIF(OFFSET($S85,1,0,$R83-2),($M83+1)&amp;"$",OFFSET(AO85,1,0,$R83-2)))</f>
        <v>0</v>
      </c>
      <c r="AP85" s="202" cm="1">
        <f t="array" aca="1" ref="AP85" ca="1">IF($R83=2,
         IF(AND(ACOMPANHAMENTO="PLE",ISNUMBER($F83)),
                SUMIF((OFFSET(CÁLCULO!$BS$15:$CS$15,$F83,0,OFFSET(ORÇAMENTO!$D$15,CRONO!$F83,0))),CRONO!AP$12,OFFSET(CÁLCULO!$AR$15:$BR$15,$F83,0,OFFSET(ORÇAMENTO!$D$15,CRONO!$F83,0)))
                +IF(AND($F85&lt;&gt;"",$F85&lt;&gt;0),
                        SUMIF(CÁLCULO!$BS$15:$CS$244,CRONO!AP$12,CÁLCULO!$AR$15:$BR$244)/(ORÇAMENTO!$X$15-CÁLCULO.TotalAdmLocal)*CRONO!$F85,
                        0),
                 AP84*$S83),
          SUMIF(OFFSET($S85,1,0,$R83-2),($M83+1)&amp;"$",OFFSET(AP85,1,0,$R83-2)))</f>
        <v>0</v>
      </c>
      <c r="AQ85" s="202" cm="1">
        <f t="array" aca="1" ref="AQ85" ca="1">IF($R83=2,
         IF(AND(ACOMPANHAMENTO="PLE",ISNUMBER($F83)),
                SUMIF((OFFSET(CÁLCULO!$BS$15:$CS$15,$F83,0,OFFSET(ORÇAMENTO!$D$15,CRONO!$F83,0))),CRONO!AQ$12,OFFSET(CÁLCULO!$AR$15:$BR$15,$F83,0,OFFSET(ORÇAMENTO!$D$15,CRONO!$F83,0)))
                +IF(AND($F85&lt;&gt;"",$F85&lt;&gt;0),
                        SUMIF(CÁLCULO!$BS$15:$CS$244,CRONO!AQ$12,CÁLCULO!$AR$15:$BR$244)/(ORÇAMENTO!$X$15-CÁLCULO.TotalAdmLocal)*CRONO!$F85,
                        0),
                 AQ84*$S83),
          SUMIF(OFFSET($S85,1,0,$R83-2),($M83+1)&amp;"$",OFFSET(AQ85,1,0,$R83-2)))</f>
        <v>0</v>
      </c>
      <c r="AR85" s="202" cm="1">
        <f t="array" aca="1" ref="AR85" ca="1">IF($R83=2,
         IF(AND(ACOMPANHAMENTO="PLE",ISNUMBER($F83)),
                SUMIF((OFFSET(CÁLCULO!$BS$15:$CS$15,$F83,0,OFFSET(ORÇAMENTO!$D$15,CRONO!$F83,0))),CRONO!AR$12,OFFSET(CÁLCULO!$AR$15:$BR$15,$F83,0,OFFSET(ORÇAMENTO!$D$15,CRONO!$F83,0)))
                +IF(AND($F85&lt;&gt;"",$F85&lt;&gt;0),
                        SUMIF(CÁLCULO!$BS$15:$CS$244,CRONO!AR$12,CÁLCULO!$AR$15:$BR$244)/(ORÇAMENTO!$X$15-CÁLCULO.TotalAdmLocal)*CRONO!$F85,
                        0),
                 AR84*$S83),
          SUMIF(OFFSET($S85,1,0,$R83-2),($M83+1)&amp;"$",OFFSET(AR85,1,0,$R83-2)))</f>
        <v>0</v>
      </c>
      <c r="AS85" s="534"/>
    </row>
    <row r="86" spans="1:45" x14ac:dyDescent="0.2">
      <c r="A86" s="186" t="e">
        <f t="shared" ref="A86" ca="1" si="146">IF($M86&gt;1,_xlfn.CONCAT($I86," ",$J86),"")</f>
        <v>#NAME?</v>
      </c>
      <c r="B86" s="185">
        <f t="shared" ref="B86" ca="1" si="147">OFFSET(B86,-3,0)+1</f>
        <v>25</v>
      </c>
      <c r="C86" s="185">
        <f ca="1">IF($R86&lt;&gt;2,0,IF($S86=0,1,IF(F87&gt;0,OFFSET(QCI!$M$13,SUBSTITUTE(F87,".",""),0),OFFSET(ORÇAMENTO!$AA$15,CRONO!$F86,0))/$S86))</f>
        <v>1</v>
      </c>
      <c r="D86" s="185">
        <f ca="1">IF($R86&lt;&gt;2,0,IF($S86=0,1,IF(F87&gt;0,OFFSET(QCI!$N$13,SUBSTITUTE(F87,".",""),0),OFFSET(ORÇAMENTO!$AB$15,CRONO!$F86,0))/$S86))</f>
        <v>1</v>
      </c>
      <c r="E86" s="188" t="e" cm="1">
        <f t="array" aca="1" ref="E86" ca="1">IF(AND($R86=2,ACOMPANHAMENTO="BM"),ROUND(E87,4),E88/$S86)</f>
        <v>#DIV/0!</v>
      </c>
      <c r="F86" s="185" cm="1">
        <f t="array" aca="1" ref="F86" ca="1">IF(B86&lt;=ORÇAMENTO.MáximoListaCrono,MATCH(B86,ORÇAMENTO.ListaCrono,0),NA())</f>
        <v>92</v>
      </c>
      <c r="G86" s="185" t="str">
        <f t="shared" ref="G86" ca="1" si="148">IF(AND($F87&lt;&gt;-1,$S86&gt;0),"F","")</f>
        <v/>
      </c>
      <c r="H86" s="189" t="str" cm="1">
        <f t="array" aca="1" ref="H86" ca="1">IF(OR(S86=0,S86=""),"Linha",IF(AND(OR(ACOMPANHAMENTO="PLE",$R86&lt;&gt;2),$F87=0),"Linha",ROUND(1-SUM(U86:AS86),4)))</f>
        <v>Linha</v>
      </c>
      <c r="I86" s="190" t="str">
        <f ca="1">IF($F87=0,OFFSET(ORÇAMENTO!O$15,$F86,0),IF($F87&lt;&gt;-1,OFFSET(QCI!$D$13,$F87,0),""))</f>
        <v>7.5.2.</v>
      </c>
      <c r="J86" s="191" t="str">
        <f ca="1">IF($F87=0,OFFSET(ORÇAMENTO!R$15,$F86,0),IF($F87&lt;&gt;-1,OFFSET(QCI!$G$13,$F87,0),""))</f>
        <v>PINTURAS EXTERNAS</v>
      </c>
      <c r="K86" s="191"/>
      <c r="L86" s="191"/>
      <c r="M86" s="192">
        <f ca="1">IF($F87=0,OFFSET(ORÇAMENTO!C$15,$F86,0),1)</f>
        <v>3</v>
      </c>
      <c r="N86" s="193">
        <f ca="1">IF($F87=-1,0,IF(N$13&lt;=$M86,IF(ISERROR(MATCH(N$13,OFFSET($M86,1,0,ROW($M$164)-ROW($M86)-1),0)),ROW($M$164)-ROW($M86)-1,MATCH(N$13,OFFSET($M86,1,0,ROW($M$164)-ROW($M86)-1),0)-1),0))</f>
        <v>5</v>
      </c>
      <c r="O86" s="193">
        <f ca="1">IF($F87=-1,0,IF(O$13&lt;=$M86,IF(ISERROR(MATCH(O$13,OFFSET($M86,1,0,ROW($M$164)-ROW($M86)-1),0)),ROW($M$164)-ROW($M86)-1,MATCH(O$13,OFFSET($M86,1,0,ROW($M$164)-ROW($M86)-1),0)-1),0))</f>
        <v>8</v>
      </c>
      <c r="P86" s="193">
        <f ca="1">IF($F87=-1,0,IF(P$13&lt;=$M86,IF(ISERROR(MATCH(P$13,OFFSET($M86,1,0,ROW($M$164)-ROW($M86)-1),0)),ROW($M$164)-ROW($M86)-1,MATCH(P$13,OFFSET($M86,1,0,ROW($M$164)-ROW($M86)-1),0)-1),0))</f>
        <v>2</v>
      </c>
      <c r="Q86" s="193">
        <f ca="1">IF($F87=-1,0,IF(Q$13&lt;=$M86,IF(ISERROR(MATCH(Q$13,OFFSET($M86,1,0,ROW($M$164)-ROW($M86)-1),0)),ROW($M$164)-ROW($M86)-1,MATCH(Q$13,OFFSET($M86,1,0,ROW($M$164)-ROW($M86)-1),0)-1),0))</f>
        <v>0</v>
      </c>
      <c r="R86" s="193">
        <f t="shared" ref="R86" ca="1" si="149">MIN(OFFSET(M86,0,1,,M86))</f>
        <v>2</v>
      </c>
      <c r="S86" s="194">
        <f ca="1">IF($F87=0,OFFSET(ORÇAMENTO!X$15,$F86,0),IF($F87&lt;&gt;-1,OFFSET(QCI!$O$13,$F87,0),""))</f>
        <v>0</v>
      </c>
      <c r="T86" s="195" t="s">
        <v>785</v>
      </c>
      <c r="U86" s="188" t="e" cm="1">
        <f t="array" aca="1" ref="U86" ca="1">IF(AND($R86=2,ACOMPANHAMENTO="BM"),ROUND(U87,4),U88/$S86)</f>
        <v>#DIV/0!</v>
      </c>
      <c r="V86" s="188" t="e" cm="1">
        <f t="array" aca="1" ref="V86" ca="1">IF(AND($R86=2,ACOMPANHAMENTO="BM"),ROUND(V87,4),V88/$S86)</f>
        <v>#DIV/0!</v>
      </c>
      <c r="W86" s="188" t="e" cm="1">
        <f t="array" aca="1" ref="W86" ca="1">IF(AND($R86=2,ACOMPANHAMENTO="BM"),ROUND(W87,4),W88/$S86)</f>
        <v>#DIV/0!</v>
      </c>
      <c r="X86" s="188" t="e" cm="1">
        <f t="array" aca="1" ref="X86" ca="1">IF(AND($R86=2,ACOMPANHAMENTO="BM"),ROUND(X87,4),X88/$S86)</f>
        <v>#DIV/0!</v>
      </c>
      <c r="Y86" s="188" t="e" cm="1">
        <f t="array" aca="1" ref="Y86" ca="1">IF(AND($R86=2,ACOMPANHAMENTO="BM"),ROUND(Y87,4),Y88/$S86)</f>
        <v>#DIV/0!</v>
      </c>
      <c r="Z86" s="188" t="e" cm="1">
        <f t="array" aca="1" ref="Z86" ca="1">IF(AND($R86=2,ACOMPANHAMENTO="BM"),ROUND(Z87,4),Z88/$S86)</f>
        <v>#DIV/0!</v>
      </c>
      <c r="AA86" s="188" t="e" cm="1">
        <f t="array" aca="1" ref="AA86" ca="1">IF(AND($R86=2,ACOMPANHAMENTO="BM"),ROUND(AA87,4),AA88/$S86)</f>
        <v>#DIV/0!</v>
      </c>
      <c r="AB86" s="188" t="e" cm="1">
        <f t="array" aca="1" ref="AB86" ca="1">IF(AND($R86=2,ACOMPANHAMENTO="BM"),ROUND(AB87,4),AB88/$S86)</f>
        <v>#DIV/0!</v>
      </c>
      <c r="AC86" s="188" t="e" cm="1">
        <f t="array" aca="1" ref="AC86" ca="1">IF(AND($R86=2,ACOMPANHAMENTO="BM"),ROUND(AC87,4),AC88/$S86)</f>
        <v>#DIV/0!</v>
      </c>
      <c r="AD86" s="188" t="e" cm="1">
        <f t="array" aca="1" ref="AD86" ca="1">IF(AND($R86=2,ACOMPANHAMENTO="BM"),ROUND(AD87,4),AD88/$S86)</f>
        <v>#DIV/0!</v>
      </c>
      <c r="AE86" s="188" t="e" cm="1">
        <f t="array" aca="1" ref="AE86" ca="1">IF(AND($R86=2,ACOMPANHAMENTO="BM"),ROUND(AE87,4),AE88/$S86)</f>
        <v>#DIV/0!</v>
      </c>
      <c r="AF86" s="188" t="e" cm="1">
        <f t="array" aca="1" ref="AF86" ca="1">IF(AND($R86=2,ACOMPANHAMENTO="BM"),ROUND(AF87,4),AF88/$S86)</f>
        <v>#DIV/0!</v>
      </c>
      <c r="AG86" s="188" t="e" cm="1">
        <f t="array" aca="1" ref="AG86" ca="1">IF(AND($R86=2,ACOMPANHAMENTO="BM"),ROUND(AG87,4),AG88/$S86)</f>
        <v>#DIV/0!</v>
      </c>
      <c r="AH86" s="188" t="e" cm="1">
        <f t="array" aca="1" ref="AH86" ca="1">IF(AND($R86=2,ACOMPANHAMENTO="BM"),ROUND(AH87,4),AH88/$S86)</f>
        <v>#DIV/0!</v>
      </c>
      <c r="AI86" s="188" t="e" cm="1">
        <f t="array" aca="1" ref="AI86" ca="1">IF(AND($R86=2,ACOMPANHAMENTO="BM"),ROUND(AI87,4),AI88/$S86)</f>
        <v>#DIV/0!</v>
      </c>
      <c r="AJ86" s="188" t="e" cm="1">
        <f t="array" aca="1" ref="AJ86" ca="1">IF(AND($R86=2,ACOMPANHAMENTO="BM"),ROUND(AJ87,4),AJ88/$S86)</f>
        <v>#DIV/0!</v>
      </c>
      <c r="AK86" s="188" t="e" cm="1">
        <f t="array" aca="1" ref="AK86" ca="1">IF(AND($R86=2,ACOMPANHAMENTO="BM"),ROUND(AK87,4),AK88/$S86)</f>
        <v>#DIV/0!</v>
      </c>
      <c r="AL86" s="188" t="e" cm="1">
        <f t="array" aca="1" ref="AL86" ca="1">IF(AND($R86=2,ACOMPANHAMENTO="BM"),ROUND(AL87,4),AL88/$S86)</f>
        <v>#DIV/0!</v>
      </c>
      <c r="AM86" s="188" t="e" cm="1">
        <f t="array" aca="1" ref="AM86" ca="1">IF(AND($R86=2,ACOMPANHAMENTO="BM"),ROUND(AM87,4),AM88/$S86)</f>
        <v>#DIV/0!</v>
      </c>
      <c r="AN86" s="188" t="e" cm="1">
        <f t="array" aca="1" ref="AN86" ca="1">IF(AND($R86=2,ACOMPANHAMENTO="BM"),ROUND(AN87,4),AN88/$S86)</f>
        <v>#DIV/0!</v>
      </c>
      <c r="AO86" s="188" t="e" cm="1">
        <f t="array" aca="1" ref="AO86" ca="1">IF(AND($R86=2,ACOMPANHAMENTO="BM"),ROUND(AO87,4),AO88/$S86)</f>
        <v>#DIV/0!</v>
      </c>
      <c r="AP86" s="188" t="e" cm="1">
        <f t="array" aca="1" ref="AP86" ca="1">IF(AND($R86=2,ACOMPANHAMENTO="BM"),ROUND(AP87,4),AP88/$S86)</f>
        <v>#DIV/0!</v>
      </c>
      <c r="AQ86" s="188" t="e" cm="1">
        <f t="array" aca="1" ref="AQ86" ca="1">IF(AND($R86=2,ACOMPANHAMENTO="BM"),ROUND(AQ87,4),AQ88/$S86)</f>
        <v>#DIV/0!</v>
      </c>
      <c r="AR86" s="188" t="e" cm="1">
        <f t="array" aca="1" ref="AR86" ca="1">IF(AND($R86=2,ACOMPANHAMENTO="BM"),ROUND(AR87,4),AR88/$S86)</f>
        <v>#DIV/0!</v>
      </c>
      <c r="AS86" s="534"/>
    </row>
    <row r="87" spans="1:45" ht="12.75" hidden="1" customHeight="1" x14ac:dyDescent="0.2">
      <c r="E87" s="587"/>
      <c r="F87" s="185">
        <f ca="1">IF(ISERROR(F86),IF(1+COUNTIF($M$13:OFFSET(M86,-1,0),1)&lt;=MAX(QCI!$D$13:$D$24),1+COUNTIF($M$13:OFFSET(M86,-1,0),1),-1),0)</f>
        <v>0</v>
      </c>
      <c r="G87" s="185" t="str" cm="1">
        <f t="array" aca="1" ref="G87" ca="1">IF(ACOMPANHAMENTO="BM",OFFSET(G87,-1,0),"")</f>
        <v/>
      </c>
      <c r="H87" s="196" t="str" cm="1">
        <f t="array" aca="1" ref="H87" ca="1">IF(OR(S86=0,S86=""),"vazia",IF(AND(OR(ACOMPANHAMENTO="PLE",$R86&lt;&gt;2),$F87=0),"calculada","--&gt;"))</f>
        <v>vazia</v>
      </c>
      <c r="I87" s="197"/>
      <c r="J87" s="198" t="str">
        <f t="shared" ref="J87" ca="1" si="150">IF(AND(H86&lt;&gt;0,ISNUMBER(H86)),"PREENCHA ESTA LINHA --&gt;","")</f>
        <v/>
      </c>
      <c r="K87" s="198"/>
      <c r="L87" s="198"/>
      <c r="M87" s="199"/>
      <c r="N87" s="199"/>
      <c r="O87" s="199"/>
      <c r="P87" s="199"/>
      <c r="Q87" s="199"/>
      <c r="R87" s="199"/>
      <c r="S87" s="200"/>
      <c r="T87" s="201"/>
      <c r="U87" s="587"/>
      <c r="V87" s="587"/>
      <c r="W87" s="587"/>
      <c r="X87" s="587"/>
      <c r="Y87" s="587"/>
      <c r="Z87" s="587"/>
      <c r="AA87" s="587"/>
      <c r="AB87" s="587"/>
      <c r="AC87" s="587"/>
      <c r="AD87" s="587"/>
      <c r="AE87" s="587"/>
      <c r="AF87" s="587"/>
      <c r="AG87" s="587"/>
      <c r="AH87" s="587"/>
      <c r="AI87" s="587"/>
      <c r="AJ87" s="587"/>
      <c r="AK87" s="587"/>
      <c r="AL87" s="587"/>
      <c r="AM87" s="587"/>
      <c r="AN87" s="587"/>
      <c r="AO87" s="587"/>
      <c r="AP87" s="587"/>
      <c r="AQ87" s="587"/>
      <c r="AR87" s="587"/>
      <c r="AS87" s="534"/>
    </row>
    <row r="88" spans="1:45" ht="12.75" hidden="1" customHeight="1" x14ac:dyDescent="0.2">
      <c r="D88" s="533"/>
      <c r="E88" s="202" cm="1">
        <f t="array" aca="1" ref="E88" ca="1">IF($R86=2,
         IF(AND(ACOMPANHAMENTO="PLE",ISNUMBER($F86)),
                SUMIF((OFFSET(CÁLCULO!$BS$15:$CS$15,$F86,0,OFFSET(ORÇAMENTO!$D$15,CRONO!$F86,0))),CRONO!E$12,OFFSET(CÁLCULO!$AR$15:$BR$15,$F86,0,OFFSET(ORÇAMENTO!$D$15,CRONO!$F86,0)))
                +IF(AND($F88&lt;&gt;"",$F88&lt;&gt;0),
                        SUMIF(CÁLCULO!$BS$15:$CS$244,CRONO!E$12,CÁLCULO!$AR$15:$BR$244)/(ORÇAMENTO!$X$15-CÁLCULO.TotalAdmLocal)*CRONO!$F88,
                        0),
                 E87*$S86),
          SUMIF(OFFSET($S88,1,0,$R86-2),($M86+1)&amp;"$",OFFSET(E88,1,0,$R86-2)))</f>
        <v>0</v>
      </c>
      <c r="F88" s="185">
        <f ca="1">IF(OR($R86&lt;&gt;2,AUTOEVENTO&lt;&gt;"manual",$F87&gt;0),"",
        IF(Import.TipoArredondamento="Tradicional",
              SUMIF(OFFSET(CÁLCULO!$M$15,CRONO!$F86,0,OFFSET(ORÇAMENTO!$D$15,CRONO!$F86,0)),1,OFFSET(ORÇAMENTO!$X$15,CRONO!$F86,0,OFFSET(ORÇAMENTO!$D$15,CRONO!$F86,0))),
              0))</f>
        <v>0</v>
      </c>
      <c r="H88" s="203"/>
      <c r="S88" s="204" t="str">
        <f t="shared" ref="S88" ca="1" si="151">M86&amp;"$"</f>
        <v>3$</v>
      </c>
      <c r="T88" s="205"/>
      <c r="U88" s="202" cm="1">
        <f t="array" aca="1" ref="U88" ca="1">IF($R86=2,
         IF(AND(ACOMPANHAMENTO="PLE",ISNUMBER($F86)),
                SUMIF((OFFSET(CÁLCULO!$BS$15:$CS$15,$F86,0,OFFSET(ORÇAMENTO!$D$15,CRONO!$F86,0))),CRONO!U$12,OFFSET(CÁLCULO!$AR$15:$BR$15,$F86,0,OFFSET(ORÇAMENTO!$D$15,CRONO!$F86,0)))
                +IF(AND($F88&lt;&gt;"",$F88&lt;&gt;0),
                        SUMIF(CÁLCULO!$BS$15:$CS$244,CRONO!U$12,CÁLCULO!$AR$15:$BR$244)/(ORÇAMENTO!$X$15-CÁLCULO.TotalAdmLocal)*CRONO!$F88,
                        0),
                 U87*$S86),
          SUMIF(OFFSET($S88,1,0,$R86-2),($M86+1)&amp;"$",OFFSET(U88,1,0,$R86-2)))</f>
        <v>0</v>
      </c>
      <c r="V88" s="202" cm="1">
        <f t="array" aca="1" ref="V88" ca="1">IF($R86=2,
         IF(AND(ACOMPANHAMENTO="PLE",ISNUMBER($F86)),
                SUMIF((OFFSET(CÁLCULO!$BS$15:$CS$15,$F86,0,OFFSET(ORÇAMENTO!$D$15,CRONO!$F86,0))),CRONO!V$12,OFFSET(CÁLCULO!$AR$15:$BR$15,$F86,0,OFFSET(ORÇAMENTO!$D$15,CRONO!$F86,0)))
                +IF(AND($F88&lt;&gt;"",$F88&lt;&gt;0),
                        SUMIF(CÁLCULO!$BS$15:$CS$244,CRONO!V$12,CÁLCULO!$AR$15:$BR$244)/(ORÇAMENTO!$X$15-CÁLCULO.TotalAdmLocal)*CRONO!$F88,
                        0),
                 V87*$S86),
          SUMIF(OFFSET($S88,1,0,$R86-2),($M86+1)&amp;"$",OFFSET(V88,1,0,$R86-2)))</f>
        <v>0</v>
      </c>
      <c r="W88" s="202" cm="1">
        <f t="array" aca="1" ref="W88" ca="1">IF($R86=2,
         IF(AND(ACOMPANHAMENTO="PLE",ISNUMBER($F86)),
                SUMIF((OFFSET(CÁLCULO!$BS$15:$CS$15,$F86,0,OFFSET(ORÇAMENTO!$D$15,CRONO!$F86,0))),CRONO!W$12,OFFSET(CÁLCULO!$AR$15:$BR$15,$F86,0,OFFSET(ORÇAMENTO!$D$15,CRONO!$F86,0)))
                +IF(AND($F88&lt;&gt;"",$F88&lt;&gt;0),
                        SUMIF(CÁLCULO!$BS$15:$CS$244,CRONO!W$12,CÁLCULO!$AR$15:$BR$244)/(ORÇAMENTO!$X$15-CÁLCULO.TotalAdmLocal)*CRONO!$F88,
                        0),
                 W87*$S86),
          SUMIF(OFFSET($S88,1,0,$R86-2),($M86+1)&amp;"$",OFFSET(W88,1,0,$R86-2)))</f>
        <v>0</v>
      </c>
      <c r="X88" s="202" cm="1">
        <f t="array" aca="1" ref="X88" ca="1">IF($R86=2,
         IF(AND(ACOMPANHAMENTO="PLE",ISNUMBER($F86)),
                SUMIF((OFFSET(CÁLCULO!$BS$15:$CS$15,$F86,0,OFFSET(ORÇAMENTO!$D$15,CRONO!$F86,0))),CRONO!X$12,OFFSET(CÁLCULO!$AR$15:$BR$15,$F86,0,OFFSET(ORÇAMENTO!$D$15,CRONO!$F86,0)))
                +IF(AND($F88&lt;&gt;"",$F88&lt;&gt;0),
                        SUMIF(CÁLCULO!$BS$15:$CS$244,CRONO!X$12,CÁLCULO!$AR$15:$BR$244)/(ORÇAMENTO!$X$15-CÁLCULO.TotalAdmLocal)*CRONO!$F88,
                        0),
                 X87*$S86),
          SUMIF(OFFSET($S88,1,0,$R86-2),($M86+1)&amp;"$",OFFSET(X88,1,0,$R86-2)))</f>
        <v>0</v>
      </c>
      <c r="Y88" s="202" cm="1">
        <f t="array" aca="1" ref="Y88" ca="1">IF($R86=2,
         IF(AND(ACOMPANHAMENTO="PLE",ISNUMBER($F86)),
                SUMIF((OFFSET(CÁLCULO!$BS$15:$CS$15,$F86,0,OFFSET(ORÇAMENTO!$D$15,CRONO!$F86,0))),CRONO!Y$12,OFFSET(CÁLCULO!$AR$15:$BR$15,$F86,0,OFFSET(ORÇAMENTO!$D$15,CRONO!$F86,0)))
                +IF(AND($F88&lt;&gt;"",$F88&lt;&gt;0),
                        SUMIF(CÁLCULO!$BS$15:$CS$244,CRONO!Y$12,CÁLCULO!$AR$15:$BR$244)/(ORÇAMENTO!$X$15-CÁLCULO.TotalAdmLocal)*CRONO!$F88,
                        0),
                 Y87*$S86),
          SUMIF(OFFSET($S88,1,0,$R86-2),($M86+1)&amp;"$",OFFSET(Y88,1,0,$R86-2)))</f>
        <v>0</v>
      </c>
      <c r="Z88" s="202" cm="1">
        <f t="array" aca="1" ref="Z88" ca="1">IF($R86=2,
         IF(AND(ACOMPANHAMENTO="PLE",ISNUMBER($F86)),
                SUMIF((OFFSET(CÁLCULO!$BS$15:$CS$15,$F86,0,OFFSET(ORÇAMENTO!$D$15,CRONO!$F86,0))),CRONO!Z$12,OFFSET(CÁLCULO!$AR$15:$BR$15,$F86,0,OFFSET(ORÇAMENTO!$D$15,CRONO!$F86,0)))
                +IF(AND($F88&lt;&gt;"",$F88&lt;&gt;0),
                        SUMIF(CÁLCULO!$BS$15:$CS$244,CRONO!Z$12,CÁLCULO!$AR$15:$BR$244)/(ORÇAMENTO!$X$15-CÁLCULO.TotalAdmLocal)*CRONO!$F88,
                        0),
                 Z87*$S86),
          SUMIF(OFFSET($S88,1,0,$R86-2),($M86+1)&amp;"$",OFFSET(Z88,1,0,$R86-2)))</f>
        <v>0</v>
      </c>
      <c r="AA88" s="202" cm="1">
        <f t="array" aca="1" ref="AA88" ca="1">IF($R86=2,
         IF(AND(ACOMPANHAMENTO="PLE",ISNUMBER($F86)),
                SUMIF((OFFSET(CÁLCULO!$BS$15:$CS$15,$F86,0,OFFSET(ORÇAMENTO!$D$15,CRONO!$F86,0))),CRONO!AA$12,OFFSET(CÁLCULO!$AR$15:$BR$15,$F86,0,OFFSET(ORÇAMENTO!$D$15,CRONO!$F86,0)))
                +IF(AND($F88&lt;&gt;"",$F88&lt;&gt;0),
                        SUMIF(CÁLCULO!$BS$15:$CS$244,CRONO!AA$12,CÁLCULO!$AR$15:$BR$244)/(ORÇAMENTO!$X$15-CÁLCULO.TotalAdmLocal)*CRONO!$F88,
                        0),
                 AA87*$S86),
          SUMIF(OFFSET($S88,1,0,$R86-2),($M86+1)&amp;"$",OFFSET(AA88,1,0,$R86-2)))</f>
        <v>0</v>
      </c>
      <c r="AB88" s="202" cm="1">
        <f t="array" aca="1" ref="AB88" ca="1">IF($R86=2,
         IF(AND(ACOMPANHAMENTO="PLE",ISNUMBER($F86)),
                SUMIF((OFFSET(CÁLCULO!$BS$15:$CS$15,$F86,0,OFFSET(ORÇAMENTO!$D$15,CRONO!$F86,0))),CRONO!AB$12,OFFSET(CÁLCULO!$AR$15:$BR$15,$F86,0,OFFSET(ORÇAMENTO!$D$15,CRONO!$F86,0)))
                +IF(AND($F88&lt;&gt;"",$F88&lt;&gt;0),
                        SUMIF(CÁLCULO!$BS$15:$CS$244,CRONO!AB$12,CÁLCULO!$AR$15:$BR$244)/(ORÇAMENTO!$X$15-CÁLCULO.TotalAdmLocal)*CRONO!$F88,
                        0),
                 AB87*$S86),
          SUMIF(OFFSET($S88,1,0,$R86-2),($M86+1)&amp;"$",OFFSET(AB88,1,0,$R86-2)))</f>
        <v>0</v>
      </c>
      <c r="AC88" s="202" cm="1">
        <f t="array" aca="1" ref="AC88" ca="1">IF($R86=2,
         IF(AND(ACOMPANHAMENTO="PLE",ISNUMBER($F86)),
                SUMIF((OFFSET(CÁLCULO!$BS$15:$CS$15,$F86,0,OFFSET(ORÇAMENTO!$D$15,CRONO!$F86,0))),CRONO!AC$12,OFFSET(CÁLCULO!$AR$15:$BR$15,$F86,0,OFFSET(ORÇAMENTO!$D$15,CRONO!$F86,0)))
                +IF(AND($F88&lt;&gt;"",$F88&lt;&gt;0),
                        SUMIF(CÁLCULO!$BS$15:$CS$244,CRONO!AC$12,CÁLCULO!$AR$15:$BR$244)/(ORÇAMENTO!$X$15-CÁLCULO.TotalAdmLocal)*CRONO!$F88,
                        0),
                 AC87*$S86),
          SUMIF(OFFSET($S88,1,0,$R86-2),($M86+1)&amp;"$",OFFSET(AC88,1,0,$R86-2)))</f>
        <v>0</v>
      </c>
      <c r="AD88" s="202" cm="1">
        <f t="array" aca="1" ref="AD88" ca="1">IF($R86=2,
         IF(AND(ACOMPANHAMENTO="PLE",ISNUMBER($F86)),
                SUMIF((OFFSET(CÁLCULO!$BS$15:$CS$15,$F86,0,OFFSET(ORÇAMENTO!$D$15,CRONO!$F86,0))),CRONO!AD$12,OFFSET(CÁLCULO!$AR$15:$BR$15,$F86,0,OFFSET(ORÇAMENTO!$D$15,CRONO!$F86,0)))
                +IF(AND($F88&lt;&gt;"",$F88&lt;&gt;0),
                        SUMIF(CÁLCULO!$BS$15:$CS$244,CRONO!AD$12,CÁLCULO!$AR$15:$BR$244)/(ORÇAMENTO!$X$15-CÁLCULO.TotalAdmLocal)*CRONO!$F88,
                        0),
                 AD87*$S86),
          SUMIF(OFFSET($S88,1,0,$R86-2),($M86+1)&amp;"$",OFFSET(AD88,1,0,$R86-2)))</f>
        <v>0</v>
      </c>
      <c r="AE88" s="202" cm="1">
        <f t="array" aca="1" ref="AE88" ca="1">IF($R86=2,
         IF(AND(ACOMPANHAMENTO="PLE",ISNUMBER($F86)),
                SUMIF((OFFSET(CÁLCULO!$BS$15:$CS$15,$F86,0,OFFSET(ORÇAMENTO!$D$15,CRONO!$F86,0))),CRONO!AE$12,OFFSET(CÁLCULO!$AR$15:$BR$15,$F86,0,OFFSET(ORÇAMENTO!$D$15,CRONO!$F86,0)))
                +IF(AND($F88&lt;&gt;"",$F88&lt;&gt;0),
                        SUMIF(CÁLCULO!$BS$15:$CS$244,CRONO!AE$12,CÁLCULO!$AR$15:$BR$244)/(ORÇAMENTO!$X$15-CÁLCULO.TotalAdmLocal)*CRONO!$F88,
                        0),
                 AE87*$S86),
          SUMIF(OFFSET($S88,1,0,$R86-2),($M86+1)&amp;"$",OFFSET(AE88,1,0,$R86-2)))</f>
        <v>0</v>
      </c>
      <c r="AF88" s="202" cm="1">
        <f t="array" aca="1" ref="AF88" ca="1">IF($R86=2,
         IF(AND(ACOMPANHAMENTO="PLE",ISNUMBER($F86)),
                SUMIF((OFFSET(CÁLCULO!$BS$15:$CS$15,$F86,0,OFFSET(ORÇAMENTO!$D$15,CRONO!$F86,0))),CRONO!AF$12,OFFSET(CÁLCULO!$AR$15:$BR$15,$F86,0,OFFSET(ORÇAMENTO!$D$15,CRONO!$F86,0)))
                +IF(AND($F88&lt;&gt;"",$F88&lt;&gt;0),
                        SUMIF(CÁLCULO!$BS$15:$CS$244,CRONO!AF$12,CÁLCULO!$AR$15:$BR$244)/(ORÇAMENTO!$X$15-CÁLCULO.TotalAdmLocal)*CRONO!$F88,
                        0),
                 AF87*$S86),
          SUMIF(OFFSET($S88,1,0,$R86-2),($M86+1)&amp;"$",OFFSET(AF88,1,0,$R86-2)))</f>
        <v>0</v>
      </c>
      <c r="AG88" s="202" cm="1">
        <f t="array" aca="1" ref="AG88" ca="1">IF($R86=2,
         IF(AND(ACOMPANHAMENTO="PLE",ISNUMBER($F86)),
                SUMIF((OFFSET(CÁLCULO!$BS$15:$CS$15,$F86,0,OFFSET(ORÇAMENTO!$D$15,CRONO!$F86,0))),CRONO!AG$12,OFFSET(CÁLCULO!$AR$15:$BR$15,$F86,0,OFFSET(ORÇAMENTO!$D$15,CRONO!$F86,0)))
                +IF(AND($F88&lt;&gt;"",$F88&lt;&gt;0),
                        SUMIF(CÁLCULO!$BS$15:$CS$244,CRONO!AG$12,CÁLCULO!$AR$15:$BR$244)/(ORÇAMENTO!$X$15-CÁLCULO.TotalAdmLocal)*CRONO!$F88,
                        0),
                 AG87*$S86),
          SUMIF(OFFSET($S88,1,0,$R86-2),($M86+1)&amp;"$",OFFSET(AG88,1,0,$R86-2)))</f>
        <v>0</v>
      </c>
      <c r="AH88" s="202" cm="1">
        <f t="array" aca="1" ref="AH88" ca="1">IF($R86=2,
         IF(AND(ACOMPANHAMENTO="PLE",ISNUMBER($F86)),
                SUMIF((OFFSET(CÁLCULO!$BS$15:$CS$15,$F86,0,OFFSET(ORÇAMENTO!$D$15,CRONO!$F86,0))),CRONO!AH$12,OFFSET(CÁLCULO!$AR$15:$BR$15,$F86,0,OFFSET(ORÇAMENTO!$D$15,CRONO!$F86,0)))
                +IF(AND($F88&lt;&gt;"",$F88&lt;&gt;0),
                        SUMIF(CÁLCULO!$BS$15:$CS$244,CRONO!AH$12,CÁLCULO!$AR$15:$BR$244)/(ORÇAMENTO!$X$15-CÁLCULO.TotalAdmLocal)*CRONO!$F88,
                        0),
                 AH87*$S86),
          SUMIF(OFFSET($S88,1,0,$R86-2),($M86+1)&amp;"$",OFFSET(AH88,1,0,$R86-2)))</f>
        <v>0</v>
      </c>
      <c r="AI88" s="202" cm="1">
        <f t="array" aca="1" ref="AI88" ca="1">IF($R86=2,
         IF(AND(ACOMPANHAMENTO="PLE",ISNUMBER($F86)),
                SUMIF((OFFSET(CÁLCULO!$BS$15:$CS$15,$F86,0,OFFSET(ORÇAMENTO!$D$15,CRONO!$F86,0))),CRONO!AI$12,OFFSET(CÁLCULO!$AR$15:$BR$15,$F86,0,OFFSET(ORÇAMENTO!$D$15,CRONO!$F86,0)))
                +IF(AND($F88&lt;&gt;"",$F88&lt;&gt;0),
                        SUMIF(CÁLCULO!$BS$15:$CS$244,CRONO!AI$12,CÁLCULO!$AR$15:$BR$244)/(ORÇAMENTO!$X$15-CÁLCULO.TotalAdmLocal)*CRONO!$F88,
                        0),
                 AI87*$S86),
          SUMIF(OFFSET($S88,1,0,$R86-2),($M86+1)&amp;"$",OFFSET(AI88,1,0,$R86-2)))</f>
        <v>0</v>
      </c>
      <c r="AJ88" s="202" cm="1">
        <f t="array" aca="1" ref="AJ88" ca="1">IF($R86=2,
         IF(AND(ACOMPANHAMENTO="PLE",ISNUMBER($F86)),
                SUMIF((OFFSET(CÁLCULO!$BS$15:$CS$15,$F86,0,OFFSET(ORÇAMENTO!$D$15,CRONO!$F86,0))),CRONO!AJ$12,OFFSET(CÁLCULO!$AR$15:$BR$15,$F86,0,OFFSET(ORÇAMENTO!$D$15,CRONO!$F86,0)))
                +IF(AND($F88&lt;&gt;"",$F88&lt;&gt;0),
                        SUMIF(CÁLCULO!$BS$15:$CS$244,CRONO!AJ$12,CÁLCULO!$AR$15:$BR$244)/(ORÇAMENTO!$X$15-CÁLCULO.TotalAdmLocal)*CRONO!$F88,
                        0),
                 AJ87*$S86),
          SUMIF(OFFSET($S88,1,0,$R86-2),($M86+1)&amp;"$",OFFSET(AJ88,1,0,$R86-2)))</f>
        <v>0</v>
      </c>
      <c r="AK88" s="202" cm="1">
        <f t="array" aca="1" ref="AK88" ca="1">IF($R86=2,
         IF(AND(ACOMPANHAMENTO="PLE",ISNUMBER($F86)),
                SUMIF((OFFSET(CÁLCULO!$BS$15:$CS$15,$F86,0,OFFSET(ORÇAMENTO!$D$15,CRONO!$F86,0))),CRONO!AK$12,OFFSET(CÁLCULO!$AR$15:$BR$15,$F86,0,OFFSET(ORÇAMENTO!$D$15,CRONO!$F86,0)))
                +IF(AND($F88&lt;&gt;"",$F88&lt;&gt;0),
                        SUMIF(CÁLCULO!$BS$15:$CS$244,CRONO!AK$12,CÁLCULO!$AR$15:$BR$244)/(ORÇAMENTO!$X$15-CÁLCULO.TotalAdmLocal)*CRONO!$F88,
                        0),
                 AK87*$S86),
          SUMIF(OFFSET($S88,1,0,$R86-2),($M86+1)&amp;"$",OFFSET(AK88,1,0,$R86-2)))</f>
        <v>0</v>
      </c>
      <c r="AL88" s="202" cm="1">
        <f t="array" aca="1" ref="AL88" ca="1">IF($R86=2,
         IF(AND(ACOMPANHAMENTO="PLE",ISNUMBER($F86)),
                SUMIF((OFFSET(CÁLCULO!$BS$15:$CS$15,$F86,0,OFFSET(ORÇAMENTO!$D$15,CRONO!$F86,0))),CRONO!AL$12,OFFSET(CÁLCULO!$AR$15:$BR$15,$F86,0,OFFSET(ORÇAMENTO!$D$15,CRONO!$F86,0)))
                +IF(AND($F88&lt;&gt;"",$F88&lt;&gt;0),
                        SUMIF(CÁLCULO!$BS$15:$CS$244,CRONO!AL$12,CÁLCULO!$AR$15:$BR$244)/(ORÇAMENTO!$X$15-CÁLCULO.TotalAdmLocal)*CRONO!$F88,
                        0),
                 AL87*$S86),
          SUMIF(OFFSET($S88,1,0,$R86-2),($M86+1)&amp;"$",OFFSET(AL88,1,0,$R86-2)))</f>
        <v>0</v>
      </c>
      <c r="AM88" s="202" cm="1">
        <f t="array" aca="1" ref="AM88" ca="1">IF($R86=2,
         IF(AND(ACOMPANHAMENTO="PLE",ISNUMBER($F86)),
                SUMIF((OFFSET(CÁLCULO!$BS$15:$CS$15,$F86,0,OFFSET(ORÇAMENTO!$D$15,CRONO!$F86,0))),CRONO!AM$12,OFFSET(CÁLCULO!$AR$15:$BR$15,$F86,0,OFFSET(ORÇAMENTO!$D$15,CRONO!$F86,0)))
                +IF(AND($F88&lt;&gt;"",$F88&lt;&gt;0),
                        SUMIF(CÁLCULO!$BS$15:$CS$244,CRONO!AM$12,CÁLCULO!$AR$15:$BR$244)/(ORÇAMENTO!$X$15-CÁLCULO.TotalAdmLocal)*CRONO!$F88,
                        0),
                 AM87*$S86),
          SUMIF(OFFSET($S88,1,0,$R86-2),($M86+1)&amp;"$",OFFSET(AM88,1,0,$R86-2)))</f>
        <v>0</v>
      </c>
      <c r="AN88" s="202" cm="1">
        <f t="array" aca="1" ref="AN88" ca="1">IF($R86=2,
         IF(AND(ACOMPANHAMENTO="PLE",ISNUMBER($F86)),
                SUMIF((OFFSET(CÁLCULO!$BS$15:$CS$15,$F86,0,OFFSET(ORÇAMENTO!$D$15,CRONO!$F86,0))),CRONO!AN$12,OFFSET(CÁLCULO!$AR$15:$BR$15,$F86,0,OFFSET(ORÇAMENTO!$D$15,CRONO!$F86,0)))
                +IF(AND($F88&lt;&gt;"",$F88&lt;&gt;0),
                        SUMIF(CÁLCULO!$BS$15:$CS$244,CRONO!AN$12,CÁLCULO!$AR$15:$BR$244)/(ORÇAMENTO!$X$15-CÁLCULO.TotalAdmLocal)*CRONO!$F88,
                        0),
                 AN87*$S86),
          SUMIF(OFFSET($S88,1,0,$R86-2),($M86+1)&amp;"$",OFFSET(AN88,1,0,$R86-2)))</f>
        <v>0</v>
      </c>
      <c r="AO88" s="202" cm="1">
        <f t="array" aca="1" ref="AO88" ca="1">IF($R86=2,
         IF(AND(ACOMPANHAMENTO="PLE",ISNUMBER($F86)),
                SUMIF((OFFSET(CÁLCULO!$BS$15:$CS$15,$F86,0,OFFSET(ORÇAMENTO!$D$15,CRONO!$F86,0))),CRONO!AO$12,OFFSET(CÁLCULO!$AR$15:$BR$15,$F86,0,OFFSET(ORÇAMENTO!$D$15,CRONO!$F86,0)))
                +IF(AND($F88&lt;&gt;"",$F88&lt;&gt;0),
                        SUMIF(CÁLCULO!$BS$15:$CS$244,CRONO!AO$12,CÁLCULO!$AR$15:$BR$244)/(ORÇAMENTO!$X$15-CÁLCULO.TotalAdmLocal)*CRONO!$F88,
                        0),
                 AO87*$S86),
          SUMIF(OFFSET($S88,1,0,$R86-2),($M86+1)&amp;"$",OFFSET(AO88,1,0,$R86-2)))</f>
        <v>0</v>
      </c>
      <c r="AP88" s="202" cm="1">
        <f t="array" aca="1" ref="AP88" ca="1">IF($R86=2,
         IF(AND(ACOMPANHAMENTO="PLE",ISNUMBER($F86)),
                SUMIF((OFFSET(CÁLCULO!$BS$15:$CS$15,$F86,0,OFFSET(ORÇAMENTO!$D$15,CRONO!$F86,0))),CRONO!AP$12,OFFSET(CÁLCULO!$AR$15:$BR$15,$F86,0,OFFSET(ORÇAMENTO!$D$15,CRONO!$F86,0)))
                +IF(AND($F88&lt;&gt;"",$F88&lt;&gt;0),
                        SUMIF(CÁLCULO!$BS$15:$CS$244,CRONO!AP$12,CÁLCULO!$AR$15:$BR$244)/(ORÇAMENTO!$X$15-CÁLCULO.TotalAdmLocal)*CRONO!$F88,
                        0),
                 AP87*$S86),
          SUMIF(OFFSET($S88,1,0,$R86-2),($M86+1)&amp;"$",OFFSET(AP88,1,0,$R86-2)))</f>
        <v>0</v>
      </c>
      <c r="AQ88" s="202" cm="1">
        <f t="array" aca="1" ref="AQ88" ca="1">IF($R86=2,
         IF(AND(ACOMPANHAMENTO="PLE",ISNUMBER($F86)),
                SUMIF((OFFSET(CÁLCULO!$BS$15:$CS$15,$F86,0,OFFSET(ORÇAMENTO!$D$15,CRONO!$F86,0))),CRONO!AQ$12,OFFSET(CÁLCULO!$AR$15:$BR$15,$F86,0,OFFSET(ORÇAMENTO!$D$15,CRONO!$F86,0)))
                +IF(AND($F88&lt;&gt;"",$F88&lt;&gt;0),
                        SUMIF(CÁLCULO!$BS$15:$CS$244,CRONO!AQ$12,CÁLCULO!$AR$15:$BR$244)/(ORÇAMENTO!$X$15-CÁLCULO.TotalAdmLocal)*CRONO!$F88,
                        0),
                 AQ87*$S86),
          SUMIF(OFFSET($S88,1,0,$R86-2),($M86+1)&amp;"$",OFFSET(AQ88,1,0,$R86-2)))</f>
        <v>0</v>
      </c>
      <c r="AR88" s="202" cm="1">
        <f t="array" aca="1" ref="AR88" ca="1">IF($R86=2,
         IF(AND(ACOMPANHAMENTO="PLE",ISNUMBER($F86)),
                SUMIF((OFFSET(CÁLCULO!$BS$15:$CS$15,$F86,0,OFFSET(ORÇAMENTO!$D$15,CRONO!$F86,0))),CRONO!AR$12,OFFSET(CÁLCULO!$AR$15:$BR$15,$F86,0,OFFSET(ORÇAMENTO!$D$15,CRONO!$F86,0)))
                +IF(AND($F88&lt;&gt;"",$F88&lt;&gt;0),
                        SUMIF(CÁLCULO!$BS$15:$CS$244,CRONO!AR$12,CÁLCULO!$AR$15:$BR$244)/(ORÇAMENTO!$X$15-CÁLCULO.TotalAdmLocal)*CRONO!$F88,
                        0),
                 AR87*$S86),
          SUMIF(OFFSET($S88,1,0,$R86-2),($M86+1)&amp;"$",OFFSET(AR88,1,0,$R86-2)))</f>
        <v>0</v>
      </c>
      <c r="AS88" s="534"/>
    </row>
    <row r="89" spans="1:45" x14ac:dyDescent="0.2">
      <c r="A89" s="186" t="e">
        <f t="shared" ref="A89" ca="1" si="152">IF($M89&gt;1,_xlfn.CONCAT($I89," ",$J89),"")</f>
        <v>#NAME?</v>
      </c>
      <c r="B89" s="185">
        <f t="shared" ref="B89" ca="1" si="153">OFFSET(B89,-3,0)+1</f>
        <v>26</v>
      </c>
      <c r="C89" s="185">
        <f ca="1">IF($R89&lt;&gt;2,0,IF($S89=0,1,IF(F90&gt;0,OFFSET(QCI!$M$13,SUBSTITUTE(F90,".",""),0),OFFSET(ORÇAMENTO!$AA$15,CRONO!$F89,0))/$S89))</f>
        <v>1</v>
      </c>
      <c r="D89" s="185">
        <f ca="1">IF($R89&lt;&gt;2,0,IF($S89=0,1,IF(F90&gt;0,OFFSET(QCI!$N$13,SUBSTITUTE(F90,".",""),0),OFFSET(ORÇAMENTO!$AB$15,CRONO!$F89,0))/$S89))</f>
        <v>1</v>
      </c>
      <c r="E89" s="188" t="e" cm="1">
        <f t="array" aca="1" ref="E89" ca="1">IF(AND($R89=2,ACOMPANHAMENTO="BM"),ROUND(E90,4),E91/$S89)</f>
        <v>#DIV/0!</v>
      </c>
      <c r="F89" s="185" cm="1">
        <f t="array" aca="1" ref="F89" ca="1">IF(B89&lt;=ORÇAMENTO.MáximoListaCrono,MATCH(B89,ORÇAMENTO.ListaCrono,0),NA())</f>
        <v>95</v>
      </c>
      <c r="G89" s="185" t="str">
        <f t="shared" ref="G89" ca="1" si="154">IF(AND($F90&lt;&gt;-1,$S89&gt;0),"F","")</f>
        <v/>
      </c>
      <c r="H89" s="189" t="str" cm="1">
        <f t="array" aca="1" ref="H89" ca="1">IF(OR(S89=0,S89=""),"Linha",IF(AND(OR(ACOMPANHAMENTO="PLE",$R89&lt;&gt;2),$F90=0),"Linha",ROUND(1-SUM(U89:AS89),4)))</f>
        <v>Linha</v>
      </c>
      <c r="I89" s="190" t="str">
        <f ca="1">IF($F90=0,OFFSET(ORÇAMENTO!O$15,$F89,0),IF($F90&lt;&gt;-1,OFFSET(QCI!$D$13,$F90,0),""))</f>
        <v>7.5.3.</v>
      </c>
      <c r="J89" s="191" t="str">
        <f ca="1">IF($F90=0,OFFSET(ORÇAMENTO!R$15,$F89,0),IF($F90&lt;&gt;-1,OFFSET(QCI!$G$13,$F90,0),""))</f>
        <v>PINTURA ESQUADRIAS</v>
      </c>
      <c r="K89" s="191"/>
      <c r="L89" s="191"/>
      <c r="M89" s="192">
        <f ca="1">IF($F90=0,OFFSET(ORÇAMENTO!C$15,$F89,0),1)</f>
        <v>3</v>
      </c>
      <c r="N89" s="193">
        <f ca="1">IF($F90=-1,0,IF(N$13&lt;=$M89,IF(ISERROR(MATCH(N$13,OFFSET($M89,1,0,ROW($M$164)-ROW($M89)-1),0)),ROW($M$164)-ROW($M89)-1,MATCH(N$13,OFFSET($M89,1,0,ROW($M$164)-ROW($M89)-1),0)-1),0))</f>
        <v>2</v>
      </c>
      <c r="O89" s="193">
        <f ca="1">IF($F90=-1,0,IF(O$13&lt;=$M89,IF(ISERROR(MATCH(O$13,OFFSET($M89,1,0,ROW($M$164)-ROW($M89)-1),0)),ROW($M$164)-ROW($M89)-1,MATCH(O$13,OFFSET($M89,1,0,ROW($M$164)-ROW($M89)-1),0)-1),0))</f>
        <v>5</v>
      </c>
      <c r="P89" s="193">
        <f ca="1">IF($F90=-1,0,IF(P$13&lt;=$M89,IF(ISERROR(MATCH(P$13,OFFSET($M89,1,0,ROW($M$164)-ROW($M89)-1),0)),ROW($M$164)-ROW($M89)-1,MATCH(P$13,OFFSET($M89,1,0,ROW($M$164)-ROW($M89)-1),0)-1),0))</f>
        <v>20</v>
      </c>
      <c r="Q89" s="193">
        <f ca="1">IF($F90=-1,0,IF(Q$13&lt;=$M89,IF(ISERROR(MATCH(Q$13,OFFSET($M89,1,0,ROW($M$164)-ROW($M89)-1),0)),ROW($M$164)-ROW($M89)-1,MATCH(Q$13,OFFSET($M89,1,0,ROW($M$164)-ROW($M89)-1),0)-1),0))</f>
        <v>0</v>
      </c>
      <c r="R89" s="193">
        <f t="shared" ref="R89" ca="1" si="155">MIN(OFFSET(M89,0,1,,M89))</f>
        <v>2</v>
      </c>
      <c r="S89" s="194">
        <f ca="1">IF($F90=0,OFFSET(ORÇAMENTO!X$15,$F89,0),IF($F90&lt;&gt;-1,OFFSET(QCI!$O$13,$F90,0),""))</f>
        <v>0</v>
      </c>
      <c r="T89" s="195" t="s">
        <v>785</v>
      </c>
      <c r="U89" s="188" t="e" cm="1">
        <f t="array" aca="1" ref="U89" ca="1">IF(AND($R89=2,ACOMPANHAMENTO="BM"),ROUND(U90,4),U91/$S89)</f>
        <v>#DIV/0!</v>
      </c>
      <c r="V89" s="188" t="e" cm="1">
        <f t="array" aca="1" ref="V89" ca="1">IF(AND($R89=2,ACOMPANHAMENTO="BM"),ROUND(V90,4),V91/$S89)</f>
        <v>#DIV/0!</v>
      </c>
      <c r="W89" s="188" t="e" cm="1">
        <f t="array" aca="1" ref="W89" ca="1">IF(AND($R89=2,ACOMPANHAMENTO="BM"),ROUND(W90,4),W91/$S89)</f>
        <v>#DIV/0!</v>
      </c>
      <c r="X89" s="188" t="e" cm="1">
        <f t="array" aca="1" ref="X89" ca="1">IF(AND($R89=2,ACOMPANHAMENTO="BM"),ROUND(X90,4),X91/$S89)</f>
        <v>#DIV/0!</v>
      </c>
      <c r="Y89" s="188" t="e" cm="1">
        <f t="array" aca="1" ref="Y89" ca="1">IF(AND($R89=2,ACOMPANHAMENTO="BM"),ROUND(Y90,4),Y91/$S89)</f>
        <v>#DIV/0!</v>
      </c>
      <c r="Z89" s="188" t="e" cm="1">
        <f t="array" aca="1" ref="Z89" ca="1">IF(AND($R89=2,ACOMPANHAMENTO="BM"),ROUND(Z90,4),Z91/$S89)</f>
        <v>#DIV/0!</v>
      </c>
      <c r="AA89" s="188" t="e" cm="1">
        <f t="array" aca="1" ref="AA89" ca="1">IF(AND($R89=2,ACOMPANHAMENTO="BM"),ROUND(AA90,4),AA91/$S89)</f>
        <v>#DIV/0!</v>
      </c>
      <c r="AB89" s="188" t="e" cm="1">
        <f t="array" aca="1" ref="AB89" ca="1">IF(AND($R89=2,ACOMPANHAMENTO="BM"),ROUND(AB90,4),AB91/$S89)</f>
        <v>#DIV/0!</v>
      </c>
      <c r="AC89" s="188" t="e" cm="1">
        <f t="array" aca="1" ref="AC89" ca="1">IF(AND($R89=2,ACOMPANHAMENTO="BM"),ROUND(AC90,4),AC91/$S89)</f>
        <v>#DIV/0!</v>
      </c>
      <c r="AD89" s="188" t="e" cm="1">
        <f t="array" aca="1" ref="AD89" ca="1">IF(AND($R89=2,ACOMPANHAMENTO="BM"),ROUND(AD90,4),AD91/$S89)</f>
        <v>#DIV/0!</v>
      </c>
      <c r="AE89" s="188" t="e" cm="1">
        <f t="array" aca="1" ref="AE89" ca="1">IF(AND($R89=2,ACOMPANHAMENTO="BM"),ROUND(AE90,4),AE91/$S89)</f>
        <v>#DIV/0!</v>
      </c>
      <c r="AF89" s="188" t="e" cm="1">
        <f t="array" aca="1" ref="AF89" ca="1">IF(AND($R89=2,ACOMPANHAMENTO="BM"),ROUND(AF90,4),AF91/$S89)</f>
        <v>#DIV/0!</v>
      </c>
      <c r="AG89" s="188" t="e" cm="1">
        <f t="array" aca="1" ref="AG89" ca="1">IF(AND($R89=2,ACOMPANHAMENTO="BM"),ROUND(AG90,4),AG91/$S89)</f>
        <v>#DIV/0!</v>
      </c>
      <c r="AH89" s="188" t="e" cm="1">
        <f t="array" aca="1" ref="AH89" ca="1">IF(AND($R89=2,ACOMPANHAMENTO="BM"),ROUND(AH90,4),AH91/$S89)</f>
        <v>#DIV/0!</v>
      </c>
      <c r="AI89" s="188" t="e" cm="1">
        <f t="array" aca="1" ref="AI89" ca="1">IF(AND($R89=2,ACOMPANHAMENTO="BM"),ROUND(AI90,4),AI91/$S89)</f>
        <v>#DIV/0!</v>
      </c>
      <c r="AJ89" s="188" t="e" cm="1">
        <f t="array" aca="1" ref="AJ89" ca="1">IF(AND($R89=2,ACOMPANHAMENTO="BM"),ROUND(AJ90,4),AJ91/$S89)</f>
        <v>#DIV/0!</v>
      </c>
      <c r="AK89" s="188" t="e" cm="1">
        <f t="array" aca="1" ref="AK89" ca="1">IF(AND($R89=2,ACOMPANHAMENTO="BM"),ROUND(AK90,4),AK91/$S89)</f>
        <v>#DIV/0!</v>
      </c>
      <c r="AL89" s="188" t="e" cm="1">
        <f t="array" aca="1" ref="AL89" ca="1">IF(AND($R89=2,ACOMPANHAMENTO="BM"),ROUND(AL90,4),AL91/$S89)</f>
        <v>#DIV/0!</v>
      </c>
      <c r="AM89" s="188" t="e" cm="1">
        <f t="array" aca="1" ref="AM89" ca="1">IF(AND($R89=2,ACOMPANHAMENTO="BM"),ROUND(AM90,4),AM91/$S89)</f>
        <v>#DIV/0!</v>
      </c>
      <c r="AN89" s="188" t="e" cm="1">
        <f t="array" aca="1" ref="AN89" ca="1">IF(AND($R89=2,ACOMPANHAMENTO="BM"),ROUND(AN90,4),AN91/$S89)</f>
        <v>#DIV/0!</v>
      </c>
      <c r="AO89" s="188" t="e" cm="1">
        <f t="array" aca="1" ref="AO89" ca="1">IF(AND($R89=2,ACOMPANHAMENTO="BM"),ROUND(AO90,4),AO91/$S89)</f>
        <v>#DIV/0!</v>
      </c>
      <c r="AP89" s="188" t="e" cm="1">
        <f t="array" aca="1" ref="AP89" ca="1">IF(AND($R89=2,ACOMPANHAMENTO="BM"),ROUND(AP90,4),AP91/$S89)</f>
        <v>#DIV/0!</v>
      </c>
      <c r="AQ89" s="188" t="e" cm="1">
        <f t="array" aca="1" ref="AQ89" ca="1">IF(AND($R89=2,ACOMPANHAMENTO="BM"),ROUND(AQ90,4),AQ91/$S89)</f>
        <v>#DIV/0!</v>
      </c>
      <c r="AR89" s="188" t="e" cm="1">
        <f t="array" aca="1" ref="AR89" ca="1">IF(AND($R89=2,ACOMPANHAMENTO="BM"),ROUND(AR90,4),AR91/$S89)</f>
        <v>#DIV/0!</v>
      </c>
      <c r="AS89" s="534"/>
    </row>
    <row r="90" spans="1:45" ht="12.75" hidden="1" customHeight="1" x14ac:dyDescent="0.2">
      <c r="E90" s="587"/>
      <c r="F90" s="185">
        <f ca="1">IF(ISERROR(F89),IF(1+COUNTIF($M$13:OFFSET(M89,-1,0),1)&lt;=MAX(QCI!$D$13:$D$24),1+COUNTIF($M$13:OFFSET(M89,-1,0),1),-1),0)</f>
        <v>0</v>
      </c>
      <c r="G90" s="185" t="str" cm="1">
        <f t="array" aca="1" ref="G90" ca="1">IF(ACOMPANHAMENTO="BM",OFFSET(G90,-1,0),"")</f>
        <v/>
      </c>
      <c r="H90" s="196" t="str" cm="1">
        <f t="array" aca="1" ref="H90" ca="1">IF(OR(S89=0,S89=""),"vazia",IF(AND(OR(ACOMPANHAMENTO="PLE",$R89&lt;&gt;2),$F90=0),"calculada","--&gt;"))</f>
        <v>vazia</v>
      </c>
      <c r="I90" s="197"/>
      <c r="J90" s="198" t="str">
        <f t="shared" ref="J90" ca="1" si="156">IF(AND(H89&lt;&gt;0,ISNUMBER(H89)),"PREENCHA ESTA LINHA --&gt;","")</f>
        <v/>
      </c>
      <c r="K90" s="198"/>
      <c r="L90" s="198"/>
      <c r="M90" s="199"/>
      <c r="N90" s="199"/>
      <c r="O90" s="199"/>
      <c r="P90" s="199"/>
      <c r="Q90" s="199"/>
      <c r="R90" s="199"/>
      <c r="S90" s="200"/>
      <c r="T90" s="201"/>
      <c r="U90" s="587"/>
      <c r="V90" s="587"/>
      <c r="W90" s="587"/>
      <c r="X90" s="587"/>
      <c r="Y90" s="587"/>
      <c r="Z90" s="587"/>
      <c r="AA90" s="587"/>
      <c r="AB90" s="587"/>
      <c r="AC90" s="587"/>
      <c r="AD90" s="587"/>
      <c r="AE90" s="587"/>
      <c r="AF90" s="587"/>
      <c r="AG90" s="587"/>
      <c r="AH90" s="587"/>
      <c r="AI90" s="587"/>
      <c r="AJ90" s="587"/>
      <c r="AK90" s="587"/>
      <c r="AL90" s="587"/>
      <c r="AM90" s="587"/>
      <c r="AN90" s="587"/>
      <c r="AO90" s="587"/>
      <c r="AP90" s="587"/>
      <c r="AQ90" s="587"/>
      <c r="AR90" s="587"/>
      <c r="AS90" s="534"/>
    </row>
    <row r="91" spans="1:45" ht="12.75" hidden="1" customHeight="1" x14ac:dyDescent="0.2">
      <c r="D91" s="533"/>
      <c r="E91" s="202" cm="1">
        <f t="array" aca="1" ref="E91" ca="1">IF($R89=2,
         IF(AND(ACOMPANHAMENTO="PLE",ISNUMBER($F89)),
                SUMIF((OFFSET(CÁLCULO!$BS$15:$CS$15,$F89,0,OFFSET(ORÇAMENTO!$D$15,CRONO!$F89,0))),CRONO!E$12,OFFSET(CÁLCULO!$AR$15:$BR$15,$F89,0,OFFSET(ORÇAMENTO!$D$15,CRONO!$F89,0)))
                +IF(AND($F91&lt;&gt;"",$F91&lt;&gt;0),
                        SUMIF(CÁLCULO!$BS$15:$CS$244,CRONO!E$12,CÁLCULO!$AR$15:$BR$244)/(ORÇAMENTO!$X$15-CÁLCULO.TotalAdmLocal)*CRONO!$F91,
                        0),
                 E90*$S89),
          SUMIF(OFFSET($S91,1,0,$R89-2),($M89+1)&amp;"$",OFFSET(E91,1,0,$R89-2)))</f>
        <v>0</v>
      </c>
      <c r="F91" s="185">
        <f ca="1">IF(OR($R89&lt;&gt;2,AUTOEVENTO&lt;&gt;"manual",$F90&gt;0),"",
        IF(Import.TipoArredondamento="Tradicional",
              SUMIF(OFFSET(CÁLCULO!$M$15,CRONO!$F89,0,OFFSET(ORÇAMENTO!$D$15,CRONO!$F89,0)),1,OFFSET(ORÇAMENTO!$X$15,CRONO!$F89,0,OFFSET(ORÇAMENTO!$D$15,CRONO!$F89,0))),
              0))</f>
        <v>0</v>
      </c>
      <c r="H91" s="203"/>
      <c r="S91" s="204" t="str">
        <f t="shared" ref="S91" ca="1" si="157">M89&amp;"$"</f>
        <v>3$</v>
      </c>
      <c r="T91" s="205"/>
      <c r="U91" s="202" cm="1">
        <f t="array" aca="1" ref="U91" ca="1">IF($R89=2,
         IF(AND(ACOMPANHAMENTO="PLE",ISNUMBER($F89)),
                SUMIF((OFFSET(CÁLCULO!$BS$15:$CS$15,$F89,0,OFFSET(ORÇAMENTO!$D$15,CRONO!$F89,0))),CRONO!U$12,OFFSET(CÁLCULO!$AR$15:$BR$15,$F89,0,OFFSET(ORÇAMENTO!$D$15,CRONO!$F89,0)))
                +IF(AND($F91&lt;&gt;"",$F91&lt;&gt;0),
                        SUMIF(CÁLCULO!$BS$15:$CS$244,CRONO!U$12,CÁLCULO!$AR$15:$BR$244)/(ORÇAMENTO!$X$15-CÁLCULO.TotalAdmLocal)*CRONO!$F91,
                        0),
                 U90*$S89),
          SUMIF(OFFSET($S91,1,0,$R89-2),($M89+1)&amp;"$",OFFSET(U91,1,0,$R89-2)))</f>
        <v>0</v>
      </c>
      <c r="V91" s="202" cm="1">
        <f t="array" aca="1" ref="V91" ca="1">IF($R89=2,
         IF(AND(ACOMPANHAMENTO="PLE",ISNUMBER($F89)),
                SUMIF((OFFSET(CÁLCULO!$BS$15:$CS$15,$F89,0,OFFSET(ORÇAMENTO!$D$15,CRONO!$F89,0))),CRONO!V$12,OFFSET(CÁLCULO!$AR$15:$BR$15,$F89,0,OFFSET(ORÇAMENTO!$D$15,CRONO!$F89,0)))
                +IF(AND($F91&lt;&gt;"",$F91&lt;&gt;0),
                        SUMIF(CÁLCULO!$BS$15:$CS$244,CRONO!V$12,CÁLCULO!$AR$15:$BR$244)/(ORÇAMENTO!$X$15-CÁLCULO.TotalAdmLocal)*CRONO!$F91,
                        0),
                 V90*$S89),
          SUMIF(OFFSET($S91,1,0,$R89-2),($M89+1)&amp;"$",OFFSET(V91,1,0,$R89-2)))</f>
        <v>0</v>
      </c>
      <c r="W91" s="202" cm="1">
        <f t="array" aca="1" ref="W91" ca="1">IF($R89=2,
         IF(AND(ACOMPANHAMENTO="PLE",ISNUMBER($F89)),
                SUMIF((OFFSET(CÁLCULO!$BS$15:$CS$15,$F89,0,OFFSET(ORÇAMENTO!$D$15,CRONO!$F89,0))),CRONO!W$12,OFFSET(CÁLCULO!$AR$15:$BR$15,$F89,0,OFFSET(ORÇAMENTO!$D$15,CRONO!$F89,0)))
                +IF(AND($F91&lt;&gt;"",$F91&lt;&gt;0),
                        SUMIF(CÁLCULO!$BS$15:$CS$244,CRONO!W$12,CÁLCULO!$AR$15:$BR$244)/(ORÇAMENTO!$X$15-CÁLCULO.TotalAdmLocal)*CRONO!$F91,
                        0),
                 W90*$S89),
          SUMIF(OFFSET($S91,1,0,$R89-2),($M89+1)&amp;"$",OFFSET(W91,1,0,$R89-2)))</f>
        <v>0</v>
      </c>
      <c r="X91" s="202" cm="1">
        <f t="array" aca="1" ref="X91" ca="1">IF($R89=2,
         IF(AND(ACOMPANHAMENTO="PLE",ISNUMBER($F89)),
                SUMIF((OFFSET(CÁLCULO!$BS$15:$CS$15,$F89,0,OFFSET(ORÇAMENTO!$D$15,CRONO!$F89,0))),CRONO!X$12,OFFSET(CÁLCULO!$AR$15:$BR$15,$F89,0,OFFSET(ORÇAMENTO!$D$15,CRONO!$F89,0)))
                +IF(AND($F91&lt;&gt;"",$F91&lt;&gt;0),
                        SUMIF(CÁLCULO!$BS$15:$CS$244,CRONO!X$12,CÁLCULO!$AR$15:$BR$244)/(ORÇAMENTO!$X$15-CÁLCULO.TotalAdmLocal)*CRONO!$F91,
                        0),
                 X90*$S89),
          SUMIF(OFFSET($S91,1,0,$R89-2),($M89+1)&amp;"$",OFFSET(X91,1,0,$R89-2)))</f>
        <v>0</v>
      </c>
      <c r="Y91" s="202" cm="1">
        <f t="array" aca="1" ref="Y91" ca="1">IF($R89=2,
         IF(AND(ACOMPANHAMENTO="PLE",ISNUMBER($F89)),
                SUMIF((OFFSET(CÁLCULO!$BS$15:$CS$15,$F89,0,OFFSET(ORÇAMENTO!$D$15,CRONO!$F89,0))),CRONO!Y$12,OFFSET(CÁLCULO!$AR$15:$BR$15,$F89,0,OFFSET(ORÇAMENTO!$D$15,CRONO!$F89,0)))
                +IF(AND($F91&lt;&gt;"",$F91&lt;&gt;0),
                        SUMIF(CÁLCULO!$BS$15:$CS$244,CRONO!Y$12,CÁLCULO!$AR$15:$BR$244)/(ORÇAMENTO!$X$15-CÁLCULO.TotalAdmLocal)*CRONO!$F91,
                        0),
                 Y90*$S89),
          SUMIF(OFFSET($S91,1,0,$R89-2),($M89+1)&amp;"$",OFFSET(Y91,1,0,$R89-2)))</f>
        <v>0</v>
      </c>
      <c r="Z91" s="202" cm="1">
        <f t="array" aca="1" ref="Z91" ca="1">IF($R89=2,
         IF(AND(ACOMPANHAMENTO="PLE",ISNUMBER($F89)),
                SUMIF((OFFSET(CÁLCULO!$BS$15:$CS$15,$F89,0,OFFSET(ORÇAMENTO!$D$15,CRONO!$F89,0))),CRONO!Z$12,OFFSET(CÁLCULO!$AR$15:$BR$15,$F89,0,OFFSET(ORÇAMENTO!$D$15,CRONO!$F89,0)))
                +IF(AND($F91&lt;&gt;"",$F91&lt;&gt;0),
                        SUMIF(CÁLCULO!$BS$15:$CS$244,CRONO!Z$12,CÁLCULO!$AR$15:$BR$244)/(ORÇAMENTO!$X$15-CÁLCULO.TotalAdmLocal)*CRONO!$F91,
                        0),
                 Z90*$S89),
          SUMIF(OFFSET($S91,1,0,$R89-2),($M89+1)&amp;"$",OFFSET(Z91,1,0,$R89-2)))</f>
        <v>0</v>
      </c>
      <c r="AA91" s="202" cm="1">
        <f t="array" aca="1" ref="AA91" ca="1">IF($R89=2,
         IF(AND(ACOMPANHAMENTO="PLE",ISNUMBER($F89)),
                SUMIF((OFFSET(CÁLCULO!$BS$15:$CS$15,$F89,0,OFFSET(ORÇAMENTO!$D$15,CRONO!$F89,0))),CRONO!AA$12,OFFSET(CÁLCULO!$AR$15:$BR$15,$F89,0,OFFSET(ORÇAMENTO!$D$15,CRONO!$F89,0)))
                +IF(AND($F91&lt;&gt;"",$F91&lt;&gt;0),
                        SUMIF(CÁLCULO!$BS$15:$CS$244,CRONO!AA$12,CÁLCULO!$AR$15:$BR$244)/(ORÇAMENTO!$X$15-CÁLCULO.TotalAdmLocal)*CRONO!$F91,
                        0),
                 AA90*$S89),
          SUMIF(OFFSET($S91,1,0,$R89-2),($M89+1)&amp;"$",OFFSET(AA91,1,0,$R89-2)))</f>
        <v>0</v>
      </c>
      <c r="AB91" s="202" cm="1">
        <f t="array" aca="1" ref="AB91" ca="1">IF($R89=2,
         IF(AND(ACOMPANHAMENTO="PLE",ISNUMBER($F89)),
                SUMIF((OFFSET(CÁLCULO!$BS$15:$CS$15,$F89,0,OFFSET(ORÇAMENTO!$D$15,CRONO!$F89,0))),CRONO!AB$12,OFFSET(CÁLCULO!$AR$15:$BR$15,$F89,0,OFFSET(ORÇAMENTO!$D$15,CRONO!$F89,0)))
                +IF(AND($F91&lt;&gt;"",$F91&lt;&gt;0),
                        SUMIF(CÁLCULO!$BS$15:$CS$244,CRONO!AB$12,CÁLCULO!$AR$15:$BR$244)/(ORÇAMENTO!$X$15-CÁLCULO.TotalAdmLocal)*CRONO!$F91,
                        0),
                 AB90*$S89),
          SUMIF(OFFSET($S91,1,0,$R89-2),($M89+1)&amp;"$",OFFSET(AB91,1,0,$R89-2)))</f>
        <v>0</v>
      </c>
      <c r="AC91" s="202" cm="1">
        <f t="array" aca="1" ref="AC91" ca="1">IF($R89=2,
         IF(AND(ACOMPANHAMENTO="PLE",ISNUMBER($F89)),
                SUMIF((OFFSET(CÁLCULO!$BS$15:$CS$15,$F89,0,OFFSET(ORÇAMENTO!$D$15,CRONO!$F89,0))),CRONO!AC$12,OFFSET(CÁLCULO!$AR$15:$BR$15,$F89,0,OFFSET(ORÇAMENTO!$D$15,CRONO!$F89,0)))
                +IF(AND($F91&lt;&gt;"",$F91&lt;&gt;0),
                        SUMIF(CÁLCULO!$BS$15:$CS$244,CRONO!AC$12,CÁLCULO!$AR$15:$BR$244)/(ORÇAMENTO!$X$15-CÁLCULO.TotalAdmLocal)*CRONO!$F91,
                        0),
                 AC90*$S89),
          SUMIF(OFFSET($S91,1,0,$R89-2),($M89+1)&amp;"$",OFFSET(AC91,1,0,$R89-2)))</f>
        <v>0</v>
      </c>
      <c r="AD91" s="202" cm="1">
        <f t="array" aca="1" ref="AD91" ca="1">IF($R89=2,
         IF(AND(ACOMPANHAMENTO="PLE",ISNUMBER($F89)),
                SUMIF((OFFSET(CÁLCULO!$BS$15:$CS$15,$F89,0,OFFSET(ORÇAMENTO!$D$15,CRONO!$F89,0))),CRONO!AD$12,OFFSET(CÁLCULO!$AR$15:$BR$15,$F89,0,OFFSET(ORÇAMENTO!$D$15,CRONO!$F89,0)))
                +IF(AND($F91&lt;&gt;"",$F91&lt;&gt;0),
                        SUMIF(CÁLCULO!$BS$15:$CS$244,CRONO!AD$12,CÁLCULO!$AR$15:$BR$244)/(ORÇAMENTO!$X$15-CÁLCULO.TotalAdmLocal)*CRONO!$F91,
                        0),
                 AD90*$S89),
          SUMIF(OFFSET($S91,1,0,$R89-2),($M89+1)&amp;"$",OFFSET(AD91,1,0,$R89-2)))</f>
        <v>0</v>
      </c>
      <c r="AE91" s="202" cm="1">
        <f t="array" aca="1" ref="AE91" ca="1">IF($R89=2,
         IF(AND(ACOMPANHAMENTO="PLE",ISNUMBER($F89)),
                SUMIF((OFFSET(CÁLCULO!$BS$15:$CS$15,$F89,0,OFFSET(ORÇAMENTO!$D$15,CRONO!$F89,0))),CRONO!AE$12,OFFSET(CÁLCULO!$AR$15:$BR$15,$F89,0,OFFSET(ORÇAMENTO!$D$15,CRONO!$F89,0)))
                +IF(AND($F91&lt;&gt;"",$F91&lt;&gt;0),
                        SUMIF(CÁLCULO!$BS$15:$CS$244,CRONO!AE$12,CÁLCULO!$AR$15:$BR$244)/(ORÇAMENTO!$X$15-CÁLCULO.TotalAdmLocal)*CRONO!$F91,
                        0),
                 AE90*$S89),
          SUMIF(OFFSET($S91,1,0,$R89-2),($M89+1)&amp;"$",OFFSET(AE91,1,0,$R89-2)))</f>
        <v>0</v>
      </c>
      <c r="AF91" s="202" cm="1">
        <f t="array" aca="1" ref="AF91" ca="1">IF($R89=2,
         IF(AND(ACOMPANHAMENTO="PLE",ISNUMBER($F89)),
                SUMIF((OFFSET(CÁLCULO!$BS$15:$CS$15,$F89,0,OFFSET(ORÇAMENTO!$D$15,CRONO!$F89,0))),CRONO!AF$12,OFFSET(CÁLCULO!$AR$15:$BR$15,$F89,0,OFFSET(ORÇAMENTO!$D$15,CRONO!$F89,0)))
                +IF(AND($F91&lt;&gt;"",$F91&lt;&gt;0),
                        SUMIF(CÁLCULO!$BS$15:$CS$244,CRONO!AF$12,CÁLCULO!$AR$15:$BR$244)/(ORÇAMENTO!$X$15-CÁLCULO.TotalAdmLocal)*CRONO!$F91,
                        0),
                 AF90*$S89),
          SUMIF(OFFSET($S91,1,0,$R89-2),($M89+1)&amp;"$",OFFSET(AF91,1,0,$R89-2)))</f>
        <v>0</v>
      </c>
      <c r="AG91" s="202" cm="1">
        <f t="array" aca="1" ref="AG91" ca="1">IF($R89=2,
         IF(AND(ACOMPANHAMENTO="PLE",ISNUMBER($F89)),
                SUMIF((OFFSET(CÁLCULO!$BS$15:$CS$15,$F89,0,OFFSET(ORÇAMENTO!$D$15,CRONO!$F89,0))),CRONO!AG$12,OFFSET(CÁLCULO!$AR$15:$BR$15,$F89,0,OFFSET(ORÇAMENTO!$D$15,CRONO!$F89,0)))
                +IF(AND($F91&lt;&gt;"",$F91&lt;&gt;0),
                        SUMIF(CÁLCULO!$BS$15:$CS$244,CRONO!AG$12,CÁLCULO!$AR$15:$BR$244)/(ORÇAMENTO!$X$15-CÁLCULO.TotalAdmLocal)*CRONO!$F91,
                        0),
                 AG90*$S89),
          SUMIF(OFFSET($S91,1,0,$R89-2),($M89+1)&amp;"$",OFFSET(AG91,1,0,$R89-2)))</f>
        <v>0</v>
      </c>
      <c r="AH91" s="202" cm="1">
        <f t="array" aca="1" ref="AH91" ca="1">IF($R89=2,
         IF(AND(ACOMPANHAMENTO="PLE",ISNUMBER($F89)),
                SUMIF((OFFSET(CÁLCULO!$BS$15:$CS$15,$F89,0,OFFSET(ORÇAMENTO!$D$15,CRONO!$F89,0))),CRONO!AH$12,OFFSET(CÁLCULO!$AR$15:$BR$15,$F89,0,OFFSET(ORÇAMENTO!$D$15,CRONO!$F89,0)))
                +IF(AND($F91&lt;&gt;"",$F91&lt;&gt;0),
                        SUMIF(CÁLCULO!$BS$15:$CS$244,CRONO!AH$12,CÁLCULO!$AR$15:$BR$244)/(ORÇAMENTO!$X$15-CÁLCULO.TotalAdmLocal)*CRONO!$F91,
                        0),
                 AH90*$S89),
          SUMIF(OFFSET($S91,1,0,$R89-2),($M89+1)&amp;"$",OFFSET(AH91,1,0,$R89-2)))</f>
        <v>0</v>
      </c>
      <c r="AI91" s="202" cm="1">
        <f t="array" aca="1" ref="AI91" ca="1">IF($R89=2,
         IF(AND(ACOMPANHAMENTO="PLE",ISNUMBER($F89)),
                SUMIF((OFFSET(CÁLCULO!$BS$15:$CS$15,$F89,0,OFFSET(ORÇAMENTO!$D$15,CRONO!$F89,0))),CRONO!AI$12,OFFSET(CÁLCULO!$AR$15:$BR$15,$F89,0,OFFSET(ORÇAMENTO!$D$15,CRONO!$F89,0)))
                +IF(AND($F91&lt;&gt;"",$F91&lt;&gt;0),
                        SUMIF(CÁLCULO!$BS$15:$CS$244,CRONO!AI$12,CÁLCULO!$AR$15:$BR$244)/(ORÇAMENTO!$X$15-CÁLCULO.TotalAdmLocal)*CRONO!$F91,
                        0),
                 AI90*$S89),
          SUMIF(OFFSET($S91,1,0,$R89-2),($M89+1)&amp;"$",OFFSET(AI91,1,0,$R89-2)))</f>
        <v>0</v>
      </c>
      <c r="AJ91" s="202" cm="1">
        <f t="array" aca="1" ref="AJ91" ca="1">IF($R89=2,
         IF(AND(ACOMPANHAMENTO="PLE",ISNUMBER($F89)),
                SUMIF((OFFSET(CÁLCULO!$BS$15:$CS$15,$F89,0,OFFSET(ORÇAMENTO!$D$15,CRONO!$F89,0))),CRONO!AJ$12,OFFSET(CÁLCULO!$AR$15:$BR$15,$F89,0,OFFSET(ORÇAMENTO!$D$15,CRONO!$F89,0)))
                +IF(AND($F91&lt;&gt;"",$F91&lt;&gt;0),
                        SUMIF(CÁLCULO!$BS$15:$CS$244,CRONO!AJ$12,CÁLCULO!$AR$15:$BR$244)/(ORÇAMENTO!$X$15-CÁLCULO.TotalAdmLocal)*CRONO!$F91,
                        0),
                 AJ90*$S89),
          SUMIF(OFFSET($S91,1,0,$R89-2),($M89+1)&amp;"$",OFFSET(AJ91,1,0,$R89-2)))</f>
        <v>0</v>
      </c>
      <c r="AK91" s="202" cm="1">
        <f t="array" aca="1" ref="AK91" ca="1">IF($R89=2,
         IF(AND(ACOMPANHAMENTO="PLE",ISNUMBER($F89)),
                SUMIF((OFFSET(CÁLCULO!$BS$15:$CS$15,$F89,0,OFFSET(ORÇAMENTO!$D$15,CRONO!$F89,0))),CRONO!AK$12,OFFSET(CÁLCULO!$AR$15:$BR$15,$F89,0,OFFSET(ORÇAMENTO!$D$15,CRONO!$F89,0)))
                +IF(AND($F91&lt;&gt;"",$F91&lt;&gt;0),
                        SUMIF(CÁLCULO!$BS$15:$CS$244,CRONO!AK$12,CÁLCULO!$AR$15:$BR$244)/(ORÇAMENTO!$X$15-CÁLCULO.TotalAdmLocal)*CRONO!$F91,
                        0),
                 AK90*$S89),
          SUMIF(OFFSET($S91,1,0,$R89-2),($M89+1)&amp;"$",OFFSET(AK91,1,0,$R89-2)))</f>
        <v>0</v>
      </c>
      <c r="AL91" s="202" cm="1">
        <f t="array" aca="1" ref="AL91" ca="1">IF($R89=2,
         IF(AND(ACOMPANHAMENTO="PLE",ISNUMBER($F89)),
                SUMIF((OFFSET(CÁLCULO!$BS$15:$CS$15,$F89,0,OFFSET(ORÇAMENTO!$D$15,CRONO!$F89,0))),CRONO!AL$12,OFFSET(CÁLCULO!$AR$15:$BR$15,$F89,0,OFFSET(ORÇAMENTO!$D$15,CRONO!$F89,0)))
                +IF(AND($F91&lt;&gt;"",$F91&lt;&gt;0),
                        SUMIF(CÁLCULO!$BS$15:$CS$244,CRONO!AL$12,CÁLCULO!$AR$15:$BR$244)/(ORÇAMENTO!$X$15-CÁLCULO.TotalAdmLocal)*CRONO!$F91,
                        0),
                 AL90*$S89),
          SUMIF(OFFSET($S91,1,0,$R89-2),($M89+1)&amp;"$",OFFSET(AL91,1,0,$R89-2)))</f>
        <v>0</v>
      </c>
      <c r="AM91" s="202" cm="1">
        <f t="array" aca="1" ref="AM91" ca="1">IF($R89=2,
         IF(AND(ACOMPANHAMENTO="PLE",ISNUMBER($F89)),
                SUMIF((OFFSET(CÁLCULO!$BS$15:$CS$15,$F89,0,OFFSET(ORÇAMENTO!$D$15,CRONO!$F89,0))),CRONO!AM$12,OFFSET(CÁLCULO!$AR$15:$BR$15,$F89,0,OFFSET(ORÇAMENTO!$D$15,CRONO!$F89,0)))
                +IF(AND($F91&lt;&gt;"",$F91&lt;&gt;0),
                        SUMIF(CÁLCULO!$BS$15:$CS$244,CRONO!AM$12,CÁLCULO!$AR$15:$BR$244)/(ORÇAMENTO!$X$15-CÁLCULO.TotalAdmLocal)*CRONO!$F91,
                        0),
                 AM90*$S89),
          SUMIF(OFFSET($S91,1,0,$R89-2),($M89+1)&amp;"$",OFFSET(AM91,1,0,$R89-2)))</f>
        <v>0</v>
      </c>
      <c r="AN91" s="202" cm="1">
        <f t="array" aca="1" ref="AN91" ca="1">IF($R89=2,
         IF(AND(ACOMPANHAMENTO="PLE",ISNUMBER($F89)),
                SUMIF((OFFSET(CÁLCULO!$BS$15:$CS$15,$F89,0,OFFSET(ORÇAMENTO!$D$15,CRONO!$F89,0))),CRONO!AN$12,OFFSET(CÁLCULO!$AR$15:$BR$15,$F89,0,OFFSET(ORÇAMENTO!$D$15,CRONO!$F89,0)))
                +IF(AND($F91&lt;&gt;"",$F91&lt;&gt;0),
                        SUMIF(CÁLCULO!$BS$15:$CS$244,CRONO!AN$12,CÁLCULO!$AR$15:$BR$244)/(ORÇAMENTO!$X$15-CÁLCULO.TotalAdmLocal)*CRONO!$F91,
                        0),
                 AN90*$S89),
          SUMIF(OFFSET($S91,1,0,$R89-2),($M89+1)&amp;"$",OFFSET(AN91,1,0,$R89-2)))</f>
        <v>0</v>
      </c>
      <c r="AO91" s="202" cm="1">
        <f t="array" aca="1" ref="AO91" ca="1">IF($R89=2,
         IF(AND(ACOMPANHAMENTO="PLE",ISNUMBER($F89)),
                SUMIF((OFFSET(CÁLCULO!$BS$15:$CS$15,$F89,0,OFFSET(ORÇAMENTO!$D$15,CRONO!$F89,0))),CRONO!AO$12,OFFSET(CÁLCULO!$AR$15:$BR$15,$F89,0,OFFSET(ORÇAMENTO!$D$15,CRONO!$F89,0)))
                +IF(AND($F91&lt;&gt;"",$F91&lt;&gt;0),
                        SUMIF(CÁLCULO!$BS$15:$CS$244,CRONO!AO$12,CÁLCULO!$AR$15:$BR$244)/(ORÇAMENTO!$X$15-CÁLCULO.TotalAdmLocal)*CRONO!$F91,
                        0),
                 AO90*$S89),
          SUMIF(OFFSET($S91,1,0,$R89-2),($M89+1)&amp;"$",OFFSET(AO91,1,0,$R89-2)))</f>
        <v>0</v>
      </c>
      <c r="AP91" s="202" cm="1">
        <f t="array" aca="1" ref="AP91" ca="1">IF($R89=2,
         IF(AND(ACOMPANHAMENTO="PLE",ISNUMBER($F89)),
                SUMIF((OFFSET(CÁLCULO!$BS$15:$CS$15,$F89,0,OFFSET(ORÇAMENTO!$D$15,CRONO!$F89,0))),CRONO!AP$12,OFFSET(CÁLCULO!$AR$15:$BR$15,$F89,0,OFFSET(ORÇAMENTO!$D$15,CRONO!$F89,0)))
                +IF(AND($F91&lt;&gt;"",$F91&lt;&gt;0),
                        SUMIF(CÁLCULO!$BS$15:$CS$244,CRONO!AP$12,CÁLCULO!$AR$15:$BR$244)/(ORÇAMENTO!$X$15-CÁLCULO.TotalAdmLocal)*CRONO!$F91,
                        0),
                 AP90*$S89),
          SUMIF(OFFSET($S91,1,0,$R89-2),($M89+1)&amp;"$",OFFSET(AP91,1,0,$R89-2)))</f>
        <v>0</v>
      </c>
      <c r="AQ91" s="202" cm="1">
        <f t="array" aca="1" ref="AQ91" ca="1">IF($R89=2,
         IF(AND(ACOMPANHAMENTO="PLE",ISNUMBER($F89)),
                SUMIF((OFFSET(CÁLCULO!$BS$15:$CS$15,$F89,0,OFFSET(ORÇAMENTO!$D$15,CRONO!$F89,0))),CRONO!AQ$12,OFFSET(CÁLCULO!$AR$15:$BR$15,$F89,0,OFFSET(ORÇAMENTO!$D$15,CRONO!$F89,0)))
                +IF(AND($F91&lt;&gt;"",$F91&lt;&gt;0),
                        SUMIF(CÁLCULO!$BS$15:$CS$244,CRONO!AQ$12,CÁLCULO!$AR$15:$BR$244)/(ORÇAMENTO!$X$15-CÁLCULO.TotalAdmLocal)*CRONO!$F91,
                        0),
                 AQ90*$S89),
          SUMIF(OFFSET($S91,1,0,$R89-2),($M89+1)&amp;"$",OFFSET(AQ91,1,0,$R89-2)))</f>
        <v>0</v>
      </c>
      <c r="AR91" s="202" cm="1">
        <f t="array" aca="1" ref="AR91" ca="1">IF($R89=2,
         IF(AND(ACOMPANHAMENTO="PLE",ISNUMBER($F89)),
                SUMIF((OFFSET(CÁLCULO!$BS$15:$CS$15,$F89,0,OFFSET(ORÇAMENTO!$D$15,CRONO!$F89,0))),CRONO!AR$12,OFFSET(CÁLCULO!$AR$15:$BR$15,$F89,0,OFFSET(ORÇAMENTO!$D$15,CRONO!$F89,0)))
                +IF(AND($F91&lt;&gt;"",$F91&lt;&gt;0),
                        SUMIF(CÁLCULO!$BS$15:$CS$244,CRONO!AR$12,CÁLCULO!$AR$15:$BR$244)/(ORÇAMENTO!$X$15-CÁLCULO.TotalAdmLocal)*CRONO!$F91,
                        0),
                 AR90*$S89),
          SUMIF(OFFSET($S91,1,0,$R89-2),($M89+1)&amp;"$",OFFSET(AR91,1,0,$R89-2)))</f>
        <v>0</v>
      </c>
      <c r="AS91" s="534"/>
    </row>
    <row r="92" spans="1:45" x14ac:dyDescent="0.2">
      <c r="A92" s="186" t="str">
        <f t="shared" ref="A92" ca="1" si="158">IF($M92&gt;1,_xlfn.CONCAT($I92," ",$J92),"")</f>
        <v/>
      </c>
      <c r="B92" s="185">
        <f t="shared" ref="B92" ca="1" si="159">OFFSET(B92,-3,0)+1</f>
        <v>27</v>
      </c>
      <c r="C92" s="185">
        <f ca="1">IF($R92&lt;&gt;2,0,IF($S92=0,1,IF(F93&gt;0,OFFSET(QCI!$M$13,SUBSTITUTE(F93,".",""),0),OFFSET(ORÇAMENTO!$AA$15,CRONO!$F92,0))/$S92))</f>
        <v>0</v>
      </c>
      <c r="D92" s="185">
        <f ca="1">IF($R92&lt;&gt;2,0,IF($S92=0,1,IF(F93&gt;0,OFFSET(QCI!$N$13,SUBSTITUTE(F93,".",""),0),OFFSET(ORÇAMENTO!$AB$15,CRONO!$F92,0))/$S92))</f>
        <v>0</v>
      </c>
      <c r="E92" s="188" t="e" cm="1">
        <f t="array" aca="1" ref="E92" ca="1">IF(AND($R92=2,ACOMPANHAMENTO="BM"),ROUND(E93,4),E94/$S92)</f>
        <v>#DIV/0!</v>
      </c>
      <c r="F92" s="185" cm="1">
        <f t="array" aca="1" ref="F92" ca="1">IF(B92&lt;=ORÇAMENTO.MáximoListaCrono,MATCH(B92,ORÇAMENTO.ListaCrono,0),NA())</f>
        <v>99</v>
      </c>
      <c r="G92" s="185" t="str">
        <f t="shared" ref="G92" ca="1" si="160">IF(AND($F93&lt;&gt;-1,$S92&gt;0),"F","")</f>
        <v/>
      </c>
      <c r="H92" s="189" t="str" cm="1">
        <f t="array" aca="1" ref="H92" ca="1">IF(OR(S92=0,S92=""),"Linha",IF(AND(OR(ACOMPANHAMENTO="PLE",$R92&lt;&gt;2),$F93=0),"Linha",ROUND(1-SUM(U92:AS92),4)))</f>
        <v>Linha</v>
      </c>
      <c r="I92" s="190" t="str">
        <f ca="1">IF($F93=0,OFFSET(ORÇAMENTO!O$15,$F92,0),IF($F93&lt;&gt;-1,OFFSET(QCI!$D$13,$F93,0),""))</f>
        <v>8.</v>
      </c>
      <c r="J92" s="191" t="str">
        <f ca="1">IF($F93=0,OFFSET(ORÇAMENTO!R$15,$F92,0),IF($F93&lt;&gt;-1,OFFSET(QCI!$G$13,$F93,0),""))</f>
        <v>PAVIMENTAÇÕES</v>
      </c>
      <c r="K92" s="191"/>
      <c r="L92" s="191"/>
      <c r="M92" s="192">
        <f ca="1">IF($F93=0,OFFSET(ORÇAMENTO!C$15,$F92,0),1)</f>
        <v>1</v>
      </c>
      <c r="N92" s="193">
        <f ca="1">IF($F93=-1,0,IF(N$13&lt;=$M92,IF(ISERROR(MATCH(N$13,OFFSET($M92,1,0,ROW($M$164)-ROW($M92)-1),0)),ROW($M$164)-ROW($M92)-1,MATCH(N$13,OFFSET($M92,1,0,ROW($M$164)-ROW($M92)-1),0)-1),0))</f>
        <v>11</v>
      </c>
      <c r="O92" s="193">
        <f ca="1">IF($F93=-1,0,IF(O$13&lt;=$M92,IF(ISERROR(MATCH(O$13,OFFSET($M92,1,0,ROW($M$164)-ROW($M92)-1),0)),ROW($M$164)-ROW($M92)-1,MATCH(O$13,OFFSET($M92,1,0,ROW($M$164)-ROW($M92)-1),0)-1),0))</f>
        <v>0</v>
      </c>
      <c r="P92" s="193">
        <f ca="1">IF($F93=-1,0,IF(P$13&lt;=$M92,IF(ISERROR(MATCH(P$13,OFFSET($M92,1,0,ROW($M$164)-ROW($M92)-1),0)),ROW($M$164)-ROW($M92)-1,MATCH(P$13,OFFSET($M92,1,0,ROW($M$164)-ROW($M92)-1),0)-1),0))</f>
        <v>0</v>
      </c>
      <c r="Q92" s="193">
        <f ca="1">IF($F93=-1,0,IF(Q$13&lt;=$M92,IF(ISERROR(MATCH(Q$13,OFFSET($M92,1,0,ROW($M$164)-ROW($M92)-1),0)),ROW($M$164)-ROW($M92)-1,MATCH(Q$13,OFFSET($M92,1,0,ROW($M$164)-ROW($M92)-1),0)-1),0))</f>
        <v>0</v>
      </c>
      <c r="R92" s="193">
        <f t="shared" ref="R92" ca="1" si="161">MIN(OFFSET(M92,0,1,,M92))</f>
        <v>11</v>
      </c>
      <c r="S92" s="194">
        <f ca="1">IF($F93=0,OFFSET(ORÇAMENTO!X$15,$F92,0),IF($F93&lt;&gt;-1,OFFSET(QCI!$O$13,$F93,0),""))</f>
        <v>0</v>
      </c>
      <c r="T92" s="195" t="s">
        <v>785</v>
      </c>
      <c r="U92" s="188" t="e" cm="1">
        <f t="array" aca="1" ref="U92" ca="1">IF(AND($R92=2,ACOMPANHAMENTO="BM"),ROUND(U93,4),U94/$S92)</f>
        <v>#DIV/0!</v>
      </c>
      <c r="V92" s="188" t="e" cm="1">
        <f t="array" aca="1" ref="V92" ca="1">IF(AND($R92=2,ACOMPANHAMENTO="BM"),ROUND(V93,4),V94/$S92)</f>
        <v>#DIV/0!</v>
      </c>
      <c r="W92" s="188" t="e" cm="1">
        <f t="array" aca="1" ref="W92" ca="1">IF(AND($R92=2,ACOMPANHAMENTO="BM"),ROUND(W93,4),W94/$S92)</f>
        <v>#DIV/0!</v>
      </c>
      <c r="X92" s="188" t="e" cm="1">
        <f t="array" aca="1" ref="X92" ca="1">IF(AND($R92=2,ACOMPANHAMENTO="BM"),ROUND(X93,4),X94/$S92)</f>
        <v>#DIV/0!</v>
      </c>
      <c r="Y92" s="188" t="e" cm="1">
        <f t="array" aca="1" ref="Y92" ca="1">IF(AND($R92=2,ACOMPANHAMENTO="BM"),ROUND(Y93,4),Y94/$S92)</f>
        <v>#DIV/0!</v>
      </c>
      <c r="Z92" s="188" t="e" cm="1">
        <f t="array" aca="1" ref="Z92" ca="1">IF(AND($R92=2,ACOMPANHAMENTO="BM"),ROUND(Z93,4),Z94/$S92)</f>
        <v>#DIV/0!</v>
      </c>
      <c r="AA92" s="188" t="e" cm="1">
        <f t="array" aca="1" ref="AA92" ca="1">IF(AND($R92=2,ACOMPANHAMENTO="BM"),ROUND(AA93,4),AA94/$S92)</f>
        <v>#DIV/0!</v>
      </c>
      <c r="AB92" s="188" t="e" cm="1">
        <f t="array" aca="1" ref="AB92" ca="1">IF(AND($R92=2,ACOMPANHAMENTO="BM"),ROUND(AB93,4),AB94/$S92)</f>
        <v>#DIV/0!</v>
      </c>
      <c r="AC92" s="188" t="e" cm="1">
        <f t="array" aca="1" ref="AC92" ca="1">IF(AND($R92=2,ACOMPANHAMENTO="BM"),ROUND(AC93,4),AC94/$S92)</f>
        <v>#DIV/0!</v>
      </c>
      <c r="AD92" s="188" t="e" cm="1">
        <f t="array" aca="1" ref="AD92" ca="1">IF(AND($R92=2,ACOMPANHAMENTO="BM"),ROUND(AD93,4),AD94/$S92)</f>
        <v>#DIV/0!</v>
      </c>
      <c r="AE92" s="188" t="e" cm="1">
        <f t="array" aca="1" ref="AE92" ca="1">IF(AND($R92=2,ACOMPANHAMENTO="BM"),ROUND(AE93,4),AE94/$S92)</f>
        <v>#DIV/0!</v>
      </c>
      <c r="AF92" s="188" t="e" cm="1">
        <f t="array" aca="1" ref="AF92" ca="1">IF(AND($R92=2,ACOMPANHAMENTO="BM"),ROUND(AF93,4),AF94/$S92)</f>
        <v>#DIV/0!</v>
      </c>
      <c r="AG92" s="188" t="e" cm="1">
        <f t="array" aca="1" ref="AG92" ca="1">IF(AND($R92=2,ACOMPANHAMENTO="BM"),ROUND(AG93,4),AG94/$S92)</f>
        <v>#DIV/0!</v>
      </c>
      <c r="AH92" s="188" t="e" cm="1">
        <f t="array" aca="1" ref="AH92" ca="1">IF(AND($R92=2,ACOMPANHAMENTO="BM"),ROUND(AH93,4),AH94/$S92)</f>
        <v>#DIV/0!</v>
      </c>
      <c r="AI92" s="188" t="e" cm="1">
        <f t="array" aca="1" ref="AI92" ca="1">IF(AND($R92=2,ACOMPANHAMENTO="BM"),ROUND(AI93,4),AI94/$S92)</f>
        <v>#DIV/0!</v>
      </c>
      <c r="AJ92" s="188" t="e" cm="1">
        <f t="array" aca="1" ref="AJ92" ca="1">IF(AND($R92=2,ACOMPANHAMENTO="BM"),ROUND(AJ93,4),AJ94/$S92)</f>
        <v>#DIV/0!</v>
      </c>
      <c r="AK92" s="188" t="e" cm="1">
        <f t="array" aca="1" ref="AK92" ca="1">IF(AND($R92=2,ACOMPANHAMENTO="BM"),ROUND(AK93,4),AK94/$S92)</f>
        <v>#DIV/0!</v>
      </c>
      <c r="AL92" s="188" t="e" cm="1">
        <f t="array" aca="1" ref="AL92" ca="1">IF(AND($R92=2,ACOMPANHAMENTO="BM"),ROUND(AL93,4),AL94/$S92)</f>
        <v>#DIV/0!</v>
      </c>
      <c r="AM92" s="188" t="e" cm="1">
        <f t="array" aca="1" ref="AM92" ca="1">IF(AND($R92=2,ACOMPANHAMENTO="BM"),ROUND(AM93,4),AM94/$S92)</f>
        <v>#DIV/0!</v>
      </c>
      <c r="AN92" s="188" t="e" cm="1">
        <f t="array" aca="1" ref="AN92" ca="1">IF(AND($R92=2,ACOMPANHAMENTO="BM"),ROUND(AN93,4),AN94/$S92)</f>
        <v>#DIV/0!</v>
      </c>
      <c r="AO92" s="188" t="e" cm="1">
        <f t="array" aca="1" ref="AO92" ca="1">IF(AND($R92=2,ACOMPANHAMENTO="BM"),ROUND(AO93,4),AO94/$S92)</f>
        <v>#DIV/0!</v>
      </c>
      <c r="AP92" s="188" t="e" cm="1">
        <f t="array" aca="1" ref="AP92" ca="1">IF(AND($R92=2,ACOMPANHAMENTO="BM"),ROUND(AP93,4),AP94/$S92)</f>
        <v>#DIV/0!</v>
      </c>
      <c r="AQ92" s="188" t="e" cm="1">
        <f t="array" aca="1" ref="AQ92" ca="1">IF(AND($R92=2,ACOMPANHAMENTO="BM"),ROUND(AQ93,4),AQ94/$S92)</f>
        <v>#DIV/0!</v>
      </c>
      <c r="AR92" s="188" t="e" cm="1">
        <f t="array" aca="1" ref="AR92" ca="1">IF(AND($R92=2,ACOMPANHAMENTO="BM"),ROUND(AR93,4),AR94/$S92)</f>
        <v>#DIV/0!</v>
      </c>
      <c r="AS92" s="534"/>
    </row>
    <row r="93" spans="1:45" ht="12.75" hidden="1" customHeight="1" x14ac:dyDescent="0.2">
      <c r="E93" s="587"/>
      <c r="F93" s="185">
        <f ca="1">IF(ISERROR(F92),IF(1+COUNTIF($M$13:OFFSET(M92,-1,0),1)&lt;=MAX(QCI!$D$13:$D$24),1+COUNTIF($M$13:OFFSET(M92,-1,0),1),-1),0)</f>
        <v>0</v>
      </c>
      <c r="G93" s="185" t="str" cm="1">
        <f t="array" aca="1" ref="G93" ca="1">IF(ACOMPANHAMENTO="BM",OFFSET(G93,-1,0),"")</f>
        <v/>
      </c>
      <c r="H93" s="196" t="str" cm="1">
        <f t="array" aca="1" ref="H93" ca="1">IF(OR(S92=0,S92=""),"vazia",IF(AND(OR(ACOMPANHAMENTO="PLE",$R92&lt;&gt;2),$F93=0),"calculada","--&gt;"))</f>
        <v>vazia</v>
      </c>
      <c r="I93" s="197"/>
      <c r="J93" s="198" t="str">
        <f t="shared" ref="J93" ca="1" si="162">IF(AND(H92&lt;&gt;0,ISNUMBER(H92)),"PREENCHA ESTA LINHA --&gt;","")</f>
        <v/>
      </c>
      <c r="K93" s="198"/>
      <c r="L93" s="198"/>
      <c r="M93" s="199"/>
      <c r="N93" s="199"/>
      <c r="O93" s="199"/>
      <c r="P93" s="199"/>
      <c r="Q93" s="199"/>
      <c r="R93" s="199"/>
      <c r="S93" s="200"/>
      <c r="T93" s="201"/>
      <c r="U93" s="587"/>
      <c r="V93" s="587"/>
      <c r="W93" s="587"/>
      <c r="X93" s="587"/>
      <c r="Y93" s="587"/>
      <c r="Z93" s="587"/>
      <c r="AA93" s="587"/>
      <c r="AB93" s="587"/>
      <c r="AC93" s="587"/>
      <c r="AD93" s="587"/>
      <c r="AE93" s="587"/>
      <c r="AF93" s="587"/>
      <c r="AG93" s="587"/>
      <c r="AH93" s="587"/>
      <c r="AI93" s="587"/>
      <c r="AJ93" s="587"/>
      <c r="AK93" s="587"/>
      <c r="AL93" s="587"/>
      <c r="AM93" s="587"/>
      <c r="AN93" s="587"/>
      <c r="AO93" s="587"/>
      <c r="AP93" s="587"/>
      <c r="AQ93" s="587"/>
      <c r="AR93" s="587"/>
      <c r="AS93" s="534"/>
    </row>
    <row r="94" spans="1:45" ht="12.75" hidden="1" customHeight="1" x14ac:dyDescent="0.2">
      <c r="D94" s="533"/>
      <c r="E94" s="202" cm="1">
        <f t="array" aca="1" ref="E94" ca="1">IF($R92=2,
         IF(AND(ACOMPANHAMENTO="PLE",ISNUMBER($F92)),
                SUMIF((OFFSET(CÁLCULO!$BS$15:$CS$15,$F92,0,OFFSET(ORÇAMENTO!$D$15,CRONO!$F92,0))),CRONO!E$12,OFFSET(CÁLCULO!$AR$15:$BR$15,$F92,0,OFFSET(ORÇAMENTO!$D$15,CRONO!$F92,0)))
                +IF(AND($F94&lt;&gt;"",$F94&lt;&gt;0),
                        SUMIF(CÁLCULO!$BS$15:$CS$244,CRONO!E$12,CÁLCULO!$AR$15:$BR$244)/(ORÇAMENTO!$X$15-CÁLCULO.TotalAdmLocal)*CRONO!$F94,
                        0),
                 E93*$S92),
          SUMIF(OFFSET($S94,1,0,$R92-2),($M92+1)&amp;"$",OFFSET(E94,1,0,$R92-2)))</f>
        <v>0</v>
      </c>
      <c r="F94" s="185" t="str">
        <f ca="1">IF(OR($R92&lt;&gt;2,AUTOEVENTO&lt;&gt;"manual",$F93&gt;0),"",
        IF(Import.TipoArredondamento="Tradicional",
              SUMIF(OFFSET(CÁLCULO!$M$15,CRONO!$F92,0,OFFSET(ORÇAMENTO!$D$15,CRONO!$F92,0)),1,OFFSET(ORÇAMENTO!$X$15,CRONO!$F92,0,OFFSET(ORÇAMENTO!$D$15,CRONO!$F92,0))),
              0))</f>
        <v/>
      </c>
      <c r="H94" s="203"/>
      <c r="S94" s="204" t="str">
        <f t="shared" ref="S94" ca="1" si="163">M92&amp;"$"</f>
        <v>1$</v>
      </c>
      <c r="T94" s="205"/>
      <c r="U94" s="202" cm="1">
        <f t="array" aca="1" ref="U94" ca="1">IF($R92=2,
         IF(AND(ACOMPANHAMENTO="PLE",ISNUMBER($F92)),
                SUMIF((OFFSET(CÁLCULO!$BS$15:$CS$15,$F92,0,OFFSET(ORÇAMENTO!$D$15,CRONO!$F92,0))),CRONO!U$12,OFFSET(CÁLCULO!$AR$15:$BR$15,$F92,0,OFFSET(ORÇAMENTO!$D$15,CRONO!$F92,0)))
                +IF(AND($F94&lt;&gt;"",$F94&lt;&gt;0),
                        SUMIF(CÁLCULO!$BS$15:$CS$244,CRONO!U$12,CÁLCULO!$AR$15:$BR$244)/(ORÇAMENTO!$X$15-CÁLCULO.TotalAdmLocal)*CRONO!$F94,
                        0),
                 U93*$S92),
          SUMIF(OFFSET($S94,1,0,$R92-2),($M92+1)&amp;"$",OFFSET(U94,1,0,$R92-2)))</f>
        <v>0</v>
      </c>
      <c r="V94" s="202" cm="1">
        <f t="array" aca="1" ref="V94" ca="1">IF($R92=2,
         IF(AND(ACOMPANHAMENTO="PLE",ISNUMBER($F92)),
                SUMIF((OFFSET(CÁLCULO!$BS$15:$CS$15,$F92,0,OFFSET(ORÇAMENTO!$D$15,CRONO!$F92,0))),CRONO!V$12,OFFSET(CÁLCULO!$AR$15:$BR$15,$F92,0,OFFSET(ORÇAMENTO!$D$15,CRONO!$F92,0)))
                +IF(AND($F94&lt;&gt;"",$F94&lt;&gt;0),
                        SUMIF(CÁLCULO!$BS$15:$CS$244,CRONO!V$12,CÁLCULO!$AR$15:$BR$244)/(ORÇAMENTO!$X$15-CÁLCULO.TotalAdmLocal)*CRONO!$F94,
                        0),
                 V93*$S92),
          SUMIF(OFFSET($S94,1,0,$R92-2),($M92+1)&amp;"$",OFFSET(V94,1,0,$R92-2)))</f>
        <v>0</v>
      </c>
      <c r="W94" s="202" cm="1">
        <f t="array" aca="1" ref="W94" ca="1">IF($R92=2,
         IF(AND(ACOMPANHAMENTO="PLE",ISNUMBER($F92)),
                SUMIF((OFFSET(CÁLCULO!$BS$15:$CS$15,$F92,0,OFFSET(ORÇAMENTO!$D$15,CRONO!$F92,0))),CRONO!W$12,OFFSET(CÁLCULO!$AR$15:$BR$15,$F92,0,OFFSET(ORÇAMENTO!$D$15,CRONO!$F92,0)))
                +IF(AND($F94&lt;&gt;"",$F94&lt;&gt;0),
                        SUMIF(CÁLCULO!$BS$15:$CS$244,CRONO!W$12,CÁLCULO!$AR$15:$BR$244)/(ORÇAMENTO!$X$15-CÁLCULO.TotalAdmLocal)*CRONO!$F94,
                        0),
                 W93*$S92),
          SUMIF(OFFSET($S94,1,0,$R92-2),($M92+1)&amp;"$",OFFSET(W94,1,0,$R92-2)))</f>
        <v>0</v>
      </c>
      <c r="X94" s="202" cm="1">
        <f t="array" aca="1" ref="X94" ca="1">IF($R92=2,
         IF(AND(ACOMPANHAMENTO="PLE",ISNUMBER($F92)),
                SUMIF((OFFSET(CÁLCULO!$BS$15:$CS$15,$F92,0,OFFSET(ORÇAMENTO!$D$15,CRONO!$F92,0))),CRONO!X$12,OFFSET(CÁLCULO!$AR$15:$BR$15,$F92,0,OFFSET(ORÇAMENTO!$D$15,CRONO!$F92,0)))
                +IF(AND($F94&lt;&gt;"",$F94&lt;&gt;0),
                        SUMIF(CÁLCULO!$BS$15:$CS$244,CRONO!X$12,CÁLCULO!$AR$15:$BR$244)/(ORÇAMENTO!$X$15-CÁLCULO.TotalAdmLocal)*CRONO!$F94,
                        0),
                 X93*$S92),
          SUMIF(OFFSET($S94,1,0,$R92-2),($M92+1)&amp;"$",OFFSET(X94,1,0,$R92-2)))</f>
        <v>0</v>
      </c>
      <c r="Y94" s="202" cm="1">
        <f t="array" aca="1" ref="Y94" ca="1">IF($R92=2,
         IF(AND(ACOMPANHAMENTO="PLE",ISNUMBER($F92)),
                SUMIF((OFFSET(CÁLCULO!$BS$15:$CS$15,$F92,0,OFFSET(ORÇAMENTO!$D$15,CRONO!$F92,0))),CRONO!Y$12,OFFSET(CÁLCULO!$AR$15:$BR$15,$F92,0,OFFSET(ORÇAMENTO!$D$15,CRONO!$F92,0)))
                +IF(AND($F94&lt;&gt;"",$F94&lt;&gt;0),
                        SUMIF(CÁLCULO!$BS$15:$CS$244,CRONO!Y$12,CÁLCULO!$AR$15:$BR$244)/(ORÇAMENTO!$X$15-CÁLCULO.TotalAdmLocal)*CRONO!$F94,
                        0),
                 Y93*$S92),
          SUMIF(OFFSET($S94,1,0,$R92-2),($M92+1)&amp;"$",OFFSET(Y94,1,0,$R92-2)))</f>
        <v>0</v>
      </c>
      <c r="Z94" s="202" cm="1">
        <f t="array" aca="1" ref="Z94" ca="1">IF($R92=2,
         IF(AND(ACOMPANHAMENTO="PLE",ISNUMBER($F92)),
                SUMIF((OFFSET(CÁLCULO!$BS$15:$CS$15,$F92,0,OFFSET(ORÇAMENTO!$D$15,CRONO!$F92,0))),CRONO!Z$12,OFFSET(CÁLCULO!$AR$15:$BR$15,$F92,0,OFFSET(ORÇAMENTO!$D$15,CRONO!$F92,0)))
                +IF(AND($F94&lt;&gt;"",$F94&lt;&gt;0),
                        SUMIF(CÁLCULO!$BS$15:$CS$244,CRONO!Z$12,CÁLCULO!$AR$15:$BR$244)/(ORÇAMENTO!$X$15-CÁLCULO.TotalAdmLocal)*CRONO!$F94,
                        0),
                 Z93*$S92),
          SUMIF(OFFSET($S94,1,0,$R92-2),($M92+1)&amp;"$",OFFSET(Z94,1,0,$R92-2)))</f>
        <v>0</v>
      </c>
      <c r="AA94" s="202" cm="1">
        <f t="array" aca="1" ref="AA94" ca="1">IF($R92=2,
         IF(AND(ACOMPANHAMENTO="PLE",ISNUMBER($F92)),
                SUMIF((OFFSET(CÁLCULO!$BS$15:$CS$15,$F92,0,OFFSET(ORÇAMENTO!$D$15,CRONO!$F92,0))),CRONO!AA$12,OFFSET(CÁLCULO!$AR$15:$BR$15,$F92,0,OFFSET(ORÇAMENTO!$D$15,CRONO!$F92,0)))
                +IF(AND($F94&lt;&gt;"",$F94&lt;&gt;0),
                        SUMIF(CÁLCULO!$BS$15:$CS$244,CRONO!AA$12,CÁLCULO!$AR$15:$BR$244)/(ORÇAMENTO!$X$15-CÁLCULO.TotalAdmLocal)*CRONO!$F94,
                        0),
                 AA93*$S92),
          SUMIF(OFFSET($S94,1,0,$R92-2),($M92+1)&amp;"$",OFFSET(AA94,1,0,$R92-2)))</f>
        <v>0</v>
      </c>
      <c r="AB94" s="202" cm="1">
        <f t="array" aca="1" ref="AB94" ca="1">IF($R92=2,
         IF(AND(ACOMPANHAMENTO="PLE",ISNUMBER($F92)),
                SUMIF((OFFSET(CÁLCULO!$BS$15:$CS$15,$F92,0,OFFSET(ORÇAMENTO!$D$15,CRONO!$F92,0))),CRONO!AB$12,OFFSET(CÁLCULO!$AR$15:$BR$15,$F92,0,OFFSET(ORÇAMENTO!$D$15,CRONO!$F92,0)))
                +IF(AND($F94&lt;&gt;"",$F94&lt;&gt;0),
                        SUMIF(CÁLCULO!$BS$15:$CS$244,CRONO!AB$12,CÁLCULO!$AR$15:$BR$244)/(ORÇAMENTO!$X$15-CÁLCULO.TotalAdmLocal)*CRONO!$F94,
                        0),
                 AB93*$S92),
          SUMIF(OFFSET($S94,1,0,$R92-2),($M92+1)&amp;"$",OFFSET(AB94,1,0,$R92-2)))</f>
        <v>0</v>
      </c>
      <c r="AC94" s="202" cm="1">
        <f t="array" aca="1" ref="AC94" ca="1">IF($R92=2,
         IF(AND(ACOMPANHAMENTO="PLE",ISNUMBER($F92)),
                SUMIF((OFFSET(CÁLCULO!$BS$15:$CS$15,$F92,0,OFFSET(ORÇAMENTO!$D$15,CRONO!$F92,0))),CRONO!AC$12,OFFSET(CÁLCULO!$AR$15:$BR$15,$F92,0,OFFSET(ORÇAMENTO!$D$15,CRONO!$F92,0)))
                +IF(AND($F94&lt;&gt;"",$F94&lt;&gt;0),
                        SUMIF(CÁLCULO!$BS$15:$CS$244,CRONO!AC$12,CÁLCULO!$AR$15:$BR$244)/(ORÇAMENTO!$X$15-CÁLCULO.TotalAdmLocal)*CRONO!$F94,
                        0),
                 AC93*$S92),
          SUMIF(OFFSET($S94,1,0,$R92-2),($M92+1)&amp;"$",OFFSET(AC94,1,0,$R92-2)))</f>
        <v>0</v>
      </c>
      <c r="AD94" s="202" cm="1">
        <f t="array" aca="1" ref="AD94" ca="1">IF($R92=2,
         IF(AND(ACOMPANHAMENTO="PLE",ISNUMBER($F92)),
                SUMIF((OFFSET(CÁLCULO!$BS$15:$CS$15,$F92,0,OFFSET(ORÇAMENTO!$D$15,CRONO!$F92,0))),CRONO!AD$12,OFFSET(CÁLCULO!$AR$15:$BR$15,$F92,0,OFFSET(ORÇAMENTO!$D$15,CRONO!$F92,0)))
                +IF(AND($F94&lt;&gt;"",$F94&lt;&gt;0),
                        SUMIF(CÁLCULO!$BS$15:$CS$244,CRONO!AD$12,CÁLCULO!$AR$15:$BR$244)/(ORÇAMENTO!$X$15-CÁLCULO.TotalAdmLocal)*CRONO!$F94,
                        0),
                 AD93*$S92),
          SUMIF(OFFSET($S94,1,0,$R92-2),($M92+1)&amp;"$",OFFSET(AD94,1,0,$R92-2)))</f>
        <v>0</v>
      </c>
      <c r="AE94" s="202" cm="1">
        <f t="array" aca="1" ref="AE94" ca="1">IF($R92=2,
         IF(AND(ACOMPANHAMENTO="PLE",ISNUMBER($F92)),
                SUMIF((OFFSET(CÁLCULO!$BS$15:$CS$15,$F92,0,OFFSET(ORÇAMENTO!$D$15,CRONO!$F92,0))),CRONO!AE$12,OFFSET(CÁLCULO!$AR$15:$BR$15,$F92,0,OFFSET(ORÇAMENTO!$D$15,CRONO!$F92,0)))
                +IF(AND($F94&lt;&gt;"",$F94&lt;&gt;0),
                        SUMIF(CÁLCULO!$BS$15:$CS$244,CRONO!AE$12,CÁLCULO!$AR$15:$BR$244)/(ORÇAMENTO!$X$15-CÁLCULO.TotalAdmLocal)*CRONO!$F94,
                        0),
                 AE93*$S92),
          SUMIF(OFFSET($S94,1,0,$R92-2),($M92+1)&amp;"$",OFFSET(AE94,1,0,$R92-2)))</f>
        <v>0</v>
      </c>
      <c r="AF94" s="202" cm="1">
        <f t="array" aca="1" ref="AF94" ca="1">IF($R92=2,
         IF(AND(ACOMPANHAMENTO="PLE",ISNUMBER($F92)),
                SUMIF((OFFSET(CÁLCULO!$BS$15:$CS$15,$F92,0,OFFSET(ORÇAMENTO!$D$15,CRONO!$F92,0))),CRONO!AF$12,OFFSET(CÁLCULO!$AR$15:$BR$15,$F92,0,OFFSET(ORÇAMENTO!$D$15,CRONO!$F92,0)))
                +IF(AND($F94&lt;&gt;"",$F94&lt;&gt;0),
                        SUMIF(CÁLCULO!$BS$15:$CS$244,CRONO!AF$12,CÁLCULO!$AR$15:$BR$244)/(ORÇAMENTO!$X$15-CÁLCULO.TotalAdmLocal)*CRONO!$F94,
                        0),
                 AF93*$S92),
          SUMIF(OFFSET($S94,1,0,$R92-2),($M92+1)&amp;"$",OFFSET(AF94,1,0,$R92-2)))</f>
        <v>0</v>
      </c>
      <c r="AG94" s="202" cm="1">
        <f t="array" aca="1" ref="AG94" ca="1">IF($R92=2,
         IF(AND(ACOMPANHAMENTO="PLE",ISNUMBER($F92)),
                SUMIF((OFFSET(CÁLCULO!$BS$15:$CS$15,$F92,0,OFFSET(ORÇAMENTO!$D$15,CRONO!$F92,0))),CRONO!AG$12,OFFSET(CÁLCULO!$AR$15:$BR$15,$F92,0,OFFSET(ORÇAMENTO!$D$15,CRONO!$F92,0)))
                +IF(AND($F94&lt;&gt;"",$F94&lt;&gt;0),
                        SUMIF(CÁLCULO!$BS$15:$CS$244,CRONO!AG$12,CÁLCULO!$AR$15:$BR$244)/(ORÇAMENTO!$X$15-CÁLCULO.TotalAdmLocal)*CRONO!$F94,
                        0),
                 AG93*$S92),
          SUMIF(OFFSET($S94,1,0,$R92-2),($M92+1)&amp;"$",OFFSET(AG94,1,0,$R92-2)))</f>
        <v>0</v>
      </c>
      <c r="AH94" s="202" cm="1">
        <f t="array" aca="1" ref="AH94" ca="1">IF($R92=2,
         IF(AND(ACOMPANHAMENTO="PLE",ISNUMBER($F92)),
                SUMIF((OFFSET(CÁLCULO!$BS$15:$CS$15,$F92,0,OFFSET(ORÇAMENTO!$D$15,CRONO!$F92,0))),CRONO!AH$12,OFFSET(CÁLCULO!$AR$15:$BR$15,$F92,0,OFFSET(ORÇAMENTO!$D$15,CRONO!$F92,0)))
                +IF(AND($F94&lt;&gt;"",$F94&lt;&gt;0),
                        SUMIF(CÁLCULO!$BS$15:$CS$244,CRONO!AH$12,CÁLCULO!$AR$15:$BR$244)/(ORÇAMENTO!$X$15-CÁLCULO.TotalAdmLocal)*CRONO!$F94,
                        0),
                 AH93*$S92),
          SUMIF(OFFSET($S94,1,0,$R92-2),($M92+1)&amp;"$",OFFSET(AH94,1,0,$R92-2)))</f>
        <v>0</v>
      </c>
      <c r="AI94" s="202" cm="1">
        <f t="array" aca="1" ref="AI94" ca="1">IF($R92=2,
         IF(AND(ACOMPANHAMENTO="PLE",ISNUMBER($F92)),
                SUMIF((OFFSET(CÁLCULO!$BS$15:$CS$15,$F92,0,OFFSET(ORÇAMENTO!$D$15,CRONO!$F92,0))),CRONO!AI$12,OFFSET(CÁLCULO!$AR$15:$BR$15,$F92,0,OFFSET(ORÇAMENTO!$D$15,CRONO!$F92,0)))
                +IF(AND($F94&lt;&gt;"",$F94&lt;&gt;0),
                        SUMIF(CÁLCULO!$BS$15:$CS$244,CRONO!AI$12,CÁLCULO!$AR$15:$BR$244)/(ORÇAMENTO!$X$15-CÁLCULO.TotalAdmLocal)*CRONO!$F94,
                        0),
                 AI93*$S92),
          SUMIF(OFFSET($S94,1,0,$R92-2),($M92+1)&amp;"$",OFFSET(AI94,1,0,$R92-2)))</f>
        <v>0</v>
      </c>
      <c r="AJ94" s="202" cm="1">
        <f t="array" aca="1" ref="AJ94" ca="1">IF($R92=2,
         IF(AND(ACOMPANHAMENTO="PLE",ISNUMBER($F92)),
                SUMIF((OFFSET(CÁLCULO!$BS$15:$CS$15,$F92,0,OFFSET(ORÇAMENTO!$D$15,CRONO!$F92,0))),CRONO!AJ$12,OFFSET(CÁLCULO!$AR$15:$BR$15,$F92,0,OFFSET(ORÇAMENTO!$D$15,CRONO!$F92,0)))
                +IF(AND($F94&lt;&gt;"",$F94&lt;&gt;0),
                        SUMIF(CÁLCULO!$BS$15:$CS$244,CRONO!AJ$12,CÁLCULO!$AR$15:$BR$244)/(ORÇAMENTO!$X$15-CÁLCULO.TotalAdmLocal)*CRONO!$F94,
                        0),
                 AJ93*$S92),
          SUMIF(OFFSET($S94,1,0,$R92-2),($M92+1)&amp;"$",OFFSET(AJ94,1,0,$R92-2)))</f>
        <v>0</v>
      </c>
      <c r="AK94" s="202" cm="1">
        <f t="array" aca="1" ref="AK94" ca="1">IF($R92=2,
         IF(AND(ACOMPANHAMENTO="PLE",ISNUMBER($F92)),
                SUMIF((OFFSET(CÁLCULO!$BS$15:$CS$15,$F92,0,OFFSET(ORÇAMENTO!$D$15,CRONO!$F92,0))),CRONO!AK$12,OFFSET(CÁLCULO!$AR$15:$BR$15,$F92,0,OFFSET(ORÇAMENTO!$D$15,CRONO!$F92,0)))
                +IF(AND($F94&lt;&gt;"",$F94&lt;&gt;0),
                        SUMIF(CÁLCULO!$BS$15:$CS$244,CRONO!AK$12,CÁLCULO!$AR$15:$BR$244)/(ORÇAMENTO!$X$15-CÁLCULO.TotalAdmLocal)*CRONO!$F94,
                        0),
                 AK93*$S92),
          SUMIF(OFFSET($S94,1,0,$R92-2),($M92+1)&amp;"$",OFFSET(AK94,1,0,$R92-2)))</f>
        <v>0</v>
      </c>
      <c r="AL94" s="202" cm="1">
        <f t="array" aca="1" ref="AL94" ca="1">IF($R92=2,
         IF(AND(ACOMPANHAMENTO="PLE",ISNUMBER($F92)),
                SUMIF((OFFSET(CÁLCULO!$BS$15:$CS$15,$F92,0,OFFSET(ORÇAMENTO!$D$15,CRONO!$F92,0))),CRONO!AL$12,OFFSET(CÁLCULO!$AR$15:$BR$15,$F92,0,OFFSET(ORÇAMENTO!$D$15,CRONO!$F92,0)))
                +IF(AND($F94&lt;&gt;"",$F94&lt;&gt;0),
                        SUMIF(CÁLCULO!$BS$15:$CS$244,CRONO!AL$12,CÁLCULO!$AR$15:$BR$244)/(ORÇAMENTO!$X$15-CÁLCULO.TotalAdmLocal)*CRONO!$F94,
                        0),
                 AL93*$S92),
          SUMIF(OFFSET($S94,1,0,$R92-2),($M92+1)&amp;"$",OFFSET(AL94,1,0,$R92-2)))</f>
        <v>0</v>
      </c>
      <c r="AM94" s="202" cm="1">
        <f t="array" aca="1" ref="AM94" ca="1">IF($R92=2,
         IF(AND(ACOMPANHAMENTO="PLE",ISNUMBER($F92)),
                SUMIF((OFFSET(CÁLCULO!$BS$15:$CS$15,$F92,0,OFFSET(ORÇAMENTO!$D$15,CRONO!$F92,0))),CRONO!AM$12,OFFSET(CÁLCULO!$AR$15:$BR$15,$F92,0,OFFSET(ORÇAMENTO!$D$15,CRONO!$F92,0)))
                +IF(AND($F94&lt;&gt;"",$F94&lt;&gt;0),
                        SUMIF(CÁLCULO!$BS$15:$CS$244,CRONO!AM$12,CÁLCULO!$AR$15:$BR$244)/(ORÇAMENTO!$X$15-CÁLCULO.TotalAdmLocal)*CRONO!$F94,
                        0),
                 AM93*$S92),
          SUMIF(OFFSET($S94,1,0,$R92-2),($M92+1)&amp;"$",OFFSET(AM94,1,0,$R92-2)))</f>
        <v>0</v>
      </c>
      <c r="AN94" s="202" cm="1">
        <f t="array" aca="1" ref="AN94" ca="1">IF($R92=2,
         IF(AND(ACOMPANHAMENTO="PLE",ISNUMBER($F92)),
                SUMIF((OFFSET(CÁLCULO!$BS$15:$CS$15,$F92,0,OFFSET(ORÇAMENTO!$D$15,CRONO!$F92,0))),CRONO!AN$12,OFFSET(CÁLCULO!$AR$15:$BR$15,$F92,0,OFFSET(ORÇAMENTO!$D$15,CRONO!$F92,0)))
                +IF(AND($F94&lt;&gt;"",$F94&lt;&gt;0),
                        SUMIF(CÁLCULO!$BS$15:$CS$244,CRONO!AN$12,CÁLCULO!$AR$15:$BR$244)/(ORÇAMENTO!$X$15-CÁLCULO.TotalAdmLocal)*CRONO!$F94,
                        0),
                 AN93*$S92),
          SUMIF(OFFSET($S94,1,0,$R92-2),($M92+1)&amp;"$",OFFSET(AN94,1,0,$R92-2)))</f>
        <v>0</v>
      </c>
      <c r="AO94" s="202" cm="1">
        <f t="array" aca="1" ref="AO94" ca="1">IF($R92=2,
         IF(AND(ACOMPANHAMENTO="PLE",ISNUMBER($F92)),
                SUMIF((OFFSET(CÁLCULO!$BS$15:$CS$15,$F92,0,OFFSET(ORÇAMENTO!$D$15,CRONO!$F92,0))),CRONO!AO$12,OFFSET(CÁLCULO!$AR$15:$BR$15,$F92,0,OFFSET(ORÇAMENTO!$D$15,CRONO!$F92,0)))
                +IF(AND($F94&lt;&gt;"",$F94&lt;&gt;0),
                        SUMIF(CÁLCULO!$BS$15:$CS$244,CRONO!AO$12,CÁLCULO!$AR$15:$BR$244)/(ORÇAMENTO!$X$15-CÁLCULO.TotalAdmLocal)*CRONO!$F94,
                        0),
                 AO93*$S92),
          SUMIF(OFFSET($S94,1,0,$R92-2),($M92+1)&amp;"$",OFFSET(AO94,1,0,$R92-2)))</f>
        <v>0</v>
      </c>
      <c r="AP94" s="202" cm="1">
        <f t="array" aca="1" ref="AP94" ca="1">IF($R92=2,
         IF(AND(ACOMPANHAMENTO="PLE",ISNUMBER($F92)),
                SUMIF((OFFSET(CÁLCULO!$BS$15:$CS$15,$F92,0,OFFSET(ORÇAMENTO!$D$15,CRONO!$F92,0))),CRONO!AP$12,OFFSET(CÁLCULO!$AR$15:$BR$15,$F92,0,OFFSET(ORÇAMENTO!$D$15,CRONO!$F92,0)))
                +IF(AND($F94&lt;&gt;"",$F94&lt;&gt;0),
                        SUMIF(CÁLCULO!$BS$15:$CS$244,CRONO!AP$12,CÁLCULO!$AR$15:$BR$244)/(ORÇAMENTO!$X$15-CÁLCULO.TotalAdmLocal)*CRONO!$F94,
                        0),
                 AP93*$S92),
          SUMIF(OFFSET($S94,1,0,$R92-2),($M92+1)&amp;"$",OFFSET(AP94,1,0,$R92-2)))</f>
        <v>0</v>
      </c>
      <c r="AQ94" s="202" cm="1">
        <f t="array" aca="1" ref="AQ94" ca="1">IF($R92=2,
         IF(AND(ACOMPANHAMENTO="PLE",ISNUMBER($F92)),
                SUMIF((OFFSET(CÁLCULO!$BS$15:$CS$15,$F92,0,OFFSET(ORÇAMENTO!$D$15,CRONO!$F92,0))),CRONO!AQ$12,OFFSET(CÁLCULO!$AR$15:$BR$15,$F92,0,OFFSET(ORÇAMENTO!$D$15,CRONO!$F92,0)))
                +IF(AND($F94&lt;&gt;"",$F94&lt;&gt;0),
                        SUMIF(CÁLCULO!$BS$15:$CS$244,CRONO!AQ$12,CÁLCULO!$AR$15:$BR$244)/(ORÇAMENTO!$X$15-CÁLCULO.TotalAdmLocal)*CRONO!$F94,
                        0),
                 AQ93*$S92),
          SUMIF(OFFSET($S94,1,0,$R92-2),($M92+1)&amp;"$",OFFSET(AQ94,1,0,$R92-2)))</f>
        <v>0</v>
      </c>
      <c r="AR94" s="202" cm="1">
        <f t="array" aca="1" ref="AR94" ca="1">IF($R92=2,
         IF(AND(ACOMPANHAMENTO="PLE",ISNUMBER($F92)),
                SUMIF((OFFSET(CÁLCULO!$BS$15:$CS$15,$F92,0,OFFSET(ORÇAMENTO!$D$15,CRONO!$F92,0))),CRONO!AR$12,OFFSET(CÁLCULO!$AR$15:$BR$15,$F92,0,OFFSET(ORÇAMENTO!$D$15,CRONO!$F92,0)))
                +IF(AND($F94&lt;&gt;"",$F94&lt;&gt;0),
                        SUMIF(CÁLCULO!$BS$15:$CS$244,CRONO!AR$12,CÁLCULO!$AR$15:$BR$244)/(ORÇAMENTO!$X$15-CÁLCULO.TotalAdmLocal)*CRONO!$F94,
                        0),
                 AR93*$S92),
          SUMIF(OFFSET($S94,1,0,$R92-2),($M92+1)&amp;"$",OFFSET(AR94,1,0,$R92-2)))</f>
        <v>0</v>
      </c>
      <c r="AS94" s="534"/>
    </row>
    <row r="95" spans="1:45" x14ac:dyDescent="0.2">
      <c r="A95" s="186" t="e">
        <f t="shared" ref="A95" ca="1" si="164">IF($M95&gt;1,_xlfn.CONCAT($I95," ",$J95),"")</f>
        <v>#NAME?</v>
      </c>
      <c r="B95" s="185">
        <f t="shared" ref="B95" ca="1" si="165">OFFSET(B95,-3,0)+1</f>
        <v>28</v>
      </c>
      <c r="C95" s="185">
        <f ca="1">IF($R95&lt;&gt;2,0,IF($S95=0,1,IF(F96&gt;0,OFFSET(QCI!$M$13,SUBSTITUTE(F96,".",""),0),OFFSET(ORÇAMENTO!$AA$15,CRONO!$F95,0))/$S95))</f>
        <v>1</v>
      </c>
      <c r="D95" s="185">
        <f ca="1">IF($R95&lt;&gt;2,0,IF($S95=0,1,IF(F96&gt;0,OFFSET(QCI!$N$13,SUBSTITUTE(F96,".",""),0),OFFSET(ORÇAMENTO!$AB$15,CRONO!$F95,0))/$S95))</f>
        <v>1</v>
      </c>
      <c r="E95" s="188" t="e" cm="1">
        <f t="array" aca="1" ref="E95" ca="1">IF(AND($R95=2,ACOMPANHAMENTO="BM"),ROUND(E96,4),E97/$S95)</f>
        <v>#DIV/0!</v>
      </c>
      <c r="F95" s="185" cm="1">
        <f t="array" aca="1" ref="F95" ca="1">IF(B95&lt;=ORÇAMENTO.MáximoListaCrono,MATCH(B95,ORÇAMENTO.ListaCrono,0),NA())</f>
        <v>100</v>
      </c>
      <c r="G95" s="185" t="str">
        <f t="shared" ref="G95" ca="1" si="166">IF(AND($F96&lt;&gt;-1,$S95&gt;0),"F","")</f>
        <v/>
      </c>
      <c r="H95" s="189" t="str" cm="1">
        <f t="array" aca="1" ref="H95" ca="1">IF(OR(S95=0,S95=""),"Linha",IF(AND(OR(ACOMPANHAMENTO="PLE",$R95&lt;&gt;2),$F96=0),"Linha",ROUND(1-SUM(U95:AS95),4)))</f>
        <v>Linha</v>
      </c>
      <c r="I95" s="190" t="str">
        <f ca="1">IF($F96=0,OFFSET(ORÇAMENTO!O$15,$F95,0),IF($F96&lt;&gt;-1,OFFSET(QCI!$D$13,$F96,0),""))</f>
        <v>8.1.</v>
      </c>
      <c r="J95" s="191" t="str">
        <f ca="1">IF($F96=0,OFFSET(ORÇAMENTO!R$15,$F95,0),IF($F96&lt;&gt;-1,OFFSET(QCI!$G$13,$F96,0),""))</f>
        <v>PISO CERÂMICO</v>
      </c>
      <c r="K95" s="191"/>
      <c r="L95" s="191"/>
      <c r="M95" s="192">
        <f ca="1">IF($F96=0,OFFSET(ORÇAMENTO!C$15,$F95,0),1)</f>
        <v>2</v>
      </c>
      <c r="N95" s="193">
        <f ca="1">IF($F96=-1,0,IF(N$13&lt;=$M95,IF(ISERROR(MATCH(N$13,OFFSET($M95,1,0,ROW($M$164)-ROW($M95)-1),0)),ROW($M$164)-ROW($M95)-1,MATCH(N$13,OFFSET($M95,1,0,ROW($M$164)-ROW($M95)-1),0)-1),0))</f>
        <v>8</v>
      </c>
      <c r="O95" s="193">
        <f ca="1">IF($F96=-1,0,IF(O$13&lt;=$M95,IF(ISERROR(MATCH(O$13,OFFSET($M95,1,0,ROW($M$164)-ROW($M95)-1),0)),ROW($M$164)-ROW($M95)-1,MATCH(O$13,OFFSET($M95,1,0,ROW($M$164)-ROW($M95)-1),0)-1),0))</f>
        <v>2</v>
      </c>
      <c r="P95" s="193">
        <f ca="1">IF($F96=-1,0,IF(P$13&lt;=$M95,IF(ISERROR(MATCH(P$13,OFFSET($M95,1,0,ROW($M$164)-ROW($M95)-1),0)),ROW($M$164)-ROW($M95)-1,MATCH(P$13,OFFSET($M95,1,0,ROW($M$164)-ROW($M95)-1),0)-1),0))</f>
        <v>0</v>
      </c>
      <c r="Q95" s="193">
        <f ca="1">IF($F96=-1,0,IF(Q$13&lt;=$M95,IF(ISERROR(MATCH(Q$13,OFFSET($M95,1,0,ROW($M$164)-ROW($M95)-1),0)),ROW($M$164)-ROW($M95)-1,MATCH(Q$13,OFFSET($M95,1,0,ROW($M$164)-ROW($M95)-1),0)-1),0))</f>
        <v>0</v>
      </c>
      <c r="R95" s="193">
        <f t="shared" ref="R95" ca="1" si="167">MIN(OFFSET(M95,0,1,,M95))</f>
        <v>2</v>
      </c>
      <c r="S95" s="194">
        <f ca="1">IF($F96=0,OFFSET(ORÇAMENTO!X$15,$F95,0),IF($F96&lt;&gt;-1,OFFSET(QCI!$O$13,$F96,0),""))</f>
        <v>0</v>
      </c>
      <c r="T95" s="195" t="s">
        <v>785</v>
      </c>
      <c r="U95" s="188" t="e" cm="1">
        <f t="array" aca="1" ref="U95" ca="1">IF(AND($R95=2,ACOMPANHAMENTO="BM"),ROUND(U96,4),U97/$S95)</f>
        <v>#DIV/0!</v>
      </c>
      <c r="V95" s="188" t="e" cm="1">
        <f t="array" aca="1" ref="V95" ca="1">IF(AND($R95=2,ACOMPANHAMENTO="BM"),ROUND(V96,4),V97/$S95)</f>
        <v>#DIV/0!</v>
      </c>
      <c r="W95" s="188" t="e" cm="1">
        <f t="array" aca="1" ref="W95" ca="1">IF(AND($R95=2,ACOMPANHAMENTO="BM"),ROUND(W96,4),W97/$S95)</f>
        <v>#DIV/0!</v>
      </c>
      <c r="X95" s="188" t="e" cm="1">
        <f t="array" aca="1" ref="X95" ca="1">IF(AND($R95=2,ACOMPANHAMENTO="BM"),ROUND(X96,4),X97/$S95)</f>
        <v>#DIV/0!</v>
      </c>
      <c r="Y95" s="188" t="e" cm="1">
        <f t="array" aca="1" ref="Y95" ca="1">IF(AND($R95=2,ACOMPANHAMENTO="BM"),ROUND(Y96,4),Y97/$S95)</f>
        <v>#DIV/0!</v>
      </c>
      <c r="Z95" s="188" t="e" cm="1">
        <f t="array" aca="1" ref="Z95" ca="1">IF(AND($R95=2,ACOMPANHAMENTO="BM"),ROUND(Z96,4),Z97/$S95)</f>
        <v>#DIV/0!</v>
      </c>
      <c r="AA95" s="188" t="e" cm="1">
        <f t="array" aca="1" ref="AA95" ca="1">IF(AND($R95=2,ACOMPANHAMENTO="BM"),ROUND(AA96,4),AA97/$S95)</f>
        <v>#DIV/0!</v>
      </c>
      <c r="AB95" s="188" t="e" cm="1">
        <f t="array" aca="1" ref="AB95" ca="1">IF(AND($R95=2,ACOMPANHAMENTO="BM"),ROUND(AB96,4),AB97/$S95)</f>
        <v>#DIV/0!</v>
      </c>
      <c r="AC95" s="188" t="e" cm="1">
        <f t="array" aca="1" ref="AC95" ca="1">IF(AND($R95=2,ACOMPANHAMENTO="BM"),ROUND(AC96,4),AC97/$S95)</f>
        <v>#DIV/0!</v>
      </c>
      <c r="AD95" s="188" t="e" cm="1">
        <f t="array" aca="1" ref="AD95" ca="1">IF(AND($R95=2,ACOMPANHAMENTO="BM"),ROUND(AD96,4),AD97/$S95)</f>
        <v>#DIV/0!</v>
      </c>
      <c r="AE95" s="188" t="e" cm="1">
        <f t="array" aca="1" ref="AE95" ca="1">IF(AND($R95=2,ACOMPANHAMENTO="BM"),ROUND(AE96,4),AE97/$S95)</f>
        <v>#DIV/0!</v>
      </c>
      <c r="AF95" s="188" t="e" cm="1">
        <f t="array" aca="1" ref="AF95" ca="1">IF(AND($R95=2,ACOMPANHAMENTO="BM"),ROUND(AF96,4),AF97/$S95)</f>
        <v>#DIV/0!</v>
      </c>
      <c r="AG95" s="188" t="e" cm="1">
        <f t="array" aca="1" ref="AG95" ca="1">IF(AND($R95=2,ACOMPANHAMENTO="BM"),ROUND(AG96,4),AG97/$S95)</f>
        <v>#DIV/0!</v>
      </c>
      <c r="AH95" s="188" t="e" cm="1">
        <f t="array" aca="1" ref="AH95" ca="1">IF(AND($R95=2,ACOMPANHAMENTO="BM"),ROUND(AH96,4),AH97/$S95)</f>
        <v>#DIV/0!</v>
      </c>
      <c r="AI95" s="188" t="e" cm="1">
        <f t="array" aca="1" ref="AI95" ca="1">IF(AND($R95=2,ACOMPANHAMENTO="BM"),ROUND(AI96,4),AI97/$S95)</f>
        <v>#DIV/0!</v>
      </c>
      <c r="AJ95" s="188" t="e" cm="1">
        <f t="array" aca="1" ref="AJ95" ca="1">IF(AND($R95=2,ACOMPANHAMENTO="BM"),ROUND(AJ96,4),AJ97/$S95)</f>
        <v>#DIV/0!</v>
      </c>
      <c r="AK95" s="188" t="e" cm="1">
        <f t="array" aca="1" ref="AK95" ca="1">IF(AND($R95=2,ACOMPANHAMENTO="BM"),ROUND(AK96,4),AK97/$S95)</f>
        <v>#DIV/0!</v>
      </c>
      <c r="AL95" s="188" t="e" cm="1">
        <f t="array" aca="1" ref="AL95" ca="1">IF(AND($R95=2,ACOMPANHAMENTO="BM"),ROUND(AL96,4),AL97/$S95)</f>
        <v>#DIV/0!</v>
      </c>
      <c r="AM95" s="188" t="e" cm="1">
        <f t="array" aca="1" ref="AM95" ca="1">IF(AND($R95=2,ACOMPANHAMENTO="BM"),ROUND(AM96,4),AM97/$S95)</f>
        <v>#DIV/0!</v>
      </c>
      <c r="AN95" s="188" t="e" cm="1">
        <f t="array" aca="1" ref="AN95" ca="1">IF(AND($R95=2,ACOMPANHAMENTO="BM"),ROUND(AN96,4),AN97/$S95)</f>
        <v>#DIV/0!</v>
      </c>
      <c r="AO95" s="188" t="e" cm="1">
        <f t="array" aca="1" ref="AO95" ca="1">IF(AND($R95=2,ACOMPANHAMENTO="BM"),ROUND(AO96,4),AO97/$S95)</f>
        <v>#DIV/0!</v>
      </c>
      <c r="AP95" s="188" t="e" cm="1">
        <f t="array" aca="1" ref="AP95" ca="1">IF(AND($R95=2,ACOMPANHAMENTO="BM"),ROUND(AP96,4),AP97/$S95)</f>
        <v>#DIV/0!</v>
      </c>
      <c r="AQ95" s="188" t="e" cm="1">
        <f t="array" aca="1" ref="AQ95" ca="1">IF(AND($R95=2,ACOMPANHAMENTO="BM"),ROUND(AQ96,4),AQ97/$S95)</f>
        <v>#DIV/0!</v>
      </c>
      <c r="AR95" s="188" t="e" cm="1">
        <f t="array" aca="1" ref="AR95" ca="1">IF(AND($R95=2,ACOMPANHAMENTO="BM"),ROUND(AR96,4),AR97/$S95)</f>
        <v>#DIV/0!</v>
      </c>
      <c r="AS95" s="534"/>
    </row>
    <row r="96" spans="1:45" ht="12.75" hidden="1" customHeight="1" x14ac:dyDescent="0.2">
      <c r="E96" s="587"/>
      <c r="F96" s="185">
        <f ca="1">IF(ISERROR(F95),IF(1+COUNTIF($M$13:OFFSET(M95,-1,0),1)&lt;=MAX(QCI!$D$13:$D$24),1+COUNTIF($M$13:OFFSET(M95,-1,0),1),-1),0)</f>
        <v>0</v>
      </c>
      <c r="G96" s="185" t="str" cm="1">
        <f t="array" aca="1" ref="G96" ca="1">IF(ACOMPANHAMENTO="BM",OFFSET(G96,-1,0),"")</f>
        <v/>
      </c>
      <c r="H96" s="196" t="str" cm="1">
        <f t="array" aca="1" ref="H96" ca="1">IF(OR(S95=0,S95=""),"vazia",IF(AND(OR(ACOMPANHAMENTO="PLE",$R95&lt;&gt;2),$F96=0),"calculada","--&gt;"))</f>
        <v>vazia</v>
      </c>
      <c r="I96" s="197"/>
      <c r="J96" s="198" t="str">
        <f t="shared" ref="J96" ca="1" si="168">IF(AND(H95&lt;&gt;0,ISNUMBER(H95)),"PREENCHA ESTA LINHA --&gt;","")</f>
        <v/>
      </c>
      <c r="K96" s="198"/>
      <c r="L96" s="198"/>
      <c r="M96" s="199"/>
      <c r="N96" s="199"/>
      <c r="O96" s="199"/>
      <c r="P96" s="199"/>
      <c r="Q96" s="199"/>
      <c r="R96" s="199"/>
      <c r="S96" s="200"/>
      <c r="T96" s="201"/>
      <c r="U96" s="587"/>
      <c r="V96" s="587"/>
      <c r="W96" s="587"/>
      <c r="X96" s="587"/>
      <c r="Y96" s="587"/>
      <c r="Z96" s="587"/>
      <c r="AA96" s="587"/>
      <c r="AB96" s="587"/>
      <c r="AC96" s="587"/>
      <c r="AD96" s="587"/>
      <c r="AE96" s="587"/>
      <c r="AF96" s="587"/>
      <c r="AG96" s="587"/>
      <c r="AH96" s="587"/>
      <c r="AI96" s="587"/>
      <c r="AJ96" s="587"/>
      <c r="AK96" s="587"/>
      <c r="AL96" s="587"/>
      <c r="AM96" s="587"/>
      <c r="AN96" s="587"/>
      <c r="AO96" s="587"/>
      <c r="AP96" s="587"/>
      <c r="AQ96" s="587"/>
      <c r="AR96" s="587"/>
      <c r="AS96" s="534"/>
    </row>
    <row r="97" spans="1:45" ht="12.75" hidden="1" customHeight="1" x14ac:dyDescent="0.2">
      <c r="D97" s="533"/>
      <c r="E97" s="202" cm="1">
        <f t="array" aca="1" ref="E97" ca="1">IF($R95=2,
         IF(AND(ACOMPANHAMENTO="PLE",ISNUMBER($F95)),
                SUMIF((OFFSET(CÁLCULO!$BS$15:$CS$15,$F95,0,OFFSET(ORÇAMENTO!$D$15,CRONO!$F95,0))),CRONO!E$12,OFFSET(CÁLCULO!$AR$15:$BR$15,$F95,0,OFFSET(ORÇAMENTO!$D$15,CRONO!$F95,0)))
                +IF(AND($F97&lt;&gt;"",$F97&lt;&gt;0),
                        SUMIF(CÁLCULO!$BS$15:$CS$244,CRONO!E$12,CÁLCULO!$AR$15:$BR$244)/(ORÇAMENTO!$X$15-CÁLCULO.TotalAdmLocal)*CRONO!$F97,
                        0),
                 E96*$S95),
          SUMIF(OFFSET($S97,1,0,$R95-2),($M95+1)&amp;"$",OFFSET(E97,1,0,$R95-2)))</f>
        <v>0</v>
      </c>
      <c r="F97" s="185">
        <f ca="1">IF(OR($R95&lt;&gt;2,AUTOEVENTO&lt;&gt;"manual",$F96&gt;0),"",
        IF(Import.TipoArredondamento="Tradicional",
              SUMIF(OFFSET(CÁLCULO!$M$15,CRONO!$F95,0,OFFSET(ORÇAMENTO!$D$15,CRONO!$F95,0)),1,OFFSET(ORÇAMENTO!$X$15,CRONO!$F95,0,OFFSET(ORÇAMENTO!$D$15,CRONO!$F95,0))),
              0))</f>
        <v>0</v>
      </c>
      <c r="H97" s="203"/>
      <c r="S97" s="204" t="str">
        <f t="shared" ref="S97" ca="1" si="169">M95&amp;"$"</f>
        <v>2$</v>
      </c>
      <c r="T97" s="205"/>
      <c r="U97" s="202" cm="1">
        <f t="array" aca="1" ref="U97" ca="1">IF($R95=2,
         IF(AND(ACOMPANHAMENTO="PLE",ISNUMBER($F95)),
                SUMIF((OFFSET(CÁLCULO!$BS$15:$CS$15,$F95,0,OFFSET(ORÇAMENTO!$D$15,CRONO!$F95,0))),CRONO!U$12,OFFSET(CÁLCULO!$AR$15:$BR$15,$F95,0,OFFSET(ORÇAMENTO!$D$15,CRONO!$F95,0)))
                +IF(AND($F97&lt;&gt;"",$F97&lt;&gt;0),
                        SUMIF(CÁLCULO!$BS$15:$CS$244,CRONO!U$12,CÁLCULO!$AR$15:$BR$244)/(ORÇAMENTO!$X$15-CÁLCULO.TotalAdmLocal)*CRONO!$F97,
                        0),
                 U96*$S95),
          SUMIF(OFFSET($S97,1,0,$R95-2),($M95+1)&amp;"$",OFFSET(U97,1,0,$R95-2)))</f>
        <v>0</v>
      </c>
      <c r="V97" s="202" cm="1">
        <f t="array" aca="1" ref="V97" ca="1">IF($R95=2,
         IF(AND(ACOMPANHAMENTO="PLE",ISNUMBER($F95)),
                SUMIF((OFFSET(CÁLCULO!$BS$15:$CS$15,$F95,0,OFFSET(ORÇAMENTO!$D$15,CRONO!$F95,0))),CRONO!V$12,OFFSET(CÁLCULO!$AR$15:$BR$15,$F95,0,OFFSET(ORÇAMENTO!$D$15,CRONO!$F95,0)))
                +IF(AND($F97&lt;&gt;"",$F97&lt;&gt;0),
                        SUMIF(CÁLCULO!$BS$15:$CS$244,CRONO!V$12,CÁLCULO!$AR$15:$BR$244)/(ORÇAMENTO!$X$15-CÁLCULO.TotalAdmLocal)*CRONO!$F97,
                        0),
                 V96*$S95),
          SUMIF(OFFSET($S97,1,0,$R95-2),($M95+1)&amp;"$",OFFSET(V97,1,0,$R95-2)))</f>
        <v>0</v>
      </c>
      <c r="W97" s="202" cm="1">
        <f t="array" aca="1" ref="W97" ca="1">IF($R95=2,
         IF(AND(ACOMPANHAMENTO="PLE",ISNUMBER($F95)),
                SUMIF((OFFSET(CÁLCULO!$BS$15:$CS$15,$F95,0,OFFSET(ORÇAMENTO!$D$15,CRONO!$F95,0))),CRONO!W$12,OFFSET(CÁLCULO!$AR$15:$BR$15,$F95,0,OFFSET(ORÇAMENTO!$D$15,CRONO!$F95,0)))
                +IF(AND($F97&lt;&gt;"",$F97&lt;&gt;0),
                        SUMIF(CÁLCULO!$BS$15:$CS$244,CRONO!W$12,CÁLCULO!$AR$15:$BR$244)/(ORÇAMENTO!$X$15-CÁLCULO.TotalAdmLocal)*CRONO!$F97,
                        0),
                 W96*$S95),
          SUMIF(OFFSET($S97,1,0,$R95-2),($M95+1)&amp;"$",OFFSET(W97,1,0,$R95-2)))</f>
        <v>0</v>
      </c>
      <c r="X97" s="202" cm="1">
        <f t="array" aca="1" ref="X97" ca="1">IF($R95=2,
         IF(AND(ACOMPANHAMENTO="PLE",ISNUMBER($F95)),
                SUMIF((OFFSET(CÁLCULO!$BS$15:$CS$15,$F95,0,OFFSET(ORÇAMENTO!$D$15,CRONO!$F95,0))),CRONO!X$12,OFFSET(CÁLCULO!$AR$15:$BR$15,$F95,0,OFFSET(ORÇAMENTO!$D$15,CRONO!$F95,0)))
                +IF(AND($F97&lt;&gt;"",$F97&lt;&gt;0),
                        SUMIF(CÁLCULO!$BS$15:$CS$244,CRONO!X$12,CÁLCULO!$AR$15:$BR$244)/(ORÇAMENTO!$X$15-CÁLCULO.TotalAdmLocal)*CRONO!$F97,
                        0),
                 X96*$S95),
          SUMIF(OFFSET($S97,1,0,$R95-2),($M95+1)&amp;"$",OFFSET(X97,1,0,$R95-2)))</f>
        <v>0</v>
      </c>
      <c r="Y97" s="202" cm="1">
        <f t="array" aca="1" ref="Y97" ca="1">IF($R95=2,
         IF(AND(ACOMPANHAMENTO="PLE",ISNUMBER($F95)),
                SUMIF((OFFSET(CÁLCULO!$BS$15:$CS$15,$F95,0,OFFSET(ORÇAMENTO!$D$15,CRONO!$F95,0))),CRONO!Y$12,OFFSET(CÁLCULO!$AR$15:$BR$15,$F95,0,OFFSET(ORÇAMENTO!$D$15,CRONO!$F95,0)))
                +IF(AND($F97&lt;&gt;"",$F97&lt;&gt;0),
                        SUMIF(CÁLCULO!$BS$15:$CS$244,CRONO!Y$12,CÁLCULO!$AR$15:$BR$244)/(ORÇAMENTO!$X$15-CÁLCULO.TotalAdmLocal)*CRONO!$F97,
                        0),
                 Y96*$S95),
          SUMIF(OFFSET($S97,1,0,$R95-2),($M95+1)&amp;"$",OFFSET(Y97,1,0,$R95-2)))</f>
        <v>0</v>
      </c>
      <c r="Z97" s="202" cm="1">
        <f t="array" aca="1" ref="Z97" ca="1">IF($R95=2,
         IF(AND(ACOMPANHAMENTO="PLE",ISNUMBER($F95)),
                SUMIF((OFFSET(CÁLCULO!$BS$15:$CS$15,$F95,0,OFFSET(ORÇAMENTO!$D$15,CRONO!$F95,0))),CRONO!Z$12,OFFSET(CÁLCULO!$AR$15:$BR$15,$F95,0,OFFSET(ORÇAMENTO!$D$15,CRONO!$F95,0)))
                +IF(AND($F97&lt;&gt;"",$F97&lt;&gt;0),
                        SUMIF(CÁLCULO!$BS$15:$CS$244,CRONO!Z$12,CÁLCULO!$AR$15:$BR$244)/(ORÇAMENTO!$X$15-CÁLCULO.TotalAdmLocal)*CRONO!$F97,
                        0),
                 Z96*$S95),
          SUMIF(OFFSET($S97,1,0,$R95-2),($M95+1)&amp;"$",OFFSET(Z97,1,0,$R95-2)))</f>
        <v>0</v>
      </c>
      <c r="AA97" s="202" cm="1">
        <f t="array" aca="1" ref="AA97" ca="1">IF($R95=2,
         IF(AND(ACOMPANHAMENTO="PLE",ISNUMBER($F95)),
                SUMIF((OFFSET(CÁLCULO!$BS$15:$CS$15,$F95,0,OFFSET(ORÇAMENTO!$D$15,CRONO!$F95,0))),CRONO!AA$12,OFFSET(CÁLCULO!$AR$15:$BR$15,$F95,0,OFFSET(ORÇAMENTO!$D$15,CRONO!$F95,0)))
                +IF(AND($F97&lt;&gt;"",$F97&lt;&gt;0),
                        SUMIF(CÁLCULO!$BS$15:$CS$244,CRONO!AA$12,CÁLCULO!$AR$15:$BR$244)/(ORÇAMENTO!$X$15-CÁLCULO.TotalAdmLocal)*CRONO!$F97,
                        0),
                 AA96*$S95),
          SUMIF(OFFSET($S97,1,0,$R95-2),($M95+1)&amp;"$",OFFSET(AA97,1,0,$R95-2)))</f>
        <v>0</v>
      </c>
      <c r="AB97" s="202" cm="1">
        <f t="array" aca="1" ref="AB97" ca="1">IF($R95=2,
         IF(AND(ACOMPANHAMENTO="PLE",ISNUMBER($F95)),
                SUMIF((OFFSET(CÁLCULO!$BS$15:$CS$15,$F95,0,OFFSET(ORÇAMENTO!$D$15,CRONO!$F95,0))),CRONO!AB$12,OFFSET(CÁLCULO!$AR$15:$BR$15,$F95,0,OFFSET(ORÇAMENTO!$D$15,CRONO!$F95,0)))
                +IF(AND($F97&lt;&gt;"",$F97&lt;&gt;0),
                        SUMIF(CÁLCULO!$BS$15:$CS$244,CRONO!AB$12,CÁLCULO!$AR$15:$BR$244)/(ORÇAMENTO!$X$15-CÁLCULO.TotalAdmLocal)*CRONO!$F97,
                        0),
                 AB96*$S95),
          SUMIF(OFFSET($S97,1,0,$R95-2),($M95+1)&amp;"$",OFFSET(AB97,1,0,$R95-2)))</f>
        <v>0</v>
      </c>
      <c r="AC97" s="202" cm="1">
        <f t="array" aca="1" ref="AC97" ca="1">IF($R95=2,
         IF(AND(ACOMPANHAMENTO="PLE",ISNUMBER($F95)),
                SUMIF((OFFSET(CÁLCULO!$BS$15:$CS$15,$F95,0,OFFSET(ORÇAMENTO!$D$15,CRONO!$F95,0))),CRONO!AC$12,OFFSET(CÁLCULO!$AR$15:$BR$15,$F95,0,OFFSET(ORÇAMENTO!$D$15,CRONO!$F95,0)))
                +IF(AND($F97&lt;&gt;"",$F97&lt;&gt;0),
                        SUMIF(CÁLCULO!$BS$15:$CS$244,CRONO!AC$12,CÁLCULO!$AR$15:$BR$244)/(ORÇAMENTO!$X$15-CÁLCULO.TotalAdmLocal)*CRONO!$F97,
                        0),
                 AC96*$S95),
          SUMIF(OFFSET($S97,1,0,$R95-2),($M95+1)&amp;"$",OFFSET(AC97,1,0,$R95-2)))</f>
        <v>0</v>
      </c>
      <c r="AD97" s="202" cm="1">
        <f t="array" aca="1" ref="AD97" ca="1">IF($R95=2,
         IF(AND(ACOMPANHAMENTO="PLE",ISNUMBER($F95)),
                SUMIF((OFFSET(CÁLCULO!$BS$15:$CS$15,$F95,0,OFFSET(ORÇAMENTO!$D$15,CRONO!$F95,0))),CRONO!AD$12,OFFSET(CÁLCULO!$AR$15:$BR$15,$F95,0,OFFSET(ORÇAMENTO!$D$15,CRONO!$F95,0)))
                +IF(AND($F97&lt;&gt;"",$F97&lt;&gt;0),
                        SUMIF(CÁLCULO!$BS$15:$CS$244,CRONO!AD$12,CÁLCULO!$AR$15:$BR$244)/(ORÇAMENTO!$X$15-CÁLCULO.TotalAdmLocal)*CRONO!$F97,
                        0),
                 AD96*$S95),
          SUMIF(OFFSET($S97,1,0,$R95-2),($M95+1)&amp;"$",OFFSET(AD97,1,0,$R95-2)))</f>
        <v>0</v>
      </c>
      <c r="AE97" s="202" cm="1">
        <f t="array" aca="1" ref="AE97" ca="1">IF($R95=2,
         IF(AND(ACOMPANHAMENTO="PLE",ISNUMBER($F95)),
                SUMIF((OFFSET(CÁLCULO!$BS$15:$CS$15,$F95,0,OFFSET(ORÇAMENTO!$D$15,CRONO!$F95,0))),CRONO!AE$12,OFFSET(CÁLCULO!$AR$15:$BR$15,$F95,0,OFFSET(ORÇAMENTO!$D$15,CRONO!$F95,0)))
                +IF(AND($F97&lt;&gt;"",$F97&lt;&gt;0),
                        SUMIF(CÁLCULO!$BS$15:$CS$244,CRONO!AE$12,CÁLCULO!$AR$15:$BR$244)/(ORÇAMENTO!$X$15-CÁLCULO.TotalAdmLocal)*CRONO!$F97,
                        0),
                 AE96*$S95),
          SUMIF(OFFSET($S97,1,0,$R95-2),($M95+1)&amp;"$",OFFSET(AE97,1,0,$R95-2)))</f>
        <v>0</v>
      </c>
      <c r="AF97" s="202" cm="1">
        <f t="array" aca="1" ref="AF97" ca="1">IF($R95=2,
         IF(AND(ACOMPANHAMENTO="PLE",ISNUMBER($F95)),
                SUMIF((OFFSET(CÁLCULO!$BS$15:$CS$15,$F95,0,OFFSET(ORÇAMENTO!$D$15,CRONO!$F95,0))),CRONO!AF$12,OFFSET(CÁLCULO!$AR$15:$BR$15,$F95,0,OFFSET(ORÇAMENTO!$D$15,CRONO!$F95,0)))
                +IF(AND($F97&lt;&gt;"",$F97&lt;&gt;0),
                        SUMIF(CÁLCULO!$BS$15:$CS$244,CRONO!AF$12,CÁLCULO!$AR$15:$BR$244)/(ORÇAMENTO!$X$15-CÁLCULO.TotalAdmLocal)*CRONO!$F97,
                        0),
                 AF96*$S95),
          SUMIF(OFFSET($S97,1,0,$R95-2),($M95+1)&amp;"$",OFFSET(AF97,1,0,$R95-2)))</f>
        <v>0</v>
      </c>
      <c r="AG97" s="202" cm="1">
        <f t="array" aca="1" ref="AG97" ca="1">IF($R95=2,
         IF(AND(ACOMPANHAMENTO="PLE",ISNUMBER($F95)),
                SUMIF((OFFSET(CÁLCULO!$BS$15:$CS$15,$F95,0,OFFSET(ORÇAMENTO!$D$15,CRONO!$F95,0))),CRONO!AG$12,OFFSET(CÁLCULO!$AR$15:$BR$15,$F95,0,OFFSET(ORÇAMENTO!$D$15,CRONO!$F95,0)))
                +IF(AND($F97&lt;&gt;"",$F97&lt;&gt;0),
                        SUMIF(CÁLCULO!$BS$15:$CS$244,CRONO!AG$12,CÁLCULO!$AR$15:$BR$244)/(ORÇAMENTO!$X$15-CÁLCULO.TotalAdmLocal)*CRONO!$F97,
                        0),
                 AG96*$S95),
          SUMIF(OFFSET($S97,1,0,$R95-2),($M95+1)&amp;"$",OFFSET(AG97,1,0,$R95-2)))</f>
        <v>0</v>
      </c>
      <c r="AH97" s="202" cm="1">
        <f t="array" aca="1" ref="AH97" ca="1">IF($R95=2,
         IF(AND(ACOMPANHAMENTO="PLE",ISNUMBER($F95)),
                SUMIF((OFFSET(CÁLCULO!$BS$15:$CS$15,$F95,0,OFFSET(ORÇAMENTO!$D$15,CRONO!$F95,0))),CRONO!AH$12,OFFSET(CÁLCULO!$AR$15:$BR$15,$F95,0,OFFSET(ORÇAMENTO!$D$15,CRONO!$F95,0)))
                +IF(AND($F97&lt;&gt;"",$F97&lt;&gt;0),
                        SUMIF(CÁLCULO!$BS$15:$CS$244,CRONO!AH$12,CÁLCULO!$AR$15:$BR$244)/(ORÇAMENTO!$X$15-CÁLCULO.TotalAdmLocal)*CRONO!$F97,
                        0),
                 AH96*$S95),
          SUMIF(OFFSET($S97,1,0,$R95-2),($M95+1)&amp;"$",OFFSET(AH97,1,0,$R95-2)))</f>
        <v>0</v>
      </c>
      <c r="AI97" s="202" cm="1">
        <f t="array" aca="1" ref="AI97" ca="1">IF($R95=2,
         IF(AND(ACOMPANHAMENTO="PLE",ISNUMBER($F95)),
                SUMIF((OFFSET(CÁLCULO!$BS$15:$CS$15,$F95,0,OFFSET(ORÇAMENTO!$D$15,CRONO!$F95,0))),CRONO!AI$12,OFFSET(CÁLCULO!$AR$15:$BR$15,$F95,0,OFFSET(ORÇAMENTO!$D$15,CRONO!$F95,0)))
                +IF(AND($F97&lt;&gt;"",$F97&lt;&gt;0),
                        SUMIF(CÁLCULO!$BS$15:$CS$244,CRONO!AI$12,CÁLCULO!$AR$15:$BR$244)/(ORÇAMENTO!$X$15-CÁLCULO.TotalAdmLocal)*CRONO!$F97,
                        0),
                 AI96*$S95),
          SUMIF(OFFSET($S97,1,0,$R95-2),($M95+1)&amp;"$",OFFSET(AI97,1,0,$R95-2)))</f>
        <v>0</v>
      </c>
      <c r="AJ97" s="202" cm="1">
        <f t="array" aca="1" ref="AJ97" ca="1">IF($R95=2,
         IF(AND(ACOMPANHAMENTO="PLE",ISNUMBER($F95)),
                SUMIF((OFFSET(CÁLCULO!$BS$15:$CS$15,$F95,0,OFFSET(ORÇAMENTO!$D$15,CRONO!$F95,0))),CRONO!AJ$12,OFFSET(CÁLCULO!$AR$15:$BR$15,$F95,0,OFFSET(ORÇAMENTO!$D$15,CRONO!$F95,0)))
                +IF(AND($F97&lt;&gt;"",$F97&lt;&gt;0),
                        SUMIF(CÁLCULO!$BS$15:$CS$244,CRONO!AJ$12,CÁLCULO!$AR$15:$BR$244)/(ORÇAMENTO!$X$15-CÁLCULO.TotalAdmLocal)*CRONO!$F97,
                        0),
                 AJ96*$S95),
          SUMIF(OFFSET($S97,1,0,$R95-2),($M95+1)&amp;"$",OFFSET(AJ97,1,0,$R95-2)))</f>
        <v>0</v>
      </c>
      <c r="AK97" s="202" cm="1">
        <f t="array" aca="1" ref="AK97" ca="1">IF($R95=2,
         IF(AND(ACOMPANHAMENTO="PLE",ISNUMBER($F95)),
                SUMIF((OFFSET(CÁLCULO!$BS$15:$CS$15,$F95,0,OFFSET(ORÇAMENTO!$D$15,CRONO!$F95,0))),CRONO!AK$12,OFFSET(CÁLCULO!$AR$15:$BR$15,$F95,0,OFFSET(ORÇAMENTO!$D$15,CRONO!$F95,0)))
                +IF(AND($F97&lt;&gt;"",$F97&lt;&gt;0),
                        SUMIF(CÁLCULO!$BS$15:$CS$244,CRONO!AK$12,CÁLCULO!$AR$15:$BR$244)/(ORÇAMENTO!$X$15-CÁLCULO.TotalAdmLocal)*CRONO!$F97,
                        0),
                 AK96*$S95),
          SUMIF(OFFSET($S97,1,0,$R95-2),($M95+1)&amp;"$",OFFSET(AK97,1,0,$R95-2)))</f>
        <v>0</v>
      </c>
      <c r="AL97" s="202" cm="1">
        <f t="array" aca="1" ref="AL97" ca="1">IF($R95=2,
         IF(AND(ACOMPANHAMENTO="PLE",ISNUMBER($F95)),
                SUMIF((OFFSET(CÁLCULO!$BS$15:$CS$15,$F95,0,OFFSET(ORÇAMENTO!$D$15,CRONO!$F95,0))),CRONO!AL$12,OFFSET(CÁLCULO!$AR$15:$BR$15,$F95,0,OFFSET(ORÇAMENTO!$D$15,CRONO!$F95,0)))
                +IF(AND($F97&lt;&gt;"",$F97&lt;&gt;0),
                        SUMIF(CÁLCULO!$BS$15:$CS$244,CRONO!AL$12,CÁLCULO!$AR$15:$BR$244)/(ORÇAMENTO!$X$15-CÁLCULO.TotalAdmLocal)*CRONO!$F97,
                        0),
                 AL96*$S95),
          SUMIF(OFFSET($S97,1,0,$R95-2),($M95+1)&amp;"$",OFFSET(AL97,1,0,$R95-2)))</f>
        <v>0</v>
      </c>
      <c r="AM97" s="202" cm="1">
        <f t="array" aca="1" ref="AM97" ca="1">IF($R95=2,
         IF(AND(ACOMPANHAMENTO="PLE",ISNUMBER($F95)),
                SUMIF((OFFSET(CÁLCULO!$BS$15:$CS$15,$F95,0,OFFSET(ORÇAMENTO!$D$15,CRONO!$F95,0))),CRONO!AM$12,OFFSET(CÁLCULO!$AR$15:$BR$15,$F95,0,OFFSET(ORÇAMENTO!$D$15,CRONO!$F95,0)))
                +IF(AND($F97&lt;&gt;"",$F97&lt;&gt;0),
                        SUMIF(CÁLCULO!$BS$15:$CS$244,CRONO!AM$12,CÁLCULO!$AR$15:$BR$244)/(ORÇAMENTO!$X$15-CÁLCULO.TotalAdmLocal)*CRONO!$F97,
                        0),
                 AM96*$S95),
          SUMIF(OFFSET($S97,1,0,$R95-2),($M95+1)&amp;"$",OFFSET(AM97,1,0,$R95-2)))</f>
        <v>0</v>
      </c>
      <c r="AN97" s="202" cm="1">
        <f t="array" aca="1" ref="AN97" ca="1">IF($R95=2,
         IF(AND(ACOMPANHAMENTO="PLE",ISNUMBER($F95)),
                SUMIF((OFFSET(CÁLCULO!$BS$15:$CS$15,$F95,0,OFFSET(ORÇAMENTO!$D$15,CRONO!$F95,0))),CRONO!AN$12,OFFSET(CÁLCULO!$AR$15:$BR$15,$F95,0,OFFSET(ORÇAMENTO!$D$15,CRONO!$F95,0)))
                +IF(AND($F97&lt;&gt;"",$F97&lt;&gt;0),
                        SUMIF(CÁLCULO!$BS$15:$CS$244,CRONO!AN$12,CÁLCULO!$AR$15:$BR$244)/(ORÇAMENTO!$X$15-CÁLCULO.TotalAdmLocal)*CRONO!$F97,
                        0),
                 AN96*$S95),
          SUMIF(OFFSET($S97,1,0,$R95-2),($M95+1)&amp;"$",OFFSET(AN97,1,0,$R95-2)))</f>
        <v>0</v>
      </c>
      <c r="AO97" s="202" cm="1">
        <f t="array" aca="1" ref="AO97" ca="1">IF($R95=2,
         IF(AND(ACOMPANHAMENTO="PLE",ISNUMBER($F95)),
                SUMIF((OFFSET(CÁLCULO!$BS$15:$CS$15,$F95,0,OFFSET(ORÇAMENTO!$D$15,CRONO!$F95,0))),CRONO!AO$12,OFFSET(CÁLCULO!$AR$15:$BR$15,$F95,0,OFFSET(ORÇAMENTO!$D$15,CRONO!$F95,0)))
                +IF(AND($F97&lt;&gt;"",$F97&lt;&gt;0),
                        SUMIF(CÁLCULO!$BS$15:$CS$244,CRONO!AO$12,CÁLCULO!$AR$15:$BR$244)/(ORÇAMENTO!$X$15-CÁLCULO.TotalAdmLocal)*CRONO!$F97,
                        0),
                 AO96*$S95),
          SUMIF(OFFSET($S97,1,0,$R95-2),($M95+1)&amp;"$",OFFSET(AO97,1,0,$R95-2)))</f>
        <v>0</v>
      </c>
      <c r="AP97" s="202" cm="1">
        <f t="array" aca="1" ref="AP97" ca="1">IF($R95=2,
         IF(AND(ACOMPANHAMENTO="PLE",ISNUMBER($F95)),
                SUMIF((OFFSET(CÁLCULO!$BS$15:$CS$15,$F95,0,OFFSET(ORÇAMENTO!$D$15,CRONO!$F95,0))),CRONO!AP$12,OFFSET(CÁLCULO!$AR$15:$BR$15,$F95,0,OFFSET(ORÇAMENTO!$D$15,CRONO!$F95,0)))
                +IF(AND($F97&lt;&gt;"",$F97&lt;&gt;0),
                        SUMIF(CÁLCULO!$BS$15:$CS$244,CRONO!AP$12,CÁLCULO!$AR$15:$BR$244)/(ORÇAMENTO!$X$15-CÁLCULO.TotalAdmLocal)*CRONO!$F97,
                        0),
                 AP96*$S95),
          SUMIF(OFFSET($S97,1,0,$R95-2),($M95+1)&amp;"$",OFFSET(AP97,1,0,$R95-2)))</f>
        <v>0</v>
      </c>
      <c r="AQ97" s="202" cm="1">
        <f t="array" aca="1" ref="AQ97" ca="1">IF($R95=2,
         IF(AND(ACOMPANHAMENTO="PLE",ISNUMBER($F95)),
                SUMIF((OFFSET(CÁLCULO!$BS$15:$CS$15,$F95,0,OFFSET(ORÇAMENTO!$D$15,CRONO!$F95,0))),CRONO!AQ$12,OFFSET(CÁLCULO!$AR$15:$BR$15,$F95,0,OFFSET(ORÇAMENTO!$D$15,CRONO!$F95,0)))
                +IF(AND($F97&lt;&gt;"",$F97&lt;&gt;0),
                        SUMIF(CÁLCULO!$BS$15:$CS$244,CRONO!AQ$12,CÁLCULO!$AR$15:$BR$244)/(ORÇAMENTO!$X$15-CÁLCULO.TotalAdmLocal)*CRONO!$F97,
                        0),
                 AQ96*$S95),
          SUMIF(OFFSET($S97,1,0,$R95-2),($M95+1)&amp;"$",OFFSET(AQ97,1,0,$R95-2)))</f>
        <v>0</v>
      </c>
      <c r="AR97" s="202" cm="1">
        <f t="array" aca="1" ref="AR97" ca="1">IF($R95=2,
         IF(AND(ACOMPANHAMENTO="PLE",ISNUMBER($F95)),
                SUMIF((OFFSET(CÁLCULO!$BS$15:$CS$15,$F95,0,OFFSET(ORÇAMENTO!$D$15,CRONO!$F95,0))),CRONO!AR$12,OFFSET(CÁLCULO!$AR$15:$BR$15,$F95,0,OFFSET(ORÇAMENTO!$D$15,CRONO!$F95,0)))
                +IF(AND($F97&lt;&gt;"",$F97&lt;&gt;0),
                        SUMIF(CÁLCULO!$BS$15:$CS$244,CRONO!AR$12,CÁLCULO!$AR$15:$BR$244)/(ORÇAMENTO!$X$15-CÁLCULO.TotalAdmLocal)*CRONO!$F97,
                        0),
                 AR96*$S95),
          SUMIF(OFFSET($S97,1,0,$R95-2),($M95+1)&amp;"$",OFFSET(AR97,1,0,$R95-2)))</f>
        <v>0</v>
      </c>
      <c r="AS97" s="534"/>
    </row>
    <row r="98" spans="1:45" x14ac:dyDescent="0.2">
      <c r="A98" s="186" t="e">
        <f t="shared" ref="A98" ca="1" si="170">IF($M98&gt;1,_xlfn.CONCAT($I98," ",$J98),"")</f>
        <v>#NAME?</v>
      </c>
      <c r="B98" s="185">
        <f t="shared" ref="B98" ca="1" si="171">OFFSET(B98,-3,0)+1</f>
        <v>29</v>
      </c>
      <c r="C98" s="185">
        <f ca="1">IF($R98&lt;&gt;2,0,IF($S98=0,1,IF(F99&gt;0,OFFSET(QCI!$M$13,SUBSTITUTE(F99,".",""),0),OFFSET(ORÇAMENTO!$AA$15,CRONO!$F98,0))/$S98))</f>
        <v>1</v>
      </c>
      <c r="D98" s="185">
        <f ca="1">IF($R98&lt;&gt;2,0,IF($S98=0,1,IF(F99&gt;0,OFFSET(QCI!$N$13,SUBSTITUTE(F99,".",""),0),OFFSET(ORÇAMENTO!$AB$15,CRONO!$F98,0))/$S98))</f>
        <v>1</v>
      </c>
      <c r="E98" s="188" t="e" cm="1">
        <f t="array" aca="1" ref="E98" ca="1">IF(AND($R98=2,ACOMPANHAMENTO="BM"),ROUND(E99,4),E100/$S98)</f>
        <v>#DIV/0!</v>
      </c>
      <c r="F98" s="185" cm="1">
        <f t="array" aca="1" ref="F98" ca="1">IF(B98&lt;=ORÇAMENTO.MáximoListaCrono,MATCH(B98,ORÇAMENTO.ListaCrono,0),NA())</f>
        <v>110</v>
      </c>
      <c r="G98" s="185" t="str">
        <f t="shared" ref="G98" ca="1" si="172">IF(AND($F99&lt;&gt;-1,$S98&gt;0),"F","")</f>
        <v/>
      </c>
      <c r="H98" s="189" t="str" cm="1">
        <f t="array" aca="1" ref="H98" ca="1">IF(OR(S98=0,S98=""),"Linha",IF(AND(OR(ACOMPANHAMENTO="PLE",$R98&lt;&gt;2),$F99=0),"Linha",ROUND(1-SUM(U98:AS98),4)))</f>
        <v>Linha</v>
      </c>
      <c r="I98" s="190" t="str">
        <f ca="1">IF($F99=0,OFFSET(ORÇAMENTO!O$15,$F98,0),IF($F99&lt;&gt;-1,OFFSET(QCI!$D$13,$F99,0),""))</f>
        <v>8.2.</v>
      </c>
      <c r="J98" s="191" t="str">
        <f ca="1">IF($F99=0,OFFSET(ORÇAMENTO!R$15,$F98,0),IF($F99&lt;&gt;-1,OFFSET(QCI!$G$13,$F99,0),""))</f>
        <v>PISO CIMENTADO</v>
      </c>
      <c r="K98" s="191"/>
      <c r="L98" s="191"/>
      <c r="M98" s="192">
        <f ca="1">IF($F99=0,OFFSET(ORÇAMENTO!C$15,$F98,0),1)</f>
        <v>2</v>
      </c>
      <c r="N98" s="193">
        <f ca="1">IF($F99=-1,0,IF(N$13&lt;=$M98,IF(ISERROR(MATCH(N$13,OFFSET($M98,1,0,ROW($M$164)-ROW($M98)-1),0)),ROW($M$164)-ROW($M98)-1,MATCH(N$13,OFFSET($M98,1,0,ROW($M$164)-ROW($M98)-1),0)-1),0))</f>
        <v>5</v>
      </c>
      <c r="O98" s="193">
        <f ca="1">IF($F99=-1,0,IF(O$13&lt;=$M98,IF(ISERROR(MATCH(O$13,OFFSET($M98,1,0,ROW($M$164)-ROW($M98)-1),0)),ROW($M$164)-ROW($M98)-1,MATCH(O$13,OFFSET($M98,1,0,ROW($M$164)-ROW($M98)-1),0)-1),0))</f>
        <v>2</v>
      </c>
      <c r="P98" s="193">
        <f ca="1">IF($F99=-1,0,IF(P$13&lt;=$M98,IF(ISERROR(MATCH(P$13,OFFSET($M98,1,0,ROW($M$164)-ROW($M98)-1),0)),ROW($M$164)-ROW($M98)-1,MATCH(P$13,OFFSET($M98,1,0,ROW($M$164)-ROW($M98)-1),0)-1),0))</f>
        <v>0</v>
      </c>
      <c r="Q98" s="193">
        <f ca="1">IF($F99=-1,0,IF(Q$13&lt;=$M98,IF(ISERROR(MATCH(Q$13,OFFSET($M98,1,0,ROW($M$164)-ROW($M98)-1),0)),ROW($M$164)-ROW($M98)-1,MATCH(Q$13,OFFSET($M98,1,0,ROW($M$164)-ROW($M98)-1),0)-1),0))</f>
        <v>0</v>
      </c>
      <c r="R98" s="193">
        <f t="shared" ref="R98" ca="1" si="173">MIN(OFFSET(M98,0,1,,M98))</f>
        <v>2</v>
      </c>
      <c r="S98" s="194">
        <f ca="1">IF($F99=0,OFFSET(ORÇAMENTO!X$15,$F98,0),IF($F99&lt;&gt;-1,OFFSET(QCI!$O$13,$F99,0),""))</f>
        <v>0</v>
      </c>
      <c r="T98" s="195" t="s">
        <v>785</v>
      </c>
      <c r="U98" s="188" t="e" cm="1">
        <f t="array" aca="1" ref="U98" ca="1">IF(AND($R98=2,ACOMPANHAMENTO="BM"),ROUND(U99,4),U100/$S98)</f>
        <v>#DIV/0!</v>
      </c>
      <c r="V98" s="188" t="e" cm="1">
        <f t="array" aca="1" ref="V98" ca="1">IF(AND($R98=2,ACOMPANHAMENTO="BM"),ROUND(V99,4),V100/$S98)</f>
        <v>#DIV/0!</v>
      </c>
      <c r="W98" s="188" t="e" cm="1">
        <f t="array" aca="1" ref="W98" ca="1">IF(AND($R98=2,ACOMPANHAMENTO="BM"),ROUND(W99,4),W100/$S98)</f>
        <v>#DIV/0!</v>
      </c>
      <c r="X98" s="188" t="e" cm="1">
        <f t="array" aca="1" ref="X98" ca="1">IF(AND($R98=2,ACOMPANHAMENTO="BM"),ROUND(X99,4),X100/$S98)</f>
        <v>#DIV/0!</v>
      </c>
      <c r="Y98" s="188" t="e" cm="1">
        <f t="array" aca="1" ref="Y98" ca="1">IF(AND($R98=2,ACOMPANHAMENTO="BM"),ROUND(Y99,4),Y100/$S98)</f>
        <v>#DIV/0!</v>
      </c>
      <c r="Z98" s="188" t="e" cm="1">
        <f t="array" aca="1" ref="Z98" ca="1">IF(AND($R98=2,ACOMPANHAMENTO="BM"),ROUND(Z99,4),Z100/$S98)</f>
        <v>#DIV/0!</v>
      </c>
      <c r="AA98" s="188" t="e" cm="1">
        <f t="array" aca="1" ref="AA98" ca="1">IF(AND($R98=2,ACOMPANHAMENTO="BM"),ROUND(AA99,4),AA100/$S98)</f>
        <v>#DIV/0!</v>
      </c>
      <c r="AB98" s="188" t="e" cm="1">
        <f t="array" aca="1" ref="AB98" ca="1">IF(AND($R98=2,ACOMPANHAMENTO="BM"),ROUND(AB99,4),AB100/$S98)</f>
        <v>#DIV/0!</v>
      </c>
      <c r="AC98" s="188" t="e" cm="1">
        <f t="array" aca="1" ref="AC98" ca="1">IF(AND($R98=2,ACOMPANHAMENTO="BM"),ROUND(AC99,4),AC100/$S98)</f>
        <v>#DIV/0!</v>
      </c>
      <c r="AD98" s="188" t="e" cm="1">
        <f t="array" aca="1" ref="AD98" ca="1">IF(AND($R98=2,ACOMPANHAMENTO="BM"),ROUND(AD99,4),AD100/$S98)</f>
        <v>#DIV/0!</v>
      </c>
      <c r="AE98" s="188" t="e" cm="1">
        <f t="array" aca="1" ref="AE98" ca="1">IF(AND($R98=2,ACOMPANHAMENTO="BM"),ROUND(AE99,4),AE100/$S98)</f>
        <v>#DIV/0!</v>
      </c>
      <c r="AF98" s="188" t="e" cm="1">
        <f t="array" aca="1" ref="AF98" ca="1">IF(AND($R98=2,ACOMPANHAMENTO="BM"),ROUND(AF99,4),AF100/$S98)</f>
        <v>#DIV/0!</v>
      </c>
      <c r="AG98" s="188" t="e" cm="1">
        <f t="array" aca="1" ref="AG98" ca="1">IF(AND($R98=2,ACOMPANHAMENTO="BM"),ROUND(AG99,4),AG100/$S98)</f>
        <v>#DIV/0!</v>
      </c>
      <c r="AH98" s="188" t="e" cm="1">
        <f t="array" aca="1" ref="AH98" ca="1">IF(AND($R98=2,ACOMPANHAMENTO="BM"),ROUND(AH99,4),AH100/$S98)</f>
        <v>#DIV/0!</v>
      </c>
      <c r="AI98" s="188" t="e" cm="1">
        <f t="array" aca="1" ref="AI98" ca="1">IF(AND($R98=2,ACOMPANHAMENTO="BM"),ROUND(AI99,4),AI100/$S98)</f>
        <v>#DIV/0!</v>
      </c>
      <c r="AJ98" s="188" t="e" cm="1">
        <f t="array" aca="1" ref="AJ98" ca="1">IF(AND($R98=2,ACOMPANHAMENTO="BM"),ROUND(AJ99,4),AJ100/$S98)</f>
        <v>#DIV/0!</v>
      </c>
      <c r="AK98" s="188" t="e" cm="1">
        <f t="array" aca="1" ref="AK98" ca="1">IF(AND($R98=2,ACOMPANHAMENTO="BM"),ROUND(AK99,4),AK100/$S98)</f>
        <v>#DIV/0!</v>
      </c>
      <c r="AL98" s="188" t="e" cm="1">
        <f t="array" aca="1" ref="AL98" ca="1">IF(AND($R98=2,ACOMPANHAMENTO="BM"),ROUND(AL99,4),AL100/$S98)</f>
        <v>#DIV/0!</v>
      </c>
      <c r="AM98" s="188" t="e" cm="1">
        <f t="array" aca="1" ref="AM98" ca="1">IF(AND($R98=2,ACOMPANHAMENTO="BM"),ROUND(AM99,4),AM100/$S98)</f>
        <v>#DIV/0!</v>
      </c>
      <c r="AN98" s="188" t="e" cm="1">
        <f t="array" aca="1" ref="AN98" ca="1">IF(AND($R98=2,ACOMPANHAMENTO="BM"),ROUND(AN99,4),AN100/$S98)</f>
        <v>#DIV/0!</v>
      </c>
      <c r="AO98" s="188" t="e" cm="1">
        <f t="array" aca="1" ref="AO98" ca="1">IF(AND($R98=2,ACOMPANHAMENTO="BM"),ROUND(AO99,4),AO100/$S98)</f>
        <v>#DIV/0!</v>
      </c>
      <c r="AP98" s="188" t="e" cm="1">
        <f t="array" aca="1" ref="AP98" ca="1">IF(AND($R98=2,ACOMPANHAMENTO="BM"),ROUND(AP99,4),AP100/$S98)</f>
        <v>#DIV/0!</v>
      </c>
      <c r="AQ98" s="188" t="e" cm="1">
        <f t="array" aca="1" ref="AQ98" ca="1">IF(AND($R98=2,ACOMPANHAMENTO="BM"),ROUND(AQ99,4),AQ100/$S98)</f>
        <v>#DIV/0!</v>
      </c>
      <c r="AR98" s="188" t="e" cm="1">
        <f t="array" aca="1" ref="AR98" ca="1">IF(AND($R98=2,ACOMPANHAMENTO="BM"),ROUND(AR99,4),AR100/$S98)</f>
        <v>#DIV/0!</v>
      </c>
      <c r="AS98" s="534"/>
    </row>
    <row r="99" spans="1:45" ht="12.75" hidden="1" customHeight="1" x14ac:dyDescent="0.2">
      <c r="E99" s="587"/>
      <c r="F99" s="185">
        <f ca="1">IF(ISERROR(F98),IF(1+COUNTIF($M$13:OFFSET(M98,-1,0),1)&lt;=MAX(QCI!$D$13:$D$24),1+COUNTIF($M$13:OFFSET(M98,-1,0),1),-1),0)</f>
        <v>0</v>
      </c>
      <c r="G99" s="185" t="str" cm="1">
        <f t="array" aca="1" ref="G99" ca="1">IF(ACOMPANHAMENTO="BM",OFFSET(G99,-1,0),"")</f>
        <v/>
      </c>
      <c r="H99" s="196" t="str" cm="1">
        <f t="array" aca="1" ref="H99" ca="1">IF(OR(S98=0,S98=""),"vazia",IF(AND(OR(ACOMPANHAMENTO="PLE",$R98&lt;&gt;2),$F99=0),"calculada","--&gt;"))</f>
        <v>vazia</v>
      </c>
      <c r="I99" s="197"/>
      <c r="J99" s="198" t="str">
        <f t="shared" ref="J99" ca="1" si="174">IF(AND(H98&lt;&gt;0,ISNUMBER(H98)),"PREENCHA ESTA LINHA --&gt;","")</f>
        <v/>
      </c>
      <c r="K99" s="198"/>
      <c r="L99" s="198"/>
      <c r="M99" s="199"/>
      <c r="N99" s="199"/>
      <c r="O99" s="199"/>
      <c r="P99" s="199"/>
      <c r="Q99" s="199"/>
      <c r="R99" s="199"/>
      <c r="S99" s="200"/>
      <c r="T99" s="201"/>
      <c r="U99" s="587"/>
      <c r="V99" s="587"/>
      <c r="W99" s="587"/>
      <c r="X99" s="587"/>
      <c r="Y99" s="587"/>
      <c r="Z99" s="587"/>
      <c r="AA99" s="587"/>
      <c r="AB99" s="587"/>
      <c r="AC99" s="587"/>
      <c r="AD99" s="587"/>
      <c r="AE99" s="587"/>
      <c r="AF99" s="587"/>
      <c r="AG99" s="587"/>
      <c r="AH99" s="587"/>
      <c r="AI99" s="587"/>
      <c r="AJ99" s="587"/>
      <c r="AK99" s="587"/>
      <c r="AL99" s="587"/>
      <c r="AM99" s="587"/>
      <c r="AN99" s="587"/>
      <c r="AO99" s="587"/>
      <c r="AP99" s="587"/>
      <c r="AQ99" s="587"/>
      <c r="AR99" s="587"/>
      <c r="AS99" s="534"/>
    </row>
    <row r="100" spans="1:45" ht="12.75" hidden="1" customHeight="1" x14ac:dyDescent="0.2">
      <c r="D100" s="533"/>
      <c r="E100" s="202" cm="1">
        <f t="array" aca="1" ref="E100" ca="1">IF($R98=2,
         IF(AND(ACOMPANHAMENTO="PLE",ISNUMBER($F98)),
                SUMIF((OFFSET(CÁLCULO!$BS$15:$CS$15,$F98,0,OFFSET(ORÇAMENTO!$D$15,CRONO!$F98,0))),CRONO!E$12,OFFSET(CÁLCULO!$AR$15:$BR$15,$F98,0,OFFSET(ORÇAMENTO!$D$15,CRONO!$F98,0)))
                +IF(AND($F100&lt;&gt;"",$F100&lt;&gt;0),
                        SUMIF(CÁLCULO!$BS$15:$CS$244,CRONO!E$12,CÁLCULO!$AR$15:$BR$244)/(ORÇAMENTO!$X$15-CÁLCULO.TotalAdmLocal)*CRONO!$F100,
                        0),
                 E99*$S98),
          SUMIF(OFFSET($S100,1,0,$R98-2),($M98+1)&amp;"$",OFFSET(E100,1,0,$R98-2)))</f>
        <v>0</v>
      </c>
      <c r="F100" s="185">
        <f ca="1">IF(OR($R98&lt;&gt;2,AUTOEVENTO&lt;&gt;"manual",$F99&gt;0),"",
        IF(Import.TipoArredondamento="Tradicional",
              SUMIF(OFFSET(CÁLCULO!$M$15,CRONO!$F98,0,OFFSET(ORÇAMENTO!$D$15,CRONO!$F98,0)),1,OFFSET(ORÇAMENTO!$X$15,CRONO!$F98,0,OFFSET(ORÇAMENTO!$D$15,CRONO!$F98,0))),
              0))</f>
        <v>0</v>
      </c>
      <c r="H100" s="203"/>
      <c r="S100" s="204" t="str">
        <f t="shared" ref="S100" ca="1" si="175">M98&amp;"$"</f>
        <v>2$</v>
      </c>
      <c r="T100" s="205"/>
      <c r="U100" s="202" cm="1">
        <f t="array" aca="1" ref="U100" ca="1">IF($R98=2,
         IF(AND(ACOMPANHAMENTO="PLE",ISNUMBER($F98)),
                SUMIF((OFFSET(CÁLCULO!$BS$15:$CS$15,$F98,0,OFFSET(ORÇAMENTO!$D$15,CRONO!$F98,0))),CRONO!U$12,OFFSET(CÁLCULO!$AR$15:$BR$15,$F98,0,OFFSET(ORÇAMENTO!$D$15,CRONO!$F98,0)))
                +IF(AND($F100&lt;&gt;"",$F100&lt;&gt;0),
                        SUMIF(CÁLCULO!$BS$15:$CS$244,CRONO!U$12,CÁLCULO!$AR$15:$BR$244)/(ORÇAMENTO!$X$15-CÁLCULO.TotalAdmLocal)*CRONO!$F100,
                        0),
                 U99*$S98),
          SUMIF(OFFSET($S100,1,0,$R98-2),($M98+1)&amp;"$",OFFSET(U100,1,0,$R98-2)))</f>
        <v>0</v>
      </c>
      <c r="V100" s="202" cm="1">
        <f t="array" aca="1" ref="V100" ca="1">IF($R98=2,
         IF(AND(ACOMPANHAMENTO="PLE",ISNUMBER($F98)),
                SUMIF((OFFSET(CÁLCULO!$BS$15:$CS$15,$F98,0,OFFSET(ORÇAMENTO!$D$15,CRONO!$F98,0))),CRONO!V$12,OFFSET(CÁLCULO!$AR$15:$BR$15,$F98,0,OFFSET(ORÇAMENTO!$D$15,CRONO!$F98,0)))
                +IF(AND($F100&lt;&gt;"",$F100&lt;&gt;0),
                        SUMIF(CÁLCULO!$BS$15:$CS$244,CRONO!V$12,CÁLCULO!$AR$15:$BR$244)/(ORÇAMENTO!$X$15-CÁLCULO.TotalAdmLocal)*CRONO!$F100,
                        0),
                 V99*$S98),
          SUMIF(OFFSET($S100,1,0,$R98-2),($M98+1)&amp;"$",OFFSET(V100,1,0,$R98-2)))</f>
        <v>0</v>
      </c>
      <c r="W100" s="202" cm="1">
        <f t="array" aca="1" ref="W100" ca="1">IF($R98=2,
         IF(AND(ACOMPANHAMENTO="PLE",ISNUMBER($F98)),
                SUMIF((OFFSET(CÁLCULO!$BS$15:$CS$15,$F98,0,OFFSET(ORÇAMENTO!$D$15,CRONO!$F98,0))),CRONO!W$12,OFFSET(CÁLCULO!$AR$15:$BR$15,$F98,0,OFFSET(ORÇAMENTO!$D$15,CRONO!$F98,0)))
                +IF(AND($F100&lt;&gt;"",$F100&lt;&gt;0),
                        SUMIF(CÁLCULO!$BS$15:$CS$244,CRONO!W$12,CÁLCULO!$AR$15:$BR$244)/(ORÇAMENTO!$X$15-CÁLCULO.TotalAdmLocal)*CRONO!$F100,
                        0),
                 W99*$S98),
          SUMIF(OFFSET($S100,1,0,$R98-2),($M98+1)&amp;"$",OFFSET(W100,1,0,$R98-2)))</f>
        <v>0</v>
      </c>
      <c r="X100" s="202" cm="1">
        <f t="array" aca="1" ref="X100" ca="1">IF($R98=2,
         IF(AND(ACOMPANHAMENTO="PLE",ISNUMBER($F98)),
                SUMIF((OFFSET(CÁLCULO!$BS$15:$CS$15,$F98,0,OFFSET(ORÇAMENTO!$D$15,CRONO!$F98,0))),CRONO!X$12,OFFSET(CÁLCULO!$AR$15:$BR$15,$F98,0,OFFSET(ORÇAMENTO!$D$15,CRONO!$F98,0)))
                +IF(AND($F100&lt;&gt;"",$F100&lt;&gt;0),
                        SUMIF(CÁLCULO!$BS$15:$CS$244,CRONO!X$12,CÁLCULO!$AR$15:$BR$244)/(ORÇAMENTO!$X$15-CÁLCULO.TotalAdmLocal)*CRONO!$F100,
                        0),
                 X99*$S98),
          SUMIF(OFFSET($S100,1,0,$R98-2),($M98+1)&amp;"$",OFFSET(X100,1,0,$R98-2)))</f>
        <v>0</v>
      </c>
      <c r="Y100" s="202" cm="1">
        <f t="array" aca="1" ref="Y100" ca="1">IF($R98=2,
         IF(AND(ACOMPANHAMENTO="PLE",ISNUMBER($F98)),
                SUMIF((OFFSET(CÁLCULO!$BS$15:$CS$15,$F98,0,OFFSET(ORÇAMENTO!$D$15,CRONO!$F98,0))),CRONO!Y$12,OFFSET(CÁLCULO!$AR$15:$BR$15,$F98,0,OFFSET(ORÇAMENTO!$D$15,CRONO!$F98,0)))
                +IF(AND($F100&lt;&gt;"",$F100&lt;&gt;0),
                        SUMIF(CÁLCULO!$BS$15:$CS$244,CRONO!Y$12,CÁLCULO!$AR$15:$BR$244)/(ORÇAMENTO!$X$15-CÁLCULO.TotalAdmLocal)*CRONO!$F100,
                        0),
                 Y99*$S98),
          SUMIF(OFFSET($S100,1,0,$R98-2),($M98+1)&amp;"$",OFFSET(Y100,1,0,$R98-2)))</f>
        <v>0</v>
      </c>
      <c r="Z100" s="202" cm="1">
        <f t="array" aca="1" ref="Z100" ca="1">IF($R98=2,
         IF(AND(ACOMPANHAMENTO="PLE",ISNUMBER($F98)),
                SUMIF((OFFSET(CÁLCULO!$BS$15:$CS$15,$F98,0,OFFSET(ORÇAMENTO!$D$15,CRONO!$F98,0))),CRONO!Z$12,OFFSET(CÁLCULO!$AR$15:$BR$15,$F98,0,OFFSET(ORÇAMENTO!$D$15,CRONO!$F98,0)))
                +IF(AND($F100&lt;&gt;"",$F100&lt;&gt;0),
                        SUMIF(CÁLCULO!$BS$15:$CS$244,CRONO!Z$12,CÁLCULO!$AR$15:$BR$244)/(ORÇAMENTO!$X$15-CÁLCULO.TotalAdmLocal)*CRONO!$F100,
                        0),
                 Z99*$S98),
          SUMIF(OFFSET($S100,1,0,$R98-2),($M98+1)&amp;"$",OFFSET(Z100,1,0,$R98-2)))</f>
        <v>0</v>
      </c>
      <c r="AA100" s="202" cm="1">
        <f t="array" aca="1" ref="AA100" ca="1">IF($R98=2,
         IF(AND(ACOMPANHAMENTO="PLE",ISNUMBER($F98)),
                SUMIF((OFFSET(CÁLCULO!$BS$15:$CS$15,$F98,0,OFFSET(ORÇAMENTO!$D$15,CRONO!$F98,0))),CRONO!AA$12,OFFSET(CÁLCULO!$AR$15:$BR$15,$F98,0,OFFSET(ORÇAMENTO!$D$15,CRONO!$F98,0)))
                +IF(AND($F100&lt;&gt;"",$F100&lt;&gt;0),
                        SUMIF(CÁLCULO!$BS$15:$CS$244,CRONO!AA$12,CÁLCULO!$AR$15:$BR$244)/(ORÇAMENTO!$X$15-CÁLCULO.TotalAdmLocal)*CRONO!$F100,
                        0),
                 AA99*$S98),
          SUMIF(OFFSET($S100,1,0,$R98-2),($M98+1)&amp;"$",OFFSET(AA100,1,0,$R98-2)))</f>
        <v>0</v>
      </c>
      <c r="AB100" s="202" cm="1">
        <f t="array" aca="1" ref="AB100" ca="1">IF($R98=2,
         IF(AND(ACOMPANHAMENTO="PLE",ISNUMBER($F98)),
                SUMIF((OFFSET(CÁLCULO!$BS$15:$CS$15,$F98,0,OFFSET(ORÇAMENTO!$D$15,CRONO!$F98,0))),CRONO!AB$12,OFFSET(CÁLCULO!$AR$15:$BR$15,$F98,0,OFFSET(ORÇAMENTO!$D$15,CRONO!$F98,0)))
                +IF(AND($F100&lt;&gt;"",$F100&lt;&gt;0),
                        SUMIF(CÁLCULO!$BS$15:$CS$244,CRONO!AB$12,CÁLCULO!$AR$15:$BR$244)/(ORÇAMENTO!$X$15-CÁLCULO.TotalAdmLocal)*CRONO!$F100,
                        0),
                 AB99*$S98),
          SUMIF(OFFSET($S100,1,0,$R98-2),($M98+1)&amp;"$",OFFSET(AB100,1,0,$R98-2)))</f>
        <v>0</v>
      </c>
      <c r="AC100" s="202" cm="1">
        <f t="array" aca="1" ref="AC100" ca="1">IF($R98=2,
         IF(AND(ACOMPANHAMENTO="PLE",ISNUMBER($F98)),
                SUMIF((OFFSET(CÁLCULO!$BS$15:$CS$15,$F98,0,OFFSET(ORÇAMENTO!$D$15,CRONO!$F98,0))),CRONO!AC$12,OFFSET(CÁLCULO!$AR$15:$BR$15,$F98,0,OFFSET(ORÇAMENTO!$D$15,CRONO!$F98,0)))
                +IF(AND($F100&lt;&gt;"",$F100&lt;&gt;0),
                        SUMIF(CÁLCULO!$BS$15:$CS$244,CRONO!AC$12,CÁLCULO!$AR$15:$BR$244)/(ORÇAMENTO!$X$15-CÁLCULO.TotalAdmLocal)*CRONO!$F100,
                        0),
                 AC99*$S98),
          SUMIF(OFFSET($S100,1,0,$R98-2),($M98+1)&amp;"$",OFFSET(AC100,1,0,$R98-2)))</f>
        <v>0</v>
      </c>
      <c r="AD100" s="202" cm="1">
        <f t="array" aca="1" ref="AD100" ca="1">IF($R98=2,
         IF(AND(ACOMPANHAMENTO="PLE",ISNUMBER($F98)),
                SUMIF((OFFSET(CÁLCULO!$BS$15:$CS$15,$F98,0,OFFSET(ORÇAMENTO!$D$15,CRONO!$F98,0))),CRONO!AD$12,OFFSET(CÁLCULO!$AR$15:$BR$15,$F98,0,OFFSET(ORÇAMENTO!$D$15,CRONO!$F98,0)))
                +IF(AND($F100&lt;&gt;"",$F100&lt;&gt;0),
                        SUMIF(CÁLCULO!$BS$15:$CS$244,CRONO!AD$12,CÁLCULO!$AR$15:$BR$244)/(ORÇAMENTO!$X$15-CÁLCULO.TotalAdmLocal)*CRONO!$F100,
                        0),
                 AD99*$S98),
          SUMIF(OFFSET($S100,1,0,$R98-2),($M98+1)&amp;"$",OFFSET(AD100,1,0,$R98-2)))</f>
        <v>0</v>
      </c>
      <c r="AE100" s="202" cm="1">
        <f t="array" aca="1" ref="AE100" ca="1">IF($R98=2,
         IF(AND(ACOMPANHAMENTO="PLE",ISNUMBER($F98)),
                SUMIF((OFFSET(CÁLCULO!$BS$15:$CS$15,$F98,0,OFFSET(ORÇAMENTO!$D$15,CRONO!$F98,0))),CRONO!AE$12,OFFSET(CÁLCULO!$AR$15:$BR$15,$F98,0,OFFSET(ORÇAMENTO!$D$15,CRONO!$F98,0)))
                +IF(AND($F100&lt;&gt;"",$F100&lt;&gt;0),
                        SUMIF(CÁLCULO!$BS$15:$CS$244,CRONO!AE$12,CÁLCULO!$AR$15:$BR$244)/(ORÇAMENTO!$X$15-CÁLCULO.TotalAdmLocal)*CRONO!$F100,
                        0),
                 AE99*$S98),
          SUMIF(OFFSET($S100,1,0,$R98-2),($M98+1)&amp;"$",OFFSET(AE100,1,0,$R98-2)))</f>
        <v>0</v>
      </c>
      <c r="AF100" s="202" cm="1">
        <f t="array" aca="1" ref="AF100" ca="1">IF($R98=2,
         IF(AND(ACOMPANHAMENTO="PLE",ISNUMBER($F98)),
                SUMIF((OFFSET(CÁLCULO!$BS$15:$CS$15,$F98,0,OFFSET(ORÇAMENTO!$D$15,CRONO!$F98,0))),CRONO!AF$12,OFFSET(CÁLCULO!$AR$15:$BR$15,$F98,0,OFFSET(ORÇAMENTO!$D$15,CRONO!$F98,0)))
                +IF(AND($F100&lt;&gt;"",$F100&lt;&gt;0),
                        SUMIF(CÁLCULO!$BS$15:$CS$244,CRONO!AF$12,CÁLCULO!$AR$15:$BR$244)/(ORÇAMENTO!$X$15-CÁLCULO.TotalAdmLocal)*CRONO!$F100,
                        0),
                 AF99*$S98),
          SUMIF(OFFSET($S100,1,0,$R98-2),($M98+1)&amp;"$",OFFSET(AF100,1,0,$R98-2)))</f>
        <v>0</v>
      </c>
      <c r="AG100" s="202" cm="1">
        <f t="array" aca="1" ref="AG100" ca="1">IF($R98=2,
         IF(AND(ACOMPANHAMENTO="PLE",ISNUMBER($F98)),
                SUMIF((OFFSET(CÁLCULO!$BS$15:$CS$15,$F98,0,OFFSET(ORÇAMENTO!$D$15,CRONO!$F98,0))),CRONO!AG$12,OFFSET(CÁLCULO!$AR$15:$BR$15,$F98,0,OFFSET(ORÇAMENTO!$D$15,CRONO!$F98,0)))
                +IF(AND($F100&lt;&gt;"",$F100&lt;&gt;0),
                        SUMIF(CÁLCULO!$BS$15:$CS$244,CRONO!AG$12,CÁLCULO!$AR$15:$BR$244)/(ORÇAMENTO!$X$15-CÁLCULO.TotalAdmLocal)*CRONO!$F100,
                        0),
                 AG99*$S98),
          SUMIF(OFFSET($S100,1,0,$R98-2),($M98+1)&amp;"$",OFFSET(AG100,1,0,$R98-2)))</f>
        <v>0</v>
      </c>
      <c r="AH100" s="202" cm="1">
        <f t="array" aca="1" ref="AH100" ca="1">IF($R98=2,
         IF(AND(ACOMPANHAMENTO="PLE",ISNUMBER($F98)),
                SUMIF((OFFSET(CÁLCULO!$BS$15:$CS$15,$F98,0,OFFSET(ORÇAMENTO!$D$15,CRONO!$F98,0))),CRONO!AH$12,OFFSET(CÁLCULO!$AR$15:$BR$15,$F98,0,OFFSET(ORÇAMENTO!$D$15,CRONO!$F98,0)))
                +IF(AND($F100&lt;&gt;"",$F100&lt;&gt;0),
                        SUMIF(CÁLCULO!$BS$15:$CS$244,CRONO!AH$12,CÁLCULO!$AR$15:$BR$244)/(ORÇAMENTO!$X$15-CÁLCULO.TotalAdmLocal)*CRONO!$F100,
                        0),
                 AH99*$S98),
          SUMIF(OFFSET($S100,1,0,$R98-2),($M98+1)&amp;"$",OFFSET(AH100,1,0,$R98-2)))</f>
        <v>0</v>
      </c>
      <c r="AI100" s="202" cm="1">
        <f t="array" aca="1" ref="AI100" ca="1">IF($R98=2,
         IF(AND(ACOMPANHAMENTO="PLE",ISNUMBER($F98)),
                SUMIF((OFFSET(CÁLCULO!$BS$15:$CS$15,$F98,0,OFFSET(ORÇAMENTO!$D$15,CRONO!$F98,0))),CRONO!AI$12,OFFSET(CÁLCULO!$AR$15:$BR$15,$F98,0,OFFSET(ORÇAMENTO!$D$15,CRONO!$F98,0)))
                +IF(AND($F100&lt;&gt;"",$F100&lt;&gt;0),
                        SUMIF(CÁLCULO!$BS$15:$CS$244,CRONO!AI$12,CÁLCULO!$AR$15:$BR$244)/(ORÇAMENTO!$X$15-CÁLCULO.TotalAdmLocal)*CRONO!$F100,
                        0),
                 AI99*$S98),
          SUMIF(OFFSET($S100,1,0,$R98-2),($M98+1)&amp;"$",OFFSET(AI100,1,0,$R98-2)))</f>
        <v>0</v>
      </c>
      <c r="AJ100" s="202" cm="1">
        <f t="array" aca="1" ref="AJ100" ca="1">IF($R98=2,
         IF(AND(ACOMPANHAMENTO="PLE",ISNUMBER($F98)),
                SUMIF((OFFSET(CÁLCULO!$BS$15:$CS$15,$F98,0,OFFSET(ORÇAMENTO!$D$15,CRONO!$F98,0))),CRONO!AJ$12,OFFSET(CÁLCULO!$AR$15:$BR$15,$F98,0,OFFSET(ORÇAMENTO!$D$15,CRONO!$F98,0)))
                +IF(AND($F100&lt;&gt;"",$F100&lt;&gt;0),
                        SUMIF(CÁLCULO!$BS$15:$CS$244,CRONO!AJ$12,CÁLCULO!$AR$15:$BR$244)/(ORÇAMENTO!$X$15-CÁLCULO.TotalAdmLocal)*CRONO!$F100,
                        0),
                 AJ99*$S98),
          SUMIF(OFFSET($S100,1,0,$R98-2),($M98+1)&amp;"$",OFFSET(AJ100,1,0,$R98-2)))</f>
        <v>0</v>
      </c>
      <c r="AK100" s="202" cm="1">
        <f t="array" aca="1" ref="AK100" ca="1">IF($R98=2,
         IF(AND(ACOMPANHAMENTO="PLE",ISNUMBER($F98)),
                SUMIF((OFFSET(CÁLCULO!$BS$15:$CS$15,$F98,0,OFFSET(ORÇAMENTO!$D$15,CRONO!$F98,0))),CRONO!AK$12,OFFSET(CÁLCULO!$AR$15:$BR$15,$F98,0,OFFSET(ORÇAMENTO!$D$15,CRONO!$F98,0)))
                +IF(AND($F100&lt;&gt;"",$F100&lt;&gt;0),
                        SUMIF(CÁLCULO!$BS$15:$CS$244,CRONO!AK$12,CÁLCULO!$AR$15:$BR$244)/(ORÇAMENTO!$X$15-CÁLCULO.TotalAdmLocal)*CRONO!$F100,
                        0),
                 AK99*$S98),
          SUMIF(OFFSET($S100,1,0,$R98-2),($M98+1)&amp;"$",OFFSET(AK100,1,0,$R98-2)))</f>
        <v>0</v>
      </c>
      <c r="AL100" s="202" cm="1">
        <f t="array" aca="1" ref="AL100" ca="1">IF($R98=2,
         IF(AND(ACOMPANHAMENTO="PLE",ISNUMBER($F98)),
                SUMIF((OFFSET(CÁLCULO!$BS$15:$CS$15,$F98,0,OFFSET(ORÇAMENTO!$D$15,CRONO!$F98,0))),CRONO!AL$12,OFFSET(CÁLCULO!$AR$15:$BR$15,$F98,0,OFFSET(ORÇAMENTO!$D$15,CRONO!$F98,0)))
                +IF(AND($F100&lt;&gt;"",$F100&lt;&gt;0),
                        SUMIF(CÁLCULO!$BS$15:$CS$244,CRONO!AL$12,CÁLCULO!$AR$15:$BR$244)/(ORÇAMENTO!$X$15-CÁLCULO.TotalAdmLocal)*CRONO!$F100,
                        0),
                 AL99*$S98),
          SUMIF(OFFSET($S100,1,0,$R98-2),($M98+1)&amp;"$",OFFSET(AL100,1,0,$R98-2)))</f>
        <v>0</v>
      </c>
      <c r="AM100" s="202" cm="1">
        <f t="array" aca="1" ref="AM100" ca="1">IF($R98=2,
         IF(AND(ACOMPANHAMENTO="PLE",ISNUMBER($F98)),
                SUMIF((OFFSET(CÁLCULO!$BS$15:$CS$15,$F98,0,OFFSET(ORÇAMENTO!$D$15,CRONO!$F98,0))),CRONO!AM$12,OFFSET(CÁLCULO!$AR$15:$BR$15,$F98,0,OFFSET(ORÇAMENTO!$D$15,CRONO!$F98,0)))
                +IF(AND($F100&lt;&gt;"",$F100&lt;&gt;0),
                        SUMIF(CÁLCULO!$BS$15:$CS$244,CRONO!AM$12,CÁLCULO!$AR$15:$BR$244)/(ORÇAMENTO!$X$15-CÁLCULO.TotalAdmLocal)*CRONO!$F100,
                        0),
                 AM99*$S98),
          SUMIF(OFFSET($S100,1,0,$R98-2),($M98+1)&amp;"$",OFFSET(AM100,1,0,$R98-2)))</f>
        <v>0</v>
      </c>
      <c r="AN100" s="202" cm="1">
        <f t="array" aca="1" ref="AN100" ca="1">IF($R98=2,
         IF(AND(ACOMPANHAMENTO="PLE",ISNUMBER($F98)),
                SUMIF((OFFSET(CÁLCULO!$BS$15:$CS$15,$F98,0,OFFSET(ORÇAMENTO!$D$15,CRONO!$F98,0))),CRONO!AN$12,OFFSET(CÁLCULO!$AR$15:$BR$15,$F98,0,OFFSET(ORÇAMENTO!$D$15,CRONO!$F98,0)))
                +IF(AND($F100&lt;&gt;"",$F100&lt;&gt;0),
                        SUMIF(CÁLCULO!$BS$15:$CS$244,CRONO!AN$12,CÁLCULO!$AR$15:$BR$244)/(ORÇAMENTO!$X$15-CÁLCULO.TotalAdmLocal)*CRONO!$F100,
                        0),
                 AN99*$S98),
          SUMIF(OFFSET($S100,1,0,$R98-2),($M98+1)&amp;"$",OFFSET(AN100,1,0,$R98-2)))</f>
        <v>0</v>
      </c>
      <c r="AO100" s="202" cm="1">
        <f t="array" aca="1" ref="AO100" ca="1">IF($R98=2,
         IF(AND(ACOMPANHAMENTO="PLE",ISNUMBER($F98)),
                SUMIF((OFFSET(CÁLCULO!$BS$15:$CS$15,$F98,0,OFFSET(ORÇAMENTO!$D$15,CRONO!$F98,0))),CRONO!AO$12,OFFSET(CÁLCULO!$AR$15:$BR$15,$F98,0,OFFSET(ORÇAMENTO!$D$15,CRONO!$F98,0)))
                +IF(AND($F100&lt;&gt;"",$F100&lt;&gt;0),
                        SUMIF(CÁLCULO!$BS$15:$CS$244,CRONO!AO$12,CÁLCULO!$AR$15:$BR$244)/(ORÇAMENTO!$X$15-CÁLCULO.TotalAdmLocal)*CRONO!$F100,
                        0),
                 AO99*$S98),
          SUMIF(OFFSET($S100,1,0,$R98-2),($M98+1)&amp;"$",OFFSET(AO100,1,0,$R98-2)))</f>
        <v>0</v>
      </c>
      <c r="AP100" s="202" cm="1">
        <f t="array" aca="1" ref="AP100" ca="1">IF($R98=2,
         IF(AND(ACOMPANHAMENTO="PLE",ISNUMBER($F98)),
                SUMIF((OFFSET(CÁLCULO!$BS$15:$CS$15,$F98,0,OFFSET(ORÇAMENTO!$D$15,CRONO!$F98,0))),CRONO!AP$12,OFFSET(CÁLCULO!$AR$15:$BR$15,$F98,0,OFFSET(ORÇAMENTO!$D$15,CRONO!$F98,0)))
                +IF(AND($F100&lt;&gt;"",$F100&lt;&gt;0),
                        SUMIF(CÁLCULO!$BS$15:$CS$244,CRONO!AP$12,CÁLCULO!$AR$15:$BR$244)/(ORÇAMENTO!$X$15-CÁLCULO.TotalAdmLocal)*CRONO!$F100,
                        0),
                 AP99*$S98),
          SUMIF(OFFSET($S100,1,0,$R98-2),($M98+1)&amp;"$",OFFSET(AP100,1,0,$R98-2)))</f>
        <v>0</v>
      </c>
      <c r="AQ100" s="202" cm="1">
        <f t="array" aca="1" ref="AQ100" ca="1">IF($R98=2,
         IF(AND(ACOMPANHAMENTO="PLE",ISNUMBER($F98)),
                SUMIF((OFFSET(CÁLCULO!$BS$15:$CS$15,$F98,0,OFFSET(ORÇAMENTO!$D$15,CRONO!$F98,0))),CRONO!AQ$12,OFFSET(CÁLCULO!$AR$15:$BR$15,$F98,0,OFFSET(ORÇAMENTO!$D$15,CRONO!$F98,0)))
                +IF(AND($F100&lt;&gt;"",$F100&lt;&gt;0),
                        SUMIF(CÁLCULO!$BS$15:$CS$244,CRONO!AQ$12,CÁLCULO!$AR$15:$BR$244)/(ORÇAMENTO!$X$15-CÁLCULO.TotalAdmLocal)*CRONO!$F100,
                        0),
                 AQ99*$S98),
          SUMIF(OFFSET($S100,1,0,$R98-2),($M98+1)&amp;"$",OFFSET(AQ100,1,0,$R98-2)))</f>
        <v>0</v>
      </c>
      <c r="AR100" s="202" cm="1">
        <f t="array" aca="1" ref="AR100" ca="1">IF($R98=2,
         IF(AND(ACOMPANHAMENTO="PLE",ISNUMBER($F98)),
                SUMIF((OFFSET(CÁLCULO!$BS$15:$CS$15,$F98,0,OFFSET(ORÇAMENTO!$D$15,CRONO!$F98,0))),CRONO!AR$12,OFFSET(CÁLCULO!$AR$15:$BR$15,$F98,0,OFFSET(ORÇAMENTO!$D$15,CRONO!$F98,0)))
                +IF(AND($F100&lt;&gt;"",$F100&lt;&gt;0),
                        SUMIF(CÁLCULO!$BS$15:$CS$244,CRONO!AR$12,CÁLCULO!$AR$15:$BR$244)/(ORÇAMENTO!$X$15-CÁLCULO.TotalAdmLocal)*CRONO!$F100,
                        0),
                 AR99*$S98),
          SUMIF(OFFSET($S100,1,0,$R98-2),($M98+1)&amp;"$",OFFSET(AR100,1,0,$R98-2)))</f>
        <v>0</v>
      </c>
      <c r="AS100" s="534"/>
    </row>
    <row r="101" spans="1:45" x14ac:dyDescent="0.2">
      <c r="A101" s="186" t="e">
        <f t="shared" ref="A101" ca="1" si="176">IF($M101&gt;1,_xlfn.CONCAT($I101," ",$J101),"")</f>
        <v>#NAME?</v>
      </c>
      <c r="B101" s="185">
        <f t="shared" ref="B101" ca="1" si="177">OFFSET(B101,-3,0)+1</f>
        <v>30</v>
      </c>
      <c r="C101" s="185">
        <f ca="1">IF($R101&lt;&gt;2,0,IF($S101=0,1,IF(F102&gt;0,OFFSET(QCI!$M$13,SUBSTITUTE(F102,".",""),0),OFFSET(ORÇAMENTO!$AA$15,CRONO!$F101,0))/$S101))</f>
        <v>1</v>
      </c>
      <c r="D101" s="185">
        <f ca="1">IF($R101&lt;&gt;2,0,IF($S101=0,1,IF(F102&gt;0,OFFSET(QCI!$N$13,SUBSTITUTE(F102,".",""),0),OFFSET(ORÇAMENTO!$AB$15,CRONO!$F101,0))/$S101))</f>
        <v>1</v>
      </c>
      <c r="E101" s="188" t="e" cm="1">
        <f t="array" aca="1" ref="E101" ca="1">IF(AND($R101=2,ACOMPANHAMENTO="BM"),ROUND(E102,4),E103/$S101)</f>
        <v>#DIV/0!</v>
      </c>
      <c r="F101" s="185" cm="1">
        <f t="array" aca="1" ref="F101" ca="1">IF(B101&lt;=ORÇAMENTO.MáximoListaCrono,MATCH(B101,ORÇAMENTO.ListaCrono,0),NA())</f>
        <v>113</v>
      </c>
      <c r="G101" s="185" t="str">
        <f t="shared" ref="G101" ca="1" si="178">IF(AND($F102&lt;&gt;-1,$S101&gt;0),"F","")</f>
        <v/>
      </c>
      <c r="H101" s="189" t="str" cm="1">
        <f t="array" aca="1" ref="H101" ca="1">IF(OR(S101=0,S101=""),"Linha",IF(AND(OR(ACOMPANHAMENTO="PLE",$R101&lt;&gt;2),$F102=0),"Linha",ROUND(1-SUM(U101:AS101),4)))</f>
        <v>Linha</v>
      </c>
      <c r="I101" s="190" t="str">
        <f ca="1">IF($F102=0,OFFSET(ORÇAMENTO!O$15,$F101,0),IF($F102&lt;&gt;-1,OFFSET(QCI!$D$13,$F102,0),""))</f>
        <v>8.3.</v>
      </c>
      <c r="J101" s="191" t="str">
        <f ca="1">IF($F102=0,OFFSET(ORÇAMENTO!R$15,$F101,0),IF($F102&lt;&gt;-1,OFFSET(QCI!$G$13,$F102,0),""))</f>
        <v>RODAPÉS, SOLEIRAS E PEITORIS</v>
      </c>
      <c r="K101" s="191"/>
      <c r="L101" s="191"/>
      <c r="M101" s="192">
        <f ca="1">IF($F102=0,OFFSET(ORÇAMENTO!C$15,$F101,0),1)</f>
        <v>2</v>
      </c>
      <c r="N101" s="193">
        <f ca="1">IF($F102=-1,0,IF(N$13&lt;=$M101,IF(ISERROR(MATCH(N$13,OFFSET($M101,1,0,ROW($M$164)-ROW($M101)-1),0)),ROW($M$164)-ROW($M101)-1,MATCH(N$13,OFFSET($M101,1,0,ROW($M$164)-ROW($M101)-1),0)-1),0))</f>
        <v>2</v>
      </c>
      <c r="O101" s="193">
        <f ca="1">IF($F102=-1,0,IF(O$13&lt;=$M101,IF(ISERROR(MATCH(O$13,OFFSET($M101,1,0,ROW($M$164)-ROW($M101)-1),0)),ROW($M$164)-ROW($M101)-1,MATCH(O$13,OFFSET($M101,1,0,ROW($M$164)-ROW($M101)-1),0)-1),0))</f>
        <v>5</v>
      </c>
      <c r="P101" s="193">
        <f ca="1">IF($F102=-1,0,IF(P$13&lt;=$M101,IF(ISERROR(MATCH(P$13,OFFSET($M101,1,0,ROW($M$164)-ROW($M101)-1),0)),ROW($M$164)-ROW($M101)-1,MATCH(P$13,OFFSET($M101,1,0,ROW($M$164)-ROW($M101)-1),0)-1),0))</f>
        <v>0</v>
      </c>
      <c r="Q101" s="193">
        <f ca="1">IF($F102=-1,0,IF(Q$13&lt;=$M101,IF(ISERROR(MATCH(Q$13,OFFSET($M101,1,0,ROW($M$164)-ROW($M101)-1),0)),ROW($M$164)-ROW($M101)-1,MATCH(Q$13,OFFSET($M101,1,0,ROW($M$164)-ROW($M101)-1),0)-1),0))</f>
        <v>0</v>
      </c>
      <c r="R101" s="193">
        <f t="shared" ref="R101" ca="1" si="179">MIN(OFFSET(M101,0,1,,M101))</f>
        <v>2</v>
      </c>
      <c r="S101" s="194">
        <f ca="1">IF($F102=0,OFFSET(ORÇAMENTO!X$15,$F101,0),IF($F102&lt;&gt;-1,OFFSET(QCI!$O$13,$F102,0),""))</f>
        <v>0</v>
      </c>
      <c r="T101" s="195" t="s">
        <v>785</v>
      </c>
      <c r="U101" s="188" t="e" cm="1">
        <f t="array" aca="1" ref="U101" ca="1">IF(AND($R101=2,ACOMPANHAMENTO="BM"),ROUND(U102,4),U103/$S101)</f>
        <v>#DIV/0!</v>
      </c>
      <c r="V101" s="188" t="e" cm="1">
        <f t="array" aca="1" ref="V101" ca="1">IF(AND($R101=2,ACOMPANHAMENTO="BM"),ROUND(V102,4),V103/$S101)</f>
        <v>#DIV/0!</v>
      </c>
      <c r="W101" s="188" t="e" cm="1">
        <f t="array" aca="1" ref="W101" ca="1">IF(AND($R101=2,ACOMPANHAMENTO="BM"),ROUND(W102,4),W103/$S101)</f>
        <v>#DIV/0!</v>
      </c>
      <c r="X101" s="188" t="e" cm="1">
        <f t="array" aca="1" ref="X101" ca="1">IF(AND($R101=2,ACOMPANHAMENTO="BM"),ROUND(X102,4),X103/$S101)</f>
        <v>#DIV/0!</v>
      </c>
      <c r="Y101" s="188" t="e" cm="1">
        <f t="array" aca="1" ref="Y101" ca="1">IF(AND($R101=2,ACOMPANHAMENTO="BM"),ROUND(Y102,4),Y103/$S101)</f>
        <v>#DIV/0!</v>
      </c>
      <c r="Z101" s="188" t="e" cm="1">
        <f t="array" aca="1" ref="Z101" ca="1">IF(AND($R101=2,ACOMPANHAMENTO="BM"),ROUND(Z102,4),Z103/$S101)</f>
        <v>#DIV/0!</v>
      </c>
      <c r="AA101" s="188" t="e" cm="1">
        <f t="array" aca="1" ref="AA101" ca="1">IF(AND($R101=2,ACOMPANHAMENTO="BM"),ROUND(AA102,4),AA103/$S101)</f>
        <v>#DIV/0!</v>
      </c>
      <c r="AB101" s="188" t="e" cm="1">
        <f t="array" aca="1" ref="AB101" ca="1">IF(AND($R101=2,ACOMPANHAMENTO="BM"),ROUND(AB102,4),AB103/$S101)</f>
        <v>#DIV/0!</v>
      </c>
      <c r="AC101" s="188" t="e" cm="1">
        <f t="array" aca="1" ref="AC101" ca="1">IF(AND($R101=2,ACOMPANHAMENTO="BM"),ROUND(AC102,4),AC103/$S101)</f>
        <v>#DIV/0!</v>
      </c>
      <c r="AD101" s="188" t="e" cm="1">
        <f t="array" aca="1" ref="AD101" ca="1">IF(AND($R101=2,ACOMPANHAMENTO="BM"),ROUND(AD102,4),AD103/$S101)</f>
        <v>#DIV/0!</v>
      </c>
      <c r="AE101" s="188" t="e" cm="1">
        <f t="array" aca="1" ref="AE101" ca="1">IF(AND($R101=2,ACOMPANHAMENTO="BM"),ROUND(AE102,4),AE103/$S101)</f>
        <v>#DIV/0!</v>
      </c>
      <c r="AF101" s="188" t="e" cm="1">
        <f t="array" aca="1" ref="AF101" ca="1">IF(AND($R101=2,ACOMPANHAMENTO="BM"),ROUND(AF102,4),AF103/$S101)</f>
        <v>#DIV/0!</v>
      </c>
      <c r="AG101" s="188" t="e" cm="1">
        <f t="array" aca="1" ref="AG101" ca="1">IF(AND($R101=2,ACOMPANHAMENTO="BM"),ROUND(AG102,4),AG103/$S101)</f>
        <v>#DIV/0!</v>
      </c>
      <c r="AH101" s="188" t="e" cm="1">
        <f t="array" aca="1" ref="AH101" ca="1">IF(AND($R101=2,ACOMPANHAMENTO="BM"),ROUND(AH102,4),AH103/$S101)</f>
        <v>#DIV/0!</v>
      </c>
      <c r="AI101" s="188" t="e" cm="1">
        <f t="array" aca="1" ref="AI101" ca="1">IF(AND($R101=2,ACOMPANHAMENTO="BM"),ROUND(AI102,4),AI103/$S101)</f>
        <v>#DIV/0!</v>
      </c>
      <c r="AJ101" s="188" t="e" cm="1">
        <f t="array" aca="1" ref="AJ101" ca="1">IF(AND($R101=2,ACOMPANHAMENTO="BM"),ROUND(AJ102,4),AJ103/$S101)</f>
        <v>#DIV/0!</v>
      </c>
      <c r="AK101" s="188" t="e" cm="1">
        <f t="array" aca="1" ref="AK101" ca="1">IF(AND($R101=2,ACOMPANHAMENTO="BM"),ROUND(AK102,4),AK103/$S101)</f>
        <v>#DIV/0!</v>
      </c>
      <c r="AL101" s="188" t="e" cm="1">
        <f t="array" aca="1" ref="AL101" ca="1">IF(AND($R101=2,ACOMPANHAMENTO="BM"),ROUND(AL102,4),AL103/$S101)</f>
        <v>#DIV/0!</v>
      </c>
      <c r="AM101" s="188" t="e" cm="1">
        <f t="array" aca="1" ref="AM101" ca="1">IF(AND($R101=2,ACOMPANHAMENTO="BM"),ROUND(AM102,4),AM103/$S101)</f>
        <v>#DIV/0!</v>
      </c>
      <c r="AN101" s="188" t="e" cm="1">
        <f t="array" aca="1" ref="AN101" ca="1">IF(AND($R101=2,ACOMPANHAMENTO="BM"),ROUND(AN102,4),AN103/$S101)</f>
        <v>#DIV/0!</v>
      </c>
      <c r="AO101" s="188" t="e" cm="1">
        <f t="array" aca="1" ref="AO101" ca="1">IF(AND($R101=2,ACOMPANHAMENTO="BM"),ROUND(AO102,4),AO103/$S101)</f>
        <v>#DIV/0!</v>
      </c>
      <c r="AP101" s="188" t="e" cm="1">
        <f t="array" aca="1" ref="AP101" ca="1">IF(AND($R101=2,ACOMPANHAMENTO="BM"),ROUND(AP102,4),AP103/$S101)</f>
        <v>#DIV/0!</v>
      </c>
      <c r="AQ101" s="188" t="e" cm="1">
        <f t="array" aca="1" ref="AQ101" ca="1">IF(AND($R101=2,ACOMPANHAMENTO="BM"),ROUND(AQ102,4),AQ103/$S101)</f>
        <v>#DIV/0!</v>
      </c>
      <c r="AR101" s="188" t="e" cm="1">
        <f t="array" aca="1" ref="AR101" ca="1">IF(AND($R101=2,ACOMPANHAMENTO="BM"),ROUND(AR102,4),AR103/$S101)</f>
        <v>#DIV/0!</v>
      </c>
      <c r="AS101" s="534"/>
    </row>
    <row r="102" spans="1:45" ht="12.75" hidden="1" customHeight="1" x14ac:dyDescent="0.2">
      <c r="E102" s="587"/>
      <c r="F102" s="185">
        <f ca="1">IF(ISERROR(F101),IF(1+COUNTIF($M$13:OFFSET(M101,-1,0),1)&lt;=MAX(QCI!$D$13:$D$24),1+COUNTIF($M$13:OFFSET(M101,-1,0),1),-1),0)</f>
        <v>0</v>
      </c>
      <c r="G102" s="185" t="str" cm="1">
        <f t="array" aca="1" ref="G102" ca="1">IF(ACOMPANHAMENTO="BM",OFFSET(G102,-1,0),"")</f>
        <v/>
      </c>
      <c r="H102" s="196" t="str" cm="1">
        <f t="array" aca="1" ref="H102" ca="1">IF(OR(S101=0,S101=""),"vazia",IF(AND(OR(ACOMPANHAMENTO="PLE",$R101&lt;&gt;2),$F102=0),"calculada","--&gt;"))</f>
        <v>vazia</v>
      </c>
      <c r="I102" s="197"/>
      <c r="J102" s="198" t="str">
        <f t="shared" ref="J102" ca="1" si="180">IF(AND(H101&lt;&gt;0,ISNUMBER(H101)),"PREENCHA ESTA LINHA --&gt;","")</f>
        <v/>
      </c>
      <c r="K102" s="198"/>
      <c r="L102" s="198"/>
      <c r="M102" s="199"/>
      <c r="N102" s="199"/>
      <c r="O102" s="199"/>
      <c r="P102" s="199"/>
      <c r="Q102" s="199"/>
      <c r="R102" s="199"/>
      <c r="S102" s="200"/>
      <c r="T102" s="201"/>
      <c r="U102" s="587"/>
      <c r="V102" s="587"/>
      <c r="W102" s="587"/>
      <c r="X102" s="587"/>
      <c r="Y102" s="587"/>
      <c r="Z102" s="587"/>
      <c r="AA102" s="587"/>
      <c r="AB102" s="587"/>
      <c r="AC102" s="587"/>
      <c r="AD102" s="587"/>
      <c r="AE102" s="587"/>
      <c r="AF102" s="587"/>
      <c r="AG102" s="587"/>
      <c r="AH102" s="587"/>
      <c r="AI102" s="587"/>
      <c r="AJ102" s="587"/>
      <c r="AK102" s="587"/>
      <c r="AL102" s="587"/>
      <c r="AM102" s="587"/>
      <c r="AN102" s="587"/>
      <c r="AO102" s="587"/>
      <c r="AP102" s="587"/>
      <c r="AQ102" s="587"/>
      <c r="AR102" s="587"/>
      <c r="AS102" s="534"/>
    </row>
    <row r="103" spans="1:45" ht="12.75" hidden="1" customHeight="1" x14ac:dyDescent="0.2">
      <c r="D103" s="533"/>
      <c r="E103" s="202" cm="1">
        <f t="array" aca="1" ref="E103" ca="1">IF($R101=2,
         IF(AND(ACOMPANHAMENTO="PLE",ISNUMBER($F101)),
                SUMIF((OFFSET(CÁLCULO!$BS$15:$CS$15,$F101,0,OFFSET(ORÇAMENTO!$D$15,CRONO!$F101,0))),CRONO!E$12,OFFSET(CÁLCULO!$AR$15:$BR$15,$F101,0,OFFSET(ORÇAMENTO!$D$15,CRONO!$F101,0)))
                +IF(AND($F103&lt;&gt;"",$F103&lt;&gt;0),
                        SUMIF(CÁLCULO!$BS$15:$CS$244,CRONO!E$12,CÁLCULO!$AR$15:$BR$244)/(ORÇAMENTO!$X$15-CÁLCULO.TotalAdmLocal)*CRONO!$F103,
                        0),
                 E102*$S101),
          SUMIF(OFFSET($S103,1,0,$R101-2),($M101+1)&amp;"$",OFFSET(E103,1,0,$R101-2)))</f>
        <v>0</v>
      </c>
      <c r="F103" s="185">
        <f ca="1">IF(OR($R101&lt;&gt;2,AUTOEVENTO&lt;&gt;"manual",$F102&gt;0),"",
        IF(Import.TipoArredondamento="Tradicional",
              SUMIF(OFFSET(CÁLCULO!$M$15,CRONO!$F101,0,OFFSET(ORÇAMENTO!$D$15,CRONO!$F101,0)),1,OFFSET(ORÇAMENTO!$X$15,CRONO!$F101,0,OFFSET(ORÇAMENTO!$D$15,CRONO!$F101,0))),
              0))</f>
        <v>0</v>
      </c>
      <c r="H103" s="203"/>
      <c r="S103" s="204" t="str">
        <f t="shared" ref="S103" ca="1" si="181">M101&amp;"$"</f>
        <v>2$</v>
      </c>
      <c r="T103" s="205"/>
      <c r="U103" s="202" cm="1">
        <f t="array" aca="1" ref="U103" ca="1">IF($R101=2,
         IF(AND(ACOMPANHAMENTO="PLE",ISNUMBER($F101)),
                SUMIF((OFFSET(CÁLCULO!$BS$15:$CS$15,$F101,0,OFFSET(ORÇAMENTO!$D$15,CRONO!$F101,0))),CRONO!U$12,OFFSET(CÁLCULO!$AR$15:$BR$15,$F101,0,OFFSET(ORÇAMENTO!$D$15,CRONO!$F101,0)))
                +IF(AND($F103&lt;&gt;"",$F103&lt;&gt;0),
                        SUMIF(CÁLCULO!$BS$15:$CS$244,CRONO!U$12,CÁLCULO!$AR$15:$BR$244)/(ORÇAMENTO!$X$15-CÁLCULO.TotalAdmLocal)*CRONO!$F103,
                        0),
                 U102*$S101),
          SUMIF(OFFSET($S103,1,0,$R101-2),($M101+1)&amp;"$",OFFSET(U103,1,0,$R101-2)))</f>
        <v>0</v>
      </c>
      <c r="V103" s="202" cm="1">
        <f t="array" aca="1" ref="V103" ca="1">IF($R101=2,
         IF(AND(ACOMPANHAMENTO="PLE",ISNUMBER($F101)),
                SUMIF((OFFSET(CÁLCULO!$BS$15:$CS$15,$F101,0,OFFSET(ORÇAMENTO!$D$15,CRONO!$F101,0))),CRONO!V$12,OFFSET(CÁLCULO!$AR$15:$BR$15,$F101,0,OFFSET(ORÇAMENTO!$D$15,CRONO!$F101,0)))
                +IF(AND($F103&lt;&gt;"",$F103&lt;&gt;0),
                        SUMIF(CÁLCULO!$BS$15:$CS$244,CRONO!V$12,CÁLCULO!$AR$15:$BR$244)/(ORÇAMENTO!$X$15-CÁLCULO.TotalAdmLocal)*CRONO!$F103,
                        0),
                 V102*$S101),
          SUMIF(OFFSET($S103,1,0,$R101-2),($M101+1)&amp;"$",OFFSET(V103,1,0,$R101-2)))</f>
        <v>0</v>
      </c>
      <c r="W103" s="202" cm="1">
        <f t="array" aca="1" ref="W103" ca="1">IF($R101=2,
         IF(AND(ACOMPANHAMENTO="PLE",ISNUMBER($F101)),
                SUMIF((OFFSET(CÁLCULO!$BS$15:$CS$15,$F101,0,OFFSET(ORÇAMENTO!$D$15,CRONO!$F101,0))),CRONO!W$12,OFFSET(CÁLCULO!$AR$15:$BR$15,$F101,0,OFFSET(ORÇAMENTO!$D$15,CRONO!$F101,0)))
                +IF(AND($F103&lt;&gt;"",$F103&lt;&gt;0),
                        SUMIF(CÁLCULO!$BS$15:$CS$244,CRONO!W$12,CÁLCULO!$AR$15:$BR$244)/(ORÇAMENTO!$X$15-CÁLCULO.TotalAdmLocal)*CRONO!$F103,
                        0),
                 W102*$S101),
          SUMIF(OFFSET($S103,1,0,$R101-2),($M101+1)&amp;"$",OFFSET(W103,1,0,$R101-2)))</f>
        <v>0</v>
      </c>
      <c r="X103" s="202" cm="1">
        <f t="array" aca="1" ref="X103" ca="1">IF($R101=2,
         IF(AND(ACOMPANHAMENTO="PLE",ISNUMBER($F101)),
                SUMIF((OFFSET(CÁLCULO!$BS$15:$CS$15,$F101,0,OFFSET(ORÇAMENTO!$D$15,CRONO!$F101,0))),CRONO!X$12,OFFSET(CÁLCULO!$AR$15:$BR$15,$F101,0,OFFSET(ORÇAMENTO!$D$15,CRONO!$F101,0)))
                +IF(AND($F103&lt;&gt;"",$F103&lt;&gt;0),
                        SUMIF(CÁLCULO!$BS$15:$CS$244,CRONO!X$12,CÁLCULO!$AR$15:$BR$244)/(ORÇAMENTO!$X$15-CÁLCULO.TotalAdmLocal)*CRONO!$F103,
                        0),
                 X102*$S101),
          SUMIF(OFFSET($S103,1,0,$R101-2),($M101+1)&amp;"$",OFFSET(X103,1,0,$R101-2)))</f>
        <v>0</v>
      </c>
      <c r="Y103" s="202" cm="1">
        <f t="array" aca="1" ref="Y103" ca="1">IF($R101=2,
         IF(AND(ACOMPANHAMENTO="PLE",ISNUMBER($F101)),
                SUMIF((OFFSET(CÁLCULO!$BS$15:$CS$15,$F101,0,OFFSET(ORÇAMENTO!$D$15,CRONO!$F101,0))),CRONO!Y$12,OFFSET(CÁLCULO!$AR$15:$BR$15,$F101,0,OFFSET(ORÇAMENTO!$D$15,CRONO!$F101,0)))
                +IF(AND($F103&lt;&gt;"",$F103&lt;&gt;0),
                        SUMIF(CÁLCULO!$BS$15:$CS$244,CRONO!Y$12,CÁLCULO!$AR$15:$BR$244)/(ORÇAMENTO!$X$15-CÁLCULO.TotalAdmLocal)*CRONO!$F103,
                        0),
                 Y102*$S101),
          SUMIF(OFFSET($S103,1,0,$R101-2),($M101+1)&amp;"$",OFFSET(Y103,1,0,$R101-2)))</f>
        <v>0</v>
      </c>
      <c r="Z103" s="202" cm="1">
        <f t="array" aca="1" ref="Z103" ca="1">IF($R101=2,
         IF(AND(ACOMPANHAMENTO="PLE",ISNUMBER($F101)),
                SUMIF((OFFSET(CÁLCULO!$BS$15:$CS$15,$F101,0,OFFSET(ORÇAMENTO!$D$15,CRONO!$F101,0))),CRONO!Z$12,OFFSET(CÁLCULO!$AR$15:$BR$15,$F101,0,OFFSET(ORÇAMENTO!$D$15,CRONO!$F101,0)))
                +IF(AND($F103&lt;&gt;"",$F103&lt;&gt;0),
                        SUMIF(CÁLCULO!$BS$15:$CS$244,CRONO!Z$12,CÁLCULO!$AR$15:$BR$244)/(ORÇAMENTO!$X$15-CÁLCULO.TotalAdmLocal)*CRONO!$F103,
                        0),
                 Z102*$S101),
          SUMIF(OFFSET($S103,1,0,$R101-2),($M101+1)&amp;"$",OFFSET(Z103,1,0,$R101-2)))</f>
        <v>0</v>
      </c>
      <c r="AA103" s="202" cm="1">
        <f t="array" aca="1" ref="AA103" ca="1">IF($R101=2,
         IF(AND(ACOMPANHAMENTO="PLE",ISNUMBER($F101)),
                SUMIF((OFFSET(CÁLCULO!$BS$15:$CS$15,$F101,0,OFFSET(ORÇAMENTO!$D$15,CRONO!$F101,0))),CRONO!AA$12,OFFSET(CÁLCULO!$AR$15:$BR$15,$F101,0,OFFSET(ORÇAMENTO!$D$15,CRONO!$F101,0)))
                +IF(AND($F103&lt;&gt;"",$F103&lt;&gt;0),
                        SUMIF(CÁLCULO!$BS$15:$CS$244,CRONO!AA$12,CÁLCULO!$AR$15:$BR$244)/(ORÇAMENTO!$X$15-CÁLCULO.TotalAdmLocal)*CRONO!$F103,
                        0),
                 AA102*$S101),
          SUMIF(OFFSET($S103,1,0,$R101-2),($M101+1)&amp;"$",OFFSET(AA103,1,0,$R101-2)))</f>
        <v>0</v>
      </c>
      <c r="AB103" s="202" cm="1">
        <f t="array" aca="1" ref="AB103" ca="1">IF($R101=2,
         IF(AND(ACOMPANHAMENTO="PLE",ISNUMBER($F101)),
                SUMIF((OFFSET(CÁLCULO!$BS$15:$CS$15,$F101,0,OFFSET(ORÇAMENTO!$D$15,CRONO!$F101,0))),CRONO!AB$12,OFFSET(CÁLCULO!$AR$15:$BR$15,$F101,0,OFFSET(ORÇAMENTO!$D$15,CRONO!$F101,0)))
                +IF(AND($F103&lt;&gt;"",$F103&lt;&gt;0),
                        SUMIF(CÁLCULO!$BS$15:$CS$244,CRONO!AB$12,CÁLCULO!$AR$15:$BR$244)/(ORÇAMENTO!$X$15-CÁLCULO.TotalAdmLocal)*CRONO!$F103,
                        0),
                 AB102*$S101),
          SUMIF(OFFSET($S103,1,0,$R101-2),($M101+1)&amp;"$",OFFSET(AB103,1,0,$R101-2)))</f>
        <v>0</v>
      </c>
      <c r="AC103" s="202" cm="1">
        <f t="array" aca="1" ref="AC103" ca="1">IF($R101=2,
         IF(AND(ACOMPANHAMENTO="PLE",ISNUMBER($F101)),
                SUMIF((OFFSET(CÁLCULO!$BS$15:$CS$15,$F101,0,OFFSET(ORÇAMENTO!$D$15,CRONO!$F101,0))),CRONO!AC$12,OFFSET(CÁLCULO!$AR$15:$BR$15,$F101,0,OFFSET(ORÇAMENTO!$D$15,CRONO!$F101,0)))
                +IF(AND($F103&lt;&gt;"",$F103&lt;&gt;0),
                        SUMIF(CÁLCULO!$BS$15:$CS$244,CRONO!AC$12,CÁLCULO!$AR$15:$BR$244)/(ORÇAMENTO!$X$15-CÁLCULO.TotalAdmLocal)*CRONO!$F103,
                        0),
                 AC102*$S101),
          SUMIF(OFFSET($S103,1,0,$R101-2),($M101+1)&amp;"$",OFFSET(AC103,1,0,$R101-2)))</f>
        <v>0</v>
      </c>
      <c r="AD103" s="202" cm="1">
        <f t="array" aca="1" ref="AD103" ca="1">IF($R101=2,
         IF(AND(ACOMPANHAMENTO="PLE",ISNUMBER($F101)),
                SUMIF((OFFSET(CÁLCULO!$BS$15:$CS$15,$F101,0,OFFSET(ORÇAMENTO!$D$15,CRONO!$F101,0))),CRONO!AD$12,OFFSET(CÁLCULO!$AR$15:$BR$15,$F101,0,OFFSET(ORÇAMENTO!$D$15,CRONO!$F101,0)))
                +IF(AND($F103&lt;&gt;"",$F103&lt;&gt;0),
                        SUMIF(CÁLCULO!$BS$15:$CS$244,CRONO!AD$12,CÁLCULO!$AR$15:$BR$244)/(ORÇAMENTO!$X$15-CÁLCULO.TotalAdmLocal)*CRONO!$F103,
                        0),
                 AD102*$S101),
          SUMIF(OFFSET($S103,1,0,$R101-2),($M101+1)&amp;"$",OFFSET(AD103,1,0,$R101-2)))</f>
        <v>0</v>
      </c>
      <c r="AE103" s="202" cm="1">
        <f t="array" aca="1" ref="AE103" ca="1">IF($R101=2,
         IF(AND(ACOMPANHAMENTO="PLE",ISNUMBER($F101)),
                SUMIF((OFFSET(CÁLCULO!$BS$15:$CS$15,$F101,0,OFFSET(ORÇAMENTO!$D$15,CRONO!$F101,0))),CRONO!AE$12,OFFSET(CÁLCULO!$AR$15:$BR$15,$F101,0,OFFSET(ORÇAMENTO!$D$15,CRONO!$F101,0)))
                +IF(AND($F103&lt;&gt;"",$F103&lt;&gt;0),
                        SUMIF(CÁLCULO!$BS$15:$CS$244,CRONO!AE$12,CÁLCULO!$AR$15:$BR$244)/(ORÇAMENTO!$X$15-CÁLCULO.TotalAdmLocal)*CRONO!$F103,
                        0),
                 AE102*$S101),
          SUMIF(OFFSET($S103,1,0,$R101-2),($M101+1)&amp;"$",OFFSET(AE103,1,0,$R101-2)))</f>
        <v>0</v>
      </c>
      <c r="AF103" s="202" cm="1">
        <f t="array" aca="1" ref="AF103" ca="1">IF($R101=2,
         IF(AND(ACOMPANHAMENTO="PLE",ISNUMBER($F101)),
                SUMIF((OFFSET(CÁLCULO!$BS$15:$CS$15,$F101,0,OFFSET(ORÇAMENTO!$D$15,CRONO!$F101,0))),CRONO!AF$12,OFFSET(CÁLCULO!$AR$15:$BR$15,$F101,0,OFFSET(ORÇAMENTO!$D$15,CRONO!$F101,0)))
                +IF(AND($F103&lt;&gt;"",$F103&lt;&gt;0),
                        SUMIF(CÁLCULO!$BS$15:$CS$244,CRONO!AF$12,CÁLCULO!$AR$15:$BR$244)/(ORÇAMENTO!$X$15-CÁLCULO.TotalAdmLocal)*CRONO!$F103,
                        0),
                 AF102*$S101),
          SUMIF(OFFSET($S103,1,0,$R101-2),($M101+1)&amp;"$",OFFSET(AF103,1,0,$R101-2)))</f>
        <v>0</v>
      </c>
      <c r="AG103" s="202" cm="1">
        <f t="array" aca="1" ref="AG103" ca="1">IF($R101=2,
         IF(AND(ACOMPANHAMENTO="PLE",ISNUMBER($F101)),
                SUMIF((OFFSET(CÁLCULO!$BS$15:$CS$15,$F101,0,OFFSET(ORÇAMENTO!$D$15,CRONO!$F101,0))),CRONO!AG$12,OFFSET(CÁLCULO!$AR$15:$BR$15,$F101,0,OFFSET(ORÇAMENTO!$D$15,CRONO!$F101,0)))
                +IF(AND($F103&lt;&gt;"",$F103&lt;&gt;0),
                        SUMIF(CÁLCULO!$BS$15:$CS$244,CRONO!AG$12,CÁLCULO!$AR$15:$BR$244)/(ORÇAMENTO!$X$15-CÁLCULO.TotalAdmLocal)*CRONO!$F103,
                        0),
                 AG102*$S101),
          SUMIF(OFFSET($S103,1,0,$R101-2),($M101+1)&amp;"$",OFFSET(AG103,1,0,$R101-2)))</f>
        <v>0</v>
      </c>
      <c r="AH103" s="202" cm="1">
        <f t="array" aca="1" ref="AH103" ca="1">IF($R101=2,
         IF(AND(ACOMPANHAMENTO="PLE",ISNUMBER($F101)),
                SUMIF((OFFSET(CÁLCULO!$BS$15:$CS$15,$F101,0,OFFSET(ORÇAMENTO!$D$15,CRONO!$F101,0))),CRONO!AH$12,OFFSET(CÁLCULO!$AR$15:$BR$15,$F101,0,OFFSET(ORÇAMENTO!$D$15,CRONO!$F101,0)))
                +IF(AND($F103&lt;&gt;"",$F103&lt;&gt;0),
                        SUMIF(CÁLCULO!$BS$15:$CS$244,CRONO!AH$12,CÁLCULO!$AR$15:$BR$244)/(ORÇAMENTO!$X$15-CÁLCULO.TotalAdmLocal)*CRONO!$F103,
                        0),
                 AH102*$S101),
          SUMIF(OFFSET($S103,1,0,$R101-2),($M101+1)&amp;"$",OFFSET(AH103,1,0,$R101-2)))</f>
        <v>0</v>
      </c>
      <c r="AI103" s="202" cm="1">
        <f t="array" aca="1" ref="AI103" ca="1">IF($R101=2,
         IF(AND(ACOMPANHAMENTO="PLE",ISNUMBER($F101)),
                SUMIF((OFFSET(CÁLCULO!$BS$15:$CS$15,$F101,0,OFFSET(ORÇAMENTO!$D$15,CRONO!$F101,0))),CRONO!AI$12,OFFSET(CÁLCULO!$AR$15:$BR$15,$F101,0,OFFSET(ORÇAMENTO!$D$15,CRONO!$F101,0)))
                +IF(AND($F103&lt;&gt;"",$F103&lt;&gt;0),
                        SUMIF(CÁLCULO!$BS$15:$CS$244,CRONO!AI$12,CÁLCULO!$AR$15:$BR$244)/(ORÇAMENTO!$X$15-CÁLCULO.TotalAdmLocal)*CRONO!$F103,
                        0),
                 AI102*$S101),
          SUMIF(OFFSET($S103,1,0,$R101-2),($M101+1)&amp;"$",OFFSET(AI103,1,0,$R101-2)))</f>
        <v>0</v>
      </c>
      <c r="AJ103" s="202" cm="1">
        <f t="array" aca="1" ref="AJ103" ca="1">IF($R101=2,
         IF(AND(ACOMPANHAMENTO="PLE",ISNUMBER($F101)),
                SUMIF((OFFSET(CÁLCULO!$BS$15:$CS$15,$F101,0,OFFSET(ORÇAMENTO!$D$15,CRONO!$F101,0))),CRONO!AJ$12,OFFSET(CÁLCULO!$AR$15:$BR$15,$F101,0,OFFSET(ORÇAMENTO!$D$15,CRONO!$F101,0)))
                +IF(AND($F103&lt;&gt;"",$F103&lt;&gt;0),
                        SUMIF(CÁLCULO!$BS$15:$CS$244,CRONO!AJ$12,CÁLCULO!$AR$15:$BR$244)/(ORÇAMENTO!$X$15-CÁLCULO.TotalAdmLocal)*CRONO!$F103,
                        0),
                 AJ102*$S101),
          SUMIF(OFFSET($S103,1,0,$R101-2),($M101+1)&amp;"$",OFFSET(AJ103,1,0,$R101-2)))</f>
        <v>0</v>
      </c>
      <c r="AK103" s="202" cm="1">
        <f t="array" aca="1" ref="AK103" ca="1">IF($R101=2,
         IF(AND(ACOMPANHAMENTO="PLE",ISNUMBER($F101)),
                SUMIF((OFFSET(CÁLCULO!$BS$15:$CS$15,$F101,0,OFFSET(ORÇAMENTO!$D$15,CRONO!$F101,0))),CRONO!AK$12,OFFSET(CÁLCULO!$AR$15:$BR$15,$F101,0,OFFSET(ORÇAMENTO!$D$15,CRONO!$F101,0)))
                +IF(AND($F103&lt;&gt;"",$F103&lt;&gt;0),
                        SUMIF(CÁLCULO!$BS$15:$CS$244,CRONO!AK$12,CÁLCULO!$AR$15:$BR$244)/(ORÇAMENTO!$X$15-CÁLCULO.TotalAdmLocal)*CRONO!$F103,
                        0),
                 AK102*$S101),
          SUMIF(OFFSET($S103,1,0,$R101-2),($M101+1)&amp;"$",OFFSET(AK103,1,0,$R101-2)))</f>
        <v>0</v>
      </c>
      <c r="AL103" s="202" cm="1">
        <f t="array" aca="1" ref="AL103" ca="1">IF($R101=2,
         IF(AND(ACOMPANHAMENTO="PLE",ISNUMBER($F101)),
                SUMIF((OFFSET(CÁLCULO!$BS$15:$CS$15,$F101,0,OFFSET(ORÇAMENTO!$D$15,CRONO!$F101,0))),CRONO!AL$12,OFFSET(CÁLCULO!$AR$15:$BR$15,$F101,0,OFFSET(ORÇAMENTO!$D$15,CRONO!$F101,0)))
                +IF(AND($F103&lt;&gt;"",$F103&lt;&gt;0),
                        SUMIF(CÁLCULO!$BS$15:$CS$244,CRONO!AL$12,CÁLCULO!$AR$15:$BR$244)/(ORÇAMENTO!$X$15-CÁLCULO.TotalAdmLocal)*CRONO!$F103,
                        0),
                 AL102*$S101),
          SUMIF(OFFSET($S103,1,0,$R101-2),($M101+1)&amp;"$",OFFSET(AL103,1,0,$R101-2)))</f>
        <v>0</v>
      </c>
      <c r="AM103" s="202" cm="1">
        <f t="array" aca="1" ref="AM103" ca="1">IF($R101=2,
         IF(AND(ACOMPANHAMENTO="PLE",ISNUMBER($F101)),
                SUMIF((OFFSET(CÁLCULO!$BS$15:$CS$15,$F101,0,OFFSET(ORÇAMENTO!$D$15,CRONO!$F101,0))),CRONO!AM$12,OFFSET(CÁLCULO!$AR$15:$BR$15,$F101,0,OFFSET(ORÇAMENTO!$D$15,CRONO!$F101,0)))
                +IF(AND($F103&lt;&gt;"",$F103&lt;&gt;0),
                        SUMIF(CÁLCULO!$BS$15:$CS$244,CRONO!AM$12,CÁLCULO!$AR$15:$BR$244)/(ORÇAMENTO!$X$15-CÁLCULO.TotalAdmLocal)*CRONO!$F103,
                        0),
                 AM102*$S101),
          SUMIF(OFFSET($S103,1,0,$R101-2),($M101+1)&amp;"$",OFFSET(AM103,1,0,$R101-2)))</f>
        <v>0</v>
      </c>
      <c r="AN103" s="202" cm="1">
        <f t="array" aca="1" ref="AN103" ca="1">IF($R101=2,
         IF(AND(ACOMPANHAMENTO="PLE",ISNUMBER($F101)),
                SUMIF((OFFSET(CÁLCULO!$BS$15:$CS$15,$F101,0,OFFSET(ORÇAMENTO!$D$15,CRONO!$F101,0))),CRONO!AN$12,OFFSET(CÁLCULO!$AR$15:$BR$15,$F101,0,OFFSET(ORÇAMENTO!$D$15,CRONO!$F101,0)))
                +IF(AND($F103&lt;&gt;"",$F103&lt;&gt;0),
                        SUMIF(CÁLCULO!$BS$15:$CS$244,CRONO!AN$12,CÁLCULO!$AR$15:$BR$244)/(ORÇAMENTO!$X$15-CÁLCULO.TotalAdmLocal)*CRONO!$F103,
                        0),
                 AN102*$S101),
          SUMIF(OFFSET($S103,1,0,$R101-2),($M101+1)&amp;"$",OFFSET(AN103,1,0,$R101-2)))</f>
        <v>0</v>
      </c>
      <c r="AO103" s="202" cm="1">
        <f t="array" aca="1" ref="AO103" ca="1">IF($R101=2,
         IF(AND(ACOMPANHAMENTO="PLE",ISNUMBER($F101)),
                SUMIF((OFFSET(CÁLCULO!$BS$15:$CS$15,$F101,0,OFFSET(ORÇAMENTO!$D$15,CRONO!$F101,0))),CRONO!AO$12,OFFSET(CÁLCULO!$AR$15:$BR$15,$F101,0,OFFSET(ORÇAMENTO!$D$15,CRONO!$F101,0)))
                +IF(AND($F103&lt;&gt;"",$F103&lt;&gt;0),
                        SUMIF(CÁLCULO!$BS$15:$CS$244,CRONO!AO$12,CÁLCULO!$AR$15:$BR$244)/(ORÇAMENTO!$X$15-CÁLCULO.TotalAdmLocal)*CRONO!$F103,
                        0),
                 AO102*$S101),
          SUMIF(OFFSET($S103,1,0,$R101-2),($M101+1)&amp;"$",OFFSET(AO103,1,0,$R101-2)))</f>
        <v>0</v>
      </c>
      <c r="AP103" s="202" cm="1">
        <f t="array" aca="1" ref="AP103" ca="1">IF($R101=2,
         IF(AND(ACOMPANHAMENTO="PLE",ISNUMBER($F101)),
                SUMIF((OFFSET(CÁLCULO!$BS$15:$CS$15,$F101,0,OFFSET(ORÇAMENTO!$D$15,CRONO!$F101,0))),CRONO!AP$12,OFFSET(CÁLCULO!$AR$15:$BR$15,$F101,0,OFFSET(ORÇAMENTO!$D$15,CRONO!$F101,0)))
                +IF(AND($F103&lt;&gt;"",$F103&lt;&gt;0),
                        SUMIF(CÁLCULO!$BS$15:$CS$244,CRONO!AP$12,CÁLCULO!$AR$15:$BR$244)/(ORÇAMENTO!$X$15-CÁLCULO.TotalAdmLocal)*CRONO!$F103,
                        0),
                 AP102*$S101),
          SUMIF(OFFSET($S103,1,0,$R101-2),($M101+1)&amp;"$",OFFSET(AP103,1,0,$R101-2)))</f>
        <v>0</v>
      </c>
      <c r="AQ103" s="202" cm="1">
        <f t="array" aca="1" ref="AQ103" ca="1">IF($R101=2,
         IF(AND(ACOMPANHAMENTO="PLE",ISNUMBER($F101)),
                SUMIF((OFFSET(CÁLCULO!$BS$15:$CS$15,$F101,0,OFFSET(ORÇAMENTO!$D$15,CRONO!$F101,0))),CRONO!AQ$12,OFFSET(CÁLCULO!$AR$15:$BR$15,$F101,0,OFFSET(ORÇAMENTO!$D$15,CRONO!$F101,0)))
                +IF(AND($F103&lt;&gt;"",$F103&lt;&gt;0),
                        SUMIF(CÁLCULO!$BS$15:$CS$244,CRONO!AQ$12,CÁLCULO!$AR$15:$BR$244)/(ORÇAMENTO!$X$15-CÁLCULO.TotalAdmLocal)*CRONO!$F103,
                        0),
                 AQ102*$S101),
          SUMIF(OFFSET($S103,1,0,$R101-2),($M101+1)&amp;"$",OFFSET(AQ103,1,0,$R101-2)))</f>
        <v>0</v>
      </c>
      <c r="AR103" s="202" cm="1">
        <f t="array" aca="1" ref="AR103" ca="1">IF($R101=2,
         IF(AND(ACOMPANHAMENTO="PLE",ISNUMBER($F101)),
                SUMIF((OFFSET(CÁLCULO!$BS$15:$CS$15,$F101,0,OFFSET(ORÇAMENTO!$D$15,CRONO!$F101,0))),CRONO!AR$12,OFFSET(CÁLCULO!$AR$15:$BR$15,$F101,0,OFFSET(ORÇAMENTO!$D$15,CRONO!$F101,0)))
                +IF(AND($F103&lt;&gt;"",$F103&lt;&gt;0),
                        SUMIF(CÁLCULO!$BS$15:$CS$244,CRONO!AR$12,CÁLCULO!$AR$15:$BR$244)/(ORÇAMENTO!$X$15-CÁLCULO.TotalAdmLocal)*CRONO!$F103,
                        0),
                 AR102*$S101),
          SUMIF(OFFSET($S103,1,0,$R101-2),($M101+1)&amp;"$",OFFSET(AR103,1,0,$R101-2)))</f>
        <v>0</v>
      </c>
      <c r="AS103" s="534"/>
    </row>
    <row r="104" spans="1:45" x14ac:dyDescent="0.2">
      <c r="A104" s="186" t="str">
        <f t="shared" ref="A104" ca="1" si="182">IF($M104&gt;1,_xlfn.CONCAT($I104," ",$J104),"")</f>
        <v/>
      </c>
      <c r="B104" s="185">
        <f t="shared" ref="B104" ca="1" si="183">OFFSET(B104,-3,0)+1</f>
        <v>31</v>
      </c>
      <c r="C104" s="185">
        <f ca="1">IF($R104&lt;&gt;2,0,IF($S104=0,1,IF(F105&gt;0,OFFSET(QCI!$M$13,SUBSTITUTE(F105,".",""),0),OFFSET(ORÇAMENTO!$AA$15,CRONO!$F104,0))/$S104))</f>
        <v>0</v>
      </c>
      <c r="D104" s="185">
        <f ca="1">IF($R104&lt;&gt;2,0,IF($S104=0,1,IF(F105&gt;0,OFFSET(QCI!$N$13,SUBSTITUTE(F105,".",""),0),OFFSET(ORÇAMENTO!$AB$15,CRONO!$F104,0))/$S104))</f>
        <v>0</v>
      </c>
      <c r="E104" s="188" t="e" cm="1">
        <f t="array" aca="1" ref="E104" ca="1">IF(AND($R104=2,ACOMPANHAMENTO="BM"),ROUND(E105,4),E106/$S104)</f>
        <v>#DIV/0!</v>
      </c>
      <c r="F104" s="185" cm="1">
        <f t="array" aca="1" ref="F104" ca="1">IF(B104&lt;=ORÇAMENTO.MáximoListaCrono,MATCH(B104,ORÇAMENTO.ListaCrono,0),NA())</f>
        <v>117</v>
      </c>
      <c r="G104" s="185" t="str">
        <f t="shared" ref="G104" ca="1" si="184">IF(AND($F105&lt;&gt;-1,$S104&gt;0),"F","")</f>
        <v/>
      </c>
      <c r="H104" s="189" t="str" cm="1">
        <f t="array" aca="1" ref="H104" ca="1">IF(OR(S104=0,S104=""),"Linha",IF(AND(OR(ACOMPANHAMENTO="PLE",$R104&lt;&gt;2),$F105=0),"Linha",ROUND(1-SUM(U104:AS104),4)))</f>
        <v>Linha</v>
      </c>
      <c r="I104" s="190" t="str">
        <f ca="1">IF($F105=0,OFFSET(ORÇAMENTO!O$15,$F104,0),IF($F105&lt;&gt;-1,OFFSET(QCI!$D$13,$F105,0),""))</f>
        <v>9.</v>
      </c>
      <c r="J104" s="191" t="str">
        <f ca="1">IF($F105=0,OFFSET(ORÇAMENTO!R$15,$F104,0),IF($F105&lt;&gt;-1,OFFSET(QCI!$G$13,$F105,0),""))</f>
        <v>INSTALAÇÕES</v>
      </c>
      <c r="K104" s="191"/>
      <c r="L104" s="191"/>
      <c r="M104" s="192">
        <f ca="1">IF($F105=0,OFFSET(ORÇAMENTO!C$15,$F104,0),1)</f>
        <v>1</v>
      </c>
      <c r="N104" s="193">
        <f ca="1">IF($F105=-1,0,IF(N$13&lt;=$M104,IF(ISERROR(MATCH(N$13,OFFSET($M104,1,0,ROW($M$164)-ROW($M104)-1),0)),ROW($M$164)-ROW($M104)-1,MATCH(N$13,OFFSET($M104,1,0,ROW($M$164)-ROW($M104)-1),0)-1),0))</f>
        <v>41</v>
      </c>
      <c r="O104" s="193">
        <f ca="1">IF($F105=-1,0,IF(O$13&lt;=$M104,IF(ISERROR(MATCH(O$13,OFFSET($M104,1,0,ROW($M$164)-ROW($M104)-1),0)),ROW($M$164)-ROW($M104)-1,MATCH(O$13,OFFSET($M104,1,0,ROW($M$164)-ROW($M104)-1),0)-1),0))</f>
        <v>0</v>
      </c>
      <c r="P104" s="193">
        <f ca="1">IF($F105=-1,0,IF(P$13&lt;=$M104,IF(ISERROR(MATCH(P$13,OFFSET($M104,1,0,ROW($M$164)-ROW($M104)-1),0)),ROW($M$164)-ROW($M104)-1,MATCH(P$13,OFFSET($M104,1,0,ROW($M$164)-ROW($M104)-1),0)-1),0))</f>
        <v>0</v>
      </c>
      <c r="Q104" s="193">
        <f ca="1">IF($F105=-1,0,IF(Q$13&lt;=$M104,IF(ISERROR(MATCH(Q$13,OFFSET($M104,1,0,ROW($M$164)-ROW($M104)-1),0)),ROW($M$164)-ROW($M104)-1,MATCH(Q$13,OFFSET($M104,1,0,ROW($M$164)-ROW($M104)-1),0)-1),0))</f>
        <v>0</v>
      </c>
      <c r="R104" s="193">
        <f t="shared" ref="R104" ca="1" si="185">MIN(OFFSET(M104,0,1,,M104))</f>
        <v>41</v>
      </c>
      <c r="S104" s="194">
        <f ca="1">IF($F105=0,OFFSET(ORÇAMENTO!X$15,$F104,0),IF($F105&lt;&gt;-1,OFFSET(QCI!$O$13,$F105,0),""))</f>
        <v>0</v>
      </c>
      <c r="T104" s="195" t="s">
        <v>785</v>
      </c>
      <c r="U104" s="188" t="e" cm="1">
        <f t="array" aca="1" ref="U104" ca="1">IF(AND($R104=2,ACOMPANHAMENTO="BM"),ROUND(U105,4),U106/$S104)</f>
        <v>#DIV/0!</v>
      </c>
      <c r="V104" s="188" t="e" cm="1">
        <f t="array" aca="1" ref="V104" ca="1">IF(AND($R104=2,ACOMPANHAMENTO="BM"),ROUND(V105,4),V106/$S104)</f>
        <v>#DIV/0!</v>
      </c>
      <c r="W104" s="188" t="e" cm="1">
        <f t="array" aca="1" ref="W104" ca="1">IF(AND($R104=2,ACOMPANHAMENTO="BM"),ROUND(W105,4),W106/$S104)</f>
        <v>#DIV/0!</v>
      </c>
      <c r="X104" s="188" t="e" cm="1">
        <f t="array" aca="1" ref="X104" ca="1">IF(AND($R104=2,ACOMPANHAMENTO="BM"),ROUND(X105,4),X106/$S104)</f>
        <v>#DIV/0!</v>
      </c>
      <c r="Y104" s="188" t="e" cm="1">
        <f t="array" aca="1" ref="Y104" ca="1">IF(AND($R104=2,ACOMPANHAMENTO="BM"),ROUND(Y105,4),Y106/$S104)</f>
        <v>#DIV/0!</v>
      </c>
      <c r="Z104" s="188" t="e" cm="1">
        <f t="array" aca="1" ref="Z104" ca="1">IF(AND($R104=2,ACOMPANHAMENTO="BM"),ROUND(Z105,4),Z106/$S104)</f>
        <v>#DIV/0!</v>
      </c>
      <c r="AA104" s="188" t="e" cm="1">
        <f t="array" aca="1" ref="AA104" ca="1">IF(AND($R104=2,ACOMPANHAMENTO="BM"),ROUND(AA105,4),AA106/$S104)</f>
        <v>#DIV/0!</v>
      </c>
      <c r="AB104" s="188" t="e" cm="1">
        <f t="array" aca="1" ref="AB104" ca="1">IF(AND($R104=2,ACOMPANHAMENTO="BM"),ROUND(AB105,4),AB106/$S104)</f>
        <v>#DIV/0!</v>
      </c>
      <c r="AC104" s="188" t="e" cm="1">
        <f t="array" aca="1" ref="AC104" ca="1">IF(AND($R104=2,ACOMPANHAMENTO="BM"),ROUND(AC105,4),AC106/$S104)</f>
        <v>#DIV/0!</v>
      </c>
      <c r="AD104" s="188" t="e" cm="1">
        <f t="array" aca="1" ref="AD104" ca="1">IF(AND($R104=2,ACOMPANHAMENTO="BM"),ROUND(AD105,4),AD106/$S104)</f>
        <v>#DIV/0!</v>
      </c>
      <c r="AE104" s="188" t="e" cm="1">
        <f t="array" aca="1" ref="AE104" ca="1">IF(AND($R104=2,ACOMPANHAMENTO="BM"),ROUND(AE105,4),AE106/$S104)</f>
        <v>#DIV/0!</v>
      </c>
      <c r="AF104" s="188" t="e" cm="1">
        <f t="array" aca="1" ref="AF104" ca="1">IF(AND($R104=2,ACOMPANHAMENTO="BM"),ROUND(AF105,4),AF106/$S104)</f>
        <v>#DIV/0!</v>
      </c>
      <c r="AG104" s="188" t="e" cm="1">
        <f t="array" aca="1" ref="AG104" ca="1">IF(AND($R104=2,ACOMPANHAMENTO="BM"),ROUND(AG105,4),AG106/$S104)</f>
        <v>#DIV/0!</v>
      </c>
      <c r="AH104" s="188" t="e" cm="1">
        <f t="array" aca="1" ref="AH104" ca="1">IF(AND($R104=2,ACOMPANHAMENTO="BM"),ROUND(AH105,4),AH106/$S104)</f>
        <v>#DIV/0!</v>
      </c>
      <c r="AI104" s="188" t="e" cm="1">
        <f t="array" aca="1" ref="AI104" ca="1">IF(AND($R104=2,ACOMPANHAMENTO="BM"),ROUND(AI105,4),AI106/$S104)</f>
        <v>#DIV/0!</v>
      </c>
      <c r="AJ104" s="188" t="e" cm="1">
        <f t="array" aca="1" ref="AJ104" ca="1">IF(AND($R104=2,ACOMPANHAMENTO="BM"),ROUND(AJ105,4),AJ106/$S104)</f>
        <v>#DIV/0!</v>
      </c>
      <c r="AK104" s="188" t="e" cm="1">
        <f t="array" aca="1" ref="AK104" ca="1">IF(AND($R104=2,ACOMPANHAMENTO="BM"),ROUND(AK105,4),AK106/$S104)</f>
        <v>#DIV/0!</v>
      </c>
      <c r="AL104" s="188" t="e" cm="1">
        <f t="array" aca="1" ref="AL104" ca="1">IF(AND($R104=2,ACOMPANHAMENTO="BM"),ROUND(AL105,4),AL106/$S104)</f>
        <v>#DIV/0!</v>
      </c>
      <c r="AM104" s="188" t="e" cm="1">
        <f t="array" aca="1" ref="AM104" ca="1">IF(AND($R104=2,ACOMPANHAMENTO="BM"),ROUND(AM105,4),AM106/$S104)</f>
        <v>#DIV/0!</v>
      </c>
      <c r="AN104" s="188" t="e" cm="1">
        <f t="array" aca="1" ref="AN104" ca="1">IF(AND($R104=2,ACOMPANHAMENTO="BM"),ROUND(AN105,4),AN106/$S104)</f>
        <v>#DIV/0!</v>
      </c>
      <c r="AO104" s="188" t="e" cm="1">
        <f t="array" aca="1" ref="AO104" ca="1">IF(AND($R104=2,ACOMPANHAMENTO="BM"),ROUND(AO105,4),AO106/$S104)</f>
        <v>#DIV/0!</v>
      </c>
      <c r="AP104" s="188" t="e" cm="1">
        <f t="array" aca="1" ref="AP104" ca="1">IF(AND($R104=2,ACOMPANHAMENTO="BM"),ROUND(AP105,4),AP106/$S104)</f>
        <v>#DIV/0!</v>
      </c>
      <c r="AQ104" s="188" t="e" cm="1">
        <f t="array" aca="1" ref="AQ104" ca="1">IF(AND($R104=2,ACOMPANHAMENTO="BM"),ROUND(AQ105,4),AQ106/$S104)</f>
        <v>#DIV/0!</v>
      </c>
      <c r="AR104" s="188" t="e" cm="1">
        <f t="array" aca="1" ref="AR104" ca="1">IF(AND($R104=2,ACOMPANHAMENTO="BM"),ROUND(AR105,4),AR106/$S104)</f>
        <v>#DIV/0!</v>
      </c>
      <c r="AS104" s="534"/>
    </row>
    <row r="105" spans="1:45" ht="12.75" hidden="1" customHeight="1" x14ac:dyDescent="0.2">
      <c r="E105" s="587"/>
      <c r="F105" s="185">
        <f ca="1">IF(ISERROR(F104),IF(1+COUNTIF($M$13:OFFSET(M104,-1,0),1)&lt;=MAX(QCI!$D$13:$D$24),1+COUNTIF($M$13:OFFSET(M104,-1,0),1),-1),0)</f>
        <v>0</v>
      </c>
      <c r="G105" s="185" t="str" cm="1">
        <f t="array" aca="1" ref="G105" ca="1">IF(ACOMPANHAMENTO="BM",OFFSET(G105,-1,0),"")</f>
        <v/>
      </c>
      <c r="H105" s="196" t="str" cm="1">
        <f t="array" aca="1" ref="H105" ca="1">IF(OR(S104=0,S104=""),"vazia",IF(AND(OR(ACOMPANHAMENTO="PLE",$R104&lt;&gt;2),$F105=0),"calculada","--&gt;"))</f>
        <v>vazia</v>
      </c>
      <c r="I105" s="197"/>
      <c r="J105" s="198" t="str">
        <f t="shared" ref="J105" ca="1" si="186">IF(AND(H104&lt;&gt;0,ISNUMBER(H104)),"PREENCHA ESTA LINHA --&gt;","")</f>
        <v/>
      </c>
      <c r="K105" s="198"/>
      <c r="L105" s="198"/>
      <c r="M105" s="199"/>
      <c r="N105" s="199"/>
      <c r="O105" s="199"/>
      <c r="P105" s="199"/>
      <c r="Q105" s="199"/>
      <c r="R105" s="199"/>
      <c r="S105" s="200"/>
      <c r="T105" s="201"/>
      <c r="U105" s="587"/>
      <c r="V105" s="587"/>
      <c r="W105" s="587"/>
      <c r="X105" s="587"/>
      <c r="Y105" s="587"/>
      <c r="Z105" s="587"/>
      <c r="AA105" s="587"/>
      <c r="AB105" s="587"/>
      <c r="AC105" s="587"/>
      <c r="AD105" s="587"/>
      <c r="AE105" s="587"/>
      <c r="AF105" s="587"/>
      <c r="AG105" s="587"/>
      <c r="AH105" s="587"/>
      <c r="AI105" s="587"/>
      <c r="AJ105" s="587"/>
      <c r="AK105" s="587"/>
      <c r="AL105" s="587"/>
      <c r="AM105" s="587"/>
      <c r="AN105" s="587"/>
      <c r="AO105" s="587"/>
      <c r="AP105" s="587"/>
      <c r="AQ105" s="587"/>
      <c r="AR105" s="587"/>
      <c r="AS105" s="534"/>
    </row>
    <row r="106" spans="1:45" ht="12.75" hidden="1" customHeight="1" x14ac:dyDescent="0.2">
      <c r="D106" s="533"/>
      <c r="E106" s="202" cm="1">
        <f t="array" aca="1" ref="E106" ca="1">IF($R104=2,
         IF(AND(ACOMPANHAMENTO="PLE",ISNUMBER($F104)),
                SUMIF((OFFSET(CÁLCULO!$BS$15:$CS$15,$F104,0,OFFSET(ORÇAMENTO!$D$15,CRONO!$F104,0))),CRONO!E$12,OFFSET(CÁLCULO!$AR$15:$BR$15,$F104,0,OFFSET(ORÇAMENTO!$D$15,CRONO!$F104,0)))
                +IF(AND($F106&lt;&gt;"",$F106&lt;&gt;0),
                        SUMIF(CÁLCULO!$BS$15:$CS$244,CRONO!E$12,CÁLCULO!$AR$15:$BR$244)/(ORÇAMENTO!$X$15-CÁLCULO.TotalAdmLocal)*CRONO!$F106,
                        0),
                 E105*$S104),
          SUMIF(OFFSET($S106,1,0,$R104-2),($M104+1)&amp;"$",OFFSET(E106,1,0,$R104-2)))</f>
        <v>0</v>
      </c>
      <c r="F106" s="185" t="str">
        <f ca="1">IF(OR($R104&lt;&gt;2,AUTOEVENTO&lt;&gt;"manual",$F105&gt;0),"",
        IF(Import.TipoArredondamento="Tradicional",
              SUMIF(OFFSET(CÁLCULO!$M$15,CRONO!$F104,0,OFFSET(ORÇAMENTO!$D$15,CRONO!$F104,0)),1,OFFSET(ORÇAMENTO!$X$15,CRONO!$F104,0,OFFSET(ORÇAMENTO!$D$15,CRONO!$F104,0))),
              0))</f>
        <v/>
      </c>
      <c r="H106" s="203"/>
      <c r="S106" s="204" t="str">
        <f t="shared" ref="S106" ca="1" si="187">M104&amp;"$"</f>
        <v>1$</v>
      </c>
      <c r="T106" s="205"/>
      <c r="U106" s="202" cm="1">
        <f t="array" aca="1" ref="U106" ca="1">IF($R104=2,
         IF(AND(ACOMPANHAMENTO="PLE",ISNUMBER($F104)),
                SUMIF((OFFSET(CÁLCULO!$BS$15:$CS$15,$F104,0,OFFSET(ORÇAMENTO!$D$15,CRONO!$F104,0))),CRONO!U$12,OFFSET(CÁLCULO!$AR$15:$BR$15,$F104,0,OFFSET(ORÇAMENTO!$D$15,CRONO!$F104,0)))
                +IF(AND($F106&lt;&gt;"",$F106&lt;&gt;0),
                        SUMIF(CÁLCULO!$BS$15:$CS$244,CRONO!U$12,CÁLCULO!$AR$15:$BR$244)/(ORÇAMENTO!$X$15-CÁLCULO.TotalAdmLocal)*CRONO!$F106,
                        0),
                 U105*$S104),
          SUMIF(OFFSET($S106,1,0,$R104-2),($M104+1)&amp;"$",OFFSET(U106,1,0,$R104-2)))</f>
        <v>0</v>
      </c>
      <c r="V106" s="202" cm="1">
        <f t="array" aca="1" ref="V106" ca="1">IF($R104=2,
         IF(AND(ACOMPANHAMENTO="PLE",ISNUMBER($F104)),
                SUMIF((OFFSET(CÁLCULO!$BS$15:$CS$15,$F104,0,OFFSET(ORÇAMENTO!$D$15,CRONO!$F104,0))),CRONO!V$12,OFFSET(CÁLCULO!$AR$15:$BR$15,$F104,0,OFFSET(ORÇAMENTO!$D$15,CRONO!$F104,0)))
                +IF(AND($F106&lt;&gt;"",$F106&lt;&gt;0),
                        SUMIF(CÁLCULO!$BS$15:$CS$244,CRONO!V$12,CÁLCULO!$AR$15:$BR$244)/(ORÇAMENTO!$X$15-CÁLCULO.TotalAdmLocal)*CRONO!$F106,
                        0),
                 V105*$S104),
          SUMIF(OFFSET($S106,1,0,$R104-2),($M104+1)&amp;"$",OFFSET(V106,1,0,$R104-2)))</f>
        <v>0</v>
      </c>
      <c r="W106" s="202" cm="1">
        <f t="array" aca="1" ref="W106" ca="1">IF($R104=2,
         IF(AND(ACOMPANHAMENTO="PLE",ISNUMBER($F104)),
                SUMIF((OFFSET(CÁLCULO!$BS$15:$CS$15,$F104,0,OFFSET(ORÇAMENTO!$D$15,CRONO!$F104,0))),CRONO!W$12,OFFSET(CÁLCULO!$AR$15:$BR$15,$F104,0,OFFSET(ORÇAMENTO!$D$15,CRONO!$F104,0)))
                +IF(AND($F106&lt;&gt;"",$F106&lt;&gt;0),
                        SUMIF(CÁLCULO!$BS$15:$CS$244,CRONO!W$12,CÁLCULO!$AR$15:$BR$244)/(ORÇAMENTO!$X$15-CÁLCULO.TotalAdmLocal)*CRONO!$F106,
                        0),
                 W105*$S104),
          SUMIF(OFFSET($S106,1,0,$R104-2),($M104+1)&amp;"$",OFFSET(W106,1,0,$R104-2)))</f>
        <v>0</v>
      </c>
      <c r="X106" s="202" cm="1">
        <f t="array" aca="1" ref="X106" ca="1">IF($R104=2,
         IF(AND(ACOMPANHAMENTO="PLE",ISNUMBER($F104)),
                SUMIF((OFFSET(CÁLCULO!$BS$15:$CS$15,$F104,0,OFFSET(ORÇAMENTO!$D$15,CRONO!$F104,0))),CRONO!X$12,OFFSET(CÁLCULO!$AR$15:$BR$15,$F104,0,OFFSET(ORÇAMENTO!$D$15,CRONO!$F104,0)))
                +IF(AND($F106&lt;&gt;"",$F106&lt;&gt;0),
                        SUMIF(CÁLCULO!$BS$15:$CS$244,CRONO!X$12,CÁLCULO!$AR$15:$BR$244)/(ORÇAMENTO!$X$15-CÁLCULO.TotalAdmLocal)*CRONO!$F106,
                        0),
                 X105*$S104),
          SUMIF(OFFSET($S106,1,0,$R104-2),($M104+1)&amp;"$",OFFSET(X106,1,0,$R104-2)))</f>
        <v>0</v>
      </c>
      <c r="Y106" s="202" cm="1">
        <f t="array" aca="1" ref="Y106" ca="1">IF($R104=2,
         IF(AND(ACOMPANHAMENTO="PLE",ISNUMBER($F104)),
                SUMIF((OFFSET(CÁLCULO!$BS$15:$CS$15,$F104,0,OFFSET(ORÇAMENTO!$D$15,CRONO!$F104,0))),CRONO!Y$12,OFFSET(CÁLCULO!$AR$15:$BR$15,$F104,0,OFFSET(ORÇAMENTO!$D$15,CRONO!$F104,0)))
                +IF(AND($F106&lt;&gt;"",$F106&lt;&gt;0),
                        SUMIF(CÁLCULO!$BS$15:$CS$244,CRONO!Y$12,CÁLCULO!$AR$15:$BR$244)/(ORÇAMENTO!$X$15-CÁLCULO.TotalAdmLocal)*CRONO!$F106,
                        0),
                 Y105*$S104),
          SUMIF(OFFSET($S106,1,0,$R104-2),($M104+1)&amp;"$",OFFSET(Y106,1,0,$R104-2)))</f>
        <v>0</v>
      </c>
      <c r="Z106" s="202" cm="1">
        <f t="array" aca="1" ref="Z106" ca="1">IF($R104=2,
         IF(AND(ACOMPANHAMENTO="PLE",ISNUMBER($F104)),
                SUMIF((OFFSET(CÁLCULO!$BS$15:$CS$15,$F104,0,OFFSET(ORÇAMENTO!$D$15,CRONO!$F104,0))),CRONO!Z$12,OFFSET(CÁLCULO!$AR$15:$BR$15,$F104,0,OFFSET(ORÇAMENTO!$D$15,CRONO!$F104,0)))
                +IF(AND($F106&lt;&gt;"",$F106&lt;&gt;0),
                        SUMIF(CÁLCULO!$BS$15:$CS$244,CRONO!Z$12,CÁLCULO!$AR$15:$BR$244)/(ORÇAMENTO!$X$15-CÁLCULO.TotalAdmLocal)*CRONO!$F106,
                        0),
                 Z105*$S104),
          SUMIF(OFFSET($S106,1,0,$R104-2),($M104+1)&amp;"$",OFFSET(Z106,1,0,$R104-2)))</f>
        <v>0</v>
      </c>
      <c r="AA106" s="202" cm="1">
        <f t="array" aca="1" ref="AA106" ca="1">IF($R104=2,
         IF(AND(ACOMPANHAMENTO="PLE",ISNUMBER($F104)),
                SUMIF((OFFSET(CÁLCULO!$BS$15:$CS$15,$F104,0,OFFSET(ORÇAMENTO!$D$15,CRONO!$F104,0))),CRONO!AA$12,OFFSET(CÁLCULO!$AR$15:$BR$15,$F104,0,OFFSET(ORÇAMENTO!$D$15,CRONO!$F104,0)))
                +IF(AND($F106&lt;&gt;"",$F106&lt;&gt;0),
                        SUMIF(CÁLCULO!$BS$15:$CS$244,CRONO!AA$12,CÁLCULO!$AR$15:$BR$244)/(ORÇAMENTO!$X$15-CÁLCULO.TotalAdmLocal)*CRONO!$F106,
                        0),
                 AA105*$S104),
          SUMIF(OFFSET($S106,1,0,$R104-2),($M104+1)&amp;"$",OFFSET(AA106,1,0,$R104-2)))</f>
        <v>0</v>
      </c>
      <c r="AB106" s="202" cm="1">
        <f t="array" aca="1" ref="AB106" ca="1">IF($R104=2,
         IF(AND(ACOMPANHAMENTO="PLE",ISNUMBER($F104)),
                SUMIF((OFFSET(CÁLCULO!$BS$15:$CS$15,$F104,0,OFFSET(ORÇAMENTO!$D$15,CRONO!$F104,0))),CRONO!AB$12,OFFSET(CÁLCULO!$AR$15:$BR$15,$F104,0,OFFSET(ORÇAMENTO!$D$15,CRONO!$F104,0)))
                +IF(AND($F106&lt;&gt;"",$F106&lt;&gt;0),
                        SUMIF(CÁLCULO!$BS$15:$CS$244,CRONO!AB$12,CÁLCULO!$AR$15:$BR$244)/(ORÇAMENTO!$X$15-CÁLCULO.TotalAdmLocal)*CRONO!$F106,
                        0),
                 AB105*$S104),
          SUMIF(OFFSET($S106,1,0,$R104-2),($M104+1)&amp;"$",OFFSET(AB106,1,0,$R104-2)))</f>
        <v>0</v>
      </c>
      <c r="AC106" s="202" cm="1">
        <f t="array" aca="1" ref="AC106" ca="1">IF($R104=2,
         IF(AND(ACOMPANHAMENTO="PLE",ISNUMBER($F104)),
                SUMIF((OFFSET(CÁLCULO!$BS$15:$CS$15,$F104,0,OFFSET(ORÇAMENTO!$D$15,CRONO!$F104,0))),CRONO!AC$12,OFFSET(CÁLCULO!$AR$15:$BR$15,$F104,0,OFFSET(ORÇAMENTO!$D$15,CRONO!$F104,0)))
                +IF(AND($F106&lt;&gt;"",$F106&lt;&gt;0),
                        SUMIF(CÁLCULO!$BS$15:$CS$244,CRONO!AC$12,CÁLCULO!$AR$15:$BR$244)/(ORÇAMENTO!$X$15-CÁLCULO.TotalAdmLocal)*CRONO!$F106,
                        0),
                 AC105*$S104),
          SUMIF(OFFSET($S106,1,0,$R104-2),($M104+1)&amp;"$",OFFSET(AC106,1,0,$R104-2)))</f>
        <v>0</v>
      </c>
      <c r="AD106" s="202" cm="1">
        <f t="array" aca="1" ref="AD106" ca="1">IF($R104=2,
         IF(AND(ACOMPANHAMENTO="PLE",ISNUMBER($F104)),
                SUMIF((OFFSET(CÁLCULO!$BS$15:$CS$15,$F104,0,OFFSET(ORÇAMENTO!$D$15,CRONO!$F104,0))),CRONO!AD$12,OFFSET(CÁLCULO!$AR$15:$BR$15,$F104,0,OFFSET(ORÇAMENTO!$D$15,CRONO!$F104,0)))
                +IF(AND($F106&lt;&gt;"",$F106&lt;&gt;0),
                        SUMIF(CÁLCULO!$BS$15:$CS$244,CRONO!AD$12,CÁLCULO!$AR$15:$BR$244)/(ORÇAMENTO!$X$15-CÁLCULO.TotalAdmLocal)*CRONO!$F106,
                        0),
                 AD105*$S104),
          SUMIF(OFFSET($S106,1,0,$R104-2),($M104+1)&amp;"$",OFFSET(AD106,1,0,$R104-2)))</f>
        <v>0</v>
      </c>
      <c r="AE106" s="202" cm="1">
        <f t="array" aca="1" ref="AE106" ca="1">IF($R104=2,
         IF(AND(ACOMPANHAMENTO="PLE",ISNUMBER($F104)),
                SUMIF((OFFSET(CÁLCULO!$BS$15:$CS$15,$F104,0,OFFSET(ORÇAMENTO!$D$15,CRONO!$F104,0))),CRONO!AE$12,OFFSET(CÁLCULO!$AR$15:$BR$15,$F104,0,OFFSET(ORÇAMENTO!$D$15,CRONO!$F104,0)))
                +IF(AND($F106&lt;&gt;"",$F106&lt;&gt;0),
                        SUMIF(CÁLCULO!$BS$15:$CS$244,CRONO!AE$12,CÁLCULO!$AR$15:$BR$244)/(ORÇAMENTO!$X$15-CÁLCULO.TotalAdmLocal)*CRONO!$F106,
                        0),
                 AE105*$S104),
          SUMIF(OFFSET($S106,1,0,$R104-2),($M104+1)&amp;"$",OFFSET(AE106,1,0,$R104-2)))</f>
        <v>0</v>
      </c>
      <c r="AF106" s="202" cm="1">
        <f t="array" aca="1" ref="AF106" ca="1">IF($R104=2,
         IF(AND(ACOMPANHAMENTO="PLE",ISNUMBER($F104)),
                SUMIF((OFFSET(CÁLCULO!$BS$15:$CS$15,$F104,0,OFFSET(ORÇAMENTO!$D$15,CRONO!$F104,0))),CRONO!AF$12,OFFSET(CÁLCULO!$AR$15:$BR$15,$F104,0,OFFSET(ORÇAMENTO!$D$15,CRONO!$F104,0)))
                +IF(AND($F106&lt;&gt;"",$F106&lt;&gt;0),
                        SUMIF(CÁLCULO!$BS$15:$CS$244,CRONO!AF$12,CÁLCULO!$AR$15:$BR$244)/(ORÇAMENTO!$X$15-CÁLCULO.TotalAdmLocal)*CRONO!$F106,
                        0),
                 AF105*$S104),
          SUMIF(OFFSET($S106,1,0,$R104-2),($M104+1)&amp;"$",OFFSET(AF106,1,0,$R104-2)))</f>
        <v>0</v>
      </c>
      <c r="AG106" s="202" cm="1">
        <f t="array" aca="1" ref="AG106" ca="1">IF($R104=2,
         IF(AND(ACOMPANHAMENTO="PLE",ISNUMBER($F104)),
                SUMIF((OFFSET(CÁLCULO!$BS$15:$CS$15,$F104,0,OFFSET(ORÇAMENTO!$D$15,CRONO!$F104,0))),CRONO!AG$12,OFFSET(CÁLCULO!$AR$15:$BR$15,$F104,0,OFFSET(ORÇAMENTO!$D$15,CRONO!$F104,0)))
                +IF(AND($F106&lt;&gt;"",$F106&lt;&gt;0),
                        SUMIF(CÁLCULO!$BS$15:$CS$244,CRONO!AG$12,CÁLCULO!$AR$15:$BR$244)/(ORÇAMENTO!$X$15-CÁLCULO.TotalAdmLocal)*CRONO!$F106,
                        0),
                 AG105*$S104),
          SUMIF(OFFSET($S106,1,0,$R104-2),($M104+1)&amp;"$",OFFSET(AG106,1,0,$R104-2)))</f>
        <v>0</v>
      </c>
      <c r="AH106" s="202" cm="1">
        <f t="array" aca="1" ref="AH106" ca="1">IF($R104=2,
         IF(AND(ACOMPANHAMENTO="PLE",ISNUMBER($F104)),
                SUMIF((OFFSET(CÁLCULO!$BS$15:$CS$15,$F104,0,OFFSET(ORÇAMENTO!$D$15,CRONO!$F104,0))),CRONO!AH$12,OFFSET(CÁLCULO!$AR$15:$BR$15,$F104,0,OFFSET(ORÇAMENTO!$D$15,CRONO!$F104,0)))
                +IF(AND($F106&lt;&gt;"",$F106&lt;&gt;0),
                        SUMIF(CÁLCULO!$BS$15:$CS$244,CRONO!AH$12,CÁLCULO!$AR$15:$BR$244)/(ORÇAMENTO!$X$15-CÁLCULO.TotalAdmLocal)*CRONO!$F106,
                        0),
                 AH105*$S104),
          SUMIF(OFFSET($S106,1,0,$R104-2),($M104+1)&amp;"$",OFFSET(AH106,1,0,$R104-2)))</f>
        <v>0</v>
      </c>
      <c r="AI106" s="202" cm="1">
        <f t="array" aca="1" ref="AI106" ca="1">IF($R104=2,
         IF(AND(ACOMPANHAMENTO="PLE",ISNUMBER($F104)),
                SUMIF((OFFSET(CÁLCULO!$BS$15:$CS$15,$F104,0,OFFSET(ORÇAMENTO!$D$15,CRONO!$F104,0))),CRONO!AI$12,OFFSET(CÁLCULO!$AR$15:$BR$15,$F104,0,OFFSET(ORÇAMENTO!$D$15,CRONO!$F104,0)))
                +IF(AND($F106&lt;&gt;"",$F106&lt;&gt;0),
                        SUMIF(CÁLCULO!$BS$15:$CS$244,CRONO!AI$12,CÁLCULO!$AR$15:$BR$244)/(ORÇAMENTO!$X$15-CÁLCULO.TotalAdmLocal)*CRONO!$F106,
                        0),
                 AI105*$S104),
          SUMIF(OFFSET($S106,1,0,$R104-2),($M104+1)&amp;"$",OFFSET(AI106,1,0,$R104-2)))</f>
        <v>0</v>
      </c>
      <c r="AJ106" s="202" cm="1">
        <f t="array" aca="1" ref="AJ106" ca="1">IF($R104=2,
         IF(AND(ACOMPANHAMENTO="PLE",ISNUMBER($F104)),
                SUMIF((OFFSET(CÁLCULO!$BS$15:$CS$15,$F104,0,OFFSET(ORÇAMENTO!$D$15,CRONO!$F104,0))),CRONO!AJ$12,OFFSET(CÁLCULO!$AR$15:$BR$15,$F104,0,OFFSET(ORÇAMENTO!$D$15,CRONO!$F104,0)))
                +IF(AND($F106&lt;&gt;"",$F106&lt;&gt;0),
                        SUMIF(CÁLCULO!$BS$15:$CS$244,CRONO!AJ$12,CÁLCULO!$AR$15:$BR$244)/(ORÇAMENTO!$X$15-CÁLCULO.TotalAdmLocal)*CRONO!$F106,
                        0),
                 AJ105*$S104),
          SUMIF(OFFSET($S106,1,0,$R104-2),($M104+1)&amp;"$",OFFSET(AJ106,1,0,$R104-2)))</f>
        <v>0</v>
      </c>
      <c r="AK106" s="202" cm="1">
        <f t="array" aca="1" ref="AK106" ca="1">IF($R104=2,
         IF(AND(ACOMPANHAMENTO="PLE",ISNUMBER($F104)),
                SUMIF((OFFSET(CÁLCULO!$BS$15:$CS$15,$F104,0,OFFSET(ORÇAMENTO!$D$15,CRONO!$F104,0))),CRONO!AK$12,OFFSET(CÁLCULO!$AR$15:$BR$15,$F104,0,OFFSET(ORÇAMENTO!$D$15,CRONO!$F104,0)))
                +IF(AND($F106&lt;&gt;"",$F106&lt;&gt;0),
                        SUMIF(CÁLCULO!$BS$15:$CS$244,CRONO!AK$12,CÁLCULO!$AR$15:$BR$244)/(ORÇAMENTO!$X$15-CÁLCULO.TotalAdmLocal)*CRONO!$F106,
                        0),
                 AK105*$S104),
          SUMIF(OFFSET($S106,1,0,$R104-2),($M104+1)&amp;"$",OFFSET(AK106,1,0,$R104-2)))</f>
        <v>0</v>
      </c>
      <c r="AL106" s="202" cm="1">
        <f t="array" aca="1" ref="AL106" ca="1">IF($R104=2,
         IF(AND(ACOMPANHAMENTO="PLE",ISNUMBER($F104)),
                SUMIF((OFFSET(CÁLCULO!$BS$15:$CS$15,$F104,0,OFFSET(ORÇAMENTO!$D$15,CRONO!$F104,0))),CRONO!AL$12,OFFSET(CÁLCULO!$AR$15:$BR$15,$F104,0,OFFSET(ORÇAMENTO!$D$15,CRONO!$F104,0)))
                +IF(AND($F106&lt;&gt;"",$F106&lt;&gt;0),
                        SUMIF(CÁLCULO!$BS$15:$CS$244,CRONO!AL$12,CÁLCULO!$AR$15:$BR$244)/(ORÇAMENTO!$X$15-CÁLCULO.TotalAdmLocal)*CRONO!$F106,
                        0),
                 AL105*$S104),
          SUMIF(OFFSET($S106,1,0,$R104-2),($M104+1)&amp;"$",OFFSET(AL106,1,0,$R104-2)))</f>
        <v>0</v>
      </c>
      <c r="AM106" s="202" cm="1">
        <f t="array" aca="1" ref="AM106" ca="1">IF($R104=2,
         IF(AND(ACOMPANHAMENTO="PLE",ISNUMBER($F104)),
                SUMIF((OFFSET(CÁLCULO!$BS$15:$CS$15,$F104,0,OFFSET(ORÇAMENTO!$D$15,CRONO!$F104,0))),CRONO!AM$12,OFFSET(CÁLCULO!$AR$15:$BR$15,$F104,0,OFFSET(ORÇAMENTO!$D$15,CRONO!$F104,0)))
                +IF(AND($F106&lt;&gt;"",$F106&lt;&gt;0),
                        SUMIF(CÁLCULO!$BS$15:$CS$244,CRONO!AM$12,CÁLCULO!$AR$15:$BR$244)/(ORÇAMENTO!$X$15-CÁLCULO.TotalAdmLocal)*CRONO!$F106,
                        0),
                 AM105*$S104),
          SUMIF(OFFSET($S106,1,0,$R104-2),($M104+1)&amp;"$",OFFSET(AM106,1,0,$R104-2)))</f>
        <v>0</v>
      </c>
      <c r="AN106" s="202" cm="1">
        <f t="array" aca="1" ref="AN106" ca="1">IF($R104=2,
         IF(AND(ACOMPANHAMENTO="PLE",ISNUMBER($F104)),
                SUMIF((OFFSET(CÁLCULO!$BS$15:$CS$15,$F104,0,OFFSET(ORÇAMENTO!$D$15,CRONO!$F104,0))),CRONO!AN$12,OFFSET(CÁLCULO!$AR$15:$BR$15,$F104,0,OFFSET(ORÇAMENTO!$D$15,CRONO!$F104,0)))
                +IF(AND($F106&lt;&gt;"",$F106&lt;&gt;0),
                        SUMIF(CÁLCULO!$BS$15:$CS$244,CRONO!AN$12,CÁLCULO!$AR$15:$BR$244)/(ORÇAMENTO!$X$15-CÁLCULO.TotalAdmLocal)*CRONO!$F106,
                        0),
                 AN105*$S104),
          SUMIF(OFFSET($S106,1,0,$R104-2),($M104+1)&amp;"$",OFFSET(AN106,1,0,$R104-2)))</f>
        <v>0</v>
      </c>
      <c r="AO106" s="202" cm="1">
        <f t="array" aca="1" ref="AO106" ca="1">IF($R104=2,
         IF(AND(ACOMPANHAMENTO="PLE",ISNUMBER($F104)),
                SUMIF((OFFSET(CÁLCULO!$BS$15:$CS$15,$F104,0,OFFSET(ORÇAMENTO!$D$15,CRONO!$F104,0))),CRONO!AO$12,OFFSET(CÁLCULO!$AR$15:$BR$15,$F104,0,OFFSET(ORÇAMENTO!$D$15,CRONO!$F104,0)))
                +IF(AND($F106&lt;&gt;"",$F106&lt;&gt;0),
                        SUMIF(CÁLCULO!$BS$15:$CS$244,CRONO!AO$12,CÁLCULO!$AR$15:$BR$244)/(ORÇAMENTO!$X$15-CÁLCULO.TotalAdmLocal)*CRONO!$F106,
                        0),
                 AO105*$S104),
          SUMIF(OFFSET($S106,1,0,$R104-2),($M104+1)&amp;"$",OFFSET(AO106,1,0,$R104-2)))</f>
        <v>0</v>
      </c>
      <c r="AP106" s="202" cm="1">
        <f t="array" aca="1" ref="AP106" ca="1">IF($R104=2,
         IF(AND(ACOMPANHAMENTO="PLE",ISNUMBER($F104)),
                SUMIF((OFFSET(CÁLCULO!$BS$15:$CS$15,$F104,0,OFFSET(ORÇAMENTO!$D$15,CRONO!$F104,0))),CRONO!AP$12,OFFSET(CÁLCULO!$AR$15:$BR$15,$F104,0,OFFSET(ORÇAMENTO!$D$15,CRONO!$F104,0)))
                +IF(AND($F106&lt;&gt;"",$F106&lt;&gt;0),
                        SUMIF(CÁLCULO!$BS$15:$CS$244,CRONO!AP$12,CÁLCULO!$AR$15:$BR$244)/(ORÇAMENTO!$X$15-CÁLCULO.TotalAdmLocal)*CRONO!$F106,
                        0),
                 AP105*$S104),
          SUMIF(OFFSET($S106,1,0,$R104-2),($M104+1)&amp;"$",OFFSET(AP106,1,0,$R104-2)))</f>
        <v>0</v>
      </c>
      <c r="AQ106" s="202" cm="1">
        <f t="array" aca="1" ref="AQ106" ca="1">IF($R104=2,
         IF(AND(ACOMPANHAMENTO="PLE",ISNUMBER($F104)),
                SUMIF((OFFSET(CÁLCULO!$BS$15:$CS$15,$F104,0,OFFSET(ORÇAMENTO!$D$15,CRONO!$F104,0))),CRONO!AQ$12,OFFSET(CÁLCULO!$AR$15:$BR$15,$F104,0,OFFSET(ORÇAMENTO!$D$15,CRONO!$F104,0)))
                +IF(AND($F106&lt;&gt;"",$F106&lt;&gt;0),
                        SUMIF(CÁLCULO!$BS$15:$CS$244,CRONO!AQ$12,CÁLCULO!$AR$15:$BR$244)/(ORÇAMENTO!$X$15-CÁLCULO.TotalAdmLocal)*CRONO!$F106,
                        0),
                 AQ105*$S104),
          SUMIF(OFFSET($S106,1,0,$R104-2),($M104+1)&amp;"$",OFFSET(AQ106,1,0,$R104-2)))</f>
        <v>0</v>
      </c>
      <c r="AR106" s="202" cm="1">
        <f t="array" aca="1" ref="AR106" ca="1">IF($R104=2,
         IF(AND(ACOMPANHAMENTO="PLE",ISNUMBER($F104)),
                SUMIF((OFFSET(CÁLCULO!$BS$15:$CS$15,$F104,0,OFFSET(ORÇAMENTO!$D$15,CRONO!$F104,0))),CRONO!AR$12,OFFSET(CÁLCULO!$AR$15:$BR$15,$F104,0,OFFSET(ORÇAMENTO!$D$15,CRONO!$F104,0)))
                +IF(AND($F106&lt;&gt;"",$F106&lt;&gt;0),
                        SUMIF(CÁLCULO!$BS$15:$CS$244,CRONO!AR$12,CÁLCULO!$AR$15:$BR$244)/(ORÇAMENTO!$X$15-CÁLCULO.TotalAdmLocal)*CRONO!$F106,
                        0),
                 AR105*$S104),
          SUMIF(OFFSET($S106,1,0,$R104-2),($M104+1)&amp;"$",OFFSET(AR106,1,0,$R104-2)))</f>
        <v>0</v>
      </c>
      <c r="AS106" s="534"/>
    </row>
    <row r="107" spans="1:45" x14ac:dyDescent="0.2">
      <c r="A107" s="186" t="e">
        <f t="shared" ref="A107" ca="1" si="188">IF($M107&gt;1,_xlfn.CONCAT($I107," ",$J107),"")</f>
        <v>#NAME?</v>
      </c>
      <c r="B107" s="185">
        <f t="shared" ref="B107" ca="1" si="189">OFFSET(B107,-3,0)+1</f>
        <v>32</v>
      </c>
      <c r="C107" s="185">
        <f ca="1">IF($R107&lt;&gt;2,0,IF($S107=0,1,IF(F108&gt;0,OFFSET(QCI!$M$13,SUBSTITUTE(F108,".",""),0),OFFSET(ORÇAMENTO!$AA$15,CRONO!$F107,0))/$S107))</f>
        <v>0</v>
      </c>
      <c r="D107" s="185">
        <f ca="1">IF($R107&lt;&gt;2,0,IF($S107=0,1,IF(F108&gt;0,OFFSET(QCI!$N$13,SUBSTITUTE(F108,".",""),0),OFFSET(ORÇAMENTO!$AB$15,CRONO!$F107,0))/$S107))</f>
        <v>0</v>
      </c>
      <c r="E107" s="188" t="e" cm="1">
        <f t="array" aca="1" ref="E107" ca="1">IF(AND($R107=2,ACOMPANHAMENTO="BM"),ROUND(E108,4),E109/$S107)</f>
        <v>#DIV/0!</v>
      </c>
      <c r="F107" s="185" cm="1">
        <f t="array" aca="1" ref="F107" ca="1">IF(B107&lt;=ORÇAMENTO.MáximoListaCrono,MATCH(B107,ORÇAMENTO.ListaCrono,0),NA())</f>
        <v>118</v>
      </c>
      <c r="G107" s="185" t="str">
        <f t="shared" ref="G107" ca="1" si="190">IF(AND($F108&lt;&gt;-1,$S107&gt;0),"F","")</f>
        <v/>
      </c>
      <c r="H107" s="189" t="str" cm="1">
        <f t="array" aca="1" ref="H107" ca="1">IF(OR(S107=0,S107=""),"Linha",IF(AND(OR(ACOMPANHAMENTO="PLE",$R107&lt;&gt;2),$F108=0),"Linha",ROUND(1-SUM(U107:AS107),4)))</f>
        <v>Linha</v>
      </c>
      <c r="I107" s="190" t="str">
        <f ca="1">IF($F108=0,OFFSET(ORÇAMENTO!O$15,$F107,0),IF($F108&lt;&gt;-1,OFFSET(QCI!$D$13,$F108,0),""))</f>
        <v>9.1.</v>
      </c>
      <c r="J107" s="191" t="str">
        <f ca="1">IF($F108=0,OFFSET(ORÇAMENTO!R$15,$F107,0),IF($F108&lt;&gt;-1,OFFSET(QCI!$G$13,$F108,0),""))</f>
        <v>ELÉTRICAS / TELEFÔNICAS</v>
      </c>
      <c r="K107" s="191"/>
      <c r="L107" s="191"/>
      <c r="M107" s="192">
        <f ca="1">IF($F108=0,OFFSET(ORÇAMENTO!C$15,$F107,0),1)</f>
        <v>2</v>
      </c>
      <c r="N107" s="193">
        <f ca="1">IF($F108=-1,0,IF(N$13&lt;=$M107,IF(ISERROR(MATCH(N$13,OFFSET($M107,1,0,ROW($M$164)-ROW($M107)-1),0)),ROW($M$164)-ROW($M107)-1,MATCH(N$13,OFFSET($M107,1,0,ROW($M$164)-ROW($M107)-1),0)-1),0))</f>
        <v>38</v>
      </c>
      <c r="O107" s="193">
        <f ca="1">IF($F108=-1,0,IF(O$13&lt;=$M107,IF(ISERROR(MATCH(O$13,OFFSET($M107,1,0,ROW($M$164)-ROW($M107)-1),0)),ROW($M$164)-ROW($M107)-1,MATCH(O$13,OFFSET($M107,1,0,ROW($M$164)-ROW($M107)-1),0)-1),0))</f>
        <v>11</v>
      </c>
      <c r="P107" s="193">
        <f ca="1">IF($F108=-1,0,IF(P$13&lt;=$M107,IF(ISERROR(MATCH(P$13,OFFSET($M107,1,0,ROW($M$164)-ROW($M107)-1),0)),ROW($M$164)-ROW($M107)-1,MATCH(P$13,OFFSET($M107,1,0,ROW($M$164)-ROW($M107)-1),0)-1),0))</f>
        <v>0</v>
      </c>
      <c r="Q107" s="193">
        <f ca="1">IF($F108=-1,0,IF(Q$13&lt;=$M107,IF(ISERROR(MATCH(Q$13,OFFSET($M107,1,0,ROW($M$164)-ROW($M107)-1),0)),ROW($M$164)-ROW($M107)-1,MATCH(Q$13,OFFSET($M107,1,0,ROW($M$164)-ROW($M107)-1),0)-1),0))</f>
        <v>0</v>
      </c>
      <c r="R107" s="193">
        <f t="shared" ref="R107" ca="1" si="191">MIN(OFFSET(M107,0,1,,M107))</f>
        <v>11</v>
      </c>
      <c r="S107" s="194">
        <f ca="1">IF($F108=0,OFFSET(ORÇAMENTO!X$15,$F107,0),IF($F108&lt;&gt;-1,OFFSET(QCI!$O$13,$F108,0),""))</f>
        <v>0</v>
      </c>
      <c r="T107" s="195" t="s">
        <v>785</v>
      </c>
      <c r="U107" s="188" t="e" cm="1">
        <f t="array" aca="1" ref="U107" ca="1">IF(AND($R107=2,ACOMPANHAMENTO="BM"),ROUND(U108,4),U109/$S107)</f>
        <v>#DIV/0!</v>
      </c>
      <c r="V107" s="188" t="e" cm="1">
        <f t="array" aca="1" ref="V107" ca="1">IF(AND($R107=2,ACOMPANHAMENTO="BM"),ROUND(V108,4),V109/$S107)</f>
        <v>#DIV/0!</v>
      </c>
      <c r="W107" s="188" t="e" cm="1">
        <f t="array" aca="1" ref="W107" ca="1">IF(AND($R107=2,ACOMPANHAMENTO="BM"),ROUND(W108,4),W109/$S107)</f>
        <v>#DIV/0!</v>
      </c>
      <c r="X107" s="188" t="e" cm="1">
        <f t="array" aca="1" ref="X107" ca="1">IF(AND($R107=2,ACOMPANHAMENTO="BM"),ROUND(X108,4),X109/$S107)</f>
        <v>#DIV/0!</v>
      </c>
      <c r="Y107" s="188" t="e" cm="1">
        <f t="array" aca="1" ref="Y107" ca="1">IF(AND($R107=2,ACOMPANHAMENTO="BM"),ROUND(Y108,4),Y109/$S107)</f>
        <v>#DIV/0!</v>
      </c>
      <c r="Z107" s="188" t="e" cm="1">
        <f t="array" aca="1" ref="Z107" ca="1">IF(AND($R107=2,ACOMPANHAMENTO="BM"),ROUND(Z108,4),Z109/$S107)</f>
        <v>#DIV/0!</v>
      </c>
      <c r="AA107" s="188" t="e" cm="1">
        <f t="array" aca="1" ref="AA107" ca="1">IF(AND($R107=2,ACOMPANHAMENTO="BM"),ROUND(AA108,4),AA109/$S107)</f>
        <v>#DIV/0!</v>
      </c>
      <c r="AB107" s="188" t="e" cm="1">
        <f t="array" aca="1" ref="AB107" ca="1">IF(AND($R107=2,ACOMPANHAMENTO="BM"),ROUND(AB108,4),AB109/$S107)</f>
        <v>#DIV/0!</v>
      </c>
      <c r="AC107" s="188" t="e" cm="1">
        <f t="array" aca="1" ref="AC107" ca="1">IF(AND($R107=2,ACOMPANHAMENTO="BM"),ROUND(AC108,4),AC109/$S107)</f>
        <v>#DIV/0!</v>
      </c>
      <c r="AD107" s="188" t="e" cm="1">
        <f t="array" aca="1" ref="AD107" ca="1">IF(AND($R107=2,ACOMPANHAMENTO="BM"),ROUND(AD108,4),AD109/$S107)</f>
        <v>#DIV/0!</v>
      </c>
      <c r="AE107" s="188" t="e" cm="1">
        <f t="array" aca="1" ref="AE107" ca="1">IF(AND($R107=2,ACOMPANHAMENTO="BM"),ROUND(AE108,4),AE109/$S107)</f>
        <v>#DIV/0!</v>
      </c>
      <c r="AF107" s="188" t="e" cm="1">
        <f t="array" aca="1" ref="AF107" ca="1">IF(AND($R107=2,ACOMPANHAMENTO="BM"),ROUND(AF108,4),AF109/$S107)</f>
        <v>#DIV/0!</v>
      </c>
      <c r="AG107" s="188" t="e" cm="1">
        <f t="array" aca="1" ref="AG107" ca="1">IF(AND($R107=2,ACOMPANHAMENTO="BM"),ROUND(AG108,4),AG109/$S107)</f>
        <v>#DIV/0!</v>
      </c>
      <c r="AH107" s="188" t="e" cm="1">
        <f t="array" aca="1" ref="AH107" ca="1">IF(AND($R107=2,ACOMPANHAMENTO="BM"),ROUND(AH108,4),AH109/$S107)</f>
        <v>#DIV/0!</v>
      </c>
      <c r="AI107" s="188" t="e" cm="1">
        <f t="array" aca="1" ref="AI107" ca="1">IF(AND($R107=2,ACOMPANHAMENTO="BM"),ROUND(AI108,4),AI109/$S107)</f>
        <v>#DIV/0!</v>
      </c>
      <c r="AJ107" s="188" t="e" cm="1">
        <f t="array" aca="1" ref="AJ107" ca="1">IF(AND($R107=2,ACOMPANHAMENTO="BM"),ROUND(AJ108,4),AJ109/$S107)</f>
        <v>#DIV/0!</v>
      </c>
      <c r="AK107" s="188" t="e" cm="1">
        <f t="array" aca="1" ref="AK107" ca="1">IF(AND($R107=2,ACOMPANHAMENTO="BM"),ROUND(AK108,4),AK109/$S107)</f>
        <v>#DIV/0!</v>
      </c>
      <c r="AL107" s="188" t="e" cm="1">
        <f t="array" aca="1" ref="AL107" ca="1">IF(AND($R107=2,ACOMPANHAMENTO="BM"),ROUND(AL108,4),AL109/$S107)</f>
        <v>#DIV/0!</v>
      </c>
      <c r="AM107" s="188" t="e" cm="1">
        <f t="array" aca="1" ref="AM107" ca="1">IF(AND($R107=2,ACOMPANHAMENTO="BM"),ROUND(AM108,4),AM109/$S107)</f>
        <v>#DIV/0!</v>
      </c>
      <c r="AN107" s="188" t="e" cm="1">
        <f t="array" aca="1" ref="AN107" ca="1">IF(AND($R107=2,ACOMPANHAMENTO="BM"),ROUND(AN108,4),AN109/$S107)</f>
        <v>#DIV/0!</v>
      </c>
      <c r="AO107" s="188" t="e" cm="1">
        <f t="array" aca="1" ref="AO107" ca="1">IF(AND($R107=2,ACOMPANHAMENTO="BM"),ROUND(AO108,4),AO109/$S107)</f>
        <v>#DIV/0!</v>
      </c>
      <c r="AP107" s="188" t="e" cm="1">
        <f t="array" aca="1" ref="AP107" ca="1">IF(AND($R107=2,ACOMPANHAMENTO="BM"),ROUND(AP108,4),AP109/$S107)</f>
        <v>#DIV/0!</v>
      </c>
      <c r="AQ107" s="188" t="e" cm="1">
        <f t="array" aca="1" ref="AQ107" ca="1">IF(AND($R107=2,ACOMPANHAMENTO="BM"),ROUND(AQ108,4),AQ109/$S107)</f>
        <v>#DIV/0!</v>
      </c>
      <c r="AR107" s="188" t="e" cm="1">
        <f t="array" aca="1" ref="AR107" ca="1">IF(AND($R107=2,ACOMPANHAMENTO="BM"),ROUND(AR108,4),AR109/$S107)</f>
        <v>#DIV/0!</v>
      </c>
      <c r="AS107" s="534"/>
    </row>
    <row r="108" spans="1:45" ht="12.75" hidden="1" customHeight="1" x14ac:dyDescent="0.2">
      <c r="E108" s="587"/>
      <c r="F108" s="185">
        <f ca="1">IF(ISERROR(F107),IF(1+COUNTIF($M$13:OFFSET(M107,-1,0),1)&lt;=MAX(QCI!$D$13:$D$24),1+COUNTIF($M$13:OFFSET(M107,-1,0),1),-1),0)</f>
        <v>0</v>
      </c>
      <c r="G108" s="185" t="str" cm="1">
        <f t="array" aca="1" ref="G108" ca="1">IF(ACOMPANHAMENTO="BM",OFFSET(G108,-1,0),"")</f>
        <v/>
      </c>
      <c r="H108" s="196" t="str" cm="1">
        <f t="array" aca="1" ref="H108" ca="1">IF(OR(S107=0,S107=""),"vazia",IF(AND(OR(ACOMPANHAMENTO="PLE",$R107&lt;&gt;2),$F108=0),"calculada","--&gt;"))</f>
        <v>vazia</v>
      </c>
      <c r="I108" s="197"/>
      <c r="J108" s="198" t="str">
        <f t="shared" ref="J108" ca="1" si="192">IF(AND(H107&lt;&gt;0,ISNUMBER(H107)),"PREENCHA ESTA LINHA --&gt;","")</f>
        <v/>
      </c>
      <c r="K108" s="198"/>
      <c r="L108" s="198"/>
      <c r="M108" s="199"/>
      <c r="N108" s="199"/>
      <c r="O108" s="199"/>
      <c r="P108" s="199"/>
      <c r="Q108" s="199"/>
      <c r="R108" s="199"/>
      <c r="S108" s="200"/>
      <c r="T108" s="201"/>
      <c r="U108" s="587"/>
      <c r="V108" s="587"/>
      <c r="W108" s="587"/>
      <c r="X108" s="587"/>
      <c r="Y108" s="587"/>
      <c r="Z108" s="587"/>
      <c r="AA108" s="587"/>
      <c r="AB108" s="587"/>
      <c r="AC108" s="587"/>
      <c r="AD108" s="587"/>
      <c r="AE108" s="587"/>
      <c r="AF108" s="587"/>
      <c r="AG108" s="587"/>
      <c r="AH108" s="587"/>
      <c r="AI108" s="587"/>
      <c r="AJ108" s="587"/>
      <c r="AK108" s="587"/>
      <c r="AL108" s="587"/>
      <c r="AM108" s="587"/>
      <c r="AN108" s="587"/>
      <c r="AO108" s="587"/>
      <c r="AP108" s="587"/>
      <c r="AQ108" s="587"/>
      <c r="AR108" s="587"/>
      <c r="AS108" s="534"/>
    </row>
    <row r="109" spans="1:45" ht="12.75" hidden="1" customHeight="1" x14ac:dyDescent="0.2">
      <c r="D109" s="533"/>
      <c r="E109" s="202" cm="1">
        <f t="array" aca="1" ref="E109" ca="1">IF($R107=2,
         IF(AND(ACOMPANHAMENTO="PLE",ISNUMBER($F107)),
                SUMIF((OFFSET(CÁLCULO!$BS$15:$CS$15,$F107,0,OFFSET(ORÇAMENTO!$D$15,CRONO!$F107,0))),CRONO!E$12,OFFSET(CÁLCULO!$AR$15:$BR$15,$F107,0,OFFSET(ORÇAMENTO!$D$15,CRONO!$F107,0)))
                +IF(AND($F109&lt;&gt;"",$F109&lt;&gt;0),
                        SUMIF(CÁLCULO!$BS$15:$CS$244,CRONO!E$12,CÁLCULO!$AR$15:$BR$244)/(ORÇAMENTO!$X$15-CÁLCULO.TotalAdmLocal)*CRONO!$F109,
                        0),
                 E108*$S107),
          SUMIF(OFFSET($S109,1,0,$R107-2),($M107+1)&amp;"$",OFFSET(E109,1,0,$R107-2)))</f>
        <v>0</v>
      </c>
      <c r="F109" s="185" t="str">
        <f ca="1">IF(OR($R107&lt;&gt;2,AUTOEVENTO&lt;&gt;"manual",$F108&gt;0),"",
        IF(Import.TipoArredondamento="Tradicional",
              SUMIF(OFFSET(CÁLCULO!$M$15,CRONO!$F107,0,OFFSET(ORÇAMENTO!$D$15,CRONO!$F107,0)),1,OFFSET(ORÇAMENTO!$X$15,CRONO!$F107,0,OFFSET(ORÇAMENTO!$D$15,CRONO!$F107,0))),
              0))</f>
        <v/>
      </c>
      <c r="H109" s="203"/>
      <c r="S109" s="204" t="str">
        <f t="shared" ref="S109" ca="1" si="193">M107&amp;"$"</f>
        <v>2$</v>
      </c>
      <c r="T109" s="205"/>
      <c r="U109" s="202" cm="1">
        <f t="array" aca="1" ref="U109" ca="1">IF($R107=2,
         IF(AND(ACOMPANHAMENTO="PLE",ISNUMBER($F107)),
                SUMIF((OFFSET(CÁLCULO!$BS$15:$CS$15,$F107,0,OFFSET(ORÇAMENTO!$D$15,CRONO!$F107,0))),CRONO!U$12,OFFSET(CÁLCULO!$AR$15:$BR$15,$F107,0,OFFSET(ORÇAMENTO!$D$15,CRONO!$F107,0)))
                +IF(AND($F109&lt;&gt;"",$F109&lt;&gt;0),
                        SUMIF(CÁLCULO!$BS$15:$CS$244,CRONO!U$12,CÁLCULO!$AR$15:$BR$244)/(ORÇAMENTO!$X$15-CÁLCULO.TotalAdmLocal)*CRONO!$F109,
                        0),
                 U108*$S107),
          SUMIF(OFFSET($S109,1,0,$R107-2),($M107+1)&amp;"$",OFFSET(U109,1,0,$R107-2)))</f>
        <v>0</v>
      </c>
      <c r="V109" s="202" cm="1">
        <f t="array" aca="1" ref="V109" ca="1">IF($R107=2,
         IF(AND(ACOMPANHAMENTO="PLE",ISNUMBER($F107)),
                SUMIF((OFFSET(CÁLCULO!$BS$15:$CS$15,$F107,0,OFFSET(ORÇAMENTO!$D$15,CRONO!$F107,0))),CRONO!V$12,OFFSET(CÁLCULO!$AR$15:$BR$15,$F107,0,OFFSET(ORÇAMENTO!$D$15,CRONO!$F107,0)))
                +IF(AND($F109&lt;&gt;"",$F109&lt;&gt;0),
                        SUMIF(CÁLCULO!$BS$15:$CS$244,CRONO!V$12,CÁLCULO!$AR$15:$BR$244)/(ORÇAMENTO!$X$15-CÁLCULO.TotalAdmLocal)*CRONO!$F109,
                        0),
                 V108*$S107),
          SUMIF(OFFSET($S109,1,0,$R107-2),($M107+1)&amp;"$",OFFSET(V109,1,0,$R107-2)))</f>
        <v>0</v>
      </c>
      <c r="W109" s="202" cm="1">
        <f t="array" aca="1" ref="W109" ca="1">IF($R107=2,
         IF(AND(ACOMPANHAMENTO="PLE",ISNUMBER($F107)),
                SUMIF((OFFSET(CÁLCULO!$BS$15:$CS$15,$F107,0,OFFSET(ORÇAMENTO!$D$15,CRONO!$F107,0))),CRONO!W$12,OFFSET(CÁLCULO!$AR$15:$BR$15,$F107,0,OFFSET(ORÇAMENTO!$D$15,CRONO!$F107,0)))
                +IF(AND($F109&lt;&gt;"",$F109&lt;&gt;0),
                        SUMIF(CÁLCULO!$BS$15:$CS$244,CRONO!W$12,CÁLCULO!$AR$15:$BR$244)/(ORÇAMENTO!$X$15-CÁLCULO.TotalAdmLocal)*CRONO!$F109,
                        0),
                 W108*$S107),
          SUMIF(OFFSET($S109,1,0,$R107-2),($M107+1)&amp;"$",OFFSET(W109,1,0,$R107-2)))</f>
        <v>0</v>
      </c>
      <c r="X109" s="202" cm="1">
        <f t="array" aca="1" ref="X109" ca="1">IF($R107=2,
         IF(AND(ACOMPANHAMENTO="PLE",ISNUMBER($F107)),
                SUMIF((OFFSET(CÁLCULO!$BS$15:$CS$15,$F107,0,OFFSET(ORÇAMENTO!$D$15,CRONO!$F107,0))),CRONO!X$12,OFFSET(CÁLCULO!$AR$15:$BR$15,$F107,0,OFFSET(ORÇAMENTO!$D$15,CRONO!$F107,0)))
                +IF(AND($F109&lt;&gt;"",$F109&lt;&gt;0),
                        SUMIF(CÁLCULO!$BS$15:$CS$244,CRONO!X$12,CÁLCULO!$AR$15:$BR$244)/(ORÇAMENTO!$X$15-CÁLCULO.TotalAdmLocal)*CRONO!$F109,
                        0),
                 X108*$S107),
          SUMIF(OFFSET($S109,1,0,$R107-2),($M107+1)&amp;"$",OFFSET(X109,1,0,$R107-2)))</f>
        <v>0</v>
      </c>
      <c r="Y109" s="202" cm="1">
        <f t="array" aca="1" ref="Y109" ca="1">IF($R107=2,
         IF(AND(ACOMPANHAMENTO="PLE",ISNUMBER($F107)),
                SUMIF((OFFSET(CÁLCULO!$BS$15:$CS$15,$F107,0,OFFSET(ORÇAMENTO!$D$15,CRONO!$F107,0))),CRONO!Y$12,OFFSET(CÁLCULO!$AR$15:$BR$15,$F107,0,OFFSET(ORÇAMENTO!$D$15,CRONO!$F107,0)))
                +IF(AND($F109&lt;&gt;"",$F109&lt;&gt;0),
                        SUMIF(CÁLCULO!$BS$15:$CS$244,CRONO!Y$12,CÁLCULO!$AR$15:$BR$244)/(ORÇAMENTO!$X$15-CÁLCULO.TotalAdmLocal)*CRONO!$F109,
                        0),
                 Y108*$S107),
          SUMIF(OFFSET($S109,1,0,$R107-2),($M107+1)&amp;"$",OFFSET(Y109,1,0,$R107-2)))</f>
        <v>0</v>
      </c>
      <c r="Z109" s="202" cm="1">
        <f t="array" aca="1" ref="Z109" ca="1">IF($R107=2,
         IF(AND(ACOMPANHAMENTO="PLE",ISNUMBER($F107)),
                SUMIF((OFFSET(CÁLCULO!$BS$15:$CS$15,$F107,0,OFFSET(ORÇAMENTO!$D$15,CRONO!$F107,0))),CRONO!Z$12,OFFSET(CÁLCULO!$AR$15:$BR$15,$F107,0,OFFSET(ORÇAMENTO!$D$15,CRONO!$F107,0)))
                +IF(AND($F109&lt;&gt;"",$F109&lt;&gt;0),
                        SUMIF(CÁLCULO!$BS$15:$CS$244,CRONO!Z$12,CÁLCULO!$AR$15:$BR$244)/(ORÇAMENTO!$X$15-CÁLCULO.TotalAdmLocal)*CRONO!$F109,
                        0),
                 Z108*$S107),
          SUMIF(OFFSET($S109,1,0,$R107-2),($M107+1)&amp;"$",OFFSET(Z109,1,0,$R107-2)))</f>
        <v>0</v>
      </c>
      <c r="AA109" s="202" cm="1">
        <f t="array" aca="1" ref="AA109" ca="1">IF($R107=2,
         IF(AND(ACOMPANHAMENTO="PLE",ISNUMBER($F107)),
                SUMIF((OFFSET(CÁLCULO!$BS$15:$CS$15,$F107,0,OFFSET(ORÇAMENTO!$D$15,CRONO!$F107,0))),CRONO!AA$12,OFFSET(CÁLCULO!$AR$15:$BR$15,$F107,0,OFFSET(ORÇAMENTO!$D$15,CRONO!$F107,0)))
                +IF(AND($F109&lt;&gt;"",$F109&lt;&gt;0),
                        SUMIF(CÁLCULO!$BS$15:$CS$244,CRONO!AA$12,CÁLCULO!$AR$15:$BR$244)/(ORÇAMENTO!$X$15-CÁLCULO.TotalAdmLocal)*CRONO!$F109,
                        0),
                 AA108*$S107),
          SUMIF(OFFSET($S109,1,0,$R107-2),($M107+1)&amp;"$",OFFSET(AA109,1,0,$R107-2)))</f>
        <v>0</v>
      </c>
      <c r="AB109" s="202" cm="1">
        <f t="array" aca="1" ref="AB109" ca="1">IF($R107=2,
         IF(AND(ACOMPANHAMENTO="PLE",ISNUMBER($F107)),
                SUMIF((OFFSET(CÁLCULO!$BS$15:$CS$15,$F107,0,OFFSET(ORÇAMENTO!$D$15,CRONO!$F107,0))),CRONO!AB$12,OFFSET(CÁLCULO!$AR$15:$BR$15,$F107,0,OFFSET(ORÇAMENTO!$D$15,CRONO!$F107,0)))
                +IF(AND($F109&lt;&gt;"",$F109&lt;&gt;0),
                        SUMIF(CÁLCULO!$BS$15:$CS$244,CRONO!AB$12,CÁLCULO!$AR$15:$BR$244)/(ORÇAMENTO!$X$15-CÁLCULO.TotalAdmLocal)*CRONO!$F109,
                        0),
                 AB108*$S107),
          SUMIF(OFFSET($S109,1,0,$R107-2),($M107+1)&amp;"$",OFFSET(AB109,1,0,$R107-2)))</f>
        <v>0</v>
      </c>
      <c r="AC109" s="202" cm="1">
        <f t="array" aca="1" ref="AC109" ca="1">IF($R107=2,
         IF(AND(ACOMPANHAMENTO="PLE",ISNUMBER($F107)),
                SUMIF((OFFSET(CÁLCULO!$BS$15:$CS$15,$F107,0,OFFSET(ORÇAMENTO!$D$15,CRONO!$F107,0))),CRONO!AC$12,OFFSET(CÁLCULO!$AR$15:$BR$15,$F107,0,OFFSET(ORÇAMENTO!$D$15,CRONO!$F107,0)))
                +IF(AND($F109&lt;&gt;"",$F109&lt;&gt;0),
                        SUMIF(CÁLCULO!$BS$15:$CS$244,CRONO!AC$12,CÁLCULO!$AR$15:$BR$244)/(ORÇAMENTO!$X$15-CÁLCULO.TotalAdmLocal)*CRONO!$F109,
                        0),
                 AC108*$S107),
          SUMIF(OFFSET($S109,1,0,$R107-2),($M107+1)&amp;"$",OFFSET(AC109,1,0,$R107-2)))</f>
        <v>0</v>
      </c>
      <c r="AD109" s="202" cm="1">
        <f t="array" aca="1" ref="AD109" ca="1">IF($R107=2,
         IF(AND(ACOMPANHAMENTO="PLE",ISNUMBER($F107)),
                SUMIF((OFFSET(CÁLCULO!$BS$15:$CS$15,$F107,0,OFFSET(ORÇAMENTO!$D$15,CRONO!$F107,0))),CRONO!AD$12,OFFSET(CÁLCULO!$AR$15:$BR$15,$F107,0,OFFSET(ORÇAMENTO!$D$15,CRONO!$F107,0)))
                +IF(AND($F109&lt;&gt;"",$F109&lt;&gt;0),
                        SUMIF(CÁLCULO!$BS$15:$CS$244,CRONO!AD$12,CÁLCULO!$AR$15:$BR$244)/(ORÇAMENTO!$X$15-CÁLCULO.TotalAdmLocal)*CRONO!$F109,
                        0),
                 AD108*$S107),
          SUMIF(OFFSET($S109,1,0,$R107-2),($M107+1)&amp;"$",OFFSET(AD109,1,0,$R107-2)))</f>
        <v>0</v>
      </c>
      <c r="AE109" s="202" cm="1">
        <f t="array" aca="1" ref="AE109" ca="1">IF($R107=2,
         IF(AND(ACOMPANHAMENTO="PLE",ISNUMBER($F107)),
                SUMIF((OFFSET(CÁLCULO!$BS$15:$CS$15,$F107,0,OFFSET(ORÇAMENTO!$D$15,CRONO!$F107,0))),CRONO!AE$12,OFFSET(CÁLCULO!$AR$15:$BR$15,$F107,0,OFFSET(ORÇAMENTO!$D$15,CRONO!$F107,0)))
                +IF(AND($F109&lt;&gt;"",$F109&lt;&gt;0),
                        SUMIF(CÁLCULO!$BS$15:$CS$244,CRONO!AE$12,CÁLCULO!$AR$15:$BR$244)/(ORÇAMENTO!$X$15-CÁLCULO.TotalAdmLocal)*CRONO!$F109,
                        0),
                 AE108*$S107),
          SUMIF(OFFSET($S109,1,0,$R107-2),($M107+1)&amp;"$",OFFSET(AE109,1,0,$R107-2)))</f>
        <v>0</v>
      </c>
      <c r="AF109" s="202" cm="1">
        <f t="array" aca="1" ref="AF109" ca="1">IF($R107=2,
         IF(AND(ACOMPANHAMENTO="PLE",ISNUMBER($F107)),
                SUMIF((OFFSET(CÁLCULO!$BS$15:$CS$15,$F107,0,OFFSET(ORÇAMENTO!$D$15,CRONO!$F107,0))),CRONO!AF$12,OFFSET(CÁLCULO!$AR$15:$BR$15,$F107,0,OFFSET(ORÇAMENTO!$D$15,CRONO!$F107,0)))
                +IF(AND($F109&lt;&gt;"",$F109&lt;&gt;0),
                        SUMIF(CÁLCULO!$BS$15:$CS$244,CRONO!AF$12,CÁLCULO!$AR$15:$BR$244)/(ORÇAMENTO!$X$15-CÁLCULO.TotalAdmLocal)*CRONO!$F109,
                        0),
                 AF108*$S107),
          SUMIF(OFFSET($S109,1,0,$R107-2),($M107+1)&amp;"$",OFFSET(AF109,1,0,$R107-2)))</f>
        <v>0</v>
      </c>
      <c r="AG109" s="202" cm="1">
        <f t="array" aca="1" ref="AG109" ca="1">IF($R107=2,
         IF(AND(ACOMPANHAMENTO="PLE",ISNUMBER($F107)),
                SUMIF((OFFSET(CÁLCULO!$BS$15:$CS$15,$F107,0,OFFSET(ORÇAMENTO!$D$15,CRONO!$F107,0))),CRONO!AG$12,OFFSET(CÁLCULO!$AR$15:$BR$15,$F107,0,OFFSET(ORÇAMENTO!$D$15,CRONO!$F107,0)))
                +IF(AND($F109&lt;&gt;"",$F109&lt;&gt;0),
                        SUMIF(CÁLCULO!$BS$15:$CS$244,CRONO!AG$12,CÁLCULO!$AR$15:$BR$244)/(ORÇAMENTO!$X$15-CÁLCULO.TotalAdmLocal)*CRONO!$F109,
                        0),
                 AG108*$S107),
          SUMIF(OFFSET($S109,1,0,$R107-2),($M107+1)&amp;"$",OFFSET(AG109,1,0,$R107-2)))</f>
        <v>0</v>
      </c>
      <c r="AH109" s="202" cm="1">
        <f t="array" aca="1" ref="AH109" ca="1">IF($R107=2,
         IF(AND(ACOMPANHAMENTO="PLE",ISNUMBER($F107)),
                SUMIF((OFFSET(CÁLCULO!$BS$15:$CS$15,$F107,0,OFFSET(ORÇAMENTO!$D$15,CRONO!$F107,0))),CRONO!AH$12,OFFSET(CÁLCULO!$AR$15:$BR$15,$F107,0,OFFSET(ORÇAMENTO!$D$15,CRONO!$F107,0)))
                +IF(AND($F109&lt;&gt;"",$F109&lt;&gt;0),
                        SUMIF(CÁLCULO!$BS$15:$CS$244,CRONO!AH$12,CÁLCULO!$AR$15:$BR$244)/(ORÇAMENTO!$X$15-CÁLCULO.TotalAdmLocal)*CRONO!$F109,
                        0),
                 AH108*$S107),
          SUMIF(OFFSET($S109,1,0,$R107-2),($M107+1)&amp;"$",OFFSET(AH109,1,0,$R107-2)))</f>
        <v>0</v>
      </c>
      <c r="AI109" s="202" cm="1">
        <f t="array" aca="1" ref="AI109" ca="1">IF($R107=2,
         IF(AND(ACOMPANHAMENTO="PLE",ISNUMBER($F107)),
                SUMIF((OFFSET(CÁLCULO!$BS$15:$CS$15,$F107,0,OFFSET(ORÇAMENTO!$D$15,CRONO!$F107,0))),CRONO!AI$12,OFFSET(CÁLCULO!$AR$15:$BR$15,$F107,0,OFFSET(ORÇAMENTO!$D$15,CRONO!$F107,0)))
                +IF(AND($F109&lt;&gt;"",$F109&lt;&gt;0),
                        SUMIF(CÁLCULO!$BS$15:$CS$244,CRONO!AI$12,CÁLCULO!$AR$15:$BR$244)/(ORÇAMENTO!$X$15-CÁLCULO.TotalAdmLocal)*CRONO!$F109,
                        0),
                 AI108*$S107),
          SUMIF(OFFSET($S109,1,0,$R107-2),($M107+1)&amp;"$",OFFSET(AI109,1,0,$R107-2)))</f>
        <v>0</v>
      </c>
      <c r="AJ109" s="202" cm="1">
        <f t="array" aca="1" ref="AJ109" ca="1">IF($R107=2,
         IF(AND(ACOMPANHAMENTO="PLE",ISNUMBER($F107)),
                SUMIF((OFFSET(CÁLCULO!$BS$15:$CS$15,$F107,0,OFFSET(ORÇAMENTO!$D$15,CRONO!$F107,0))),CRONO!AJ$12,OFFSET(CÁLCULO!$AR$15:$BR$15,$F107,0,OFFSET(ORÇAMENTO!$D$15,CRONO!$F107,0)))
                +IF(AND($F109&lt;&gt;"",$F109&lt;&gt;0),
                        SUMIF(CÁLCULO!$BS$15:$CS$244,CRONO!AJ$12,CÁLCULO!$AR$15:$BR$244)/(ORÇAMENTO!$X$15-CÁLCULO.TotalAdmLocal)*CRONO!$F109,
                        0),
                 AJ108*$S107),
          SUMIF(OFFSET($S109,1,0,$R107-2),($M107+1)&amp;"$",OFFSET(AJ109,1,0,$R107-2)))</f>
        <v>0</v>
      </c>
      <c r="AK109" s="202" cm="1">
        <f t="array" aca="1" ref="AK109" ca="1">IF($R107=2,
         IF(AND(ACOMPANHAMENTO="PLE",ISNUMBER($F107)),
                SUMIF((OFFSET(CÁLCULO!$BS$15:$CS$15,$F107,0,OFFSET(ORÇAMENTO!$D$15,CRONO!$F107,0))),CRONO!AK$12,OFFSET(CÁLCULO!$AR$15:$BR$15,$F107,0,OFFSET(ORÇAMENTO!$D$15,CRONO!$F107,0)))
                +IF(AND($F109&lt;&gt;"",$F109&lt;&gt;0),
                        SUMIF(CÁLCULO!$BS$15:$CS$244,CRONO!AK$12,CÁLCULO!$AR$15:$BR$244)/(ORÇAMENTO!$X$15-CÁLCULO.TotalAdmLocal)*CRONO!$F109,
                        0),
                 AK108*$S107),
          SUMIF(OFFSET($S109,1,0,$R107-2),($M107+1)&amp;"$",OFFSET(AK109,1,0,$R107-2)))</f>
        <v>0</v>
      </c>
      <c r="AL109" s="202" cm="1">
        <f t="array" aca="1" ref="AL109" ca="1">IF($R107=2,
         IF(AND(ACOMPANHAMENTO="PLE",ISNUMBER($F107)),
                SUMIF((OFFSET(CÁLCULO!$BS$15:$CS$15,$F107,0,OFFSET(ORÇAMENTO!$D$15,CRONO!$F107,0))),CRONO!AL$12,OFFSET(CÁLCULO!$AR$15:$BR$15,$F107,0,OFFSET(ORÇAMENTO!$D$15,CRONO!$F107,0)))
                +IF(AND($F109&lt;&gt;"",$F109&lt;&gt;0),
                        SUMIF(CÁLCULO!$BS$15:$CS$244,CRONO!AL$12,CÁLCULO!$AR$15:$BR$244)/(ORÇAMENTO!$X$15-CÁLCULO.TotalAdmLocal)*CRONO!$F109,
                        0),
                 AL108*$S107),
          SUMIF(OFFSET($S109,1,0,$R107-2),($M107+1)&amp;"$",OFFSET(AL109,1,0,$R107-2)))</f>
        <v>0</v>
      </c>
      <c r="AM109" s="202" cm="1">
        <f t="array" aca="1" ref="AM109" ca="1">IF($R107=2,
         IF(AND(ACOMPANHAMENTO="PLE",ISNUMBER($F107)),
                SUMIF((OFFSET(CÁLCULO!$BS$15:$CS$15,$F107,0,OFFSET(ORÇAMENTO!$D$15,CRONO!$F107,0))),CRONO!AM$12,OFFSET(CÁLCULO!$AR$15:$BR$15,$F107,0,OFFSET(ORÇAMENTO!$D$15,CRONO!$F107,0)))
                +IF(AND($F109&lt;&gt;"",$F109&lt;&gt;0),
                        SUMIF(CÁLCULO!$BS$15:$CS$244,CRONO!AM$12,CÁLCULO!$AR$15:$BR$244)/(ORÇAMENTO!$X$15-CÁLCULO.TotalAdmLocal)*CRONO!$F109,
                        0),
                 AM108*$S107),
          SUMIF(OFFSET($S109,1,0,$R107-2),($M107+1)&amp;"$",OFFSET(AM109,1,0,$R107-2)))</f>
        <v>0</v>
      </c>
      <c r="AN109" s="202" cm="1">
        <f t="array" aca="1" ref="AN109" ca="1">IF($R107=2,
         IF(AND(ACOMPANHAMENTO="PLE",ISNUMBER($F107)),
                SUMIF((OFFSET(CÁLCULO!$BS$15:$CS$15,$F107,0,OFFSET(ORÇAMENTO!$D$15,CRONO!$F107,0))),CRONO!AN$12,OFFSET(CÁLCULO!$AR$15:$BR$15,$F107,0,OFFSET(ORÇAMENTO!$D$15,CRONO!$F107,0)))
                +IF(AND($F109&lt;&gt;"",$F109&lt;&gt;0),
                        SUMIF(CÁLCULO!$BS$15:$CS$244,CRONO!AN$12,CÁLCULO!$AR$15:$BR$244)/(ORÇAMENTO!$X$15-CÁLCULO.TotalAdmLocal)*CRONO!$F109,
                        0),
                 AN108*$S107),
          SUMIF(OFFSET($S109,1,0,$R107-2),($M107+1)&amp;"$",OFFSET(AN109,1,0,$R107-2)))</f>
        <v>0</v>
      </c>
      <c r="AO109" s="202" cm="1">
        <f t="array" aca="1" ref="AO109" ca="1">IF($R107=2,
         IF(AND(ACOMPANHAMENTO="PLE",ISNUMBER($F107)),
                SUMIF((OFFSET(CÁLCULO!$BS$15:$CS$15,$F107,0,OFFSET(ORÇAMENTO!$D$15,CRONO!$F107,0))),CRONO!AO$12,OFFSET(CÁLCULO!$AR$15:$BR$15,$F107,0,OFFSET(ORÇAMENTO!$D$15,CRONO!$F107,0)))
                +IF(AND($F109&lt;&gt;"",$F109&lt;&gt;0),
                        SUMIF(CÁLCULO!$BS$15:$CS$244,CRONO!AO$12,CÁLCULO!$AR$15:$BR$244)/(ORÇAMENTO!$X$15-CÁLCULO.TotalAdmLocal)*CRONO!$F109,
                        0),
                 AO108*$S107),
          SUMIF(OFFSET($S109,1,0,$R107-2),($M107+1)&amp;"$",OFFSET(AO109,1,0,$R107-2)))</f>
        <v>0</v>
      </c>
      <c r="AP109" s="202" cm="1">
        <f t="array" aca="1" ref="AP109" ca="1">IF($R107=2,
         IF(AND(ACOMPANHAMENTO="PLE",ISNUMBER($F107)),
                SUMIF((OFFSET(CÁLCULO!$BS$15:$CS$15,$F107,0,OFFSET(ORÇAMENTO!$D$15,CRONO!$F107,0))),CRONO!AP$12,OFFSET(CÁLCULO!$AR$15:$BR$15,$F107,0,OFFSET(ORÇAMENTO!$D$15,CRONO!$F107,0)))
                +IF(AND($F109&lt;&gt;"",$F109&lt;&gt;0),
                        SUMIF(CÁLCULO!$BS$15:$CS$244,CRONO!AP$12,CÁLCULO!$AR$15:$BR$244)/(ORÇAMENTO!$X$15-CÁLCULO.TotalAdmLocal)*CRONO!$F109,
                        0),
                 AP108*$S107),
          SUMIF(OFFSET($S109,1,0,$R107-2),($M107+1)&amp;"$",OFFSET(AP109,1,0,$R107-2)))</f>
        <v>0</v>
      </c>
      <c r="AQ109" s="202" cm="1">
        <f t="array" aca="1" ref="AQ109" ca="1">IF($R107=2,
         IF(AND(ACOMPANHAMENTO="PLE",ISNUMBER($F107)),
                SUMIF((OFFSET(CÁLCULO!$BS$15:$CS$15,$F107,0,OFFSET(ORÇAMENTO!$D$15,CRONO!$F107,0))),CRONO!AQ$12,OFFSET(CÁLCULO!$AR$15:$BR$15,$F107,0,OFFSET(ORÇAMENTO!$D$15,CRONO!$F107,0)))
                +IF(AND($F109&lt;&gt;"",$F109&lt;&gt;0),
                        SUMIF(CÁLCULO!$BS$15:$CS$244,CRONO!AQ$12,CÁLCULO!$AR$15:$BR$244)/(ORÇAMENTO!$X$15-CÁLCULO.TotalAdmLocal)*CRONO!$F109,
                        0),
                 AQ108*$S107),
          SUMIF(OFFSET($S109,1,0,$R107-2),($M107+1)&amp;"$",OFFSET(AQ109,1,0,$R107-2)))</f>
        <v>0</v>
      </c>
      <c r="AR109" s="202" cm="1">
        <f t="array" aca="1" ref="AR109" ca="1">IF($R107=2,
         IF(AND(ACOMPANHAMENTO="PLE",ISNUMBER($F107)),
                SUMIF((OFFSET(CÁLCULO!$BS$15:$CS$15,$F107,0,OFFSET(ORÇAMENTO!$D$15,CRONO!$F107,0))),CRONO!AR$12,OFFSET(CÁLCULO!$AR$15:$BR$15,$F107,0,OFFSET(ORÇAMENTO!$D$15,CRONO!$F107,0)))
                +IF(AND($F109&lt;&gt;"",$F109&lt;&gt;0),
                        SUMIF(CÁLCULO!$BS$15:$CS$244,CRONO!AR$12,CÁLCULO!$AR$15:$BR$244)/(ORÇAMENTO!$X$15-CÁLCULO.TotalAdmLocal)*CRONO!$F109,
                        0),
                 AR108*$S107),
          SUMIF(OFFSET($S109,1,0,$R107-2),($M107+1)&amp;"$",OFFSET(AR109,1,0,$R107-2)))</f>
        <v>0</v>
      </c>
      <c r="AS109" s="534"/>
    </row>
    <row r="110" spans="1:45" x14ac:dyDescent="0.2">
      <c r="A110" s="186" t="e">
        <f t="shared" ref="A110" ca="1" si="194">IF($M110&gt;1,_xlfn.CONCAT($I110," ",$J110),"")</f>
        <v>#NAME?</v>
      </c>
      <c r="B110" s="185">
        <f t="shared" ref="B110" ca="1" si="195">OFFSET(B110,-3,0)+1</f>
        <v>33</v>
      </c>
      <c r="C110" s="185">
        <f ca="1">IF($R110&lt;&gt;2,0,IF($S110=0,1,IF(F111&gt;0,OFFSET(QCI!$M$13,SUBSTITUTE(F111,".",""),0),OFFSET(ORÇAMENTO!$AA$15,CRONO!$F110,0))/$S110))</f>
        <v>1</v>
      </c>
      <c r="D110" s="185">
        <f ca="1">IF($R110&lt;&gt;2,0,IF($S110=0,1,IF(F111&gt;0,OFFSET(QCI!$N$13,SUBSTITUTE(F111,".",""),0),OFFSET(ORÇAMENTO!$AB$15,CRONO!$F110,0))/$S110))</f>
        <v>1</v>
      </c>
      <c r="E110" s="188" t="e" cm="1">
        <f t="array" aca="1" ref="E110" ca="1">IF(AND($R110=2,ACOMPANHAMENTO="BM"),ROUND(E111,4),E112/$S110)</f>
        <v>#DIV/0!</v>
      </c>
      <c r="F110" s="185" cm="1">
        <f t="array" aca="1" ref="F110" ca="1">IF(B110&lt;=ORÇAMENTO.MáximoListaCrono,MATCH(B110,ORÇAMENTO.ListaCrono,0),NA())</f>
        <v>119</v>
      </c>
      <c r="G110" s="185" t="str">
        <f t="shared" ref="G110" ca="1" si="196">IF(AND($F111&lt;&gt;-1,$S110&gt;0),"F","")</f>
        <v/>
      </c>
      <c r="H110" s="189" t="str" cm="1">
        <f t="array" aca="1" ref="H110" ca="1">IF(OR(S110=0,S110=""),"Linha",IF(AND(OR(ACOMPANHAMENTO="PLE",$R110&lt;&gt;2),$F111=0),"Linha",ROUND(1-SUM(U110:AS110),4)))</f>
        <v>Linha</v>
      </c>
      <c r="I110" s="190" t="str">
        <f ca="1">IF($F111=0,OFFSET(ORÇAMENTO!O$15,$F110,0),IF($F111&lt;&gt;-1,OFFSET(QCI!$D$13,$F111,0),""))</f>
        <v>9.1.1.</v>
      </c>
      <c r="J110" s="191" t="str">
        <f ca="1">IF($F111=0,OFFSET(ORÇAMENTO!R$15,$F110,0),IF($F111&lt;&gt;-1,OFFSET(QCI!$G$13,$F111,0),""))</f>
        <v>CENTRO DE DISTRIBUIÇÃO ELÉTRICA</v>
      </c>
      <c r="K110" s="191"/>
      <c r="L110" s="191"/>
      <c r="M110" s="192">
        <f ca="1">IF($F111=0,OFFSET(ORÇAMENTO!C$15,$F110,0),1)</f>
        <v>3</v>
      </c>
      <c r="N110" s="193">
        <f ca="1">IF($F111=-1,0,IF(N$13&lt;=$M110,IF(ISERROR(MATCH(N$13,OFFSET($M110,1,0,ROW($M$164)-ROW($M110)-1),0)),ROW($M$164)-ROW($M110)-1,MATCH(N$13,OFFSET($M110,1,0,ROW($M$164)-ROW($M110)-1),0)-1),0))</f>
        <v>35</v>
      </c>
      <c r="O110" s="193">
        <f ca="1">IF($F111=-1,0,IF(O$13&lt;=$M110,IF(ISERROR(MATCH(O$13,OFFSET($M110,1,0,ROW($M$164)-ROW($M110)-1),0)),ROW($M$164)-ROW($M110)-1,MATCH(O$13,OFFSET($M110,1,0,ROW($M$164)-ROW($M110)-1),0)-1),0))</f>
        <v>8</v>
      </c>
      <c r="P110" s="193">
        <f ca="1">IF($F111=-1,0,IF(P$13&lt;=$M110,IF(ISERROR(MATCH(P$13,OFFSET($M110,1,0,ROW($M$164)-ROW($M110)-1),0)),ROW($M$164)-ROW($M110)-1,MATCH(P$13,OFFSET($M110,1,0,ROW($M$164)-ROW($M110)-1),0)-1),0))</f>
        <v>2</v>
      </c>
      <c r="Q110" s="193">
        <f ca="1">IF($F111=-1,0,IF(Q$13&lt;=$M110,IF(ISERROR(MATCH(Q$13,OFFSET($M110,1,0,ROW($M$164)-ROW($M110)-1),0)),ROW($M$164)-ROW($M110)-1,MATCH(Q$13,OFFSET($M110,1,0,ROW($M$164)-ROW($M110)-1),0)-1),0))</f>
        <v>0</v>
      </c>
      <c r="R110" s="193">
        <f t="shared" ref="R110" ca="1" si="197">MIN(OFFSET(M110,0,1,,M110))</f>
        <v>2</v>
      </c>
      <c r="S110" s="194">
        <f ca="1">IF($F111=0,OFFSET(ORÇAMENTO!X$15,$F110,0),IF($F111&lt;&gt;-1,OFFSET(QCI!$O$13,$F111,0),""))</f>
        <v>0</v>
      </c>
      <c r="T110" s="195" t="s">
        <v>785</v>
      </c>
      <c r="U110" s="188" t="e" cm="1">
        <f t="array" aca="1" ref="U110" ca="1">IF(AND($R110=2,ACOMPANHAMENTO="BM"),ROUND(U111,4),U112/$S110)</f>
        <v>#DIV/0!</v>
      </c>
      <c r="V110" s="188" t="e" cm="1">
        <f t="array" aca="1" ref="V110" ca="1">IF(AND($R110=2,ACOMPANHAMENTO="BM"),ROUND(V111,4),V112/$S110)</f>
        <v>#DIV/0!</v>
      </c>
      <c r="W110" s="188" t="e" cm="1">
        <f t="array" aca="1" ref="W110" ca="1">IF(AND($R110=2,ACOMPANHAMENTO="BM"),ROUND(W111,4),W112/$S110)</f>
        <v>#DIV/0!</v>
      </c>
      <c r="X110" s="188" t="e" cm="1">
        <f t="array" aca="1" ref="X110" ca="1">IF(AND($R110=2,ACOMPANHAMENTO="BM"),ROUND(X111,4),X112/$S110)</f>
        <v>#DIV/0!</v>
      </c>
      <c r="Y110" s="188" t="e" cm="1">
        <f t="array" aca="1" ref="Y110" ca="1">IF(AND($R110=2,ACOMPANHAMENTO="BM"),ROUND(Y111,4),Y112/$S110)</f>
        <v>#DIV/0!</v>
      </c>
      <c r="Z110" s="188" t="e" cm="1">
        <f t="array" aca="1" ref="Z110" ca="1">IF(AND($R110=2,ACOMPANHAMENTO="BM"),ROUND(Z111,4),Z112/$S110)</f>
        <v>#DIV/0!</v>
      </c>
      <c r="AA110" s="188" t="e" cm="1">
        <f t="array" aca="1" ref="AA110" ca="1">IF(AND($R110=2,ACOMPANHAMENTO="BM"),ROUND(AA111,4),AA112/$S110)</f>
        <v>#DIV/0!</v>
      </c>
      <c r="AB110" s="188" t="e" cm="1">
        <f t="array" aca="1" ref="AB110" ca="1">IF(AND($R110=2,ACOMPANHAMENTO="BM"),ROUND(AB111,4),AB112/$S110)</f>
        <v>#DIV/0!</v>
      </c>
      <c r="AC110" s="188" t="e" cm="1">
        <f t="array" aca="1" ref="AC110" ca="1">IF(AND($R110=2,ACOMPANHAMENTO="BM"),ROUND(AC111,4),AC112/$S110)</f>
        <v>#DIV/0!</v>
      </c>
      <c r="AD110" s="188" t="e" cm="1">
        <f t="array" aca="1" ref="AD110" ca="1">IF(AND($R110=2,ACOMPANHAMENTO="BM"),ROUND(AD111,4),AD112/$S110)</f>
        <v>#DIV/0!</v>
      </c>
      <c r="AE110" s="188" t="e" cm="1">
        <f t="array" aca="1" ref="AE110" ca="1">IF(AND($R110=2,ACOMPANHAMENTO="BM"),ROUND(AE111,4),AE112/$S110)</f>
        <v>#DIV/0!</v>
      </c>
      <c r="AF110" s="188" t="e" cm="1">
        <f t="array" aca="1" ref="AF110" ca="1">IF(AND($R110=2,ACOMPANHAMENTO="BM"),ROUND(AF111,4),AF112/$S110)</f>
        <v>#DIV/0!</v>
      </c>
      <c r="AG110" s="188" t="e" cm="1">
        <f t="array" aca="1" ref="AG110" ca="1">IF(AND($R110=2,ACOMPANHAMENTO="BM"),ROUND(AG111,4),AG112/$S110)</f>
        <v>#DIV/0!</v>
      </c>
      <c r="AH110" s="188" t="e" cm="1">
        <f t="array" aca="1" ref="AH110" ca="1">IF(AND($R110=2,ACOMPANHAMENTO="BM"),ROUND(AH111,4),AH112/$S110)</f>
        <v>#DIV/0!</v>
      </c>
      <c r="AI110" s="188" t="e" cm="1">
        <f t="array" aca="1" ref="AI110" ca="1">IF(AND($R110=2,ACOMPANHAMENTO="BM"),ROUND(AI111,4),AI112/$S110)</f>
        <v>#DIV/0!</v>
      </c>
      <c r="AJ110" s="188" t="e" cm="1">
        <f t="array" aca="1" ref="AJ110" ca="1">IF(AND($R110=2,ACOMPANHAMENTO="BM"),ROUND(AJ111,4),AJ112/$S110)</f>
        <v>#DIV/0!</v>
      </c>
      <c r="AK110" s="188" t="e" cm="1">
        <f t="array" aca="1" ref="AK110" ca="1">IF(AND($R110=2,ACOMPANHAMENTO="BM"),ROUND(AK111,4),AK112/$S110)</f>
        <v>#DIV/0!</v>
      </c>
      <c r="AL110" s="188" t="e" cm="1">
        <f t="array" aca="1" ref="AL110" ca="1">IF(AND($R110=2,ACOMPANHAMENTO="BM"),ROUND(AL111,4),AL112/$S110)</f>
        <v>#DIV/0!</v>
      </c>
      <c r="AM110" s="188" t="e" cm="1">
        <f t="array" aca="1" ref="AM110" ca="1">IF(AND($R110=2,ACOMPANHAMENTO="BM"),ROUND(AM111,4),AM112/$S110)</f>
        <v>#DIV/0!</v>
      </c>
      <c r="AN110" s="188" t="e" cm="1">
        <f t="array" aca="1" ref="AN110" ca="1">IF(AND($R110=2,ACOMPANHAMENTO="BM"),ROUND(AN111,4),AN112/$S110)</f>
        <v>#DIV/0!</v>
      </c>
      <c r="AO110" s="188" t="e" cm="1">
        <f t="array" aca="1" ref="AO110" ca="1">IF(AND($R110=2,ACOMPANHAMENTO="BM"),ROUND(AO111,4),AO112/$S110)</f>
        <v>#DIV/0!</v>
      </c>
      <c r="AP110" s="188" t="e" cm="1">
        <f t="array" aca="1" ref="AP110" ca="1">IF(AND($R110=2,ACOMPANHAMENTO="BM"),ROUND(AP111,4),AP112/$S110)</f>
        <v>#DIV/0!</v>
      </c>
      <c r="AQ110" s="188" t="e" cm="1">
        <f t="array" aca="1" ref="AQ110" ca="1">IF(AND($R110=2,ACOMPANHAMENTO="BM"),ROUND(AQ111,4),AQ112/$S110)</f>
        <v>#DIV/0!</v>
      </c>
      <c r="AR110" s="188" t="e" cm="1">
        <f t="array" aca="1" ref="AR110" ca="1">IF(AND($R110=2,ACOMPANHAMENTO="BM"),ROUND(AR111,4),AR112/$S110)</f>
        <v>#DIV/0!</v>
      </c>
      <c r="AS110" s="534"/>
    </row>
    <row r="111" spans="1:45" ht="12.75" hidden="1" customHeight="1" x14ac:dyDescent="0.2">
      <c r="E111" s="587"/>
      <c r="F111" s="185">
        <f ca="1">IF(ISERROR(F110),IF(1+COUNTIF($M$13:OFFSET(M110,-1,0),1)&lt;=MAX(QCI!$D$13:$D$24),1+COUNTIF($M$13:OFFSET(M110,-1,0),1),-1),0)</f>
        <v>0</v>
      </c>
      <c r="G111" s="185" t="str" cm="1">
        <f t="array" aca="1" ref="G111" ca="1">IF(ACOMPANHAMENTO="BM",OFFSET(G111,-1,0),"")</f>
        <v/>
      </c>
      <c r="H111" s="196" t="str" cm="1">
        <f t="array" aca="1" ref="H111" ca="1">IF(OR(S110=0,S110=""),"vazia",IF(AND(OR(ACOMPANHAMENTO="PLE",$R110&lt;&gt;2),$F111=0),"calculada","--&gt;"))</f>
        <v>vazia</v>
      </c>
      <c r="I111" s="197"/>
      <c r="J111" s="198" t="str">
        <f t="shared" ref="J111" ca="1" si="198">IF(AND(H110&lt;&gt;0,ISNUMBER(H110)),"PREENCHA ESTA LINHA --&gt;","")</f>
        <v/>
      </c>
      <c r="K111" s="198"/>
      <c r="L111" s="198"/>
      <c r="M111" s="199"/>
      <c r="N111" s="199"/>
      <c r="O111" s="199"/>
      <c r="P111" s="199"/>
      <c r="Q111" s="199"/>
      <c r="R111" s="199"/>
      <c r="S111" s="200"/>
      <c r="T111" s="201"/>
      <c r="U111" s="587"/>
      <c r="V111" s="587"/>
      <c r="W111" s="587"/>
      <c r="X111" s="587"/>
      <c r="Y111" s="587"/>
      <c r="Z111" s="587"/>
      <c r="AA111" s="587"/>
      <c r="AB111" s="587"/>
      <c r="AC111" s="587"/>
      <c r="AD111" s="587"/>
      <c r="AE111" s="587"/>
      <c r="AF111" s="587"/>
      <c r="AG111" s="587"/>
      <c r="AH111" s="587"/>
      <c r="AI111" s="587"/>
      <c r="AJ111" s="587"/>
      <c r="AK111" s="587"/>
      <c r="AL111" s="587"/>
      <c r="AM111" s="587"/>
      <c r="AN111" s="587"/>
      <c r="AO111" s="587"/>
      <c r="AP111" s="587"/>
      <c r="AQ111" s="587"/>
      <c r="AR111" s="587"/>
      <c r="AS111" s="534"/>
    </row>
    <row r="112" spans="1:45" ht="12.75" hidden="1" customHeight="1" x14ac:dyDescent="0.2">
      <c r="D112" s="533"/>
      <c r="E112" s="202" cm="1">
        <f t="array" aca="1" ref="E112" ca="1">IF($R110=2,
         IF(AND(ACOMPANHAMENTO="PLE",ISNUMBER($F110)),
                SUMIF((OFFSET(CÁLCULO!$BS$15:$CS$15,$F110,0,OFFSET(ORÇAMENTO!$D$15,CRONO!$F110,0))),CRONO!E$12,OFFSET(CÁLCULO!$AR$15:$BR$15,$F110,0,OFFSET(ORÇAMENTO!$D$15,CRONO!$F110,0)))
                +IF(AND($F112&lt;&gt;"",$F112&lt;&gt;0),
                        SUMIF(CÁLCULO!$BS$15:$CS$244,CRONO!E$12,CÁLCULO!$AR$15:$BR$244)/(ORÇAMENTO!$X$15-CÁLCULO.TotalAdmLocal)*CRONO!$F112,
                        0),
                 E111*$S110),
          SUMIF(OFFSET($S112,1,0,$R110-2),($M110+1)&amp;"$",OFFSET(E112,1,0,$R110-2)))</f>
        <v>0</v>
      </c>
      <c r="F112" s="185">
        <f ca="1">IF(OR($R110&lt;&gt;2,AUTOEVENTO&lt;&gt;"manual",$F111&gt;0),"",
        IF(Import.TipoArredondamento="Tradicional",
              SUMIF(OFFSET(CÁLCULO!$M$15,CRONO!$F110,0,OFFSET(ORÇAMENTO!$D$15,CRONO!$F110,0)),1,OFFSET(ORÇAMENTO!$X$15,CRONO!$F110,0,OFFSET(ORÇAMENTO!$D$15,CRONO!$F110,0))),
              0))</f>
        <v>0</v>
      </c>
      <c r="H112" s="203"/>
      <c r="S112" s="204" t="str">
        <f t="shared" ref="S112" ca="1" si="199">M110&amp;"$"</f>
        <v>3$</v>
      </c>
      <c r="T112" s="205"/>
      <c r="U112" s="202" cm="1">
        <f t="array" aca="1" ref="U112" ca="1">IF($R110=2,
         IF(AND(ACOMPANHAMENTO="PLE",ISNUMBER($F110)),
                SUMIF((OFFSET(CÁLCULO!$BS$15:$CS$15,$F110,0,OFFSET(ORÇAMENTO!$D$15,CRONO!$F110,0))),CRONO!U$12,OFFSET(CÁLCULO!$AR$15:$BR$15,$F110,0,OFFSET(ORÇAMENTO!$D$15,CRONO!$F110,0)))
                +IF(AND($F112&lt;&gt;"",$F112&lt;&gt;0),
                        SUMIF(CÁLCULO!$BS$15:$CS$244,CRONO!U$12,CÁLCULO!$AR$15:$BR$244)/(ORÇAMENTO!$X$15-CÁLCULO.TotalAdmLocal)*CRONO!$F112,
                        0),
                 U111*$S110),
          SUMIF(OFFSET($S112,1,0,$R110-2),($M110+1)&amp;"$",OFFSET(U112,1,0,$R110-2)))</f>
        <v>0</v>
      </c>
      <c r="V112" s="202" cm="1">
        <f t="array" aca="1" ref="V112" ca="1">IF($R110=2,
         IF(AND(ACOMPANHAMENTO="PLE",ISNUMBER($F110)),
                SUMIF((OFFSET(CÁLCULO!$BS$15:$CS$15,$F110,0,OFFSET(ORÇAMENTO!$D$15,CRONO!$F110,0))),CRONO!V$12,OFFSET(CÁLCULO!$AR$15:$BR$15,$F110,0,OFFSET(ORÇAMENTO!$D$15,CRONO!$F110,0)))
                +IF(AND($F112&lt;&gt;"",$F112&lt;&gt;0),
                        SUMIF(CÁLCULO!$BS$15:$CS$244,CRONO!V$12,CÁLCULO!$AR$15:$BR$244)/(ORÇAMENTO!$X$15-CÁLCULO.TotalAdmLocal)*CRONO!$F112,
                        0),
                 V111*$S110),
          SUMIF(OFFSET($S112,1,0,$R110-2),($M110+1)&amp;"$",OFFSET(V112,1,0,$R110-2)))</f>
        <v>0</v>
      </c>
      <c r="W112" s="202" cm="1">
        <f t="array" aca="1" ref="W112" ca="1">IF($R110=2,
         IF(AND(ACOMPANHAMENTO="PLE",ISNUMBER($F110)),
                SUMIF((OFFSET(CÁLCULO!$BS$15:$CS$15,$F110,0,OFFSET(ORÇAMENTO!$D$15,CRONO!$F110,0))),CRONO!W$12,OFFSET(CÁLCULO!$AR$15:$BR$15,$F110,0,OFFSET(ORÇAMENTO!$D$15,CRONO!$F110,0)))
                +IF(AND($F112&lt;&gt;"",$F112&lt;&gt;0),
                        SUMIF(CÁLCULO!$BS$15:$CS$244,CRONO!W$12,CÁLCULO!$AR$15:$BR$244)/(ORÇAMENTO!$X$15-CÁLCULO.TotalAdmLocal)*CRONO!$F112,
                        0),
                 W111*$S110),
          SUMIF(OFFSET($S112,1,0,$R110-2),($M110+1)&amp;"$",OFFSET(W112,1,0,$R110-2)))</f>
        <v>0</v>
      </c>
      <c r="X112" s="202" cm="1">
        <f t="array" aca="1" ref="X112" ca="1">IF($R110=2,
         IF(AND(ACOMPANHAMENTO="PLE",ISNUMBER($F110)),
                SUMIF((OFFSET(CÁLCULO!$BS$15:$CS$15,$F110,0,OFFSET(ORÇAMENTO!$D$15,CRONO!$F110,0))),CRONO!X$12,OFFSET(CÁLCULO!$AR$15:$BR$15,$F110,0,OFFSET(ORÇAMENTO!$D$15,CRONO!$F110,0)))
                +IF(AND($F112&lt;&gt;"",$F112&lt;&gt;0),
                        SUMIF(CÁLCULO!$BS$15:$CS$244,CRONO!X$12,CÁLCULO!$AR$15:$BR$244)/(ORÇAMENTO!$X$15-CÁLCULO.TotalAdmLocal)*CRONO!$F112,
                        0),
                 X111*$S110),
          SUMIF(OFFSET($S112,1,0,$R110-2),($M110+1)&amp;"$",OFFSET(X112,1,0,$R110-2)))</f>
        <v>0</v>
      </c>
      <c r="Y112" s="202" cm="1">
        <f t="array" aca="1" ref="Y112" ca="1">IF($R110=2,
         IF(AND(ACOMPANHAMENTO="PLE",ISNUMBER($F110)),
                SUMIF((OFFSET(CÁLCULO!$BS$15:$CS$15,$F110,0,OFFSET(ORÇAMENTO!$D$15,CRONO!$F110,0))),CRONO!Y$12,OFFSET(CÁLCULO!$AR$15:$BR$15,$F110,0,OFFSET(ORÇAMENTO!$D$15,CRONO!$F110,0)))
                +IF(AND($F112&lt;&gt;"",$F112&lt;&gt;0),
                        SUMIF(CÁLCULO!$BS$15:$CS$244,CRONO!Y$12,CÁLCULO!$AR$15:$BR$244)/(ORÇAMENTO!$X$15-CÁLCULO.TotalAdmLocal)*CRONO!$F112,
                        0),
                 Y111*$S110),
          SUMIF(OFFSET($S112,1,0,$R110-2),($M110+1)&amp;"$",OFFSET(Y112,1,0,$R110-2)))</f>
        <v>0</v>
      </c>
      <c r="Z112" s="202" cm="1">
        <f t="array" aca="1" ref="Z112" ca="1">IF($R110=2,
         IF(AND(ACOMPANHAMENTO="PLE",ISNUMBER($F110)),
                SUMIF((OFFSET(CÁLCULO!$BS$15:$CS$15,$F110,0,OFFSET(ORÇAMENTO!$D$15,CRONO!$F110,0))),CRONO!Z$12,OFFSET(CÁLCULO!$AR$15:$BR$15,$F110,0,OFFSET(ORÇAMENTO!$D$15,CRONO!$F110,0)))
                +IF(AND($F112&lt;&gt;"",$F112&lt;&gt;0),
                        SUMIF(CÁLCULO!$BS$15:$CS$244,CRONO!Z$12,CÁLCULO!$AR$15:$BR$244)/(ORÇAMENTO!$X$15-CÁLCULO.TotalAdmLocal)*CRONO!$F112,
                        0),
                 Z111*$S110),
          SUMIF(OFFSET($S112,1,0,$R110-2),($M110+1)&amp;"$",OFFSET(Z112,1,0,$R110-2)))</f>
        <v>0</v>
      </c>
      <c r="AA112" s="202" cm="1">
        <f t="array" aca="1" ref="AA112" ca="1">IF($R110=2,
         IF(AND(ACOMPANHAMENTO="PLE",ISNUMBER($F110)),
                SUMIF((OFFSET(CÁLCULO!$BS$15:$CS$15,$F110,0,OFFSET(ORÇAMENTO!$D$15,CRONO!$F110,0))),CRONO!AA$12,OFFSET(CÁLCULO!$AR$15:$BR$15,$F110,0,OFFSET(ORÇAMENTO!$D$15,CRONO!$F110,0)))
                +IF(AND($F112&lt;&gt;"",$F112&lt;&gt;0),
                        SUMIF(CÁLCULO!$BS$15:$CS$244,CRONO!AA$12,CÁLCULO!$AR$15:$BR$244)/(ORÇAMENTO!$X$15-CÁLCULO.TotalAdmLocal)*CRONO!$F112,
                        0),
                 AA111*$S110),
          SUMIF(OFFSET($S112,1,0,$R110-2),($M110+1)&amp;"$",OFFSET(AA112,1,0,$R110-2)))</f>
        <v>0</v>
      </c>
      <c r="AB112" s="202" cm="1">
        <f t="array" aca="1" ref="AB112" ca="1">IF($R110=2,
         IF(AND(ACOMPANHAMENTO="PLE",ISNUMBER($F110)),
                SUMIF((OFFSET(CÁLCULO!$BS$15:$CS$15,$F110,0,OFFSET(ORÇAMENTO!$D$15,CRONO!$F110,0))),CRONO!AB$12,OFFSET(CÁLCULO!$AR$15:$BR$15,$F110,0,OFFSET(ORÇAMENTO!$D$15,CRONO!$F110,0)))
                +IF(AND($F112&lt;&gt;"",$F112&lt;&gt;0),
                        SUMIF(CÁLCULO!$BS$15:$CS$244,CRONO!AB$12,CÁLCULO!$AR$15:$BR$244)/(ORÇAMENTO!$X$15-CÁLCULO.TotalAdmLocal)*CRONO!$F112,
                        0),
                 AB111*$S110),
          SUMIF(OFFSET($S112,1,0,$R110-2),($M110+1)&amp;"$",OFFSET(AB112,1,0,$R110-2)))</f>
        <v>0</v>
      </c>
      <c r="AC112" s="202" cm="1">
        <f t="array" aca="1" ref="AC112" ca="1">IF($R110=2,
         IF(AND(ACOMPANHAMENTO="PLE",ISNUMBER($F110)),
                SUMIF((OFFSET(CÁLCULO!$BS$15:$CS$15,$F110,0,OFFSET(ORÇAMENTO!$D$15,CRONO!$F110,0))),CRONO!AC$12,OFFSET(CÁLCULO!$AR$15:$BR$15,$F110,0,OFFSET(ORÇAMENTO!$D$15,CRONO!$F110,0)))
                +IF(AND($F112&lt;&gt;"",$F112&lt;&gt;0),
                        SUMIF(CÁLCULO!$BS$15:$CS$244,CRONO!AC$12,CÁLCULO!$AR$15:$BR$244)/(ORÇAMENTO!$X$15-CÁLCULO.TotalAdmLocal)*CRONO!$F112,
                        0),
                 AC111*$S110),
          SUMIF(OFFSET($S112,1,0,$R110-2),($M110+1)&amp;"$",OFFSET(AC112,1,0,$R110-2)))</f>
        <v>0</v>
      </c>
      <c r="AD112" s="202" cm="1">
        <f t="array" aca="1" ref="AD112" ca="1">IF($R110=2,
         IF(AND(ACOMPANHAMENTO="PLE",ISNUMBER($F110)),
                SUMIF((OFFSET(CÁLCULO!$BS$15:$CS$15,$F110,0,OFFSET(ORÇAMENTO!$D$15,CRONO!$F110,0))),CRONO!AD$12,OFFSET(CÁLCULO!$AR$15:$BR$15,$F110,0,OFFSET(ORÇAMENTO!$D$15,CRONO!$F110,0)))
                +IF(AND($F112&lt;&gt;"",$F112&lt;&gt;0),
                        SUMIF(CÁLCULO!$BS$15:$CS$244,CRONO!AD$12,CÁLCULO!$AR$15:$BR$244)/(ORÇAMENTO!$X$15-CÁLCULO.TotalAdmLocal)*CRONO!$F112,
                        0),
                 AD111*$S110),
          SUMIF(OFFSET($S112,1,0,$R110-2),($M110+1)&amp;"$",OFFSET(AD112,1,0,$R110-2)))</f>
        <v>0</v>
      </c>
      <c r="AE112" s="202" cm="1">
        <f t="array" aca="1" ref="AE112" ca="1">IF($R110=2,
         IF(AND(ACOMPANHAMENTO="PLE",ISNUMBER($F110)),
                SUMIF((OFFSET(CÁLCULO!$BS$15:$CS$15,$F110,0,OFFSET(ORÇAMENTO!$D$15,CRONO!$F110,0))),CRONO!AE$12,OFFSET(CÁLCULO!$AR$15:$BR$15,$F110,0,OFFSET(ORÇAMENTO!$D$15,CRONO!$F110,0)))
                +IF(AND($F112&lt;&gt;"",$F112&lt;&gt;0),
                        SUMIF(CÁLCULO!$BS$15:$CS$244,CRONO!AE$12,CÁLCULO!$AR$15:$BR$244)/(ORÇAMENTO!$X$15-CÁLCULO.TotalAdmLocal)*CRONO!$F112,
                        0),
                 AE111*$S110),
          SUMIF(OFFSET($S112,1,0,$R110-2),($M110+1)&amp;"$",OFFSET(AE112,1,0,$R110-2)))</f>
        <v>0</v>
      </c>
      <c r="AF112" s="202" cm="1">
        <f t="array" aca="1" ref="AF112" ca="1">IF($R110=2,
         IF(AND(ACOMPANHAMENTO="PLE",ISNUMBER($F110)),
                SUMIF((OFFSET(CÁLCULO!$BS$15:$CS$15,$F110,0,OFFSET(ORÇAMENTO!$D$15,CRONO!$F110,0))),CRONO!AF$12,OFFSET(CÁLCULO!$AR$15:$BR$15,$F110,0,OFFSET(ORÇAMENTO!$D$15,CRONO!$F110,0)))
                +IF(AND($F112&lt;&gt;"",$F112&lt;&gt;0),
                        SUMIF(CÁLCULO!$BS$15:$CS$244,CRONO!AF$12,CÁLCULO!$AR$15:$BR$244)/(ORÇAMENTO!$X$15-CÁLCULO.TotalAdmLocal)*CRONO!$F112,
                        0),
                 AF111*$S110),
          SUMIF(OFFSET($S112,1,0,$R110-2),($M110+1)&amp;"$",OFFSET(AF112,1,0,$R110-2)))</f>
        <v>0</v>
      </c>
      <c r="AG112" s="202" cm="1">
        <f t="array" aca="1" ref="AG112" ca="1">IF($R110=2,
         IF(AND(ACOMPANHAMENTO="PLE",ISNUMBER($F110)),
                SUMIF((OFFSET(CÁLCULO!$BS$15:$CS$15,$F110,0,OFFSET(ORÇAMENTO!$D$15,CRONO!$F110,0))),CRONO!AG$12,OFFSET(CÁLCULO!$AR$15:$BR$15,$F110,0,OFFSET(ORÇAMENTO!$D$15,CRONO!$F110,0)))
                +IF(AND($F112&lt;&gt;"",$F112&lt;&gt;0),
                        SUMIF(CÁLCULO!$BS$15:$CS$244,CRONO!AG$12,CÁLCULO!$AR$15:$BR$244)/(ORÇAMENTO!$X$15-CÁLCULO.TotalAdmLocal)*CRONO!$F112,
                        0),
                 AG111*$S110),
          SUMIF(OFFSET($S112,1,0,$R110-2),($M110+1)&amp;"$",OFFSET(AG112,1,0,$R110-2)))</f>
        <v>0</v>
      </c>
      <c r="AH112" s="202" cm="1">
        <f t="array" aca="1" ref="AH112" ca="1">IF($R110=2,
         IF(AND(ACOMPANHAMENTO="PLE",ISNUMBER($F110)),
                SUMIF((OFFSET(CÁLCULO!$BS$15:$CS$15,$F110,0,OFFSET(ORÇAMENTO!$D$15,CRONO!$F110,0))),CRONO!AH$12,OFFSET(CÁLCULO!$AR$15:$BR$15,$F110,0,OFFSET(ORÇAMENTO!$D$15,CRONO!$F110,0)))
                +IF(AND($F112&lt;&gt;"",$F112&lt;&gt;0),
                        SUMIF(CÁLCULO!$BS$15:$CS$244,CRONO!AH$12,CÁLCULO!$AR$15:$BR$244)/(ORÇAMENTO!$X$15-CÁLCULO.TotalAdmLocal)*CRONO!$F112,
                        0),
                 AH111*$S110),
          SUMIF(OFFSET($S112,1,0,$R110-2),($M110+1)&amp;"$",OFFSET(AH112,1,0,$R110-2)))</f>
        <v>0</v>
      </c>
      <c r="AI112" s="202" cm="1">
        <f t="array" aca="1" ref="AI112" ca="1">IF($R110=2,
         IF(AND(ACOMPANHAMENTO="PLE",ISNUMBER($F110)),
                SUMIF((OFFSET(CÁLCULO!$BS$15:$CS$15,$F110,0,OFFSET(ORÇAMENTO!$D$15,CRONO!$F110,0))),CRONO!AI$12,OFFSET(CÁLCULO!$AR$15:$BR$15,$F110,0,OFFSET(ORÇAMENTO!$D$15,CRONO!$F110,0)))
                +IF(AND($F112&lt;&gt;"",$F112&lt;&gt;0),
                        SUMIF(CÁLCULO!$BS$15:$CS$244,CRONO!AI$12,CÁLCULO!$AR$15:$BR$244)/(ORÇAMENTO!$X$15-CÁLCULO.TotalAdmLocal)*CRONO!$F112,
                        0),
                 AI111*$S110),
          SUMIF(OFFSET($S112,1,0,$R110-2),($M110+1)&amp;"$",OFFSET(AI112,1,0,$R110-2)))</f>
        <v>0</v>
      </c>
      <c r="AJ112" s="202" cm="1">
        <f t="array" aca="1" ref="AJ112" ca="1">IF($R110=2,
         IF(AND(ACOMPANHAMENTO="PLE",ISNUMBER($F110)),
                SUMIF((OFFSET(CÁLCULO!$BS$15:$CS$15,$F110,0,OFFSET(ORÇAMENTO!$D$15,CRONO!$F110,0))),CRONO!AJ$12,OFFSET(CÁLCULO!$AR$15:$BR$15,$F110,0,OFFSET(ORÇAMENTO!$D$15,CRONO!$F110,0)))
                +IF(AND($F112&lt;&gt;"",$F112&lt;&gt;0),
                        SUMIF(CÁLCULO!$BS$15:$CS$244,CRONO!AJ$12,CÁLCULO!$AR$15:$BR$244)/(ORÇAMENTO!$X$15-CÁLCULO.TotalAdmLocal)*CRONO!$F112,
                        0),
                 AJ111*$S110),
          SUMIF(OFFSET($S112,1,0,$R110-2),($M110+1)&amp;"$",OFFSET(AJ112,1,0,$R110-2)))</f>
        <v>0</v>
      </c>
      <c r="AK112" s="202" cm="1">
        <f t="array" aca="1" ref="AK112" ca="1">IF($R110=2,
         IF(AND(ACOMPANHAMENTO="PLE",ISNUMBER($F110)),
                SUMIF((OFFSET(CÁLCULO!$BS$15:$CS$15,$F110,0,OFFSET(ORÇAMENTO!$D$15,CRONO!$F110,0))),CRONO!AK$12,OFFSET(CÁLCULO!$AR$15:$BR$15,$F110,0,OFFSET(ORÇAMENTO!$D$15,CRONO!$F110,0)))
                +IF(AND($F112&lt;&gt;"",$F112&lt;&gt;0),
                        SUMIF(CÁLCULO!$BS$15:$CS$244,CRONO!AK$12,CÁLCULO!$AR$15:$BR$244)/(ORÇAMENTO!$X$15-CÁLCULO.TotalAdmLocal)*CRONO!$F112,
                        0),
                 AK111*$S110),
          SUMIF(OFFSET($S112,1,0,$R110-2),($M110+1)&amp;"$",OFFSET(AK112,1,0,$R110-2)))</f>
        <v>0</v>
      </c>
      <c r="AL112" s="202" cm="1">
        <f t="array" aca="1" ref="AL112" ca="1">IF($R110=2,
         IF(AND(ACOMPANHAMENTO="PLE",ISNUMBER($F110)),
                SUMIF((OFFSET(CÁLCULO!$BS$15:$CS$15,$F110,0,OFFSET(ORÇAMENTO!$D$15,CRONO!$F110,0))),CRONO!AL$12,OFFSET(CÁLCULO!$AR$15:$BR$15,$F110,0,OFFSET(ORÇAMENTO!$D$15,CRONO!$F110,0)))
                +IF(AND($F112&lt;&gt;"",$F112&lt;&gt;0),
                        SUMIF(CÁLCULO!$BS$15:$CS$244,CRONO!AL$12,CÁLCULO!$AR$15:$BR$244)/(ORÇAMENTO!$X$15-CÁLCULO.TotalAdmLocal)*CRONO!$F112,
                        0),
                 AL111*$S110),
          SUMIF(OFFSET($S112,1,0,$R110-2),($M110+1)&amp;"$",OFFSET(AL112,1,0,$R110-2)))</f>
        <v>0</v>
      </c>
      <c r="AM112" s="202" cm="1">
        <f t="array" aca="1" ref="AM112" ca="1">IF($R110=2,
         IF(AND(ACOMPANHAMENTO="PLE",ISNUMBER($F110)),
                SUMIF((OFFSET(CÁLCULO!$BS$15:$CS$15,$F110,0,OFFSET(ORÇAMENTO!$D$15,CRONO!$F110,0))),CRONO!AM$12,OFFSET(CÁLCULO!$AR$15:$BR$15,$F110,0,OFFSET(ORÇAMENTO!$D$15,CRONO!$F110,0)))
                +IF(AND($F112&lt;&gt;"",$F112&lt;&gt;0),
                        SUMIF(CÁLCULO!$BS$15:$CS$244,CRONO!AM$12,CÁLCULO!$AR$15:$BR$244)/(ORÇAMENTO!$X$15-CÁLCULO.TotalAdmLocal)*CRONO!$F112,
                        0),
                 AM111*$S110),
          SUMIF(OFFSET($S112,1,0,$R110-2),($M110+1)&amp;"$",OFFSET(AM112,1,0,$R110-2)))</f>
        <v>0</v>
      </c>
      <c r="AN112" s="202" cm="1">
        <f t="array" aca="1" ref="AN112" ca="1">IF($R110=2,
         IF(AND(ACOMPANHAMENTO="PLE",ISNUMBER($F110)),
                SUMIF((OFFSET(CÁLCULO!$BS$15:$CS$15,$F110,0,OFFSET(ORÇAMENTO!$D$15,CRONO!$F110,0))),CRONO!AN$12,OFFSET(CÁLCULO!$AR$15:$BR$15,$F110,0,OFFSET(ORÇAMENTO!$D$15,CRONO!$F110,0)))
                +IF(AND($F112&lt;&gt;"",$F112&lt;&gt;0),
                        SUMIF(CÁLCULO!$BS$15:$CS$244,CRONO!AN$12,CÁLCULO!$AR$15:$BR$244)/(ORÇAMENTO!$X$15-CÁLCULO.TotalAdmLocal)*CRONO!$F112,
                        0),
                 AN111*$S110),
          SUMIF(OFFSET($S112,1,0,$R110-2),($M110+1)&amp;"$",OFFSET(AN112,1,0,$R110-2)))</f>
        <v>0</v>
      </c>
      <c r="AO112" s="202" cm="1">
        <f t="array" aca="1" ref="AO112" ca="1">IF($R110=2,
         IF(AND(ACOMPANHAMENTO="PLE",ISNUMBER($F110)),
                SUMIF((OFFSET(CÁLCULO!$BS$15:$CS$15,$F110,0,OFFSET(ORÇAMENTO!$D$15,CRONO!$F110,0))),CRONO!AO$12,OFFSET(CÁLCULO!$AR$15:$BR$15,$F110,0,OFFSET(ORÇAMENTO!$D$15,CRONO!$F110,0)))
                +IF(AND($F112&lt;&gt;"",$F112&lt;&gt;0),
                        SUMIF(CÁLCULO!$BS$15:$CS$244,CRONO!AO$12,CÁLCULO!$AR$15:$BR$244)/(ORÇAMENTO!$X$15-CÁLCULO.TotalAdmLocal)*CRONO!$F112,
                        0),
                 AO111*$S110),
          SUMIF(OFFSET($S112,1,0,$R110-2),($M110+1)&amp;"$",OFFSET(AO112,1,0,$R110-2)))</f>
        <v>0</v>
      </c>
      <c r="AP112" s="202" cm="1">
        <f t="array" aca="1" ref="AP112" ca="1">IF($R110=2,
         IF(AND(ACOMPANHAMENTO="PLE",ISNUMBER($F110)),
                SUMIF((OFFSET(CÁLCULO!$BS$15:$CS$15,$F110,0,OFFSET(ORÇAMENTO!$D$15,CRONO!$F110,0))),CRONO!AP$12,OFFSET(CÁLCULO!$AR$15:$BR$15,$F110,0,OFFSET(ORÇAMENTO!$D$15,CRONO!$F110,0)))
                +IF(AND($F112&lt;&gt;"",$F112&lt;&gt;0),
                        SUMIF(CÁLCULO!$BS$15:$CS$244,CRONO!AP$12,CÁLCULO!$AR$15:$BR$244)/(ORÇAMENTO!$X$15-CÁLCULO.TotalAdmLocal)*CRONO!$F112,
                        0),
                 AP111*$S110),
          SUMIF(OFFSET($S112,1,0,$R110-2),($M110+1)&amp;"$",OFFSET(AP112,1,0,$R110-2)))</f>
        <v>0</v>
      </c>
      <c r="AQ112" s="202" cm="1">
        <f t="array" aca="1" ref="AQ112" ca="1">IF($R110=2,
         IF(AND(ACOMPANHAMENTO="PLE",ISNUMBER($F110)),
                SUMIF((OFFSET(CÁLCULO!$BS$15:$CS$15,$F110,0,OFFSET(ORÇAMENTO!$D$15,CRONO!$F110,0))),CRONO!AQ$12,OFFSET(CÁLCULO!$AR$15:$BR$15,$F110,0,OFFSET(ORÇAMENTO!$D$15,CRONO!$F110,0)))
                +IF(AND($F112&lt;&gt;"",$F112&lt;&gt;0),
                        SUMIF(CÁLCULO!$BS$15:$CS$244,CRONO!AQ$12,CÁLCULO!$AR$15:$BR$244)/(ORÇAMENTO!$X$15-CÁLCULO.TotalAdmLocal)*CRONO!$F112,
                        0),
                 AQ111*$S110),
          SUMIF(OFFSET($S112,1,0,$R110-2),($M110+1)&amp;"$",OFFSET(AQ112,1,0,$R110-2)))</f>
        <v>0</v>
      </c>
      <c r="AR112" s="202" cm="1">
        <f t="array" aca="1" ref="AR112" ca="1">IF($R110=2,
         IF(AND(ACOMPANHAMENTO="PLE",ISNUMBER($F110)),
                SUMIF((OFFSET(CÁLCULO!$BS$15:$CS$15,$F110,0,OFFSET(ORÇAMENTO!$D$15,CRONO!$F110,0))),CRONO!AR$12,OFFSET(CÁLCULO!$AR$15:$BR$15,$F110,0,OFFSET(ORÇAMENTO!$D$15,CRONO!$F110,0)))
                +IF(AND($F112&lt;&gt;"",$F112&lt;&gt;0),
                        SUMIF(CÁLCULO!$BS$15:$CS$244,CRONO!AR$12,CÁLCULO!$AR$15:$BR$244)/(ORÇAMENTO!$X$15-CÁLCULO.TotalAdmLocal)*CRONO!$F112,
                        0),
                 AR111*$S110),
          SUMIF(OFFSET($S112,1,0,$R110-2),($M110+1)&amp;"$",OFFSET(AR112,1,0,$R110-2)))</f>
        <v>0</v>
      </c>
      <c r="AS112" s="534"/>
    </row>
    <row r="113" spans="1:45" x14ac:dyDescent="0.2">
      <c r="A113" s="186" t="e">
        <f t="shared" ref="A113" ca="1" si="200">IF($M113&gt;1,_xlfn.CONCAT($I113," ",$J113),"")</f>
        <v>#NAME?</v>
      </c>
      <c r="B113" s="185">
        <f t="shared" ref="B113" ca="1" si="201">OFFSET(B113,-3,0)+1</f>
        <v>34</v>
      </c>
      <c r="C113" s="185">
        <f ca="1">IF($R113&lt;&gt;2,0,IF($S113=0,1,IF(F114&gt;0,OFFSET(QCI!$M$13,SUBSTITUTE(F114,".",""),0),OFFSET(ORÇAMENTO!$AA$15,CRONO!$F113,0))/$S113))</f>
        <v>1</v>
      </c>
      <c r="D113" s="185">
        <f ca="1">IF($R113&lt;&gt;2,0,IF($S113=0,1,IF(F114&gt;0,OFFSET(QCI!$N$13,SUBSTITUTE(F114,".",""),0),OFFSET(ORÇAMENTO!$AB$15,CRONO!$F113,0))/$S113))</f>
        <v>1</v>
      </c>
      <c r="E113" s="188" t="e" cm="1">
        <f t="array" aca="1" ref="E113" ca="1">IF(AND($R113=2,ACOMPANHAMENTO="BM"),ROUND(E114,4),E115/$S113)</f>
        <v>#DIV/0!</v>
      </c>
      <c r="F113" s="185" cm="1">
        <f t="array" aca="1" ref="F113" ca="1">IF(B113&lt;=ORÇAMENTO.MáximoListaCrono,MATCH(B113,ORÇAMENTO.ListaCrono,0),NA())</f>
        <v>127</v>
      </c>
      <c r="G113" s="185" t="str">
        <f t="shared" ref="G113" ca="1" si="202">IF(AND($F114&lt;&gt;-1,$S113&gt;0),"F","")</f>
        <v/>
      </c>
      <c r="H113" s="189" t="str" cm="1">
        <f t="array" aca="1" ref="H113" ca="1">IF(OR(S113=0,S113=""),"Linha",IF(AND(OR(ACOMPANHAMENTO="PLE",$R113&lt;&gt;2),$F114=0),"Linha",ROUND(1-SUM(U113:AS113),4)))</f>
        <v>Linha</v>
      </c>
      <c r="I113" s="190" t="str">
        <f ca="1">IF($F114=0,OFFSET(ORÇAMENTO!O$15,$F113,0),IF($F114&lt;&gt;-1,OFFSET(QCI!$D$13,$F114,0),""))</f>
        <v>9.1.2.</v>
      </c>
      <c r="J113" s="191" t="str">
        <f ca="1">IF($F114=0,OFFSET(ORÇAMENTO!R$15,$F113,0),IF($F114&lt;&gt;-1,OFFSET(QCI!$G$13,$F114,0),""))</f>
        <v>ILUMINAÇÃO, TOMADAS E INTERRUPTORES</v>
      </c>
      <c r="K113" s="191"/>
      <c r="L113" s="191"/>
      <c r="M113" s="192">
        <f ca="1">IF($F114=0,OFFSET(ORÇAMENTO!C$15,$F113,0),1)</f>
        <v>3</v>
      </c>
      <c r="N113" s="193">
        <f ca="1">IF($F114=-1,0,IF(N$13&lt;=$M113,IF(ISERROR(MATCH(N$13,OFFSET($M113,1,0,ROW($M$164)-ROW($M113)-1),0)),ROW($M$164)-ROW($M113)-1,MATCH(N$13,OFFSET($M113,1,0,ROW($M$164)-ROW($M113)-1),0)-1),0))</f>
        <v>32</v>
      </c>
      <c r="O113" s="193">
        <f ca="1">IF($F114=-1,0,IF(O$13&lt;=$M113,IF(ISERROR(MATCH(O$13,OFFSET($M113,1,0,ROW($M$164)-ROW($M113)-1),0)),ROW($M$164)-ROW($M113)-1,MATCH(O$13,OFFSET($M113,1,0,ROW($M$164)-ROW($M113)-1),0)-1),0))</f>
        <v>5</v>
      </c>
      <c r="P113" s="193">
        <f ca="1">IF($F114=-1,0,IF(P$13&lt;=$M113,IF(ISERROR(MATCH(P$13,OFFSET($M113,1,0,ROW($M$164)-ROW($M113)-1),0)),ROW($M$164)-ROW($M113)-1,MATCH(P$13,OFFSET($M113,1,0,ROW($M$164)-ROW($M113)-1),0)-1),0))</f>
        <v>2</v>
      </c>
      <c r="Q113" s="193">
        <f ca="1">IF($F114=-1,0,IF(Q$13&lt;=$M113,IF(ISERROR(MATCH(Q$13,OFFSET($M113,1,0,ROW($M$164)-ROW($M113)-1),0)),ROW($M$164)-ROW($M113)-1,MATCH(Q$13,OFFSET($M113,1,0,ROW($M$164)-ROW($M113)-1),0)-1),0))</f>
        <v>0</v>
      </c>
      <c r="R113" s="193">
        <f t="shared" ref="R113" ca="1" si="203">MIN(OFFSET(M113,0,1,,M113))</f>
        <v>2</v>
      </c>
      <c r="S113" s="194">
        <f ca="1">IF($F114=0,OFFSET(ORÇAMENTO!X$15,$F113,0),IF($F114&lt;&gt;-1,OFFSET(QCI!$O$13,$F114,0),""))</f>
        <v>0</v>
      </c>
      <c r="T113" s="195" t="s">
        <v>785</v>
      </c>
      <c r="U113" s="188" t="e" cm="1">
        <f t="array" aca="1" ref="U113" ca="1">IF(AND($R113=2,ACOMPANHAMENTO="BM"),ROUND(U114,4),U115/$S113)</f>
        <v>#DIV/0!</v>
      </c>
      <c r="V113" s="188" t="e" cm="1">
        <f t="array" aca="1" ref="V113" ca="1">IF(AND($R113=2,ACOMPANHAMENTO="BM"),ROUND(V114,4),V115/$S113)</f>
        <v>#DIV/0!</v>
      </c>
      <c r="W113" s="188" t="e" cm="1">
        <f t="array" aca="1" ref="W113" ca="1">IF(AND($R113=2,ACOMPANHAMENTO="BM"),ROUND(W114,4),W115/$S113)</f>
        <v>#DIV/0!</v>
      </c>
      <c r="X113" s="188" t="e" cm="1">
        <f t="array" aca="1" ref="X113" ca="1">IF(AND($R113=2,ACOMPANHAMENTO="BM"),ROUND(X114,4),X115/$S113)</f>
        <v>#DIV/0!</v>
      </c>
      <c r="Y113" s="188" t="e" cm="1">
        <f t="array" aca="1" ref="Y113" ca="1">IF(AND($R113=2,ACOMPANHAMENTO="BM"),ROUND(Y114,4),Y115/$S113)</f>
        <v>#DIV/0!</v>
      </c>
      <c r="Z113" s="188" t="e" cm="1">
        <f t="array" aca="1" ref="Z113" ca="1">IF(AND($R113=2,ACOMPANHAMENTO="BM"),ROUND(Z114,4),Z115/$S113)</f>
        <v>#DIV/0!</v>
      </c>
      <c r="AA113" s="188" t="e" cm="1">
        <f t="array" aca="1" ref="AA113" ca="1">IF(AND($R113=2,ACOMPANHAMENTO="BM"),ROUND(AA114,4),AA115/$S113)</f>
        <v>#DIV/0!</v>
      </c>
      <c r="AB113" s="188" t="e" cm="1">
        <f t="array" aca="1" ref="AB113" ca="1">IF(AND($R113=2,ACOMPANHAMENTO="BM"),ROUND(AB114,4),AB115/$S113)</f>
        <v>#DIV/0!</v>
      </c>
      <c r="AC113" s="188" t="e" cm="1">
        <f t="array" aca="1" ref="AC113" ca="1">IF(AND($R113=2,ACOMPANHAMENTO="BM"),ROUND(AC114,4),AC115/$S113)</f>
        <v>#DIV/0!</v>
      </c>
      <c r="AD113" s="188" t="e" cm="1">
        <f t="array" aca="1" ref="AD113" ca="1">IF(AND($R113=2,ACOMPANHAMENTO="BM"),ROUND(AD114,4),AD115/$S113)</f>
        <v>#DIV/0!</v>
      </c>
      <c r="AE113" s="188" t="e" cm="1">
        <f t="array" aca="1" ref="AE113" ca="1">IF(AND($R113=2,ACOMPANHAMENTO="BM"),ROUND(AE114,4),AE115/$S113)</f>
        <v>#DIV/0!</v>
      </c>
      <c r="AF113" s="188" t="e" cm="1">
        <f t="array" aca="1" ref="AF113" ca="1">IF(AND($R113=2,ACOMPANHAMENTO="BM"),ROUND(AF114,4),AF115/$S113)</f>
        <v>#DIV/0!</v>
      </c>
      <c r="AG113" s="188" t="e" cm="1">
        <f t="array" aca="1" ref="AG113" ca="1">IF(AND($R113=2,ACOMPANHAMENTO="BM"),ROUND(AG114,4),AG115/$S113)</f>
        <v>#DIV/0!</v>
      </c>
      <c r="AH113" s="188" t="e" cm="1">
        <f t="array" aca="1" ref="AH113" ca="1">IF(AND($R113=2,ACOMPANHAMENTO="BM"),ROUND(AH114,4),AH115/$S113)</f>
        <v>#DIV/0!</v>
      </c>
      <c r="AI113" s="188" t="e" cm="1">
        <f t="array" aca="1" ref="AI113" ca="1">IF(AND($R113=2,ACOMPANHAMENTO="BM"),ROUND(AI114,4),AI115/$S113)</f>
        <v>#DIV/0!</v>
      </c>
      <c r="AJ113" s="188" t="e" cm="1">
        <f t="array" aca="1" ref="AJ113" ca="1">IF(AND($R113=2,ACOMPANHAMENTO="BM"),ROUND(AJ114,4),AJ115/$S113)</f>
        <v>#DIV/0!</v>
      </c>
      <c r="AK113" s="188" t="e" cm="1">
        <f t="array" aca="1" ref="AK113" ca="1">IF(AND($R113=2,ACOMPANHAMENTO="BM"),ROUND(AK114,4),AK115/$S113)</f>
        <v>#DIV/0!</v>
      </c>
      <c r="AL113" s="188" t="e" cm="1">
        <f t="array" aca="1" ref="AL113" ca="1">IF(AND($R113=2,ACOMPANHAMENTO="BM"),ROUND(AL114,4),AL115/$S113)</f>
        <v>#DIV/0!</v>
      </c>
      <c r="AM113" s="188" t="e" cm="1">
        <f t="array" aca="1" ref="AM113" ca="1">IF(AND($R113=2,ACOMPANHAMENTO="BM"),ROUND(AM114,4),AM115/$S113)</f>
        <v>#DIV/0!</v>
      </c>
      <c r="AN113" s="188" t="e" cm="1">
        <f t="array" aca="1" ref="AN113" ca="1">IF(AND($R113=2,ACOMPANHAMENTO="BM"),ROUND(AN114,4),AN115/$S113)</f>
        <v>#DIV/0!</v>
      </c>
      <c r="AO113" s="188" t="e" cm="1">
        <f t="array" aca="1" ref="AO113" ca="1">IF(AND($R113=2,ACOMPANHAMENTO="BM"),ROUND(AO114,4),AO115/$S113)</f>
        <v>#DIV/0!</v>
      </c>
      <c r="AP113" s="188" t="e" cm="1">
        <f t="array" aca="1" ref="AP113" ca="1">IF(AND($R113=2,ACOMPANHAMENTO="BM"),ROUND(AP114,4),AP115/$S113)</f>
        <v>#DIV/0!</v>
      </c>
      <c r="AQ113" s="188" t="e" cm="1">
        <f t="array" aca="1" ref="AQ113" ca="1">IF(AND($R113=2,ACOMPANHAMENTO="BM"),ROUND(AQ114,4),AQ115/$S113)</f>
        <v>#DIV/0!</v>
      </c>
      <c r="AR113" s="188" t="e" cm="1">
        <f t="array" aca="1" ref="AR113" ca="1">IF(AND($R113=2,ACOMPANHAMENTO="BM"),ROUND(AR114,4),AR115/$S113)</f>
        <v>#DIV/0!</v>
      </c>
      <c r="AS113" s="534"/>
    </row>
    <row r="114" spans="1:45" ht="12.75" hidden="1" customHeight="1" x14ac:dyDescent="0.2">
      <c r="E114" s="587"/>
      <c r="F114" s="185">
        <f ca="1">IF(ISERROR(F113),IF(1+COUNTIF($M$13:OFFSET(M113,-1,0),1)&lt;=MAX(QCI!$D$13:$D$24),1+COUNTIF($M$13:OFFSET(M113,-1,0),1),-1),0)</f>
        <v>0</v>
      </c>
      <c r="G114" s="185" t="str" cm="1">
        <f t="array" aca="1" ref="G114" ca="1">IF(ACOMPANHAMENTO="BM",OFFSET(G114,-1,0),"")</f>
        <v/>
      </c>
      <c r="H114" s="196" t="str" cm="1">
        <f t="array" aca="1" ref="H114" ca="1">IF(OR(S113=0,S113=""),"vazia",IF(AND(OR(ACOMPANHAMENTO="PLE",$R113&lt;&gt;2),$F114=0),"calculada","--&gt;"))</f>
        <v>vazia</v>
      </c>
      <c r="I114" s="197"/>
      <c r="J114" s="198" t="str">
        <f t="shared" ref="J114" ca="1" si="204">IF(AND(H113&lt;&gt;0,ISNUMBER(H113)),"PREENCHA ESTA LINHA --&gt;","")</f>
        <v/>
      </c>
      <c r="K114" s="198"/>
      <c r="L114" s="198"/>
      <c r="M114" s="199"/>
      <c r="N114" s="199"/>
      <c r="O114" s="199"/>
      <c r="P114" s="199"/>
      <c r="Q114" s="199"/>
      <c r="R114" s="199"/>
      <c r="S114" s="200"/>
      <c r="T114" s="201"/>
      <c r="U114" s="587"/>
      <c r="V114" s="587"/>
      <c r="W114" s="587"/>
      <c r="X114" s="587"/>
      <c r="Y114" s="587"/>
      <c r="Z114" s="587"/>
      <c r="AA114" s="587"/>
      <c r="AB114" s="587"/>
      <c r="AC114" s="587"/>
      <c r="AD114" s="587"/>
      <c r="AE114" s="587"/>
      <c r="AF114" s="587"/>
      <c r="AG114" s="587"/>
      <c r="AH114" s="587"/>
      <c r="AI114" s="587"/>
      <c r="AJ114" s="587"/>
      <c r="AK114" s="587"/>
      <c r="AL114" s="587"/>
      <c r="AM114" s="587"/>
      <c r="AN114" s="587"/>
      <c r="AO114" s="587"/>
      <c r="AP114" s="587"/>
      <c r="AQ114" s="587"/>
      <c r="AR114" s="587"/>
      <c r="AS114" s="534"/>
    </row>
    <row r="115" spans="1:45" ht="12.75" hidden="1" customHeight="1" x14ac:dyDescent="0.2">
      <c r="D115" s="533"/>
      <c r="E115" s="202" cm="1">
        <f t="array" aca="1" ref="E115" ca="1">IF($R113=2,
         IF(AND(ACOMPANHAMENTO="PLE",ISNUMBER($F113)),
                SUMIF((OFFSET(CÁLCULO!$BS$15:$CS$15,$F113,0,OFFSET(ORÇAMENTO!$D$15,CRONO!$F113,0))),CRONO!E$12,OFFSET(CÁLCULO!$AR$15:$BR$15,$F113,0,OFFSET(ORÇAMENTO!$D$15,CRONO!$F113,0)))
                +IF(AND($F115&lt;&gt;"",$F115&lt;&gt;0),
                        SUMIF(CÁLCULO!$BS$15:$CS$244,CRONO!E$12,CÁLCULO!$AR$15:$BR$244)/(ORÇAMENTO!$X$15-CÁLCULO.TotalAdmLocal)*CRONO!$F115,
                        0),
                 E114*$S113),
          SUMIF(OFFSET($S115,1,0,$R113-2),($M113+1)&amp;"$",OFFSET(E115,1,0,$R113-2)))</f>
        <v>0</v>
      </c>
      <c r="F115" s="185">
        <f ca="1">IF(OR($R113&lt;&gt;2,AUTOEVENTO&lt;&gt;"manual",$F114&gt;0),"",
        IF(Import.TipoArredondamento="Tradicional",
              SUMIF(OFFSET(CÁLCULO!$M$15,CRONO!$F113,0,OFFSET(ORÇAMENTO!$D$15,CRONO!$F113,0)),1,OFFSET(ORÇAMENTO!$X$15,CRONO!$F113,0,OFFSET(ORÇAMENTO!$D$15,CRONO!$F113,0))),
              0))</f>
        <v>0</v>
      </c>
      <c r="H115" s="203"/>
      <c r="S115" s="204" t="str">
        <f t="shared" ref="S115" ca="1" si="205">M113&amp;"$"</f>
        <v>3$</v>
      </c>
      <c r="T115" s="205"/>
      <c r="U115" s="202" cm="1">
        <f t="array" aca="1" ref="U115" ca="1">IF($R113=2,
         IF(AND(ACOMPANHAMENTO="PLE",ISNUMBER($F113)),
                SUMIF((OFFSET(CÁLCULO!$BS$15:$CS$15,$F113,0,OFFSET(ORÇAMENTO!$D$15,CRONO!$F113,0))),CRONO!U$12,OFFSET(CÁLCULO!$AR$15:$BR$15,$F113,0,OFFSET(ORÇAMENTO!$D$15,CRONO!$F113,0)))
                +IF(AND($F115&lt;&gt;"",$F115&lt;&gt;0),
                        SUMIF(CÁLCULO!$BS$15:$CS$244,CRONO!U$12,CÁLCULO!$AR$15:$BR$244)/(ORÇAMENTO!$X$15-CÁLCULO.TotalAdmLocal)*CRONO!$F115,
                        0),
                 U114*$S113),
          SUMIF(OFFSET($S115,1,0,$R113-2),($M113+1)&amp;"$",OFFSET(U115,1,0,$R113-2)))</f>
        <v>0</v>
      </c>
      <c r="V115" s="202" cm="1">
        <f t="array" aca="1" ref="V115" ca="1">IF($R113=2,
         IF(AND(ACOMPANHAMENTO="PLE",ISNUMBER($F113)),
                SUMIF((OFFSET(CÁLCULO!$BS$15:$CS$15,$F113,0,OFFSET(ORÇAMENTO!$D$15,CRONO!$F113,0))),CRONO!V$12,OFFSET(CÁLCULO!$AR$15:$BR$15,$F113,0,OFFSET(ORÇAMENTO!$D$15,CRONO!$F113,0)))
                +IF(AND($F115&lt;&gt;"",$F115&lt;&gt;0),
                        SUMIF(CÁLCULO!$BS$15:$CS$244,CRONO!V$12,CÁLCULO!$AR$15:$BR$244)/(ORÇAMENTO!$X$15-CÁLCULO.TotalAdmLocal)*CRONO!$F115,
                        0),
                 V114*$S113),
          SUMIF(OFFSET($S115,1,0,$R113-2),($M113+1)&amp;"$",OFFSET(V115,1,0,$R113-2)))</f>
        <v>0</v>
      </c>
      <c r="W115" s="202" cm="1">
        <f t="array" aca="1" ref="W115" ca="1">IF($R113=2,
         IF(AND(ACOMPANHAMENTO="PLE",ISNUMBER($F113)),
                SUMIF((OFFSET(CÁLCULO!$BS$15:$CS$15,$F113,0,OFFSET(ORÇAMENTO!$D$15,CRONO!$F113,0))),CRONO!W$12,OFFSET(CÁLCULO!$AR$15:$BR$15,$F113,0,OFFSET(ORÇAMENTO!$D$15,CRONO!$F113,0)))
                +IF(AND($F115&lt;&gt;"",$F115&lt;&gt;0),
                        SUMIF(CÁLCULO!$BS$15:$CS$244,CRONO!W$12,CÁLCULO!$AR$15:$BR$244)/(ORÇAMENTO!$X$15-CÁLCULO.TotalAdmLocal)*CRONO!$F115,
                        0),
                 W114*$S113),
          SUMIF(OFFSET($S115,1,0,$R113-2),($M113+1)&amp;"$",OFFSET(W115,1,0,$R113-2)))</f>
        <v>0</v>
      </c>
      <c r="X115" s="202" cm="1">
        <f t="array" aca="1" ref="X115" ca="1">IF($R113=2,
         IF(AND(ACOMPANHAMENTO="PLE",ISNUMBER($F113)),
                SUMIF((OFFSET(CÁLCULO!$BS$15:$CS$15,$F113,0,OFFSET(ORÇAMENTO!$D$15,CRONO!$F113,0))),CRONO!X$12,OFFSET(CÁLCULO!$AR$15:$BR$15,$F113,0,OFFSET(ORÇAMENTO!$D$15,CRONO!$F113,0)))
                +IF(AND($F115&lt;&gt;"",$F115&lt;&gt;0),
                        SUMIF(CÁLCULO!$BS$15:$CS$244,CRONO!X$12,CÁLCULO!$AR$15:$BR$244)/(ORÇAMENTO!$X$15-CÁLCULO.TotalAdmLocal)*CRONO!$F115,
                        0),
                 X114*$S113),
          SUMIF(OFFSET($S115,1,0,$R113-2),($M113+1)&amp;"$",OFFSET(X115,1,0,$R113-2)))</f>
        <v>0</v>
      </c>
      <c r="Y115" s="202" cm="1">
        <f t="array" aca="1" ref="Y115" ca="1">IF($R113=2,
         IF(AND(ACOMPANHAMENTO="PLE",ISNUMBER($F113)),
                SUMIF((OFFSET(CÁLCULO!$BS$15:$CS$15,$F113,0,OFFSET(ORÇAMENTO!$D$15,CRONO!$F113,0))),CRONO!Y$12,OFFSET(CÁLCULO!$AR$15:$BR$15,$F113,0,OFFSET(ORÇAMENTO!$D$15,CRONO!$F113,0)))
                +IF(AND($F115&lt;&gt;"",$F115&lt;&gt;0),
                        SUMIF(CÁLCULO!$BS$15:$CS$244,CRONO!Y$12,CÁLCULO!$AR$15:$BR$244)/(ORÇAMENTO!$X$15-CÁLCULO.TotalAdmLocal)*CRONO!$F115,
                        0),
                 Y114*$S113),
          SUMIF(OFFSET($S115,1,0,$R113-2),($M113+1)&amp;"$",OFFSET(Y115,1,0,$R113-2)))</f>
        <v>0</v>
      </c>
      <c r="Z115" s="202" cm="1">
        <f t="array" aca="1" ref="Z115" ca="1">IF($R113=2,
         IF(AND(ACOMPANHAMENTO="PLE",ISNUMBER($F113)),
                SUMIF((OFFSET(CÁLCULO!$BS$15:$CS$15,$F113,0,OFFSET(ORÇAMENTO!$D$15,CRONO!$F113,0))),CRONO!Z$12,OFFSET(CÁLCULO!$AR$15:$BR$15,$F113,0,OFFSET(ORÇAMENTO!$D$15,CRONO!$F113,0)))
                +IF(AND($F115&lt;&gt;"",$F115&lt;&gt;0),
                        SUMIF(CÁLCULO!$BS$15:$CS$244,CRONO!Z$12,CÁLCULO!$AR$15:$BR$244)/(ORÇAMENTO!$X$15-CÁLCULO.TotalAdmLocal)*CRONO!$F115,
                        0),
                 Z114*$S113),
          SUMIF(OFFSET($S115,1,0,$R113-2),($M113+1)&amp;"$",OFFSET(Z115,1,0,$R113-2)))</f>
        <v>0</v>
      </c>
      <c r="AA115" s="202" cm="1">
        <f t="array" aca="1" ref="AA115" ca="1">IF($R113=2,
         IF(AND(ACOMPANHAMENTO="PLE",ISNUMBER($F113)),
                SUMIF((OFFSET(CÁLCULO!$BS$15:$CS$15,$F113,0,OFFSET(ORÇAMENTO!$D$15,CRONO!$F113,0))),CRONO!AA$12,OFFSET(CÁLCULO!$AR$15:$BR$15,$F113,0,OFFSET(ORÇAMENTO!$D$15,CRONO!$F113,0)))
                +IF(AND($F115&lt;&gt;"",$F115&lt;&gt;0),
                        SUMIF(CÁLCULO!$BS$15:$CS$244,CRONO!AA$12,CÁLCULO!$AR$15:$BR$244)/(ORÇAMENTO!$X$15-CÁLCULO.TotalAdmLocal)*CRONO!$F115,
                        0),
                 AA114*$S113),
          SUMIF(OFFSET($S115,1,0,$R113-2),($M113+1)&amp;"$",OFFSET(AA115,1,0,$R113-2)))</f>
        <v>0</v>
      </c>
      <c r="AB115" s="202" cm="1">
        <f t="array" aca="1" ref="AB115" ca="1">IF($R113=2,
         IF(AND(ACOMPANHAMENTO="PLE",ISNUMBER($F113)),
                SUMIF((OFFSET(CÁLCULO!$BS$15:$CS$15,$F113,0,OFFSET(ORÇAMENTO!$D$15,CRONO!$F113,0))),CRONO!AB$12,OFFSET(CÁLCULO!$AR$15:$BR$15,$F113,0,OFFSET(ORÇAMENTO!$D$15,CRONO!$F113,0)))
                +IF(AND($F115&lt;&gt;"",$F115&lt;&gt;0),
                        SUMIF(CÁLCULO!$BS$15:$CS$244,CRONO!AB$12,CÁLCULO!$AR$15:$BR$244)/(ORÇAMENTO!$X$15-CÁLCULO.TotalAdmLocal)*CRONO!$F115,
                        0),
                 AB114*$S113),
          SUMIF(OFFSET($S115,1,0,$R113-2),($M113+1)&amp;"$",OFFSET(AB115,1,0,$R113-2)))</f>
        <v>0</v>
      </c>
      <c r="AC115" s="202" cm="1">
        <f t="array" aca="1" ref="AC115" ca="1">IF($R113=2,
         IF(AND(ACOMPANHAMENTO="PLE",ISNUMBER($F113)),
                SUMIF((OFFSET(CÁLCULO!$BS$15:$CS$15,$F113,0,OFFSET(ORÇAMENTO!$D$15,CRONO!$F113,0))),CRONO!AC$12,OFFSET(CÁLCULO!$AR$15:$BR$15,$F113,0,OFFSET(ORÇAMENTO!$D$15,CRONO!$F113,0)))
                +IF(AND($F115&lt;&gt;"",$F115&lt;&gt;0),
                        SUMIF(CÁLCULO!$BS$15:$CS$244,CRONO!AC$12,CÁLCULO!$AR$15:$BR$244)/(ORÇAMENTO!$X$15-CÁLCULO.TotalAdmLocal)*CRONO!$F115,
                        0),
                 AC114*$S113),
          SUMIF(OFFSET($S115,1,0,$R113-2),($M113+1)&amp;"$",OFFSET(AC115,1,0,$R113-2)))</f>
        <v>0</v>
      </c>
      <c r="AD115" s="202" cm="1">
        <f t="array" aca="1" ref="AD115" ca="1">IF($R113=2,
         IF(AND(ACOMPANHAMENTO="PLE",ISNUMBER($F113)),
                SUMIF((OFFSET(CÁLCULO!$BS$15:$CS$15,$F113,0,OFFSET(ORÇAMENTO!$D$15,CRONO!$F113,0))),CRONO!AD$12,OFFSET(CÁLCULO!$AR$15:$BR$15,$F113,0,OFFSET(ORÇAMENTO!$D$15,CRONO!$F113,0)))
                +IF(AND($F115&lt;&gt;"",$F115&lt;&gt;0),
                        SUMIF(CÁLCULO!$BS$15:$CS$244,CRONO!AD$12,CÁLCULO!$AR$15:$BR$244)/(ORÇAMENTO!$X$15-CÁLCULO.TotalAdmLocal)*CRONO!$F115,
                        0),
                 AD114*$S113),
          SUMIF(OFFSET($S115,1,0,$R113-2),($M113+1)&amp;"$",OFFSET(AD115,1,0,$R113-2)))</f>
        <v>0</v>
      </c>
      <c r="AE115" s="202" cm="1">
        <f t="array" aca="1" ref="AE115" ca="1">IF($R113=2,
         IF(AND(ACOMPANHAMENTO="PLE",ISNUMBER($F113)),
                SUMIF((OFFSET(CÁLCULO!$BS$15:$CS$15,$F113,0,OFFSET(ORÇAMENTO!$D$15,CRONO!$F113,0))),CRONO!AE$12,OFFSET(CÁLCULO!$AR$15:$BR$15,$F113,0,OFFSET(ORÇAMENTO!$D$15,CRONO!$F113,0)))
                +IF(AND($F115&lt;&gt;"",$F115&lt;&gt;0),
                        SUMIF(CÁLCULO!$BS$15:$CS$244,CRONO!AE$12,CÁLCULO!$AR$15:$BR$244)/(ORÇAMENTO!$X$15-CÁLCULO.TotalAdmLocal)*CRONO!$F115,
                        0),
                 AE114*$S113),
          SUMIF(OFFSET($S115,1,0,$R113-2),($M113+1)&amp;"$",OFFSET(AE115,1,0,$R113-2)))</f>
        <v>0</v>
      </c>
      <c r="AF115" s="202" cm="1">
        <f t="array" aca="1" ref="AF115" ca="1">IF($R113=2,
         IF(AND(ACOMPANHAMENTO="PLE",ISNUMBER($F113)),
                SUMIF((OFFSET(CÁLCULO!$BS$15:$CS$15,$F113,0,OFFSET(ORÇAMENTO!$D$15,CRONO!$F113,0))),CRONO!AF$12,OFFSET(CÁLCULO!$AR$15:$BR$15,$F113,0,OFFSET(ORÇAMENTO!$D$15,CRONO!$F113,0)))
                +IF(AND($F115&lt;&gt;"",$F115&lt;&gt;0),
                        SUMIF(CÁLCULO!$BS$15:$CS$244,CRONO!AF$12,CÁLCULO!$AR$15:$BR$244)/(ORÇAMENTO!$X$15-CÁLCULO.TotalAdmLocal)*CRONO!$F115,
                        0),
                 AF114*$S113),
          SUMIF(OFFSET($S115,1,0,$R113-2),($M113+1)&amp;"$",OFFSET(AF115,1,0,$R113-2)))</f>
        <v>0</v>
      </c>
      <c r="AG115" s="202" cm="1">
        <f t="array" aca="1" ref="AG115" ca="1">IF($R113=2,
         IF(AND(ACOMPANHAMENTO="PLE",ISNUMBER($F113)),
                SUMIF((OFFSET(CÁLCULO!$BS$15:$CS$15,$F113,0,OFFSET(ORÇAMENTO!$D$15,CRONO!$F113,0))),CRONO!AG$12,OFFSET(CÁLCULO!$AR$15:$BR$15,$F113,0,OFFSET(ORÇAMENTO!$D$15,CRONO!$F113,0)))
                +IF(AND($F115&lt;&gt;"",$F115&lt;&gt;0),
                        SUMIF(CÁLCULO!$BS$15:$CS$244,CRONO!AG$12,CÁLCULO!$AR$15:$BR$244)/(ORÇAMENTO!$X$15-CÁLCULO.TotalAdmLocal)*CRONO!$F115,
                        0),
                 AG114*$S113),
          SUMIF(OFFSET($S115,1,0,$R113-2),($M113+1)&amp;"$",OFFSET(AG115,1,0,$R113-2)))</f>
        <v>0</v>
      </c>
      <c r="AH115" s="202" cm="1">
        <f t="array" aca="1" ref="AH115" ca="1">IF($R113=2,
         IF(AND(ACOMPANHAMENTO="PLE",ISNUMBER($F113)),
                SUMIF((OFFSET(CÁLCULO!$BS$15:$CS$15,$F113,0,OFFSET(ORÇAMENTO!$D$15,CRONO!$F113,0))),CRONO!AH$12,OFFSET(CÁLCULO!$AR$15:$BR$15,$F113,0,OFFSET(ORÇAMENTO!$D$15,CRONO!$F113,0)))
                +IF(AND($F115&lt;&gt;"",$F115&lt;&gt;0),
                        SUMIF(CÁLCULO!$BS$15:$CS$244,CRONO!AH$12,CÁLCULO!$AR$15:$BR$244)/(ORÇAMENTO!$X$15-CÁLCULO.TotalAdmLocal)*CRONO!$F115,
                        0),
                 AH114*$S113),
          SUMIF(OFFSET($S115,1,0,$R113-2),($M113+1)&amp;"$",OFFSET(AH115,1,0,$R113-2)))</f>
        <v>0</v>
      </c>
      <c r="AI115" s="202" cm="1">
        <f t="array" aca="1" ref="AI115" ca="1">IF($R113=2,
         IF(AND(ACOMPANHAMENTO="PLE",ISNUMBER($F113)),
                SUMIF((OFFSET(CÁLCULO!$BS$15:$CS$15,$F113,0,OFFSET(ORÇAMENTO!$D$15,CRONO!$F113,0))),CRONO!AI$12,OFFSET(CÁLCULO!$AR$15:$BR$15,$F113,0,OFFSET(ORÇAMENTO!$D$15,CRONO!$F113,0)))
                +IF(AND($F115&lt;&gt;"",$F115&lt;&gt;0),
                        SUMIF(CÁLCULO!$BS$15:$CS$244,CRONO!AI$12,CÁLCULO!$AR$15:$BR$244)/(ORÇAMENTO!$X$15-CÁLCULO.TotalAdmLocal)*CRONO!$F115,
                        0),
                 AI114*$S113),
          SUMIF(OFFSET($S115,1,0,$R113-2),($M113+1)&amp;"$",OFFSET(AI115,1,0,$R113-2)))</f>
        <v>0</v>
      </c>
      <c r="AJ115" s="202" cm="1">
        <f t="array" aca="1" ref="AJ115" ca="1">IF($R113=2,
         IF(AND(ACOMPANHAMENTO="PLE",ISNUMBER($F113)),
                SUMIF((OFFSET(CÁLCULO!$BS$15:$CS$15,$F113,0,OFFSET(ORÇAMENTO!$D$15,CRONO!$F113,0))),CRONO!AJ$12,OFFSET(CÁLCULO!$AR$15:$BR$15,$F113,0,OFFSET(ORÇAMENTO!$D$15,CRONO!$F113,0)))
                +IF(AND($F115&lt;&gt;"",$F115&lt;&gt;0),
                        SUMIF(CÁLCULO!$BS$15:$CS$244,CRONO!AJ$12,CÁLCULO!$AR$15:$BR$244)/(ORÇAMENTO!$X$15-CÁLCULO.TotalAdmLocal)*CRONO!$F115,
                        0),
                 AJ114*$S113),
          SUMIF(OFFSET($S115,1,0,$R113-2),($M113+1)&amp;"$",OFFSET(AJ115,1,0,$R113-2)))</f>
        <v>0</v>
      </c>
      <c r="AK115" s="202" cm="1">
        <f t="array" aca="1" ref="AK115" ca="1">IF($R113=2,
         IF(AND(ACOMPANHAMENTO="PLE",ISNUMBER($F113)),
                SUMIF((OFFSET(CÁLCULO!$BS$15:$CS$15,$F113,0,OFFSET(ORÇAMENTO!$D$15,CRONO!$F113,0))),CRONO!AK$12,OFFSET(CÁLCULO!$AR$15:$BR$15,$F113,0,OFFSET(ORÇAMENTO!$D$15,CRONO!$F113,0)))
                +IF(AND($F115&lt;&gt;"",$F115&lt;&gt;0),
                        SUMIF(CÁLCULO!$BS$15:$CS$244,CRONO!AK$12,CÁLCULO!$AR$15:$BR$244)/(ORÇAMENTO!$X$15-CÁLCULO.TotalAdmLocal)*CRONO!$F115,
                        0),
                 AK114*$S113),
          SUMIF(OFFSET($S115,1,0,$R113-2),($M113+1)&amp;"$",OFFSET(AK115,1,0,$R113-2)))</f>
        <v>0</v>
      </c>
      <c r="AL115" s="202" cm="1">
        <f t="array" aca="1" ref="AL115" ca="1">IF($R113=2,
         IF(AND(ACOMPANHAMENTO="PLE",ISNUMBER($F113)),
                SUMIF((OFFSET(CÁLCULO!$BS$15:$CS$15,$F113,0,OFFSET(ORÇAMENTO!$D$15,CRONO!$F113,0))),CRONO!AL$12,OFFSET(CÁLCULO!$AR$15:$BR$15,$F113,0,OFFSET(ORÇAMENTO!$D$15,CRONO!$F113,0)))
                +IF(AND($F115&lt;&gt;"",$F115&lt;&gt;0),
                        SUMIF(CÁLCULO!$BS$15:$CS$244,CRONO!AL$12,CÁLCULO!$AR$15:$BR$244)/(ORÇAMENTO!$X$15-CÁLCULO.TotalAdmLocal)*CRONO!$F115,
                        0),
                 AL114*$S113),
          SUMIF(OFFSET($S115,1,0,$R113-2),($M113+1)&amp;"$",OFFSET(AL115,1,0,$R113-2)))</f>
        <v>0</v>
      </c>
      <c r="AM115" s="202" cm="1">
        <f t="array" aca="1" ref="AM115" ca="1">IF($R113=2,
         IF(AND(ACOMPANHAMENTO="PLE",ISNUMBER($F113)),
                SUMIF((OFFSET(CÁLCULO!$BS$15:$CS$15,$F113,0,OFFSET(ORÇAMENTO!$D$15,CRONO!$F113,0))),CRONO!AM$12,OFFSET(CÁLCULO!$AR$15:$BR$15,$F113,0,OFFSET(ORÇAMENTO!$D$15,CRONO!$F113,0)))
                +IF(AND($F115&lt;&gt;"",$F115&lt;&gt;0),
                        SUMIF(CÁLCULO!$BS$15:$CS$244,CRONO!AM$12,CÁLCULO!$AR$15:$BR$244)/(ORÇAMENTO!$X$15-CÁLCULO.TotalAdmLocal)*CRONO!$F115,
                        0),
                 AM114*$S113),
          SUMIF(OFFSET($S115,1,0,$R113-2),($M113+1)&amp;"$",OFFSET(AM115,1,0,$R113-2)))</f>
        <v>0</v>
      </c>
      <c r="AN115" s="202" cm="1">
        <f t="array" aca="1" ref="AN115" ca="1">IF($R113=2,
         IF(AND(ACOMPANHAMENTO="PLE",ISNUMBER($F113)),
                SUMIF((OFFSET(CÁLCULO!$BS$15:$CS$15,$F113,0,OFFSET(ORÇAMENTO!$D$15,CRONO!$F113,0))),CRONO!AN$12,OFFSET(CÁLCULO!$AR$15:$BR$15,$F113,0,OFFSET(ORÇAMENTO!$D$15,CRONO!$F113,0)))
                +IF(AND($F115&lt;&gt;"",$F115&lt;&gt;0),
                        SUMIF(CÁLCULO!$BS$15:$CS$244,CRONO!AN$12,CÁLCULO!$AR$15:$BR$244)/(ORÇAMENTO!$X$15-CÁLCULO.TotalAdmLocal)*CRONO!$F115,
                        0),
                 AN114*$S113),
          SUMIF(OFFSET($S115,1,0,$R113-2),($M113+1)&amp;"$",OFFSET(AN115,1,0,$R113-2)))</f>
        <v>0</v>
      </c>
      <c r="AO115" s="202" cm="1">
        <f t="array" aca="1" ref="AO115" ca="1">IF($R113=2,
         IF(AND(ACOMPANHAMENTO="PLE",ISNUMBER($F113)),
                SUMIF((OFFSET(CÁLCULO!$BS$15:$CS$15,$F113,0,OFFSET(ORÇAMENTO!$D$15,CRONO!$F113,0))),CRONO!AO$12,OFFSET(CÁLCULO!$AR$15:$BR$15,$F113,0,OFFSET(ORÇAMENTO!$D$15,CRONO!$F113,0)))
                +IF(AND($F115&lt;&gt;"",$F115&lt;&gt;0),
                        SUMIF(CÁLCULO!$BS$15:$CS$244,CRONO!AO$12,CÁLCULO!$AR$15:$BR$244)/(ORÇAMENTO!$X$15-CÁLCULO.TotalAdmLocal)*CRONO!$F115,
                        0),
                 AO114*$S113),
          SUMIF(OFFSET($S115,1,0,$R113-2),($M113+1)&amp;"$",OFFSET(AO115,1,0,$R113-2)))</f>
        <v>0</v>
      </c>
      <c r="AP115" s="202" cm="1">
        <f t="array" aca="1" ref="AP115" ca="1">IF($R113=2,
         IF(AND(ACOMPANHAMENTO="PLE",ISNUMBER($F113)),
                SUMIF((OFFSET(CÁLCULO!$BS$15:$CS$15,$F113,0,OFFSET(ORÇAMENTO!$D$15,CRONO!$F113,0))),CRONO!AP$12,OFFSET(CÁLCULO!$AR$15:$BR$15,$F113,0,OFFSET(ORÇAMENTO!$D$15,CRONO!$F113,0)))
                +IF(AND($F115&lt;&gt;"",$F115&lt;&gt;0),
                        SUMIF(CÁLCULO!$BS$15:$CS$244,CRONO!AP$12,CÁLCULO!$AR$15:$BR$244)/(ORÇAMENTO!$X$15-CÁLCULO.TotalAdmLocal)*CRONO!$F115,
                        0),
                 AP114*$S113),
          SUMIF(OFFSET($S115,1,0,$R113-2),($M113+1)&amp;"$",OFFSET(AP115,1,0,$R113-2)))</f>
        <v>0</v>
      </c>
      <c r="AQ115" s="202" cm="1">
        <f t="array" aca="1" ref="AQ115" ca="1">IF($R113=2,
         IF(AND(ACOMPANHAMENTO="PLE",ISNUMBER($F113)),
                SUMIF((OFFSET(CÁLCULO!$BS$15:$CS$15,$F113,0,OFFSET(ORÇAMENTO!$D$15,CRONO!$F113,0))),CRONO!AQ$12,OFFSET(CÁLCULO!$AR$15:$BR$15,$F113,0,OFFSET(ORÇAMENTO!$D$15,CRONO!$F113,0)))
                +IF(AND($F115&lt;&gt;"",$F115&lt;&gt;0),
                        SUMIF(CÁLCULO!$BS$15:$CS$244,CRONO!AQ$12,CÁLCULO!$AR$15:$BR$244)/(ORÇAMENTO!$X$15-CÁLCULO.TotalAdmLocal)*CRONO!$F115,
                        0),
                 AQ114*$S113),
          SUMIF(OFFSET($S115,1,0,$R113-2),($M113+1)&amp;"$",OFFSET(AQ115,1,0,$R113-2)))</f>
        <v>0</v>
      </c>
      <c r="AR115" s="202" cm="1">
        <f t="array" aca="1" ref="AR115" ca="1">IF($R113=2,
         IF(AND(ACOMPANHAMENTO="PLE",ISNUMBER($F113)),
                SUMIF((OFFSET(CÁLCULO!$BS$15:$CS$15,$F113,0,OFFSET(ORÇAMENTO!$D$15,CRONO!$F113,0))),CRONO!AR$12,OFFSET(CÁLCULO!$AR$15:$BR$15,$F113,0,OFFSET(ORÇAMENTO!$D$15,CRONO!$F113,0)))
                +IF(AND($F115&lt;&gt;"",$F115&lt;&gt;0),
                        SUMIF(CÁLCULO!$BS$15:$CS$244,CRONO!AR$12,CÁLCULO!$AR$15:$BR$244)/(ORÇAMENTO!$X$15-CÁLCULO.TotalAdmLocal)*CRONO!$F115,
                        0),
                 AR114*$S113),
          SUMIF(OFFSET($S115,1,0,$R113-2),($M113+1)&amp;"$",OFFSET(AR115,1,0,$R113-2)))</f>
        <v>0</v>
      </c>
      <c r="AS115" s="534"/>
    </row>
    <row r="116" spans="1:45" x14ac:dyDescent="0.2">
      <c r="A116" s="186" t="e">
        <f t="shared" ref="A116" ca="1" si="206">IF($M116&gt;1,_xlfn.CONCAT($I116," ",$J116),"")</f>
        <v>#NAME?</v>
      </c>
      <c r="B116" s="185">
        <f t="shared" ref="B116" ca="1" si="207">OFFSET(B116,-3,0)+1</f>
        <v>35</v>
      </c>
      <c r="C116" s="185">
        <f ca="1">IF($R116&lt;&gt;2,0,IF($S116=0,1,IF(F117&gt;0,OFFSET(QCI!$M$13,SUBSTITUTE(F117,".",""),0),OFFSET(ORÇAMENTO!$AA$15,CRONO!$F116,0))/$S116))</f>
        <v>1</v>
      </c>
      <c r="D116" s="185">
        <f ca="1">IF($R116&lt;&gt;2,0,IF($S116=0,1,IF(F117&gt;0,OFFSET(QCI!$N$13,SUBSTITUTE(F117,".",""),0),OFFSET(ORÇAMENTO!$AB$15,CRONO!$F116,0))/$S116))</f>
        <v>1</v>
      </c>
      <c r="E116" s="188" t="e" cm="1">
        <f t="array" aca="1" ref="E116" ca="1">IF(AND($R116=2,ACOMPANHAMENTO="BM"),ROUND(E117,4),E118/$S116)</f>
        <v>#DIV/0!</v>
      </c>
      <c r="F116" s="185" cm="1">
        <f t="array" aca="1" ref="F116" ca="1">IF(B116&lt;=ORÇAMENTO.MáximoListaCrono,MATCH(B116,ORÇAMENTO.ListaCrono,0),NA())</f>
        <v>141</v>
      </c>
      <c r="G116" s="185" t="str">
        <f t="shared" ref="G116" ca="1" si="208">IF(AND($F117&lt;&gt;-1,$S116&gt;0),"F","")</f>
        <v/>
      </c>
      <c r="H116" s="189" t="str" cm="1">
        <f t="array" aca="1" ref="H116" ca="1">IF(OR(S116=0,S116=""),"Linha",IF(AND(OR(ACOMPANHAMENTO="PLE",$R116&lt;&gt;2),$F117=0),"Linha",ROUND(1-SUM(U116:AS116),4)))</f>
        <v>Linha</v>
      </c>
      <c r="I116" s="190" t="str">
        <f ca="1">IF($F117=0,OFFSET(ORÇAMENTO!O$15,$F116,0),IF($F117&lt;&gt;-1,OFFSET(QCI!$D$13,$F117,0),""))</f>
        <v>9.1.3.</v>
      </c>
      <c r="J116" s="191" t="str">
        <f ca="1">IF($F117=0,OFFSET(ORÇAMENTO!R$15,$F116,0),IF($F117&lt;&gt;-1,OFFSET(QCI!$G$13,$F117,0),""))</f>
        <v>FIOS E CABOS</v>
      </c>
      <c r="K116" s="191"/>
      <c r="L116" s="191"/>
      <c r="M116" s="192">
        <f ca="1">IF($F117=0,OFFSET(ORÇAMENTO!C$15,$F116,0),1)</f>
        <v>3</v>
      </c>
      <c r="N116" s="193">
        <f ca="1">IF($F117=-1,0,IF(N$13&lt;=$M116,IF(ISERROR(MATCH(N$13,OFFSET($M116,1,0,ROW($M$164)-ROW($M116)-1),0)),ROW($M$164)-ROW($M116)-1,MATCH(N$13,OFFSET($M116,1,0,ROW($M$164)-ROW($M116)-1),0)-1),0))</f>
        <v>29</v>
      </c>
      <c r="O116" s="193">
        <f ca="1">IF($F117=-1,0,IF(O$13&lt;=$M116,IF(ISERROR(MATCH(O$13,OFFSET($M116,1,0,ROW($M$164)-ROW($M116)-1),0)),ROW($M$164)-ROW($M116)-1,MATCH(O$13,OFFSET($M116,1,0,ROW($M$164)-ROW($M116)-1),0)-1),0))</f>
        <v>2</v>
      </c>
      <c r="P116" s="193">
        <f ca="1">IF($F117=-1,0,IF(P$13&lt;=$M116,IF(ISERROR(MATCH(P$13,OFFSET($M116,1,0,ROW($M$164)-ROW($M116)-1),0)),ROW($M$164)-ROW($M116)-1,MATCH(P$13,OFFSET($M116,1,0,ROW($M$164)-ROW($M116)-1),0)-1),0))</f>
        <v>5</v>
      </c>
      <c r="Q116" s="193">
        <f ca="1">IF($F117=-1,0,IF(Q$13&lt;=$M116,IF(ISERROR(MATCH(Q$13,OFFSET($M116,1,0,ROW($M$164)-ROW($M116)-1),0)),ROW($M$164)-ROW($M116)-1,MATCH(Q$13,OFFSET($M116,1,0,ROW($M$164)-ROW($M116)-1),0)-1),0))</f>
        <v>0</v>
      </c>
      <c r="R116" s="193">
        <f t="shared" ref="R116" ca="1" si="209">MIN(OFFSET(M116,0,1,,M116))</f>
        <v>2</v>
      </c>
      <c r="S116" s="194">
        <f ca="1">IF($F117=0,OFFSET(ORÇAMENTO!X$15,$F116,0),IF($F117&lt;&gt;-1,OFFSET(QCI!$O$13,$F117,0),""))</f>
        <v>0</v>
      </c>
      <c r="T116" s="195" t="s">
        <v>785</v>
      </c>
      <c r="U116" s="188" t="e" cm="1">
        <f t="array" aca="1" ref="U116" ca="1">IF(AND($R116=2,ACOMPANHAMENTO="BM"),ROUND(U117,4),U118/$S116)</f>
        <v>#DIV/0!</v>
      </c>
      <c r="V116" s="188" t="e" cm="1">
        <f t="array" aca="1" ref="V116" ca="1">IF(AND($R116=2,ACOMPANHAMENTO="BM"),ROUND(V117,4),V118/$S116)</f>
        <v>#DIV/0!</v>
      </c>
      <c r="W116" s="188" t="e" cm="1">
        <f t="array" aca="1" ref="W116" ca="1">IF(AND($R116=2,ACOMPANHAMENTO="BM"),ROUND(W117,4),W118/$S116)</f>
        <v>#DIV/0!</v>
      </c>
      <c r="X116" s="188" t="e" cm="1">
        <f t="array" aca="1" ref="X116" ca="1">IF(AND($R116=2,ACOMPANHAMENTO="BM"),ROUND(X117,4),X118/$S116)</f>
        <v>#DIV/0!</v>
      </c>
      <c r="Y116" s="188" t="e" cm="1">
        <f t="array" aca="1" ref="Y116" ca="1">IF(AND($R116=2,ACOMPANHAMENTO="BM"),ROUND(Y117,4),Y118/$S116)</f>
        <v>#DIV/0!</v>
      </c>
      <c r="Z116" s="188" t="e" cm="1">
        <f t="array" aca="1" ref="Z116" ca="1">IF(AND($R116=2,ACOMPANHAMENTO="BM"),ROUND(Z117,4),Z118/$S116)</f>
        <v>#DIV/0!</v>
      </c>
      <c r="AA116" s="188" t="e" cm="1">
        <f t="array" aca="1" ref="AA116" ca="1">IF(AND($R116=2,ACOMPANHAMENTO="BM"),ROUND(AA117,4),AA118/$S116)</f>
        <v>#DIV/0!</v>
      </c>
      <c r="AB116" s="188" t="e" cm="1">
        <f t="array" aca="1" ref="AB116" ca="1">IF(AND($R116=2,ACOMPANHAMENTO="BM"),ROUND(AB117,4),AB118/$S116)</f>
        <v>#DIV/0!</v>
      </c>
      <c r="AC116" s="188" t="e" cm="1">
        <f t="array" aca="1" ref="AC116" ca="1">IF(AND($R116=2,ACOMPANHAMENTO="BM"),ROUND(AC117,4),AC118/$S116)</f>
        <v>#DIV/0!</v>
      </c>
      <c r="AD116" s="188" t="e" cm="1">
        <f t="array" aca="1" ref="AD116" ca="1">IF(AND($R116=2,ACOMPANHAMENTO="BM"),ROUND(AD117,4),AD118/$S116)</f>
        <v>#DIV/0!</v>
      </c>
      <c r="AE116" s="188" t="e" cm="1">
        <f t="array" aca="1" ref="AE116" ca="1">IF(AND($R116=2,ACOMPANHAMENTO="BM"),ROUND(AE117,4),AE118/$S116)</f>
        <v>#DIV/0!</v>
      </c>
      <c r="AF116" s="188" t="e" cm="1">
        <f t="array" aca="1" ref="AF116" ca="1">IF(AND($R116=2,ACOMPANHAMENTO="BM"),ROUND(AF117,4),AF118/$S116)</f>
        <v>#DIV/0!</v>
      </c>
      <c r="AG116" s="188" t="e" cm="1">
        <f t="array" aca="1" ref="AG116" ca="1">IF(AND($R116=2,ACOMPANHAMENTO="BM"),ROUND(AG117,4),AG118/$S116)</f>
        <v>#DIV/0!</v>
      </c>
      <c r="AH116" s="188" t="e" cm="1">
        <f t="array" aca="1" ref="AH116" ca="1">IF(AND($R116=2,ACOMPANHAMENTO="BM"),ROUND(AH117,4),AH118/$S116)</f>
        <v>#DIV/0!</v>
      </c>
      <c r="AI116" s="188" t="e" cm="1">
        <f t="array" aca="1" ref="AI116" ca="1">IF(AND($R116=2,ACOMPANHAMENTO="BM"),ROUND(AI117,4),AI118/$S116)</f>
        <v>#DIV/0!</v>
      </c>
      <c r="AJ116" s="188" t="e" cm="1">
        <f t="array" aca="1" ref="AJ116" ca="1">IF(AND($R116=2,ACOMPANHAMENTO="BM"),ROUND(AJ117,4),AJ118/$S116)</f>
        <v>#DIV/0!</v>
      </c>
      <c r="AK116" s="188" t="e" cm="1">
        <f t="array" aca="1" ref="AK116" ca="1">IF(AND($R116=2,ACOMPANHAMENTO="BM"),ROUND(AK117,4),AK118/$S116)</f>
        <v>#DIV/0!</v>
      </c>
      <c r="AL116" s="188" t="e" cm="1">
        <f t="array" aca="1" ref="AL116" ca="1">IF(AND($R116=2,ACOMPANHAMENTO="BM"),ROUND(AL117,4),AL118/$S116)</f>
        <v>#DIV/0!</v>
      </c>
      <c r="AM116" s="188" t="e" cm="1">
        <f t="array" aca="1" ref="AM116" ca="1">IF(AND($R116=2,ACOMPANHAMENTO="BM"),ROUND(AM117,4),AM118/$S116)</f>
        <v>#DIV/0!</v>
      </c>
      <c r="AN116" s="188" t="e" cm="1">
        <f t="array" aca="1" ref="AN116" ca="1">IF(AND($R116=2,ACOMPANHAMENTO="BM"),ROUND(AN117,4),AN118/$S116)</f>
        <v>#DIV/0!</v>
      </c>
      <c r="AO116" s="188" t="e" cm="1">
        <f t="array" aca="1" ref="AO116" ca="1">IF(AND($R116=2,ACOMPANHAMENTO="BM"),ROUND(AO117,4),AO118/$S116)</f>
        <v>#DIV/0!</v>
      </c>
      <c r="AP116" s="188" t="e" cm="1">
        <f t="array" aca="1" ref="AP116" ca="1">IF(AND($R116=2,ACOMPANHAMENTO="BM"),ROUND(AP117,4),AP118/$S116)</f>
        <v>#DIV/0!</v>
      </c>
      <c r="AQ116" s="188" t="e" cm="1">
        <f t="array" aca="1" ref="AQ116" ca="1">IF(AND($R116=2,ACOMPANHAMENTO="BM"),ROUND(AQ117,4),AQ118/$S116)</f>
        <v>#DIV/0!</v>
      </c>
      <c r="AR116" s="188" t="e" cm="1">
        <f t="array" aca="1" ref="AR116" ca="1">IF(AND($R116=2,ACOMPANHAMENTO="BM"),ROUND(AR117,4),AR118/$S116)</f>
        <v>#DIV/0!</v>
      </c>
      <c r="AS116" s="534"/>
    </row>
    <row r="117" spans="1:45" ht="12.75" hidden="1" customHeight="1" x14ac:dyDescent="0.2">
      <c r="E117" s="587"/>
      <c r="F117" s="185">
        <f ca="1">IF(ISERROR(F116),IF(1+COUNTIF($M$13:OFFSET(M116,-1,0),1)&lt;=MAX(QCI!$D$13:$D$24),1+COUNTIF($M$13:OFFSET(M116,-1,0),1),-1),0)</f>
        <v>0</v>
      </c>
      <c r="G117" s="185" t="str" cm="1">
        <f t="array" aca="1" ref="G117" ca="1">IF(ACOMPANHAMENTO="BM",OFFSET(G117,-1,0),"")</f>
        <v/>
      </c>
      <c r="H117" s="196" t="str" cm="1">
        <f t="array" aca="1" ref="H117" ca="1">IF(OR(S116=0,S116=""),"vazia",IF(AND(OR(ACOMPANHAMENTO="PLE",$R116&lt;&gt;2),$F117=0),"calculada","--&gt;"))</f>
        <v>vazia</v>
      </c>
      <c r="I117" s="197"/>
      <c r="J117" s="198" t="str">
        <f t="shared" ref="J117" ca="1" si="210">IF(AND(H116&lt;&gt;0,ISNUMBER(H116)),"PREENCHA ESTA LINHA --&gt;","")</f>
        <v/>
      </c>
      <c r="K117" s="198"/>
      <c r="L117" s="198"/>
      <c r="M117" s="199"/>
      <c r="N117" s="199"/>
      <c r="O117" s="199"/>
      <c r="P117" s="199"/>
      <c r="Q117" s="199"/>
      <c r="R117" s="199"/>
      <c r="S117" s="200"/>
      <c r="T117" s="201"/>
      <c r="U117" s="587"/>
      <c r="V117" s="587"/>
      <c r="W117" s="587"/>
      <c r="X117" s="587"/>
      <c r="Y117" s="587"/>
      <c r="Z117" s="587"/>
      <c r="AA117" s="587"/>
      <c r="AB117" s="587"/>
      <c r="AC117" s="587"/>
      <c r="AD117" s="587"/>
      <c r="AE117" s="587"/>
      <c r="AF117" s="587"/>
      <c r="AG117" s="587"/>
      <c r="AH117" s="587"/>
      <c r="AI117" s="587"/>
      <c r="AJ117" s="587"/>
      <c r="AK117" s="587"/>
      <c r="AL117" s="587"/>
      <c r="AM117" s="587"/>
      <c r="AN117" s="587"/>
      <c r="AO117" s="587"/>
      <c r="AP117" s="587"/>
      <c r="AQ117" s="587"/>
      <c r="AR117" s="587"/>
      <c r="AS117" s="534"/>
    </row>
    <row r="118" spans="1:45" ht="12.75" hidden="1" customHeight="1" x14ac:dyDescent="0.2">
      <c r="D118" s="533"/>
      <c r="E118" s="202" cm="1">
        <f t="array" aca="1" ref="E118" ca="1">IF($R116=2,
         IF(AND(ACOMPANHAMENTO="PLE",ISNUMBER($F116)),
                SUMIF((OFFSET(CÁLCULO!$BS$15:$CS$15,$F116,0,OFFSET(ORÇAMENTO!$D$15,CRONO!$F116,0))),CRONO!E$12,OFFSET(CÁLCULO!$AR$15:$BR$15,$F116,0,OFFSET(ORÇAMENTO!$D$15,CRONO!$F116,0)))
                +IF(AND($F118&lt;&gt;"",$F118&lt;&gt;0),
                        SUMIF(CÁLCULO!$BS$15:$CS$244,CRONO!E$12,CÁLCULO!$AR$15:$BR$244)/(ORÇAMENTO!$X$15-CÁLCULO.TotalAdmLocal)*CRONO!$F118,
                        0),
                 E117*$S116),
          SUMIF(OFFSET($S118,1,0,$R116-2),($M116+1)&amp;"$",OFFSET(E118,1,0,$R116-2)))</f>
        <v>0</v>
      </c>
      <c r="F118" s="185">
        <f ca="1">IF(OR($R116&lt;&gt;2,AUTOEVENTO&lt;&gt;"manual",$F117&gt;0),"",
        IF(Import.TipoArredondamento="Tradicional",
              SUMIF(OFFSET(CÁLCULO!$M$15,CRONO!$F116,0,OFFSET(ORÇAMENTO!$D$15,CRONO!$F116,0)),1,OFFSET(ORÇAMENTO!$X$15,CRONO!$F116,0,OFFSET(ORÇAMENTO!$D$15,CRONO!$F116,0))),
              0))</f>
        <v>0</v>
      </c>
      <c r="H118" s="203"/>
      <c r="S118" s="204" t="str">
        <f t="shared" ref="S118" ca="1" si="211">M116&amp;"$"</f>
        <v>3$</v>
      </c>
      <c r="T118" s="205"/>
      <c r="U118" s="202" cm="1">
        <f t="array" aca="1" ref="U118" ca="1">IF($R116=2,
         IF(AND(ACOMPANHAMENTO="PLE",ISNUMBER($F116)),
                SUMIF((OFFSET(CÁLCULO!$BS$15:$CS$15,$F116,0,OFFSET(ORÇAMENTO!$D$15,CRONO!$F116,0))),CRONO!U$12,OFFSET(CÁLCULO!$AR$15:$BR$15,$F116,0,OFFSET(ORÇAMENTO!$D$15,CRONO!$F116,0)))
                +IF(AND($F118&lt;&gt;"",$F118&lt;&gt;0),
                        SUMIF(CÁLCULO!$BS$15:$CS$244,CRONO!U$12,CÁLCULO!$AR$15:$BR$244)/(ORÇAMENTO!$X$15-CÁLCULO.TotalAdmLocal)*CRONO!$F118,
                        0),
                 U117*$S116),
          SUMIF(OFFSET($S118,1,0,$R116-2),($M116+1)&amp;"$",OFFSET(U118,1,0,$R116-2)))</f>
        <v>0</v>
      </c>
      <c r="V118" s="202" cm="1">
        <f t="array" aca="1" ref="V118" ca="1">IF($R116=2,
         IF(AND(ACOMPANHAMENTO="PLE",ISNUMBER($F116)),
                SUMIF((OFFSET(CÁLCULO!$BS$15:$CS$15,$F116,0,OFFSET(ORÇAMENTO!$D$15,CRONO!$F116,0))),CRONO!V$12,OFFSET(CÁLCULO!$AR$15:$BR$15,$F116,0,OFFSET(ORÇAMENTO!$D$15,CRONO!$F116,0)))
                +IF(AND($F118&lt;&gt;"",$F118&lt;&gt;0),
                        SUMIF(CÁLCULO!$BS$15:$CS$244,CRONO!V$12,CÁLCULO!$AR$15:$BR$244)/(ORÇAMENTO!$X$15-CÁLCULO.TotalAdmLocal)*CRONO!$F118,
                        0),
                 V117*$S116),
          SUMIF(OFFSET($S118,1,0,$R116-2),($M116+1)&amp;"$",OFFSET(V118,1,0,$R116-2)))</f>
        <v>0</v>
      </c>
      <c r="W118" s="202" cm="1">
        <f t="array" aca="1" ref="W118" ca="1">IF($R116=2,
         IF(AND(ACOMPANHAMENTO="PLE",ISNUMBER($F116)),
                SUMIF((OFFSET(CÁLCULO!$BS$15:$CS$15,$F116,0,OFFSET(ORÇAMENTO!$D$15,CRONO!$F116,0))),CRONO!W$12,OFFSET(CÁLCULO!$AR$15:$BR$15,$F116,0,OFFSET(ORÇAMENTO!$D$15,CRONO!$F116,0)))
                +IF(AND($F118&lt;&gt;"",$F118&lt;&gt;0),
                        SUMIF(CÁLCULO!$BS$15:$CS$244,CRONO!W$12,CÁLCULO!$AR$15:$BR$244)/(ORÇAMENTO!$X$15-CÁLCULO.TotalAdmLocal)*CRONO!$F118,
                        0),
                 W117*$S116),
          SUMIF(OFFSET($S118,1,0,$R116-2),($M116+1)&amp;"$",OFFSET(W118,1,0,$R116-2)))</f>
        <v>0</v>
      </c>
      <c r="X118" s="202" cm="1">
        <f t="array" aca="1" ref="X118" ca="1">IF($R116=2,
         IF(AND(ACOMPANHAMENTO="PLE",ISNUMBER($F116)),
                SUMIF((OFFSET(CÁLCULO!$BS$15:$CS$15,$F116,0,OFFSET(ORÇAMENTO!$D$15,CRONO!$F116,0))),CRONO!X$12,OFFSET(CÁLCULO!$AR$15:$BR$15,$F116,0,OFFSET(ORÇAMENTO!$D$15,CRONO!$F116,0)))
                +IF(AND($F118&lt;&gt;"",$F118&lt;&gt;0),
                        SUMIF(CÁLCULO!$BS$15:$CS$244,CRONO!X$12,CÁLCULO!$AR$15:$BR$244)/(ORÇAMENTO!$X$15-CÁLCULO.TotalAdmLocal)*CRONO!$F118,
                        0),
                 X117*$S116),
          SUMIF(OFFSET($S118,1,0,$R116-2),($M116+1)&amp;"$",OFFSET(X118,1,0,$R116-2)))</f>
        <v>0</v>
      </c>
      <c r="Y118" s="202" cm="1">
        <f t="array" aca="1" ref="Y118" ca="1">IF($R116=2,
         IF(AND(ACOMPANHAMENTO="PLE",ISNUMBER($F116)),
                SUMIF((OFFSET(CÁLCULO!$BS$15:$CS$15,$F116,0,OFFSET(ORÇAMENTO!$D$15,CRONO!$F116,0))),CRONO!Y$12,OFFSET(CÁLCULO!$AR$15:$BR$15,$F116,0,OFFSET(ORÇAMENTO!$D$15,CRONO!$F116,0)))
                +IF(AND($F118&lt;&gt;"",$F118&lt;&gt;0),
                        SUMIF(CÁLCULO!$BS$15:$CS$244,CRONO!Y$12,CÁLCULO!$AR$15:$BR$244)/(ORÇAMENTO!$X$15-CÁLCULO.TotalAdmLocal)*CRONO!$F118,
                        0),
                 Y117*$S116),
          SUMIF(OFFSET($S118,1,0,$R116-2),($M116+1)&amp;"$",OFFSET(Y118,1,0,$R116-2)))</f>
        <v>0</v>
      </c>
      <c r="Z118" s="202" cm="1">
        <f t="array" aca="1" ref="Z118" ca="1">IF($R116=2,
         IF(AND(ACOMPANHAMENTO="PLE",ISNUMBER($F116)),
                SUMIF((OFFSET(CÁLCULO!$BS$15:$CS$15,$F116,0,OFFSET(ORÇAMENTO!$D$15,CRONO!$F116,0))),CRONO!Z$12,OFFSET(CÁLCULO!$AR$15:$BR$15,$F116,0,OFFSET(ORÇAMENTO!$D$15,CRONO!$F116,0)))
                +IF(AND($F118&lt;&gt;"",$F118&lt;&gt;0),
                        SUMIF(CÁLCULO!$BS$15:$CS$244,CRONO!Z$12,CÁLCULO!$AR$15:$BR$244)/(ORÇAMENTO!$X$15-CÁLCULO.TotalAdmLocal)*CRONO!$F118,
                        0),
                 Z117*$S116),
          SUMIF(OFFSET($S118,1,0,$R116-2),($M116+1)&amp;"$",OFFSET(Z118,1,0,$R116-2)))</f>
        <v>0</v>
      </c>
      <c r="AA118" s="202" cm="1">
        <f t="array" aca="1" ref="AA118" ca="1">IF($R116=2,
         IF(AND(ACOMPANHAMENTO="PLE",ISNUMBER($F116)),
                SUMIF((OFFSET(CÁLCULO!$BS$15:$CS$15,$F116,0,OFFSET(ORÇAMENTO!$D$15,CRONO!$F116,0))),CRONO!AA$12,OFFSET(CÁLCULO!$AR$15:$BR$15,$F116,0,OFFSET(ORÇAMENTO!$D$15,CRONO!$F116,0)))
                +IF(AND($F118&lt;&gt;"",$F118&lt;&gt;0),
                        SUMIF(CÁLCULO!$BS$15:$CS$244,CRONO!AA$12,CÁLCULO!$AR$15:$BR$244)/(ORÇAMENTO!$X$15-CÁLCULO.TotalAdmLocal)*CRONO!$F118,
                        0),
                 AA117*$S116),
          SUMIF(OFFSET($S118,1,0,$R116-2),($M116+1)&amp;"$",OFFSET(AA118,1,0,$R116-2)))</f>
        <v>0</v>
      </c>
      <c r="AB118" s="202" cm="1">
        <f t="array" aca="1" ref="AB118" ca="1">IF($R116=2,
         IF(AND(ACOMPANHAMENTO="PLE",ISNUMBER($F116)),
                SUMIF((OFFSET(CÁLCULO!$BS$15:$CS$15,$F116,0,OFFSET(ORÇAMENTO!$D$15,CRONO!$F116,0))),CRONO!AB$12,OFFSET(CÁLCULO!$AR$15:$BR$15,$F116,0,OFFSET(ORÇAMENTO!$D$15,CRONO!$F116,0)))
                +IF(AND($F118&lt;&gt;"",$F118&lt;&gt;0),
                        SUMIF(CÁLCULO!$BS$15:$CS$244,CRONO!AB$12,CÁLCULO!$AR$15:$BR$244)/(ORÇAMENTO!$X$15-CÁLCULO.TotalAdmLocal)*CRONO!$F118,
                        0),
                 AB117*$S116),
          SUMIF(OFFSET($S118,1,0,$R116-2),($M116+1)&amp;"$",OFFSET(AB118,1,0,$R116-2)))</f>
        <v>0</v>
      </c>
      <c r="AC118" s="202" cm="1">
        <f t="array" aca="1" ref="AC118" ca="1">IF($R116=2,
         IF(AND(ACOMPANHAMENTO="PLE",ISNUMBER($F116)),
                SUMIF((OFFSET(CÁLCULO!$BS$15:$CS$15,$F116,0,OFFSET(ORÇAMENTO!$D$15,CRONO!$F116,0))),CRONO!AC$12,OFFSET(CÁLCULO!$AR$15:$BR$15,$F116,0,OFFSET(ORÇAMENTO!$D$15,CRONO!$F116,0)))
                +IF(AND($F118&lt;&gt;"",$F118&lt;&gt;0),
                        SUMIF(CÁLCULO!$BS$15:$CS$244,CRONO!AC$12,CÁLCULO!$AR$15:$BR$244)/(ORÇAMENTO!$X$15-CÁLCULO.TotalAdmLocal)*CRONO!$F118,
                        0),
                 AC117*$S116),
          SUMIF(OFFSET($S118,1,0,$R116-2),($M116+1)&amp;"$",OFFSET(AC118,1,0,$R116-2)))</f>
        <v>0</v>
      </c>
      <c r="AD118" s="202" cm="1">
        <f t="array" aca="1" ref="AD118" ca="1">IF($R116=2,
         IF(AND(ACOMPANHAMENTO="PLE",ISNUMBER($F116)),
                SUMIF((OFFSET(CÁLCULO!$BS$15:$CS$15,$F116,0,OFFSET(ORÇAMENTO!$D$15,CRONO!$F116,0))),CRONO!AD$12,OFFSET(CÁLCULO!$AR$15:$BR$15,$F116,0,OFFSET(ORÇAMENTO!$D$15,CRONO!$F116,0)))
                +IF(AND($F118&lt;&gt;"",$F118&lt;&gt;0),
                        SUMIF(CÁLCULO!$BS$15:$CS$244,CRONO!AD$12,CÁLCULO!$AR$15:$BR$244)/(ORÇAMENTO!$X$15-CÁLCULO.TotalAdmLocal)*CRONO!$F118,
                        0),
                 AD117*$S116),
          SUMIF(OFFSET($S118,1,0,$R116-2),($M116+1)&amp;"$",OFFSET(AD118,1,0,$R116-2)))</f>
        <v>0</v>
      </c>
      <c r="AE118" s="202" cm="1">
        <f t="array" aca="1" ref="AE118" ca="1">IF($R116=2,
         IF(AND(ACOMPANHAMENTO="PLE",ISNUMBER($F116)),
                SUMIF((OFFSET(CÁLCULO!$BS$15:$CS$15,$F116,0,OFFSET(ORÇAMENTO!$D$15,CRONO!$F116,0))),CRONO!AE$12,OFFSET(CÁLCULO!$AR$15:$BR$15,$F116,0,OFFSET(ORÇAMENTO!$D$15,CRONO!$F116,0)))
                +IF(AND($F118&lt;&gt;"",$F118&lt;&gt;0),
                        SUMIF(CÁLCULO!$BS$15:$CS$244,CRONO!AE$12,CÁLCULO!$AR$15:$BR$244)/(ORÇAMENTO!$X$15-CÁLCULO.TotalAdmLocal)*CRONO!$F118,
                        0),
                 AE117*$S116),
          SUMIF(OFFSET($S118,1,0,$R116-2),($M116+1)&amp;"$",OFFSET(AE118,1,0,$R116-2)))</f>
        <v>0</v>
      </c>
      <c r="AF118" s="202" cm="1">
        <f t="array" aca="1" ref="AF118" ca="1">IF($R116=2,
         IF(AND(ACOMPANHAMENTO="PLE",ISNUMBER($F116)),
                SUMIF((OFFSET(CÁLCULO!$BS$15:$CS$15,$F116,0,OFFSET(ORÇAMENTO!$D$15,CRONO!$F116,0))),CRONO!AF$12,OFFSET(CÁLCULO!$AR$15:$BR$15,$F116,0,OFFSET(ORÇAMENTO!$D$15,CRONO!$F116,0)))
                +IF(AND($F118&lt;&gt;"",$F118&lt;&gt;0),
                        SUMIF(CÁLCULO!$BS$15:$CS$244,CRONO!AF$12,CÁLCULO!$AR$15:$BR$244)/(ORÇAMENTO!$X$15-CÁLCULO.TotalAdmLocal)*CRONO!$F118,
                        0),
                 AF117*$S116),
          SUMIF(OFFSET($S118,1,0,$R116-2),($M116+1)&amp;"$",OFFSET(AF118,1,0,$R116-2)))</f>
        <v>0</v>
      </c>
      <c r="AG118" s="202" cm="1">
        <f t="array" aca="1" ref="AG118" ca="1">IF($R116=2,
         IF(AND(ACOMPANHAMENTO="PLE",ISNUMBER($F116)),
                SUMIF((OFFSET(CÁLCULO!$BS$15:$CS$15,$F116,0,OFFSET(ORÇAMENTO!$D$15,CRONO!$F116,0))),CRONO!AG$12,OFFSET(CÁLCULO!$AR$15:$BR$15,$F116,0,OFFSET(ORÇAMENTO!$D$15,CRONO!$F116,0)))
                +IF(AND($F118&lt;&gt;"",$F118&lt;&gt;0),
                        SUMIF(CÁLCULO!$BS$15:$CS$244,CRONO!AG$12,CÁLCULO!$AR$15:$BR$244)/(ORÇAMENTO!$X$15-CÁLCULO.TotalAdmLocal)*CRONO!$F118,
                        0),
                 AG117*$S116),
          SUMIF(OFFSET($S118,1,0,$R116-2),($M116+1)&amp;"$",OFFSET(AG118,1,0,$R116-2)))</f>
        <v>0</v>
      </c>
      <c r="AH118" s="202" cm="1">
        <f t="array" aca="1" ref="AH118" ca="1">IF($R116=2,
         IF(AND(ACOMPANHAMENTO="PLE",ISNUMBER($F116)),
                SUMIF((OFFSET(CÁLCULO!$BS$15:$CS$15,$F116,0,OFFSET(ORÇAMENTO!$D$15,CRONO!$F116,0))),CRONO!AH$12,OFFSET(CÁLCULO!$AR$15:$BR$15,$F116,0,OFFSET(ORÇAMENTO!$D$15,CRONO!$F116,0)))
                +IF(AND($F118&lt;&gt;"",$F118&lt;&gt;0),
                        SUMIF(CÁLCULO!$BS$15:$CS$244,CRONO!AH$12,CÁLCULO!$AR$15:$BR$244)/(ORÇAMENTO!$X$15-CÁLCULO.TotalAdmLocal)*CRONO!$F118,
                        0),
                 AH117*$S116),
          SUMIF(OFFSET($S118,1,0,$R116-2),($M116+1)&amp;"$",OFFSET(AH118,1,0,$R116-2)))</f>
        <v>0</v>
      </c>
      <c r="AI118" s="202" cm="1">
        <f t="array" aca="1" ref="AI118" ca="1">IF($R116=2,
         IF(AND(ACOMPANHAMENTO="PLE",ISNUMBER($F116)),
                SUMIF((OFFSET(CÁLCULO!$BS$15:$CS$15,$F116,0,OFFSET(ORÇAMENTO!$D$15,CRONO!$F116,0))),CRONO!AI$12,OFFSET(CÁLCULO!$AR$15:$BR$15,$F116,0,OFFSET(ORÇAMENTO!$D$15,CRONO!$F116,0)))
                +IF(AND($F118&lt;&gt;"",$F118&lt;&gt;0),
                        SUMIF(CÁLCULO!$BS$15:$CS$244,CRONO!AI$12,CÁLCULO!$AR$15:$BR$244)/(ORÇAMENTO!$X$15-CÁLCULO.TotalAdmLocal)*CRONO!$F118,
                        0),
                 AI117*$S116),
          SUMIF(OFFSET($S118,1,0,$R116-2),($M116+1)&amp;"$",OFFSET(AI118,1,0,$R116-2)))</f>
        <v>0</v>
      </c>
      <c r="AJ118" s="202" cm="1">
        <f t="array" aca="1" ref="AJ118" ca="1">IF($R116=2,
         IF(AND(ACOMPANHAMENTO="PLE",ISNUMBER($F116)),
                SUMIF((OFFSET(CÁLCULO!$BS$15:$CS$15,$F116,0,OFFSET(ORÇAMENTO!$D$15,CRONO!$F116,0))),CRONO!AJ$12,OFFSET(CÁLCULO!$AR$15:$BR$15,$F116,0,OFFSET(ORÇAMENTO!$D$15,CRONO!$F116,0)))
                +IF(AND($F118&lt;&gt;"",$F118&lt;&gt;0),
                        SUMIF(CÁLCULO!$BS$15:$CS$244,CRONO!AJ$12,CÁLCULO!$AR$15:$BR$244)/(ORÇAMENTO!$X$15-CÁLCULO.TotalAdmLocal)*CRONO!$F118,
                        0),
                 AJ117*$S116),
          SUMIF(OFFSET($S118,1,0,$R116-2),($M116+1)&amp;"$",OFFSET(AJ118,1,0,$R116-2)))</f>
        <v>0</v>
      </c>
      <c r="AK118" s="202" cm="1">
        <f t="array" aca="1" ref="AK118" ca="1">IF($R116=2,
         IF(AND(ACOMPANHAMENTO="PLE",ISNUMBER($F116)),
                SUMIF((OFFSET(CÁLCULO!$BS$15:$CS$15,$F116,0,OFFSET(ORÇAMENTO!$D$15,CRONO!$F116,0))),CRONO!AK$12,OFFSET(CÁLCULO!$AR$15:$BR$15,$F116,0,OFFSET(ORÇAMENTO!$D$15,CRONO!$F116,0)))
                +IF(AND($F118&lt;&gt;"",$F118&lt;&gt;0),
                        SUMIF(CÁLCULO!$BS$15:$CS$244,CRONO!AK$12,CÁLCULO!$AR$15:$BR$244)/(ORÇAMENTO!$X$15-CÁLCULO.TotalAdmLocal)*CRONO!$F118,
                        0),
                 AK117*$S116),
          SUMIF(OFFSET($S118,1,0,$R116-2),($M116+1)&amp;"$",OFFSET(AK118,1,0,$R116-2)))</f>
        <v>0</v>
      </c>
      <c r="AL118" s="202" cm="1">
        <f t="array" aca="1" ref="AL118" ca="1">IF($R116=2,
         IF(AND(ACOMPANHAMENTO="PLE",ISNUMBER($F116)),
                SUMIF((OFFSET(CÁLCULO!$BS$15:$CS$15,$F116,0,OFFSET(ORÇAMENTO!$D$15,CRONO!$F116,0))),CRONO!AL$12,OFFSET(CÁLCULO!$AR$15:$BR$15,$F116,0,OFFSET(ORÇAMENTO!$D$15,CRONO!$F116,0)))
                +IF(AND($F118&lt;&gt;"",$F118&lt;&gt;0),
                        SUMIF(CÁLCULO!$BS$15:$CS$244,CRONO!AL$12,CÁLCULO!$AR$15:$BR$244)/(ORÇAMENTO!$X$15-CÁLCULO.TotalAdmLocal)*CRONO!$F118,
                        0),
                 AL117*$S116),
          SUMIF(OFFSET($S118,1,0,$R116-2),($M116+1)&amp;"$",OFFSET(AL118,1,0,$R116-2)))</f>
        <v>0</v>
      </c>
      <c r="AM118" s="202" cm="1">
        <f t="array" aca="1" ref="AM118" ca="1">IF($R116=2,
         IF(AND(ACOMPANHAMENTO="PLE",ISNUMBER($F116)),
                SUMIF((OFFSET(CÁLCULO!$BS$15:$CS$15,$F116,0,OFFSET(ORÇAMENTO!$D$15,CRONO!$F116,0))),CRONO!AM$12,OFFSET(CÁLCULO!$AR$15:$BR$15,$F116,0,OFFSET(ORÇAMENTO!$D$15,CRONO!$F116,0)))
                +IF(AND($F118&lt;&gt;"",$F118&lt;&gt;0),
                        SUMIF(CÁLCULO!$BS$15:$CS$244,CRONO!AM$12,CÁLCULO!$AR$15:$BR$244)/(ORÇAMENTO!$X$15-CÁLCULO.TotalAdmLocal)*CRONO!$F118,
                        0),
                 AM117*$S116),
          SUMIF(OFFSET($S118,1,0,$R116-2),($M116+1)&amp;"$",OFFSET(AM118,1,0,$R116-2)))</f>
        <v>0</v>
      </c>
      <c r="AN118" s="202" cm="1">
        <f t="array" aca="1" ref="AN118" ca="1">IF($R116=2,
         IF(AND(ACOMPANHAMENTO="PLE",ISNUMBER($F116)),
                SUMIF((OFFSET(CÁLCULO!$BS$15:$CS$15,$F116,0,OFFSET(ORÇAMENTO!$D$15,CRONO!$F116,0))),CRONO!AN$12,OFFSET(CÁLCULO!$AR$15:$BR$15,$F116,0,OFFSET(ORÇAMENTO!$D$15,CRONO!$F116,0)))
                +IF(AND($F118&lt;&gt;"",$F118&lt;&gt;0),
                        SUMIF(CÁLCULO!$BS$15:$CS$244,CRONO!AN$12,CÁLCULO!$AR$15:$BR$244)/(ORÇAMENTO!$X$15-CÁLCULO.TotalAdmLocal)*CRONO!$F118,
                        0),
                 AN117*$S116),
          SUMIF(OFFSET($S118,1,0,$R116-2),($M116+1)&amp;"$",OFFSET(AN118,1,0,$R116-2)))</f>
        <v>0</v>
      </c>
      <c r="AO118" s="202" cm="1">
        <f t="array" aca="1" ref="AO118" ca="1">IF($R116=2,
         IF(AND(ACOMPANHAMENTO="PLE",ISNUMBER($F116)),
                SUMIF((OFFSET(CÁLCULO!$BS$15:$CS$15,$F116,0,OFFSET(ORÇAMENTO!$D$15,CRONO!$F116,0))),CRONO!AO$12,OFFSET(CÁLCULO!$AR$15:$BR$15,$F116,0,OFFSET(ORÇAMENTO!$D$15,CRONO!$F116,0)))
                +IF(AND($F118&lt;&gt;"",$F118&lt;&gt;0),
                        SUMIF(CÁLCULO!$BS$15:$CS$244,CRONO!AO$12,CÁLCULO!$AR$15:$BR$244)/(ORÇAMENTO!$X$15-CÁLCULO.TotalAdmLocal)*CRONO!$F118,
                        0),
                 AO117*$S116),
          SUMIF(OFFSET($S118,1,0,$R116-2),($M116+1)&amp;"$",OFFSET(AO118,1,0,$R116-2)))</f>
        <v>0</v>
      </c>
      <c r="AP118" s="202" cm="1">
        <f t="array" aca="1" ref="AP118" ca="1">IF($R116=2,
         IF(AND(ACOMPANHAMENTO="PLE",ISNUMBER($F116)),
                SUMIF((OFFSET(CÁLCULO!$BS$15:$CS$15,$F116,0,OFFSET(ORÇAMENTO!$D$15,CRONO!$F116,0))),CRONO!AP$12,OFFSET(CÁLCULO!$AR$15:$BR$15,$F116,0,OFFSET(ORÇAMENTO!$D$15,CRONO!$F116,0)))
                +IF(AND($F118&lt;&gt;"",$F118&lt;&gt;0),
                        SUMIF(CÁLCULO!$BS$15:$CS$244,CRONO!AP$12,CÁLCULO!$AR$15:$BR$244)/(ORÇAMENTO!$X$15-CÁLCULO.TotalAdmLocal)*CRONO!$F118,
                        0),
                 AP117*$S116),
          SUMIF(OFFSET($S118,1,0,$R116-2),($M116+1)&amp;"$",OFFSET(AP118,1,0,$R116-2)))</f>
        <v>0</v>
      </c>
      <c r="AQ118" s="202" cm="1">
        <f t="array" aca="1" ref="AQ118" ca="1">IF($R116=2,
         IF(AND(ACOMPANHAMENTO="PLE",ISNUMBER($F116)),
                SUMIF((OFFSET(CÁLCULO!$BS$15:$CS$15,$F116,0,OFFSET(ORÇAMENTO!$D$15,CRONO!$F116,0))),CRONO!AQ$12,OFFSET(CÁLCULO!$AR$15:$BR$15,$F116,0,OFFSET(ORÇAMENTO!$D$15,CRONO!$F116,0)))
                +IF(AND($F118&lt;&gt;"",$F118&lt;&gt;0),
                        SUMIF(CÁLCULO!$BS$15:$CS$244,CRONO!AQ$12,CÁLCULO!$AR$15:$BR$244)/(ORÇAMENTO!$X$15-CÁLCULO.TotalAdmLocal)*CRONO!$F118,
                        0),
                 AQ117*$S116),
          SUMIF(OFFSET($S118,1,0,$R116-2),($M116+1)&amp;"$",OFFSET(AQ118,1,0,$R116-2)))</f>
        <v>0</v>
      </c>
      <c r="AR118" s="202" cm="1">
        <f t="array" aca="1" ref="AR118" ca="1">IF($R116=2,
         IF(AND(ACOMPANHAMENTO="PLE",ISNUMBER($F116)),
                SUMIF((OFFSET(CÁLCULO!$BS$15:$CS$15,$F116,0,OFFSET(ORÇAMENTO!$D$15,CRONO!$F116,0))),CRONO!AR$12,OFFSET(CÁLCULO!$AR$15:$BR$15,$F116,0,OFFSET(ORÇAMENTO!$D$15,CRONO!$F116,0)))
                +IF(AND($F118&lt;&gt;"",$F118&lt;&gt;0),
                        SUMIF(CÁLCULO!$BS$15:$CS$244,CRONO!AR$12,CÁLCULO!$AR$15:$BR$244)/(ORÇAMENTO!$X$15-CÁLCULO.TotalAdmLocal)*CRONO!$F118,
                        0),
                 AR117*$S116),
          SUMIF(OFFSET($S118,1,0,$R116-2),($M116+1)&amp;"$",OFFSET(AR118,1,0,$R116-2)))</f>
        <v>0</v>
      </c>
      <c r="AS118" s="534"/>
    </row>
    <row r="119" spans="1:45" x14ac:dyDescent="0.2">
      <c r="A119" s="186" t="e">
        <f t="shared" ref="A119" ca="1" si="212">IF($M119&gt;1,_xlfn.CONCAT($I119," ",$J119),"")</f>
        <v>#NAME?</v>
      </c>
      <c r="B119" s="185">
        <f t="shared" ref="B119" ca="1" si="213">OFFSET(B119,-3,0)+1</f>
        <v>36</v>
      </c>
      <c r="C119" s="185">
        <f ca="1">IF($R119&lt;&gt;2,0,IF($S119=0,1,IF(F120&gt;0,OFFSET(QCI!$M$13,SUBSTITUTE(F120,".",""),0),OFFSET(ORÇAMENTO!$AA$15,CRONO!$F119,0))/$S119))</f>
        <v>0</v>
      </c>
      <c r="D119" s="185">
        <f ca="1">IF($R119&lt;&gt;2,0,IF($S119=0,1,IF(F120&gt;0,OFFSET(QCI!$N$13,SUBSTITUTE(F120,".",""),0),OFFSET(ORÇAMENTO!$AB$15,CRONO!$F119,0))/$S119))</f>
        <v>0</v>
      </c>
      <c r="E119" s="188" t="e" cm="1">
        <f t="array" aca="1" ref="E119" ca="1">IF(AND($R119=2,ACOMPANHAMENTO="BM"),ROUND(E120,4),E121/$S119)</f>
        <v>#DIV/0!</v>
      </c>
      <c r="F119" s="185" cm="1">
        <f t="array" aca="1" ref="F119" ca="1">IF(B119&lt;=ORÇAMENTO.MáximoListaCrono,MATCH(B119,ORÇAMENTO.ListaCrono,0),NA())</f>
        <v>151</v>
      </c>
      <c r="G119" s="185" t="str">
        <f t="shared" ref="G119" ca="1" si="214">IF(AND($F120&lt;&gt;-1,$S119&gt;0),"F","")</f>
        <v/>
      </c>
      <c r="H119" s="189" t="str" cm="1">
        <f t="array" aca="1" ref="H119" ca="1">IF(OR(S119=0,S119=""),"Linha",IF(AND(OR(ACOMPANHAMENTO="PLE",$R119&lt;&gt;2),$F120=0),"Linha",ROUND(1-SUM(U119:AS119),4)))</f>
        <v>Linha</v>
      </c>
      <c r="I119" s="190" t="str">
        <f ca="1">IF($F120=0,OFFSET(ORÇAMENTO!O$15,$F119,0),IF($F120&lt;&gt;-1,OFFSET(QCI!$D$13,$F120,0),""))</f>
        <v>9.2.</v>
      </c>
      <c r="J119" s="191" t="str">
        <f ca="1">IF($F120=0,OFFSET(ORÇAMENTO!R$15,$F119,0),IF($F120&lt;&gt;-1,OFFSET(QCI!$G$13,$F120,0),""))</f>
        <v>HIDRÁULICAS / GÁS / INCÊNCIO</v>
      </c>
      <c r="K119" s="191"/>
      <c r="L119" s="191"/>
      <c r="M119" s="192">
        <f ca="1">IF($F120=0,OFFSET(ORÇAMENTO!C$15,$F119,0),1)</f>
        <v>2</v>
      </c>
      <c r="N119" s="193">
        <f ca="1">IF($F120=-1,0,IF(N$13&lt;=$M119,IF(ISERROR(MATCH(N$13,OFFSET($M119,1,0,ROW($M$164)-ROW($M119)-1),0)),ROW($M$164)-ROW($M119)-1,MATCH(N$13,OFFSET($M119,1,0,ROW($M$164)-ROW($M119)-1),0)-1),0))</f>
        <v>26</v>
      </c>
      <c r="O119" s="193">
        <f ca="1">IF($F120=-1,0,IF(O$13&lt;=$M119,IF(ISERROR(MATCH(O$13,OFFSET($M119,1,0,ROW($M$164)-ROW($M119)-1),0)),ROW($M$164)-ROW($M119)-1,MATCH(O$13,OFFSET($M119,1,0,ROW($M$164)-ROW($M119)-1),0)-1),0))</f>
        <v>14</v>
      </c>
      <c r="P119" s="193">
        <f ca="1">IF($F120=-1,0,IF(P$13&lt;=$M119,IF(ISERROR(MATCH(P$13,OFFSET($M119,1,0,ROW($M$164)-ROW($M119)-1),0)),ROW($M$164)-ROW($M119)-1,MATCH(P$13,OFFSET($M119,1,0,ROW($M$164)-ROW($M119)-1),0)-1),0))</f>
        <v>0</v>
      </c>
      <c r="Q119" s="193">
        <f ca="1">IF($F120=-1,0,IF(Q$13&lt;=$M119,IF(ISERROR(MATCH(Q$13,OFFSET($M119,1,0,ROW($M$164)-ROW($M119)-1),0)),ROW($M$164)-ROW($M119)-1,MATCH(Q$13,OFFSET($M119,1,0,ROW($M$164)-ROW($M119)-1),0)-1),0))</f>
        <v>0</v>
      </c>
      <c r="R119" s="193">
        <f t="shared" ref="R119" ca="1" si="215">MIN(OFFSET(M119,0,1,,M119))</f>
        <v>14</v>
      </c>
      <c r="S119" s="194">
        <f ca="1">IF($F120=0,OFFSET(ORÇAMENTO!X$15,$F119,0),IF($F120&lt;&gt;-1,OFFSET(QCI!$O$13,$F120,0),""))</f>
        <v>0</v>
      </c>
      <c r="T119" s="195" t="s">
        <v>785</v>
      </c>
      <c r="U119" s="188" t="e" cm="1">
        <f t="array" aca="1" ref="U119" ca="1">IF(AND($R119=2,ACOMPANHAMENTO="BM"),ROUND(U120,4),U121/$S119)</f>
        <v>#DIV/0!</v>
      </c>
      <c r="V119" s="188" t="e" cm="1">
        <f t="array" aca="1" ref="V119" ca="1">IF(AND($R119=2,ACOMPANHAMENTO="BM"),ROUND(V120,4),V121/$S119)</f>
        <v>#DIV/0!</v>
      </c>
      <c r="W119" s="188" t="e" cm="1">
        <f t="array" aca="1" ref="W119" ca="1">IF(AND($R119=2,ACOMPANHAMENTO="BM"),ROUND(W120,4),W121/$S119)</f>
        <v>#DIV/0!</v>
      </c>
      <c r="X119" s="188" t="e" cm="1">
        <f t="array" aca="1" ref="X119" ca="1">IF(AND($R119=2,ACOMPANHAMENTO="BM"),ROUND(X120,4),X121/$S119)</f>
        <v>#DIV/0!</v>
      </c>
      <c r="Y119" s="188" t="e" cm="1">
        <f t="array" aca="1" ref="Y119" ca="1">IF(AND($R119=2,ACOMPANHAMENTO="BM"),ROUND(Y120,4),Y121/$S119)</f>
        <v>#DIV/0!</v>
      </c>
      <c r="Z119" s="188" t="e" cm="1">
        <f t="array" aca="1" ref="Z119" ca="1">IF(AND($R119=2,ACOMPANHAMENTO="BM"),ROUND(Z120,4),Z121/$S119)</f>
        <v>#DIV/0!</v>
      </c>
      <c r="AA119" s="188" t="e" cm="1">
        <f t="array" aca="1" ref="AA119" ca="1">IF(AND($R119=2,ACOMPANHAMENTO="BM"),ROUND(AA120,4),AA121/$S119)</f>
        <v>#DIV/0!</v>
      </c>
      <c r="AB119" s="188" t="e" cm="1">
        <f t="array" aca="1" ref="AB119" ca="1">IF(AND($R119=2,ACOMPANHAMENTO="BM"),ROUND(AB120,4),AB121/$S119)</f>
        <v>#DIV/0!</v>
      </c>
      <c r="AC119" s="188" t="e" cm="1">
        <f t="array" aca="1" ref="AC119" ca="1">IF(AND($R119=2,ACOMPANHAMENTO="BM"),ROUND(AC120,4),AC121/$S119)</f>
        <v>#DIV/0!</v>
      </c>
      <c r="AD119" s="188" t="e" cm="1">
        <f t="array" aca="1" ref="AD119" ca="1">IF(AND($R119=2,ACOMPANHAMENTO="BM"),ROUND(AD120,4),AD121/$S119)</f>
        <v>#DIV/0!</v>
      </c>
      <c r="AE119" s="188" t="e" cm="1">
        <f t="array" aca="1" ref="AE119" ca="1">IF(AND($R119=2,ACOMPANHAMENTO="BM"),ROUND(AE120,4),AE121/$S119)</f>
        <v>#DIV/0!</v>
      </c>
      <c r="AF119" s="188" t="e" cm="1">
        <f t="array" aca="1" ref="AF119" ca="1">IF(AND($R119=2,ACOMPANHAMENTO="BM"),ROUND(AF120,4),AF121/$S119)</f>
        <v>#DIV/0!</v>
      </c>
      <c r="AG119" s="188" t="e" cm="1">
        <f t="array" aca="1" ref="AG119" ca="1">IF(AND($R119=2,ACOMPANHAMENTO="BM"),ROUND(AG120,4),AG121/$S119)</f>
        <v>#DIV/0!</v>
      </c>
      <c r="AH119" s="188" t="e" cm="1">
        <f t="array" aca="1" ref="AH119" ca="1">IF(AND($R119=2,ACOMPANHAMENTO="BM"),ROUND(AH120,4),AH121/$S119)</f>
        <v>#DIV/0!</v>
      </c>
      <c r="AI119" s="188" t="e" cm="1">
        <f t="array" aca="1" ref="AI119" ca="1">IF(AND($R119=2,ACOMPANHAMENTO="BM"),ROUND(AI120,4),AI121/$S119)</f>
        <v>#DIV/0!</v>
      </c>
      <c r="AJ119" s="188" t="e" cm="1">
        <f t="array" aca="1" ref="AJ119" ca="1">IF(AND($R119=2,ACOMPANHAMENTO="BM"),ROUND(AJ120,4),AJ121/$S119)</f>
        <v>#DIV/0!</v>
      </c>
      <c r="AK119" s="188" t="e" cm="1">
        <f t="array" aca="1" ref="AK119" ca="1">IF(AND($R119=2,ACOMPANHAMENTO="BM"),ROUND(AK120,4),AK121/$S119)</f>
        <v>#DIV/0!</v>
      </c>
      <c r="AL119" s="188" t="e" cm="1">
        <f t="array" aca="1" ref="AL119" ca="1">IF(AND($R119=2,ACOMPANHAMENTO="BM"),ROUND(AL120,4),AL121/$S119)</f>
        <v>#DIV/0!</v>
      </c>
      <c r="AM119" s="188" t="e" cm="1">
        <f t="array" aca="1" ref="AM119" ca="1">IF(AND($R119=2,ACOMPANHAMENTO="BM"),ROUND(AM120,4),AM121/$S119)</f>
        <v>#DIV/0!</v>
      </c>
      <c r="AN119" s="188" t="e" cm="1">
        <f t="array" aca="1" ref="AN119" ca="1">IF(AND($R119=2,ACOMPANHAMENTO="BM"),ROUND(AN120,4),AN121/$S119)</f>
        <v>#DIV/0!</v>
      </c>
      <c r="AO119" s="188" t="e" cm="1">
        <f t="array" aca="1" ref="AO119" ca="1">IF(AND($R119=2,ACOMPANHAMENTO="BM"),ROUND(AO120,4),AO121/$S119)</f>
        <v>#DIV/0!</v>
      </c>
      <c r="AP119" s="188" t="e" cm="1">
        <f t="array" aca="1" ref="AP119" ca="1">IF(AND($R119=2,ACOMPANHAMENTO="BM"),ROUND(AP120,4),AP121/$S119)</f>
        <v>#DIV/0!</v>
      </c>
      <c r="AQ119" s="188" t="e" cm="1">
        <f t="array" aca="1" ref="AQ119" ca="1">IF(AND($R119=2,ACOMPANHAMENTO="BM"),ROUND(AQ120,4),AQ121/$S119)</f>
        <v>#DIV/0!</v>
      </c>
      <c r="AR119" s="188" t="e" cm="1">
        <f t="array" aca="1" ref="AR119" ca="1">IF(AND($R119=2,ACOMPANHAMENTO="BM"),ROUND(AR120,4),AR121/$S119)</f>
        <v>#DIV/0!</v>
      </c>
      <c r="AS119" s="534"/>
    </row>
    <row r="120" spans="1:45" ht="12.75" hidden="1" customHeight="1" x14ac:dyDescent="0.2">
      <c r="E120" s="587"/>
      <c r="F120" s="185">
        <f ca="1">IF(ISERROR(F119),IF(1+COUNTIF($M$13:OFFSET(M119,-1,0),1)&lt;=MAX(QCI!$D$13:$D$24),1+COUNTIF($M$13:OFFSET(M119,-1,0),1),-1),0)</f>
        <v>0</v>
      </c>
      <c r="G120" s="185" t="str" cm="1">
        <f t="array" aca="1" ref="G120" ca="1">IF(ACOMPANHAMENTO="BM",OFFSET(G120,-1,0),"")</f>
        <v/>
      </c>
      <c r="H120" s="196" t="str" cm="1">
        <f t="array" aca="1" ref="H120" ca="1">IF(OR(S119=0,S119=""),"vazia",IF(AND(OR(ACOMPANHAMENTO="PLE",$R119&lt;&gt;2),$F120=0),"calculada","--&gt;"))</f>
        <v>vazia</v>
      </c>
      <c r="I120" s="197"/>
      <c r="J120" s="198" t="str">
        <f t="shared" ref="J120" ca="1" si="216">IF(AND(H119&lt;&gt;0,ISNUMBER(H119)),"PREENCHA ESTA LINHA --&gt;","")</f>
        <v/>
      </c>
      <c r="K120" s="198"/>
      <c r="L120" s="198"/>
      <c r="M120" s="199"/>
      <c r="N120" s="199"/>
      <c r="O120" s="199"/>
      <c r="P120" s="199"/>
      <c r="Q120" s="199"/>
      <c r="R120" s="199"/>
      <c r="S120" s="200"/>
      <c r="T120" s="201"/>
      <c r="U120" s="587"/>
      <c r="V120" s="587"/>
      <c r="W120" s="587"/>
      <c r="X120" s="587"/>
      <c r="Y120" s="587"/>
      <c r="Z120" s="587"/>
      <c r="AA120" s="587"/>
      <c r="AB120" s="587"/>
      <c r="AC120" s="587"/>
      <c r="AD120" s="587"/>
      <c r="AE120" s="587"/>
      <c r="AF120" s="587"/>
      <c r="AG120" s="587"/>
      <c r="AH120" s="587"/>
      <c r="AI120" s="587"/>
      <c r="AJ120" s="587"/>
      <c r="AK120" s="587"/>
      <c r="AL120" s="587"/>
      <c r="AM120" s="587"/>
      <c r="AN120" s="587"/>
      <c r="AO120" s="587"/>
      <c r="AP120" s="587"/>
      <c r="AQ120" s="587"/>
      <c r="AR120" s="587"/>
      <c r="AS120" s="534"/>
    </row>
    <row r="121" spans="1:45" ht="12.75" hidden="1" customHeight="1" x14ac:dyDescent="0.2">
      <c r="D121" s="533"/>
      <c r="E121" s="202" cm="1">
        <f t="array" aca="1" ref="E121" ca="1">IF($R119=2,
         IF(AND(ACOMPANHAMENTO="PLE",ISNUMBER($F119)),
                SUMIF((OFFSET(CÁLCULO!$BS$15:$CS$15,$F119,0,OFFSET(ORÇAMENTO!$D$15,CRONO!$F119,0))),CRONO!E$12,OFFSET(CÁLCULO!$AR$15:$BR$15,$F119,0,OFFSET(ORÇAMENTO!$D$15,CRONO!$F119,0)))
                +IF(AND($F121&lt;&gt;"",$F121&lt;&gt;0),
                        SUMIF(CÁLCULO!$BS$15:$CS$244,CRONO!E$12,CÁLCULO!$AR$15:$BR$244)/(ORÇAMENTO!$X$15-CÁLCULO.TotalAdmLocal)*CRONO!$F121,
                        0),
                 E120*$S119),
          SUMIF(OFFSET($S121,1,0,$R119-2),($M119+1)&amp;"$",OFFSET(E121,1,0,$R119-2)))</f>
        <v>0</v>
      </c>
      <c r="F121" s="185" t="str">
        <f ca="1">IF(OR($R119&lt;&gt;2,AUTOEVENTO&lt;&gt;"manual",$F120&gt;0),"",
        IF(Import.TipoArredondamento="Tradicional",
              SUMIF(OFFSET(CÁLCULO!$M$15,CRONO!$F119,0,OFFSET(ORÇAMENTO!$D$15,CRONO!$F119,0)),1,OFFSET(ORÇAMENTO!$X$15,CRONO!$F119,0,OFFSET(ORÇAMENTO!$D$15,CRONO!$F119,0))),
              0))</f>
        <v/>
      </c>
      <c r="H121" s="203"/>
      <c r="S121" s="204" t="str">
        <f t="shared" ref="S121" ca="1" si="217">M119&amp;"$"</f>
        <v>2$</v>
      </c>
      <c r="T121" s="205"/>
      <c r="U121" s="202" cm="1">
        <f t="array" aca="1" ref="U121" ca="1">IF($R119=2,
         IF(AND(ACOMPANHAMENTO="PLE",ISNUMBER($F119)),
                SUMIF((OFFSET(CÁLCULO!$BS$15:$CS$15,$F119,0,OFFSET(ORÇAMENTO!$D$15,CRONO!$F119,0))),CRONO!U$12,OFFSET(CÁLCULO!$AR$15:$BR$15,$F119,0,OFFSET(ORÇAMENTO!$D$15,CRONO!$F119,0)))
                +IF(AND($F121&lt;&gt;"",$F121&lt;&gt;0),
                        SUMIF(CÁLCULO!$BS$15:$CS$244,CRONO!U$12,CÁLCULO!$AR$15:$BR$244)/(ORÇAMENTO!$X$15-CÁLCULO.TotalAdmLocal)*CRONO!$F121,
                        0),
                 U120*$S119),
          SUMIF(OFFSET($S121,1,0,$R119-2),($M119+1)&amp;"$",OFFSET(U121,1,0,$R119-2)))</f>
        <v>0</v>
      </c>
      <c r="V121" s="202" cm="1">
        <f t="array" aca="1" ref="V121" ca="1">IF($R119=2,
         IF(AND(ACOMPANHAMENTO="PLE",ISNUMBER($F119)),
                SUMIF((OFFSET(CÁLCULO!$BS$15:$CS$15,$F119,0,OFFSET(ORÇAMENTO!$D$15,CRONO!$F119,0))),CRONO!V$12,OFFSET(CÁLCULO!$AR$15:$BR$15,$F119,0,OFFSET(ORÇAMENTO!$D$15,CRONO!$F119,0)))
                +IF(AND($F121&lt;&gt;"",$F121&lt;&gt;0),
                        SUMIF(CÁLCULO!$BS$15:$CS$244,CRONO!V$12,CÁLCULO!$AR$15:$BR$244)/(ORÇAMENTO!$X$15-CÁLCULO.TotalAdmLocal)*CRONO!$F121,
                        0),
                 V120*$S119),
          SUMIF(OFFSET($S121,1,0,$R119-2),($M119+1)&amp;"$",OFFSET(V121,1,0,$R119-2)))</f>
        <v>0</v>
      </c>
      <c r="W121" s="202" cm="1">
        <f t="array" aca="1" ref="W121" ca="1">IF($R119=2,
         IF(AND(ACOMPANHAMENTO="PLE",ISNUMBER($F119)),
                SUMIF((OFFSET(CÁLCULO!$BS$15:$CS$15,$F119,0,OFFSET(ORÇAMENTO!$D$15,CRONO!$F119,0))),CRONO!W$12,OFFSET(CÁLCULO!$AR$15:$BR$15,$F119,0,OFFSET(ORÇAMENTO!$D$15,CRONO!$F119,0)))
                +IF(AND($F121&lt;&gt;"",$F121&lt;&gt;0),
                        SUMIF(CÁLCULO!$BS$15:$CS$244,CRONO!W$12,CÁLCULO!$AR$15:$BR$244)/(ORÇAMENTO!$X$15-CÁLCULO.TotalAdmLocal)*CRONO!$F121,
                        0),
                 W120*$S119),
          SUMIF(OFFSET($S121,1,0,$R119-2),($M119+1)&amp;"$",OFFSET(W121,1,0,$R119-2)))</f>
        <v>0</v>
      </c>
      <c r="X121" s="202" cm="1">
        <f t="array" aca="1" ref="X121" ca="1">IF($R119=2,
         IF(AND(ACOMPANHAMENTO="PLE",ISNUMBER($F119)),
                SUMIF((OFFSET(CÁLCULO!$BS$15:$CS$15,$F119,0,OFFSET(ORÇAMENTO!$D$15,CRONO!$F119,0))),CRONO!X$12,OFFSET(CÁLCULO!$AR$15:$BR$15,$F119,0,OFFSET(ORÇAMENTO!$D$15,CRONO!$F119,0)))
                +IF(AND($F121&lt;&gt;"",$F121&lt;&gt;0),
                        SUMIF(CÁLCULO!$BS$15:$CS$244,CRONO!X$12,CÁLCULO!$AR$15:$BR$244)/(ORÇAMENTO!$X$15-CÁLCULO.TotalAdmLocal)*CRONO!$F121,
                        0),
                 X120*$S119),
          SUMIF(OFFSET($S121,1,0,$R119-2),($M119+1)&amp;"$",OFFSET(X121,1,0,$R119-2)))</f>
        <v>0</v>
      </c>
      <c r="Y121" s="202" cm="1">
        <f t="array" aca="1" ref="Y121" ca="1">IF($R119=2,
         IF(AND(ACOMPANHAMENTO="PLE",ISNUMBER($F119)),
                SUMIF((OFFSET(CÁLCULO!$BS$15:$CS$15,$F119,0,OFFSET(ORÇAMENTO!$D$15,CRONO!$F119,0))),CRONO!Y$12,OFFSET(CÁLCULO!$AR$15:$BR$15,$F119,0,OFFSET(ORÇAMENTO!$D$15,CRONO!$F119,0)))
                +IF(AND($F121&lt;&gt;"",$F121&lt;&gt;0),
                        SUMIF(CÁLCULO!$BS$15:$CS$244,CRONO!Y$12,CÁLCULO!$AR$15:$BR$244)/(ORÇAMENTO!$X$15-CÁLCULO.TotalAdmLocal)*CRONO!$F121,
                        0),
                 Y120*$S119),
          SUMIF(OFFSET($S121,1,0,$R119-2),($M119+1)&amp;"$",OFFSET(Y121,1,0,$R119-2)))</f>
        <v>0</v>
      </c>
      <c r="Z121" s="202" cm="1">
        <f t="array" aca="1" ref="Z121" ca="1">IF($R119=2,
         IF(AND(ACOMPANHAMENTO="PLE",ISNUMBER($F119)),
                SUMIF((OFFSET(CÁLCULO!$BS$15:$CS$15,$F119,0,OFFSET(ORÇAMENTO!$D$15,CRONO!$F119,0))),CRONO!Z$12,OFFSET(CÁLCULO!$AR$15:$BR$15,$F119,0,OFFSET(ORÇAMENTO!$D$15,CRONO!$F119,0)))
                +IF(AND($F121&lt;&gt;"",$F121&lt;&gt;0),
                        SUMIF(CÁLCULO!$BS$15:$CS$244,CRONO!Z$12,CÁLCULO!$AR$15:$BR$244)/(ORÇAMENTO!$X$15-CÁLCULO.TotalAdmLocal)*CRONO!$F121,
                        0),
                 Z120*$S119),
          SUMIF(OFFSET($S121,1,0,$R119-2),($M119+1)&amp;"$",OFFSET(Z121,1,0,$R119-2)))</f>
        <v>0</v>
      </c>
      <c r="AA121" s="202" cm="1">
        <f t="array" aca="1" ref="AA121" ca="1">IF($R119=2,
         IF(AND(ACOMPANHAMENTO="PLE",ISNUMBER($F119)),
                SUMIF((OFFSET(CÁLCULO!$BS$15:$CS$15,$F119,0,OFFSET(ORÇAMENTO!$D$15,CRONO!$F119,0))),CRONO!AA$12,OFFSET(CÁLCULO!$AR$15:$BR$15,$F119,0,OFFSET(ORÇAMENTO!$D$15,CRONO!$F119,0)))
                +IF(AND($F121&lt;&gt;"",$F121&lt;&gt;0),
                        SUMIF(CÁLCULO!$BS$15:$CS$244,CRONO!AA$12,CÁLCULO!$AR$15:$BR$244)/(ORÇAMENTO!$X$15-CÁLCULO.TotalAdmLocal)*CRONO!$F121,
                        0),
                 AA120*$S119),
          SUMIF(OFFSET($S121,1,0,$R119-2),($M119+1)&amp;"$",OFFSET(AA121,1,0,$R119-2)))</f>
        <v>0</v>
      </c>
      <c r="AB121" s="202" cm="1">
        <f t="array" aca="1" ref="AB121" ca="1">IF($R119=2,
         IF(AND(ACOMPANHAMENTO="PLE",ISNUMBER($F119)),
                SUMIF((OFFSET(CÁLCULO!$BS$15:$CS$15,$F119,0,OFFSET(ORÇAMENTO!$D$15,CRONO!$F119,0))),CRONO!AB$12,OFFSET(CÁLCULO!$AR$15:$BR$15,$F119,0,OFFSET(ORÇAMENTO!$D$15,CRONO!$F119,0)))
                +IF(AND($F121&lt;&gt;"",$F121&lt;&gt;0),
                        SUMIF(CÁLCULO!$BS$15:$CS$244,CRONO!AB$12,CÁLCULO!$AR$15:$BR$244)/(ORÇAMENTO!$X$15-CÁLCULO.TotalAdmLocal)*CRONO!$F121,
                        0),
                 AB120*$S119),
          SUMIF(OFFSET($S121,1,0,$R119-2),($M119+1)&amp;"$",OFFSET(AB121,1,0,$R119-2)))</f>
        <v>0</v>
      </c>
      <c r="AC121" s="202" cm="1">
        <f t="array" aca="1" ref="AC121" ca="1">IF($R119=2,
         IF(AND(ACOMPANHAMENTO="PLE",ISNUMBER($F119)),
                SUMIF((OFFSET(CÁLCULO!$BS$15:$CS$15,$F119,0,OFFSET(ORÇAMENTO!$D$15,CRONO!$F119,0))),CRONO!AC$12,OFFSET(CÁLCULO!$AR$15:$BR$15,$F119,0,OFFSET(ORÇAMENTO!$D$15,CRONO!$F119,0)))
                +IF(AND($F121&lt;&gt;"",$F121&lt;&gt;0),
                        SUMIF(CÁLCULO!$BS$15:$CS$244,CRONO!AC$12,CÁLCULO!$AR$15:$BR$244)/(ORÇAMENTO!$X$15-CÁLCULO.TotalAdmLocal)*CRONO!$F121,
                        0),
                 AC120*$S119),
          SUMIF(OFFSET($S121,1,0,$R119-2),($M119+1)&amp;"$",OFFSET(AC121,1,0,$R119-2)))</f>
        <v>0</v>
      </c>
      <c r="AD121" s="202" cm="1">
        <f t="array" aca="1" ref="AD121" ca="1">IF($R119=2,
         IF(AND(ACOMPANHAMENTO="PLE",ISNUMBER($F119)),
                SUMIF((OFFSET(CÁLCULO!$BS$15:$CS$15,$F119,0,OFFSET(ORÇAMENTO!$D$15,CRONO!$F119,0))),CRONO!AD$12,OFFSET(CÁLCULO!$AR$15:$BR$15,$F119,0,OFFSET(ORÇAMENTO!$D$15,CRONO!$F119,0)))
                +IF(AND($F121&lt;&gt;"",$F121&lt;&gt;0),
                        SUMIF(CÁLCULO!$BS$15:$CS$244,CRONO!AD$12,CÁLCULO!$AR$15:$BR$244)/(ORÇAMENTO!$X$15-CÁLCULO.TotalAdmLocal)*CRONO!$F121,
                        0),
                 AD120*$S119),
          SUMIF(OFFSET($S121,1,0,$R119-2),($M119+1)&amp;"$",OFFSET(AD121,1,0,$R119-2)))</f>
        <v>0</v>
      </c>
      <c r="AE121" s="202" cm="1">
        <f t="array" aca="1" ref="AE121" ca="1">IF($R119=2,
         IF(AND(ACOMPANHAMENTO="PLE",ISNUMBER($F119)),
                SUMIF((OFFSET(CÁLCULO!$BS$15:$CS$15,$F119,0,OFFSET(ORÇAMENTO!$D$15,CRONO!$F119,0))),CRONO!AE$12,OFFSET(CÁLCULO!$AR$15:$BR$15,$F119,0,OFFSET(ORÇAMENTO!$D$15,CRONO!$F119,0)))
                +IF(AND($F121&lt;&gt;"",$F121&lt;&gt;0),
                        SUMIF(CÁLCULO!$BS$15:$CS$244,CRONO!AE$12,CÁLCULO!$AR$15:$BR$244)/(ORÇAMENTO!$X$15-CÁLCULO.TotalAdmLocal)*CRONO!$F121,
                        0),
                 AE120*$S119),
          SUMIF(OFFSET($S121,1,0,$R119-2),($M119+1)&amp;"$",OFFSET(AE121,1,0,$R119-2)))</f>
        <v>0</v>
      </c>
      <c r="AF121" s="202" cm="1">
        <f t="array" aca="1" ref="AF121" ca="1">IF($R119=2,
         IF(AND(ACOMPANHAMENTO="PLE",ISNUMBER($F119)),
                SUMIF((OFFSET(CÁLCULO!$BS$15:$CS$15,$F119,0,OFFSET(ORÇAMENTO!$D$15,CRONO!$F119,0))),CRONO!AF$12,OFFSET(CÁLCULO!$AR$15:$BR$15,$F119,0,OFFSET(ORÇAMENTO!$D$15,CRONO!$F119,0)))
                +IF(AND($F121&lt;&gt;"",$F121&lt;&gt;0),
                        SUMIF(CÁLCULO!$BS$15:$CS$244,CRONO!AF$12,CÁLCULO!$AR$15:$BR$244)/(ORÇAMENTO!$X$15-CÁLCULO.TotalAdmLocal)*CRONO!$F121,
                        0),
                 AF120*$S119),
          SUMIF(OFFSET($S121,1,0,$R119-2),($M119+1)&amp;"$",OFFSET(AF121,1,0,$R119-2)))</f>
        <v>0</v>
      </c>
      <c r="AG121" s="202" cm="1">
        <f t="array" aca="1" ref="AG121" ca="1">IF($R119=2,
         IF(AND(ACOMPANHAMENTO="PLE",ISNUMBER($F119)),
                SUMIF((OFFSET(CÁLCULO!$BS$15:$CS$15,$F119,0,OFFSET(ORÇAMENTO!$D$15,CRONO!$F119,0))),CRONO!AG$12,OFFSET(CÁLCULO!$AR$15:$BR$15,$F119,0,OFFSET(ORÇAMENTO!$D$15,CRONO!$F119,0)))
                +IF(AND($F121&lt;&gt;"",$F121&lt;&gt;0),
                        SUMIF(CÁLCULO!$BS$15:$CS$244,CRONO!AG$12,CÁLCULO!$AR$15:$BR$244)/(ORÇAMENTO!$X$15-CÁLCULO.TotalAdmLocal)*CRONO!$F121,
                        0),
                 AG120*$S119),
          SUMIF(OFFSET($S121,1,0,$R119-2),($M119+1)&amp;"$",OFFSET(AG121,1,0,$R119-2)))</f>
        <v>0</v>
      </c>
      <c r="AH121" s="202" cm="1">
        <f t="array" aca="1" ref="AH121" ca="1">IF($R119=2,
         IF(AND(ACOMPANHAMENTO="PLE",ISNUMBER($F119)),
                SUMIF((OFFSET(CÁLCULO!$BS$15:$CS$15,$F119,0,OFFSET(ORÇAMENTO!$D$15,CRONO!$F119,0))),CRONO!AH$12,OFFSET(CÁLCULO!$AR$15:$BR$15,$F119,0,OFFSET(ORÇAMENTO!$D$15,CRONO!$F119,0)))
                +IF(AND($F121&lt;&gt;"",$F121&lt;&gt;0),
                        SUMIF(CÁLCULO!$BS$15:$CS$244,CRONO!AH$12,CÁLCULO!$AR$15:$BR$244)/(ORÇAMENTO!$X$15-CÁLCULO.TotalAdmLocal)*CRONO!$F121,
                        0),
                 AH120*$S119),
          SUMIF(OFFSET($S121,1,0,$R119-2),($M119+1)&amp;"$",OFFSET(AH121,1,0,$R119-2)))</f>
        <v>0</v>
      </c>
      <c r="AI121" s="202" cm="1">
        <f t="array" aca="1" ref="AI121" ca="1">IF($R119=2,
         IF(AND(ACOMPANHAMENTO="PLE",ISNUMBER($F119)),
                SUMIF((OFFSET(CÁLCULO!$BS$15:$CS$15,$F119,0,OFFSET(ORÇAMENTO!$D$15,CRONO!$F119,0))),CRONO!AI$12,OFFSET(CÁLCULO!$AR$15:$BR$15,$F119,0,OFFSET(ORÇAMENTO!$D$15,CRONO!$F119,0)))
                +IF(AND($F121&lt;&gt;"",$F121&lt;&gt;0),
                        SUMIF(CÁLCULO!$BS$15:$CS$244,CRONO!AI$12,CÁLCULO!$AR$15:$BR$244)/(ORÇAMENTO!$X$15-CÁLCULO.TotalAdmLocal)*CRONO!$F121,
                        0),
                 AI120*$S119),
          SUMIF(OFFSET($S121,1,0,$R119-2),($M119+1)&amp;"$",OFFSET(AI121,1,0,$R119-2)))</f>
        <v>0</v>
      </c>
      <c r="AJ121" s="202" cm="1">
        <f t="array" aca="1" ref="AJ121" ca="1">IF($R119=2,
         IF(AND(ACOMPANHAMENTO="PLE",ISNUMBER($F119)),
                SUMIF((OFFSET(CÁLCULO!$BS$15:$CS$15,$F119,0,OFFSET(ORÇAMENTO!$D$15,CRONO!$F119,0))),CRONO!AJ$12,OFFSET(CÁLCULO!$AR$15:$BR$15,$F119,0,OFFSET(ORÇAMENTO!$D$15,CRONO!$F119,0)))
                +IF(AND($F121&lt;&gt;"",$F121&lt;&gt;0),
                        SUMIF(CÁLCULO!$BS$15:$CS$244,CRONO!AJ$12,CÁLCULO!$AR$15:$BR$244)/(ORÇAMENTO!$X$15-CÁLCULO.TotalAdmLocal)*CRONO!$F121,
                        0),
                 AJ120*$S119),
          SUMIF(OFFSET($S121,1,0,$R119-2),($M119+1)&amp;"$",OFFSET(AJ121,1,0,$R119-2)))</f>
        <v>0</v>
      </c>
      <c r="AK121" s="202" cm="1">
        <f t="array" aca="1" ref="AK121" ca="1">IF($R119=2,
         IF(AND(ACOMPANHAMENTO="PLE",ISNUMBER($F119)),
                SUMIF((OFFSET(CÁLCULO!$BS$15:$CS$15,$F119,0,OFFSET(ORÇAMENTO!$D$15,CRONO!$F119,0))),CRONO!AK$12,OFFSET(CÁLCULO!$AR$15:$BR$15,$F119,0,OFFSET(ORÇAMENTO!$D$15,CRONO!$F119,0)))
                +IF(AND($F121&lt;&gt;"",$F121&lt;&gt;0),
                        SUMIF(CÁLCULO!$BS$15:$CS$244,CRONO!AK$12,CÁLCULO!$AR$15:$BR$244)/(ORÇAMENTO!$X$15-CÁLCULO.TotalAdmLocal)*CRONO!$F121,
                        0),
                 AK120*$S119),
          SUMIF(OFFSET($S121,1,0,$R119-2),($M119+1)&amp;"$",OFFSET(AK121,1,0,$R119-2)))</f>
        <v>0</v>
      </c>
      <c r="AL121" s="202" cm="1">
        <f t="array" aca="1" ref="AL121" ca="1">IF($R119=2,
         IF(AND(ACOMPANHAMENTO="PLE",ISNUMBER($F119)),
                SUMIF((OFFSET(CÁLCULO!$BS$15:$CS$15,$F119,0,OFFSET(ORÇAMENTO!$D$15,CRONO!$F119,0))),CRONO!AL$12,OFFSET(CÁLCULO!$AR$15:$BR$15,$F119,0,OFFSET(ORÇAMENTO!$D$15,CRONO!$F119,0)))
                +IF(AND($F121&lt;&gt;"",$F121&lt;&gt;0),
                        SUMIF(CÁLCULO!$BS$15:$CS$244,CRONO!AL$12,CÁLCULO!$AR$15:$BR$244)/(ORÇAMENTO!$X$15-CÁLCULO.TotalAdmLocal)*CRONO!$F121,
                        0),
                 AL120*$S119),
          SUMIF(OFFSET($S121,1,0,$R119-2),($M119+1)&amp;"$",OFFSET(AL121,1,0,$R119-2)))</f>
        <v>0</v>
      </c>
      <c r="AM121" s="202" cm="1">
        <f t="array" aca="1" ref="AM121" ca="1">IF($R119=2,
         IF(AND(ACOMPANHAMENTO="PLE",ISNUMBER($F119)),
                SUMIF((OFFSET(CÁLCULO!$BS$15:$CS$15,$F119,0,OFFSET(ORÇAMENTO!$D$15,CRONO!$F119,0))),CRONO!AM$12,OFFSET(CÁLCULO!$AR$15:$BR$15,$F119,0,OFFSET(ORÇAMENTO!$D$15,CRONO!$F119,0)))
                +IF(AND($F121&lt;&gt;"",$F121&lt;&gt;0),
                        SUMIF(CÁLCULO!$BS$15:$CS$244,CRONO!AM$12,CÁLCULO!$AR$15:$BR$244)/(ORÇAMENTO!$X$15-CÁLCULO.TotalAdmLocal)*CRONO!$F121,
                        0),
                 AM120*$S119),
          SUMIF(OFFSET($S121,1,0,$R119-2),($M119+1)&amp;"$",OFFSET(AM121,1,0,$R119-2)))</f>
        <v>0</v>
      </c>
      <c r="AN121" s="202" cm="1">
        <f t="array" aca="1" ref="AN121" ca="1">IF($R119=2,
         IF(AND(ACOMPANHAMENTO="PLE",ISNUMBER($F119)),
                SUMIF((OFFSET(CÁLCULO!$BS$15:$CS$15,$F119,0,OFFSET(ORÇAMENTO!$D$15,CRONO!$F119,0))),CRONO!AN$12,OFFSET(CÁLCULO!$AR$15:$BR$15,$F119,0,OFFSET(ORÇAMENTO!$D$15,CRONO!$F119,0)))
                +IF(AND($F121&lt;&gt;"",$F121&lt;&gt;0),
                        SUMIF(CÁLCULO!$BS$15:$CS$244,CRONO!AN$12,CÁLCULO!$AR$15:$BR$244)/(ORÇAMENTO!$X$15-CÁLCULO.TotalAdmLocal)*CRONO!$F121,
                        0),
                 AN120*$S119),
          SUMIF(OFFSET($S121,1,0,$R119-2),($M119+1)&amp;"$",OFFSET(AN121,1,0,$R119-2)))</f>
        <v>0</v>
      </c>
      <c r="AO121" s="202" cm="1">
        <f t="array" aca="1" ref="AO121" ca="1">IF($R119=2,
         IF(AND(ACOMPANHAMENTO="PLE",ISNUMBER($F119)),
                SUMIF((OFFSET(CÁLCULO!$BS$15:$CS$15,$F119,0,OFFSET(ORÇAMENTO!$D$15,CRONO!$F119,0))),CRONO!AO$12,OFFSET(CÁLCULO!$AR$15:$BR$15,$F119,0,OFFSET(ORÇAMENTO!$D$15,CRONO!$F119,0)))
                +IF(AND($F121&lt;&gt;"",$F121&lt;&gt;0),
                        SUMIF(CÁLCULO!$BS$15:$CS$244,CRONO!AO$12,CÁLCULO!$AR$15:$BR$244)/(ORÇAMENTO!$X$15-CÁLCULO.TotalAdmLocal)*CRONO!$F121,
                        0),
                 AO120*$S119),
          SUMIF(OFFSET($S121,1,0,$R119-2),($M119+1)&amp;"$",OFFSET(AO121,1,0,$R119-2)))</f>
        <v>0</v>
      </c>
      <c r="AP121" s="202" cm="1">
        <f t="array" aca="1" ref="AP121" ca="1">IF($R119=2,
         IF(AND(ACOMPANHAMENTO="PLE",ISNUMBER($F119)),
                SUMIF((OFFSET(CÁLCULO!$BS$15:$CS$15,$F119,0,OFFSET(ORÇAMENTO!$D$15,CRONO!$F119,0))),CRONO!AP$12,OFFSET(CÁLCULO!$AR$15:$BR$15,$F119,0,OFFSET(ORÇAMENTO!$D$15,CRONO!$F119,0)))
                +IF(AND($F121&lt;&gt;"",$F121&lt;&gt;0),
                        SUMIF(CÁLCULO!$BS$15:$CS$244,CRONO!AP$12,CÁLCULO!$AR$15:$BR$244)/(ORÇAMENTO!$X$15-CÁLCULO.TotalAdmLocal)*CRONO!$F121,
                        0),
                 AP120*$S119),
          SUMIF(OFFSET($S121,1,0,$R119-2),($M119+1)&amp;"$",OFFSET(AP121,1,0,$R119-2)))</f>
        <v>0</v>
      </c>
      <c r="AQ121" s="202" cm="1">
        <f t="array" aca="1" ref="AQ121" ca="1">IF($R119=2,
         IF(AND(ACOMPANHAMENTO="PLE",ISNUMBER($F119)),
                SUMIF((OFFSET(CÁLCULO!$BS$15:$CS$15,$F119,0,OFFSET(ORÇAMENTO!$D$15,CRONO!$F119,0))),CRONO!AQ$12,OFFSET(CÁLCULO!$AR$15:$BR$15,$F119,0,OFFSET(ORÇAMENTO!$D$15,CRONO!$F119,0)))
                +IF(AND($F121&lt;&gt;"",$F121&lt;&gt;0),
                        SUMIF(CÁLCULO!$BS$15:$CS$244,CRONO!AQ$12,CÁLCULO!$AR$15:$BR$244)/(ORÇAMENTO!$X$15-CÁLCULO.TotalAdmLocal)*CRONO!$F121,
                        0),
                 AQ120*$S119),
          SUMIF(OFFSET($S121,1,0,$R119-2),($M119+1)&amp;"$",OFFSET(AQ121,1,0,$R119-2)))</f>
        <v>0</v>
      </c>
      <c r="AR121" s="202" cm="1">
        <f t="array" aca="1" ref="AR121" ca="1">IF($R119=2,
         IF(AND(ACOMPANHAMENTO="PLE",ISNUMBER($F119)),
                SUMIF((OFFSET(CÁLCULO!$BS$15:$CS$15,$F119,0,OFFSET(ORÇAMENTO!$D$15,CRONO!$F119,0))),CRONO!AR$12,OFFSET(CÁLCULO!$AR$15:$BR$15,$F119,0,OFFSET(ORÇAMENTO!$D$15,CRONO!$F119,0)))
                +IF(AND($F121&lt;&gt;"",$F121&lt;&gt;0),
                        SUMIF(CÁLCULO!$BS$15:$CS$244,CRONO!AR$12,CÁLCULO!$AR$15:$BR$244)/(ORÇAMENTO!$X$15-CÁLCULO.TotalAdmLocal)*CRONO!$F121,
                        0),
                 AR120*$S119),
          SUMIF(OFFSET($S121,1,0,$R119-2),($M119+1)&amp;"$",OFFSET(AR121,1,0,$R119-2)))</f>
        <v>0</v>
      </c>
      <c r="AS121" s="534"/>
    </row>
    <row r="122" spans="1:45" x14ac:dyDescent="0.2">
      <c r="A122" s="186" t="e">
        <f t="shared" ref="A122" ca="1" si="218">IF($M122&gt;1,_xlfn.CONCAT($I122," ",$J122),"")</f>
        <v>#NAME?</v>
      </c>
      <c r="B122" s="185">
        <f t="shared" ref="B122" ca="1" si="219">OFFSET(B122,-3,0)+1</f>
        <v>37</v>
      </c>
      <c r="C122" s="185">
        <f ca="1">IF($R122&lt;&gt;2,0,IF($S122=0,1,IF(F123&gt;0,OFFSET(QCI!$M$13,SUBSTITUTE(F123,".",""),0),OFFSET(ORÇAMENTO!$AA$15,CRONO!$F122,0))/$S122))</f>
        <v>1</v>
      </c>
      <c r="D122" s="185">
        <f ca="1">IF($R122&lt;&gt;2,0,IF($S122=0,1,IF(F123&gt;0,OFFSET(QCI!$N$13,SUBSTITUTE(F123,".",""),0),OFFSET(ORÇAMENTO!$AB$15,CRONO!$F122,0))/$S122))</f>
        <v>1</v>
      </c>
      <c r="E122" s="188" t="e" cm="1">
        <f t="array" aca="1" ref="E122" ca="1">IF(AND($R122=2,ACOMPANHAMENTO="BM"),ROUND(E123,4),E124/$S122)</f>
        <v>#DIV/0!</v>
      </c>
      <c r="F122" s="185" cm="1">
        <f t="array" aca="1" ref="F122" ca="1">IF(B122&lt;=ORÇAMENTO.MáximoListaCrono,MATCH(B122,ORÇAMENTO.ListaCrono,0),NA())</f>
        <v>152</v>
      </c>
      <c r="G122" s="185" t="str">
        <f t="shared" ref="G122" ca="1" si="220">IF(AND($F123&lt;&gt;-1,$S122&gt;0),"F","")</f>
        <v/>
      </c>
      <c r="H122" s="189" t="str" cm="1">
        <f t="array" aca="1" ref="H122" ca="1">IF(OR(S122=0,S122=""),"Linha",IF(AND(OR(ACOMPANHAMENTO="PLE",$R122&lt;&gt;2),$F123=0),"Linha",ROUND(1-SUM(U122:AS122),4)))</f>
        <v>Linha</v>
      </c>
      <c r="I122" s="190" t="str">
        <f ca="1">IF($F123=0,OFFSET(ORÇAMENTO!O$15,$F122,0),IF($F123&lt;&gt;-1,OFFSET(QCI!$D$13,$F123,0),""))</f>
        <v>9.2.1.</v>
      </c>
      <c r="J122" s="191" t="str">
        <f ca="1">IF($F123=0,OFFSET(ORÇAMENTO!R$15,$F122,0),IF($F123&lt;&gt;-1,OFFSET(QCI!$G$13,$F123,0),""))</f>
        <v>TUBULAÇÕES E CONEXÕES HIDRÁULICAS</v>
      </c>
      <c r="K122" s="191"/>
      <c r="L122" s="191"/>
      <c r="M122" s="192">
        <f ca="1">IF($F123=0,OFFSET(ORÇAMENTO!C$15,$F122,0),1)</f>
        <v>3</v>
      </c>
      <c r="N122" s="193">
        <f ca="1">IF($F123=-1,0,IF(N$13&lt;=$M122,IF(ISERROR(MATCH(N$13,OFFSET($M122,1,0,ROW($M$164)-ROW($M122)-1),0)),ROW($M$164)-ROW($M122)-1,MATCH(N$13,OFFSET($M122,1,0,ROW($M$164)-ROW($M122)-1),0)-1),0))</f>
        <v>23</v>
      </c>
      <c r="O122" s="193">
        <f ca="1">IF($F123=-1,0,IF(O$13&lt;=$M122,IF(ISERROR(MATCH(O$13,OFFSET($M122,1,0,ROW($M$164)-ROW($M122)-1),0)),ROW($M$164)-ROW($M122)-1,MATCH(O$13,OFFSET($M122,1,0,ROW($M$164)-ROW($M122)-1),0)-1),0))</f>
        <v>11</v>
      </c>
      <c r="P122" s="193">
        <f ca="1">IF($F123=-1,0,IF(P$13&lt;=$M122,IF(ISERROR(MATCH(P$13,OFFSET($M122,1,0,ROW($M$164)-ROW($M122)-1),0)),ROW($M$164)-ROW($M122)-1,MATCH(P$13,OFFSET($M122,1,0,ROW($M$164)-ROW($M122)-1),0)-1),0))</f>
        <v>2</v>
      </c>
      <c r="Q122" s="193">
        <f ca="1">IF($F123=-1,0,IF(Q$13&lt;=$M122,IF(ISERROR(MATCH(Q$13,OFFSET($M122,1,0,ROW($M$164)-ROW($M122)-1),0)),ROW($M$164)-ROW($M122)-1,MATCH(Q$13,OFFSET($M122,1,0,ROW($M$164)-ROW($M122)-1),0)-1),0))</f>
        <v>0</v>
      </c>
      <c r="R122" s="193">
        <f t="shared" ref="R122" ca="1" si="221">MIN(OFFSET(M122,0,1,,M122))</f>
        <v>2</v>
      </c>
      <c r="S122" s="194">
        <f ca="1">IF($F123=0,OFFSET(ORÇAMENTO!X$15,$F122,0),IF($F123&lt;&gt;-1,OFFSET(QCI!$O$13,$F123,0),""))</f>
        <v>0</v>
      </c>
      <c r="T122" s="195" t="s">
        <v>785</v>
      </c>
      <c r="U122" s="188" t="e" cm="1">
        <f t="array" aca="1" ref="U122" ca="1">IF(AND($R122=2,ACOMPANHAMENTO="BM"),ROUND(U123,4),U124/$S122)</f>
        <v>#DIV/0!</v>
      </c>
      <c r="V122" s="188" t="e" cm="1">
        <f t="array" aca="1" ref="V122" ca="1">IF(AND($R122=2,ACOMPANHAMENTO="BM"),ROUND(V123,4),V124/$S122)</f>
        <v>#DIV/0!</v>
      </c>
      <c r="W122" s="188" t="e" cm="1">
        <f t="array" aca="1" ref="W122" ca="1">IF(AND($R122=2,ACOMPANHAMENTO="BM"),ROUND(W123,4),W124/$S122)</f>
        <v>#DIV/0!</v>
      </c>
      <c r="X122" s="188" t="e" cm="1">
        <f t="array" aca="1" ref="X122" ca="1">IF(AND($R122=2,ACOMPANHAMENTO="BM"),ROUND(X123,4),X124/$S122)</f>
        <v>#DIV/0!</v>
      </c>
      <c r="Y122" s="188" t="e" cm="1">
        <f t="array" aca="1" ref="Y122" ca="1">IF(AND($R122=2,ACOMPANHAMENTO="BM"),ROUND(Y123,4),Y124/$S122)</f>
        <v>#DIV/0!</v>
      </c>
      <c r="Z122" s="188" t="e" cm="1">
        <f t="array" aca="1" ref="Z122" ca="1">IF(AND($R122=2,ACOMPANHAMENTO="BM"),ROUND(Z123,4),Z124/$S122)</f>
        <v>#DIV/0!</v>
      </c>
      <c r="AA122" s="188" t="e" cm="1">
        <f t="array" aca="1" ref="AA122" ca="1">IF(AND($R122=2,ACOMPANHAMENTO="BM"),ROUND(AA123,4),AA124/$S122)</f>
        <v>#DIV/0!</v>
      </c>
      <c r="AB122" s="188" t="e" cm="1">
        <f t="array" aca="1" ref="AB122" ca="1">IF(AND($R122=2,ACOMPANHAMENTO="BM"),ROUND(AB123,4),AB124/$S122)</f>
        <v>#DIV/0!</v>
      </c>
      <c r="AC122" s="188" t="e" cm="1">
        <f t="array" aca="1" ref="AC122" ca="1">IF(AND($R122=2,ACOMPANHAMENTO="BM"),ROUND(AC123,4),AC124/$S122)</f>
        <v>#DIV/0!</v>
      </c>
      <c r="AD122" s="188" t="e" cm="1">
        <f t="array" aca="1" ref="AD122" ca="1">IF(AND($R122=2,ACOMPANHAMENTO="BM"),ROUND(AD123,4),AD124/$S122)</f>
        <v>#DIV/0!</v>
      </c>
      <c r="AE122" s="188" t="e" cm="1">
        <f t="array" aca="1" ref="AE122" ca="1">IF(AND($R122=2,ACOMPANHAMENTO="BM"),ROUND(AE123,4),AE124/$S122)</f>
        <v>#DIV/0!</v>
      </c>
      <c r="AF122" s="188" t="e" cm="1">
        <f t="array" aca="1" ref="AF122" ca="1">IF(AND($R122=2,ACOMPANHAMENTO="BM"),ROUND(AF123,4),AF124/$S122)</f>
        <v>#DIV/0!</v>
      </c>
      <c r="AG122" s="188" t="e" cm="1">
        <f t="array" aca="1" ref="AG122" ca="1">IF(AND($R122=2,ACOMPANHAMENTO="BM"),ROUND(AG123,4),AG124/$S122)</f>
        <v>#DIV/0!</v>
      </c>
      <c r="AH122" s="188" t="e" cm="1">
        <f t="array" aca="1" ref="AH122" ca="1">IF(AND($R122=2,ACOMPANHAMENTO="BM"),ROUND(AH123,4),AH124/$S122)</f>
        <v>#DIV/0!</v>
      </c>
      <c r="AI122" s="188" t="e" cm="1">
        <f t="array" aca="1" ref="AI122" ca="1">IF(AND($R122=2,ACOMPANHAMENTO="BM"),ROUND(AI123,4),AI124/$S122)</f>
        <v>#DIV/0!</v>
      </c>
      <c r="AJ122" s="188" t="e" cm="1">
        <f t="array" aca="1" ref="AJ122" ca="1">IF(AND($R122=2,ACOMPANHAMENTO="BM"),ROUND(AJ123,4),AJ124/$S122)</f>
        <v>#DIV/0!</v>
      </c>
      <c r="AK122" s="188" t="e" cm="1">
        <f t="array" aca="1" ref="AK122" ca="1">IF(AND($R122=2,ACOMPANHAMENTO="BM"),ROUND(AK123,4),AK124/$S122)</f>
        <v>#DIV/0!</v>
      </c>
      <c r="AL122" s="188" t="e" cm="1">
        <f t="array" aca="1" ref="AL122" ca="1">IF(AND($R122=2,ACOMPANHAMENTO="BM"),ROUND(AL123,4),AL124/$S122)</f>
        <v>#DIV/0!</v>
      </c>
      <c r="AM122" s="188" t="e" cm="1">
        <f t="array" aca="1" ref="AM122" ca="1">IF(AND($R122=2,ACOMPANHAMENTO="BM"),ROUND(AM123,4),AM124/$S122)</f>
        <v>#DIV/0!</v>
      </c>
      <c r="AN122" s="188" t="e" cm="1">
        <f t="array" aca="1" ref="AN122" ca="1">IF(AND($R122=2,ACOMPANHAMENTO="BM"),ROUND(AN123,4),AN124/$S122)</f>
        <v>#DIV/0!</v>
      </c>
      <c r="AO122" s="188" t="e" cm="1">
        <f t="array" aca="1" ref="AO122" ca="1">IF(AND($R122=2,ACOMPANHAMENTO="BM"),ROUND(AO123,4),AO124/$S122)</f>
        <v>#DIV/0!</v>
      </c>
      <c r="AP122" s="188" t="e" cm="1">
        <f t="array" aca="1" ref="AP122" ca="1">IF(AND($R122=2,ACOMPANHAMENTO="BM"),ROUND(AP123,4),AP124/$S122)</f>
        <v>#DIV/0!</v>
      </c>
      <c r="AQ122" s="188" t="e" cm="1">
        <f t="array" aca="1" ref="AQ122" ca="1">IF(AND($R122=2,ACOMPANHAMENTO="BM"),ROUND(AQ123,4),AQ124/$S122)</f>
        <v>#DIV/0!</v>
      </c>
      <c r="AR122" s="188" t="e" cm="1">
        <f t="array" aca="1" ref="AR122" ca="1">IF(AND($R122=2,ACOMPANHAMENTO="BM"),ROUND(AR123,4),AR124/$S122)</f>
        <v>#DIV/0!</v>
      </c>
      <c r="AS122" s="534"/>
    </row>
    <row r="123" spans="1:45" ht="12.75" hidden="1" customHeight="1" x14ac:dyDescent="0.2">
      <c r="E123" s="587"/>
      <c r="F123" s="185">
        <f ca="1">IF(ISERROR(F122),IF(1+COUNTIF($M$13:OFFSET(M122,-1,0),1)&lt;=MAX(QCI!$D$13:$D$24),1+COUNTIF($M$13:OFFSET(M122,-1,0),1),-1),0)</f>
        <v>0</v>
      </c>
      <c r="G123" s="185" t="str" cm="1">
        <f t="array" aca="1" ref="G123" ca="1">IF(ACOMPANHAMENTO="BM",OFFSET(G123,-1,0),"")</f>
        <v/>
      </c>
      <c r="H123" s="196" t="str" cm="1">
        <f t="array" aca="1" ref="H123" ca="1">IF(OR(S122=0,S122=""),"vazia",IF(AND(OR(ACOMPANHAMENTO="PLE",$R122&lt;&gt;2),$F123=0),"calculada","--&gt;"))</f>
        <v>vazia</v>
      </c>
      <c r="I123" s="197"/>
      <c r="J123" s="198" t="str">
        <f t="shared" ref="J123" ca="1" si="222">IF(AND(H122&lt;&gt;0,ISNUMBER(H122)),"PREENCHA ESTA LINHA --&gt;","")</f>
        <v/>
      </c>
      <c r="K123" s="198"/>
      <c r="L123" s="198"/>
      <c r="M123" s="199"/>
      <c r="N123" s="199"/>
      <c r="O123" s="199"/>
      <c r="P123" s="199"/>
      <c r="Q123" s="199"/>
      <c r="R123" s="199"/>
      <c r="S123" s="200"/>
      <c r="T123" s="201"/>
      <c r="U123" s="587"/>
      <c r="V123" s="587"/>
      <c r="W123" s="587"/>
      <c r="X123" s="587"/>
      <c r="Y123" s="587"/>
      <c r="Z123" s="587"/>
      <c r="AA123" s="587"/>
      <c r="AB123" s="587"/>
      <c r="AC123" s="587"/>
      <c r="AD123" s="587"/>
      <c r="AE123" s="587"/>
      <c r="AF123" s="587"/>
      <c r="AG123" s="587"/>
      <c r="AH123" s="587"/>
      <c r="AI123" s="587"/>
      <c r="AJ123" s="587"/>
      <c r="AK123" s="587"/>
      <c r="AL123" s="587"/>
      <c r="AM123" s="587"/>
      <c r="AN123" s="587"/>
      <c r="AO123" s="587"/>
      <c r="AP123" s="587"/>
      <c r="AQ123" s="587"/>
      <c r="AR123" s="587"/>
      <c r="AS123" s="534"/>
    </row>
    <row r="124" spans="1:45" ht="12.75" hidden="1" customHeight="1" x14ac:dyDescent="0.2">
      <c r="D124" s="533"/>
      <c r="E124" s="202" cm="1">
        <f t="array" aca="1" ref="E124" ca="1">IF($R122=2,
         IF(AND(ACOMPANHAMENTO="PLE",ISNUMBER($F122)),
                SUMIF((OFFSET(CÁLCULO!$BS$15:$CS$15,$F122,0,OFFSET(ORÇAMENTO!$D$15,CRONO!$F122,0))),CRONO!E$12,OFFSET(CÁLCULO!$AR$15:$BR$15,$F122,0,OFFSET(ORÇAMENTO!$D$15,CRONO!$F122,0)))
                +IF(AND($F124&lt;&gt;"",$F124&lt;&gt;0),
                        SUMIF(CÁLCULO!$BS$15:$CS$244,CRONO!E$12,CÁLCULO!$AR$15:$BR$244)/(ORÇAMENTO!$X$15-CÁLCULO.TotalAdmLocal)*CRONO!$F124,
                        0),
                 E123*$S122),
          SUMIF(OFFSET($S124,1,0,$R122-2),($M122+1)&amp;"$",OFFSET(E124,1,0,$R122-2)))</f>
        <v>0</v>
      </c>
      <c r="F124" s="185">
        <f ca="1">IF(OR($R122&lt;&gt;2,AUTOEVENTO&lt;&gt;"manual",$F123&gt;0),"",
        IF(Import.TipoArredondamento="Tradicional",
              SUMIF(OFFSET(CÁLCULO!$M$15,CRONO!$F122,0,OFFSET(ORÇAMENTO!$D$15,CRONO!$F122,0)),1,OFFSET(ORÇAMENTO!$X$15,CRONO!$F122,0,OFFSET(ORÇAMENTO!$D$15,CRONO!$F122,0))),
              0))</f>
        <v>0</v>
      </c>
      <c r="H124" s="203"/>
      <c r="S124" s="204" t="str">
        <f t="shared" ref="S124" ca="1" si="223">M122&amp;"$"</f>
        <v>3$</v>
      </c>
      <c r="T124" s="205"/>
      <c r="U124" s="202" cm="1">
        <f t="array" aca="1" ref="U124" ca="1">IF($R122=2,
         IF(AND(ACOMPANHAMENTO="PLE",ISNUMBER($F122)),
                SUMIF((OFFSET(CÁLCULO!$BS$15:$CS$15,$F122,0,OFFSET(ORÇAMENTO!$D$15,CRONO!$F122,0))),CRONO!U$12,OFFSET(CÁLCULO!$AR$15:$BR$15,$F122,0,OFFSET(ORÇAMENTO!$D$15,CRONO!$F122,0)))
                +IF(AND($F124&lt;&gt;"",$F124&lt;&gt;0),
                        SUMIF(CÁLCULO!$BS$15:$CS$244,CRONO!U$12,CÁLCULO!$AR$15:$BR$244)/(ORÇAMENTO!$X$15-CÁLCULO.TotalAdmLocal)*CRONO!$F124,
                        0),
                 U123*$S122),
          SUMIF(OFFSET($S124,1,0,$R122-2),($M122+1)&amp;"$",OFFSET(U124,1,0,$R122-2)))</f>
        <v>0</v>
      </c>
      <c r="V124" s="202" cm="1">
        <f t="array" aca="1" ref="V124" ca="1">IF($R122=2,
         IF(AND(ACOMPANHAMENTO="PLE",ISNUMBER($F122)),
                SUMIF((OFFSET(CÁLCULO!$BS$15:$CS$15,$F122,0,OFFSET(ORÇAMENTO!$D$15,CRONO!$F122,0))),CRONO!V$12,OFFSET(CÁLCULO!$AR$15:$BR$15,$F122,0,OFFSET(ORÇAMENTO!$D$15,CRONO!$F122,0)))
                +IF(AND($F124&lt;&gt;"",$F124&lt;&gt;0),
                        SUMIF(CÁLCULO!$BS$15:$CS$244,CRONO!V$12,CÁLCULO!$AR$15:$BR$244)/(ORÇAMENTO!$X$15-CÁLCULO.TotalAdmLocal)*CRONO!$F124,
                        0),
                 V123*$S122),
          SUMIF(OFFSET($S124,1,0,$R122-2),($M122+1)&amp;"$",OFFSET(V124,1,0,$R122-2)))</f>
        <v>0</v>
      </c>
      <c r="W124" s="202" cm="1">
        <f t="array" aca="1" ref="W124" ca="1">IF($R122=2,
         IF(AND(ACOMPANHAMENTO="PLE",ISNUMBER($F122)),
                SUMIF((OFFSET(CÁLCULO!$BS$15:$CS$15,$F122,0,OFFSET(ORÇAMENTO!$D$15,CRONO!$F122,0))),CRONO!W$12,OFFSET(CÁLCULO!$AR$15:$BR$15,$F122,0,OFFSET(ORÇAMENTO!$D$15,CRONO!$F122,0)))
                +IF(AND($F124&lt;&gt;"",$F124&lt;&gt;0),
                        SUMIF(CÁLCULO!$BS$15:$CS$244,CRONO!W$12,CÁLCULO!$AR$15:$BR$244)/(ORÇAMENTO!$X$15-CÁLCULO.TotalAdmLocal)*CRONO!$F124,
                        0),
                 W123*$S122),
          SUMIF(OFFSET($S124,1,0,$R122-2),($M122+1)&amp;"$",OFFSET(W124,1,0,$R122-2)))</f>
        <v>0</v>
      </c>
      <c r="X124" s="202" cm="1">
        <f t="array" aca="1" ref="X124" ca="1">IF($R122=2,
         IF(AND(ACOMPANHAMENTO="PLE",ISNUMBER($F122)),
                SUMIF((OFFSET(CÁLCULO!$BS$15:$CS$15,$F122,0,OFFSET(ORÇAMENTO!$D$15,CRONO!$F122,0))),CRONO!X$12,OFFSET(CÁLCULO!$AR$15:$BR$15,$F122,0,OFFSET(ORÇAMENTO!$D$15,CRONO!$F122,0)))
                +IF(AND($F124&lt;&gt;"",$F124&lt;&gt;0),
                        SUMIF(CÁLCULO!$BS$15:$CS$244,CRONO!X$12,CÁLCULO!$AR$15:$BR$244)/(ORÇAMENTO!$X$15-CÁLCULO.TotalAdmLocal)*CRONO!$F124,
                        0),
                 X123*$S122),
          SUMIF(OFFSET($S124,1,0,$R122-2),($M122+1)&amp;"$",OFFSET(X124,1,0,$R122-2)))</f>
        <v>0</v>
      </c>
      <c r="Y124" s="202" cm="1">
        <f t="array" aca="1" ref="Y124" ca="1">IF($R122=2,
         IF(AND(ACOMPANHAMENTO="PLE",ISNUMBER($F122)),
                SUMIF((OFFSET(CÁLCULO!$BS$15:$CS$15,$F122,0,OFFSET(ORÇAMENTO!$D$15,CRONO!$F122,0))),CRONO!Y$12,OFFSET(CÁLCULO!$AR$15:$BR$15,$F122,0,OFFSET(ORÇAMENTO!$D$15,CRONO!$F122,0)))
                +IF(AND($F124&lt;&gt;"",$F124&lt;&gt;0),
                        SUMIF(CÁLCULO!$BS$15:$CS$244,CRONO!Y$12,CÁLCULO!$AR$15:$BR$244)/(ORÇAMENTO!$X$15-CÁLCULO.TotalAdmLocal)*CRONO!$F124,
                        0),
                 Y123*$S122),
          SUMIF(OFFSET($S124,1,0,$R122-2),($M122+1)&amp;"$",OFFSET(Y124,1,0,$R122-2)))</f>
        <v>0</v>
      </c>
      <c r="Z124" s="202" cm="1">
        <f t="array" aca="1" ref="Z124" ca="1">IF($R122=2,
         IF(AND(ACOMPANHAMENTO="PLE",ISNUMBER($F122)),
                SUMIF((OFFSET(CÁLCULO!$BS$15:$CS$15,$F122,0,OFFSET(ORÇAMENTO!$D$15,CRONO!$F122,0))),CRONO!Z$12,OFFSET(CÁLCULO!$AR$15:$BR$15,$F122,0,OFFSET(ORÇAMENTO!$D$15,CRONO!$F122,0)))
                +IF(AND($F124&lt;&gt;"",$F124&lt;&gt;0),
                        SUMIF(CÁLCULO!$BS$15:$CS$244,CRONO!Z$12,CÁLCULO!$AR$15:$BR$244)/(ORÇAMENTO!$X$15-CÁLCULO.TotalAdmLocal)*CRONO!$F124,
                        0),
                 Z123*$S122),
          SUMIF(OFFSET($S124,1,0,$R122-2),($M122+1)&amp;"$",OFFSET(Z124,1,0,$R122-2)))</f>
        <v>0</v>
      </c>
      <c r="AA124" s="202" cm="1">
        <f t="array" aca="1" ref="AA124" ca="1">IF($R122=2,
         IF(AND(ACOMPANHAMENTO="PLE",ISNUMBER($F122)),
                SUMIF((OFFSET(CÁLCULO!$BS$15:$CS$15,$F122,0,OFFSET(ORÇAMENTO!$D$15,CRONO!$F122,0))),CRONO!AA$12,OFFSET(CÁLCULO!$AR$15:$BR$15,$F122,0,OFFSET(ORÇAMENTO!$D$15,CRONO!$F122,0)))
                +IF(AND($F124&lt;&gt;"",$F124&lt;&gt;0),
                        SUMIF(CÁLCULO!$BS$15:$CS$244,CRONO!AA$12,CÁLCULO!$AR$15:$BR$244)/(ORÇAMENTO!$X$15-CÁLCULO.TotalAdmLocal)*CRONO!$F124,
                        0),
                 AA123*$S122),
          SUMIF(OFFSET($S124,1,0,$R122-2),($M122+1)&amp;"$",OFFSET(AA124,1,0,$R122-2)))</f>
        <v>0</v>
      </c>
      <c r="AB124" s="202" cm="1">
        <f t="array" aca="1" ref="AB124" ca="1">IF($R122=2,
         IF(AND(ACOMPANHAMENTO="PLE",ISNUMBER($F122)),
                SUMIF((OFFSET(CÁLCULO!$BS$15:$CS$15,$F122,0,OFFSET(ORÇAMENTO!$D$15,CRONO!$F122,0))),CRONO!AB$12,OFFSET(CÁLCULO!$AR$15:$BR$15,$F122,0,OFFSET(ORÇAMENTO!$D$15,CRONO!$F122,0)))
                +IF(AND($F124&lt;&gt;"",$F124&lt;&gt;0),
                        SUMIF(CÁLCULO!$BS$15:$CS$244,CRONO!AB$12,CÁLCULO!$AR$15:$BR$244)/(ORÇAMENTO!$X$15-CÁLCULO.TotalAdmLocal)*CRONO!$F124,
                        0),
                 AB123*$S122),
          SUMIF(OFFSET($S124,1,0,$R122-2),($M122+1)&amp;"$",OFFSET(AB124,1,0,$R122-2)))</f>
        <v>0</v>
      </c>
      <c r="AC124" s="202" cm="1">
        <f t="array" aca="1" ref="AC124" ca="1">IF($R122=2,
         IF(AND(ACOMPANHAMENTO="PLE",ISNUMBER($F122)),
                SUMIF((OFFSET(CÁLCULO!$BS$15:$CS$15,$F122,0,OFFSET(ORÇAMENTO!$D$15,CRONO!$F122,0))),CRONO!AC$12,OFFSET(CÁLCULO!$AR$15:$BR$15,$F122,0,OFFSET(ORÇAMENTO!$D$15,CRONO!$F122,0)))
                +IF(AND($F124&lt;&gt;"",$F124&lt;&gt;0),
                        SUMIF(CÁLCULO!$BS$15:$CS$244,CRONO!AC$12,CÁLCULO!$AR$15:$BR$244)/(ORÇAMENTO!$X$15-CÁLCULO.TotalAdmLocal)*CRONO!$F124,
                        0),
                 AC123*$S122),
          SUMIF(OFFSET($S124,1,0,$R122-2),($M122+1)&amp;"$",OFFSET(AC124,1,0,$R122-2)))</f>
        <v>0</v>
      </c>
      <c r="AD124" s="202" cm="1">
        <f t="array" aca="1" ref="AD124" ca="1">IF($R122=2,
         IF(AND(ACOMPANHAMENTO="PLE",ISNUMBER($F122)),
                SUMIF((OFFSET(CÁLCULO!$BS$15:$CS$15,$F122,0,OFFSET(ORÇAMENTO!$D$15,CRONO!$F122,0))),CRONO!AD$12,OFFSET(CÁLCULO!$AR$15:$BR$15,$F122,0,OFFSET(ORÇAMENTO!$D$15,CRONO!$F122,0)))
                +IF(AND($F124&lt;&gt;"",$F124&lt;&gt;0),
                        SUMIF(CÁLCULO!$BS$15:$CS$244,CRONO!AD$12,CÁLCULO!$AR$15:$BR$244)/(ORÇAMENTO!$X$15-CÁLCULO.TotalAdmLocal)*CRONO!$F124,
                        0),
                 AD123*$S122),
          SUMIF(OFFSET($S124,1,0,$R122-2),($M122+1)&amp;"$",OFFSET(AD124,1,0,$R122-2)))</f>
        <v>0</v>
      </c>
      <c r="AE124" s="202" cm="1">
        <f t="array" aca="1" ref="AE124" ca="1">IF($R122=2,
         IF(AND(ACOMPANHAMENTO="PLE",ISNUMBER($F122)),
                SUMIF((OFFSET(CÁLCULO!$BS$15:$CS$15,$F122,0,OFFSET(ORÇAMENTO!$D$15,CRONO!$F122,0))),CRONO!AE$12,OFFSET(CÁLCULO!$AR$15:$BR$15,$F122,0,OFFSET(ORÇAMENTO!$D$15,CRONO!$F122,0)))
                +IF(AND($F124&lt;&gt;"",$F124&lt;&gt;0),
                        SUMIF(CÁLCULO!$BS$15:$CS$244,CRONO!AE$12,CÁLCULO!$AR$15:$BR$244)/(ORÇAMENTO!$X$15-CÁLCULO.TotalAdmLocal)*CRONO!$F124,
                        0),
                 AE123*$S122),
          SUMIF(OFFSET($S124,1,0,$R122-2),($M122+1)&amp;"$",OFFSET(AE124,1,0,$R122-2)))</f>
        <v>0</v>
      </c>
      <c r="AF124" s="202" cm="1">
        <f t="array" aca="1" ref="AF124" ca="1">IF($R122=2,
         IF(AND(ACOMPANHAMENTO="PLE",ISNUMBER($F122)),
                SUMIF((OFFSET(CÁLCULO!$BS$15:$CS$15,$F122,0,OFFSET(ORÇAMENTO!$D$15,CRONO!$F122,0))),CRONO!AF$12,OFFSET(CÁLCULO!$AR$15:$BR$15,$F122,0,OFFSET(ORÇAMENTO!$D$15,CRONO!$F122,0)))
                +IF(AND($F124&lt;&gt;"",$F124&lt;&gt;0),
                        SUMIF(CÁLCULO!$BS$15:$CS$244,CRONO!AF$12,CÁLCULO!$AR$15:$BR$244)/(ORÇAMENTO!$X$15-CÁLCULO.TotalAdmLocal)*CRONO!$F124,
                        0),
                 AF123*$S122),
          SUMIF(OFFSET($S124,1,0,$R122-2),($M122+1)&amp;"$",OFFSET(AF124,1,0,$R122-2)))</f>
        <v>0</v>
      </c>
      <c r="AG124" s="202" cm="1">
        <f t="array" aca="1" ref="AG124" ca="1">IF($R122=2,
         IF(AND(ACOMPANHAMENTO="PLE",ISNUMBER($F122)),
                SUMIF((OFFSET(CÁLCULO!$BS$15:$CS$15,$F122,0,OFFSET(ORÇAMENTO!$D$15,CRONO!$F122,0))),CRONO!AG$12,OFFSET(CÁLCULO!$AR$15:$BR$15,$F122,0,OFFSET(ORÇAMENTO!$D$15,CRONO!$F122,0)))
                +IF(AND($F124&lt;&gt;"",$F124&lt;&gt;0),
                        SUMIF(CÁLCULO!$BS$15:$CS$244,CRONO!AG$12,CÁLCULO!$AR$15:$BR$244)/(ORÇAMENTO!$X$15-CÁLCULO.TotalAdmLocal)*CRONO!$F124,
                        0),
                 AG123*$S122),
          SUMIF(OFFSET($S124,1,0,$R122-2),($M122+1)&amp;"$",OFFSET(AG124,1,0,$R122-2)))</f>
        <v>0</v>
      </c>
      <c r="AH124" s="202" cm="1">
        <f t="array" aca="1" ref="AH124" ca="1">IF($R122=2,
         IF(AND(ACOMPANHAMENTO="PLE",ISNUMBER($F122)),
                SUMIF((OFFSET(CÁLCULO!$BS$15:$CS$15,$F122,0,OFFSET(ORÇAMENTO!$D$15,CRONO!$F122,0))),CRONO!AH$12,OFFSET(CÁLCULO!$AR$15:$BR$15,$F122,0,OFFSET(ORÇAMENTO!$D$15,CRONO!$F122,0)))
                +IF(AND($F124&lt;&gt;"",$F124&lt;&gt;0),
                        SUMIF(CÁLCULO!$BS$15:$CS$244,CRONO!AH$12,CÁLCULO!$AR$15:$BR$244)/(ORÇAMENTO!$X$15-CÁLCULO.TotalAdmLocal)*CRONO!$F124,
                        0),
                 AH123*$S122),
          SUMIF(OFFSET($S124,1,0,$R122-2),($M122+1)&amp;"$",OFFSET(AH124,1,0,$R122-2)))</f>
        <v>0</v>
      </c>
      <c r="AI124" s="202" cm="1">
        <f t="array" aca="1" ref="AI124" ca="1">IF($R122=2,
         IF(AND(ACOMPANHAMENTO="PLE",ISNUMBER($F122)),
                SUMIF((OFFSET(CÁLCULO!$BS$15:$CS$15,$F122,0,OFFSET(ORÇAMENTO!$D$15,CRONO!$F122,0))),CRONO!AI$12,OFFSET(CÁLCULO!$AR$15:$BR$15,$F122,0,OFFSET(ORÇAMENTO!$D$15,CRONO!$F122,0)))
                +IF(AND($F124&lt;&gt;"",$F124&lt;&gt;0),
                        SUMIF(CÁLCULO!$BS$15:$CS$244,CRONO!AI$12,CÁLCULO!$AR$15:$BR$244)/(ORÇAMENTO!$X$15-CÁLCULO.TotalAdmLocal)*CRONO!$F124,
                        0),
                 AI123*$S122),
          SUMIF(OFFSET($S124,1,0,$R122-2),($M122+1)&amp;"$",OFFSET(AI124,1,0,$R122-2)))</f>
        <v>0</v>
      </c>
      <c r="AJ124" s="202" cm="1">
        <f t="array" aca="1" ref="AJ124" ca="1">IF($R122=2,
         IF(AND(ACOMPANHAMENTO="PLE",ISNUMBER($F122)),
                SUMIF((OFFSET(CÁLCULO!$BS$15:$CS$15,$F122,0,OFFSET(ORÇAMENTO!$D$15,CRONO!$F122,0))),CRONO!AJ$12,OFFSET(CÁLCULO!$AR$15:$BR$15,$F122,0,OFFSET(ORÇAMENTO!$D$15,CRONO!$F122,0)))
                +IF(AND($F124&lt;&gt;"",$F124&lt;&gt;0),
                        SUMIF(CÁLCULO!$BS$15:$CS$244,CRONO!AJ$12,CÁLCULO!$AR$15:$BR$244)/(ORÇAMENTO!$X$15-CÁLCULO.TotalAdmLocal)*CRONO!$F124,
                        0),
                 AJ123*$S122),
          SUMIF(OFFSET($S124,1,0,$R122-2),($M122+1)&amp;"$",OFFSET(AJ124,1,0,$R122-2)))</f>
        <v>0</v>
      </c>
      <c r="AK124" s="202" cm="1">
        <f t="array" aca="1" ref="AK124" ca="1">IF($R122=2,
         IF(AND(ACOMPANHAMENTO="PLE",ISNUMBER($F122)),
                SUMIF((OFFSET(CÁLCULO!$BS$15:$CS$15,$F122,0,OFFSET(ORÇAMENTO!$D$15,CRONO!$F122,0))),CRONO!AK$12,OFFSET(CÁLCULO!$AR$15:$BR$15,$F122,0,OFFSET(ORÇAMENTO!$D$15,CRONO!$F122,0)))
                +IF(AND($F124&lt;&gt;"",$F124&lt;&gt;0),
                        SUMIF(CÁLCULO!$BS$15:$CS$244,CRONO!AK$12,CÁLCULO!$AR$15:$BR$244)/(ORÇAMENTO!$X$15-CÁLCULO.TotalAdmLocal)*CRONO!$F124,
                        0),
                 AK123*$S122),
          SUMIF(OFFSET($S124,1,0,$R122-2),($M122+1)&amp;"$",OFFSET(AK124,1,0,$R122-2)))</f>
        <v>0</v>
      </c>
      <c r="AL124" s="202" cm="1">
        <f t="array" aca="1" ref="AL124" ca="1">IF($R122=2,
         IF(AND(ACOMPANHAMENTO="PLE",ISNUMBER($F122)),
                SUMIF((OFFSET(CÁLCULO!$BS$15:$CS$15,$F122,0,OFFSET(ORÇAMENTO!$D$15,CRONO!$F122,0))),CRONO!AL$12,OFFSET(CÁLCULO!$AR$15:$BR$15,$F122,0,OFFSET(ORÇAMENTO!$D$15,CRONO!$F122,0)))
                +IF(AND($F124&lt;&gt;"",$F124&lt;&gt;0),
                        SUMIF(CÁLCULO!$BS$15:$CS$244,CRONO!AL$12,CÁLCULO!$AR$15:$BR$244)/(ORÇAMENTO!$X$15-CÁLCULO.TotalAdmLocal)*CRONO!$F124,
                        0),
                 AL123*$S122),
          SUMIF(OFFSET($S124,1,0,$R122-2),($M122+1)&amp;"$",OFFSET(AL124,1,0,$R122-2)))</f>
        <v>0</v>
      </c>
      <c r="AM124" s="202" cm="1">
        <f t="array" aca="1" ref="AM124" ca="1">IF($R122=2,
         IF(AND(ACOMPANHAMENTO="PLE",ISNUMBER($F122)),
                SUMIF((OFFSET(CÁLCULO!$BS$15:$CS$15,$F122,0,OFFSET(ORÇAMENTO!$D$15,CRONO!$F122,0))),CRONO!AM$12,OFFSET(CÁLCULO!$AR$15:$BR$15,$F122,0,OFFSET(ORÇAMENTO!$D$15,CRONO!$F122,0)))
                +IF(AND($F124&lt;&gt;"",$F124&lt;&gt;0),
                        SUMIF(CÁLCULO!$BS$15:$CS$244,CRONO!AM$12,CÁLCULO!$AR$15:$BR$244)/(ORÇAMENTO!$X$15-CÁLCULO.TotalAdmLocal)*CRONO!$F124,
                        0),
                 AM123*$S122),
          SUMIF(OFFSET($S124,1,0,$R122-2),($M122+1)&amp;"$",OFFSET(AM124,1,0,$R122-2)))</f>
        <v>0</v>
      </c>
      <c r="AN124" s="202" cm="1">
        <f t="array" aca="1" ref="AN124" ca="1">IF($R122=2,
         IF(AND(ACOMPANHAMENTO="PLE",ISNUMBER($F122)),
                SUMIF((OFFSET(CÁLCULO!$BS$15:$CS$15,$F122,0,OFFSET(ORÇAMENTO!$D$15,CRONO!$F122,0))),CRONO!AN$12,OFFSET(CÁLCULO!$AR$15:$BR$15,$F122,0,OFFSET(ORÇAMENTO!$D$15,CRONO!$F122,0)))
                +IF(AND($F124&lt;&gt;"",$F124&lt;&gt;0),
                        SUMIF(CÁLCULO!$BS$15:$CS$244,CRONO!AN$12,CÁLCULO!$AR$15:$BR$244)/(ORÇAMENTO!$X$15-CÁLCULO.TotalAdmLocal)*CRONO!$F124,
                        0),
                 AN123*$S122),
          SUMIF(OFFSET($S124,1,0,$R122-2),($M122+1)&amp;"$",OFFSET(AN124,1,0,$R122-2)))</f>
        <v>0</v>
      </c>
      <c r="AO124" s="202" cm="1">
        <f t="array" aca="1" ref="AO124" ca="1">IF($R122=2,
         IF(AND(ACOMPANHAMENTO="PLE",ISNUMBER($F122)),
                SUMIF((OFFSET(CÁLCULO!$BS$15:$CS$15,$F122,0,OFFSET(ORÇAMENTO!$D$15,CRONO!$F122,0))),CRONO!AO$12,OFFSET(CÁLCULO!$AR$15:$BR$15,$F122,0,OFFSET(ORÇAMENTO!$D$15,CRONO!$F122,0)))
                +IF(AND($F124&lt;&gt;"",$F124&lt;&gt;0),
                        SUMIF(CÁLCULO!$BS$15:$CS$244,CRONO!AO$12,CÁLCULO!$AR$15:$BR$244)/(ORÇAMENTO!$X$15-CÁLCULO.TotalAdmLocal)*CRONO!$F124,
                        0),
                 AO123*$S122),
          SUMIF(OFFSET($S124,1,0,$R122-2),($M122+1)&amp;"$",OFFSET(AO124,1,0,$R122-2)))</f>
        <v>0</v>
      </c>
      <c r="AP124" s="202" cm="1">
        <f t="array" aca="1" ref="AP124" ca="1">IF($R122=2,
         IF(AND(ACOMPANHAMENTO="PLE",ISNUMBER($F122)),
                SUMIF((OFFSET(CÁLCULO!$BS$15:$CS$15,$F122,0,OFFSET(ORÇAMENTO!$D$15,CRONO!$F122,0))),CRONO!AP$12,OFFSET(CÁLCULO!$AR$15:$BR$15,$F122,0,OFFSET(ORÇAMENTO!$D$15,CRONO!$F122,0)))
                +IF(AND($F124&lt;&gt;"",$F124&lt;&gt;0),
                        SUMIF(CÁLCULO!$BS$15:$CS$244,CRONO!AP$12,CÁLCULO!$AR$15:$BR$244)/(ORÇAMENTO!$X$15-CÁLCULO.TotalAdmLocal)*CRONO!$F124,
                        0),
                 AP123*$S122),
          SUMIF(OFFSET($S124,1,0,$R122-2),($M122+1)&amp;"$",OFFSET(AP124,1,0,$R122-2)))</f>
        <v>0</v>
      </c>
      <c r="AQ124" s="202" cm="1">
        <f t="array" aca="1" ref="AQ124" ca="1">IF($R122=2,
         IF(AND(ACOMPANHAMENTO="PLE",ISNUMBER($F122)),
                SUMIF((OFFSET(CÁLCULO!$BS$15:$CS$15,$F122,0,OFFSET(ORÇAMENTO!$D$15,CRONO!$F122,0))),CRONO!AQ$12,OFFSET(CÁLCULO!$AR$15:$BR$15,$F122,0,OFFSET(ORÇAMENTO!$D$15,CRONO!$F122,0)))
                +IF(AND($F124&lt;&gt;"",$F124&lt;&gt;0),
                        SUMIF(CÁLCULO!$BS$15:$CS$244,CRONO!AQ$12,CÁLCULO!$AR$15:$BR$244)/(ORÇAMENTO!$X$15-CÁLCULO.TotalAdmLocal)*CRONO!$F124,
                        0),
                 AQ123*$S122),
          SUMIF(OFFSET($S124,1,0,$R122-2),($M122+1)&amp;"$",OFFSET(AQ124,1,0,$R122-2)))</f>
        <v>0</v>
      </c>
      <c r="AR124" s="202" cm="1">
        <f t="array" aca="1" ref="AR124" ca="1">IF($R122=2,
         IF(AND(ACOMPANHAMENTO="PLE",ISNUMBER($F122)),
                SUMIF((OFFSET(CÁLCULO!$BS$15:$CS$15,$F122,0,OFFSET(ORÇAMENTO!$D$15,CRONO!$F122,0))),CRONO!AR$12,OFFSET(CÁLCULO!$AR$15:$BR$15,$F122,0,OFFSET(ORÇAMENTO!$D$15,CRONO!$F122,0)))
                +IF(AND($F124&lt;&gt;"",$F124&lt;&gt;0),
                        SUMIF(CÁLCULO!$BS$15:$CS$244,CRONO!AR$12,CÁLCULO!$AR$15:$BR$244)/(ORÇAMENTO!$X$15-CÁLCULO.TotalAdmLocal)*CRONO!$F124,
                        0),
                 AR123*$S122),
          SUMIF(OFFSET($S124,1,0,$R122-2),($M122+1)&amp;"$",OFFSET(AR124,1,0,$R122-2)))</f>
        <v>0</v>
      </c>
      <c r="AS124" s="534"/>
    </row>
    <row r="125" spans="1:45" x14ac:dyDescent="0.2">
      <c r="A125" s="186" t="e">
        <f t="shared" ref="A125" ca="1" si="224">IF($M125&gt;1,_xlfn.CONCAT($I125," ",$J125),"")</f>
        <v>#NAME?</v>
      </c>
      <c r="B125" s="185">
        <f t="shared" ref="B125" ca="1" si="225">OFFSET(B125,-3,0)+1</f>
        <v>38</v>
      </c>
      <c r="C125" s="185">
        <f ca="1">IF($R125&lt;&gt;2,0,IF($S125=0,1,IF(F126&gt;0,OFFSET(QCI!$M$13,SUBSTITUTE(F126,".",""),0),OFFSET(ORÇAMENTO!$AA$15,CRONO!$F125,0))/$S125))</f>
        <v>1</v>
      </c>
      <c r="D125" s="185">
        <f ca="1">IF($R125&lt;&gt;2,0,IF($S125=0,1,IF(F126&gt;0,OFFSET(QCI!$N$13,SUBSTITUTE(F126,".",""),0),OFFSET(ORÇAMENTO!$AB$15,CRONO!$F125,0))/$S125))</f>
        <v>1</v>
      </c>
      <c r="E125" s="188" t="e" cm="1">
        <f t="array" aca="1" ref="E125" ca="1">IF(AND($R125=2,ACOMPANHAMENTO="BM"),ROUND(E126,4),E127/$S125)</f>
        <v>#DIV/0!</v>
      </c>
      <c r="F125" s="185" cm="1">
        <f t="array" aca="1" ref="F125" ca="1">IF(B125&lt;=ORÇAMENTO.MáximoListaCrono,MATCH(B125,ORÇAMENTO.ListaCrono,0),NA())</f>
        <v>160</v>
      </c>
      <c r="G125" s="185" t="str">
        <f t="shared" ref="G125" ca="1" si="226">IF(AND($F126&lt;&gt;-1,$S125&gt;0),"F","")</f>
        <v/>
      </c>
      <c r="H125" s="189" t="str" cm="1">
        <f t="array" aca="1" ref="H125" ca="1">IF(OR(S125=0,S125=""),"Linha",IF(AND(OR(ACOMPANHAMENTO="PLE",$R125&lt;&gt;2),$F126=0),"Linha",ROUND(1-SUM(U125:AS125),4)))</f>
        <v>Linha</v>
      </c>
      <c r="I125" s="190" t="str">
        <f ca="1">IF($F126=0,OFFSET(ORÇAMENTO!O$15,$F125,0),IF($F126&lt;&gt;-1,OFFSET(QCI!$D$13,$F126,0),""))</f>
        <v>9.2.2.</v>
      </c>
      <c r="J125" s="191" t="str">
        <f ca="1">IF($F126=0,OFFSET(ORÇAMENTO!R$15,$F125,0),IF($F126&lt;&gt;-1,OFFSET(QCI!$G$13,$F126,0),""))</f>
        <v xml:space="preserve">REGISTROS </v>
      </c>
      <c r="K125" s="191"/>
      <c r="L125" s="191"/>
      <c r="M125" s="192">
        <f ca="1">IF($F126=0,OFFSET(ORÇAMENTO!C$15,$F125,0),1)</f>
        <v>3</v>
      </c>
      <c r="N125" s="193">
        <f ca="1">IF($F126=-1,0,IF(N$13&lt;=$M125,IF(ISERROR(MATCH(N$13,OFFSET($M125,1,0,ROW($M$164)-ROW($M125)-1),0)),ROW($M$164)-ROW($M125)-1,MATCH(N$13,OFFSET($M125,1,0,ROW($M$164)-ROW($M125)-1),0)-1),0))</f>
        <v>20</v>
      </c>
      <c r="O125" s="193">
        <f ca="1">IF($F126=-1,0,IF(O$13&lt;=$M125,IF(ISERROR(MATCH(O$13,OFFSET($M125,1,0,ROW($M$164)-ROW($M125)-1),0)),ROW($M$164)-ROW($M125)-1,MATCH(O$13,OFFSET($M125,1,0,ROW($M$164)-ROW($M125)-1),0)-1),0))</f>
        <v>8</v>
      </c>
      <c r="P125" s="193">
        <f ca="1">IF($F126=-1,0,IF(P$13&lt;=$M125,IF(ISERROR(MATCH(P$13,OFFSET($M125,1,0,ROW($M$164)-ROW($M125)-1),0)),ROW($M$164)-ROW($M125)-1,MATCH(P$13,OFFSET($M125,1,0,ROW($M$164)-ROW($M125)-1),0)-1),0))</f>
        <v>2</v>
      </c>
      <c r="Q125" s="193">
        <f ca="1">IF($F126=-1,0,IF(Q$13&lt;=$M125,IF(ISERROR(MATCH(Q$13,OFFSET($M125,1,0,ROW($M$164)-ROW($M125)-1),0)),ROW($M$164)-ROW($M125)-1,MATCH(Q$13,OFFSET($M125,1,0,ROW($M$164)-ROW($M125)-1),0)-1),0))</f>
        <v>0</v>
      </c>
      <c r="R125" s="193">
        <f t="shared" ref="R125" ca="1" si="227">MIN(OFFSET(M125,0,1,,M125))</f>
        <v>2</v>
      </c>
      <c r="S125" s="194">
        <f ca="1">IF($F126=0,OFFSET(ORÇAMENTO!X$15,$F125,0),IF($F126&lt;&gt;-1,OFFSET(QCI!$O$13,$F126,0),""))</f>
        <v>0</v>
      </c>
      <c r="T125" s="195" t="s">
        <v>785</v>
      </c>
      <c r="U125" s="188" t="e" cm="1">
        <f t="array" aca="1" ref="U125" ca="1">IF(AND($R125=2,ACOMPANHAMENTO="BM"),ROUND(U126,4),U127/$S125)</f>
        <v>#DIV/0!</v>
      </c>
      <c r="V125" s="188" t="e" cm="1">
        <f t="array" aca="1" ref="V125" ca="1">IF(AND($R125=2,ACOMPANHAMENTO="BM"),ROUND(V126,4),V127/$S125)</f>
        <v>#DIV/0!</v>
      </c>
      <c r="W125" s="188" t="e" cm="1">
        <f t="array" aca="1" ref="W125" ca="1">IF(AND($R125=2,ACOMPANHAMENTO="BM"),ROUND(W126,4),W127/$S125)</f>
        <v>#DIV/0!</v>
      </c>
      <c r="X125" s="188" t="e" cm="1">
        <f t="array" aca="1" ref="X125" ca="1">IF(AND($R125=2,ACOMPANHAMENTO="BM"),ROUND(X126,4),X127/$S125)</f>
        <v>#DIV/0!</v>
      </c>
      <c r="Y125" s="188" t="e" cm="1">
        <f t="array" aca="1" ref="Y125" ca="1">IF(AND($R125=2,ACOMPANHAMENTO="BM"),ROUND(Y126,4),Y127/$S125)</f>
        <v>#DIV/0!</v>
      </c>
      <c r="Z125" s="188" t="e" cm="1">
        <f t="array" aca="1" ref="Z125" ca="1">IF(AND($R125=2,ACOMPANHAMENTO="BM"),ROUND(Z126,4),Z127/$S125)</f>
        <v>#DIV/0!</v>
      </c>
      <c r="AA125" s="188" t="e" cm="1">
        <f t="array" aca="1" ref="AA125" ca="1">IF(AND($R125=2,ACOMPANHAMENTO="BM"),ROUND(AA126,4),AA127/$S125)</f>
        <v>#DIV/0!</v>
      </c>
      <c r="AB125" s="188" t="e" cm="1">
        <f t="array" aca="1" ref="AB125" ca="1">IF(AND($R125=2,ACOMPANHAMENTO="BM"),ROUND(AB126,4),AB127/$S125)</f>
        <v>#DIV/0!</v>
      </c>
      <c r="AC125" s="188" t="e" cm="1">
        <f t="array" aca="1" ref="AC125" ca="1">IF(AND($R125=2,ACOMPANHAMENTO="BM"),ROUND(AC126,4),AC127/$S125)</f>
        <v>#DIV/0!</v>
      </c>
      <c r="AD125" s="188" t="e" cm="1">
        <f t="array" aca="1" ref="AD125" ca="1">IF(AND($R125=2,ACOMPANHAMENTO="BM"),ROUND(AD126,4),AD127/$S125)</f>
        <v>#DIV/0!</v>
      </c>
      <c r="AE125" s="188" t="e" cm="1">
        <f t="array" aca="1" ref="AE125" ca="1">IF(AND($R125=2,ACOMPANHAMENTO="BM"),ROUND(AE126,4),AE127/$S125)</f>
        <v>#DIV/0!</v>
      </c>
      <c r="AF125" s="188" t="e" cm="1">
        <f t="array" aca="1" ref="AF125" ca="1">IF(AND($R125=2,ACOMPANHAMENTO="BM"),ROUND(AF126,4),AF127/$S125)</f>
        <v>#DIV/0!</v>
      </c>
      <c r="AG125" s="188" t="e" cm="1">
        <f t="array" aca="1" ref="AG125" ca="1">IF(AND($R125=2,ACOMPANHAMENTO="BM"),ROUND(AG126,4),AG127/$S125)</f>
        <v>#DIV/0!</v>
      </c>
      <c r="AH125" s="188" t="e" cm="1">
        <f t="array" aca="1" ref="AH125" ca="1">IF(AND($R125=2,ACOMPANHAMENTO="BM"),ROUND(AH126,4),AH127/$S125)</f>
        <v>#DIV/0!</v>
      </c>
      <c r="AI125" s="188" t="e" cm="1">
        <f t="array" aca="1" ref="AI125" ca="1">IF(AND($R125=2,ACOMPANHAMENTO="BM"),ROUND(AI126,4),AI127/$S125)</f>
        <v>#DIV/0!</v>
      </c>
      <c r="AJ125" s="188" t="e" cm="1">
        <f t="array" aca="1" ref="AJ125" ca="1">IF(AND($R125=2,ACOMPANHAMENTO="BM"),ROUND(AJ126,4),AJ127/$S125)</f>
        <v>#DIV/0!</v>
      </c>
      <c r="AK125" s="188" t="e" cm="1">
        <f t="array" aca="1" ref="AK125" ca="1">IF(AND($R125=2,ACOMPANHAMENTO="BM"),ROUND(AK126,4),AK127/$S125)</f>
        <v>#DIV/0!</v>
      </c>
      <c r="AL125" s="188" t="e" cm="1">
        <f t="array" aca="1" ref="AL125" ca="1">IF(AND($R125=2,ACOMPANHAMENTO="BM"),ROUND(AL126,4),AL127/$S125)</f>
        <v>#DIV/0!</v>
      </c>
      <c r="AM125" s="188" t="e" cm="1">
        <f t="array" aca="1" ref="AM125" ca="1">IF(AND($R125=2,ACOMPANHAMENTO="BM"),ROUND(AM126,4),AM127/$S125)</f>
        <v>#DIV/0!</v>
      </c>
      <c r="AN125" s="188" t="e" cm="1">
        <f t="array" aca="1" ref="AN125" ca="1">IF(AND($R125=2,ACOMPANHAMENTO="BM"),ROUND(AN126,4),AN127/$S125)</f>
        <v>#DIV/0!</v>
      </c>
      <c r="AO125" s="188" t="e" cm="1">
        <f t="array" aca="1" ref="AO125" ca="1">IF(AND($R125=2,ACOMPANHAMENTO="BM"),ROUND(AO126,4),AO127/$S125)</f>
        <v>#DIV/0!</v>
      </c>
      <c r="AP125" s="188" t="e" cm="1">
        <f t="array" aca="1" ref="AP125" ca="1">IF(AND($R125=2,ACOMPANHAMENTO="BM"),ROUND(AP126,4),AP127/$S125)</f>
        <v>#DIV/0!</v>
      </c>
      <c r="AQ125" s="188" t="e" cm="1">
        <f t="array" aca="1" ref="AQ125" ca="1">IF(AND($R125=2,ACOMPANHAMENTO="BM"),ROUND(AQ126,4),AQ127/$S125)</f>
        <v>#DIV/0!</v>
      </c>
      <c r="AR125" s="188" t="e" cm="1">
        <f t="array" aca="1" ref="AR125" ca="1">IF(AND($R125=2,ACOMPANHAMENTO="BM"),ROUND(AR126,4),AR127/$S125)</f>
        <v>#DIV/0!</v>
      </c>
      <c r="AS125" s="534"/>
    </row>
    <row r="126" spans="1:45" ht="12.75" hidden="1" customHeight="1" x14ac:dyDescent="0.2">
      <c r="E126" s="587"/>
      <c r="F126" s="185">
        <f ca="1">IF(ISERROR(F125),IF(1+COUNTIF($M$13:OFFSET(M125,-1,0),1)&lt;=MAX(QCI!$D$13:$D$24),1+COUNTIF($M$13:OFFSET(M125,-1,0),1),-1),0)</f>
        <v>0</v>
      </c>
      <c r="G126" s="185" t="str" cm="1">
        <f t="array" aca="1" ref="G126" ca="1">IF(ACOMPANHAMENTO="BM",OFFSET(G126,-1,0),"")</f>
        <v/>
      </c>
      <c r="H126" s="196" t="str" cm="1">
        <f t="array" aca="1" ref="H126" ca="1">IF(OR(S125=0,S125=""),"vazia",IF(AND(OR(ACOMPANHAMENTO="PLE",$R125&lt;&gt;2),$F126=0),"calculada","--&gt;"))</f>
        <v>vazia</v>
      </c>
      <c r="I126" s="197"/>
      <c r="J126" s="198" t="str">
        <f t="shared" ref="J126" ca="1" si="228">IF(AND(H125&lt;&gt;0,ISNUMBER(H125)),"PREENCHA ESTA LINHA --&gt;","")</f>
        <v/>
      </c>
      <c r="K126" s="198"/>
      <c r="L126" s="198"/>
      <c r="M126" s="199"/>
      <c r="N126" s="199"/>
      <c r="O126" s="199"/>
      <c r="P126" s="199"/>
      <c r="Q126" s="199"/>
      <c r="R126" s="199"/>
      <c r="S126" s="200"/>
      <c r="T126" s="201"/>
      <c r="U126" s="587"/>
      <c r="V126" s="587"/>
      <c r="W126" s="587"/>
      <c r="X126" s="587"/>
      <c r="Y126" s="587"/>
      <c r="Z126" s="587"/>
      <c r="AA126" s="587"/>
      <c r="AB126" s="587"/>
      <c r="AC126" s="587"/>
      <c r="AD126" s="587"/>
      <c r="AE126" s="587"/>
      <c r="AF126" s="587"/>
      <c r="AG126" s="587"/>
      <c r="AH126" s="587"/>
      <c r="AI126" s="587"/>
      <c r="AJ126" s="587"/>
      <c r="AK126" s="587"/>
      <c r="AL126" s="587"/>
      <c r="AM126" s="587"/>
      <c r="AN126" s="587"/>
      <c r="AO126" s="587"/>
      <c r="AP126" s="587"/>
      <c r="AQ126" s="587"/>
      <c r="AR126" s="587"/>
      <c r="AS126" s="534"/>
    </row>
    <row r="127" spans="1:45" ht="12.75" hidden="1" customHeight="1" x14ac:dyDescent="0.2">
      <c r="D127" s="533"/>
      <c r="E127" s="202" cm="1">
        <f t="array" aca="1" ref="E127" ca="1">IF($R125=2,
         IF(AND(ACOMPANHAMENTO="PLE",ISNUMBER($F125)),
                SUMIF((OFFSET(CÁLCULO!$BS$15:$CS$15,$F125,0,OFFSET(ORÇAMENTO!$D$15,CRONO!$F125,0))),CRONO!E$12,OFFSET(CÁLCULO!$AR$15:$BR$15,$F125,0,OFFSET(ORÇAMENTO!$D$15,CRONO!$F125,0)))
                +IF(AND($F127&lt;&gt;"",$F127&lt;&gt;0),
                        SUMIF(CÁLCULO!$BS$15:$CS$244,CRONO!E$12,CÁLCULO!$AR$15:$BR$244)/(ORÇAMENTO!$X$15-CÁLCULO.TotalAdmLocal)*CRONO!$F127,
                        0),
                 E126*$S125),
          SUMIF(OFFSET($S127,1,0,$R125-2),($M125+1)&amp;"$",OFFSET(E127,1,0,$R125-2)))</f>
        <v>0</v>
      </c>
      <c r="F127" s="185">
        <f ca="1">IF(OR($R125&lt;&gt;2,AUTOEVENTO&lt;&gt;"manual",$F126&gt;0),"",
        IF(Import.TipoArredondamento="Tradicional",
              SUMIF(OFFSET(CÁLCULO!$M$15,CRONO!$F125,0,OFFSET(ORÇAMENTO!$D$15,CRONO!$F125,0)),1,OFFSET(ORÇAMENTO!$X$15,CRONO!$F125,0,OFFSET(ORÇAMENTO!$D$15,CRONO!$F125,0))),
              0))</f>
        <v>0</v>
      </c>
      <c r="H127" s="203"/>
      <c r="S127" s="204" t="str">
        <f t="shared" ref="S127" ca="1" si="229">M125&amp;"$"</f>
        <v>3$</v>
      </c>
      <c r="T127" s="205"/>
      <c r="U127" s="202" cm="1">
        <f t="array" aca="1" ref="U127" ca="1">IF($R125=2,
         IF(AND(ACOMPANHAMENTO="PLE",ISNUMBER($F125)),
                SUMIF((OFFSET(CÁLCULO!$BS$15:$CS$15,$F125,0,OFFSET(ORÇAMENTO!$D$15,CRONO!$F125,0))),CRONO!U$12,OFFSET(CÁLCULO!$AR$15:$BR$15,$F125,0,OFFSET(ORÇAMENTO!$D$15,CRONO!$F125,0)))
                +IF(AND($F127&lt;&gt;"",$F127&lt;&gt;0),
                        SUMIF(CÁLCULO!$BS$15:$CS$244,CRONO!U$12,CÁLCULO!$AR$15:$BR$244)/(ORÇAMENTO!$X$15-CÁLCULO.TotalAdmLocal)*CRONO!$F127,
                        0),
                 U126*$S125),
          SUMIF(OFFSET($S127,1,0,$R125-2),($M125+1)&amp;"$",OFFSET(U127,1,0,$R125-2)))</f>
        <v>0</v>
      </c>
      <c r="V127" s="202" cm="1">
        <f t="array" aca="1" ref="V127" ca="1">IF($R125=2,
         IF(AND(ACOMPANHAMENTO="PLE",ISNUMBER($F125)),
                SUMIF((OFFSET(CÁLCULO!$BS$15:$CS$15,$F125,0,OFFSET(ORÇAMENTO!$D$15,CRONO!$F125,0))),CRONO!V$12,OFFSET(CÁLCULO!$AR$15:$BR$15,$F125,0,OFFSET(ORÇAMENTO!$D$15,CRONO!$F125,0)))
                +IF(AND($F127&lt;&gt;"",$F127&lt;&gt;0),
                        SUMIF(CÁLCULO!$BS$15:$CS$244,CRONO!V$12,CÁLCULO!$AR$15:$BR$244)/(ORÇAMENTO!$X$15-CÁLCULO.TotalAdmLocal)*CRONO!$F127,
                        0),
                 V126*$S125),
          SUMIF(OFFSET($S127,1,0,$R125-2),($M125+1)&amp;"$",OFFSET(V127,1,0,$R125-2)))</f>
        <v>0</v>
      </c>
      <c r="W127" s="202" cm="1">
        <f t="array" aca="1" ref="W127" ca="1">IF($R125=2,
         IF(AND(ACOMPANHAMENTO="PLE",ISNUMBER($F125)),
                SUMIF((OFFSET(CÁLCULO!$BS$15:$CS$15,$F125,0,OFFSET(ORÇAMENTO!$D$15,CRONO!$F125,0))),CRONO!W$12,OFFSET(CÁLCULO!$AR$15:$BR$15,$F125,0,OFFSET(ORÇAMENTO!$D$15,CRONO!$F125,0)))
                +IF(AND($F127&lt;&gt;"",$F127&lt;&gt;0),
                        SUMIF(CÁLCULO!$BS$15:$CS$244,CRONO!W$12,CÁLCULO!$AR$15:$BR$244)/(ORÇAMENTO!$X$15-CÁLCULO.TotalAdmLocal)*CRONO!$F127,
                        0),
                 W126*$S125),
          SUMIF(OFFSET($S127,1,0,$R125-2),($M125+1)&amp;"$",OFFSET(W127,1,0,$R125-2)))</f>
        <v>0</v>
      </c>
      <c r="X127" s="202" cm="1">
        <f t="array" aca="1" ref="X127" ca="1">IF($R125=2,
         IF(AND(ACOMPANHAMENTO="PLE",ISNUMBER($F125)),
                SUMIF((OFFSET(CÁLCULO!$BS$15:$CS$15,$F125,0,OFFSET(ORÇAMENTO!$D$15,CRONO!$F125,0))),CRONO!X$12,OFFSET(CÁLCULO!$AR$15:$BR$15,$F125,0,OFFSET(ORÇAMENTO!$D$15,CRONO!$F125,0)))
                +IF(AND($F127&lt;&gt;"",$F127&lt;&gt;0),
                        SUMIF(CÁLCULO!$BS$15:$CS$244,CRONO!X$12,CÁLCULO!$AR$15:$BR$244)/(ORÇAMENTO!$X$15-CÁLCULO.TotalAdmLocal)*CRONO!$F127,
                        0),
                 X126*$S125),
          SUMIF(OFFSET($S127,1,0,$R125-2),($M125+1)&amp;"$",OFFSET(X127,1,0,$R125-2)))</f>
        <v>0</v>
      </c>
      <c r="Y127" s="202" cm="1">
        <f t="array" aca="1" ref="Y127" ca="1">IF($R125=2,
         IF(AND(ACOMPANHAMENTO="PLE",ISNUMBER($F125)),
                SUMIF((OFFSET(CÁLCULO!$BS$15:$CS$15,$F125,0,OFFSET(ORÇAMENTO!$D$15,CRONO!$F125,0))),CRONO!Y$12,OFFSET(CÁLCULO!$AR$15:$BR$15,$F125,0,OFFSET(ORÇAMENTO!$D$15,CRONO!$F125,0)))
                +IF(AND($F127&lt;&gt;"",$F127&lt;&gt;0),
                        SUMIF(CÁLCULO!$BS$15:$CS$244,CRONO!Y$12,CÁLCULO!$AR$15:$BR$244)/(ORÇAMENTO!$X$15-CÁLCULO.TotalAdmLocal)*CRONO!$F127,
                        0),
                 Y126*$S125),
          SUMIF(OFFSET($S127,1,0,$R125-2),($M125+1)&amp;"$",OFFSET(Y127,1,0,$R125-2)))</f>
        <v>0</v>
      </c>
      <c r="Z127" s="202" cm="1">
        <f t="array" aca="1" ref="Z127" ca="1">IF($R125=2,
         IF(AND(ACOMPANHAMENTO="PLE",ISNUMBER($F125)),
                SUMIF((OFFSET(CÁLCULO!$BS$15:$CS$15,$F125,0,OFFSET(ORÇAMENTO!$D$15,CRONO!$F125,0))),CRONO!Z$12,OFFSET(CÁLCULO!$AR$15:$BR$15,$F125,0,OFFSET(ORÇAMENTO!$D$15,CRONO!$F125,0)))
                +IF(AND($F127&lt;&gt;"",$F127&lt;&gt;0),
                        SUMIF(CÁLCULO!$BS$15:$CS$244,CRONO!Z$12,CÁLCULO!$AR$15:$BR$244)/(ORÇAMENTO!$X$15-CÁLCULO.TotalAdmLocal)*CRONO!$F127,
                        0),
                 Z126*$S125),
          SUMIF(OFFSET($S127,1,0,$R125-2),($M125+1)&amp;"$",OFFSET(Z127,1,0,$R125-2)))</f>
        <v>0</v>
      </c>
      <c r="AA127" s="202" cm="1">
        <f t="array" aca="1" ref="AA127" ca="1">IF($R125=2,
         IF(AND(ACOMPANHAMENTO="PLE",ISNUMBER($F125)),
                SUMIF((OFFSET(CÁLCULO!$BS$15:$CS$15,$F125,0,OFFSET(ORÇAMENTO!$D$15,CRONO!$F125,0))),CRONO!AA$12,OFFSET(CÁLCULO!$AR$15:$BR$15,$F125,0,OFFSET(ORÇAMENTO!$D$15,CRONO!$F125,0)))
                +IF(AND($F127&lt;&gt;"",$F127&lt;&gt;0),
                        SUMIF(CÁLCULO!$BS$15:$CS$244,CRONO!AA$12,CÁLCULO!$AR$15:$BR$244)/(ORÇAMENTO!$X$15-CÁLCULO.TotalAdmLocal)*CRONO!$F127,
                        0),
                 AA126*$S125),
          SUMIF(OFFSET($S127,1,0,$R125-2),($M125+1)&amp;"$",OFFSET(AA127,1,0,$R125-2)))</f>
        <v>0</v>
      </c>
      <c r="AB127" s="202" cm="1">
        <f t="array" aca="1" ref="AB127" ca="1">IF($R125=2,
         IF(AND(ACOMPANHAMENTO="PLE",ISNUMBER($F125)),
                SUMIF((OFFSET(CÁLCULO!$BS$15:$CS$15,$F125,0,OFFSET(ORÇAMENTO!$D$15,CRONO!$F125,0))),CRONO!AB$12,OFFSET(CÁLCULO!$AR$15:$BR$15,$F125,0,OFFSET(ORÇAMENTO!$D$15,CRONO!$F125,0)))
                +IF(AND($F127&lt;&gt;"",$F127&lt;&gt;0),
                        SUMIF(CÁLCULO!$BS$15:$CS$244,CRONO!AB$12,CÁLCULO!$AR$15:$BR$244)/(ORÇAMENTO!$X$15-CÁLCULO.TotalAdmLocal)*CRONO!$F127,
                        0),
                 AB126*$S125),
          SUMIF(OFFSET($S127,1,0,$R125-2),($M125+1)&amp;"$",OFFSET(AB127,1,0,$R125-2)))</f>
        <v>0</v>
      </c>
      <c r="AC127" s="202" cm="1">
        <f t="array" aca="1" ref="AC127" ca="1">IF($R125=2,
         IF(AND(ACOMPANHAMENTO="PLE",ISNUMBER($F125)),
                SUMIF((OFFSET(CÁLCULO!$BS$15:$CS$15,$F125,0,OFFSET(ORÇAMENTO!$D$15,CRONO!$F125,0))),CRONO!AC$12,OFFSET(CÁLCULO!$AR$15:$BR$15,$F125,0,OFFSET(ORÇAMENTO!$D$15,CRONO!$F125,0)))
                +IF(AND($F127&lt;&gt;"",$F127&lt;&gt;0),
                        SUMIF(CÁLCULO!$BS$15:$CS$244,CRONO!AC$12,CÁLCULO!$AR$15:$BR$244)/(ORÇAMENTO!$X$15-CÁLCULO.TotalAdmLocal)*CRONO!$F127,
                        0),
                 AC126*$S125),
          SUMIF(OFFSET($S127,1,0,$R125-2),($M125+1)&amp;"$",OFFSET(AC127,1,0,$R125-2)))</f>
        <v>0</v>
      </c>
      <c r="AD127" s="202" cm="1">
        <f t="array" aca="1" ref="AD127" ca="1">IF($R125=2,
         IF(AND(ACOMPANHAMENTO="PLE",ISNUMBER($F125)),
                SUMIF((OFFSET(CÁLCULO!$BS$15:$CS$15,$F125,0,OFFSET(ORÇAMENTO!$D$15,CRONO!$F125,0))),CRONO!AD$12,OFFSET(CÁLCULO!$AR$15:$BR$15,$F125,0,OFFSET(ORÇAMENTO!$D$15,CRONO!$F125,0)))
                +IF(AND($F127&lt;&gt;"",$F127&lt;&gt;0),
                        SUMIF(CÁLCULO!$BS$15:$CS$244,CRONO!AD$12,CÁLCULO!$AR$15:$BR$244)/(ORÇAMENTO!$X$15-CÁLCULO.TotalAdmLocal)*CRONO!$F127,
                        0),
                 AD126*$S125),
          SUMIF(OFFSET($S127,1,0,$R125-2),($M125+1)&amp;"$",OFFSET(AD127,1,0,$R125-2)))</f>
        <v>0</v>
      </c>
      <c r="AE127" s="202" cm="1">
        <f t="array" aca="1" ref="AE127" ca="1">IF($R125=2,
         IF(AND(ACOMPANHAMENTO="PLE",ISNUMBER($F125)),
                SUMIF((OFFSET(CÁLCULO!$BS$15:$CS$15,$F125,0,OFFSET(ORÇAMENTO!$D$15,CRONO!$F125,0))),CRONO!AE$12,OFFSET(CÁLCULO!$AR$15:$BR$15,$F125,0,OFFSET(ORÇAMENTO!$D$15,CRONO!$F125,0)))
                +IF(AND($F127&lt;&gt;"",$F127&lt;&gt;0),
                        SUMIF(CÁLCULO!$BS$15:$CS$244,CRONO!AE$12,CÁLCULO!$AR$15:$BR$244)/(ORÇAMENTO!$X$15-CÁLCULO.TotalAdmLocal)*CRONO!$F127,
                        0),
                 AE126*$S125),
          SUMIF(OFFSET($S127,1,0,$R125-2),($M125+1)&amp;"$",OFFSET(AE127,1,0,$R125-2)))</f>
        <v>0</v>
      </c>
      <c r="AF127" s="202" cm="1">
        <f t="array" aca="1" ref="AF127" ca="1">IF($R125=2,
         IF(AND(ACOMPANHAMENTO="PLE",ISNUMBER($F125)),
                SUMIF((OFFSET(CÁLCULO!$BS$15:$CS$15,$F125,0,OFFSET(ORÇAMENTO!$D$15,CRONO!$F125,0))),CRONO!AF$12,OFFSET(CÁLCULO!$AR$15:$BR$15,$F125,0,OFFSET(ORÇAMENTO!$D$15,CRONO!$F125,0)))
                +IF(AND($F127&lt;&gt;"",$F127&lt;&gt;0),
                        SUMIF(CÁLCULO!$BS$15:$CS$244,CRONO!AF$12,CÁLCULO!$AR$15:$BR$244)/(ORÇAMENTO!$X$15-CÁLCULO.TotalAdmLocal)*CRONO!$F127,
                        0),
                 AF126*$S125),
          SUMIF(OFFSET($S127,1,0,$R125-2),($M125+1)&amp;"$",OFFSET(AF127,1,0,$R125-2)))</f>
        <v>0</v>
      </c>
      <c r="AG127" s="202" cm="1">
        <f t="array" aca="1" ref="AG127" ca="1">IF($R125=2,
         IF(AND(ACOMPANHAMENTO="PLE",ISNUMBER($F125)),
                SUMIF((OFFSET(CÁLCULO!$BS$15:$CS$15,$F125,0,OFFSET(ORÇAMENTO!$D$15,CRONO!$F125,0))),CRONO!AG$12,OFFSET(CÁLCULO!$AR$15:$BR$15,$F125,0,OFFSET(ORÇAMENTO!$D$15,CRONO!$F125,0)))
                +IF(AND($F127&lt;&gt;"",$F127&lt;&gt;0),
                        SUMIF(CÁLCULO!$BS$15:$CS$244,CRONO!AG$12,CÁLCULO!$AR$15:$BR$244)/(ORÇAMENTO!$X$15-CÁLCULO.TotalAdmLocal)*CRONO!$F127,
                        0),
                 AG126*$S125),
          SUMIF(OFFSET($S127,1,0,$R125-2),($M125+1)&amp;"$",OFFSET(AG127,1,0,$R125-2)))</f>
        <v>0</v>
      </c>
      <c r="AH127" s="202" cm="1">
        <f t="array" aca="1" ref="AH127" ca="1">IF($R125=2,
         IF(AND(ACOMPANHAMENTO="PLE",ISNUMBER($F125)),
                SUMIF((OFFSET(CÁLCULO!$BS$15:$CS$15,$F125,0,OFFSET(ORÇAMENTO!$D$15,CRONO!$F125,0))),CRONO!AH$12,OFFSET(CÁLCULO!$AR$15:$BR$15,$F125,0,OFFSET(ORÇAMENTO!$D$15,CRONO!$F125,0)))
                +IF(AND($F127&lt;&gt;"",$F127&lt;&gt;0),
                        SUMIF(CÁLCULO!$BS$15:$CS$244,CRONO!AH$12,CÁLCULO!$AR$15:$BR$244)/(ORÇAMENTO!$X$15-CÁLCULO.TotalAdmLocal)*CRONO!$F127,
                        0),
                 AH126*$S125),
          SUMIF(OFFSET($S127,1,0,$R125-2),($M125+1)&amp;"$",OFFSET(AH127,1,0,$R125-2)))</f>
        <v>0</v>
      </c>
      <c r="AI127" s="202" cm="1">
        <f t="array" aca="1" ref="AI127" ca="1">IF($R125=2,
         IF(AND(ACOMPANHAMENTO="PLE",ISNUMBER($F125)),
                SUMIF((OFFSET(CÁLCULO!$BS$15:$CS$15,$F125,0,OFFSET(ORÇAMENTO!$D$15,CRONO!$F125,0))),CRONO!AI$12,OFFSET(CÁLCULO!$AR$15:$BR$15,$F125,0,OFFSET(ORÇAMENTO!$D$15,CRONO!$F125,0)))
                +IF(AND($F127&lt;&gt;"",$F127&lt;&gt;0),
                        SUMIF(CÁLCULO!$BS$15:$CS$244,CRONO!AI$12,CÁLCULO!$AR$15:$BR$244)/(ORÇAMENTO!$X$15-CÁLCULO.TotalAdmLocal)*CRONO!$F127,
                        0),
                 AI126*$S125),
          SUMIF(OFFSET($S127,1,0,$R125-2),($M125+1)&amp;"$",OFFSET(AI127,1,0,$R125-2)))</f>
        <v>0</v>
      </c>
      <c r="AJ127" s="202" cm="1">
        <f t="array" aca="1" ref="AJ127" ca="1">IF($R125=2,
         IF(AND(ACOMPANHAMENTO="PLE",ISNUMBER($F125)),
                SUMIF((OFFSET(CÁLCULO!$BS$15:$CS$15,$F125,0,OFFSET(ORÇAMENTO!$D$15,CRONO!$F125,0))),CRONO!AJ$12,OFFSET(CÁLCULO!$AR$15:$BR$15,$F125,0,OFFSET(ORÇAMENTO!$D$15,CRONO!$F125,0)))
                +IF(AND($F127&lt;&gt;"",$F127&lt;&gt;0),
                        SUMIF(CÁLCULO!$BS$15:$CS$244,CRONO!AJ$12,CÁLCULO!$AR$15:$BR$244)/(ORÇAMENTO!$X$15-CÁLCULO.TotalAdmLocal)*CRONO!$F127,
                        0),
                 AJ126*$S125),
          SUMIF(OFFSET($S127,1,0,$R125-2),($M125+1)&amp;"$",OFFSET(AJ127,1,0,$R125-2)))</f>
        <v>0</v>
      </c>
      <c r="AK127" s="202" cm="1">
        <f t="array" aca="1" ref="AK127" ca="1">IF($R125=2,
         IF(AND(ACOMPANHAMENTO="PLE",ISNUMBER($F125)),
                SUMIF((OFFSET(CÁLCULO!$BS$15:$CS$15,$F125,0,OFFSET(ORÇAMENTO!$D$15,CRONO!$F125,0))),CRONO!AK$12,OFFSET(CÁLCULO!$AR$15:$BR$15,$F125,0,OFFSET(ORÇAMENTO!$D$15,CRONO!$F125,0)))
                +IF(AND($F127&lt;&gt;"",$F127&lt;&gt;0),
                        SUMIF(CÁLCULO!$BS$15:$CS$244,CRONO!AK$12,CÁLCULO!$AR$15:$BR$244)/(ORÇAMENTO!$X$15-CÁLCULO.TotalAdmLocal)*CRONO!$F127,
                        0),
                 AK126*$S125),
          SUMIF(OFFSET($S127,1,0,$R125-2),($M125+1)&amp;"$",OFFSET(AK127,1,0,$R125-2)))</f>
        <v>0</v>
      </c>
      <c r="AL127" s="202" cm="1">
        <f t="array" aca="1" ref="AL127" ca="1">IF($R125=2,
         IF(AND(ACOMPANHAMENTO="PLE",ISNUMBER($F125)),
                SUMIF((OFFSET(CÁLCULO!$BS$15:$CS$15,$F125,0,OFFSET(ORÇAMENTO!$D$15,CRONO!$F125,0))),CRONO!AL$12,OFFSET(CÁLCULO!$AR$15:$BR$15,$F125,0,OFFSET(ORÇAMENTO!$D$15,CRONO!$F125,0)))
                +IF(AND($F127&lt;&gt;"",$F127&lt;&gt;0),
                        SUMIF(CÁLCULO!$BS$15:$CS$244,CRONO!AL$12,CÁLCULO!$AR$15:$BR$244)/(ORÇAMENTO!$X$15-CÁLCULO.TotalAdmLocal)*CRONO!$F127,
                        0),
                 AL126*$S125),
          SUMIF(OFFSET($S127,1,0,$R125-2),($M125+1)&amp;"$",OFFSET(AL127,1,0,$R125-2)))</f>
        <v>0</v>
      </c>
      <c r="AM127" s="202" cm="1">
        <f t="array" aca="1" ref="AM127" ca="1">IF($R125=2,
         IF(AND(ACOMPANHAMENTO="PLE",ISNUMBER($F125)),
                SUMIF((OFFSET(CÁLCULO!$BS$15:$CS$15,$F125,0,OFFSET(ORÇAMENTO!$D$15,CRONO!$F125,0))),CRONO!AM$12,OFFSET(CÁLCULO!$AR$15:$BR$15,$F125,0,OFFSET(ORÇAMENTO!$D$15,CRONO!$F125,0)))
                +IF(AND($F127&lt;&gt;"",$F127&lt;&gt;0),
                        SUMIF(CÁLCULO!$BS$15:$CS$244,CRONO!AM$12,CÁLCULO!$AR$15:$BR$244)/(ORÇAMENTO!$X$15-CÁLCULO.TotalAdmLocal)*CRONO!$F127,
                        0),
                 AM126*$S125),
          SUMIF(OFFSET($S127,1,0,$R125-2),($M125+1)&amp;"$",OFFSET(AM127,1,0,$R125-2)))</f>
        <v>0</v>
      </c>
      <c r="AN127" s="202" cm="1">
        <f t="array" aca="1" ref="AN127" ca="1">IF($R125=2,
         IF(AND(ACOMPANHAMENTO="PLE",ISNUMBER($F125)),
                SUMIF((OFFSET(CÁLCULO!$BS$15:$CS$15,$F125,0,OFFSET(ORÇAMENTO!$D$15,CRONO!$F125,0))),CRONO!AN$12,OFFSET(CÁLCULO!$AR$15:$BR$15,$F125,0,OFFSET(ORÇAMENTO!$D$15,CRONO!$F125,0)))
                +IF(AND($F127&lt;&gt;"",$F127&lt;&gt;0),
                        SUMIF(CÁLCULO!$BS$15:$CS$244,CRONO!AN$12,CÁLCULO!$AR$15:$BR$244)/(ORÇAMENTO!$X$15-CÁLCULO.TotalAdmLocal)*CRONO!$F127,
                        0),
                 AN126*$S125),
          SUMIF(OFFSET($S127,1,0,$R125-2),($M125+1)&amp;"$",OFFSET(AN127,1,0,$R125-2)))</f>
        <v>0</v>
      </c>
      <c r="AO127" s="202" cm="1">
        <f t="array" aca="1" ref="AO127" ca="1">IF($R125=2,
         IF(AND(ACOMPANHAMENTO="PLE",ISNUMBER($F125)),
                SUMIF((OFFSET(CÁLCULO!$BS$15:$CS$15,$F125,0,OFFSET(ORÇAMENTO!$D$15,CRONO!$F125,0))),CRONO!AO$12,OFFSET(CÁLCULO!$AR$15:$BR$15,$F125,0,OFFSET(ORÇAMENTO!$D$15,CRONO!$F125,0)))
                +IF(AND($F127&lt;&gt;"",$F127&lt;&gt;0),
                        SUMIF(CÁLCULO!$BS$15:$CS$244,CRONO!AO$12,CÁLCULO!$AR$15:$BR$244)/(ORÇAMENTO!$X$15-CÁLCULO.TotalAdmLocal)*CRONO!$F127,
                        0),
                 AO126*$S125),
          SUMIF(OFFSET($S127,1,0,$R125-2),($M125+1)&amp;"$",OFFSET(AO127,1,0,$R125-2)))</f>
        <v>0</v>
      </c>
      <c r="AP127" s="202" cm="1">
        <f t="array" aca="1" ref="AP127" ca="1">IF($R125=2,
         IF(AND(ACOMPANHAMENTO="PLE",ISNUMBER($F125)),
                SUMIF((OFFSET(CÁLCULO!$BS$15:$CS$15,$F125,0,OFFSET(ORÇAMENTO!$D$15,CRONO!$F125,0))),CRONO!AP$12,OFFSET(CÁLCULO!$AR$15:$BR$15,$F125,0,OFFSET(ORÇAMENTO!$D$15,CRONO!$F125,0)))
                +IF(AND($F127&lt;&gt;"",$F127&lt;&gt;0),
                        SUMIF(CÁLCULO!$BS$15:$CS$244,CRONO!AP$12,CÁLCULO!$AR$15:$BR$244)/(ORÇAMENTO!$X$15-CÁLCULO.TotalAdmLocal)*CRONO!$F127,
                        0),
                 AP126*$S125),
          SUMIF(OFFSET($S127,1,0,$R125-2),($M125+1)&amp;"$",OFFSET(AP127,1,0,$R125-2)))</f>
        <v>0</v>
      </c>
      <c r="AQ127" s="202" cm="1">
        <f t="array" aca="1" ref="AQ127" ca="1">IF($R125=2,
         IF(AND(ACOMPANHAMENTO="PLE",ISNUMBER($F125)),
                SUMIF((OFFSET(CÁLCULO!$BS$15:$CS$15,$F125,0,OFFSET(ORÇAMENTO!$D$15,CRONO!$F125,0))),CRONO!AQ$12,OFFSET(CÁLCULO!$AR$15:$BR$15,$F125,0,OFFSET(ORÇAMENTO!$D$15,CRONO!$F125,0)))
                +IF(AND($F127&lt;&gt;"",$F127&lt;&gt;0),
                        SUMIF(CÁLCULO!$BS$15:$CS$244,CRONO!AQ$12,CÁLCULO!$AR$15:$BR$244)/(ORÇAMENTO!$X$15-CÁLCULO.TotalAdmLocal)*CRONO!$F127,
                        0),
                 AQ126*$S125),
          SUMIF(OFFSET($S127,1,0,$R125-2),($M125+1)&amp;"$",OFFSET(AQ127,1,0,$R125-2)))</f>
        <v>0</v>
      </c>
      <c r="AR127" s="202" cm="1">
        <f t="array" aca="1" ref="AR127" ca="1">IF($R125=2,
         IF(AND(ACOMPANHAMENTO="PLE",ISNUMBER($F125)),
                SUMIF((OFFSET(CÁLCULO!$BS$15:$CS$15,$F125,0,OFFSET(ORÇAMENTO!$D$15,CRONO!$F125,0))),CRONO!AR$12,OFFSET(CÁLCULO!$AR$15:$BR$15,$F125,0,OFFSET(ORÇAMENTO!$D$15,CRONO!$F125,0)))
                +IF(AND($F127&lt;&gt;"",$F127&lt;&gt;0),
                        SUMIF(CÁLCULO!$BS$15:$CS$244,CRONO!AR$12,CÁLCULO!$AR$15:$BR$244)/(ORÇAMENTO!$X$15-CÁLCULO.TotalAdmLocal)*CRONO!$F127,
                        0),
                 AR126*$S125),
          SUMIF(OFFSET($S127,1,0,$R125-2),($M125+1)&amp;"$",OFFSET(AR127,1,0,$R125-2)))</f>
        <v>0</v>
      </c>
      <c r="AS127" s="534"/>
    </row>
    <row r="128" spans="1:45" x14ac:dyDescent="0.2">
      <c r="A128" s="186" t="e">
        <f t="shared" ref="A128" ca="1" si="230">IF($M128&gt;1,_xlfn.CONCAT($I128," ",$J128),"")</f>
        <v>#NAME?</v>
      </c>
      <c r="B128" s="185">
        <f t="shared" ref="B128" ca="1" si="231">OFFSET(B128,-3,0)+1</f>
        <v>39</v>
      </c>
      <c r="C128" s="185">
        <f ca="1">IF($R128&lt;&gt;2,0,IF($S128=0,1,IF(F129&gt;0,OFFSET(QCI!$M$13,SUBSTITUTE(F129,".",""),0),OFFSET(ORÇAMENTO!$AA$15,CRONO!$F128,0))/$S128))</f>
        <v>1</v>
      </c>
      <c r="D128" s="185">
        <f ca="1">IF($R128&lt;&gt;2,0,IF($S128=0,1,IF(F129&gt;0,OFFSET(QCI!$N$13,SUBSTITUTE(F129,".",""),0),OFFSET(ORÇAMENTO!$AB$15,CRONO!$F128,0))/$S128))</f>
        <v>1</v>
      </c>
      <c r="E128" s="188" t="e" cm="1">
        <f t="array" aca="1" ref="E128" ca="1">IF(AND($R128=2,ACOMPANHAMENTO="BM"),ROUND(E129,4),E130/$S128)</f>
        <v>#DIV/0!</v>
      </c>
      <c r="F128" s="185" cm="1">
        <f t="array" aca="1" ref="F128" ca="1">IF(B128&lt;=ORÇAMENTO.MáximoListaCrono,MATCH(B128,ORÇAMENTO.ListaCrono,0),NA())</f>
        <v>165</v>
      </c>
      <c r="G128" s="185" t="str">
        <f t="shared" ref="G128" ca="1" si="232">IF(AND($F129&lt;&gt;-1,$S128&gt;0),"F","")</f>
        <v/>
      </c>
      <c r="H128" s="189" t="str" cm="1">
        <f t="array" aca="1" ref="H128" ca="1">IF(OR(S128=0,S128=""),"Linha",IF(AND(OR(ACOMPANHAMENTO="PLE",$R128&lt;&gt;2),$F129=0),"Linha",ROUND(1-SUM(U128:AS128),4)))</f>
        <v>Linha</v>
      </c>
      <c r="I128" s="190" t="str">
        <f ca="1">IF($F129=0,OFFSET(ORÇAMENTO!O$15,$F128,0),IF($F129&lt;&gt;-1,OFFSET(QCI!$D$13,$F129,0),""))</f>
        <v>9.2.3.</v>
      </c>
      <c r="J128" s="191" t="str">
        <f ca="1">IF($F129=0,OFFSET(ORÇAMENTO!R$15,$F128,0),IF($F129&lt;&gt;-1,OFFSET(QCI!$G$13,$F129,0),""))</f>
        <v>ENTRADA / ALIMENTAÇÃO HIDRÁULICA</v>
      </c>
      <c r="K128" s="191"/>
      <c r="L128" s="191"/>
      <c r="M128" s="192">
        <f ca="1">IF($F129=0,OFFSET(ORÇAMENTO!C$15,$F128,0),1)</f>
        <v>3</v>
      </c>
      <c r="N128" s="193">
        <f ca="1">IF($F129=-1,0,IF(N$13&lt;=$M128,IF(ISERROR(MATCH(N$13,OFFSET($M128,1,0,ROW($M$164)-ROW($M128)-1),0)),ROW($M$164)-ROW($M128)-1,MATCH(N$13,OFFSET($M128,1,0,ROW($M$164)-ROW($M128)-1),0)-1),0))</f>
        <v>17</v>
      </c>
      <c r="O128" s="193">
        <f ca="1">IF($F129=-1,0,IF(O$13&lt;=$M128,IF(ISERROR(MATCH(O$13,OFFSET($M128,1,0,ROW($M$164)-ROW($M128)-1),0)),ROW($M$164)-ROW($M128)-1,MATCH(O$13,OFFSET($M128,1,0,ROW($M$164)-ROW($M128)-1),0)-1),0))</f>
        <v>5</v>
      </c>
      <c r="P128" s="193">
        <f ca="1">IF($F129=-1,0,IF(P$13&lt;=$M128,IF(ISERROR(MATCH(P$13,OFFSET($M128,1,0,ROW($M$164)-ROW($M128)-1),0)),ROW($M$164)-ROW($M128)-1,MATCH(P$13,OFFSET($M128,1,0,ROW($M$164)-ROW($M128)-1),0)-1),0))</f>
        <v>2</v>
      </c>
      <c r="Q128" s="193">
        <f ca="1">IF($F129=-1,0,IF(Q$13&lt;=$M128,IF(ISERROR(MATCH(Q$13,OFFSET($M128,1,0,ROW($M$164)-ROW($M128)-1),0)),ROW($M$164)-ROW($M128)-1,MATCH(Q$13,OFFSET($M128,1,0,ROW($M$164)-ROW($M128)-1),0)-1),0))</f>
        <v>0</v>
      </c>
      <c r="R128" s="193">
        <f t="shared" ref="R128" ca="1" si="233">MIN(OFFSET(M128,0,1,,M128))</f>
        <v>2</v>
      </c>
      <c r="S128" s="194">
        <f ca="1">IF($F129=0,OFFSET(ORÇAMENTO!X$15,$F128,0),IF($F129&lt;&gt;-1,OFFSET(QCI!$O$13,$F129,0),""))</f>
        <v>0</v>
      </c>
      <c r="T128" s="195" t="s">
        <v>785</v>
      </c>
      <c r="U128" s="188" t="e" cm="1">
        <f t="array" aca="1" ref="U128" ca="1">IF(AND($R128=2,ACOMPANHAMENTO="BM"),ROUND(U129,4),U130/$S128)</f>
        <v>#DIV/0!</v>
      </c>
      <c r="V128" s="188" t="e" cm="1">
        <f t="array" aca="1" ref="V128" ca="1">IF(AND($R128=2,ACOMPANHAMENTO="BM"),ROUND(V129,4),V130/$S128)</f>
        <v>#DIV/0!</v>
      </c>
      <c r="W128" s="188" t="e" cm="1">
        <f t="array" aca="1" ref="W128" ca="1">IF(AND($R128=2,ACOMPANHAMENTO="BM"),ROUND(W129,4),W130/$S128)</f>
        <v>#DIV/0!</v>
      </c>
      <c r="X128" s="188" t="e" cm="1">
        <f t="array" aca="1" ref="X128" ca="1">IF(AND($R128=2,ACOMPANHAMENTO="BM"),ROUND(X129,4),X130/$S128)</f>
        <v>#DIV/0!</v>
      </c>
      <c r="Y128" s="188" t="e" cm="1">
        <f t="array" aca="1" ref="Y128" ca="1">IF(AND($R128=2,ACOMPANHAMENTO="BM"),ROUND(Y129,4),Y130/$S128)</f>
        <v>#DIV/0!</v>
      </c>
      <c r="Z128" s="188" t="e" cm="1">
        <f t="array" aca="1" ref="Z128" ca="1">IF(AND($R128=2,ACOMPANHAMENTO="BM"),ROUND(Z129,4),Z130/$S128)</f>
        <v>#DIV/0!</v>
      </c>
      <c r="AA128" s="188" t="e" cm="1">
        <f t="array" aca="1" ref="AA128" ca="1">IF(AND($R128=2,ACOMPANHAMENTO="BM"),ROUND(AA129,4),AA130/$S128)</f>
        <v>#DIV/0!</v>
      </c>
      <c r="AB128" s="188" t="e" cm="1">
        <f t="array" aca="1" ref="AB128" ca="1">IF(AND($R128=2,ACOMPANHAMENTO="BM"),ROUND(AB129,4),AB130/$S128)</f>
        <v>#DIV/0!</v>
      </c>
      <c r="AC128" s="188" t="e" cm="1">
        <f t="array" aca="1" ref="AC128" ca="1">IF(AND($R128=2,ACOMPANHAMENTO="BM"),ROUND(AC129,4),AC130/$S128)</f>
        <v>#DIV/0!</v>
      </c>
      <c r="AD128" s="188" t="e" cm="1">
        <f t="array" aca="1" ref="AD128" ca="1">IF(AND($R128=2,ACOMPANHAMENTO="BM"),ROUND(AD129,4),AD130/$S128)</f>
        <v>#DIV/0!</v>
      </c>
      <c r="AE128" s="188" t="e" cm="1">
        <f t="array" aca="1" ref="AE128" ca="1">IF(AND($R128=2,ACOMPANHAMENTO="BM"),ROUND(AE129,4),AE130/$S128)</f>
        <v>#DIV/0!</v>
      </c>
      <c r="AF128" s="188" t="e" cm="1">
        <f t="array" aca="1" ref="AF128" ca="1">IF(AND($R128=2,ACOMPANHAMENTO="BM"),ROUND(AF129,4),AF130/$S128)</f>
        <v>#DIV/0!</v>
      </c>
      <c r="AG128" s="188" t="e" cm="1">
        <f t="array" aca="1" ref="AG128" ca="1">IF(AND($R128=2,ACOMPANHAMENTO="BM"),ROUND(AG129,4),AG130/$S128)</f>
        <v>#DIV/0!</v>
      </c>
      <c r="AH128" s="188" t="e" cm="1">
        <f t="array" aca="1" ref="AH128" ca="1">IF(AND($R128=2,ACOMPANHAMENTO="BM"),ROUND(AH129,4),AH130/$S128)</f>
        <v>#DIV/0!</v>
      </c>
      <c r="AI128" s="188" t="e" cm="1">
        <f t="array" aca="1" ref="AI128" ca="1">IF(AND($R128=2,ACOMPANHAMENTO="BM"),ROUND(AI129,4),AI130/$S128)</f>
        <v>#DIV/0!</v>
      </c>
      <c r="AJ128" s="188" t="e" cm="1">
        <f t="array" aca="1" ref="AJ128" ca="1">IF(AND($R128=2,ACOMPANHAMENTO="BM"),ROUND(AJ129,4),AJ130/$S128)</f>
        <v>#DIV/0!</v>
      </c>
      <c r="AK128" s="188" t="e" cm="1">
        <f t="array" aca="1" ref="AK128" ca="1">IF(AND($R128=2,ACOMPANHAMENTO="BM"),ROUND(AK129,4),AK130/$S128)</f>
        <v>#DIV/0!</v>
      </c>
      <c r="AL128" s="188" t="e" cm="1">
        <f t="array" aca="1" ref="AL128" ca="1">IF(AND($R128=2,ACOMPANHAMENTO="BM"),ROUND(AL129,4),AL130/$S128)</f>
        <v>#DIV/0!</v>
      </c>
      <c r="AM128" s="188" t="e" cm="1">
        <f t="array" aca="1" ref="AM128" ca="1">IF(AND($R128=2,ACOMPANHAMENTO="BM"),ROUND(AM129,4),AM130/$S128)</f>
        <v>#DIV/0!</v>
      </c>
      <c r="AN128" s="188" t="e" cm="1">
        <f t="array" aca="1" ref="AN128" ca="1">IF(AND($R128=2,ACOMPANHAMENTO="BM"),ROUND(AN129,4),AN130/$S128)</f>
        <v>#DIV/0!</v>
      </c>
      <c r="AO128" s="188" t="e" cm="1">
        <f t="array" aca="1" ref="AO128" ca="1">IF(AND($R128=2,ACOMPANHAMENTO="BM"),ROUND(AO129,4),AO130/$S128)</f>
        <v>#DIV/0!</v>
      </c>
      <c r="AP128" s="188" t="e" cm="1">
        <f t="array" aca="1" ref="AP128" ca="1">IF(AND($R128=2,ACOMPANHAMENTO="BM"),ROUND(AP129,4),AP130/$S128)</f>
        <v>#DIV/0!</v>
      </c>
      <c r="AQ128" s="188" t="e" cm="1">
        <f t="array" aca="1" ref="AQ128" ca="1">IF(AND($R128=2,ACOMPANHAMENTO="BM"),ROUND(AQ129,4),AQ130/$S128)</f>
        <v>#DIV/0!</v>
      </c>
      <c r="AR128" s="188" t="e" cm="1">
        <f t="array" aca="1" ref="AR128" ca="1">IF(AND($R128=2,ACOMPANHAMENTO="BM"),ROUND(AR129,4),AR130/$S128)</f>
        <v>#DIV/0!</v>
      </c>
      <c r="AS128" s="534"/>
    </row>
    <row r="129" spans="1:45" ht="12.75" hidden="1" customHeight="1" x14ac:dyDescent="0.2">
      <c r="E129" s="587"/>
      <c r="F129" s="185">
        <f ca="1">IF(ISERROR(F128),IF(1+COUNTIF($M$13:OFFSET(M128,-1,0),1)&lt;=MAX(QCI!$D$13:$D$24),1+COUNTIF($M$13:OFFSET(M128,-1,0),1),-1),0)</f>
        <v>0</v>
      </c>
      <c r="G129" s="185" t="str" cm="1">
        <f t="array" aca="1" ref="G129" ca="1">IF(ACOMPANHAMENTO="BM",OFFSET(G129,-1,0),"")</f>
        <v/>
      </c>
      <c r="H129" s="196" t="str" cm="1">
        <f t="array" aca="1" ref="H129" ca="1">IF(OR(S128=0,S128=""),"vazia",IF(AND(OR(ACOMPANHAMENTO="PLE",$R128&lt;&gt;2),$F129=0),"calculada","--&gt;"))</f>
        <v>vazia</v>
      </c>
      <c r="I129" s="197"/>
      <c r="J129" s="198" t="str">
        <f t="shared" ref="J129" ca="1" si="234">IF(AND(H128&lt;&gt;0,ISNUMBER(H128)),"PREENCHA ESTA LINHA --&gt;","")</f>
        <v/>
      </c>
      <c r="K129" s="198"/>
      <c r="L129" s="198"/>
      <c r="M129" s="199"/>
      <c r="N129" s="199"/>
      <c r="O129" s="199"/>
      <c r="P129" s="199"/>
      <c r="Q129" s="199"/>
      <c r="R129" s="199"/>
      <c r="S129" s="200"/>
      <c r="T129" s="201"/>
      <c r="U129" s="587"/>
      <c r="V129" s="587"/>
      <c r="W129" s="587"/>
      <c r="X129" s="587"/>
      <c r="Y129" s="587"/>
      <c r="Z129" s="587"/>
      <c r="AA129" s="587"/>
      <c r="AB129" s="587"/>
      <c r="AC129" s="587"/>
      <c r="AD129" s="587"/>
      <c r="AE129" s="587"/>
      <c r="AF129" s="587"/>
      <c r="AG129" s="587"/>
      <c r="AH129" s="587"/>
      <c r="AI129" s="587"/>
      <c r="AJ129" s="587"/>
      <c r="AK129" s="587"/>
      <c r="AL129" s="587"/>
      <c r="AM129" s="587"/>
      <c r="AN129" s="587"/>
      <c r="AO129" s="587"/>
      <c r="AP129" s="587"/>
      <c r="AQ129" s="587"/>
      <c r="AR129" s="587"/>
      <c r="AS129" s="534"/>
    </row>
    <row r="130" spans="1:45" ht="12.75" hidden="1" customHeight="1" x14ac:dyDescent="0.2">
      <c r="D130" s="533"/>
      <c r="E130" s="202" cm="1">
        <f t="array" aca="1" ref="E130" ca="1">IF($R128=2,
         IF(AND(ACOMPANHAMENTO="PLE",ISNUMBER($F128)),
                SUMIF((OFFSET(CÁLCULO!$BS$15:$CS$15,$F128,0,OFFSET(ORÇAMENTO!$D$15,CRONO!$F128,0))),CRONO!E$12,OFFSET(CÁLCULO!$AR$15:$BR$15,$F128,0,OFFSET(ORÇAMENTO!$D$15,CRONO!$F128,0)))
                +IF(AND($F130&lt;&gt;"",$F130&lt;&gt;0),
                        SUMIF(CÁLCULO!$BS$15:$CS$244,CRONO!E$12,CÁLCULO!$AR$15:$BR$244)/(ORÇAMENTO!$X$15-CÁLCULO.TotalAdmLocal)*CRONO!$F130,
                        0),
                 E129*$S128),
          SUMIF(OFFSET($S130,1,0,$R128-2),($M128+1)&amp;"$",OFFSET(E130,1,0,$R128-2)))</f>
        <v>0</v>
      </c>
      <c r="F130" s="185">
        <f ca="1">IF(OR($R128&lt;&gt;2,AUTOEVENTO&lt;&gt;"manual",$F129&gt;0),"",
        IF(Import.TipoArredondamento="Tradicional",
              SUMIF(OFFSET(CÁLCULO!$M$15,CRONO!$F128,0,OFFSET(ORÇAMENTO!$D$15,CRONO!$F128,0)),1,OFFSET(ORÇAMENTO!$X$15,CRONO!$F128,0,OFFSET(ORÇAMENTO!$D$15,CRONO!$F128,0))),
              0))</f>
        <v>0</v>
      </c>
      <c r="H130" s="203"/>
      <c r="S130" s="204" t="str">
        <f t="shared" ref="S130" ca="1" si="235">M128&amp;"$"</f>
        <v>3$</v>
      </c>
      <c r="T130" s="205"/>
      <c r="U130" s="202" cm="1">
        <f t="array" aca="1" ref="U130" ca="1">IF($R128=2,
         IF(AND(ACOMPANHAMENTO="PLE",ISNUMBER($F128)),
                SUMIF((OFFSET(CÁLCULO!$BS$15:$CS$15,$F128,0,OFFSET(ORÇAMENTO!$D$15,CRONO!$F128,0))),CRONO!U$12,OFFSET(CÁLCULO!$AR$15:$BR$15,$F128,0,OFFSET(ORÇAMENTO!$D$15,CRONO!$F128,0)))
                +IF(AND($F130&lt;&gt;"",$F130&lt;&gt;0),
                        SUMIF(CÁLCULO!$BS$15:$CS$244,CRONO!U$12,CÁLCULO!$AR$15:$BR$244)/(ORÇAMENTO!$X$15-CÁLCULO.TotalAdmLocal)*CRONO!$F130,
                        0),
                 U129*$S128),
          SUMIF(OFFSET($S130,1,0,$R128-2),($M128+1)&amp;"$",OFFSET(U130,1,0,$R128-2)))</f>
        <v>0</v>
      </c>
      <c r="V130" s="202" cm="1">
        <f t="array" aca="1" ref="V130" ca="1">IF($R128=2,
         IF(AND(ACOMPANHAMENTO="PLE",ISNUMBER($F128)),
                SUMIF((OFFSET(CÁLCULO!$BS$15:$CS$15,$F128,0,OFFSET(ORÇAMENTO!$D$15,CRONO!$F128,0))),CRONO!V$12,OFFSET(CÁLCULO!$AR$15:$BR$15,$F128,0,OFFSET(ORÇAMENTO!$D$15,CRONO!$F128,0)))
                +IF(AND($F130&lt;&gt;"",$F130&lt;&gt;0),
                        SUMIF(CÁLCULO!$BS$15:$CS$244,CRONO!V$12,CÁLCULO!$AR$15:$BR$244)/(ORÇAMENTO!$X$15-CÁLCULO.TotalAdmLocal)*CRONO!$F130,
                        0),
                 V129*$S128),
          SUMIF(OFFSET($S130,1,0,$R128-2),($M128+1)&amp;"$",OFFSET(V130,1,0,$R128-2)))</f>
        <v>0</v>
      </c>
      <c r="W130" s="202" cm="1">
        <f t="array" aca="1" ref="W130" ca="1">IF($R128=2,
         IF(AND(ACOMPANHAMENTO="PLE",ISNUMBER($F128)),
                SUMIF((OFFSET(CÁLCULO!$BS$15:$CS$15,$F128,0,OFFSET(ORÇAMENTO!$D$15,CRONO!$F128,0))),CRONO!W$12,OFFSET(CÁLCULO!$AR$15:$BR$15,$F128,0,OFFSET(ORÇAMENTO!$D$15,CRONO!$F128,0)))
                +IF(AND($F130&lt;&gt;"",$F130&lt;&gt;0),
                        SUMIF(CÁLCULO!$BS$15:$CS$244,CRONO!W$12,CÁLCULO!$AR$15:$BR$244)/(ORÇAMENTO!$X$15-CÁLCULO.TotalAdmLocal)*CRONO!$F130,
                        0),
                 W129*$S128),
          SUMIF(OFFSET($S130,1,0,$R128-2),($M128+1)&amp;"$",OFFSET(W130,1,0,$R128-2)))</f>
        <v>0</v>
      </c>
      <c r="X130" s="202" cm="1">
        <f t="array" aca="1" ref="X130" ca="1">IF($R128=2,
         IF(AND(ACOMPANHAMENTO="PLE",ISNUMBER($F128)),
                SUMIF((OFFSET(CÁLCULO!$BS$15:$CS$15,$F128,0,OFFSET(ORÇAMENTO!$D$15,CRONO!$F128,0))),CRONO!X$12,OFFSET(CÁLCULO!$AR$15:$BR$15,$F128,0,OFFSET(ORÇAMENTO!$D$15,CRONO!$F128,0)))
                +IF(AND($F130&lt;&gt;"",$F130&lt;&gt;0),
                        SUMIF(CÁLCULO!$BS$15:$CS$244,CRONO!X$12,CÁLCULO!$AR$15:$BR$244)/(ORÇAMENTO!$X$15-CÁLCULO.TotalAdmLocal)*CRONO!$F130,
                        0),
                 X129*$S128),
          SUMIF(OFFSET($S130,1,0,$R128-2),($M128+1)&amp;"$",OFFSET(X130,1,0,$R128-2)))</f>
        <v>0</v>
      </c>
      <c r="Y130" s="202" cm="1">
        <f t="array" aca="1" ref="Y130" ca="1">IF($R128=2,
         IF(AND(ACOMPANHAMENTO="PLE",ISNUMBER($F128)),
                SUMIF((OFFSET(CÁLCULO!$BS$15:$CS$15,$F128,0,OFFSET(ORÇAMENTO!$D$15,CRONO!$F128,0))),CRONO!Y$12,OFFSET(CÁLCULO!$AR$15:$BR$15,$F128,0,OFFSET(ORÇAMENTO!$D$15,CRONO!$F128,0)))
                +IF(AND($F130&lt;&gt;"",$F130&lt;&gt;0),
                        SUMIF(CÁLCULO!$BS$15:$CS$244,CRONO!Y$12,CÁLCULO!$AR$15:$BR$244)/(ORÇAMENTO!$X$15-CÁLCULO.TotalAdmLocal)*CRONO!$F130,
                        0),
                 Y129*$S128),
          SUMIF(OFFSET($S130,1,0,$R128-2),($M128+1)&amp;"$",OFFSET(Y130,1,0,$R128-2)))</f>
        <v>0</v>
      </c>
      <c r="Z130" s="202" cm="1">
        <f t="array" aca="1" ref="Z130" ca="1">IF($R128=2,
         IF(AND(ACOMPANHAMENTO="PLE",ISNUMBER($F128)),
                SUMIF((OFFSET(CÁLCULO!$BS$15:$CS$15,$F128,0,OFFSET(ORÇAMENTO!$D$15,CRONO!$F128,0))),CRONO!Z$12,OFFSET(CÁLCULO!$AR$15:$BR$15,$F128,0,OFFSET(ORÇAMENTO!$D$15,CRONO!$F128,0)))
                +IF(AND($F130&lt;&gt;"",$F130&lt;&gt;0),
                        SUMIF(CÁLCULO!$BS$15:$CS$244,CRONO!Z$12,CÁLCULO!$AR$15:$BR$244)/(ORÇAMENTO!$X$15-CÁLCULO.TotalAdmLocal)*CRONO!$F130,
                        0),
                 Z129*$S128),
          SUMIF(OFFSET($S130,1,0,$R128-2),($M128+1)&amp;"$",OFFSET(Z130,1,0,$R128-2)))</f>
        <v>0</v>
      </c>
      <c r="AA130" s="202" cm="1">
        <f t="array" aca="1" ref="AA130" ca="1">IF($R128=2,
         IF(AND(ACOMPANHAMENTO="PLE",ISNUMBER($F128)),
                SUMIF((OFFSET(CÁLCULO!$BS$15:$CS$15,$F128,0,OFFSET(ORÇAMENTO!$D$15,CRONO!$F128,0))),CRONO!AA$12,OFFSET(CÁLCULO!$AR$15:$BR$15,$F128,0,OFFSET(ORÇAMENTO!$D$15,CRONO!$F128,0)))
                +IF(AND($F130&lt;&gt;"",$F130&lt;&gt;0),
                        SUMIF(CÁLCULO!$BS$15:$CS$244,CRONO!AA$12,CÁLCULO!$AR$15:$BR$244)/(ORÇAMENTO!$X$15-CÁLCULO.TotalAdmLocal)*CRONO!$F130,
                        0),
                 AA129*$S128),
          SUMIF(OFFSET($S130,1,0,$R128-2),($M128+1)&amp;"$",OFFSET(AA130,1,0,$R128-2)))</f>
        <v>0</v>
      </c>
      <c r="AB130" s="202" cm="1">
        <f t="array" aca="1" ref="AB130" ca="1">IF($R128=2,
         IF(AND(ACOMPANHAMENTO="PLE",ISNUMBER($F128)),
                SUMIF((OFFSET(CÁLCULO!$BS$15:$CS$15,$F128,0,OFFSET(ORÇAMENTO!$D$15,CRONO!$F128,0))),CRONO!AB$12,OFFSET(CÁLCULO!$AR$15:$BR$15,$F128,0,OFFSET(ORÇAMENTO!$D$15,CRONO!$F128,0)))
                +IF(AND($F130&lt;&gt;"",$F130&lt;&gt;0),
                        SUMIF(CÁLCULO!$BS$15:$CS$244,CRONO!AB$12,CÁLCULO!$AR$15:$BR$244)/(ORÇAMENTO!$X$15-CÁLCULO.TotalAdmLocal)*CRONO!$F130,
                        0),
                 AB129*$S128),
          SUMIF(OFFSET($S130,1,0,$R128-2),($M128+1)&amp;"$",OFFSET(AB130,1,0,$R128-2)))</f>
        <v>0</v>
      </c>
      <c r="AC130" s="202" cm="1">
        <f t="array" aca="1" ref="AC130" ca="1">IF($R128=2,
         IF(AND(ACOMPANHAMENTO="PLE",ISNUMBER($F128)),
                SUMIF((OFFSET(CÁLCULO!$BS$15:$CS$15,$F128,0,OFFSET(ORÇAMENTO!$D$15,CRONO!$F128,0))),CRONO!AC$12,OFFSET(CÁLCULO!$AR$15:$BR$15,$F128,0,OFFSET(ORÇAMENTO!$D$15,CRONO!$F128,0)))
                +IF(AND($F130&lt;&gt;"",$F130&lt;&gt;0),
                        SUMIF(CÁLCULO!$BS$15:$CS$244,CRONO!AC$12,CÁLCULO!$AR$15:$BR$244)/(ORÇAMENTO!$X$15-CÁLCULO.TotalAdmLocal)*CRONO!$F130,
                        0),
                 AC129*$S128),
          SUMIF(OFFSET($S130,1,0,$R128-2),($M128+1)&amp;"$",OFFSET(AC130,1,0,$R128-2)))</f>
        <v>0</v>
      </c>
      <c r="AD130" s="202" cm="1">
        <f t="array" aca="1" ref="AD130" ca="1">IF($R128=2,
         IF(AND(ACOMPANHAMENTO="PLE",ISNUMBER($F128)),
                SUMIF((OFFSET(CÁLCULO!$BS$15:$CS$15,$F128,0,OFFSET(ORÇAMENTO!$D$15,CRONO!$F128,0))),CRONO!AD$12,OFFSET(CÁLCULO!$AR$15:$BR$15,$F128,0,OFFSET(ORÇAMENTO!$D$15,CRONO!$F128,0)))
                +IF(AND($F130&lt;&gt;"",$F130&lt;&gt;0),
                        SUMIF(CÁLCULO!$BS$15:$CS$244,CRONO!AD$12,CÁLCULO!$AR$15:$BR$244)/(ORÇAMENTO!$X$15-CÁLCULO.TotalAdmLocal)*CRONO!$F130,
                        0),
                 AD129*$S128),
          SUMIF(OFFSET($S130,1,0,$R128-2),($M128+1)&amp;"$",OFFSET(AD130,1,0,$R128-2)))</f>
        <v>0</v>
      </c>
      <c r="AE130" s="202" cm="1">
        <f t="array" aca="1" ref="AE130" ca="1">IF($R128=2,
         IF(AND(ACOMPANHAMENTO="PLE",ISNUMBER($F128)),
                SUMIF((OFFSET(CÁLCULO!$BS$15:$CS$15,$F128,0,OFFSET(ORÇAMENTO!$D$15,CRONO!$F128,0))),CRONO!AE$12,OFFSET(CÁLCULO!$AR$15:$BR$15,$F128,0,OFFSET(ORÇAMENTO!$D$15,CRONO!$F128,0)))
                +IF(AND($F130&lt;&gt;"",$F130&lt;&gt;0),
                        SUMIF(CÁLCULO!$BS$15:$CS$244,CRONO!AE$12,CÁLCULO!$AR$15:$BR$244)/(ORÇAMENTO!$X$15-CÁLCULO.TotalAdmLocal)*CRONO!$F130,
                        0),
                 AE129*$S128),
          SUMIF(OFFSET($S130,1,0,$R128-2),($M128+1)&amp;"$",OFFSET(AE130,1,0,$R128-2)))</f>
        <v>0</v>
      </c>
      <c r="AF130" s="202" cm="1">
        <f t="array" aca="1" ref="AF130" ca="1">IF($R128=2,
         IF(AND(ACOMPANHAMENTO="PLE",ISNUMBER($F128)),
                SUMIF((OFFSET(CÁLCULO!$BS$15:$CS$15,$F128,0,OFFSET(ORÇAMENTO!$D$15,CRONO!$F128,0))),CRONO!AF$12,OFFSET(CÁLCULO!$AR$15:$BR$15,$F128,0,OFFSET(ORÇAMENTO!$D$15,CRONO!$F128,0)))
                +IF(AND($F130&lt;&gt;"",$F130&lt;&gt;0),
                        SUMIF(CÁLCULO!$BS$15:$CS$244,CRONO!AF$12,CÁLCULO!$AR$15:$BR$244)/(ORÇAMENTO!$X$15-CÁLCULO.TotalAdmLocal)*CRONO!$F130,
                        0),
                 AF129*$S128),
          SUMIF(OFFSET($S130,1,0,$R128-2),($M128+1)&amp;"$",OFFSET(AF130,1,0,$R128-2)))</f>
        <v>0</v>
      </c>
      <c r="AG130" s="202" cm="1">
        <f t="array" aca="1" ref="AG130" ca="1">IF($R128=2,
         IF(AND(ACOMPANHAMENTO="PLE",ISNUMBER($F128)),
                SUMIF((OFFSET(CÁLCULO!$BS$15:$CS$15,$F128,0,OFFSET(ORÇAMENTO!$D$15,CRONO!$F128,0))),CRONO!AG$12,OFFSET(CÁLCULO!$AR$15:$BR$15,$F128,0,OFFSET(ORÇAMENTO!$D$15,CRONO!$F128,0)))
                +IF(AND($F130&lt;&gt;"",$F130&lt;&gt;0),
                        SUMIF(CÁLCULO!$BS$15:$CS$244,CRONO!AG$12,CÁLCULO!$AR$15:$BR$244)/(ORÇAMENTO!$X$15-CÁLCULO.TotalAdmLocal)*CRONO!$F130,
                        0),
                 AG129*$S128),
          SUMIF(OFFSET($S130,1,0,$R128-2),($M128+1)&amp;"$",OFFSET(AG130,1,0,$R128-2)))</f>
        <v>0</v>
      </c>
      <c r="AH130" s="202" cm="1">
        <f t="array" aca="1" ref="AH130" ca="1">IF($R128=2,
         IF(AND(ACOMPANHAMENTO="PLE",ISNUMBER($F128)),
                SUMIF((OFFSET(CÁLCULO!$BS$15:$CS$15,$F128,0,OFFSET(ORÇAMENTO!$D$15,CRONO!$F128,0))),CRONO!AH$12,OFFSET(CÁLCULO!$AR$15:$BR$15,$F128,0,OFFSET(ORÇAMENTO!$D$15,CRONO!$F128,0)))
                +IF(AND($F130&lt;&gt;"",$F130&lt;&gt;0),
                        SUMIF(CÁLCULO!$BS$15:$CS$244,CRONO!AH$12,CÁLCULO!$AR$15:$BR$244)/(ORÇAMENTO!$X$15-CÁLCULO.TotalAdmLocal)*CRONO!$F130,
                        0),
                 AH129*$S128),
          SUMIF(OFFSET($S130,1,0,$R128-2),($M128+1)&amp;"$",OFFSET(AH130,1,0,$R128-2)))</f>
        <v>0</v>
      </c>
      <c r="AI130" s="202" cm="1">
        <f t="array" aca="1" ref="AI130" ca="1">IF($R128=2,
         IF(AND(ACOMPANHAMENTO="PLE",ISNUMBER($F128)),
                SUMIF((OFFSET(CÁLCULO!$BS$15:$CS$15,$F128,0,OFFSET(ORÇAMENTO!$D$15,CRONO!$F128,0))),CRONO!AI$12,OFFSET(CÁLCULO!$AR$15:$BR$15,$F128,0,OFFSET(ORÇAMENTO!$D$15,CRONO!$F128,0)))
                +IF(AND($F130&lt;&gt;"",$F130&lt;&gt;0),
                        SUMIF(CÁLCULO!$BS$15:$CS$244,CRONO!AI$12,CÁLCULO!$AR$15:$BR$244)/(ORÇAMENTO!$X$15-CÁLCULO.TotalAdmLocal)*CRONO!$F130,
                        0),
                 AI129*$S128),
          SUMIF(OFFSET($S130,1,0,$R128-2),($M128+1)&amp;"$",OFFSET(AI130,1,0,$R128-2)))</f>
        <v>0</v>
      </c>
      <c r="AJ130" s="202" cm="1">
        <f t="array" aca="1" ref="AJ130" ca="1">IF($R128=2,
         IF(AND(ACOMPANHAMENTO="PLE",ISNUMBER($F128)),
                SUMIF((OFFSET(CÁLCULO!$BS$15:$CS$15,$F128,0,OFFSET(ORÇAMENTO!$D$15,CRONO!$F128,0))),CRONO!AJ$12,OFFSET(CÁLCULO!$AR$15:$BR$15,$F128,0,OFFSET(ORÇAMENTO!$D$15,CRONO!$F128,0)))
                +IF(AND($F130&lt;&gt;"",$F130&lt;&gt;0),
                        SUMIF(CÁLCULO!$BS$15:$CS$244,CRONO!AJ$12,CÁLCULO!$AR$15:$BR$244)/(ORÇAMENTO!$X$15-CÁLCULO.TotalAdmLocal)*CRONO!$F130,
                        0),
                 AJ129*$S128),
          SUMIF(OFFSET($S130,1,0,$R128-2),($M128+1)&amp;"$",OFFSET(AJ130,1,0,$R128-2)))</f>
        <v>0</v>
      </c>
      <c r="AK130" s="202" cm="1">
        <f t="array" aca="1" ref="AK130" ca="1">IF($R128=2,
         IF(AND(ACOMPANHAMENTO="PLE",ISNUMBER($F128)),
                SUMIF((OFFSET(CÁLCULO!$BS$15:$CS$15,$F128,0,OFFSET(ORÇAMENTO!$D$15,CRONO!$F128,0))),CRONO!AK$12,OFFSET(CÁLCULO!$AR$15:$BR$15,$F128,0,OFFSET(ORÇAMENTO!$D$15,CRONO!$F128,0)))
                +IF(AND($F130&lt;&gt;"",$F130&lt;&gt;0),
                        SUMIF(CÁLCULO!$BS$15:$CS$244,CRONO!AK$12,CÁLCULO!$AR$15:$BR$244)/(ORÇAMENTO!$X$15-CÁLCULO.TotalAdmLocal)*CRONO!$F130,
                        0),
                 AK129*$S128),
          SUMIF(OFFSET($S130,1,0,$R128-2),($M128+1)&amp;"$",OFFSET(AK130,1,0,$R128-2)))</f>
        <v>0</v>
      </c>
      <c r="AL130" s="202" cm="1">
        <f t="array" aca="1" ref="AL130" ca="1">IF($R128=2,
         IF(AND(ACOMPANHAMENTO="PLE",ISNUMBER($F128)),
                SUMIF((OFFSET(CÁLCULO!$BS$15:$CS$15,$F128,0,OFFSET(ORÇAMENTO!$D$15,CRONO!$F128,0))),CRONO!AL$12,OFFSET(CÁLCULO!$AR$15:$BR$15,$F128,0,OFFSET(ORÇAMENTO!$D$15,CRONO!$F128,0)))
                +IF(AND($F130&lt;&gt;"",$F130&lt;&gt;0),
                        SUMIF(CÁLCULO!$BS$15:$CS$244,CRONO!AL$12,CÁLCULO!$AR$15:$BR$244)/(ORÇAMENTO!$X$15-CÁLCULO.TotalAdmLocal)*CRONO!$F130,
                        0),
                 AL129*$S128),
          SUMIF(OFFSET($S130,1,0,$R128-2),($M128+1)&amp;"$",OFFSET(AL130,1,0,$R128-2)))</f>
        <v>0</v>
      </c>
      <c r="AM130" s="202" cm="1">
        <f t="array" aca="1" ref="AM130" ca="1">IF($R128=2,
         IF(AND(ACOMPANHAMENTO="PLE",ISNUMBER($F128)),
                SUMIF((OFFSET(CÁLCULO!$BS$15:$CS$15,$F128,0,OFFSET(ORÇAMENTO!$D$15,CRONO!$F128,0))),CRONO!AM$12,OFFSET(CÁLCULO!$AR$15:$BR$15,$F128,0,OFFSET(ORÇAMENTO!$D$15,CRONO!$F128,0)))
                +IF(AND($F130&lt;&gt;"",$F130&lt;&gt;0),
                        SUMIF(CÁLCULO!$BS$15:$CS$244,CRONO!AM$12,CÁLCULO!$AR$15:$BR$244)/(ORÇAMENTO!$X$15-CÁLCULO.TotalAdmLocal)*CRONO!$F130,
                        0),
                 AM129*$S128),
          SUMIF(OFFSET($S130,1,0,$R128-2),($M128+1)&amp;"$",OFFSET(AM130,1,0,$R128-2)))</f>
        <v>0</v>
      </c>
      <c r="AN130" s="202" cm="1">
        <f t="array" aca="1" ref="AN130" ca="1">IF($R128=2,
         IF(AND(ACOMPANHAMENTO="PLE",ISNUMBER($F128)),
                SUMIF((OFFSET(CÁLCULO!$BS$15:$CS$15,$F128,0,OFFSET(ORÇAMENTO!$D$15,CRONO!$F128,0))),CRONO!AN$12,OFFSET(CÁLCULO!$AR$15:$BR$15,$F128,0,OFFSET(ORÇAMENTO!$D$15,CRONO!$F128,0)))
                +IF(AND($F130&lt;&gt;"",$F130&lt;&gt;0),
                        SUMIF(CÁLCULO!$BS$15:$CS$244,CRONO!AN$12,CÁLCULO!$AR$15:$BR$244)/(ORÇAMENTO!$X$15-CÁLCULO.TotalAdmLocal)*CRONO!$F130,
                        0),
                 AN129*$S128),
          SUMIF(OFFSET($S130,1,0,$R128-2),($M128+1)&amp;"$",OFFSET(AN130,1,0,$R128-2)))</f>
        <v>0</v>
      </c>
      <c r="AO130" s="202" cm="1">
        <f t="array" aca="1" ref="AO130" ca="1">IF($R128=2,
         IF(AND(ACOMPANHAMENTO="PLE",ISNUMBER($F128)),
                SUMIF((OFFSET(CÁLCULO!$BS$15:$CS$15,$F128,0,OFFSET(ORÇAMENTO!$D$15,CRONO!$F128,0))),CRONO!AO$12,OFFSET(CÁLCULO!$AR$15:$BR$15,$F128,0,OFFSET(ORÇAMENTO!$D$15,CRONO!$F128,0)))
                +IF(AND($F130&lt;&gt;"",$F130&lt;&gt;0),
                        SUMIF(CÁLCULO!$BS$15:$CS$244,CRONO!AO$12,CÁLCULO!$AR$15:$BR$244)/(ORÇAMENTO!$X$15-CÁLCULO.TotalAdmLocal)*CRONO!$F130,
                        0),
                 AO129*$S128),
          SUMIF(OFFSET($S130,1,0,$R128-2),($M128+1)&amp;"$",OFFSET(AO130,1,0,$R128-2)))</f>
        <v>0</v>
      </c>
      <c r="AP130" s="202" cm="1">
        <f t="array" aca="1" ref="AP130" ca="1">IF($R128=2,
         IF(AND(ACOMPANHAMENTO="PLE",ISNUMBER($F128)),
                SUMIF((OFFSET(CÁLCULO!$BS$15:$CS$15,$F128,0,OFFSET(ORÇAMENTO!$D$15,CRONO!$F128,0))),CRONO!AP$12,OFFSET(CÁLCULO!$AR$15:$BR$15,$F128,0,OFFSET(ORÇAMENTO!$D$15,CRONO!$F128,0)))
                +IF(AND($F130&lt;&gt;"",$F130&lt;&gt;0),
                        SUMIF(CÁLCULO!$BS$15:$CS$244,CRONO!AP$12,CÁLCULO!$AR$15:$BR$244)/(ORÇAMENTO!$X$15-CÁLCULO.TotalAdmLocal)*CRONO!$F130,
                        0),
                 AP129*$S128),
          SUMIF(OFFSET($S130,1,0,$R128-2),($M128+1)&amp;"$",OFFSET(AP130,1,0,$R128-2)))</f>
        <v>0</v>
      </c>
      <c r="AQ130" s="202" cm="1">
        <f t="array" aca="1" ref="AQ130" ca="1">IF($R128=2,
         IF(AND(ACOMPANHAMENTO="PLE",ISNUMBER($F128)),
                SUMIF((OFFSET(CÁLCULO!$BS$15:$CS$15,$F128,0,OFFSET(ORÇAMENTO!$D$15,CRONO!$F128,0))),CRONO!AQ$12,OFFSET(CÁLCULO!$AR$15:$BR$15,$F128,0,OFFSET(ORÇAMENTO!$D$15,CRONO!$F128,0)))
                +IF(AND($F130&lt;&gt;"",$F130&lt;&gt;0),
                        SUMIF(CÁLCULO!$BS$15:$CS$244,CRONO!AQ$12,CÁLCULO!$AR$15:$BR$244)/(ORÇAMENTO!$X$15-CÁLCULO.TotalAdmLocal)*CRONO!$F130,
                        0),
                 AQ129*$S128),
          SUMIF(OFFSET($S130,1,0,$R128-2),($M128+1)&amp;"$",OFFSET(AQ130,1,0,$R128-2)))</f>
        <v>0</v>
      </c>
      <c r="AR130" s="202" cm="1">
        <f t="array" aca="1" ref="AR130" ca="1">IF($R128=2,
         IF(AND(ACOMPANHAMENTO="PLE",ISNUMBER($F128)),
                SUMIF((OFFSET(CÁLCULO!$BS$15:$CS$15,$F128,0,OFFSET(ORÇAMENTO!$D$15,CRONO!$F128,0))),CRONO!AR$12,OFFSET(CÁLCULO!$AR$15:$BR$15,$F128,0,OFFSET(ORÇAMENTO!$D$15,CRONO!$F128,0)))
                +IF(AND($F130&lt;&gt;"",$F130&lt;&gt;0),
                        SUMIF(CÁLCULO!$BS$15:$CS$244,CRONO!AR$12,CÁLCULO!$AR$15:$BR$244)/(ORÇAMENTO!$X$15-CÁLCULO.TotalAdmLocal)*CRONO!$F130,
                        0),
                 AR129*$S128),
          SUMIF(OFFSET($S130,1,0,$R128-2),($M128+1)&amp;"$",OFFSET(AR130,1,0,$R128-2)))</f>
        <v>0</v>
      </c>
      <c r="AS130" s="534"/>
    </row>
    <row r="131" spans="1:45" x14ac:dyDescent="0.2">
      <c r="A131" s="186" t="e">
        <f t="shared" ref="A131" ca="1" si="236">IF($M131&gt;1,_xlfn.CONCAT($I131," ",$J131),"")</f>
        <v>#NAME?</v>
      </c>
      <c r="B131" s="185">
        <f t="shared" ref="B131" ca="1" si="237">OFFSET(B131,-3,0)+1</f>
        <v>40</v>
      </c>
      <c r="C131" s="185">
        <f ca="1">IF($R131&lt;&gt;2,0,IF($S131=0,1,IF(F132&gt;0,OFFSET(QCI!$M$13,SUBSTITUTE(F132,".",""),0),OFFSET(ORÇAMENTO!$AA$15,CRONO!$F131,0))/$S131))</f>
        <v>1</v>
      </c>
      <c r="D131" s="185">
        <f ca="1">IF($R131&lt;&gt;2,0,IF($S131=0,1,IF(F132&gt;0,OFFSET(QCI!$N$13,SUBSTITUTE(F132,".",""),0),OFFSET(ORÇAMENTO!$AB$15,CRONO!$F131,0))/$S131))</f>
        <v>1</v>
      </c>
      <c r="E131" s="188" t="e" cm="1">
        <f t="array" aca="1" ref="E131" ca="1">IF(AND($R131=2,ACOMPANHAMENTO="BM"),ROUND(E132,4),E133/$S131)</f>
        <v>#DIV/0!</v>
      </c>
      <c r="F131" s="185" cm="1">
        <f t="array" aca="1" ref="F131" ca="1">IF(B131&lt;=ORÇAMENTO.MáximoListaCrono,MATCH(B131,ORÇAMENTO.ListaCrono,0),NA())</f>
        <v>173</v>
      </c>
      <c r="G131" s="185" t="str">
        <f t="shared" ref="G131" ca="1" si="238">IF(AND($F132&lt;&gt;-1,$S131&gt;0),"F","")</f>
        <v/>
      </c>
      <c r="H131" s="189" t="str" cm="1">
        <f t="array" aca="1" ref="H131" ca="1">IF(OR(S131=0,S131=""),"Linha",IF(AND(OR(ACOMPANHAMENTO="PLE",$R131&lt;&gt;2),$F132=0),"Linha",ROUND(1-SUM(U131:AS131),4)))</f>
        <v>Linha</v>
      </c>
      <c r="I131" s="190" t="str">
        <f ca="1">IF($F132=0,OFFSET(ORÇAMENTO!O$15,$F131,0),IF($F132&lt;&gt;-1,OFFSET(QCI!$D$13,$F132,0),""))</f>
        <v>9.2.4.</v>
      </c>
      <c r="J131" s="191" t="str">
        <f ca="1">IF($F132=0,OFFSET(ORÇAMENTO!R$15,$F131,0),IF($F132&lt;&gt;-1,OFFSET(QCI!$G$13,$F132,0),""))</f>
        <v>CAIXA D'ÁGUA E BARRILETE</v>
      </c>
      <c r="K131" s="191"/>
      <c r="L131" s="191"/>
      <c r="M131" s="192">
        <f ca="1">IF($F132=0,OFFSET(ORÇAMENTO!C$15,$F131,0),1)</f>
        <v>3</v>
      </c>
      <c r="N131" s="193">
        <f ca="1">IF($F132=-1,0,IF(N$13&lt;=$M131,IF(ISERROR(MATCH(N$13,OFFSET($M131,1,0,ROW($M$164)-ROW($M131)-1),0)),ROW($M$164)-ROW($M131)-1,MATCH(N$13,OFFSET($M131,1,0,ROW($M$164)-ROW($M131)-1),0)-1),0))</f>
        <v>14</v>
      </c>
      <c r="O131" s="193">
        <f ca="1">IF($F132=-1,0,IF(O$13&lt;=$M131,IF(ISERROR(MATCH(O$13,OFFSET($M131,1,0,ROW($M$164)-ROW($M131)-1),0)),ROW($M$164)-ROW($M131)-1,MATCH(O$13,OFFSET($M131,1,0,ROW($M$164)-ROW($M131)-1),0)-1),0))</f>
        <v>2</v>
      </c>
      <c r="P131" s="193">
        <f ca="1">IF($F132=-1,0,IF(P$13&lt;=$M131,IF(ISERROR(MATCH(P$13,OFFSET($M131,1,0,ROW($M$164)-ROW($M131)-1),0)),ROW($M$164)-ROW($M131)-1,MATCH(P$13,OFFSET($M131,1,0,ROW($M$164)-ROW($M131)-1),0)-1),0))</f>
        <v>5</v>
      </c>
      <c r="Q131" s="193">
        <f ca="1">IF($F132=-1,0,IF(Q$13&lt;=$M131,IF(ISERROR(MATCH(Q$13,OFFSET($M131,1,0,ROW($M$164)-ROW($M131)-1),0)),ROW($M$164)-ROW($M131)-1,MATCH(Q$13,OFFSET($M131,1,0,ROW($M$164)-ROW($M131)-1),0)-1),0))</f>
        <v>0</v>
      </c>
      <c r="R131" s="193">
        <f t="shared" ref="R131" ca="1" si="239">MIN(OFFSET(M131,0,1,,M131))</f>
        <v>2</v>
      </c>
      <c r="S131" s="194">
        <f ca="1">IF($F132=0,OFFSET(ORÇAMENTO!X$15,$F131,0),IF($F132&lt;&gt;-1,OFFSET(QCI!$O$13,$F132,0),""))</f>
        <v>0</v>
      </c>
      <c r="T131" s="195" t="s">
        <v>785</v>
      </c>
      <c r="U131" s="188" t="e" cm="1">
        <f t="array" aca="1" ref="U131" ca="1">IF(AND($R131=2,ACOMPANHAMENTO="BM"),ROUND(U132,4),U133/$S131)</f>
        <v>#DIV/0!</v>
      </c>
      <c r="V131" s="188" t="e" cm="1">
        <f t="array" aca="1" ref="V131" ca="1">IF(AND($R131=2,ACOMPANHAMENTO="BM"),ROUND(V132,4),V133/$S131)</f>
        <v>#DIV/0!</v>
      </c>
      <c r="W131" s="188" t="e" cm="1">
        <f t="array" aca="1" ref="W131" ca="1">IF(AND($R131=2,ACOMPANHAMENTO="BM"),ROUND(W132,4),W133/$S131)</f>
        <v>#DIV/0!</v>
      </c>
      <c r="X131" s="188" t="e" cm="1">
        <f t="array" aca="1" ref="X131" ca="1">IF(AND($R131=2,ACOMPANHAMENTO="BM"),ROUND(X132,4),X133/$S131)</f>
        <v>#DIV/0!</v>
      </c>
      <c r="Y131" s="188" t="e" cm="1">
        <f t="array" aca="1" ref="Y131" ca="1">IF(AND($R131=2,ACOMPANHAMENTO="BM"),ROUND(Y132,4),Y133/$S131)</f>
        <v>#DIV/0!</v>
      </c>
      <c r="Z131" s="188" t="e" cm="1">
        <f t="array" aca="1" ref="Z131" ca="1">IF(AND($R131=2,ACOMPANHAMENTO="BM"),ROUND(Z132,4),Z133/$S131)</f>
        <v>#DIV/0!</v>
      </c>
      <c r="AA131" s="188" t="e" cm="1">
        <f t="array" aca="1" ref="AA131" ca="1">IF(AND($R131=2,ACOMPANHAMENTO="BM"),ROUND(AA132,4),AA133/$S131)</f>
        <v>#DIV/0!</v>
      </c>
      <c r="AB131" s="188" t="e" cm="1">
        <f t="array" aca="1" ref="AB131" ca="1">IF(AND($R131=2,ACOMPANHAMENTO="BM"),ROUND(AB132,4),AB133/$S131)</f>
        <v>#DIV/0!</v>
      </c>
      <c r="AC131" s="188" t="e" cm="1">
        <f t="array" aca="1" ref="AC131" ca="1">IF(AND($R131=2,ACOMPANHAMENTO="BM"),ROUND(AC132,4),AC133/$S131)</f>
        <v>#DIV/0!</v>
      </c>
      <c r="AD131" s="188" t="e" cm="1">
        <f t="array" aca="1" ref="AD131" ca="1">IF(AND($R131=2,ACOMPANHAMENTO="BM"),ROUND(AD132,4),AD133/$S131)</f>
        <v>#DIV/0!</v>
      </c>
      <c r="AE131" s="188" t="e" cm="1">
        <f t="array" aca="1" ref="AE131" ca="1">IF(AND($R131=2,ACOMPANHAMENTO="BM"),ROUND(AE132,4),AE133/$S131)</f>
        <v>#DIV/0!</v>
      </c>
      <c r="AF131" s="188" t="e" cm="1">
        <f t="array" aca="1" ref="AF131" ca="1">IF(AND($R131=2,ACOMPANHAMENTO="BM"),ROUND(AF132,4),AF133/$S131)</f>
        <v>#DIV/0!</v>
      </c>
      <c r="AG131" s="188" t="e" cm="1">
        <f t="array" aca="1" ref="AG131" ca="1">IF(AND($R131=2,ACOMPANHAMENTO="BM"),ROUND(AG132,4),AG133/$S131)</f>
        <v>#DIV/0!</v>
      </c>
      <c r="AH131" s="188" t="e" cm="1">
        <f t="array" aca="1" ref="AH131" ca="1">IF(AND($R131=2,ACOMPANHAMENTO="BM"),ROUND(AH132,4),AH133/$S131)</f>
        <v>#DIV/0!</v>
      </c>
      <c r="AI131" s="188" t="e" cm="1">
        <f t="array" aca="1" ref="AI131" ca="1">IF(AND($R131=2,ACOMPANHAMENTO="BM"),ROUND(AI132,4),AI133/$S131)</f>
        <v>#DIV/0!</v>
      </c>
      <c r="AJ131" s="188" t="e" cm="1">
        <f t="array" aca="1" ref="AJ131" ca="1">IF(AND($R131=2,ACOMPANHAMENTO="BM"),ROUND(AJ132,4),AJ133/$S131)</f>
        <v>#DIV/0!</v>
      </c>
      <c r="AK131" s="188" t="e" cm="1">
        <f t="array" aca="1" ref="AK131" ca="1">IF(AND($R131=2,ACOMPANHAMENTO="BM"),ROUND(AK132,4),AK133/$S131)</f>
        <v>#DIV/0!</v>
      </c>
      <c r="AL131" s="188" t="e" cm="1">
        <f t="array" aca="1" ref="AL131" ca="1">IF(AND($R131=2,ACOMPANHAMENTO="BM"),ROUND(AL132,4),AL133/$S131)</f>
        <v>#DIV/0!</v>
      </c>
      <c r="AM131" s="188" t="e" cm="1">
        <f t="array" aca="1" ref="AM131" ca="1">IF(AND($R131=2,ACOMPANHAMENTO="BM"),ROUND(AM132,4),AM133/$S131)</f>
        <v>#DIV/0!</v>
      </c>
      <c r="AN131" s="188" t="e" cm="1">
        <f t="array" aca="1" ref="AN131" ca="1">IF(AND($R131=2,ACOMPANHAMENTO="BM"),ROUND(AN132,4),AN133/$S131)</f>
        <v>#DIV/0!</v>
      </c>
      <c r="AO131" s="188" t="e" cm="1">
        <f t="array" aca="1" ref="AO131" ca="1">IF(AND($R131=2,ACOMPANHAMENTO="BM"),ROUND(AO132,4),AO133/$S131)</f>
        <v>#DIV/0!</v>
      </c>
      <c r="AP131" s="188" t="e" cm="1">
        <f t="array" aca="1" ref="AP131" ca="1">IF(AND($R131=2,ACOMPANHAMENTO="BM"),ROUND(AP132,4),AP133/$S131)</f>
        <v>#DIV/0!</v>
      </c>
      <c r="AQ131" s="188" t="e" cm="1">
        <f t="array" aca="1" ref="AQ131" ca="1">IF(AND($R131=2,ACOMPANHAMENTO="BM"),ROUND(AQ132,4),AQ133/$S131)</f>
        <v>#DIV/0!</v>
      </c>
      <c r="AR131" s="188" t="e" cm="1">
        <f t="array" aca="1" ref="AR131" ca="1">IF(AND($R131=2,ACOMPANHAMENTO="BM"),ROUND(AR132,4),AR133/$S131)</f>
        <v>#DIV/0!</v>
      </c>
      <c r="AS131" s="534"/>
    </row>
    <row r="132" spans="1:45" ht="12.75" hidden="1" customHeight="1" x14ac:dyDescent="0.2">
      <c r="E132" s="587"/>
      <c r="F132" s="185">
        <f ca="1">IF(ISERROR(F131),IF(1+COUNTIF($M$13:OFFSET(M131,-1,0),1)&lt;=MAX(QCI!$D$13:$D$24),1+COUNTIF($M$13:OFFSET(M131,-1,0),1),-1),0)</f>
        <v>0</v>
      </c>
      <c r="G132" s="185" t="str" cm="1">
        <f t="array" aca="1" ref="G132" ca="1">IF(ACOMPANHAMENTO="BM",OFFSET(G132,-1,0),"")</f>
        <v/>
      </c>
      <c r="H132" s="196" t="str" cm="1">
        <f t="array" aca="1" ref="H132" ca="1">IF(OR(S131=0,S131=""),"vazia",IF(AND(OR(ACOMPANHAMENTO="PLE",$R131&lt;&gt;2),$F132=0),"calculada","--&gt;"))</f>
        <v>vazia</v>
      </c>
      <c r="I132" s="197"/>
      <c r="J132" s="198" t="str">
        <f t="shared" ref="J132" ca="1" si="240">IF(AND(H131&lt;&gt;0,ISNUMBER(H131)),"PREENCHA ESTA LINHA --&gt;","")</f>
        <v/>
      </c>
      <c r="K132" s="198"/>
      <c r="L132" s="198"/>
      <c r="M132" s="199"/>
      <c r="N132" s="199"/>
      <c r="O132" s="199"/>
      <c r="P132" s="199"/>
      <c r="Q132" s="199"/>
      <c r="R132" s="199"/>
      <c r="S132" s="200"/>
      <c r="T132" s="201"/>
      <c r="U132" s="587"/>
      <c r="V132" s="587"/>
      <c r="W132" s="587"/>
      <c r="X132" s="587"/>
      <c r="Y132" s="587"/>
      <c r="Z132" s="587"/>
      <c r="AA132" s="587"/>
      <c r="AB132" s="587"/>
      <c r="AC132" s="587"/>
      <c r="AD132" s="587"/>
      <c r="AE132" s="587"/>
      <c r="AF132" s="587"/>
      <c r="AG132" s="587"/>
      <c r="AH132" s="587"/>
      <c r="AI132" s="587"/>
      <c r="AJ132" s="587"/>
      <c r="AK132" s="587"/>
      <c r="AL132" s="587"/>
      <c r="AM132" s="587"/>
      <c r="AN132" s="587"/>
      <c r="AO132" s="587"/>
      <c r="AP132" s="587"/>
      <c r="AQ132" s="587"/>
      <c r="AR132" s="587"/>
      <c r="AS132" s="534"/>
    </row>
    <row r="133" spans="1:45" ht="12.75" hidden="1" customHeight="1" x14ac:dyDescent="0.2">
      <c r="D133" s="533"/>
      <c r="E133" s="202" cm="1">
        <f t="array" aca="1" ref="E133" ca="1">IF($R131=2,
         IF(AND(ACOMPANHAMENTO="PLE",ISNUMBER($F131)),
                SUMIF((OFFSET(CÁLCULO!$BS$15:$CS$15,$F131,0,OFFSET(ORÇAMENTO!$D$15,CRONO!$F131,0))),CRONO!E$12,OFFSET(CÁLCULO!$AR$15:$BR$15,$F131,0,OFFSET(ORÇAMENTO!$D$15,CRONO!$F131,0)))
                +IF(AND($F133&lt;&gt;"",$F133&lt;&gt;0),
                        SUMIF(CÁLCULO!$BS$15:$CS$244,CRONO!E$12,CÁLCULO!$AR$15:$BR$244)/(ORÇAMENTO!$X$15-CÁLCULO.TotalAdmLocal)*CRONO!$F133,
                        0),
                 E132*$S131),
          SUMIF(OFFSET($S133,1,0,$R131-2),($M131+1)&amp;"$",OFFSET(E133,1,0,$R131-2)))</f>
        <v>0</v>
      </c>
      <c r="F133" s="185">
        <f ca="1">IF(OR($R131&lt;&gt;2,AUTOEVENTO&lt;&gt;"manual",$F132&gt;0),"",
        IF(Import.TipoArredondamento="Tradicional",
              SUMIF(OFFSET(CÁLCULO!$M$15,CRONO!$F131,0,OFFSET(ORÇAMENTO!$D$15,CRONO!$F131,0)),1,OFFSET(ORÇAMENTO!$X$15,CRONO!$F131,0,OFFSET(ORÇAMENTO!$D$15,CRONO!$F131,0))),
              0))</f>
        <v>0</v>
      </c>
      <c r="H133" s="203"/>
      <c r="S133" s="204" t="str">
        <f t="shared" ref="S133" ca="1" si="241">M131&amp;"$"</f>
        <v>3$</v>
      </c>
      <c r="T133" s="205"/>
      <c r="U133" s="202" cm="1">
        <f t="array" aca="1" ref="U133" ca="1">IF($R131=2,
         IF(AND(ACOMPANHAMENTO="PLE",ISNUMBER($F131)),
                SUMIF((OFFSET(CÁLCULO!$BS$15:$CS$15,$F131,0,OFFSET(ORÇAMENTO!$D$15,CRONO!$F131,0))),CRONO!U$12,OFFSET(CÁLCULO!$AR$15:$BR$15,$F131,0,OFFSET(ORÇAMENTO!$D$15,CRONO!$F131,0)))
                +IF(AND($F133&lt;&gt;"",$F133&lt;&gt;0),
                        SUMIF(CÁLCULO!$BS$15:$CS$244,CRONO!U$12,CÁLCULO!$AR$15:$BR$244)/(ORÇAMENTO!$X$15-CÁLCULO.TotalAdmLocal)*CRONO!$F133,
                        0),
                 U132*$S131),
          SUMIF(OFFSET($S133,1,0,$R131-2),($M131+1)&amp;"$",OFFSET(U133,1,0,$R131-2)))</f>
        <v>0</v>
      </c>
      <c r="V133" s="202" cm="1">
        <f t="array" aca="1" ref="V133" ca="1">IF($R131=2,
         IF(AND(ACOMPANHAMENTO="PLE",ISNUMBER($F131)),
                SUMIF((OFFSET(CÁLCULO!$BS$15:$CS$15,$F131,0,OFFSET(ORÇAMENTO!$D$15,CRONO!$F131,0))),CRONO!V$12,OFFSET(CÁLCULO!$AR$15:$BR$15,$F131,0,OFFSET(ORÇAMENTO!$D$15,CRONO!$F131,0)))
                +IF(AND($F133&lt;&gt;"",$F133&lt;&gt;0),
                        SUMIF(CÁLCULO!$BS$15:$CS$244,CRONO!V$12,CÁLCULO!$AR$15:$BR$244)/(ORÇAMENTO!$X$15-CÁLCULO.TotalAdmLocal)*CRONO!$F133,
                        0),
                 V132*$S131),
          SUMIF(OFFSET($S133,1,0,$R131-2),($M131+1)&amp;"$",OFFSET(V133,1,0,$R131-2)))</f>
        <v>0</v>
      </c>
      <c r="W133" s="202" cm="1">
        <f t="array" aca="1" ref="W133" ca="1">IF($R131=2,
         IF(AND(ACOMPANHAMENTO="PLE",ISNUMBER($F131)),
                SUMIF((OFFSET(CÁLCULO!$BS$15:$CS$15,$F131,0,OFFSET(ORÇAMENTO!$D$15,CRONO!$F131,0))),CRONO!W$12,OFFSET(CÁLCULO!$AR$15:$BR$15,$F131,0,OFFSET(ORÇAMENTO!$D$15,CRONO!$F131,0)))
                +IF(AND($F133&lt;&gt;"",$F133&lt;&gt;0),
                        SUMIF(CÁLCULO!$BS$15:$CS$244,CRONO!W$12,CÁLCULO!$AR$15:$BR$244)/(ORÇAMENTO!$X$15-CÁLCULO.TotalAdmLocal)*CRONO!$F133,
                        0),
                 W132*$S131),
          SUMIF(OFFSET($S133,1,0,$R131-2),($M131+1)&amp;"$",OFFSET(W133,1,0,$R131-2)))</f>
        <v>0</v>
      </c>
      <c r="X133" s="202" cm="1">
        <f t="array" aca="1" ref="X133" ca="1">IF($R131=2,
         IF(AND(ACOMPANHAMENTO="PLE",ISNUMBER($F131)),
                SUMIF((OFFSET(CÁLCULO!$BS$15:$CS$15,$F131,0,OFFSET(ORÇAMENTO!$D$15,CRONO!$F131,0))),CRONO!X$12,OFFSET(CÁLCULO!$AR$15:$BR$15,$F131,0,OFFSET(ORÇAMENTO!$D$15,CRONO!$F131,0)))
                +IF(AND($F133&lt;&gt;"",$F133&lt;&gt;0),
                        SUMIF(CÁLCULO!$BS$15:$CS$244,CRONO!X$12,CÁLCULO!$AR$15:$BR$244)/(ORÇAMENTO!$X$15-CÁLCULO.TotalAdmLocal)*CRONO!$F133,
                        0),
                 X132*$S131),
          SUMIF(OFFSET($S133,1,0,$R131-2),($M131+1)&amp;"$",OFFSET(X133,1,0,$R131-2)))</f>
        <v>0</v>
      </c>
      <c r="Y133" s="202" cm="1">
        <f t="array" aca="1" ref="Y133" ca="1">IF($R131=2,
         IF(AND(ACOMPANHAMENTO="PLE",ISNUMBER($F131)),
                SUMIF((OFFSET(CÁLCULO!$BS$15:$CS$15,$F131,0,OFFSET(ORÇAMENTO!$D$15,CRONO!$F131,0))),CRONO!Y$12,OFFSET(CÁLCULO!$AR$15:$BR$15,$F131,0,OFFSET(ORÇAMENTO!$D$15,CRONO!$F131,0)))
                +IF(AND($F133&lt;&gt;"",$F133&lt;&gt;0),
                        SUMIF(CÁLCULO!$BS$15:$CS$244,CRONO!Y$12,CÁLCULO!$AR$15:$BR$244)/(ORÇAMENTO!$X$15-CÁLCULO.TotalAdmLocal)*CRONO!$F133,
                        0),
                 Y132*$S131),
          SUMIF(OFFSET($S133,1,0,$R131-2),($M131+1)&amp;"$",OFFSET(Y133,1,0,$R131-2)))</f>
        <v>0</v>
      </c>
      <c r="Z133" s="202" cm="1">
        <f t="array" aca="1" ref="Z133" ca="1">IF($R131=2,
         IF(AND(ACOMPANHAMENTO="PLE",ISNUMBER($F131)),
                SUMIF((OFFSET(CÁLCULO!$BS$15:$CS$15,$F131,0,OFFSET(ORÇAMENTO!$D$15,CRONO!$F131,0))),CRONO!Z$12,OFFSET(CÁLCULO!$AR$15:$BR$15,$F131,0,OFFSET(ORÇAMENTO!$D$15,CRONO!$F131,0)))
                +IF(AND($F133&lt;&gt;"",$F133&lt;&gt;0),
                        SUMIF(CÁLCULO!$BS$15:$CS$244,CRONO!Z$12,CÁLCULO!$AR$15:$BR$244)/(ORÇAMENTO!$X$15-CÁLCULO.TotalAdmLocal)*CRONO!$F133,
                        0),
                 Z132*$S131),
          SUMIF(OFFSET($S133,1,0,$R131-2),($M131+1)&amp;"$",OFFSET(Z133,1,0,$R131-2)))</f>
        <v>0</v>
      </c>
      <c r="AA133" s="202" cm="1">
        <f t="array" aca="1" ref="AA133" ca="1">IF($R131=2,
         IF(AND(ACOMPANHAMENTO="PLE",ISNUMBER($F131)),
                SUMIF((OFFSET(CÁLCULO!$BS$15:$CS$15,$F131,0,OFFSET(ORÇAMENTO!$D$15,CRONO!$F131,0))),CRONO!AA$12,OFFSET(CÁLCULO!$AR$15:$BR$15,$F131,0,OFFSET(ORÇAMENTO!$D$15,CRONO!$F131,0)))
                +IF(AND($F133&lt;&gt;"",$F133&lt;&gt;0),
                        SUMIF(CÁLCULO!$BS$15:$CS$244,CRONO!AA$12,CÁLCULO!$AR$15:$BR$244)/(ORÇAMENTO!$X$15-CÁLCULO.TotalAdmLocal)*CRONO!$F133,
                        0),
                 AA132*$S131),
          SUMIF(OFFSET($S133,1,0,$R131-2),($M131+1)&amp;"$",OFFSET(AA133,1,0,$R131-2)))</f>
        <v>0</v>
      </c>
      <c r="AB133" s="202" cm="1">
        <f t="array" aca="1" ref="AB133" ca="1">IF($R131=2,
         IF(AND(ACOMPANHAMENTO="PLE",ISNUMBER($F131)),
                SUMIF((OFFSET(CÁLCULO!$BS$15:$CS$15,$F131,0,OFFSET(ORÇAMENTO!$D$15,CRONO!$F131,0))),CRONO!AB$12,OFFSET(CÁLCULO!$AR$15:$BR$15,$F131,0,OFFSET(ORÇAMENTO!$D$15,CRONO!$F131,0)))
                +IF(AND($F133&lt;&gt;"",$F133&lt;&gt;0),
                        SUMIF(CÁLCULO!$BS$15:$CS$244,CRONO!AB$12,CÁLCULO!$AR$15:$BR$244)/(ORÇAMENTO!$X$15-CÁLCULO.TotalAdmLocal)*CRONO!$F133,
                        0),
                 AB132*$S131),
          SUMIF(OFFSET($S133,1,0,$R131-2),($M131+1)&amp;"$",OFFSET(AB133,1,0,$R131-2)))</f>
        <v>0</v>
      </c>
      <c r="AC133" s="202" cm="1">
        <f t="array" aca="1" ref="AC133" ca="1">IF($R131=2,
         IF(AND(ACOMPANHAMENTO="PLE",ISNUMBER($F131)),
                SUMIF((OFFSET(CÁLCULO!$BS$15:$CS$15,$F131,0,OFFSET(ORÇAMENTO!$D$15,CRONO!$F131,0))),CRONO!AC$12,OFFSET(CÁLCULO!$AR$15:$BR$15,$F131,0,OFFSET(ORÇAMENTO!$D$15,CRONO!$F131,0)))
                +IF(AND($F133&lt;&gt;"",$F133&lt;&gt;0),
                        SUMIF(CÁLCULO!$BS$15:$CS$244,CRONO!AC$12,CÁLCULO!$AR$15:$BR$244)/(ORÇAMENTO!$X$15-CÁLCULO.TotalAdmLocal)*CRONO!$F133,
                        0),
                 AC132*$S131),
          SUMIF(OFFSET($S133,1,0,$R131-2),($M131+1)&amp;"$",OFFSET(AC133,1,0,$R131-2)))</f>
        <v>0</v>
      </c>
      <c r="AD133" s="202" cm="1">
        <f t="array" aca="1" ref="AD133" ca="1">IF($R131=2,
         IF(AND(ACOMPANHAMENTO="PLE",ISNUMBER($F131)),
                SUMIF((OFFSET(CÁLCULO!$BS$15:$CS$15,$F131,0,OFFSET(ORÇAMENTO!$D$15,CRONO!$F131,0))),CRONO!AD$12,OFFSET(CÁLCULO!$AR$15:$BR$15,$F131,0,OFFSET(ORÇAMENTO!$D$15,CRONO!$F131,0)))
                +IF(AND($F133&lt;&gt;"",$F133&lt;&gt;0),
                        SUMIF(CÁLCULO!$BS$15:$CS$244,CRONO!AD$12,CÁLCULO!$AR$15:$BR$244)/(ORÇAMENTO!$X$15-CÁLCULO.TotalAdmLocal)*CRONO!$F133,
                        0),
                 AD132*$S131),
          SUMIF(OFFSET($S133,1,0,$R131-2),($M131+1)&amp;"$",OFFSET(AD133,1,0,$R131-2)))</f>
        <v>0</v>
      </c>
      <c r="AE133" s="202" cm="1">
        <f t="array" aca="1" ref="AE133" ca="1">IF($R131=2,
         IF(AND(ACOMPANHAMENTO="PLE",ISNUMBER($F131)),
                SUMIF((OFFSET(CÁLCULO!$BS$15:$CS$15,$F131,0,OFFSET(ORÇAMENTO!$D$15,CRONO!$F131,0))),CRONO!AE$12,OFFSET(CÁLCULO!$AR$15:$BR$15,$F131,0,OFFSET(ORÇAMENTO!$D$15,CRONO!$F131,0)))
                +IF(AND($F133&lt;&gt;"",$F133&lt;&gt;0),
                        SUMIF(CÁLCULO!$BS$15:$CS$244,CRONO!AE$12,CÁLCULO!$AR$15:$BR$244)/(ORÇAMENTO!$X$15-CÁLCULO.TotalAdmLocal)*CRONO!$F133,
                        0),
                 AE132*$S131),
          SUMIF(OFFSET($S133,1,0,$R131-2),($M131+1)&amp;"$",OFFSET(AE133,1,0,$R131-2)))</f>
        <v>0</v>
      </c>
      <c r="AF133" s="202" cm="1">
        <f t="array" aca="1" ref="AF133" ca="1">IF($R131=2,
         IF(AND(ACOMPANHAMENTO="PLE",ISNUMBER($F131)),
                SUMIF((OFFSET(CÁLCULO!$BS$15:$CS$15,$F131,0,OFFSET(ORÇAMENTO!$D$15,CRONO!$F131,0))),CRONO!AF$12,OFFSET(CÁLCULO!$AR$15:$BR$15,$F131,0,OFFSET(ORÇAMENTO!$D$15,CRONO!$F131,0)))
                +IF(AND($F133&lt;&gt;"",$F133&lt;&gt;0),
                        SUMIF(CÁLCULO!$BS$15:$CS$244,CRONO!AF$12,CÁLCULO!$AR$15:$BR$244)/(ORÇAMENTO!$X$15-CÁLCULO.TotalAdmLocal)*CRONO!$F133,
                        0),
                 AF132*$S131),
          SUMIF(OFFSET($S133,1,0,$R131-2),($M131+1)&amp;"$",OFFSET(AF133,1,0,$R131-2)))</f>
        <v>0</v>
      </c>
      <c r="AG133" s="202" cm="1">
        <f t="array" aca="1" ref="AG133" ca="1">IF($R131=2,
         IF(AND(ACOMPANHAMENTO="PLE",ISNUMBER($F131)),
                SUMIF((OFFSET(CÁLCULO!$BS$15:$CS$15,$F131,0,OFFSET(ORÇAMENTO!$D$15,CRONO!$F131,0))),CRONO!AG$12,OFFSET(CÁLCULO!$AR$15:$BR$15,$F131,0,OFFSET(ORÇAMENTO!$D$15,CRONO!$F131,0)))
                +IF(AND($F133&lt;&gt;"",$F133&lt;&gt;0),
                        SUMIF(CÁLCULO!$BS$15:$CS$244,CRONO!AG$12,CÁLCULO!$AR$15:$BR$244)/(ORÇAMENTO!$X$15-CÁLCULO.TotalAdmLocal)*CRONO!$F133,
                        0),
                 AG132*$S131),
          SUMIF(OFFSET($S133,1,0,$R131-2),($M131+1)&amp;"$",OFFSET(AG133,1,0,$R131-2)))</f>
        <v>0</v>
      </c>
      <c r="AH133" s="202" cm="1">
        <f t="array" aca="1" ref="AH133" ca="1">IF($R131=2,
         IF(AND(ACOMPANHAMENTO="PLE",ISNUMBER($F131)),
                SUMIF((OFFSET(CÁLCULO!$BS$15:$CS$15,$F131,0,OFFSET(ORÇAMENTO!$D$15,CRONO!$F131,0))),CRONO!AH$12,OFFSET(CÁLCULO!$AR$15:$BR$15,$F131,0,OFFSET(ORÇAMENTO!$D$15,CRONO!$F131,0)))
                +IF(AND($F133&lt;&gt;"",$F133&lt;&gt;0),
                        SUMIF(CÁLCULO!$BS$15:$CS$244,CRONO!AH$12,CÁLCULO!$AR$15:$BR$244)/(ORÇAMENTO!$X$15-CÁLCULO.TotalAdmLocal)*CRONO!$F133,
                        0),
                 AH132*$S131),
          SUMIF(OFFSET($S133,1,0,$R131-2),($M131+1)&amp;"$",OFFSET(AH133,1,0,$R131-2)))</f>
        <v>0</v>
      </c>
      <c r="AI133" s="202" cm="1">
        <f t="array" aca="1" ref="AI133" ca="1">IF($R131=2,
         IF(AND(ACOMPANHAMENTO="PLE",ISNUMBER($F131)),
                SUMIF((OFFSET(CÁLCULO!$BS$15:$CS$15,$F131,0,OFFSET(ORÇAMENTO!$D$15,CRONO!$F131,0))),CRONO!AI$12,OFFSET(CÁLCULO!$AR$15:$BR$15,$F131,0,OFFSET(ORÇAMENTO!$D$15,CRONO!$F131,0)))
                +IF(AND($F133&lt;&gt;"",$F133&lt;&gt;0),
                        SUMIF(CÁLCULO!$BS$15:$CS$244,CRONO!AI$12,CÁLCULO!$AR$15:$BR$244)/(ORÇAMENTO!$X$15-CÁLCULO.TotalAdmLocal)*CRONO!$F133,
                        0),
                 AI132*$S131),
          SUMIF(OFFSET($S133,1,0,$R131-2),($M131+1)&amp;"$",OFFSET(AI133,1,0,$R131-2)))</f>
        <v>0</v>
      </c>
      <c r="AJ133" s="202" cm="1">
        <f t="array" aca="1" ref="AJ133" ca="1">IF($R131=2,
         IF(AND(ACOMPANHAMENTO="PLE",ISNUMBER($F131)),
                SUMIF((OFFSET(CÁLCULO!$BS$15:$CS$15,$F131,0,OFFSET(ORÇAMENTO!$D$15,CRONO!$F131,0))),CRONO!AJ$12,OFFSET(CÁLCULO!$AR$15:$BR$15,$F131,0,OFFSET(ORÇAMENTO!$D$15,CRONO!$F131,0)))
                +IF(AND($F133&lt;&gt;"",$F133&lt;&gt;0),
                        SUMIF(CÁLCULO!$BS$15:$CS$244,CRONO!AJ$12,CÁLCULO!$AR$15:$BR$244)/(ORÇAMENTO!$X$15-CÁLCULO.TotalAdmLocal)*CRONO!$F133,
                        0),
                 AJ132*$S131),
          SUMIF(OFFSET($S133,1,0,$R131-2),($M131+1)&amp;"$",OFFSET(AJ133,1,0,$R131-2)))</f>
        <v>0</v>
      </c>
      <c r="AK133" s="202" cm="1">
        <f t="array" aca="1" ref="AK133" ca="1">IF($R131=2,
         IF(AND(ACOMPANHAMENTO="PLE",ISNUMBER($F131)),
                SUMIF((OFFSET(CÁLCULO!$BS$15:$CS$15,$F131,0,OFFSET(ORÇAMENTO!$D$15,CRONO!$F131,0))),CRONO!AK$12,OFFSET(CÁLCULO!$AR$15:$BR$15,$F131,0,OFFSET(ORÇAMENTO!$D$15,CRONO!$F131,0)))
                +IF(AND($F133&lt;&gt;"",$F133&lt;&gt;0),
                        SUMIF(CÁLCULO!$BS$15:$CS$244,CRONO!AK$12,CÁLCULO!$AR$15:$BR$244)/(ORÇAMENTO!$X$15-CÁLCULO.TotalAdmLocal)*CRONO!$F133,
                        0),
                 AK132*$S131),
          SUMIF(OFFSET($S133,1,0,$R131-2),($M131+1)&amp;"$",OFFSET(AK133,1,0,$R131-2)))</f>
        <v>0</v>
      </c>
      <c r="AL133" s="202" cm="1">
        <f t="array" aca="1" ref="AL133" ca="1">IF($R131=2,
         IF(AND(ACOMPANHAMENTO="PLE",ISNUMBER($F131)),
                SUMIF((OFFSET(CÁLCULO!$BS$15:$CS$15,$F131,0,OFFSET(ORÇAMENTO!$D$15,CRONO!$F131,0))),CRONO!AL$12,OFFSET(CÁLCULO!$AR$15:$BR$15,$F131,0,OFFSET(ORÇAMENTO!$D$15,CRONO!$F131,0)))
                +IF(AND($F133&lt;&gt;"",$F133&lt;&gt;0),
                        SUMIF(CÁLCULO!$BS$15:$CS$244,CRONO!AL$12,CÁLCULO!$AR$15:$BR$244)/(ORÇAMENTO!$X$15-CÁLCULO.TotalAdmLocal)*CRONO!$F133,
                        0),
                 AL132*$S131),
          SUMIF(OFFSET($S133,1,0,$R131-2),($M131+1)&amp;"$",OFFSET(AL133,1,0,$R131-2)))</f>
        <v>0</v>
      </c>
      <c r="AM133" s="202" cm="1">
        <f t="array" aca="1" ref="AM133" ca="1">IF($R131=2,
         IF(AND(ACOMPANHAMENTO="PLE",ISNUMBER($F131)),
                SUMIF((OFFSET(CÁLCULO!$BS$15:$CS$15,$F131,0,OFFSET(ORÇAMENTO!$D$15,CRONO!$F131,0))),CRONO!AM$12,OFFSET(CÁLCULO!$AR$15:$BR$15,$F131,0,OFFSET(ORÇAMENTO!$D$15,CRONO!$F131,0)))
                +IF(AND($F133&lt;&gt;"",$F133&lt;&gt;0),
                        SUMIF(CÁLCULO!$BS$15:$CS$244,CRONO!AM$12,CÁLCULO!$AR$15:$BR$244)/(ORÇAMENTO!$X$15-CÁLCULO.TotalAdmLocal)*CRONO!$F133,
                        0),
                 AM132*$S131),
          SUMIF(OFFSET($S133,1,0,$R131-2),($M131+1)&amp;"$",OFFSET(AM133,1,0,$R131-2)))</f>
        <v>0</v>
      </c>
      <c r="AN133" s="202" cm="1">
        <f t="array" aca="1" ref="AN133" ca="1">IF($R131=2,
         IF(AND(ACOMPANHAMENTO="PLE",ISNUMBER($F131)),
                SUMIF((OFFSET(CÁLCULO!$BS$15:$CS$15,$F131,0,OFFSET(ORÇAMENTO!$D$15,CRONO!$F131,0))),CRONO!AN$12,OFFSET(CÁLCULO!$AR$15:$BR$15,$F131,0,OFFSET(ORÇAMENTO!$D$15,CRONO!$F131,0)))
                +IF(AND($F133&lt;&gt;"",$F133&lt;&gt;0),
                        SUMIF(CÁLCULO!$BS$15:$CS$244,CRONO!AN$12,CÁLCULO!$AR$15:$BR$244)/(ORÇAMENTO!$X$15-CÁLCULO.TotalAdmLocal)*CRONO!$F133,
                        0),
                 AN132*$S131),
          SUMIF(OFFSET($S133,1,0,$R131-2),($M131+1)&amp;"$",OFFSET(AN133,1,0,$R131-2)))</f>
        <v>0</v>
      </c>
      <c r="AO133" s="202" cm="1">
        <f t="array" aca="1" ref="AO133" ca="1">IF($R131=2,
         IF(AND(ACOMPANHAMENTO="PLE",ISNUMBER($F131)),
                SUMIF((OFFSET(CÁLCULO!$BS$15:$CS$15,$F131,0,OFFSET(ORÇAMENTO!$D$15,CRONO!$F131,0))),CRONO!AO$12,OFFSET(CÁLCULO!$AR$15:$BR$15,$F131,0,OFFSET(ORÇAMENTO!$D$15,CRONO!$F131,0)))
                +IF(AND($F133&lt;&gt;"",$F133&lt;&gt;0),
                        SUMIF(CÁLCULO!$BS$15:$CS$244,CRONO!AO$12,CÁLCULO!$AR$15:$BR$244)/(ORÇAMENTO!$X$15-CÁLCULO.TotalAdmLocal)*CRONO!$F133,
                        0),
                 AO132*$S131),
          SUMIF(OFFSET($S133,1,0,$R131-2),($M131+1)&amp;"$",OFFSET(AO133,1,0,$R131-2)))</f>
        <v>0</v>
      </c>
      <c r="AP133" s="202" cm="1">
        <f t="array" aca="1" ref="AP133" ca="1">IF($R131=2,
         IF(AND(ACOMPANHAMENTO="PLE",ISNUMBER($F131)),
                SUMIF((OFFSET(CÁLCULO!$BS$15:$CS$15,$F131,0,OFFSET(ORÇAMENTO!$D$15,CRONO!$F131,0))),CRONO!AP$12,OFFSET(CÁLCULO!$AR$15:$BR$15,$F131,0,OFFSET(ORÇAMENTO!$D$15,CRONO!$F131,0)))
                +IF(AND($F133&lt;&gt;"",$F133&lt;&gt;0),
                        SUMIF(CÁLCULO!$BS$15:$CS$244,CRONO!AP$12,CÁLCULO!$AR$15:$BR$244)/(ORÇAMENTO!$X$15-CÁLCULO.TotalAdmLocal)*CRONO!$F133,
                        0),
                 AP132*$S131),
          SUMIF(OFFSET($S133,1,0,$R131-2),($M131+1)&amp;"$",OFFSET(AP133,1,0,$R131-2)))</f>
        <v>0</v>
      </c>
      <c r="AQ133" s="202" cm="1">
        <f t="array" aca="1" ref="AQ133" ca="1">IF($R131=2,
         IF(AND(ACOMPANHAMENTO="PLE",ISNUMBER($F131)),
                SUMIF((OFFSET(CÁLCULO!$BS$15:$CS$15,$F131,0,OFFSET(ORÇAMENTO!$D$15,CRONO!$F131,0))),CRONO!AQ$12,OFFSET(CÁLCULO!$AR$15:$BR$15,$F131,0,OFFSET(ORÇAMENTO!$D$15,CRONO!$F131,0)))
                +IF(AND($F133&lt;&gt;"",$F133&lt;&gt;0),
                        SUMIF(CÁLCULO!$BS$15:$CS$244,CRONO!AQ$12,CÁLCULO!$AR$15:$BR$244)/(ORÇAMENTO!$X$15-CÁLCULO.TotalAdmLocal)*CRONO!$F133,
                        0),
                 AQ132*$S131),
          SUMIF(OFFSET($S133,1,0,$R131-2),($M131+1)&amp;"$",OFFSET(AQ133,1,0,$R131-2)))</f>
        <v>0</v>
      </c>
      <c r="AR133" s="202" cm="1">
        <f t="array" aca="1" ref="AR133" ca="1">IF($R131=2,
         IF(AND(ACOMPANHAMENTO="PLE",ISNUMBER($F131)),
                SUMIF((OFFSET(CÁLCULO!$BS$15:$CS$15,$F131,0,OFFSET(ORÇAMENTO!$D$15,CRONO!$F131,0))),CRONO!AR$12,OFFSET(CÁLCULO!$AR$15:$BR$15,$F131,0,OFFSET(ORÇAMENTO!$D$15,CRONO!$F131,0)))
                +IF(AND($F133&lt;&gt;"",$F133&lt;&gt;0),
                        SUMIF(CÁLCULO!$BS$15:$CS$244,CRONO!AR$12,CÁLCULO!$AR$15:$BR$244)/(ORÇAMENTO!$X$15-CÁLCULO.TotalAdmLocal)*CRONO!$F133,
                        0),
                 AR132*$S131),
          SUMIF(OFFSET($S133,1,0,$R131-2),($M131+1)&amp;"$",OFFSET(AR133,1,0,$R131-2)))</f>
        <v>0</v>
      </c>
      <c r="AS133" s="534"/>
    </row>
    <row r="134" spans="1:45" x14ac:dyDescent="0.2">
      <c r="A134" s="186" t="e">
        <f t="shared" ref="A134" ca="1" si="242">IF($M134&gt;1,_xlfn.CONCAT($I134," ",$J134),"")</f>
        <v>#NAME?</v>
      </c>
      <c r="B134" s="185">
        <f t="shared" ref="B134" ca="1" si="243">OFFSET(B134,-3,0)+1</f>
        <v>41</v>
      </c>
      <c r="C134" s="185">
        <f ca="1">IF($R134&lt;&gt;2,0,IF($S134=0,1,IF(F135&gt;0,OFFSET(QCI!$M$13,SUBSTITUTE(F135,".",""),0),OFFSET(ORÇAMENTO!$AA$15,CRONO!$F134,0))/$S134))</f>
        <v>0</v>
      </c>
      <c r="D134" s="185">
        <f ca="1">IF($R134&lt;&gt;2,0,IF($S134=0,1,IF(F135&gt;0,OFFSET(QCI!$N$13,SUBSTITUTE(F135,".",""),0),OFFSET(ORÇAMENTO!$AB$15,CRONO!$F134,0))/$S134))</f>
        <v>0</v>
      </c>
      <c r="E134" s="188" t="e" cm="1">
        <f t="array" aca="1" ref="E134" ca="1">IF(AND($R134=2,ACOMPANHAMENTO="BM"),ROUND(E135,4),E136/$S134)</f>
        <v>#DIV/0!</v>
      </c>
      <c r="F134" s="185" cm="1">
        <f t="array" aca="1" ref="F134" ca="1">IF(B134&lt;=ORÇAMENTO.MáximoListaCrono,MATCH(B134,ORÇAMENTO.ListaCrono,0),NA())</f>
        <v>188</v>
      </c>
      <c r="G134" s="185" t="str">
        <f t="shared" ref="G134" ca="1" si="244">IF(AND($F135&lt;&gt;-1,$S134&gt;0),"F","")</f>
        <v/>
      </c>
      <c r="H134" s="189" t="str" cm="1">
        <f t="array" aca="1" ref="H134" ca="1">IF(OR(S134=0,S134=""),"Linha",IF(AND(OR(ACOMPANHAMENTO="PLE",$R134&lt;&gt;2),$F135=0),"Linha",ROUND(1-SUM(U134:AS134),4)))</f>
        <v>Linha</v>
      </c>
      <c r="I134" s="190" t="str">
        <f ca="1">IF($F135=0,OFFSET(ORÇAMENTO!O$15,$F134,0),IF($F135&lt;&gt;-1,OFFSET(QCI!$D$13,$F135,0),""))</f>
        <v>9.3.</v>
      </c>
      <c r="J134" s="191" t="str">
        <f ca="1">IF($F135=0,OFFSET(ORÇAMENTO!R$15,$F134,0),IF($F135&lt;&gt;-1,OFFSET(QCI!$G$13,$F135,0),""))</f>
        <v>SANITÁRIAS / PLUVIAL</v>
      </c>
      <c r="K134" s="191"/>
      <c r="L134" s="191"/>
      <c r="M134" s="192">
        <f ca="1">IF($F135=0,OFFSET(ORÇAMENTO!C$15,$F134,0),1)</f>
        <v>2</v>
      </c>
      <c r="N134" s="193">
        <f ca="1">IF($F135=-1,0,IF(N$13&lt;=$M134,IF(ISERROR(MATCH(N$13,OFFSET($M134,1,0,ROW($M$164)-ROW($M134)-1),0)),ROW($M$164)-ROW($M134)-1,MATCH(N$13,OFFSET($M134,1,0,ROW($M$164)-ROW($M134)-1),0)-1),0))</f>
        <v>11</v>
      </c>
      <c r="O134" s="193">
        <f ca="1">IF($F135=-1,0,IF(O$13&lt;=$M134,IF(ISERROR(MATCH(O$13,OFFSET($M134,1,0,ROW($M$164)-ROW($M134)-1),0)),ROW($M$164)-ROW($M134)-1,MATCH(O$13,OFFSET($M134,1,0,ROW($M$164)-ROW($M134)-1),0)-1),0))</f>
        <v>14</v>
      </c>
      <c r="P134" s="193">
        <f ca="1">IF($F135=-1,0,IF(P$13&lt;=$M134,IF(ISERROR(MATCH(P$13,OFFSET($M134,1,0,ROW($M$164)-ROW($M134)-1),0)),ROW($M$164)-ROW($M134)-1,MATCH(P$13,OFFSET($M134,1,0,ROW($M$164)-ROW($M134)-1),0)-1),0))</f>
        <v>0</v>
      </c>
      <c r="Q134" s="193">
        <f ca="1">IF($F135=-1,0,IF(Q$13&lt;=$M134,IF(ISERROR(MATCH(Q$13,OFFSET($M134,1,0,ROW($M$164)-ROW($M134)-1),0)),ROW($M$164)-ROW($M134)-1,MATCH(Q$13,OFFSET($M134,1,0,ROW($M$164)-ROW($M134)-1),0)-1),0))</f>
        <v>0</v>
      </c>
      <c r="R134" s="193">
        <f t="shared" ref="R134" ca="1" si="245">MIN(OFFSET(M134,0,1,,M134))</f>
        <v>11</v>
      </c>
      <c r="S134" s="194">
        <f ca="1">IF($F135=0,OFFSET(ORÇAMENTO!X$15,$F134,0),IF($F135&lt;&gt;-1,OFFSET(QCI!$O$13,$F135,0),""))</f>
        <v>0</v>
      </c>
      <c r="T134" s="195" t="s">
        <v>785</v>
      </c>
      <c r="U134" s="188" t="e" cm="1">
        <f t="array" aca="1" ref="U134" ca="1">IF(AND($R134=2,ACOMPANHAMENTO="BM"),ROUND(U135,4),U136/$S134)</f>
        <v>#DIV/0!</v>
      </c>
      <c r="V134" s="188" t="e" cm="1">
        <f t="array" aca="1" ref="V134" ca="1">IF(AND($R134=2,ACOMPANHAMENTO="BM"),ROUND(V135,4),V136/$S134)</f>
        <v>#DIV/0!</v>
      </c>
      <c r="W134" s="188" t="e" cm="1">
        <f t="array" aca="1" ref="W134" ca="1">IF(AND($R134=2,ACOMPANHAMENTO="BM"),ROUND(W135,4),W136/$S134)</f>
        <v>#DIV/0!</v>
      </c>
      <c r="X134" s="188" t="e" cm="1">
        <f t="array" aca="1" ref="X134" ca="1">IF(AND($R134=2,ACOMPANHAMENTO="BM"),ROUND(X135,4),X136/$S134)</f>
        <v>#DIV/0!</v>
      </c>
      <c r="Y134" s="188" t="e" cm="1">
        <f t="array" aca="1" ref="Y134" ca="1">IF(AND($R134=2,ACOMPANHAMENTO="BM"),ROUND(Y135,4),Y136/$S134)</f>
        <v>#DIV/0!</v>
      </c>
      <c r="Z134" s="188" t="e" cm="1">
        <f t="array" aca="1" ref="Z134" ca="1">IF(AND($R134=2,ACOMPANHAMENTO="BM"),ROUND(Z135,4),Z136/$S134)</f>
        <v>#DIV/0!</v>
      </c>
      <c r="AA134" s="188" t="e" cm="1">
        <f t="array" aca="1" ref="AA134" ca="1">IF(AND($R134=2,ACOMPANHAMENTO="BM"),ROUND(AA135,4),AA136/$S134)</f>
        <v>#DIV/0!</v>
      </c>
      <c r="AB134" s="188" t="e" cm="1">
        <f t="array" aca="1" ref="AB134" ca="1">IF(AND($R134=2,ACOMPANHAMENTO="BM"),ROUND(AB135,4),AB136/$S134)</f>
        <v>#DIV/0!</v>
      </c>
      <c r="AC134" s="188" t="e" cm="1">
        <f t="array" aca="1" ref="AC134" ca="1">IF(AND($R134=2,ACOMPANHAMENTO="BM"),ROUND(AC135,4),AC136/$S134)</f>
        <v>#DIV/0!</v>
      </c>
      <c r="AD134" s="188" t="e" cm="1">
        <f t="array" aca="1" ref="AD134" ca="1">IF(AND($R134=2,ACOMPANHAMENTO="BM"),ROUND(AD135,4),AD136/$S134)</f>
        <v>#DIV/0!</v>
      </c>
      <c r="AE134" s="188" t="e" cm="1">
        <f t="array" aca="1" ref="AE134" ca="1">IF(AND($R134=2,ACOMPANHAMENTO="BM"),ROUND(AE135,4),AE136/$S134)</f>
        <v>#DIV/0!</v>
      </c>
      <c r="AF134" s="188" t="e" cm="1">
        <f t="array" aca="1" ref="AF134" ca="1">IF(AND($R134=2,ACOMPANHAMENTO="BM"),ROUND(AF135,4),AF136/$S134)</f>
        <v>#DIV/0!</v>
      </c>
      <c r="AG134" s="188" t="e" cm="1">
        <f t="array" aca="1" ref="AG134" ca="1">IF(AND($R134=2,ACOMPANHAMENTO="BM"),ROUND(AG135,4),AG136/$S134)</f>
        <v>#DIV/0!</v>
      </c>
      <c r="AH134" s="188" t="e" cm="1">
        <f t="array" aca="1" ref="AH134" ca="1">IF(AND($R134=2,ACOMPANHAMENTO="BM"),ROUND(AH135,4),AH136/$S134)</f>
        <v>#DIV/0!</v>
      </c>
      <c r="AI134" s="188" t="e" cm="1">
        <f t="array" aca="1" ref="AI134" ca="1">IF(AND($R134=2,ACOMPANHAMENTO="BM"),ROUND(AI135,4),AI136/$S134)</f>
        <v>#DIV/0!</v>
      </c>
      <c r="AJ134" s="188" t="e" cm="1">
        <f t="array" aca="1" ref="AJ134" ca="1">IF(AND($R134=2,ACOMPANHAMENTO="BM"),ROUND(AJ135,4),AJ136/$S134)</f>
        <v>#DIV/0!</v>
      </c>
      <c r="AK134" s="188" t="e" cm="1">
        <f t="array" aca="1" ref="AK134" ca="1">IF(AND($R134=2,ACOMPANHAMENTO="BM"),ROUND(AK135,4),AK136/$S134)</f>
        <v>#DIV/0!</v>
      </c>
      <c r="AL134" s="188" t="e" cm="1">
        <f t="array" aca="1" ref="AL134" ca="1">IF(AND($R134=2,ACOMPANHAMENTO="BM"),ROUND(AL135,4),AL136/$S134)</f>
        <v>#DIV/0!</v>
      </c>
      <c r="AM134" s="188" t="e" cm="1">
        <f t="array" aca="1" ref="AM134" ca="1">IF(AND($R134=2,ACOMPANHAMENTO="BM"),ROUND(AM135,4),AM136/$S134)</f>
        <v>#DIV/0!</v>
      </c>
      <c r="AN134" s="188" t="e" cm="1">
        <f t="array" aca="1" ref="AN134" ca="1">IF(AND($R134=2,ACOMPANHAMENTO="BM"),ROUND(AN135,4),AN136/$S134)</f>
        <v>#DIV/0!</v>
      </c>
      <c r="AO134" s="188" t="e" cm="1">
        <f t="array" aca="1" ref="AO134" ca="1">IF(AND($R134=2,ACOMPANHAMENTO="BM"),ROUND(AO135,4),AO136/$S134)</f>
        <v>#DIV/0!</v>
      </c>
      <c r="AP134" s="188" t="e" cm="1">
        <f t="array" aca="1" ref="AP134" ca="1">IF(AND($R134=2,ACOMPANHAMENTO="BM"),ROUND(AP135,4),AP136/$S134)</f>
        <v>#DIV/0!</v>
      </c>
      <c r="AQ134" s="188" t="e" cm="1">
        <f t="array" aca="1" ref="AQ134" ca="1">IF(AND($R134=2,ACOMPANHAMENTO="BM"),ROUND(AQ135,4),AQ136/$S134)</f>
        <v>#DIV/0!</v>
      </c>
      <c r="AR134" s="188" t="e" cm="1">
        <f t="array" aca="1" ref="AR134" ca="1">IF(AND($R134=2,ACOMPANHAMENTO="BM"),ROUND(AR135,4),AR136/$S134)</f>
        <v>#DIV/0!</v>
      </c>
      <c r="AS134" s="534"/>
    </row>
    <row r="135" spans="1:45" ht="12.75" hidden="1" customHeight="1" x14ac:dyDescent="0.2">
      <c r="E135" s="587"/>
      <c r="F135" s="185">
        <f ca="1">IF(ISERROR(F134),IF(1+COUNTIF($M$13:OFFSET(M134,-1,0),1)&lt;=MAX(QCI!$D$13:$D$24),1+COUNTIF($M$13:OFFSET(M134,-1,0),1),-1),0)</f>
        <v>0</v>
      </c>
      <c r="G135" s="185" t="str" cm="1">
        <f t="array" aca="1" ref="G135" ca="1">IF(ACOMPANHAMENTO="BM",OFFSET(G135,-1,0),"")</f>
        <v/>
      </c>
      <c r="H135" s="196" t="str" cm="1">
        <f t="array" aca="1" ref="H135" ca="1">IF(OR(S134=0,S134=""),"vazia",IF(AND(OR(ACOMPANHAMENTO="PLE",$R134&lt;&gt;2),$F135=0),"calculada","--&gt;"))</f>
        <v>vazia</v>
      </c>
      <c r="I135" s="197"/>
      <c r="J135" s="198" t="str">
        <f t="shared" ref="J135" ca="1" si="246">IF(AND(H134&lt;&gt;0,ISNUMBER(H134)),"PREENCHA ESTA LINHA --&gt;","")</f>
        <v/>
      </c>
      <c r="K135" s="198"/>
      <c r="L135" s="198"/>
      <c r="M135" s="199"/>
      <c r="N135" s="199"/>
      <c r="O135" s="199"/>
      <c r="P135" s="199"/>
      <c r="Q135" s="199"/>
      <c r="R135" s="199"/>
      <c r="S135" s="200"/>
      <c r="T135" s="201"/>
      <c r="U135" s="587"/>
      <c r="V135" s="587"/>
      <c r="W135" s="587"/>
      <c r="X135" s="587"/>
      <c r="Y135" s="587"/>
      <c r="Z135" s="587"/>
      <c r="AA135" s="587"/>
      <c r="AB135" s="587"/>
      <c r="AC135" s="587"/>
      <c r="AD135" s="587"/>
      <c r="AE135" s="587"/>
      <c r="AF135" s="587"/>
      <c r="AG135" s="587"/>
      <c r="AH135" s="587"/>
      <c r="AI135" s="587"/>
      <c r="AJ135" s="587"/>
      <c r="AK135" s="587"/>
      <c r="AL135" s="587"/>
      <c r="AM135" s="587"/>
      <c r="AN135" s="587"/>
      <c r="AO135" s="587"/>
      <c r="AP135" s="587"/>
      <c r="AQ135" s="587"/>
      <c r="AR135" s="587"/>
      <c r="AS135" s="534"/>
    </row>
    <row r="136" spans="1:45" ht="12.75" hidden="1" customHeight="1" x14ac:dyDescent="0.2">
      <c r="D136" s="533"/>
      <c r="E136" s="202" cm="1">
        <f t="array" aca="1" ref="E136" ca="1">IF($R134=2,
         IF(AND(ACOMPANHAMENTO="PLE",ISNUMBER($F134)),
                SUMIF((OFFSET(CÁLCULO!$BS$15:$CS$15,$F134,0,OFFSET(ORÇAMENTO!$D$15,CRONO!$F134,0))),CRONO!E$12,OFFSET(CÁLCULO!$AR$15:$BR$15,$F134,0,OFFSET(ORÇAMENTO!$D$15,CRONO!$F134,0)))
                +IF(AND($F136&lt;&gt;"",$F136&lt;&gt;0),
                        SUMIF(CÁLCULO!$BS$15:$CS$244,CRONO!E$12,CÁLCULO!$AR$15:$BR$244)/(ORÇAMENTO!$X$15-CÁLCULO.TotalAdmLocal)*CRONO!$F136,
                        0),
                 E135*$S134),
          SUMIF(OFFSET($S136,1,0,$R134-2),($M134+1)&amp;"$",OFFSET(E136,1,0,$R134-2)))</f>
        <v>0</v>
      </c>
      <c r="F136" s="185" t="str">
        <f ca="1">IF(OR($R134&lt;&gt;2,AUTOEVENTO&lt;&gt;"manual",$F135&gt;0),"",
        IF(Import.TipoArredondamento="Tradicional",
              SUMIF(OFFSET(CÁLCULO!$M$15,CRONO!$F134,0,OFFSET(ORÇAMENTO!$D$15,CRONO!$F134,0)),1,OFFSET(ORÇAMENTO!$X$15,CRONO!$F134,0,OFFSET(ORÇAMENTO!$D$15,CRONO!$F134,0))),
              0))</f>
        <v/>
      </c>
      <c r="H136" s="203"/>
      <c r="S136" s="204" t="str">
        <f t="shared" ref="S136" ca="1" si="247">M134&amp;"$"</f>
        <v>2$</v>
      </c>
      <c r="T136" s="205"/>
      <c r="U136" s="202" cm="1">
        <f t="array" aca="1" ref="U136" ca="1">IF($R134=2,
         IF(AND(ACOMPANHAMENTO="PLE",ISNUMBER($F134)),
                SUMIF((OFFSET(CÁLCULO!$BS$15:$CS$15,$F134,0,OFFSET(ORÇAMENTO!$D$15,CRONO!$F134,0))),CRONO!U$12,OFFSET(CÁLCULO!$AR$15:$BR$15,$F134,0,OFFSET(ORÇAMENTO!$D$15,CRONO!$F134,0)))
                +IF(AND($F136&lt;&gt;"",$F136&lt;&gt;0),
                        SUMIF(CÁLCULO!$BS$15:$CS$244,CRONO!U$12,CÁLCULO!$AR$15:$BR$244)/(ORÇAMENTO!$X$15-CÁLCULO.TotalAdmLocal)*CRONO!$F136,
                        0),
                 U135*$S134),
          SUMIF(OFFSET($S136,1,0,$R134-2),($M134+1)&amp;"$",OFFSET(U136,1,0,$R134-2)))</f>
        <v>0</v>
      </c>
      <c r="V136" s="202" cm="1">
        <f t="array" aca="1" ref="V136" ca="1">IF($R134=2,
         IF(AND(ACOMPANHAMENTO="PLE",ISNUMBER($F134)),
                SUMIF((OFFSET(CÁLCULO!$BS$15:$CS$15,$F134,0,OFFSET(ORÇAMENTO!$D$15,CRONO!$F134,0))),CRONO!V$12,OFFSET(CÁLCULO!$AR$15:$BR$15,$F134,0,OFFSET(ORÇAMENTO!$D$15,CRONO!$F134,0)))
                +IF(AND($F136&lt;&gt;"",$F136&lt;&gt;0),
                        SUMIF(CÁLCULO!$BS$15:$CS$244,CRONO!V$12,CÁLCULO!$AR$15:$BR$244)/(ORÇAMENTO!$X$15-CÁLCULO.TotalAdmLocal)*CRONO!$F136,
                        0),
                 V135*$S134),
          SUMIF(OFFSET($S136,1,0,$R134-2),($M134+1)&amp;"$",OFFSET(V136,1,0,$R134-2)))</f>
        <v>0</v>
      </c>
      <c r="W136" s="202" cm="1">
        <f t="array" aca="1" ref="W136" ca="1">IF($R134=2,
         IF(AND(ACOMPANHAMENTO="PLE",ISNUMBER($F134)),
                SUMIF((OFFSET(CÁLCULO!$BS$15:$CS$15,$F134,0,OFFSET(ORÇAMENTO!$D$15,CRONO!$F134,0))),CRONO!W$12,OFFSET(CÁLCULO!$AR$15:$BR$15,$F134,0,OFFSET(ORÇAMENTO!$D$15,CRONO!$F134,0)))
                +IF(AND($F136&lt;&gt;"",$F136&lt;&gt;0),
                        SUMIF(CÁLCULO!$BS$15:$CS$244,CRONO!W$12,CÁLCULO!$AR$15:$BR$244)/(ORÇAMENTO!$X$15-CÁLCULO.TotalAdmLocal)*CRONO!$F136,
                        0),
                 W135*$S134),
          SUMIF(OFFSET($S136,1,0,$R134-2),($M134+1)&amp;"$",OFFSET(W136,1,0,$R134-2)))</f>
        <v>0</v>
      </c>
      <c r="X136" s="202" cm="1">
        <f t="array" aca="1" ref="X136" ca="1">IF($R134=2,
         IF(AND(ACOMPANHAMENTO="PLE",ISNUMBER($F134)),
                SUMIF((OFFSET(CÁLCULO!$BS$15:$CS$15,$F134,0,OFFSET(ORÇAMENTO!$D$15,CRONO!$F134,0))),CRONO!X$12,OFFSET(CÁLCULO!$AR$15:$BR$15,$F134,0,OFFSET(ORÇAMENTO!$D$15,CRONO!$F134,0)))
                +IF(AND($F136&lt;&gt;"",$F136&lt;&gt;0),
                        SUMIF(CÁLCULO!$BS$15:$CS$244,CRONO!X$12,CÁLCULO!$AR$15:$BR$244)/(ORÇAMENTO!$X$15-CÁLCULO.TotalAdmLocal)*CRONO!$F136,
                        0),
                 X135*$S134),
          SUMIF(OFFSET($S136,1,0,$R134-2),($M134+1)&amp;"$",OFFSET(X136,1,0,$R134-2)))</f>
        <v>0</v>
      </c>
      <c r="Y136" s="202" cm="1">
        <f t="array" aca="1" ref="Y136" ca="1">IF($R134=2,
         IF(AND(ACOMPANHAMENTO="PLE",ISNUMBER($F134)),
                SUMIF((OFFSET(CÁLCULO!$BS$15:$CS$15,$F134,0,OFFSET(ORÇAMENTO!$D$15,CRONO!$F134,0))),CRONO!Y$12,OFFSET(CÁLCULO!$AR$15:$BR$15,$F134,0,OFFSET(ORÇAMENTO!$D$15,CRONO!$F134,0)))
                +IF(AND($F136&lt;&gt;"",$F136&lt;&gt;0),
                        SUMIF(CÁLCULO!$BS$15:$CS$244,CRONO!Y$12,CÁLCULO!$AR$15:$BR$244)/(ORÇAMENTO!$X$15-CÁLCULO.TotalAdmLocal)*CRONO!$F136,
                        0),
                 Y135*$S134),
          SUMIF(OFFSET($S136,1,0,$R134-2),($M134+1)&amp;"$",OFFSET(Y136,1,0,$R134-2)))</f>
        <v>0</v>
      </c>
      <c r="Z136" s="202" cm="1">
        <f t="array" aca="1" ref="Z136" ca="1">IF($R134=2,
         IF(AND(ACOMPANHAMENTO="PLE",ISNUMBER($F134)),
                SUMIF((OFFSET(CÁLCULO!$BS$15:$CS$15,$F134,0,OFFSET(ORÇAMENTO!$D$15,CRONO!$F134,0))),CRONO!Z$12,OFFSET(CÁLCULO!$AR$15:$BR$15,$F134,0,OFFSET(ORÇAMENTO!$D$15,CRONO!$F134,0)))
                +IF(AND($F136&lt;&gt;"",$F136&lt;&gt;0),
                        SUMIF(CÁLCULO!$BS$15:$CS$244,CRONO!Z$12,CÁLCULO!$AR$15:$BR$244)/(ORÇAMENTO!$X$15-CÁLCULO.TotalAdmLocal)*CRONO!$F136,
                        0),
                 Z135*$S134),
          SUMIF(OFFSET($S136,1,0,$R134-2),($M134+1)&amp;"$",OFFSET(Z136,1,0,$R134-2)))</f>
        <v>0</v>
      </c>
      <c r="AA136" s="202" cm="1">
        <f t="array" aca="1" ref="AA136" ca="1">IF($R134=2,
         IF(AND(ACOMPANHAMENTO="PLE",ISNUMBER($F134)),
                SUMIF((OFFSET(CÁLCULO!$BS$15:$CS$15,$F134,0,OFFSET(ORÇAMENTO!$D$15,CRONO!$F134,0))),CRONO!AA$12,OFFSET(CÁLCULO!$AR$15:$BR$15,$F134,0,OFFSET(ORÇAMENTO!$D$15,CRONO!$F134,0)))
                +IF(AND($F136&lt;&gt;"",$F136&lt;&gt;0),
                        SUMIF(CÁLCULO!$BS$15:$CS$244,CRONO!AA$12,CÁLCULO!$AR$15:$BR$244)/(ORÇAMENTO!$X$15-CÁLCULO.TotalAdmLocal)*CRONO!$F136,
                        0),
                 AA135*$S134),
          SUMIF(OFFSET($S136,1,0,$R134-2),($M134+1)&amp;"$",OFFSET(AA136,1,0,$R134-2)))</f>
        <v>0</v>
      </c>
      <c r="AB136" s="202" cm="1">
        <f t="array" aca="1" ref="AB136" ca="1">IF($R134=2,
         IF(AND(ACOMPANHAMENTO="PLE",ISNUMBER($F134)),
                SUMIF((OFFSET(CÁLCULO!$BS$15:$CS$15,$F134,0,OFFSET(ORÇAMENTO!$D$15,CRONO!$F134,0))),CRONO!AB$12,OFFSET(CÁLCULO!$AR$15:$BR$15,$F134,0,OFFSET(ORÇAMENTO!$D$15,CRONO!$F134,0)))
                +IF(AND($F136&lt;&gt;"",$F136&lt;&gt;0),
                        SUMIF(CÁLCULO!$BS$15:$CS$244,CRONO!AB$12,CÁLCULO!$AR$15:$BR$244)/(ORÇAMENTO!$X$15-CÁLCULO.TotalAdmLocal)*CRONO!$F136,
                        0),
                 AB135*$S134),
          SUMIF(OFFSET($S136,1,0,$R134-2),($M134+1)&amp;"$",OFFSET(AB136,1,0,$R134-2)))</f>
        <v>0</v>
      </c>
      <c r="AC136" s="202" cm="1">
        <f t="array" aca="1" ref="AC136" ca="1">IF($R134=2,
         IF(AND(ACOMPANHAMENTO="PLE",ISNUMBER($F134)),
                SUMIF((OFFSET(CÁLCULO!$BS$15:$CS$15,$F134,0,OFFSET(ORÇAMENTO!$D$15,CRONO!$F134,0))),CRONO!AC$12,OFFSET(CÁLCULO!$AR$15:$BR$15,$F134,0,OFFSET(ORÇAMENTO!$D$15,CRONO!$F134,0)))
                +IF(AND($F136&lt;&gt;"",$F136&lt;&gt;0),
                        SUMIF(CÁLCULO!$BS$15:$CS$244,CRONO!AC$12,CÁLCULO!$AR$15:$BR$244)/(ORÇAMENTO!$X$15-CÁLCULO.TotalAdmLocal)*CRONO!$F136,
                        0),
                 AC135*$S134),
          SUMIF(OFFSET($S136,1,0,$R134-2),($M134+1)&amp;"$",OFFSET(AC136,1,0,$R134-2)))</f>
        <v>0</v>
      </c>
      <c r="AD136" s="202" cm="1">
        <f t="array" aca="1" ref="AD136" ca="1">IF($R134=2,
         IF(AND(ACOMPANHAMENTO="PLE",ISNUMBER($F134)),
                SUMIF((OFFSET(CÁLCULO!$BS$15:$CS$15,$F134,0,OFFSET(ORÇAMENTO!$D$15,CRONO!$F134,0))),CRONO!AD$12,OFFSET(CÁLCULO!$AR$15:$BR$15,$F134,0,OFFSET(ORÇAMENTO!$D$15,CRONO!$F134,0)))
                +IF(AND($F136&lt;&gt;"",$F136&lt;&gt;0),
                        SUMIF(CÁLCULO!$BS$15:$CS$244,CRONO!AD$12,CÁLCULO!$AR$15:$BR$244)/(ORÇAMENTO!$X$15-CÁLCULO.TotalAdmLocal)*CRONO!$F136,
                        0),
                 AD135*$S134),
          SUMIF(OFFSET($S136,1,0,$R134-2),($M134+1)&amp;"$",OFFSET(AD136,1,0,$R134-2)))</f>
        <v>0</v>
      </c>
      <c r="AE136" s="202" cm="1">
        <f t="array" aca="1" ref="AE136" ca="1">IF($R134=2,
         IF(AND(ACOMPANHAMENTO="PLE",ISNUMBER($F134)),
                SUMIF((OFFSET(CÁLCULO!$BS$15:$CS$15,$F134,0,OFFSET(ORÇAMENTO!$D$15,CRONO!$F134,0))),CRONO!AE$12,OFFSET(CÁLCULO!$AR$15:$BR$15,$F134,0,OFFSET(ORÇAMENTO!$D$15,CRONO!$F134,0)))
                +IF(AND($F136&lt;&gt;"",$F136&lt;&gt;0),
                        SUMIF(CÁLCULO!$BS$15:$CS$244,CRONO!AE$12,CÁLCULO!$AR$15:$BR$244)/(ORÇAMENTO!$X$15-CÁLCULO.TotalAdmLocal)*CRONO!$F136,
                        0),
                 AE135*$S134),
          SUMIF(OFFSET($S136,1,0,$R134-2),($M134+1)&amp;"$",OFFSET(AE136,1,0,$R134-2)))</f>
        <v>0</v>
      </c>
      <c r="AF136" s="202" cm="1">
        <f t="array" aca="1" ref="AF136" ca="1">IF($R134=2,
         IF(AND(ACOMPANHAMENTO="PLE",ISNUMBER($F134)),
                SUMIF((OFFSET(CÁLCULO!$BS$15:$CS$15,$F134,0,OFFSET(ORÇAMENTO!$D$15,CRONO!$F134,0))),CRONO!AF$12,OFFSET(CÁLCULO!$AR$15:$BR$15,$F134,0,OFFSET(ORÇAMENTO!$D$15,CRONO!$F134,0)))
                +IF(AND($F136&lt;&gt;"",$F136&lt;&gt;0),
                        SUMIF(CÁLCULO!$BS$15:$CS$244,CRONO!AF$12,CÁLCULO!$AR$15:$BR$244)/(ORÇAMENTO!$X$15-CÁLCULO.TotalAdmLocal)*CRONO!$F136,
                        0),
                 AF135*$S134),
          SUMIF(OFFSET($S136,1,0,$R134-2),($M134+1)&amp;"$",OFFSET(AF136,1,0,$R134-2)))</f>
        <v>0</v>
      </c>
      <c r="AG136" s="202" cm="1">
        <f t="array" aca="1" ref="AG136" ca="1">IF($R134=2,
         IF(AND(ACOMPANHAMENTO="PLE",ISNUMBER($F134)),
                SUMIF((OFFSET(CÁLCULO!$BS$15:$CS$15,$F134,0,OFFSET(ORÇAMENTO!$D$15,CRONO!$F134,0))),CRONO!AG$12,OFFSET(CÁLCULO!$AR$15:$BR$15,$F134,0,OFFSET(ORÇAMENTO!$D$15,CRONO!$F134,0)))
                +IF(AND($F136&lt;&gt;"",$F136&lt;&gt;0),
                        SUMIF(CÁLCULO!$BS$15:$CS$244,CRONO!AG$12,CÁLCULO!$AR$15:$BR$244)/(ORÇAMENTO!$X$15-CÁLCULO.TotalAdmLocal)*CRONO!$F136,
                        0),
                 AG135*$S134),
          SUMIF(OFFSET($S136,1,0,$R134-2),($M134+1)&amp;"$",OFFSET(AG136,1,0,$R134-2)))</f>
        <v>0</v>
      </c>
      <c r="AH136" s="202" cm="1">
        <f t="array" aca="1" ref="AH136" ca="1">IF($R134=2,
         IF(AND(ACOMPANHAMENTO="PLE",ISNUMBER($F134)),
                SUMIF((OFFSET(CÁLCULO!$BS$15:$CS$15,$F134,0,OFFSET(ORÇAMENTO!$D$15,CRONO!$F134,0))),CRONO!AH$12,OFFSET(CÁLCULO!$AR$15:$BR$15,$F134,0,OFFSET(ORÇAMENTO!$D$15,CRONO!$F134,0)))
                +IF(AND($F136&lt;&gt;"",$F136&lt;&gt;0),
                        SUMIF(CÁLCULO!$BS$15:$CS$244,CRONO!AH$12,CÁLCULO!$AR$15:$BR$244)/(ORÇAMENTO!$X$15-CÁLCULO.TotalAdmLocal)*CRONO!$F136,
                        0),
                 AH135*$S134),
          SUMIF(OFFSET($S136,1,0,$R134-2),($M134+1)&amp;"$",OFFSET(AH136,1,0,$R134-2)))</f>
        <v>0</v>
      </c>
      <c r="AI136" s="202" cm="1">
        <f t="array" aca="1" ref="AI136" ca="1">IF($R134=2,
         IF(AND(ACOMPANHAMENTO="PLE",ISNUMBER($F134)),
                SUMIF((OFFSET(CÁLCULO!$BS$15:$CS$15,$F134,0,OFFSET(ORÇAMENTO!$D$15,CRONO!$F134,0))),CRONO!AI$12,OFFSET(CÁLCULO!$AR$15:$BR$15,$F134,0,OFFSET(ORÇAMENTO!$D$15,CRONO!$F134,0)))
                +IF(AND($F136&lt;&gt;"",$F136&lt;&gt;0),
                        SUMIF(CÁLCULO!$BS$15:$CS$244,CRONO!AI$12,CÁLCULO!$AR$15:$BR$244)/(ORÇAMENTO!$X$15-CÁLCULO.TotalAdmLocal)*CRONO!$F136,
                        0),
                 AI135*$S134),
          SUMIF(OFFSET($S136,1,0,$R134-2),($M134+1)&amp;"$",OFFSET(AI136,1,0,$R134-2)))</f>
        <v>0</v>
      </c>
      <c r="AJ136" s="202" cm="1">
        <f t="array" aca="1" ref="AJ136" ca="1">IF($R134=2,
         IF(AND(ACOMPANHAMENTO="PLE",ISNUMBER($F134)),
                SUMIF((OFFSET(CÁLCULO!$BS$15:$CS$15,$F134,0,OFFSET(ORÇAMENTO!$D$15,CRONO!$F134,0))),CRONO!AJ$12,OFFSET(CÁLCULO!$AR$15:$BR$15,$F134,0,OFFSET(ORÇAMENTO!$D$15,CRONO!$F134,0)))
                +IF(AND($F136&lt;&gt;"",$F136&lt;&gt;0),
                        SUMIF(CÁLCULO!$BS$15:$CS$244,CRONO!AJ$12,CÁLCULO!$AR$15:$BR$244)/(ORÇAMENTO!$X$15-CÁLCULO.TotalAdmLocal)*CRONO!$F136,
                        0),
                 AJ135*$S134),
          SUMIF(OFFSET($S136,1,0,$R134-2),($M134+1)&amp;"$",OFFSET(AJ136,1,0,$R134-2)))</f>
        <v>0</v>
      </c>
      <c r="AK136" s="202" cm="1">
        <f t="array" aca="1" ref="AK136" ca="1">IF($R134=2,
         IF(AND(ACOMPANHAMENTO="PLE",ISNUMBER($F134)),
                SUMIF((OFFSET(CÁLCULO!$BS$15:$CS$15,$F134,0,OFFSET(ORÇAMENTO!$D$15,CRONO!$F134,0))),CRONO!AK$12,OFFSET(CÁLCULO!$AR$15:$BR$15,$F134,0,OFFSET(ORÇAMENTO!$D$15,CRONO!$F134,0)))
                +IF(AND($F136&lt;&gt;"",$F136&lt;&gt;0),
                        SUMIF(CÁLCULO!$BS$15:$CS$244,CRONO!AK$12,CÁLCULO!$AR$15:$BR$244)/(ORÇAMENTO!$X$15-CÁLCULO.TotalAdmLocal)*CRONO!$F136,
                        0),
                 AK135*$S134),
          SUMIF(OFFSET($S136,1,0,$R134-2),($M134+1)&amp;"$",OFFSET(AK136,1,0,$R134-2)))</f>
        <v>0</v>
      </c>
      <c r="AL136" s="202" cm="1">
        <f t="array" aca="1" ref="AL136" ca="1">IF($R134=2,
         IF(AND(ACOMPANHAMENTO="PLE",ISNUMBER($F134)),
                SUMIF((OFFSET(CÁLCULO!$BS$15:$CS$15,$F134,0,OFFSET(ORÇAMENTO!$D$15,CRONO!$F134,0))),CRONO!AL$12,OFFSET(CÁLCULO!$AR$15:$BR$15,$F134,0,OFFSET(ORÇAMENTO!$D$15,CRONO!$F134,0)))
                +IF(AND($F136&lt;&gt;"",$F136&lt;&gt;0),
                        SUMIF(CÁLCULO!$BS$15:$CS$244,CRONO!AL$12,CÁLCULO!$AR$15:$BR$244)/(ORÇAMENTO!$X$15-CÁLCULO.TotalAdmLocal)*CRONO!$F136,
                        0),
                 AL135*$S134),
          SUMIF(OFFSET($S136,1,0,$R134-2),($M134+1)&amp;"$",OFFSET(AL136,1,0,$R134-2)))</f>
        <v>0</v>
      </c>
      <c r="AM136" s="202" cm="1">
        <f t="array" aca="1" ref="AM136" ca="1">IF($R134=2,
         IF(AND(ACOMPANHAMENTO="PLE",ISNUMBER($F134)),
                SUMIF((OFFSET(CÁLCULO!$BS$15:$CS$15,$F134,0,OFFSET(ORÇAMENTO!$D$15,CRONO!$F134,0))),CRONO!AM$12,OFFSET(CÁLCULO!$AR$15:$BR$15,$F134,0,OFFSET(ORÇAMENTO!$D$15,CRONO!$F134,0)))
                +IF(AND($F136&lt;&gt;"",$F136&lt;&gt;0),
                        SUMIF(CÁLCULO!$BS$15:$CS$244,CRONO!AM$12,CÁLCULO!$AR$15:$BR$244)/(ORÇAMENTO!$X$15-CÁLCULO.TotalAdmLocal)*CRONO!$F136,
                        0),
                 AM135*$S134),
          SUMIF(OFFSET($S136,1,0,$R134-2),($M134+1)&amp;"$",OFFSET(AM136,1,0,$R134-2)))</f>
        <v>0</v>
      </c>
      <c r="AN136" s="202" cm="1">
        <f t="array" aca="1" ref="AN136" ca="1">IF($R134=2,
         IF(AND(ACOMPANHAMENTO="PLE",ISNUMBER($F134)),
                SUMIF((OFFSET(CÁLCULO!$BS$15:$CS$15,$F134,0,OFFSET(ORÇAMENTO!$D$15,CRONO!$F134,0))),CRONO!AN$12,OFFSET(CÁLCULO!$AR$15:$BR$15,$F134,0,OFFSET(ORÇAMENTO!$D$15,CRONO!$F134,0)))
                +IF(AND($F136&lt;&gt;"",$F136&lt;&gt;0),
                        SUMIF(CÁLCULO!$BS$15:$CS$244,CRONO!AN$12,CÁLCULO!$AR$15:$BR$244)/(ORÇAMENTO!$X$15-CÁLCULO.TotalAdmLocal)*CRONO!$F136,
                        0),
                 AN135*$S134),
          SUMIF(OFFSET($S136,1,0,$R134-2),($M134+1)&amp;"$",OFFSET(AN136,1,0,$R134-2)))</f>
        <v>0</v>
      </c>
      <c r="AO136" s="202" cm="1">
        <f t="array" aca="1" ref="AO136" ca="1">IF($R134=2,
         IF(AND(ACOMPANHAMENTO="PLE",ISNUMBER($F134)),
                SUMIF((OFFSET(CÁLCULO!$BS$15:$CS$15,$F134,0,OFFSET(ORÇAMENTO!$D$15,CRONO!$F134,0))),CRONO!AO$12,OFFSET(CÁLCULO!$AR$15:$BR$15,$F134,0,OFFSET(ORÇAMENTO!$D$15,CRONO!$F134,0)))
                +IF(AND($F136&lt;&gt;"",$F136&lt;&gt;0),
                        SUMIF(CÁLCULO!$BS$15:$CS$244,CRONO!AO$12,CÁLCULO!$AR$15:$BR$244)/(ORÇAMENTO!$X$15-CÁLCULO.TotalAdmLocal)*CRONO!$F136,
                        0),
                 AO135*$S134),
          SUMIF(OFFSET($S136,1,0,$R134-2),($M134+1)&amp;"$",OFFSET(AO136,1,0,$R134-2)))</f>
        <v>0</v>
      </c>
      <c r="AP136" s="202" cm="1">
        <f t="array" aca="1" ref="AP136" ca="1">IF($R134=2,
         IF(AND(ACOMPANHAMENTO="PLE",ISNUMBER($F134)),
                SUMIF((OFFSET(CÁLCULO!$BS$15:$CS$15,$F134,0,OFFSET(ORÇAMENTO!$D$15,CRONO!$F134,0))),CRONO!AP$12,OFFSET(CÁLCULO!$AR$15:$BR$15,$F134,0,OFFSET(ORÇAMENTO!$D$15,CRONO!$F134,0)))
                +IF(AND($F136&lt;&gt;"",$F136&lt;&gt;0),
                        SUMIF(CÁLCULO!$BS$15:$CS$244,CRONO!AP$12,CÁLCULO!$AR$15:$BR$244)/(ORÇAMENTO!$X$15-CÁLCULO.TotalAdmLocal)*CRONO!$F136,
                        0),
                 AP135*$S134),
          SUMIF(OFFSET($S136,1,0,$R134-2),($M134+1)&amp;"$",OFFSET(AP136,1,0,$R134-2)))</f>
        <v>0</v>
      </c>
      <c r="AQ136" s="202" cm="1">
        <f t="array" aca="1" ref="AQ136" ca="1">IF($R134=2,
         IF(AND(ACOMPANHAMENTO="PLE",ISNUMBER($F134)),
                SUMIF((OFFSET(CÁLCULO!$BS$15:$CS$15,$F134,0,OFFSET(ORÇAMENTO!$D$15,CRONO!$F134,0))),CRONO!AQ$12,OFFSET(CÁLCULO!$AR$15:$BR$15,$F134,0,OFFSET(ORÇAMENTO!$D$15,CRONO!$F134,0)))
                +IF(AND($F136&lt;&gt;"",$F136&lt;&gt;0),
                        SUMIF(CÁLCULO!$BS$15:$CS$244,CRONO!AQ$12,CÁLCULO!$AR$15:$BR$244)/(ORÇAMENTO!$X$15-CÁLCULO.TotalAdmLocal)*CRONO!$F136,
                        0),
                 AQ135*$S134),
          SUMIF(OFFSET($S136,1,0,$R134-2),($M134+1)&amp;"$",OFFSET(AQ136,1,0,$R134-2)))</f>
        <v>0</v>
      </c>
      <c r="AR136" s="202" cm="1">
        <f t="array" aca="1" ref="AR136" ca="1">IF($R134=2,
         IF(AND(ACOMPANHAMENTO="PLE",ISNUMBER($F134)),
                SUMIF((OFFSET(CÁLCULO!$BS$15:$CS$15,$F134,0,OFFSET(ORÇAMENTO!$D$15,CRONO!$F134,0))),CRONO!AR$12,OFFSET(CÁLCULO!$AR$15:$BR$15,$F134,0,OFFSET(ORÇAMENTO!$D$15,CRONO!$F134,0)))
                +IF(AND($F136&lt;&gt;"",$F136&lt;&gt;0),
                        SUMIF(CÁLCULO!$BS$15:$CS$244,CRONO!AR$12,CÁLCULO!$AR$15:$BR$244)/(ORÇAMENTO!$X$15-CÁLCULO.TotalAdmLocal)*CRONO!$F136,
                        0),
                 AR135*$S134),
          SUMIF(OFFSET($S136,1,0,$R134-2),($M134+1)&amp;"$",OFFSET(AR136,1,0,$R134-2)))</f>
        <v>0</v>
      </c>
      <c r="AS136" s="534"/>
    </row>
    <row r="137" spans="1:45" x14ac:dyDescent="0.2">
      <c r="A137" s="186" t="e">
        <f t="shared" ref="A137" ca="1" si="248">IF($M137&gt;1,_xlfn.CONCAT($I137," ",$J137),"")</f>
        <v>#NAME?</v>
      </c>
      <c r="B137" s="185">
        <f t="shared" ref="B137" ca="1" si="249">OFFSET(B137,-3,0)+1</f>
        <v>42</v>
      </c>
      <c r="C137" s="185">
        <f ca="1">IF($R137&lt;&gt;2,0,IF($S137=0,1,IF(F138&gt;0,OFFSET(QCI!$M$13,SUBSTITUTE(F138,".",""),0),OFFSET(ORÇAMENTO!$AA$15,CRONO!$F137,0))/$S137))</f>
        <v>1</v>
      </c>
      <c r="D137" s="185">
        <f ca="1">IF($R137&lt;&gt;2,0,IF($S137=0,1,IF(F138&gt;0,OFFSET(QCI!$N$13,SUBSTITUTE(F138,".",""),0),OFFSET(ORÇAMENTO!$AB$15,CRONO!$F137,0))/$S137))</f>
        <v>1</v>
      </c>
      <c r="E137" s="188" t="e" cm="1">
        <f t="array" aca="1" ref="E137" ca="1">IF(AND($R137=2,ACOMPANHAMENTO="BM"),ROUND(E138,4),E139/$S137)</f>
        <v>#DIV/0!</v>
      </c>
      <c r="F137" s="185" cm="1">
        <f t="array" aca="1" ref="F137" ca="1">IF(B137&lt;=ORÇAMENTO.MáximoListaCrono,MATCH(B137,ORÇAMENTO.ListaCrono,0),NA())</f>
        <v>189</v>
      </c>
      <c r="G137" s="185" t="str">
        <f t="shared" ref="G137" ca="1" si="250">IF(AND($F138&lt;&gt;-1,$S137&gt;0),"F","")</f>
        <v/>
      </c>
      <c r="H137" s="189" t="str" cm="1">
        <f t="array" aca="1" ref="H137" ca="1">IF(OR(S137=0,S137=""),"Linha",IF(AND(OR(ACOMPANHAMENTO="PLE",$R137&lt;&gt;2),$F138=0),"Linha",ROUND(1-SUM(U137:AS137),4)))</f>
        <v>Linha</v>
      </c>
      <c r="I137" s="190" t="str">
        <f ca="1">IF($F138=0,OFFSET(ORÇAMENTO!O$15,$F137,0),IF($F138&lt;&gt;-1,OFFSET(QCI!$D$13,$F138,0),""))</f>
        <v>9.3.1.</v>
      </c>
      <c r="J137" s="191" t="str">
        <f ca="1">IF($F138=0,OFFSET(ORÇAMENTO!R$15,$F137,0),IF($F138&lt;&gt;-1,OFFSET(QCI!$G$13,$F138,0),""))</f>
        <v>TUBULAÇÕES E CONEXÕES SANITÁRIAS</v>
      </c>
      <c r="K137" s="191"/>
      <c r="L137" s="191"/>
      <c r="M137" s="192">
        <f ca="1">IF($F138=0,OFFSET(ORÇAMENTO!C$15,$F137,0),1)</f>
        <v>3</v>
      </c>
      <c r="N137" s="193">
        <f ca="1">IF($F138=-1,0,IF(N$13&lt;=$M137,IF(ISERROR(MATCH(N$13,OFFSET($M137,1,0,ROW($M$164)-ROW($M137)-1),0)),ROW($M$164)-ROW($M137)-1,MATCH(N$13,OFFSET($M137,1,0,ROW($M$164)-ROW($M137)-1),0)-1),0))</f>
        <v>8</v>
      </c>
      <c r="O137" s="193">
        <f ca="1">IF($F138=-1,0,IF(O$13&lt;=$M137,IF(ISERROR(MATCH(O$13,OFFSET($M137,1,0,ROW($M$164)-ROW($M137)-1),0)),ROW($M$164)-ROW($M137)-1,MATCH(O$13,OFFSET($M137,1,0,ROW($M$164)-ROW($M137)-1),0)-1),0))</f>
        <v>11</v>
      </c>
      <c r="P137" s="193">
        <f ca="1">IF($F138=-1,0,IF(P$13&lt;=$M137,IF(ISERROR(MATCH(P$13,OFFSET($M137,1,0,ROW($M$164)-ROW($M137)-1),0)),ROW($M$164)-ROW($M137)-1,MATCH(P$13,OFFSET($M137,1,0,ROW($M$164)-ROW($M137)-1),0)-1),0))</f>
        <v>2</v>
      </c>
      <c r="Q137" s="193">
        <f ca="1">IF($F138=-1,0,IF(Q$13&lt;=$M137,IF(ISERROR(MATCH(Q$13,OFFSET($M137,1,0,ROW($M$164)-ROW($M137)-1),0)),ROW($M$164)-ROW($M137)-1,MATCH(Q$13,OFFSET($M137,1,0,ROW($M$164)-ROW($M137)-1),0)-1),0))</f>
        <v>0</v>
      </c>
      <c r="R137" s="193">
        <f t="shared" ref="R137" ca="1" si="251">MIN(OFFSET(M137,0,1,,M137))</f>
        <v>2</v>
      </c>
      <c r="S137" s="194">
        <f ca="1">IF($F138=0,OFFSET(ORÇAMENTO!X$15,$F137,0),IF($F138&lt;&gt;-1,OFFSET(QCI!$O$13,$F138,0),""))</f>
        <v>0</v>
      </c>
      <c r="T137" s="195" t="s">
        <v>785</v>
      </c>
      <c r="U137" s="188" t="e" cm="1">
        <f t="array" aca="1" ref="U137" ca="1">IF(AND($R137=2,ACOMPANHAMENTO="BM"),ROUND(U138,4),U139/$S137)</f>
        <v>#DIV/0!</v>
      </c>
      <c r="V137" s="188" t="e" cm="1">
        <f t="array" aca="1" ref="V137" ca="1">IF(AND($R137=2,ACOMPANHAMENTO="BM"),ROUND(V138,4),V139/$S137)</f>
        <v>#DIV/0!</v>
      </c>
      <c r="W137" s="188" t="e" cm="1">
        <f t="array" aca="1" ref="W137" ca="1">IF(AND($R137=2,ACOMPANHAMENTO="BM"),ROUND(W138,4),W139/$S137)</f>
        <v>#DIV/0!</v>
      </c>
      <c r="X137" s="188" t="e" cm="1">
        <f t="array" aca="1" ref="X137" ca="1">IF(AND($R137=2,ACOMPANHAMENTO="BM"),ROUND(X138,4),X139/$S137)</f>
        <v>#DIV/0!</v>
      </c>
      <c r="Y137" s="188" t="e" cm="1">
        <f t="array" aca="1" ref="Y137" ca="1">IF(AND($R137=2,ACOMPANHAMENTO="BM"),ROUND(Y138,4),Y139/$S137)</f>
        <v>#DIV/0!</v>
      </c>
      <c r="Z137" s="188" t="e" cm="1">
        <f t="array" aca="1" ref="Z137" ca="1">IF(AND($R137=2,ACOMPANHAMENTO="BM"),ROUND(Z138,4),Z139/$S137)</f>
        <v>#DIV/0!</v>
      </c>
      <c r="AA137" s="188" t="e" cm="1">
        <f t="array" aca="1" ref="AA137" ca="1">IF(AND($R137=2,ACOMPANHAMENTO="BM"),ROUND(AA138,4),AA139/$S137)</f>
        <v>#DIV/0!</v>
      </c>
      <c r="AB137" s="188" t="e" cm="1">
        <f t="array" aca="1" ref="AB137" ca="1">IF(AND($R137=2,ACOMPANHAMENTO="BM"),ROUND(AB138,4),AB139/$S137)</f>
        <v>#DIV/0!</v>
      </c>
      <c r="AC137" s="188" t="e" cm="1">
        <f t="array" aca="1" ref="AC137" ca="1">IF(AND($R137=2,ACOMPANHAMENTO="BM"),ROUND(AC138,4),AC139/$S137)</f>
        <v>#DIV/0!</v>
      </c>
      <c r="AD137" s="188" t="e" cm="1">
        <f t="array" aca="1" ref="AD137" ca="1">IF(AND($R137=2,ACOMPANHAMENTO="BM"),ROUND(AD138,4),AD139/$S137)</f>
        <v>#DIV/0!</v>
      </c>
      <c r="AE137" s="188" t="e" cm="1">
        <f t="array" aca="1" ref="AE137" ca="1">IF(AND($R137=2,ACOMPANHAMENTO="BM"),ROUND(AE138,4),AE139/$S137)</f>
        <v>#DIV/0!</v>
      </c>
      <c r="AF137" s="188" t="e" cm="1">
        <f t="array" aca="1" ref="AF137" ca="1">IF(AND($R137=2,ACOMPANHAMENTO="BM"),ROUND(AF138,4),AF139/$S137)</f>
        <v>#DIV/0!</v>
      </c>
      <c r="AG137" s="188" t="e" cm="1">
        <f t="array" aca="1" ref="AG137" ca="1">IF(AND($R137=2,ACOMPANHAMENTO="BM"),ROUND(AG138,4),AG139/$S137)</f>
        <v>#DIV/0!</v>
      </c>
      <c r="AH137" s="188" t="e" cm="1">
        <f t="array" aca="1" ref="AH137" ca="1">IF(AND($R137=2,ACOMPANHAMENTO="BM"),ROUND(AH138,4),AH139/$S137)</f>
        <v>#DIV/0!</v>
      </c>
      <c r="AI137" s="188" t="e" cm="1">
        <f t="array" aca="1" ref="AI137" ca="1">IF(AND($R137=2,ACOMPANHAMENTO="BM"),ROUND(AI138,4),AI139/$S137)</f>
        <v>#DIV/0!</v>
      </c>
      <c r="AJ137" s="188" t="e" cm="1">
        <f t="array" aca="1" ref="AJ137" ca="1">IF(AND($R137=2,ACOMPANHAMENTO="BM"),ROUND(AJ138,4),AJ139/$S137)</f>
        <v>#DIV/0!</v>
      </c>
      <c r="AK137" s="188" t="e" cm="1">
        <f t="array" aca="1" ref="AK137" ca="1">IF(AND($R137=2,ACOMPANHAMENTO="BM"),ROUND(AK138,4),AK139/$S137)</f>
        <v>#DIV/0!</v>
      </c>
      <c r="AL137" s="188" t="e" cm="1">
        <f t="array" aca="1" ref="AL137" ca="1">IF(AND($R137=2,ACOMPANHAMENTO="BM"),ROUND(AL138,4),AL139/$S137)</f>
        <v>#DIV/0!</v>
      </c>
      <c r="AM137" s="188" t="e" cm="1">
        <f t="array" aca="1" ref="AM137" ca="1">IF(AND($R137=2,ACOMPANHAMENTO="BM"),ROUND(AM138,4),AM139/$S137)</f>
        <v>#DIV/0!</v>
      </c>
      <c r="AN137" s="188" t="e" cm="1">
        <f t="array" aca="1" ref="AN137" ca="1">IF(AND($R137=2,ACOMPANHAMENTO="BM"),ROUND(AN138,4),AN139/$S137)</f>
        <v>#DIV/0!</v>
      </c>
      <c r="AO137" s="188" t="e" cm="1">
        <f t="array" aca="1" ref="AO137" ca="1">IF(AND($R137=2,ACOMPANHAMENTO="BM"),ROUND(AO138,4),AO139/$S137)</f>
        <v>#DIV/0!</v>
      </c>
      <c r="AP137" s="188" t="e" cm="1">
        <f t="array" aca="1" ref="AP137" ca="1">IF(AND($R137=2,ACOMPANHAMENTO="BM"),ROUND(AP138,4),AP139/$S137)</f>
        <v>#DIV/0!</v>
      </c>
      <c r="AQ137" s="188" t="e" cm="1">
        <f t="array" aca="1" ref="AQ137" ca="1">IF(AND($R137=2,ACOMPANHAMENTO="BM"),ROUND(AQ138,4),AQ139/$S137)</f>
        <v>#DIV/0!</v>
      </c>
      <c r="AR137" s="188" t="e" cm="1">
        <f t="array" aca="1" ref="AR137" ca="1">IF(AND($R137=2,ACOMPANHAMENTO="BM"),ROUND(AR138,4),AR139/$S137)</f>
        <v>#DIV/0!</v>
      </c>
      <c r="AS137" s="534"/>
    </row>
    <row r="138" spans="1:45" ht="12.75" hidden="1" customHeight="1" x14ac:dyDescent="0.2">
      <c r="E138" s="587"/>
      <c r="F138" s="185">
        <f ca="1">IF(ISERROR(F137),IF(1+COUNTIF($M$13:OFFSET(M137,-1,0),1)&lt;=MAX(QCI!$D$13:$D$24),1+COUNTIF($M$13:OFFSET(M137,-1,0),1),-1),0)</f>
        <v>0</v>
      </c>
      <c r="G138" s="185" t="str" cm="1">
        <f t="array" aca="1" ref="G138" ca="1">IF(ACOMPANHAMENTO="BM",OFFSET(G138,-1,0),"")</f>
        <v/>
      </c>
      <c r="H138" s="196" t="str" cm="1">
        <f t="array" aca="1" ref="H138" ca="1">IF(OR(S137=0,S137=""),"vazia",IF(AND(OR(ACOMPANHAMENTO="PLE",$R137&lt;&gt;2),$F138=0),"calculada","--&gt;"))</f>
        <v>vazia</v>
      </c>
      <c r="I138" s="197"/>
      <c r="J138" s="198" t="str">
        <f t="shared" ref="J138" ca="1" si="252">IF(AND(H137&lt;&gt;0,ISNUMBER(H137)),"PREENCHA ESTA LINHA --&gt;","")</f>
        <v/>
      </c>
      <c r="K138" s="198"/>
      <c r="L138" s="198"/>
      <c r="M138" s="199"/>
      <c r="N138" s="199"/>
      <c r="O138" s="199"/>
      <c r="P138" s="199"/>
      <c r="Q138" s="199"/>
      <c r="R138" s="199"/>
      <c r="S138" s="200"/>
      <c r="T138" s="201"/>
      <c r="U138" s="587"/>
      <c r="V138" s="587"/>
      <c r="W138" s="587"/>
      <c r="X138" s="587"/>
      <c r="Y138" s="587"/>
      <c r="Z138" s="587"/>
      <c r="AA138" s="587"/>
      <c r="AB138" s="587"/>
      <c r="AC138" s="587"/>
      <c r="AD138" s="587"/>
      <c r="AE138" s="587"/>
      <c r="AF138" s="587"/>
      <c r="AG138" s="587"/>
      <c r="AH138" s="587"/>
      <c r="AI138" s="587"/>
      <c r="AJ138" s="587"/>
      <c r="AK138" s="587"/>
      <c r="AL138" s="587"/>
      <c r="AM138" s="587"/>
      <c r="AN138" s="587"/>
      <c r="AO138" s="587"/>
      <c r="AP138" s="587"/>
      <c r="AQ138" s="587"/>
      <c r="AR138" s="587"/>
      <c r="AS138" s="534"/>
    </row>
    <row r="139" spans="1:45" ht="12.75" hidden="1" customHeight="1" x14ac:dyDescent="0.2">
      <c r="D139" s="533"/>
      <c r="E139" s="202" cm="1">
        <f t="array" aca="1" ref="E139" ca="1">IF($R137=2,
         IF(AND(ACOMPANHAMENTO="PLE",ISNUMBER($F137)),
                SUMIF((OFFSET(CÁLCULO!$BS$15:$CS$15,$F137,0,OFFSET(ORÇAMENTO!$D$15,CRONO!$F137,0))),CRONO!E$12,OFFSET(CÁLCULO!$AR$15:$BR$15,$F137,0,OFFSET(ORÇAMENTO!$D$15,CRONO!$F137,0)))
                +IF(AND($F139&lt;&gt;"",$F139&lt;&gt;0),
                        SUMIF(CÁLCULO!$BS$15:$CS$244,CRONO!E$12,CÁLCULO!$AR$15:$BR$244)/(ORÇAMENTO!$X$15-CÁLCULO.TotalAdmLocal)*CRONO!$F139,
                        0),
                 E138*$S137),
          SUMIF(OFFSET($S139,1,0,$R137-2),($M137+1)&amp;"$",OFFSET(E139,1,0,$R137-2)))</f>
        <v>0</v>
      </c>
      <c r="F139" s="185">
        <f ca="1">IF(OR($R137&lt;&gt;2,AUTOEVENTO&lt;&gt;"manual",$F138&gt;0),"",
        IF(Import.TipoArredondamento="Tradicional",
              SUMIF(OFFSET(CÁLCULO!$M$15,CRONO!$F137,0,OFFSET(ORÇAMENTO!$D$15,CRONO!$F137,0)),1,OFFSET(ORÇAMENTO!$X$15,CRONO!$F137,0,OFFSET(ORÇAMENTO!$D$15,CRONO!$F137,0))),
              0))</f>
        <v>0</v>
      </c>
      <c r="H139" s="203"/>
      <c r="S139" s="204" t="str">
        <f t="shared" ref="S139" ca="1" si="253">M137&amp;"$"</f>
        <v>3$</v>
      </c>
      <c r="T139" s="205"/>
      <c r="U139" s="202" cm="1">
        <f t="array" aca="1" ref="U139" ca="1">IF($R137=2,
         IF(AND(ACOMPANHAMENTO="PLE",ISNUMBER($F137)),
                SUMIF((OFFSET(CÁLCULO!$BS$15:$CS$15,$F137,0,OFFSET(ORÇAMENTO!$D$15,CRONO!$F137,0))),CRONO!U$12,OFFSET(CÁLCULO!$AR$15:$BR$15,$F137,0,OFFSET(ORÇAMENTO!$D$15,CRONO!$F137,0)))
                +IF(AND($F139&lt;&gt;"",$F139&lt;&gt;0),
                        SUMIF(CÁLCULO!$BS$15:$CS$244,CRONO!U$12,CÁLCULO!$AR$15:$BR$244)/(ORÇAMENTO!$X$15-CÁLCULO.TotalAdmLocal)*CRONO!$F139,
                        0),
                 U138*$S137),
          SUMIF(OFFSET($S139,1,0,$R137-2),($M137+1)&amp;"$",OFFSET(U139,1,0,$R137-2)))</f>
        <v>0</v>
      </c>
      <c r="V139" s="202" cm="1">
        <f t="array" aca="1" ref="V139" ca="1">IF($R137=2,
         IF(AND(ACOMPANHAMENTO="PLE",ISNUMBER($F137)),
                SUMIF((OFFSET(CÁLCULO!$BS$15:$CS$15,$F137,0,OFFSET(ORÇAMENTO!$D$15,CRONO!$F137,0))),CRONO!V$12,OFFSET(CÁLCULO!$AR$15:$BR$15,$F137,0,OFFSET(ORÇAMENTO!$D$15,CRONO!$F137,0)))
                +IF(AND($F139&lt;&gt;"",$F139&lt;&gt;0),
                        SUMIF(CÁLCULO!$BS$15:$CS$244,CRONO!V$12,CÁLCULO!$AR$15:$BR$244)/(ORÇAMENTO!$X$15-CÁLCULO.TotalAdmLocal)*CRONO!$F139,
                        0),
                 V138*$S137),
          SUMIF(OFFSET($S139,1,0,$R137-2),($M137+1)&amp;"$",OFFSET(V139,1,0,$R137-2)))</f>
        <v>0</v>
      </c>
      <c r="W139" s="202" cm="1">
        <f t="array" aca="1" ref="W139" ca="1">IF($R137=2,
         IF(AND(ACOMPANHAMENTO="PLE",ISNUMBER($F137)),
                SUMIF((OFFSET(CÁLCULO!$BS$15:$CS$15,$F137,0,OFFSET(ORÇAMENTO!$D$15,CRONO!$F137,0))),CRONO!W$12,OFFSET(CÁLCULO!$AR$15:$BR$15,$F137,0,OFFSET(ORÇAMENTO!$D$15,CRONO!$F137,0)))
                +IF(AND($F139&lt;&gt;"",$F139&lt;&gt;0),
                        SUMIF(CÁLCULO!$BS$15:$CS$244,CRONO!W$12,CÁLCULO!$AR$15:$BR$244)/(ORÇAMENTO!$X$15-CÁLCULO.TotalAdmLocal)*CRONO!$F139,
                        0),
                 W138*$S137),
          SUMIF(OFFSET($S139,1,0,$R137-2),($M137+1)&amp;"$",OFFSET(W139,1,0,$R137-2)))</f>
        <v>0</v>
      </c>
      <c r="X139" s="202" cm="1">
        <f t="array" aca="1" ref="X139" ca="1">IF($R137=2,
         IF(AND(ACOMPANHAMENTO="PLE",ISNUMBER($F137)),
                SUMIF((OFFSET(CÁLCULO!$BS$15:$CS$15,$F137,0,OFFSET(ORÇAMENTO!$D$15,CRONO!$F137,0))),CRONO!X$12,OFFSET(CÁLCULO!$AR$15:$BR$15,$F137,0,OFFSET(ORÇAMENTO!$D$15,CRONO!$F137,0)))
                +IF(AND($F139&lt;&gt;"",$F139&lt;&gt;0),
                        SUMIF(CÁLCULO!$BS$15:$CS$244,CRONO!X$12,CÁLCULO!$AR$15:$BR$244)/(ORÇAMENTO!$X$15-CÁLCULO.TotalAdmLocal)*CRONO!$F139,
                        0),
                 X138*$S137),
          SUMIF(OFFSET($S139,1,0,$R137-2),($M137+1)&amp;"$",OFFSET(X139,1,0,$R137-2)))</f>
        <v>0</v>
      </c>
      <c r="Y139" s="202" cm="1">
        <f t="array" aca="1" ref="Y139" ca="1">IF($R137=2,
         IF(AND(ACOMPANHAMENTO="PLE",ISNUMBER($F137)),
                SUMIF((OFFSET(CÁLCULO!$BS$15:$CS$15,$F137,0,OFFSET(ORÇAMENTO!$D$15,CRONO!$F137,0))),CRONO!Y$12,OFFSET(CÁLCULO!$AR$15:$BR$15,$F137,0,OFFSET(ORÇAMENTO!$D$15,CRONO!$F137,0)))
                +IF(AND($F139&lt;&gt;"",$F139&lt;&gt;0),
                        SUMIF(CÁLCULO!$BS$15:$CS$244,CRONO!Y$12,CÁLCULO!$AR$15:$BR$244)/(ORÇAMENTO!$X$15-CÁLCULO.TotalAdmLocal)*CRONO!$F139,
                        0),
                 Y138*$S137),
          SUMIF(OFFSET($S139,1,0,$R137-2),($M137+1)&amp;"$",OFFSET(Y139,1,0,$R137-2)))</f>
        <v>0</v>
      </c>
      <c r="Z139" s="202" cm="1">
        <f t="array" aca="1" ref="Z139" ca="1">IF($R137=2,
         IF(AND(ACOMPANHAMENTO="PLE",ISNUMBER($F137)),
                SUMIF((OFFSET(CÁLCULO!$BS$15:$CS$15,$F137,0,OFFSET(ORÇAMENTO!$D$15,CRONO!$F137,0))),CRONO!Z$12,OFFSET(CÁLCULO!$AR$15:$BR$15,$F137,0,OFFSET(ORÇAMENTO!$D$15,CRONO!$F137,0)))
                +IF(AND($F139&lt;&gt;"",$F139&lt;&gt;0),
                        SUMIF(CÁLCULO!$BS$15:$CS$244,CRONO!Z$12,CÁLCULO!$AR$15:$BR$244)/(ORÇAMENTO!$X$15-CÁLCULO.TotalAdmLocal)*CRONO!$F139,
                        0),
                 Z138*$S137),
          SUMIF(OFFSET($S139,1,0,$R137-2),($M137+1)&amp;"$",OFFSET(Z139,1,0,$R137-2)))</f>
        <v>0</v>
      </c>
      <c r="AA139" s="202" cm="1">
        <f t="array" aca="1" ref="AA139" ca="1">IF($R137=2,
         IF(AND(ACOMPANHAMENTO="PLE",ISNUMBER($F137)),
                SUMIF((OFFSET(CÁLCULO!$BS$15:$CS$15,$F137,0,OFFSET(ORÇAMENTO!$D$15,CRONO!$F137,0))),CRONO!AA$12,OFFSET(CÁLCULO!$AR$15:$BR$15,$F137,0,OFFSET(ORÇAMENTO!$D$15,CRONO!$F137,0)))
                +IF(AND($F139&lt;&gt;"",$F139&lt;&gt;0),
                        SUMIF(CÁLCULO!$BS$15:$CS$244,CRONO!AA$12,CÁLCULO!$AR$15:$BR$244)/(ORÇAMENTO!$X$15-CÁLCULO.TotalAdmLocal)*CRONO!$F139,
                        0),
                 AA138*$S137),
          SUMIF(OFFSET($S139,1,0,$R137-2),($M137+1)&amp;"$",OFFSET(AA139,1,0,$R137-2)))</f>
        <v>0</v>
      </c>
      <c r="AB139" s="202" cm="1">
        <f t="array" aca="1" ref="AB139" ca="1">IF($R137=2,
         IF(AND(ACOMPANHAMENTO="PLE",ISNUMBER($F137)),
                SUMIF((OFFSET(CÁLCULO!$BS$15:$CS$15,$F137,0,OFFSET(ORÇAMENTO!$D$15,CRONO!$F137,0))),CRONO!AB$12,OFFSET(CÁLCULO!$AR$15:$BR$15,$F137,0,OFFSET(ORÇAMENTO!$D$15,CRONO!$F137,0)))
                +IF(AND($F139&lt;&gt;"",$F139&lt;&gt;0),
                        SUMIF(CÁLCULO!$BS$15:$CS$244,CRONO!AB$12,CÁLCULO!$AR$15:$BR$244)/(ORÇAMENTO!$X$15-CÁLCULO.TotalAdmLocal)*CRONO!$F139,
                        0),
                 AB138*$S137),
          SUMIF(OFFSET($S139,1,0,$R137-2),($M137+1)&amp;"$",OFFSET(AB139,1,0,$R137-2)))</f>
        <v>0</v>
      </c>
      <c r="AC139" s="202" cm="1">
        <f t="array" aca="1" ref="AC139" ca="1">IF($R137=2,
         IF(AND(ACOMPANHAMENTO="PLE",ISNUMBER($F137)),
                SUMIF((OFFSET(CÁLCULO!$BS$15:$CS$15,$F137,0,OFFSET(ORÇAMENTO!$D$15,CRONO!$F137,0))),CRONO!AC$12,OFFSET(CÁLCULO!$AR$15:$BR$15,$F137,0,OFFSET(ORÇAMENTO!$D$15,CRONO!$F137,0)))
                +IF(AND($F139&lt;&gt;"",$F139&lt;&gt;0),
                        SUMIF(CÁLCULO!$BS$15:$CS$244,CRONO!AC$12,CÁLCULO!$AR$15:$BR$244)/(ORÇAMENTO!$X$15-CÁLCULO.TotalAdmLocal)*CRONO!$F139,
                        0),
                 AC138*$S137),
          SUMIF(OFFSET($S139,1,0,$R137-2),($M137+1)&amp;"$",OFFSET(AC139,1,0,$R137-2)))</f>
        <v>0</v>
      </c>
      <c r="AD139" s="202" cm="1">
        <f t="array" aca="1" ref="AD139" ca="1">IF($R137=2,
         IF(AND(ACOMPANHAMENTO="PLE",ISNUMBER($F137)),
                SUMIF((OFFSET(CÁLCULO!$BS$15:$CS$15,$F137,0,OFFSET(ORÇAMENTO!$D$15,CRONO!$F137,0))),CRONO!AD$12,OFFSET(CÁLCULO!$AR$15:$BR$15,$F137,0,OFFSET(ORÇAMENTO!$D$15,CRONO!$F137,0)))
                +IF(AND($F139&lt;&gt;"",$F139&lt;&gt;0),
                        SUMIF(CÁLCULO!$BS$15:$CS$244,CRONO!AD$12,CÁLCULO!$AR$15:$BR$244)/(ORÇAMENTO!$X$15-CÁLCULO.TotalAdmLocal)*CRONO!$F139,
                        0),
                 AD138*$S137),
          SUMIF(OFFSET($S139,1,0,$R137-2),($M137+1)&amp;"$",OFFSET(AD139,1,0,$R137-2)))</f>
        <v>0</v>
      </c>
      <c r="AE139" s="202" cm="1">
        <f t="array" aca="1" ref="AE139" ca="1">IF($R137=2,
         IF(AND(ACOMPANHAMENTO="PLE",ISNUMBER($F137)),
                SUMIF((OFFSET(CÁLCULO!$BS$15:$CS$15,$F137,0,OFFSET(ORÇAMENTO!$D$15,CRONO!$F137,0))),CRONO!AE$12,OFFSET(CÁLCULO!$AR$15:$BR$15,$F137,0,OFFSET(ORÇAMENTO!$D$15,CRONO!$F137,0)))
                +IF(AND($F139&lt;&gt;"",$F139&lt;&gt;0),
                        SUMIF(CÁLCULO!$BS$15:$CS$244,CRONO!AE$12,CÁLCULO!$AR$15:$BR$244)/(ORÇAMENTO!$X$15-CÁLCULO.TotalAdmLocal)*CRONO!$F139,
                        0),
                 AE138*$S137),
          SUMIF(OFFSET($S139,1,0,$R137-2),($M137+1)&amp;"$",OFFSET(AE139,1,0,$R137-2)))</f>
        <v>0</v>
      </c>
      <c r="AF139" s="202" cm="1">
        <f t="array" aca="1" ref="AF139" ca="1">IF($R137=2,
         IF(AND(ACOMPANHAMENTO="PLE",ISNUMBER($F137)),
                SUMIF((OFFSET(CÁLCULO!$BS$15:$CS$15,$F137,0,OFFSET(ORÇAMENTO!$D$15,CRONO!$F137,0))),CRONO!AF$12,OFFSET(CÁLCULO!$AR$15:$BR$15,$F137,0,OFFSET(ORÇAMENTO!$D$15,CRONO!$F137,0)))
                +IF(AND($F139&lt;&gt;"",$F139&lt;&gt;0),
                        SUMIF(CÁLCULO!$BS$15:$CS$244,CRONO!AF$12,CÁLCULO!$AR$15:$BR$244)/(ORÇAMENTO!$X$15-CÁLCULO.TotalAdmLocal)*CRONO!$F139,
                        0),
                 AF138*$S137),
          SUMIF(OFFSET($S139,1,0,$R137-2),($M137+1)&amp;"$",OFFSET(AF139,1,0,$R137-2)))</f>
        <v>0</v>
      </c>
      <c r="AG139" s="202" cm="1">
        <f t="array" aca="1" ref="AG139" ca="1">IF($R137=2,
         IF(AND(ACOMPANHAMENTO="PLE",ISNUMBER($F137)),
                SUMIF((OFFSET(CÁLCULO!$BS$15:$CS$15,$F137,0,OFFSET(ORÇAMENTO!$D$15,CRONO!$F137,0))),CRONO!AG$12,OFFSET(CÁLCULO!$AR$15:$BR$15,$F137,0,OFFSET(ORÇAMENTO!$D$15,CRONO!$F137,0)))
                +IF(AND($F139&lt;&gt;"",$F139&lt;&gt;0),
                        SUMIF(CÁLCULO!$BS$15:$CS$244,CRONO!AG$12,CÁLCULO!$AR$15:$BR$244)/(ORÇAMENTO!$X$15-CÁLCULO.TotalAdmLocal)*CRONO!$F139,
                        0),
                 AG138*$S137),
          SUMIF(OFFSET($S139,1,0,$R137-2),($M137+1)&amp;"$",OFFSET(AG139,1,0,$R137-2)))</f>
        <v>0</v>
      </c>
      <c r="AH139" s="202" cm="1">
        <f t="array" aca="1" ref="AH139" ca="1">IF($R137=2,
         IF(AND(ACOMPANHAMENTO="PLE",ISNUMBER($F137)),
                SUMIF((OFFSET(CÁLCULO!$BS$15:$CS$15,$F137,0,OFFSET(ORÇAMENTO!$D$15,CRONO!$F137,0))),CRONO!AH$12,OFFSET(CÁLCULO!$AR$15:$BR$15,$F137,0,OFFSET(ORÇAMENTO!$D$15,CRONO!$F137,0)))
                +IF(AND($F139&lt;&gt;"",$F139&lt;&gt;0),
                        SUMIF(CÁLCULO!$BS$15:$CS$244,CRONO!AH$12,CÁLCULO!$AR$15:$BR$244)/(ORÇAMENTO!$X$15-CÁLCULO.TotalAdmLocal)*CRONO!$F139,
                        0),
                 AH138*$S137),
          SUMIF(OFFSET($S139,1,0,$R137-2),($M137+1)&amp;"$",OFFSET(AH139,1,0,$R137-2)))</f>
        <v>0</v>
      </c>
      <c r="AI139" s="202" cm="1">
        <f t="array" aca="1" ref="AI139" ca="1">IF($R137=2,
         IF(AND(ACOMPANHAMENTO="PLE",ISNUMBER($F137)),
                SUMIF((OFFSET(CÁLCULO!$BS$15:$CS$15,$F137,0,OFFSET(ORÇAMENTO!$D$15,CRONO!$F137,0))),CRONO!AI$12,OFFSET(CÁLCULO!$AR$15:$BR$15,$F137,0,OFFSET(ORÇAMENTO!$D$15,CRONO!$F137,0)))
                +IF(AND($F139&lt;&gt;"",$F139&lt;&gt;0),
                        SUMIF(CÁLCULO!$BS$15:$CS$244,CRONO!AI$12,CÁLCULO!$AR$15:$BR$244)/(ORÇAMENTO!$X$15-CÁLCULO.TotalAdmLocal)*CRONO!$F139,
                        0),
                 AI138*$S137),
          SUMIF(OFFSET($S139,1,0,$R137-2),($M137+1)&amp;"$",OFFSET(AI139,1,0,$R137-2)))</f>
        <v>0</v>
      </c>
      <c r="AJ139" s="202" cm="1">
        <f t="array" aca="1" ref="AJ139" ca="1">IF($R137=2,
         IF(AND(ACOMPANHAMENTO="PLE",ISNUMBER($F137)),
                SUMIF((OFFSET(CÁLCULO!$BS$15:$CS$15,$F137,0,OFFSET(ORÇAMENTO!$D$15,CRONO!$F137,0))),CRONO!AJ$12,OFFSET(CÁLCULO!$AR$15:$BR$15,$F137,0,OFFSET(ORÇAMENTO!$D$15,CRONO!$F137,0)))
                +IF(AND($F139&lt;&gt;"",$F139&lt;&gt;0),
                        SUMIF(CÁLCULO!$BS$15:$CS$244,CRONO!AJ$12,CÁLCULO!$AR$15:$BR$244)/(ORÇAMENTO!$X$15-CÁLCULO.TotalAdmLocal)*CRONO!$F139,
                        0),
                 AJ138*$S137),
          SUMIF(OFFSET($S139,1,0,$R137-2),($M137+1)&amp;"$",OFFSET(AJ139,1,0,$R137-2)))</f>
        <v>0</v>
      </c>
      <c r="AK139" s="202" cm="1">
        <f t="array" aca="1" ref="AK139" ca="1">IF($R137=2,
         IF(AND(ACOMPANHAMENTO="PLE",ISNUMBER($F137)),
                SUMIF((OFFSET(CÁLCULO!$BS$15:$CS$15,$F137,0,OFFSET(ORÇAMENTO!$D$15,CRONO!$F137,0))),CRONO!AK$12,OFFSET(CÁLCULO!$AR$15:$BR$15,$F137,0,OFFSET(ORÇAMENTO!$D$15,CRONO!$F137,0)))
                +IF(AND($F139&lt;&gt;"",$F139&lt;&gt;0),
                        SUMIF(CÁLCULO!$BS$15:$CS$244,CRONO!AK$12,CÁLCULO!$AR$15:$BR$244)/(ORÇAMENTO!$X$15-CÁLCULO.TotalAdmLocal)*CRONO!$F139,
                        0),
                 AK138*$S137),
          SUMIF(OFFSET($S139,1,0,$R137-2),($M137+1)&amp;"$",OFFSET(AK139,1,0,$R137-2)))</f>
        <v>0</v>
      </c>
      <c r="AL139" s="202" cm="1">
        <f t="array" aca="1" ref="AL139" ca="1">IF($R137=2,
         IF(AND(ACOMPANHAMENTO="PLE",ISNUMBER($F137)),
                SUMIF((OFFSET(CÁLCULO!$BS$15:$CS$15,$F137,0,OFFSET(ORÇAMENTO!$D$15,CRONO!$F137,0))),CRONO!AL$12,OFFSET(CÁLCULO!$AR$15:$BR$15,$F137,0,OFFSET(ORÇAMENTO!$D$15,CRONO!$F137,0)))
                +IF(AND($F139&lt;&gt;"",$F139&lt;&gt;0),
                        SUMIF(CÁLCULO!$BS$15:$CS$244,CRONO!AL$12,CÁLCULO!$AR$15:$BR$244)/(ORÇAMENTO!$X$15-CÁLCULO.TotalAdmLocal)*CRONO!$F139,
                        0),
                 AL138*$S137),
          SUMIF(OFFSET($S139,1,0,$R137-2),($M137+1)&amp;"$",OFFSET(AL139,1,0,$R137-2)))</f>
        <v>0</v>
      </c>
      <c r="AM139" s="202" cm="1">
        <f t="array" aca="1" ref="AM139" ca="1">IF($R137=2,
         IF(AND(ACOMPANHAMENTO="PLE",ISNUMBER($F137)),
                SUMIF((OFFSET(CÁLCULO!$BS$15:$CS$15,$F137,0,OFFSET(ORÇAMENTO!$D$15,CRONO!$F137,0))),CRONO!AM$12,OFFSET(CÁLCULO!$AR$15:$BR$15,$F137,0,OFFSET(ORÇAMENTO!$D$15,CRONO!$F137,0)))
                +IF(AND($F139&lt;&gt;"",$F139&lt;&gt;0),
                        SUMIF(CÁLCULO!$BS$15:$CS$244,CRONO!AM$12,CÁLCULO!$AR$15:$BR$244)/(ORÇAMENTO!$X$15-CÁLCULO.TotalAdmLocal)*CRONO!$F139,
                        0),
                 AM138*$S137),
          SUMIF(OFFSET($S139,1,0,$R137-2),($M137+1)&amp;"$",OFFSET(AM139,1,0,$R137-2)))</f>
        <v>0</v>
      </c>
      <c r="AN139" s="202" cm="1">
        <f t="array" aca="1" ref="AN139" ca="1">IF($R137=2,
         IF(AND(ACOMPANHAMENTO="PLE",ISNUMBER($F137)),
                SUMIF((OFFSET(CÁLCULO!$BS$15:$CS$15,$F137,0,OFFSET(ORÇAMENTO!$D$15,CRONO!$F137,0))),CRONO!AN$12,OFFSET(CÁLCULO!$AR$15:$BR$15,$F137,0,OFFSET(ORÇAMENTO!$D$15,CRONO!$F137,0)))
                +IF(AND($F139&lt;&gt;"",$F139&lt;&gt;0),
                        SUMIF(CÁLCULO!$BS$15:$CS$244,CRONO!AN$12,CÁLCULO!$AR$15:$BR$244)/(ORÇAMENTO!$X$15-CÁLCULO.TotalAdmLocal)*CRONO!$F139,
                        0),
                 AN138*$S137),
          SUMIF(OFFSET($S139,1,0,$R137-2),($M137+1)&amp;"$",OFFSET(AN139,1,0,$R137-2)))</f>
        <v>0</v>
      </c>
      <c r="AO139" s="202" cm="1">
        <f t="array" aca="1" ref="AO139" ca="1">IF($R137=2,
         IF(AND(ACOMPANHAMENTO="PLE",ISNUMBER($F137)),
                SUMIF((OFFSET(CÁLCULO!$BS$15:$CS$15,$F137,0,OFFSET(ORÇAMENTO!$D$15,CRONO!$F137,0))),CRONO!AO$12,OFFSET(CÁLCULO!$AR$15:$BR$15,$F137,0,OFFSET(ORÇAMENTO!$D$15,CRONO!$F137,0)))
                +IF(AND($F139&lt;&gt;"",$F139&lt;&gt;0),
                        SUMIF(CÁLCULO!$BS$15:$CS$244,CRONO!AO$12,CÁLCULO!$AR$15:$BR$244)/(ORÇAMENTO!$X$15-CÁLCULO.TotalAdmLocal)*CRONO!$F139,
                        0),
                 AO138*$S137),
          SUMIF(OFFSET($S139,1,0,$R137-2),($M137+1)&amp;"$",OFFSET(AO139,1,0,$R137-2)))</f>
        <v>0</v>
      </c>
      <c r="AP139" s="202" cm="1">
        <f t="array" aca="1" ref="AP139" ca="1">IF($R137=2,
         IF(AND(ACOMPANHAMENTO="PLE",ISNUMBER($F137)),
                SUMIF((OFFSET(CÁLCULO!$BS$15:$CS$15,$F137,0,OFFSET(ORÇAMENTO!$D$15,CRONO!$F137,0))),CRONO!AP$12,OFFSET(CÁLCULO!$AR$15:$BR$15,$F137,0,OFFSET(ORÇAMENTO!$D$15,CRONO!$F137,0)))
                +IF(AND($F139&lt;&gt;"",$F139&lt;&gt;0),
                        SUMIF(CÁLCULO!$BS$15:$CS$244,CRONO!AP$12,CÁLCULO!$AR$15:$BR$244)/(ORÇAMENTO!$X$15-CÁLCULO.TotalAdmLocal)*CRONO!$F139,
                        0),
                 AP138*$S137),
          SUMIF(OFFSET($S139,1,0,$R137-2),($M137+1)&amp;"$",OFFSET(AP139,1,0,$R137-2)))</f>
        <v>0</v>
      </c>
      <c r="AQ139" s="202" cm="1">
        <f t="array" aca="1" ref="AQ139" ca="1">IF($R137=2,
         IF(AND(ACOMPANHAMENTO="PLE",ISNUMBER($F137)),
                SUMIF((OFFSET(CÁLCULO!$BS$15:$CS$15,$F137,0,OFFSET(ORÇAMENTO!$D$15,CRONO!$F137,0))),CRONO!AQ$12,OFFSET(CÁLCULO!$AR$15:$BR$15,$F137,0,OFFSET(ORÇAMENTO!$D$15,CRONO!$F137,0)))
                +IF(AND($F139&lt;&gt;"",$F139&lt;&gt;0),
                        SUMIF(CÁLCULO!$BS$15:$CS$244,CRONO!AQ$12,CÁLCULO!$AR$15:$BR$244)/(ORÇAMENTO!$X$15-CÁLCULO.TotalAdmLocal)*CRONO!$F139,
                        0),
                 AQ138*$S137),
          SUMIF(OFFSET($S139,1,0,$R137-2),($M137+1)&amp;"$",OFFSET(AQ139,1,0,$R137-2)))</f>
        <v>0</v>
      </c>
      <c r="AR139" s="202" cm="1">
        <f t="array" aca="1" ref="AR139" ca="1">IF($R137=2,
         IF(AND(ACOMPANHAMENTO="PLE",ISNUMBER($F137)),
                SUMIF((OFFSET(CÁLCULO!$BS$15:$CS$15,$F137,0,OFFSET(ORÇAMENTO!$D$15,CRONO!$F137,0))),CRONO!AR$12,OFFSET(CÁLCULO!$AR$15:$BR$15,$F137,0,OFFSET(ORÇAMENTO!$D$15,CRONO!$F137,0)))
                +IF(AND($F139&lt;&gt;"",$F139&lt;&gt;0),
                        SUMIF(CÁLCULO!$BS$15:$CS$244,CRONO!AR$12,CÁLCULO!$AR$15:$BR$244)/(ORÇAMENTO!$X$15-CÁLCULO.TotalAdmLocal)*CRONO!$F139,
                        0),
                 AR138*$S137),
          SUMIF(OFFSET($S139,1,0,$R137-2),($M137+1)&amp;"$",OFFSET(AR139,1,0,$R137-2)))</f>
        <v>0</v>
      </c>
      <c r="AS139" s="534"/>
    </row>
    <row r="140" spans="1:45" x14ac:dyDescent="0.2">
      <c r="A140" s="186" t="e">
        <f t="shared" ref="A140" ca="1" si="254">IF($M140&gt;1,_xlfn.CONCAT($I140," ",$J140),"")</f>
        <v>#NAME?</v>
      </c>
      <c r="B140" s="185">
        <f t="shared" ref="B140" ca="1" si="255">OFFSET(B140,-3,0)+1</f>
        <v>43</v>
      </c>
      <c r="C140" s="185">
        <f ca="1">IF($R140&lt;&gt;2,0,IF($S140=0,1,IF(F141&gt;0,OFFSET(QCI!$M$13,SUBSTITUTE(F141,".",""),0),OFFSET(ORÇAMENTO!$AA$15,CRONO!$F140,0))/$S140))</f>
        <v>1</v>
      </c>
      <c r="D140" s="185">
        <f ca="1">IF($R140&lt;&gt;2,0,IF($S140=0,1,IF(F141&gt;0,OFFSET(QCI!$N$13,SUBSTITUTE(F141,".",""),0),OFFSET(ORÇAMENTO!$AB$15,CRONO!$F140,0))/$S140))</f>
        <v>1</v>
      </c>
      <c r="E140" s="188" t="e" cm="1">
        <f t="array" aca="1" ref="E140" ca="1">IF(AND($R140=2,ACOMPANHAMENTO="BM"),ROUND(E141,4),E142/$S140)</f>
        <v>#DIV/0!</v>
      </c>
      <c r="F140" s="185" cm="1">
        <f t="array" aca="1" ref="F140" ca="1">IF(B140&lt;=ORÇAMENTO.MáximoListaCrono,MATCH(B140,ORÇAMENTO.ListaCrono,0),NA())</f>
        <v>202</v>
      </c>
      <c r="G140" s="185" t="str">
        <f t="shared" ref="G140" ca="1" si="256">IF(AND($F141&lt;&gt;-1,$S140&gt;0),"F","")</f>
        <v/>
      </c>
      <c r="H140" s="189" t="str" cm="1">
        <f t="array" aca="1" ref="H140" ca="1">IF(OR(S140=0,S140=""),"Linha",IF(AND(OR(ACOMPANHAMENTO="PLE",$R140&lt;&gt;2),$F141=0),"Linha",ROUND(1-SUM(U140:AS140),4)))</f>
        <v>Linha</v>
      </c>
      <c r="I140" s="190" t="str">
        <f ca="1">IF($F141=0,OFFSET(ORÇAMENTO!O$15,$F140,0),IF($F141&lt;&gt;-1,OFFSET(QCI!$D$13,$F141,0),""))</f>
        <v>9.3.2.</v>
      </c>
      <c r="J140" s="191" t="str">
        <f ca="1">IF($F141=0,OFFSET(ORÇAMENTO!R$15,$F140,0),IF($F141&lt;&gt;-1,OFFSET(QCI!$G$13,$F141,0),""))</f>
        <v>ACESSÓRIOS / CAIXAS SANITÁRIAS</v>
      </c>
      <c r="K140" s="191"/>
      <c r="L140" s="191"/>
      <c r="M140" s="192">
        <f ca="1">IF($F141=0,OFFSET(ORÇAMENTO!C$15,$F140,0),1)</f>
        <v>3</v>
      </c>
      <c r="N140" s="193">
        <f ca="1">IF($F141=-1,0,IF(N$13&lt;=$M140,IF(ISERROR(MATCH(N$13,OFFSET($M140,1,0,ROW($M$164)-ROW($M140)-1),0)),ROW($M$164)-ROW($M140)-1,MATCH(N$13,OFFSET($M140,1,0,ROW($M$164)-ROW($M140)-1),0)-1),0))</f>
        <v>5</v>
      </c>
      <c r="O140" s="193">
        <f ca="1">IF($F141=-1,0,IF(O$13&lt;=$M140,IF(ISERROR(MATCH(O$13,OFFSET($M140,1,0,ROW($M$164)-ROW($M140)-1),0)),ROW($M$164)-ROW($M140)-1,MATCH(O$13,OFFSET($M140,1,0,ROW($M$164)-ROW($M140)-1),0)-1),0))</f>
        <v>8</v>
      </c>
      <c r="P140" s="193">
        <f ca="1">IF($F141=-1,0,IF(P$13&lt;=$M140,IF(ISERROR(MATCH(P$13,OFFSET($M140,1,0,ROW($M$164)-ROW($M140)-1),0)),ROW($M$164)-ROW($M140)-1,MATCH(P$13,OFFSET($M140,1,0,ROW($M$164)-ROW($M140)-1),0)-1),0))</f>
        <v>2</v>
      </c>
      <c r="Q140" s="193">
        <f ca="1">IF($F141=-1,0,IF(Q$13&lt;=$M140,IF(ISERROR(MATCH(Q$13,OFFSET($M140,1,0,ROW($M$164)-ROW($M140)-1),0)),ROW($M$164)-ROW($M140)-1,MATCH(Q$13,OFFSET($M140,1,0,ROW($M$164)-ROW($M140)-1),0)-1),0))</f>
        <v>0</v>
      </c>
      <c r="R140" s="193">
        <f t="shared" ref="R140" ca="1" si="257">MIN(OFFSET(M140,0,1,,M140))</f>
        <v>2</v>
      </c>
      <c r="S140" s="194">
        <f ca="1">IF($F141=0,OFFSET(ORÇAMENTO!X$15,$F140,0),IF($F141&lt;&gt;-1,OFFSET(QCI!$O$13,$F141,0),""))</f>
        <v>0</v>
      </c>
      <c r="T140" s="195" t="s">
        <v>785</v>
      </c>
      <c r="U140" s="188" t="e" cm="1">
        <f t="array" aca="1" ref="U140" ca="1">IF(AND($R140=2,ACOMPANHAMENTO="BM"),ROUND(U141,4),U142/$S140)</f>
        <v>#DIV/0!</v>
      </c>
      <c r="V140" s="188" t="e" cm="1">
        <f t="array" aca="1" ref="V140" ca="1">IF(AND($R140=2,ACOMPANHAMENTO="BM"),ROUND(V141,4),V142/$S140)</f>
        <v>#DIV/0!</v>
      </c>
      <c r="W140" s="188" t="e" cm="1">
        <f t="array" aca="1" ref="W140" ca="1">IF(AND($R140=2,ACOMPANHAMENTO="BM"),ROUND(W141,4),W142/$S140)</f>
        <v>#DIV/0!</v>
      </c>
      <c r="X140" s="188" t="e" cm="1">
        <f t="array" aca="1" ref="X140" ca="1">IF(AND($R140=2,ACOMPANHAMENTO="BM"),ROUND(X141,4),X142/$S140)</f>
        <v>#DIV/0!</v>
      </c>
      <c r="Y140" s="188" t="e" cm="1">
        <f t="array" aca="1" ref="Y140" ca="1">IF(AND($R140=2,ACOMPANHAMENTO="BM"),ROUND(Y141,4),Y142/$S140)</f>
        <v>#DIV/0!</v>
      </c>
      <c r="Z140" s="188" t="e" cm="1">
        <f t="array" aca="1" ref="Z140" ca="1">IF(AND($R140=2,ACOMPANHAMENTO="BM"),ROUND(Z141,4),Z142/$S140)</f>
        <v>#DIV/0!</v>
      </c>
      <c r="AA140" s="188" t="e" cm="1">
        <f t="array" aca="1" ref="AA140" ca="1">IF(AND($R140=2,ACOMPANHAMENTO="BM"),ROUND(AA141,4),AA142/$S140)</f>
        <v>#DIV/0!</v>
      </c>
      <c r="AB140" s="188" t="e" cm="1">
        <f t="array" aca="1" ref="AB140" ca="1">IF(AND($R140=2,ACOMPANHAMENTO="BM"),ROUND(AB141,4),AB142/$S140)</f>
        <v>#DIV/0!</v>
      </c>
      <c r="AC140" s="188" t="e" cm="1">
        <f t="array" aca="1" ref="AC140" ca="1">IF(AND($R140=2,ACOMPANHAMENTO="BM"),ROUND(AC141,4),AC142/$S140)</f>
        <v>#DIV/0!</v>
      </c>
      <c r="AD140" s="188" t="e" cm="1">
        <f t="array" aca="1" ref="AD140" ca="1">IF(AND($R140=2,ACOMPANHAMENTO="BM"),ROUND(AD141,4),AD142/$S140)</f>
        <v>#DIV/0!</v>
      </c>
      <c r="AE140" s="188" t="e" cm="1">
        <f t="array" aca="1" ref="AE140" ca="1">IF(AND($R140=2,ACOMPANHAMENTO="BM"),ROUND(AE141,4),AE142/$S140)</f>
        <v>#DIV/0!</v>
      </c>
      <c r="AF140" s="188" t="e" cm="1">
        <f t="array" aca="1" ref="AF140" ca="1">IF(AND($R140=2,ACOMPANHAMENTO="BM"),ROUND(AF141,4),AF142/$S140)</f>
        <v>#DIV/0!</v>
      </c>
      <c r="AG140" s="188" t="e" cm="1">
        <f t="array" aca="1" ref="AG140" ca="1">IF(AND($R140=2,ACOMPANHAMENTO="BM"),ROUND(AG141,4),AG142/$S140)</f>
        <v>#DIV/0!</v>
      </c>
      <c r="AH140" s="188" t="e" cm="1">
        <f t="array" aca="1" ref="AH140" ca="1">IF(AND($R140=2,ACOMPANHAMENTO="BM"),ROUND(AH141,4),AH142/$S140)</f>
        <v>#DIV/0!</v>
      </c>
      <c r="AI140" s="188" t="e" cm="1">
        <f t="array" aca="1" ref="AI140" ca="1">IF(AND($R140=2,ACOMPANHAMENTO="BM"),ROUND(AI141,4),AI142/$S140)</f>
        <v>#DIV/0!</v>
      </c>
      <c r="AJ140" s="188" t="e" cm="1">
        <f t="array" aca="1" ref="AJ140" ca="1">IF(AND($R140=2,ACOMPANHAMENTO="BM"),ROUND(AJ141,4),AJ142/$S140)</f>
        <v>#DIV/0!</v>
      </c>
      <c r="AK140" s="188" t="e" cm="1">
        <f t="array" aca="1" ref="AK140" ca="1">IF(AND($R140=2,ACOMPANHAMENTO="BM"),ROUND(AK141,4),AK142/$S140)</f>
        <v>#DIV/0!</v>
      </c>
      <c r="AL140" s="188" t="e" cm="1">
        <f t="array" aca="1" ref="AL140" ca="1">IF(AND($R140=2,ACOMPANHAMENTO="BM"),ROUND(AL141,4),AL142/$S140)</f>
        <v>#DIV/0!</v>
      </c>
      <c r="AM140" s="188" t="e" cm="1">
        <f t="array" aca="1" ref="AM140" ca="1">IF(AND($R140=2,ACOMPANHAMENTO="BM"),ROUND(AM141,4),AM142/$S140)</f>
        <v>#DIV/0!</v>
      </c>
      <c r="AN140" s="188" t="e" cm="1">
        <f t="array" aca="1" ref="AN140" ca="1">IF(AND($R140=2,ACOMPANHAMENTO="BM"),ROUND(AN141,4),AN142/$S140)</f>
        <v>#DIV/0!</v>
      </c>
      <c r="AO140" s="188" t="e" cm="1">
        <f t="array" aca="1" ref="AO140" ca="1">IF(AND($R140=2,ACOMPANHAMENTO="BM"),ROUND(AO141,4),AO142/$S140)</f>
        <v>#DIV/0!</v>
      </c>
      <c r="AP140" s="188" t="e" cm="1">
        <f t="array" aca="1" ref="AP140" ca="1">IF(AND($R140=2,ACOMPANHAMENTO="BM"),ROUND(AP141,4),AP142/$S140)</f>
        <v>#DIV/0!</v>
      </c>
      <c r="AQ140" s="188" t="e" cm="1">
        <f t="array" aca="1" ref="AQ140" ca="1">IF(AND($R140=2,ACOMPANHAMENTO="BM"),ROUND(AQ141,4),AQ142/$S140)</f>
        <v>#DIV/0!</v>
      </c>
      <c r="AR140" s="188" t="e" cm="1">
        <f t="array" aca="1" ref="AR140" ca="1">IF(AND($R140=2,ACOMPANHAMENTO="BM"),ROUND(AR141,4),AR142/$S140)</f>
        <v>#DIV/0!</v>
      </c>
      <c r="AS140" s="534"/>
    </row>
    <row r="141" spans="1:45" ht="12.75" hidden="1" customHeight="1" x14ac:dyDescent="0.2">
      <c r="E141" s="587"/>
      <c r="F141" s="185">
        <f ca="1">IF(ISERROR(F140),IF(1+COUNTIF($M$13:OFFSET(M140,-1,0),1)&lt;=MAX(QCI!$D$13:$D$24),1+COUNTIF($M$13:OFFSET(M140,-1,0),1),-1),0)</f>
        <v>0</v>
      </c>
      <c r="G141" s="185" t="str" cm="1">
        <f t="array" aca="1" ref="G141" ca="1">IF(ACOMPANHAMENTO="BM",OFFSET(G141,-1,0),"")</f>
        <v/>
      </c>
      <c r="H141" s="196" t="str" cm="1">
        <f t="array" aca="1" ref="H141" ca="1">IF(OR(S140=0,S140=""),"vazia",IF(AND(OR(ACOMPANHAMENTO="PLE",$R140&lt;&gt;2),$F141=0),"calculada","--&gt;"))</f>
        <v>vazia</v>
      </c>
      <c r="I141" s="197"/>
      <c r="J141" s="198" t="str">
        <f t="shared" ref="J141" ca="1" si="258">IF(AND(H140&lt;&gt;0,ISNUMBER(H140)),"PREENCHA ESTA LINHA --&gt;","")</f>
        <v/>
      </c>
      <c r="K141" s="198"/>
      <c r="L141" s="198"/>
      <c r="M141" s="199"/>
      <c r="N141" s="199"/>
      <c r="O141" s="199"/>
      <c r="P141" s="199"/>
      <c r="Q141" s="199"/>
      <c r="R141" s="199"/>
      <c r="S141" s="200"/>
      <c r="T141" s="201"/>
      <c r="U141" s="587"/>
      <c r="V141" s="587"/>
      <c r="W141" s="587"/>
      <c r="X141" s="587"/>
      <c r="Y141" s="587"/>
      <c r="Z141" s="587"/>
      <c r="AA141" s="587"/>
      <c r="AB141" s="587"/>
      <c r="AC141" s="587"/>
      <c r="AD141" s="587"/>
      <c r="AE141" s="587"/>
      <c r="AF141" s="587"/>
      <c r="AG141" s="587"/>
      <c r="AH141" s="587"/>
      <c r="AI141" s="587"/>
      <c r="AJ141" s="587"/>
      <c r="AK141" s="587"/>
      <c r="AL141" s="587"/>
      <c r="AM141" s="587"/>
      <c r="AN141" s="587"/>
      <c r="AO141" s="587"/>
      <c r="AP141" s="587"/>
      <c r="AQ141" s="587"/>
      <c r="AR141" s="587"/>
      <c r="AS141" s="534"/>
    </row>
    <row r="142" spans="1:45" ht="12.75" hidden="1" customHeight="1" x14ac:dyDescent="0.2">
      <c r="D142" s="533"/>
      <c r="E142" s="202" cm="1">
        <f t="array" aca="1" ref="E142" ca="1">IF($R140=2,
         IF(AND(ACOMPANHAMENTO="PLE",ISNUMBER($F140)),
                SUMIF((OFFSET(CÁLCULO!$BS$15:$CS$15,$F140,0,OFFSET(ORÇAMENTO!$D$15,CRONO!$F140,0))),CRONO!E$12,OFFSET(CÁLCULO!$AR$15:$BR$15,$F140,0,OFFSET(ORÇAMENTO!$D$15,CRONO!$F140,0)))
                +IF(AND($F142&lt;&gt;"",$F142&lt;&gt;0),
                        SUMIF(CÁLCULO!$BS$15:$CS$244,CRONO!E$12,CÁLCULO!$AR$15:$BR$244)/(ORÇAMENTO!$X$15-CÁLCULO.TotalAdmLocal)*CRONO!$F142,
                        0),
                 E141*$S140),
          SUMIF(OFFSET($S142,1,0,$R140-2),($M140+1)&amp;"$",OFFSET(E142,1,0,$R140-2)))</f>
        <v>0</v>
      </c>
      <c r="F142" s="185">
        <f ca="1">IF(OR($R140&lt;&gt;2,AUTOEVENTO&lt;&gt;"manual",$F141&gt;0),"",
        IF(Import.TipoArredondamento="Tradicional",
              SUMIF(OFFSET(CÁLCULO!$M$15,CRONO!$F140,0,OFFSET(ORÇAMENTO!$D$15,CRONO!$F140,0)),1,OFFSET(ORÇAMENTO!$X$15,CRONO!$F140,0,OFFSET(ORÇAMENTO!$D$15,CRONO!$F140,0))),
              0))</f>
        <v>0</v>
      </c>
      <c r="H142" s="203"/>
      <c r="S142" s="204" t="str">
        <f t="shared" ref="S142" ca="1" si="259">M140&amp;"$"</f>
        <v>3$</v>
      </c>
      <c r="T142" s="205"/>
      <c r="U142" s="202" cm="1">
        <f t="array" aca="1" ref="U142" ca="1">IF($R140=2,
         IF(AND(ACOMPANHAMENTO="PLE",ISNUMBER($F140)),
                SUMIF((OFFSET(CÁLCULO!$BS$15:$CS$15,$F140,0,OFFSET(ORÇAMENTO!$D$15,CRONO!$F140,0))),CRONO!U$12,OFFSET(CÁLCULO!$AR$15:$BR$15,$F140,0,OFFSET(ORÇAMENTO!$D$15,CRONO!$F140,0)))
                +IF(AND($F142&lt;&gt;"",$F142&lt;&gt;0),
                        SUMIF(CÁLCULO!$BS$15:$CS$244,CRONO!U$12,CÁLCULO!$AR$15:$BR$244)/(ORÇAMENTO!$X$15-CÁLCULO.TotalAdmLocal)*CRONO!$F142,
                        0),
                 U141*$S140),
          SUMIF(OFFSET($S142,1,0,$R140-2),($M140+1)&amp;"$",OFFSET(U142,1,0,$R140-2)))</f>
        <v>0</v>
      </c>
      <c r="V142" s="202" cm="1">
        <f t="array" aca="1" ref="V142" ca="1">IF($R140=2,
         IF(AND(ACOMPANHAMENTO="PLE",ISNUMBER($F140)),
                SUMIF((OFFSET(CÁLCULO!$BS$15:$CS$15,$F140,0,OFFSET(ORÇAMENTO!$D$15,CRONO!$F140,0))),CRONO!V$12,OFFSET(CÁLCULO!$AR$15:$BR$15,$F140,0,OFFSET(ORÇAMENTO!$D$15,CRONO!$F140,0)))
                +IF(AND($F142&lt;&gt;"",$F142&lt;&gt;0),
                        SUMIF(CÁLCULO!$BS$15:$CS$244,CRONO!V$12,CÁLCULO!$AR$15:$BR$244)/(ORÇAMENTO!$X$15-CÁLCULO.TotalAdmLocal)*CRONO!$F142,
                        0),
                 V141*$S140),
          SUMIF(OFFSET($S142,1,0,$R140-2),($M140+1)&amp;"$",OFFSET(V142,1,0,$R140-2)))</f>
        <v>0</v>
      </c>
      <c r="W142" s="202" cm="1">
        <f t="array" aca="1" ref="W142" ca="1">IF($R140=2,
         IF(AND(ACOMPANHAMENTO="PLE",ISNUMBER($F140)),
                SUMIF((OFFSET(CÁLCULO!$BS$15:$CS$15,$F140,0,OFFSET(ORÇAMENTO!$D$15,CRONO!$F140,0))),CRONO!W$12,OFFSET(CÁLCULO!$AR$15:$BR$15,$F140,0,OFFSET(ORÇAMENTO!$D$15,CRONO!$F140,0)))
                +IF(AND($F142&lt;&gt;"",$F142&lt;&gt;0),
                        SUMIF(CÁLCULO!$BS$15:$CS$244,CRONO!W$12,CÁLCULO!$AR$15:$BR$244)/(ORÇAMENTO!$X$15-CÁLCULO.TotalAdmLocal)*CRONO!$F142,
                        0),
                 W141*$S140),
          SUMIF(OFFSET($S142,1,0,$R140-2),($M140+1)&amp;"$",OFFSET(W142,1,0,$R140-2)))</f>
        <v>0</v>
      </c>
      <c r="X142" s="202" cm="1">
        <f t="array" aca="1" ref="X142" ca="1">IF($R140=2,
         IF(AND(ACOMPANHAMENTO="PLE",ISNUMBER($F140)),
                SUMIF((OFFSET(CÁLCULO!$BS$15:$CS$15,$F140,0,OFFSET(ORÇAMENTO!$D$15,CRONO!$F140,0))),CRONO!X$12,OFFSET(CÁLCULO!$AR$15:$BR$15,$F140,0,OFFSET(ORÇAMENTO!$D$15,CRONO!$F140,0)))
                +IF(AND($F142&lt;&gt;"",$F142&lt;&gt;0),
                        SUMIF(CÁLCULO!$BS$15:$CS$244,CRONO!X$12,CÁLCULO!$AR$15:$BR$244)/(ORÇAMENTO!$X$15-CÁLCULO.TotalAdmLocal)*CRONO!$F142,
                        0),
                 X141*$S140),
          SUMIF(OFFSET($S142,1,0,$R140-2),($M140+1)&amp;"$",OFFSET(X142,1,0,$R140-2)))</f>
        <v>0</v>
      </c>
      <c r="Y142" s="202" cm="1">
        <f t="array" aca="1" ref="Y142" ca="1">IF($R140=2,
         IF(AND(ACOMPANHAMENTO="PLE",ISNUMBER($F140)),
                SUMIF((OFFSET(CÁLCULO!$BS$15:$CS$15,$F140,0,OFFSET(ORÇAMENTO!$D$15,CRONO!$F140,0))),CRONO!Y$12,OFFSET(CÁLCULO!$AR$15:$BR$15,$F140,0,OFFSET(ORÇAMENTO!$D$15,CRONO!$F140,0)))
                +IF(AND($F142&lt;&gt;"",$F142&lt;&gt;0),
                        SUMIF(CÁLCULO!$BS$15:$CS$244,CRONO!Y$12,CÁLCULO!$AR$15:$BR$244)/(ORÇAMENTO!$X$15-CÁLCULO.TotalAdmLocal)*CRONO!$F142,
                        0),
                 Y141*$S140),
          SUMIF(OFFSET($S142,1,0,$R140-2),($M140+1)&amp;"$",OFFSET(Y142,1,0,$R140-2)))</f>
        <v>0</v>
      </c>
      <c r="Z142" s="202" cm="1">
        <f t="array" aca="1" ref="Z142" ca="1">IF($R140=2,
         IF(AND(ACOMPANHAMENTO="PLE",ISNUMBER($F140)),
                SUMIF((OFFSET(CÁLCULO!$BS$15:$CS$15,$F140,0,OFFSET(ORÇAMENTO!$D$15,CRONO!$F140,0))),CRONO!Z$12,OFFSET(CÁLCULO!$AR$15:$BR$15,$F140,0,OFFSET(ORÇAMENTO!$D$15,CRONO!$F140,0)))
                +IF(AND($F142&lt;&gt;"",$F142&lt;&gt;0),
                        SUMIF(CÁLCULO!$BS$15:$CS$244,CRONO!Z$12,CÁLCULO!$AR$15:$BR$244)/(ORÇAMENTO!$X$15-CÁLCULO.TotalAdmLocal)*CRONO!$F142,
                        0),
                 Z141*$S140),
          SUMIF(OFFSET($S142,1,0,$R140-2),($M140+1)&amp;"$",OFFSET(Z142,1,0,$R140-2)))</f>
        <v>0</v>
      </c>
      <c r="AA142" s="202" cm="1">
        <f t="array" aca="1" ref="AA142" ca="1">IF($R140=2,
         IF(AND(ACOMPANHAMENTO="PLE",ISNUMBER($F140)),
                SUMIF((OFFSET(CÁLCULO!$BS$15:$CS$15,$F140,0,OFFSET(ORÇAMENTO!$D$15,CRONO!$F140,0))),CRONO!AA$12,OFFSET(CÁLCULO!$AR$15:$BR$15,$F140,0,OFFSET(ORÇAMENTO!$D$15,CRONO!$F140,0)))
                +IF(AND($F142&lt;&gt;"",$F142&lt;&gt;0),
                        SUMIF(CÁLCULO!$BS$15:$CS$244,CRONO!AA$12,CÁLCULO!$AR$15:$BR$244)/(ORÇAMENTO!$X$15-CÁLCULO.TotalAdmLocal)*CRONO!$F142,
                        0),
                 AA141*$S140),
          SUMIF(OFFSET($S142,1,0,$R140-2),($M140+1)&amp;"$",OFFSET(AA142,1,0,$R140-2)))</f>
        <v>0</v>
      </c>
      <c r="AB142" s="202" cm="1">
        <f t="array" aca="1" ref="AB142" ca="1">IF($R140=2,
         IF(AND(ACOMPANHAMENTO="PLE",ISNUMBER($F140)),
                SUMIF((OFFSET(CÁLCULO!$BS$15:$CS$15,$F140,0,OFFSET(ORÇAMENTO!$D$15,CRONO!$F140,0))),CRONO!AB$12,OFFSET(CÁLCULO!$AR$15:$BR$15,$F140,0,OFFSET(ORÇAMENTO!$D$15,CRONO!$F140,0)))
                +IF(AND($F142&lt;&gt;"",$F142&lt;&gt;0),
                        SUMIF(CÁLCULO!$BS$15:$CS$244,CRONO!AB$12,CÁLCULO!$AR$15:$BR$244)/(ORÇAMENTO!$X$15-CÁLCULO.TotalAdmLocal)*CRONO!$F142,
                        0),
                 AB141*$S140),
          SUMIF(OFFSET($S142,1,0,$R140-2),($M140+1)&amp;"$",OFFSET(AB142,1,0,$R140-2)))</f>
        <v>0</v>
      </c>
      <c r="AC142" s="202" cm="1">
        <f t="array" aca="1" ref="AC142" ca="1">IF($R140=2,
         IF(AND(ACOMPANHAMENTO="PLE",ISNUMBER($F140)),
                SUMIF((OFFSET(CÁLCULO!$BS$15:$CS$15,$F140,0,OFFSET(ORÇAMENTO!$D$15,CRONO!$F140,0))),CRONO!AC$12,OFFSET(CÁLCULO!$AR$15:$BR$15,$F140,0,OFFSET(ORÇAMENTO!$D$15,CRONO!$F140,0)))
                +IF(AND($F142&lt;&gt;"",$F142&lt;&gt;0),
                        SUMIF(CÁLCULO!$BS$15:$CS$244,CRONO!AC$12,CÁLCULO!$AR$15:$BR$244)/(ORÇAMENTO!$X$15-CÁLCULO.TotalAdmLocal)*CRONO!$F142,
                        0),
                 AC141*$S140),
          SUMIF(OFFSET($S142,1,0,$R140-2),($M140+1)&amp;"$",OFFSET(AC142,1,0,$R140-2)))</f>
        <v>0</v>
      </c>
      <c r="AD142" s="202" cm="1">
        <f t="array" aca="1" ref="AD142" ca="1">IF($R140=2,
         IF(AND(ACOMPANHAMENTO="PLE",ISNUMBER($F140)),
                SUMIF((OFFSET(CÁLCULO!$BS$15:$CS$15,$F140,0,OFFSET(ORÇAMENTO!$D$15,CRONO!$F140,0))),CRONO!AD$12,OFFSET(CÁLCULO!$AR$15:$BR$15,$F140,0,OFFSET(ORÇAMENTO!$D$15,CRONO!$F140,0)))
                +IF(AND($F142&lt;&gt;"",$F142&lt;&gt;0),
                        SUMIF(CÁLCULO!$BS$15:$CS$244,CRONO!AD$12,CÁLCULO!$AR$15:$BR$244)/(ORÇAMENTO!$X$15-CÁLCULO.TotalAdmLocal)*CRONO!$F142,
                        0),
                 AD141*$S140),
          SUMIF(OFFSET($S142,1,0,$R140-2),($M140+1)&amp;"$",OFFSET(AD142,1,0,$R140-2)))</f>
        <v>0</v>
      </c>
      <c r="AE142" s="202" cm="1">
        <f t="array" aca="1" ref="AE142" ca="1">IF($R140=2,
         IF(AND(ACOMPANHAMENTO="PLE",ISNUMBER($F140)),
                SUMIF((OFFSET(CÁLCULO!$BS$15:$CS$15,$F140,0,OFFSET(ORÇAMENTO!$D$15,CRONO!$F140,0))),CRONO!AE$12,OFFSET(CÁLCULO!$AR$15:$BR$15,$F140,0,OFFSET(ORÇAMENTO!$D$15,CRONO!$F140,0)))
                +IF(AND($F142&lt;&gt;"",$F142&lt;&gt;0),
                        SUMIF(CÁLCULO!$BS$15:$CS$244,CRONO!AE$12,CÁLCULO!$AR$15:$BR$244)/(ORÇAMENTO!$X$15-CÁLCULO.TotalAdmLocal)*CRONO!$F142,
                        0),
                 AE141*$S140),
          SUMIF(OFFSET($S142,1,0,$R140-2),($M140+1)&amp;"$",OFFSET(AE142,1,0,$R140-2)))</f>
        <v>0</v>
      </c>
      <c r="AF142" s="202" cm="1">
        <f t="array" aca="1" ref="AF142" ca="1">IF($R140=2,
         IF(AND(ACOMPANHAMENTO="PLE",ISNUMBER($F140)),
                SUMIF((OFFSET(CÁLCULO!$BS$15:$CS$15,$F140,0,OFFSET(ORÇAMENTO!$D$15,CRONO!$F140,0))),CRONO!AF$12,OFFSET(CÁLCULO!$AR$15:$BR$15,$F140,0,OFFSET(ORÇAMENTO!$D$15,CRONO!$F140,0)))
                +IF(AND($F142&lt;&gt;"",$F142&lt;&gt;0),
                        SUMIF(CÁLCULO!$BS$15:$CS$244,CRONO!AF$12,CÁLCULO!$AR$15:$BR$244)/(ORÇAMENTO!$X$15-CÁLCULO.TotalAdmLocal)*CRONO!$F142,
                        0),
                 AF141*$S140),
          SUMIF(OFFSET($S142,1,0,$R140-2),($M140+1)&amp;"$",OFFSET(AF142,1,0,$R140-2)))</f>
        <v>0</v>
      </c>
      <c r="AG142" s="202" cm="1">
        <f t="array" aca="1" ref="AG142" ca="1">IF($R140=2,
         IF(AND(ACOMPANHAMENTO="PLE",ISNUMBER($F140)),
                SUMIF((OFFSET(CÁLCULO!$BS$15:$CS$15,$F140,0,OFFSET(ORÇAMENTO!$D$15,CRONO!$F140,0))),CRONO!AG$12,OFFSET(CÁLCULO!$AR$15:$BR$15,$F140,0,OFFSET(ORÇAMENTO!$D$15,CRONO!$F140,0)))
                +IF(AND($F142&lt;&gt;"",$F142&lt;&gt;0),
                        SUMIF(CÁLCULO!$BS$15:$CS$244,CRONO!AG$12,CÁLCULO!$AR$15:$BR$244)/(ORÇAMENTO!$X$15-CÁLCULO.TotalAdmLocal)*CRONO!$F142,
                        0),
                 AG141*$S140),
          SUMIF(OFFSET($S142,1,0,$R140-2),($M140+1)&amp;"$",OFFSET(AG142,1,0,$R140-2)))</f>
        <v>0</v>
      </c>
      <c r="AH142" s="202" cm="1">
        <f t="array" aca="1" ref="AH142" ca="1">IF($R140=2,
         IF(AND(ACOMPANHAMENTO="PLE",ISNUMBER($F140)),
                SUMIF((OFFSET(CÁLCULO!$BS$15:$CS$15,$F140,0,OFFSET(ORÇAMENTO!$D$15,CRONO!$F140,0))),CRONO!AH$12,OFFSET(CÁLCULO!$AR$15:$BR$15,$F140,0,OFFSET(ORÇAMENTO!$D$15,CRONO!$F140,0)))
                +IF(AND($F142&lt;&gt;"",$F142&lt;&gt;0),
                        SUMIF(CÁLCULO!$BS$15:$CS$244,CRONO!AH$12,CÁLCULO!$AR$15:$BR$244)/(ORÇAMENTO!$X$15-CÁLCULO.TotalAdmLocal)*CRONO!$F142,
                        0),
                 AH141*$S140),
          SUMIF(OFFSET($S142,1,0,$R140-2),($M140+1)&amp;"$",OFFSET(AH142,1,0,$R140-2)))</f>
        <v>0</v>
      </c>
      <c r="AI142" s="202" cm="1">
        <f t="array" aca="1" ref="AI142" ca="1">IF($R140=2,
         IF(AND(ACOMPANHAMENTO="PLE",ISNUMBER($F140)),
                SUMIF((OFFSET(CÁLCULO!$BS$15:$CS$15,$F140,0,OFFSET(ORÇAMENTO!$D$15,CRONO!$F140,0))),CRONO!AI$12,OFFSET(CÁLCULO!$AR$15:$BR$15,$F140,0,OFFSET(ORÇAMENTO!$D$15,CRONO!$F140,0)))
                +IF(AND($F142&lt;&gt;"",$F142&lt;&gt;0),
                        SUMIF(CÁLCULO!$BS$15:$CS$244,CRONO!AI$12,CÁLCULO!$AR$15:$BR$244)/(ORÇAMENTO!$X$15-CÁLCULO.TotalAdmLocal)*CRONO!$F142,
                        0),
                 AI141*$S140),
          SUMIF(OFFSET($S142,1,0,$R140-2),($M140+1)&amp;"$",OFFSET(AI142,1,0,$R140-2)))</f>
        <v>0</v>
      </c>
      <c r="AJ142" s="202" cm="1">
        <f t="array" aca="1" ref="AJ142" ca="1">IF($R140=2,
         IF(AND(ACOMPANHAMENTO="PLE",ISNUMBER($F140)),
                SUMIF((OFFSET(CÁLCULO!$BS$15:$CS$15,$F140,0,OFFSET(ORÇAMENTO!$D$15,CRONO!$F140,0))),CRONO!AJ$12,OFFSET(CÁLCULO!$AR$15:$BR$15,$F140,0,OFFSET(ORÇAMENTO!$D$15,CRONO!$F140,0)))
                +IF(AND($F142&lt;&gt;"",$F142&lt;&gt;0),
                        SUMIF(CÁLCULO!$BS$15:$CS$244,CRONO!AJ$12,CÁLCULO!$AR$15:$BR$244)/(ORÇAMENTO!$X$15-CÁLCULO.TotalAdmLocal)*CRONO!$F142,
                        0),
                 AJ141*$S140),
          SUMIF(OFFSET($S142,1,0,$R140-2),($M140+1)&amp;"$",OFFSET(AJ142,1,0,$R140-2)))</f>
        <v>0</v>
      </c>
      <c r="AK142" s="202" cm="1">
        <f t="array" aca="1" ref="AK142" ca="1">IF($R140=2,
         IF(AND(ACOMPANHAMENTO="PLE",ISNUMBER($F140)),
                SUMIF((OFFSET(CÁLCULO!$BS$15:$CS$15,$F140,0,OFFSET(ORÇAMENTO!$D$15,CRONO!$F140,0))),CRONO!AK$12,OFFSET(CÁLCULO!$AR$15:$BR$15,$F140,0,OFFSET(ORÇAMENTO!$D$15,CRONO!$F140,0)))
                +IF(AND($F142&lt;&gt;"",$F142&lt;&gt;0),
                        SUMIF(CÁLCULO!$BS$15:$CS$244,CRONO!AK$12,CÁLCULO!$AR$15:$BR$244)/(ORÇAMENTO!$X$15-CÁLCULO.TotalAdmLocal)*CRONO!$F142,
                        0),
                 AK141*$S140),
          SUMIF(OFFSET($S142,1,0,$R140-2),($M140+1)&amp;"$",OFFSET(AK142,1,0,$R140-2)))</f>
        <v>0</v>
      </c>
      <c r="AL142" s="202" cm="1">
        <f t="array" aca="1" ref="AL142" ca="1">IF($R140=2,
         IF(AND(ACOMPANHAMENTO="PLE",ISNUMBER($F140)),
                SUMIF((OFFSET(CÁLCULO!$BS$15:$CS$15,$F140,0,OFFSET(ORÇAMENTO!$D$15,CRONO!$F140,0))),CRONO!AL$12,OFFSET(CÁLCULO!$AR$15:$BR$15,$F140,0,OFFSET(ORÇAMENTO!$D$15,CRONO!$F140,0)))
                +IF(AND($F142&lt;&gt;"",$F142&lt;&gt;0),
                        SUMIF(CÁLCULO!$BS$15:$CS$244,CRONO!AL$12,CÁLCULO!$AR$15:$BR$244)/(ORÇAMENTO!$X$15-CÁLCULO.TotalAdmLocal)*CRONO!$F142,
                        0),
                 AL141*$S140),
          SUMIF(OFFSET($S142,1,0,$R140-2),($M140+1)&amp;"$",OFFSET(AL142,1,0,$R140-2)))</f>
        <v>0</v>
      </c>
      <c r="AM142" s="202" cm="1">
        <f t="array" aca="1" ref="AM142" ca="1">IF($R140=2,
         IF(AND(ACOMPANHAMENTO="PLE",ISNUMBER($F140)),
                SUMIF((OFFSET(CÁLCULO!$BS$15:$CS$15,$F140,0,OFFSET(ORÇAMENTO!$D$15,CRONO!$F140,0))),CRONO!AM$12,OFFSET(CÁLCULO!$AR$15:$BR$15,$F140,0,OFFSET(ORÇAMENTO!$D$15,CRONO!$F140,0)))
                +IF(AND($F142&lt;&gt;"",$F142&lt;&gt;0),
                        SUMIF(CÁLCULO!$BS$15:$CS$244,CRONO!AM$12,CÁLCULO!$AR$15:$BR$244)/(ORÇAMENTO!$X$15-CÁLCULO.TotalAdmLocal)*CRONO!$F142,
                        0),
                 AM141*$S140),
          SUMIF(OFFSET($S142,1,0,$R140-2),($M140+1)&amp;"$",OFFSET(AM142,1,0,$R140-2)))</f>
        <v>0</v>
      </c>
      <c r="AN142" s="202" cm="1">
        <f t="array" aca="1" ref="AN142" ca="1">IF($R140=2,
         IF(AND(ACOMPANHAMENTO="PLE",ISNUMBER($F140)),
                SUMIF((OFFSET(CÁLCULO!$BS$15:$CS$15,$F140,0,OFFSET(ORÇAMENTO!$D$15,CRONO!$F140,0))),CRONO!AN$12,OFFSET(CÁLCULO!$AR$15:$BR$15,$F140,0,OFFSET(ORÇAMENTO!$D$15,CRONO!$F140,0)))
                +IF(AND($F142&lt;&gt;"",$F142&lt;&gt;0),
                        SUMIF(CÁLCULO!$BS$15:$CS$244,CRONO!AN$12,CÁLCULO!$AR$15:$BR$244)/(ORÇAMENTO!$X$15-CÁLCULO.TotalAdmLocal)*CRONO!$F142,
                        0),
                 AN141*$S140),
          SUMIF(OFFSET($S142,1,0,$R140-2),($M140+1)&amp;"$",OFFSET(AN142,1,0,$R140-2)))</f>
        <v>0</v>
      </c>
      <c r="AO142" s="202" cm="1">
        <f t="array" aca="1" ref="AO142" ca="1">IF($R140=2,
         IF(AND(ACOMPANHAMENTO="PLE",ISNUMBER($F140)),
                SUMIF((OFFSET(CÁLCULO!$BS$15:$CS$15,$F140,0,OFFSET(ORÇAMENTO!$D$15,CRONO!$F140,0))),CRONO!AO$12,OFFSET(CÁLCULO!$AR$15:$BR$15,$F140,0,OFFSET(ORÇAMENTO!$D$15,CRONO!$F140,0)))
                +IF(AND($F142&lt;&gt;"",$F142&lt;&gt;0),
                        SUMIF(CÁLCULO!$BS$15:$CS$244,CRONO!AO$12,CÁLCULO!$AR$15:$BR$244)/(ORÇAMENTO!$X$15-CÁLCULO.TotalAdmLocal)*CRONO!$F142,
                        0),
                 AO141*$S140),
          SUMIF(OFFSET($S142,1,0,$R140-2),($M140+1)&amp;"$",OFFSET(AO142,1,0,$R140-2)))</f>
        <v>0</v>
      </c>
      <c r="AP142" s="202" cm="1">
        <f t="array" aca="1" ref="AP142" ca="1">IF($R140=2,
         IF(AND(ACOMPANHAMENTO="PLE",ISNUMBER($F140)),
                SUMIF((OFFSET(CÁLCULO!$BS$15:$CS$15,$F140,0,OFFSET(ORÇAMENTO!$D$15,CRONO!$F140,0))),CRONO!AP$12,OFFSET(CÁLCULO!$AR$15:$BR$15,$F140,0,OFFSET(ORÇAMENTO!$D$15,CRONO!$F140,0)))
                +IF(AND($F142&lt;&gt;"",$F142&lt;&gt;0),
                        SUMIF(CÁLCULO!$BS$15:$CS$244,CRONO!AP$12,CÁLCULO!$AR$15:$BR$244)/(ORÇAMENTO!$X$15-CÁLCULO.TotalAdmLocal)*CRONO!$F142,
                        0),
                 AP141*$S140),
          SUMIF(OFFSET($S142,1,0,$R140-2),($M140+1)&amp;"$",OFFSET(AP142,1,0,$R140-2)))</f>
        <v>0</v>
      </c>
      <c r="AQ142" s="202" cm="1">
        <f t="array" aca="1" ref="AQ142" ca="1">IF($R140=2,
         IF(AND(ACOMPANHAMENTO="PLE",ISNUMBER($F140)),
                SUMIF((OFFSET(CÁLCULO!$BS$15:$CS$15,$F140,0,OFFSET(ORÇAMENTO!$D$15,CRONO!$F140,0))),CRONO!AQ$12,OFFSET(CÁLCULO!$AR$15:$BR$15,$F140,0,OFFSET(ORÇAMENTO!$D$15,CRONO!$F140,0)))
                +IF(AND($F142&lt;&gt;"",$F142&lt;&gt;0),
                        SUMIF(CÁLCULO!$BS$15:$CS$244,CRONO!AQ$12,CÁLCULO!$AR$15:$BR$244)/(ORÇAMENTO!$X$15-CÁLCULO.TotalAdmLocal)*CRONO!$F142,
                        0),
                 AQ141*$S140),
          SUMIF(OFFSET($S142,1,0,$R140-2),($M140+1)&amp;"$",OFFSET(AQ142,1,0,$R140-2)))</f>
        <v>0</v>
      </c>
      <c r="AR142" s="202" cm="1">
        <f t="array" aca="1" ref="AR142" ca="1">IF($R140=2,
         IF(AND(ACOMPANHAMENTO="PLE",ISNUMBER($F140)),
                SUMIF((OFFSET(CÁLCULO!$BS$15:$CS$15,$F140,0,OFFSET(ORÇAMENTO!$D$15,CRONO!$F140,0))),CRONO!AR$12,OFFSET(CÁLCULO!$AR$15:$BR$15,$F140,0,OFFSET(ORÇAMENTO!$D$15,CRONO!$F140,0)))
                +IF(AND($F142&lt;&gt;"",$F142&lt;&gt;0),
                        SUMIF(CÁLCULO!$BS$15:$CS$244,CRONO!AR$12,CÁLCULO!$AR$15:$BR$244)/(ORÇAMENTO!$X$15-CÁLCULO.TotalAdmLocal)*CRONO!$F142,
                        0),
                 AR141*$S140),
          SUMIF(OFFSET($S142,1,0,$R140-2),($M140+1)&amp;"$",OFFSET(AR142,1,0,$R140-2)))</f>
        <v>0</v>
      </c>
      <c r="AS142" s="534"/>
    </row>
    <row r="143" spans="1:45" x14ac:dyDescent="0.2">
      <c r="A143" s="186" t="e">
        <f t="shared" ref="A143" ca="1" si="260">IF($M143&gt;1,_xlfn.CONCAT($I143," ",$J143),"")</f>
        <v>#NAME?</v>
      </c>
      <c r="B143" s="185">
        <f t="shared" ref="B143" ca="1" si="261">OFFSET(B143,-3,0)+1</f>
        <v>44</v>
      </c>
      <c r="C143" s="185">
        <f ca="1">IF($R143&lt;&gt;2,0,IF($S143=0,1,IF(F144&gt;0,OFFSET(QCI!$M$13,SUBSTITUTE(F144,".",""),0),OFFSET(ORÇAMENTO!$AA$15,CRONO!$F143,0))/$S143))</f>
        <v>1</v>
      </c>
      <c r="D143" s="185">
        <f ca="1">IF($R143&lt;&gt;2,0,IF($S143=0,1,IF(F144&gt;0,OFFSET(QCI!$N$13,SUBSTITUTE(F144,".",""),0),OFFSET(ORÇAMENTO!$AB$15,CRONO!$F143,0))/$S143))</f>
        <v>1</v>
      </c>
      <c r="E143" s="188" t="e" cm="1">
        <f t="array" aca="1" ref="E143" ca="1">IF(AND($R143=2,ACOMPANHAMENTO="BM"),ROUND(E144,4),E145/$S143)</f>
        <v>#DIV/0!</v>
      </c>
      <c r="F143" s="185" cm="1">
        <f t="array" aca="1" ref="F143" ca="1">IF(B143&lt;=ORÇAMENTO.MáximoListaCrono,MATCH(B143,ORÇAMENTO.ListaCrono,0),NA())</f>
        <v>210</v>
      </c>
      <c r="G143" s="185" t="str">
        <f t="shared" ref="G143" ca="1" si="262">IF(AND($F144&lt;&gt;-1,$S143&gt;0),"F","")</f>
        <v/>
      </c>
      <c r="H143" s="189" t="str" cm="1">
        <f t="array" aca="1" ref="H143" ca="1">IF(OR(S143=0,S143=""),"Linha",IF(AND(OR(ACOMPANHAMENTO="PLE",$R143&lt;&gt;2),$F144=0),"Linha",ROUND(1-SUM(U143:AS143),4)))</f>
        <v>Linha</v>
      </c>
      <c r="I143" s="190" t="str">
        <f ca="1">IF($F144=0,OFFSET(ORÇAMENTO!O$15,$F143,0),IF($F144&lt;&gt;-1,OFFSET(QCI!$D$13,$F144,0),""))</f>
        <v>9.3.3.</v>
      </c>
      <c r="J143" s="191" t="str">
        <f ca="1">IF($F144=0,OFFSET(ORÇAMENTO!R$15,$F143,0),IF($F144&lt;&gt;-1,OFFSET(QCI!$G$13,$F144,0),""))</f>
        <v>APARELHOS, METAIS E BANCADAS</v>
      </c>
      <c r="K143" s="191"/>
      <c r="L143" s="191"/>
      <c r="M143" s="192">
        <f ca="1">IF($F144=0,OFFSET(ORÇAMENTO!C$15,$F143,0),1)</f>
        <v>3</v>
      </c>
      <c r="N143" s="193">
        <f ca="1">IF($F144=-1,0,IF(N$13&lt;=$M143,IF(ISERROR(MATCH(N$13,OFFSET($M143,1,0,ROW($M$164)-ROW($M143)-1),0)),ROW($M$164)-ROW($M143)-1,MATCH(N$13,OFFSET($M143,1,0,ROW($M$164)-ROW($M143)-1),0)-1),0))</f>
        <v>2</v>
      </c>
      <c r="O143" s="193">
        <f ca="1">IF($F144=-1,0,IF(O$13&lt;=$M143,IF(ISERROR(MATCH(O$13,OFFSET($M143,1,0,ROW($M$164)-ROW($M143)-1),0)),ROW($M$164)-ROW($M143)-1,MATCH(O$13,OFFSET($M143,1,0,ROW($M$164)-ROW($M143)-1),0)-1),0))</f>
        <v>5</v>
      </c>
      <c r="P143" s="193">
        <f ca="1">IF($F144=-1,0,IF(P$13&lt;=$M143,IF(ISERROR(MATCH(P$13,OFFSET($M143,1,0,ROW($M$164)-ROW($M143)-1),0)),ROW($M$164)-ROW($M143)-1,MATCH(P$13,OFFSET($M143,1,0,ROW($M$164)-ROW($M143)-1),0)-1),0))</f>
        <v>20</v>
      </c>
      <c r="Q143" s="193">
        <f ca="1">IF($F144=-1,0,IF(Q$13&lt;=$M143,IF(ISERROR(MATCH(Q$13,OFFSET($M143,1,0,ROW($M$164)-ROW($M143)-1),0)),ROW($M$164)-ROW($M143)-1,MATCH(Q$13,OFFSET($M143,1,0,ROW($M$164)-ROW($M143)-1),0)-1),0))</f>
        <v>0</v>
      </c>
      <c r="R143" s="193">
        <f t="shared" ref="R143" ca="1" si="263">MIN(OFFSET(M143,0,1,,M143))</f>
        <v>2</v>
      </c>
      <c r="S143" s="194">
        <f ca="1">IF($F144=0,OFFSET(ORÇAMENTO!X$15,$F143,0),IF($F144&lt;&gt;-1,OFFSET(QCI!$O$13,$F144,0),""))</f>
        <v>0</v>
      </c>
      <c r="T143" s="195" t="s">
        <v>785</v>
      </c>
      <c r="U143" s="188" t="e" cm="1">
        <f t="array" aca="1" ref="U143" ca="1">IF(AND($R143=2,ACOMPANHAMENTO="BM"),ROUND(U144,4),U145/$S143)</f>
        <v>#DIV/0!</v>
      </c>
      <c r="V143" s="188" t="e" cm="1">
        <f t="array" aca="1" ref="V143" ca="1">IF(AND($R143=2,ACOMPANHAMENTO="BM"),ROUND(V144,4),V145/$S143)</f>
        <v>#DIV/0!</v>
      </c>
      <c r="W143" s="188" t="e" cm="1">
        <f t="array" aca="1" ref="W143" ca="1">IF(AND($R143=2,ACOMPANHAMENTO="BM"),ROUND(W144,4),W145/$S143)</f>
        <v>#DIV/0!</v>
      </c>
      <c r="X143" s="188" t="e" cm="1">
        <f t="array" aca="1" ref="X143" ca="1">IF(AND($R143=2,ACOMPANHAMENTO="BM"),ROUND(X144,4),X145/$S143)</f>
        <v>#DIV/0!</v>
      </c>
      <c r="Y143" s="188" t="e" cm="1">
        <f t="array" aca="1" ref="Y143" ca="1">IF(AND($R143=2,ACOMPANHAMENTO="BM"),ROUND(Y144,4),Y145/$S143)</f>
        <v>#DIV/0!</v>
      </c>
      <c r="Z143" s="188" t="e" cm="1">
        <f t="array" aca="1" ref="Z143" ca="1">IF(AND($R143=2,ACOMPANHAMENTO="BM"),ROUND(Z144,4),Z145/$S143)</f>
        <v>#DIV/0!</v>
      </c>
      <c r="AA143" s="188" t="e" cm="1">
        <f t="array" aca="1" ref="AA143" ca="1">IF(AND($R143=2,ACOMPANHAMENTO="BM"),ROUND(AA144,4),AA145/$S143)</f>
        <v>#DIV/0!</v>
      </c>
      <c r="AB143" s="188" t="e" cm="1">
        <f t="array" aca="1" ref="AB143" ca="1">IF(AND($R143=2,ACOMPANHAMENTO="BM"),ROUND(AB144,4),AB145/$S143)</f>
        <v>#DIV/0!</v>
      </c>
      <c r="AC143" s="188" t="e" cm="1">
        <f t="array" aca="1" ref="AC143" ca="1">IF(AND($R143=2,ACOMPANHAMENTO="BM"),ROUND(AC144,4),AC145/$S143)</f>
        <v>#DIV/0!</v>
      </c>
      <c r="AD143" s="188" t="e" cm="1">
        <f t="array" aca="1" ref="AD143" ca="1">IF(AND($R143=2,ACOMPANHAMENTO="BM"),ROUND(AD144,4),AD145/$S143)</f>
        <v>#DIV/0!</v>
      </c>
      <c r="AE143" s="188" t="e" cm="1">
        <f t="array" aca="1" ref="AE143" ca="1">IF(AND($R143=2,ACOMPANHAMENTO="BM"),ROUND(AE144,4),AE145/$S143)</f>
        <v>#DIV/0!</v>
      </c>
      <c r="AF143" s="188" t="e" cm="1">
        <f t="array" aca="1" ref="AF143" ca="1">IF(AND($R143=2,ACOMPANHAMENTO="BM"),ROUND(AF144,4),AF145/$S143)</f>
        <v>#DIV/0!</v>
      </c>
      <c r="AG143" s="188" t="e" cm="1">
        <f t="array" aca="1" ref="AG143" ca="1">IF(AND($R143=2,ACOMPANHAMENTO="BM"),ROUND(AG144,4),AG145/$S143)</f>
        <v>#DIV/0!</v>
      </c>
      <c r="AH143" s="188" t="e" cm="1">
        <f t="array" aca="1" ref="AH143" ca="1">IF(AND($R143=2,ACOMPANHAMENTO="BM"),ROUND(AH144,4),AH145/$S143)</f>
        <v>#DIV/0!</v>
      </c>
      <c r="AI143" s="188" t="e" cm="1">
        <f t="array" aca="1" ref="AI143" ca="1">IF(AND($R143=2,ACOMPANHAMENTO="BM"),ROUND(AI144,4),AI145/$S143)</f>
        <v>#DIV/0!</v>
      </c>
      <c r="AJ143" s="188" t="e" cm="1">
        <f t="array" aca="1" ref="AJ143" ca="1">IF(AND($R143=2,ACOMPANHAMENTO="BM"),ROUND(AJ144,4),AJ145/$S143)</f>
        <v>#DIV/0!</v>
      </c>
      <c r="AK143" s="188" t="e" cm="1">
        <f t="array" aca="1" ref="AK143" ca="1">IF(AND($R143=2,ACOMPANHAMENTO="BM"),ROUND(AK144,4),AK145/$S143)</f>
        <v>#DIV/0!</v>
      </c>
      <c r="AL143" s="188" t="e" cm="1">
        <f t="array" aca="1" ref="AL143" ca="1">IF(AND($R143=2,ACOMPANHAMENTO="BM"),ROUND(AL144,4),AL145/$S143)</f>
        <v>#DIV/0!</v>
      </c>
      <c r="AM143" s="188" t="e" cm="1">
        <f t="array" aca="1" ref="AM143" ca="1">IF(AND($R143=2,ACOMPANHAMENTO="BM"),ROUND(AM144,4),AM145/$S143)</f>
        <v>#DIV/0!</v>
      </c>
      <c r="AN143" s="188" t="e" cm="1">
        <f t="array" aca="1" ref="AN143" ca="1">IF(AND($R143=2,ACOMPANHAMENTO="BM"),ROUND(AN144,4),AN145/$S143)</f>
        <v>#DIV/0!</v>
      </c>
      <c r="AO143" s="188" t="e" cm="1">
        <f t="array" aca="1" ref="AO143" ca="1">IF(AND($R143=2,ACOMPANHAMENTO="BM"),ROUND(AO144,4),AO145/$S143)</f>
        <v>#DIV/0!</v>
      </c>
      <c r="AP143" s="188" t="e" cm="1">
        <f t="array" aca="1" ref="AP143" ca="1">IF(AND($R143=2,ACOMPANHAMENTO="BM"),ROUND(AP144,4),AP145/$S143)</f>
        <v>#DIV/0!</v>
      </c>
      <c r="AQ143" s="188" t="e" cm="1">
        <f t="array" aca="1" ref="AQ143" ca="1">IF(AND($R143=2,ACOMPANHAMENTO="BM"),ROUND(AQ144,4),AQ145/$S143)</f>
        <v>#DIV/0!</v>
      </c>
      <c r="AR143" s="188" t="e" cm="1">
        <f t="array" aca="1" ref="AR143" ca="1">IF(AND($R143=2,ACOMPANHAMENTO="BM"),ROUND(AR144,4),AR145/$S143)</f>
        <v>#DIV/0!</v>
      </c>
      <c r="AS143" s="534"/>
    </row>
    <row r="144" spans="1:45" ht="12.75" hidden="1" customHeight="1" x14ac:dyDescent="0.2">
      <c r="E144" s="587"/>
      <c r="F144" s="185">
        <f ca="1">IF(ISERROR(F143),IF(1+COUNTIF($M$13:OFFSET(M143,-1,0),1)&lt;=MAX(QCI!$D$13:$D$24),1+COUNTIF($M$13:OFFSET(M143,-1,0),1),-1),0)</f>
        <v>0</v>
      </c>
      <c r="G144" s="185" t="str" cm="1">
        <f t="array" aca="1" ref="G144" ca="1">IF(ACOMPANHAMENTO="BM",OFFSET(G144,-1,0),"")</f>
        <v/>
      </c>
      <c r="H144" s="196" t="str" cm="1">
        <f t="array" aca="1" ref="H144" ca="1">IF(OR(S143=0,S143=""),"vazia",IF(AND(OR(ACOMPANHAMENTO="PLE",$R143&lt;&gt;2),$F144=0),"calculada","--&gt;"))</f>
        <v>vazia</v>
      </c>
      <c r="I144" s="197"/>
      <c r="J144" s="198" t="str">
        <f t="shared" ref="J144" ca="1" si="264">IF(AND(H143&lt;&gt;0,ISNUMBER(H143)),"PREENCHA ESTA LINHA --&gt;","")</f>
        <v/>
      </c>
      <c r="K144" s="198"/>
      <c r="L144" s="198"/>
      <c r="M144" s="199"/>
      <c r="N144" s="199"/>
      <c r="O144" s="199"/>
      <c r="P144" s="199"/>
      <c r="Q144" s="199"/>
      <c r="R144" s="199"/>
      <c r="S144" s="200"/>
      <c r="T144" s="201"/>
      <c r="U144" s="587"/>
      <c r="V144" s="587"/>
      <c r="W144" s="587"/>
      <c r="X144" s="587"/>
      <c r="Y144" s="587"/>
      <c r="Z144" s="587"/>
      <c r="AA144" s="587"/>
      <c r="AB144" s="587"/>
      <c r="AC144" s="587"/>
      <c r="AD144" s="587"/>
      <c r="AE144" s="587"/>
      <c r="AF144" s="587"/>
      <c r="AG144" s="587"/>
      <c r="AH144" s="587"/>
      <c r="AI144" s="587"/>
      <c r="AJ144" s="587"/>
      <c r="AK144" s="587"/>
      <c r="AL144" s="587"/>
      <c r="AM144" s="587"/>
      <c r="AN144" s="587"/>
      <c r="AO144" s="587"/>
      <c r="AP144" s="587"/>
      <c r="AQ144" s="587"/>
      <c r="AR144" s="587"/>
      <c r="AS144" s="534"/>
    </row>
    <row r="145" spans="1:45" ht="12.75" hidden="1" customHeight="1" x14ac:dyDescent="0.2">
      <c r="D145" s="533"/>
      <c r="E145" s="202" cm="1">
        <f t="array" aca="1" ref="E145" ca="1">IF($R143=2,
         IF(AND(ACOMPANHAMENTO="PLE",ISNUMBER($F143)),
                SUMIF((OFFSET(CÁLCULO!$BS$15:$CS$15,$F143,0,OFFSET(ORÇAMENTO!$D$15,CRONO!$F143,0))),CRONO!E$12,OFFSET(CÁLCULO!$AR$15:$BR$15,$F143,0,OFFSET(ORÇAMENTO!$D$15,CRONO!$F143,0)))
                +IF(AND($F145&lt;&gt;"",$F145&lt;&gt;0),
                        SUMIF(CÁLCULO!$BS$15:$CS$244,CRONO!E$12,CÁLCULO!$AR$15:$BR$244)/(ORÇAMENTO!$X$15-CÁLCULO.TotalAdmLocal)*CRONO!$F145,
                        0),
                 E144*$S143),
          SUMIF(OFFSET($S145,1,0,$R143-2),($M143+1)&amp;"$",OFFSET(E145,1,0,$R143-2)))</f>
        <v>0</v>
      </c>
      <c r="F145" s="185">
        <f ca="1">IF(OR($R143&lt;&gt;2,AUTOEVENTO&lt;&gt;"manual",$F144&gt;0),"",
        IF(Import.TipoArredondamento="Tradicional",
              SUMIF(OFFSET(CÁLCULO!$M$15,CRONO!$F143,0,OFFSET(ORÇAMENTO!$D$15,CRONO!$F143,0)),1,OFFSET(ORÇAMENTO!$X$15,CRONO!$F143,0,OFFSET(ORÇAMENTO!$D$15,CRONO!$F143,0))),
              0))</f>
        <v>0</v>
      </c>
      <c r="H145" s="203"/>
      <c r="S145" s="204" t="str">
        <f t="shared" ref="S145" ca="1" si="265">M143&amp;"$"</f>
        <v>3$</v>
      </c>
      <c r="T145" s="205"/>
      <c r="U145" s="202" cm="1">
        <f t="array" aca="1" ref="U145" ca="1">IF($R143=2,
         IF(AND(ACOMPANHAMENTO="PLE",ISNUMBER($F143)),
                SUMIF((OFFSET(CÁLCULO!$BS$15:$CS$15,$F143,0,OFFSET(ORÇAMENTO!$D$15,CRONO!$F143,0))),CRONO!U$12,OFFSET(CÁLCULO!$AR$15:$BR$15,$F143,0,OFFSET(ORÇAMENTO!$D$15,CRONO!$F143,0)))
                +IF(AND($F145&lt;&gt;"",$F145&lt;&gt;0),
                        SUMIF(CÁLCULO!$BS$15:$CS$244,CRONO!U$12,CÁLCULO!$AR$15:$BR$244)/(ORÇAMENTO!$X$15-CÁLCULO.TotalAdmLocal)*CRONO!$F145,
                        0),
                 U144*$S143),
          SUMIF(OFFSET($S145,1,0,$R143-2),($M143+1)&amp;"$",OFFSET(U145,1,0,$R143-2)))</f>
        <v>0</v>
      </c>
      <c r="V145" s="202" cm="1">
        <f t="array" aca="1" ref="V145" ca="1">IF($R143=2,
         IF(AND(ACOMPANHAMENTO="PLE",ISNUMBER($F143)),
                SUMIF((OFFSET(CÁLCULO!$BS$15:$CS$15,$F143,0,OFFSET(ORÇAMENTO!$D$15,CRONO!$F143,0))),CRONO!V$12,OFFSET(CÁLCULO!$AR$15:$BR$15,$F143,0,OFFSET(ORÇAMENTO!$D$15,CRONO!$F143,0)))
                +IF(AND($F145&lt;&gt;"",$F145&lt;&gt;0),
                        SUMIF(CÁLCULO!$BS$15:$CS$244,CRONO!V$12,CÁLCULO!$AR$15:$BR$244)/(ORÇAMENTO!$X$15-CÁLCULO.TotalAdmLocal)*CRONO!$F145,
                        0),
                 V144*$S143),
          SUMIF(OFFSET($S145,1,0,$R143-2),($M143+1)&amp;"$",OFFSET(V145,1,0,$R143-2)))</f>
        <v>0</v>
      </c>
      <c r="W145" s="202" cm="1">
        <f t="array" aca="1" ref="W145" ca="1">IF($R143=2,
         IF(AND(ACOMPANHAMENTO="PLE",ISNUMBER($F143)),
                SUMIF((OFFSET(CÁLCULO!$BS$15:$CS$15,$F143,0,OFFSET(ORÇAMENTO!$D$15,CRONO!$F143,0))),CRONO!W$12,OFFSET(CÁLCULO!$AR$15:$BR$15,$F143,0,OFFSET(ORÇAMENTO!$D$15,CRONO!$F143,0)))
                +IF(AND($F145&lt;&gt;"",$F145&lt;&gt;0),
                        SUMIF(CÁLCULO!$BS$15:$CS$244,CRONO!W$12,CÁLCULO!$AR$15:$BR$244)/(ORÇAMENTO!$X$15-CÁLCULO.TotalAdmLocal)*CRONO!$F145,
                        0),
                 W144*$S143),
          SUMIF(OFFSET($S145,1,0,$R143-2),($M143+1)&amp;"$",OFFSET(W145,1,0,$R143-2)))</f>
        <v>0</v>
      </c>
      <c r="X145" s="202" cm="1">
        <f t="array" aca="1" ref="X145" ca="1">IF($R143=2,
         IF(AND(ACOMPANHAMENTO="PLE",ISNUMBER($F143)),
                SUMIF((OFFSET(CÁLCULO!$BS$15:$CS$15,$F143,0,OFFSET(ORÇAMENTO!$D$15,CRONO!$F143,0))),CRONO!X$12,OFFSET(CÁLCULO!$AR$15:$BR$15,$F143,0,OFFSET(ORÇAMENTO!$D$15,CRONO!$F143,0)))
                +IF(AND($F145&lt;&gt;"",$F145&lt;&gt;0),
                        SUMIF(CÁLCULO!$BS$15:$CS$244,CRONO!X$12,CÁLCULO!$AR$15:$BR$244)/(ORÇAMENTO!$X$15-CÁLCULO.TotalAdmLocal)*CRONO!$F145,
                        0),
                 X144*$S143),
          SUMIF(OFFSET($S145,1,0,$R143-2),($M143+1)&amp;"$",OFFSET(X145,1,0,$R143-2)))</f>
        <v>0</v>
      </c>
      <c r="Y145" s="202" cm="1">
        <f t="array" aca="1" ref="Y145" ca="1">IF($R143=2,
         IF(AND(ACOMPANHAMENTO="PLE",ISNUMBER($F143)),
                SUMIF((OFFSET(CÁLCULO!$BS$15:$CS$15,$F143,0,OFFSET(ORÇAMENTO!$D$15,CRONO!$F143,0))),CRONO!Y$12,OFFSET(CÁLCULO!$AR$15:$BR$15,$F143,0,OFFSET(ORÇAMENTO!$D$15,CRONO!$F143,0)))
                +IF(AND($F145&lt;&gt;"",$F145&lt;&gt;0),
                        SUMIF(CÁLCULO!$BS$15:$CS$244,CRONO!Y$12,CÁLCULO!$AR$15:$BR$244)/(ORÇAMENTO!$X$15-CÁLCULO.TotalAdmLocal)*CRONO!$F145,
                        0),
                 Y144*$S143),
          SUMIF(OFFSET($S145,1,0,$R143-2),($M143+1)&amp;"$",OFFSET(Y145,1,0,$R143-2)))</f>
        <v>0</v>
      </c>
      <c r="Z145" s="202" cm="1">
        <f t="array" aca="1" ref="Z145" ca="1">IF($R143=2,
         IF(AND(ACOMPANHAMENTO="PLE",ISNUMBER($F143)),
                SUMIF((OFFSET(CÁLCULO!$BS$15:$CS$15,$F143,0,OFFSET(ORÇAMENTO!$D$15,CRONO!$F143,0))),CRONO!Z$12,OFFSET(CÁLCULO!$AR$15:$BR$15,$F143,0,OFFSET(ORÇAMENTO!$D$15,CRONO!$F143,0)))
                +IF(AND($F145&lt;&gt;"",$F145&lt;&gt;0),
                        SUMIF(CÁLCULO!$BS$15:$CS$244,CRONO!Z$12,CÁLCULO!$AR$15:$BR$244)/(ORÇAMENTO!$X$15-CÁLCULO.TotalAdmLocal)*CRONO!$F145,
                        0),
                 Z144*$S143),
          SUMIF(OFFSET($S145,1,0,$R143-2),($M143+1)&amp;"$",OFFSET(Z145,1,0,$R143-2)))</f>
        <v>0</v>
      </c>
      <c r="AA145" s="202" cm="1">
        <f t="array" aca="1" ref="AA145" ca="1">IF($R143=2,
         IF(AND(ACOMPANHAMENTO="PLE",ISNUMBER($F143)),
                SUMIF((OFFSET(CÁLCULO!$BS$15:$CS$15,$F143,0,OFFSET(ORÇAMENTO!$D$15,CRONO!$F143,0))),CRONO!AA$12,OFFSET(CÁLCULO!$AR$15:$BR$15,$F143,0,OFFSET(ORÇAMENTO!$D$15,CRONO!$F143,0)))
                +IF(AND($F145&lt;&gt;"",$F145&lt;&gt;0),
                        SUMIF(CÁLCULO!$BS$15:$CS$244,CRONO!AA$12,CÁLCULO!$AR$15:$BR$244)/(ORÇAMENTO!$X$15-CÁLCULO.TotalAdmLocal)*CRONO!$F145,
                        0),
                 AA144*$S143),
          SUMIF(OFFSET($S145,1,0,$R143-2),($M143+1)&amp;"$",OFFSET(AA145,1,0,$R143-2)))</f>
        <v>0</v>
      </c>
      <c r="AB145" s="202" cm="1">
        <f t="array" aca="1" ref="AB145" ca="1">IF($R143=2,
         IF(AND(ACOMPANHAMENTO="PLE",ISNUMBER($F143)),
                SUMIF((OFFSET(CÁLCULO!$BS$15:$CS$15,$F143,0,OFFSET(ORÇAMENTO!$D$15,CRONO!$F143,0))),CRONO!AB$12,OFFSET(CÁLCULO!$AR$15:$BR$15,$F143,0,OFFSET(ORÇAMENTO!$D$15,CRONO!$F143,0)))
                +IF(AND($F145&lt;&gt;"",$F145&lt;&gt;0),
                        SUMIF(CÁLCULO!$BS$15:$CS$244,CRONO!AB$12,CÁLCULO!$AR$15:$BR$244)/(ORÇAMENTO!$X$15-CÁLCULO.TotalAdmLocal)*CRONO!$F145,
                        0),
                 AB144*$S143),
          SUMIF(OFFSET($S145,1,0,$R143-2),($M143+1)&amp;"$",OFFSET(AB145,1,0,$R143-2)))</f>
        <v>0</v>
      </c>
      <c r="AC145" s="202" cm="1">
        <f t="array" aca="1" ref="AC145" ca="1">IF($R143=2,
         IF(AND(ACOMPANHAMENTO="PLE",ISNUMBER($F143)),
                SUMIF((OFFSET(CÁLCULO!$BS$15:$CS$15,$F143,0,OFFSET(ORÇAMENTO!$D$15,CRONO!$F143,0))),CRONO!AC$12,OFFSET(CÁLCULO!$AR$15:$BR$15,$F143,0,OFFSET(ORÇAMENTO!$D$15,CRONO!$F143,0)))
                +IF(AND($F145&lt;&gt;"",$F145&lt;&gt;0),
                        SUMIF(CÁLCULO!$BS$15:$CS$244,CRONO!AC$12,CÁLCULO!$AR$15:$BR$244)/(ORÇAMENTO!$X$15-CÁLCULO.TotalAdmLocal)*CRONO!$F145,
                        0),
                 AC144*$S143),
          SUMIF(OFFSET($S145,1,0,$R143-2),($M143+1)&amp;"$",OFFSET(AC145,1,0,$R143-2)))</f>
        <v>0</v>
      </c>
      <c r="AD145" s="202" cm="1">
        <f t="array" aca="1" ref="AD145" ca="1">IF($R143=2,
         IF(AND(ACOMPANHAMENTO="PLE",ISNUMBER($F143)),
                SUMIF((OFFSET(CÁLCULO!$BS$15:$CS$15,$F143,0,OFFSET(ORÇAMENTO!$D$15,CRONO!$F143,0))),CRONO!AD$12,OFFSET(CÁLCULO!$AR$15:$BR$15,$F143,0,OFFSET(ORÇAMENTO!$D$15,CRONO!$F143,0)))
                +IF(AND($F145&lt;&gt;"",$F145&lt;&gt;0),
                        SUMIF(CÁLCULO!$BS$15:$CS$244,CRONO!AD$12,CÁLCULO!$AR$15:$BR$244)/(ORÇAMENTO!$X$15-CÁLCULO.TotalAdmLocal)*CRONO!$F145,
                        0),
                 AD144*$S143),
          SUMIF(OFFSET($S145,1,0,$R143-2),($M143+1)&amp;"$",OFFSET(AD145,1,0,$R143-2)))</f>
        <v>0</v>
      </c>
      <c r="AE145" s="202" cm="1">
        <f t="array" aca="1" ref="AE145" ca="1">IF($R143=2,
         IF(AND(ACOMPANHAMENTO="PLE",ISNUMBER($F143)),
                SUMIF((OFFSET(CÁLCULO!$BS$15:$CS$15,$F143,0,OFFSET(ORÇAMENTO!$D$15,CRONO!$F143,0))),CRONO!AE$12,OFFSET(CÁLCULO!$AR$15:$BR$15,$F143,0,OFFSET(ORÇAMENTO!$D$15,CRONO!$F143,0)))
                +IF(AND($F145&lt;&gt;"",$F145&lt;&gt;0),
                        SUMIF(CÁLCULO!$BS$15:$CS$244,CRONO!AE$12,CÁLCULO!$AR$15:$BR$244)/(ORÇAMENTO!$X$15-CÁLCULO.TotalAdmLocal)*CRONO!$F145,
                        0),
                 AE144*$S143),
          SUMIF(OFFSET($S145,1,0,$R143-2),($M143+1)&amp;"$",OFFSET(AE145,1,0,$R143-2)))</f>
        <v>0</v>
      </c>
      <c r="AF145" s="202" cm="1">
        <f t="array" aca="1" ref="AF145" ca="1">IF($R143=2,
         IF(AND(ACOMPANHAMENTO="PLE",ISNUMBER($F143)),
                SUMIF((OFFSET(CÁLCULO!$BS$15:$CS$15,$F143,0,OFFSET(ORÇAMENTO!$D$15,CRONO!$F143,0))),CRONO!AF$12,OFFSET(CÁLCULO!$AR$15:$BR$15,$F143,0,OFFSET(ORÇAMENTO!$D$15,CRONO!$F143,0)))
                +IF(AND($F145&lt;&gt;"",$F145&lt;&gt;0),
                        SUMIF(CÁLCULO!$BS$15:$CS$244,CRONO!AF$12,CÁLCULO!$AR$15:$BR$244)/(ORÇAMENTO!$X$15-CÁLCULO.TotalAdmLocal)*CRONO!$F145,
                        0),
                 AF144*$S143),
          SUMIF(OFFSET($S145,1,0,$R143-2),($M143+1)&amp;"$",OFFSET(AF145,1,0,$R143-2)))</f>
        <v>0</v>
      </c>
      <c r="AG145" s="202" cm="1">
        <f t="array" aca="1" ref="AG145" ca="1">IF($R143=2,
         IF(AND(ACOMPANHAMENTO="PLE",ISNUMBER($F143)),
                SUMIF((OFFSET(CÁLCULO!$BS$15:$CS$15,$F143,0,OFFSET(ORÇAMENTO!$D$15,CRONO!$F143,0))),CRONO!AG$12,OFFSET(CÁLCULO!$AR$15:$BR$15,$F143,0,OFFSET(ORÇAMENTO!$D$15,CRONO!$F143,0)))
                +IF(AND($F145&lt;&gt;"",$F145&lt;&gt;0),
                        SUMIF(CÁLCULO!$BS$15:$CS$244,CRONO!AG$12,CÁLCULO!$AR$15:$BR$244)/(ORÇAMENTO!$X$15-CÁLCULO.TotalAdmLocal)*CRONO!$F145,
                        0),
                 AG144*$S143),
          SUMIF(OFFSET($S145,1,0,$R143-2),($M143+1)&amp;"$",OFFSET(AG145,1,0,$R143-2)))</f>
        <v>0</v>
      </c>
      <c r="AH145" s="202" cm="1">
        <f t="array" aca="1" ref="AH145" ca="1">IF($R143=2,
         IF(AND(ACOMPANHAMENTO="PLE",ISNUMBER($F143)),
                SUMIF((OFFSET(CÁLCULO!$BS$15:$CS$15,$F143,0,OFFSET(ORÇAMENTO!$D$15,CRONO!$F143,0))),CRONO!AH$12,OFFSET(CÁLCULO!$AR$15:$BR$15,$F143,0,OFFSET(ORÇAMENTO!$D$15,CRONO!$F143,0)))
                +IF(AND($F145&lt;&gt;"",$F145&lt;&gt;0),
                        SUMIF(CÁLCULO!$BS$15:$CS$244,CRONO!AH$12,CÁLCULO!$AR$15:$BR$244)/(ORÇAMENTO!$X$15-CÁLCULO.TotalAdmLocal)*CRONO!$F145,
                        0),
                 AH144*$S143),
          SUMIF(OFFSET($S145,1,0,$R143-2),($M143+1)&amp;"$",OFFSET(AH145,1,0,$R143-2)))</f>
        <v>0</v>
      </c>
      <c r="AI145" s="202" cm="1">
        <f t="array" aca="1" ref="AI145" ca="1">IF($R143=2,
         IF(AND(ACOMPANHAMENTO="PLE",ISNUMBER($F143)),
                SUMIF((OFFSET(CÁLCULO!$BS$15:$CS$15,$F143,0,OFFSET(ORÇAMENTO!$D$15,CRONO!$F143,0))),CRONO!AI$12,OFFSET(CÁLCULO!$AR$15:$BR$15,$F143,0,OFFSET(ORÇAMENTO!$D$15,CRONO!$F143,0)))
                +IF(AND($F145&lt;&gt;"",$F145&lt;&gt;0),
                        SUMIF(CÁLCULO!$BS$15:$CS$244,CRONO!AI$12,CÁLCULO!$AR$15:$BR$244)/(ORÇAMENTO!$X$15-CÁLCULO.TotalAdmLocal)*CRONO!$F145,
                        0),
                 AI144*$S143),
          SUMIF(OFFSET($S145,1,0,$R143-2),($M143+1)&amp;"$",OFFSET(AI145,1,0,$R143-2)))</f>
        <v>0</v>
      </c>
      <c r="AJ145" s="202" cm="1">
        <f t="array" aca="1" ref="AJ145" ca="1">IF($R143=2,
         IF(AND(ACOMPANHAMENTO="PLE",ISNUMBER($F143)),
                SUMIF((OFFSET(CÁLCULO!$BS$15:$CS$15,$F143,0,OFFSET(ORÇAMENTO!$D$15,CRONO!$F143,0))),CRONO!AJ$12,OFFSET(CÁLCULO!$AR$15:$BR$15,$F143,0,OFFSET(ORÇAMENTO!$D$15,CRONO!$F143,0)))
                +IF(AND($F145&lt;&gt;"",$F145&lt;&gt;0),
                        SUMIF(CÁLCULO!$BS$15:$CS$244,CRONO!AJ$12,CÁLCULO!$AR$15:$BR$244)/(ORÇAMENTO!$X$15-CÁLCULO.TotalAdmLocal)*CRONO!$F145,
                        0),
                 AJ144*$S143),
          SUMIF(OFFSET($S145,1,0,$R143-2),($M143+1)&amp;"$",OFFSET(AJ145,1,0,$R143-2)))</f>
        <v>0</v>
      </c>
      <c r="AK145" s="202" cm="1">
        <f t="array" aca="1" ref="AK145" ca="1">IF($R143=2,
         IF(AND(ACOMPANHAMENTO="PLE",ISNUMBER($F143)),
                SUMIF((OFFSET(CÁLCULO!$BS$15:$CS$15,$F143,0,OFFSET(ORÇAMENTO!$D$15,CRONO!$F143,0))),CRONO!AK$12,OFFSET(CÁLCULO!$AR$15:$BR$15,$F143,0,OFFSET(ORÇAMENTO!$D$15,CRONO!$F143,0)))
                +IF(AND($F145&lt;&gt;"",$F145&lt;&gt;0),
                        SUMIF(CÁLCULO!$BS$15:$CS$244,CRONO!AK$12,CÁLCULO!$AR$15:$BR$244)/(ORÇAMENTO!$X$15-CÁLCULO.TotalAdmLocal)*CRONO!$F145,
                        0),
                 AK144*$S143),
          SUMIF(OFFSET($S145,1,0,$R143-2),($M143+1)&amp;"$",OFFSET(AK145,1,0,$R143-2)))</f>
        <v>0</v>
      </c>
      <c r="AL145" s="202" cm="1">
        <f t="array" aca="1" ref="AL145" ca="1">IF($R143=2,
         IF(AND(ACOMPANHAMENTO="PLE",ISNUMBER($F143)),
                SUMIF((OFFSET(CÁLCULO!$BS$15:$CS$15,$F143,0,OFFSET(ORÇAMENTO!$D$15,CRONO!$F143,0))),CRONO!AL$12,OFFSET(CÁLCULO!$AR$15:$BR$15,$F143,0,OFFSET(ORÇAMENTO!$D$15,CRONO!$F143,0)))
                +IF(AND($F145&lt;&gt;"",$F145&lt;&gt;0),
                        SUMIF(CÁLCULO!$BS$15:$CS$244,CRONO!AL$12,CÁLCULO!$AR$15:$BR$244)/(ORÇAMENTO!$X$15-CÁLCULO.TotalAdmLocal)*CRONO!$F145,
                        0),
                 AL144*$S143),
          SUMIF(OFFSET($S145,1,0,$R143-2),($M143+1)&amp;"$",OFFSET(AL145,1,0,$R143-2)))</f>
        <v>0</v>
      </c>
      <c r="AM145" s="202" cm="1">
        <f t="array" aca="1" ref="AM145" ca="1">IF($R143=2,
         IF(AND(ACOMPANHAMENTO="PLE",ISNUMBER($F143)),
                SUMIF((OFFSET(CÁLCULO!$BS$15:$CS$15,$F143,0,OFFSET(ORÇAMENTO!$D$15,CRONO!$F143,0))),CRONO!AM$12,OFFSET(CÁLCULO!$AR$15:$BR$15,$F143,0,OFFSET(ORÇAMENTO!$D$15,CRONO!$F143,0)))
                +IF(AND($F145&lt;&gt;"",$F145&lt;&gt;0),
                        SUMIF(CÁLCULO!$BS$15:$CS$244,CRONO!AM$12,CÁLCULO!$AR$15:$BR$244)/(ORÇAMENTO!$X$15-CÁLCULO.TotalAdmLocal)*CRONO!$F145,
                        0),
                 AM144*$S143),
          SUMIF(OFFSET($S145,1,0,$R143-2),($M143+1)&amp;"$",OFFSET(AM145,1,0,$R143-2)))</f>
        <v>0</v>
      </c>
      <c r="AN145" s="202" cm="1">
        <f t="array" aca="1" ref="AN145" ca="1">IF($R143=2,
         IF(AND(ACOMPANHAMENTO="PLE",ISNUMBER($F143)),
                SUMIF((OFFSET(CÁLCULO!$BS$15:$CS$15,$F143,0,OFFSET(ORÇAMENTO!$D$15,CRONO!$F143,0))),CRONO!AN$12,OFFSET(CÁLCULO!$AR$15:$BR$15,$F143,0,OFFSET(ORÇAMENTO!$D$15,CRONO!$F143,0)))
                +IF(AND($F145&lt;&gt;"",$F145&lt;&gt;0),
                        SUMIF(CÁLCULO!$BS$15:$CS$244,CRONO!AN$12,CÁLCULO!$AR$15:$BR$244)/(ORÇAMENTO!$X$15-CÁLCULO.TotalAdmLocal)*CRONO!$F145,
                        0),
                 AN144*$S143),
          SUMIF(OFFSET($S145,1,0,$R143-2),($M143+1)&amp;"$",OFFSET(AN145,1,0,$R143-2)))</f>
        <v>0</v>
      </c>
      <c r="AO145" s="202" cm="1">
        <f t="array" aca="1" ref="AO145" ca="1">IF($R143=2,
         IF(AND(ACOMPANHAMENTO="PLE",ISNUMBER($F143)),
                SUMIF((OFFSET(CÁLCULO!$BS$15:$CS$15,$F143,0,OFFSET(ORÇAMENTO!$D$15,CRONO!$F143,0))),CRONO!AO$12,OFFSET(CÁLCULO!$AR$15:$BR$15,$F143,0,OFFSET(ORÇAMENTO!$D$15,CRONO!$F143,0)))
                +IF(AND($F145&lt;&gt;"",$F145&lt;&gt;0),
                        SUMIF(CÁLCULO!$BS$15:$CS$244,CRONO!AO$12,CÁLCULO!$AR$15:$BR$244)/(ORÇAMENTO!$X$15-CÁLCULO.TotalAdmLocal)*CRONO!$F145,
                        0),
                 AO144*$S143),
          SUMIF(OFFSET($S145,1,0,$R143-2),($M143+1)&amp;"$",OFFSET(AO145,1,0,$R143-2)))</f>
        <v>0</v>
      </c>
      <c r="AP145" s="202" cm="1">
        <f t="array" aca="1" ref="AP145" ca="1">IF($R143=2,
         IF(AND(ACOMPANHAMENTO="PLE",ISNUMBER($F143)),
                SUMIF((OFFSET(CÁLCULO!$BS$15:$CS$15,$F143,0,OFFSET(ORÇAMENTO!$D$15,CRONO!$F143,0))),CRONO!AP$12,OFFSET(CÁLCULO!$AR$15:$BR$15,$F143,0,OFFSET(ORÇAMENTO!$D$15,CRONO!$F143,0)))
                +IF(AND($F145&lt;&gt;"",$F145&lt;&gt;0),
                        SUMIF(CÁLCULO!$BS$15:$CS$244,CRONO!AP$12,CÁLCULO!$AR$15:$BR$244)/(ORÇAMENTO!$X$15-CÁLCULO.TotalAdmLocal)*CRONO!$F145,
                        0),
                 AP144*$S143),
          SUMIF(OFFSET($S145,1,0,$R143-2),($M143+1)&amp;"$",OFFSET(AP145,1,0,$R143-2)))</f>
        <v>0</v>
      </c>
      <c r="AQ145" s="202" cm="1">
        <f t="array" aca="1" ref="AQ145" ca="1">IF($R143=2,
         IF(AND(ACOMPANHAMENTO="PLE",ISNUMBER($F143)),
                SUMIF((OFFSET(CÁLCULO!$BS$15:$CS$15,$F143,0,OFFSET(ORÇAMENTO!$D$15,CRONO!$F143,0))),CRONO!AQ$12,OFFSET(CÁLCULO!$AR$15:$BR$15,$F143,0,OFFSET(ORÇAMENTO!$D$15,CRONO!$F143,0)))
                +IF(AND($F145&lt;&gt;"",$F145&lt;&gt;0),
                        SUMIF(CÁLCULO!$BS$15:$CS$244,CRONO!AQ$12,CÁLCULO!$AR$15:$BR$244)/(ORÇAMENTO!$X$15-CÁLCULO.TotalAdmLocal)*CRONO!$F145,
                        0),
                 AQ144*$S143),
          SUMIF(OFFSET($S145,1,0,$R143-2),($M143+1)&amp;"$",OFFSET(AQ145,1,0,$R143-2)))</f>
        <v>0</v>
      </c>
      <c r="AR145" s="202" cm="1">
        <f t="array" aca="1" ref="AR145" ca="1">IF($R143=2,
         IF(AND(ACOMPANHAMENTO="PLE",ISNUMBER($F143)),
                SUMIF((OFFSET(CÁLCULO!$BS$15:$CS$15,$F143,0,OFFSET(ORÇAMENTO!$D$15,CRONO!$F143,0))),CRONO!AR$12,OFFSET(CÁLCULO!$AR$15:$BR$15,$F143,0,OFFSET(ORÇAMENTO!$D$15,CRONO!$F143,0)))
                +IF(AND($F145&lt;&gt;"",$F145&lt;&gt;0),
                        SUMIF(CÁLCULO!$BS$15:$CS$244,CRONO!AR$12,CÁLCULO!$AR$15:$BR$244)/(ORÇAMENTO!$X$15-CÁLCULO.TotalAdmLocal)*CRONO!$F145,
                        0),
                 AR144*$S143),
          SUMIF(OFFSET($S145,1,0,$R143-2),($M143+1)&amp;"$",OFFSET(AR145,1,0,$R143-2)))</f>
        <v>0</v>
      </c>
      <c r="AS145" s="534"/>
    </row>
    <row r="146" spans="1:45" x14ac:dyDescent="0.2">
      <c r="A146" s="186" t="str">
        <f t="shared" ref="A146" ca="1" si="266">IF($M146&gt;1,_xlfn.CONCAT($I146," ",$J146),"")</f>
        <v/>
      </c>
      <c r="B146" s="185">
        <f t="shared" ref="B146" ca="1" si="267">OFFSET(B146,-3,0)+1</f>
        <v>45</v>
      </c>
      <c r="C146" s="185">
        <f ca="1">IF($R146&lt;&gt;2,0,IF($S146=0,1,IF(F147&gt;0,OFFSET(QCI!$M$13,SUBSTITUTE(F147,".",""),0),OFFSET(ORÇAMENTO!$AA$15,CRONO!$F146,0))/$S146))</f>
        <v>0</v>
      </c>
      <c r="D146" s="185">
        <f ca="1">IF($R146&lt;&gt;2,0,IF($S146=0,1,IF(F147&gt;0,OFFSET(QCI!$N$13,SUBSTITUTE(F147,".",""),0),OFFSET(ORÇAMENTO!$AB$15,CRONO!$F146,0))/$S146))</f>
        <v>0</v>
      </c>
      <c r="E146" s="188" t="e" cm="1">
        <f t="array" aca="1" ref="E146" ca="1">IF(AND($R146=2,ACOMPANHAMENTO="BM"),ROUND(E147,4),E148/$S146)</f>
        <v>#DIV/0!</v>
      </c>
      <c r="F146" s="185" cm="1">
        <f t="array" aca="1" ref="F146" ca="1">IF(B146&lt;=ORÇAMENTO.MáximoListaCrono,MATCH(B146,ORÇAMENTO.ListaCrono,0),NA())</f>
        <v>218</v>
      </c>
      <c r="G146" s="185" t="str">
        <f t="shared" ref="G146" ca="1" si="268">IF(AND($F147&lt;&gt;-1,$S146&gt;0),"F","")</f>
        <v/>
      </c>
      <c r="H146" s="189" t="str" cm="1">
        <f t="array" aca="1" ref="H146" ca="1">IF(OR(S146=0,S146=""),"Linha",IF(AND(OR(ACOMPANHAMENTO="PLE",$R146&lt;&gt;2),$F147=0),"Linha",ROUND(1-SUM(U146:AS146),4)))</f>
        <v>Linha</v>
      </c>
      <c r="I146" s="190" t="str">
        <f ca="1">IF($F147=0,OFFSET(ORÇAMENTO!O$15,$F146,0),IF($F147&lt;&gt;-1,OFFSET(QCI!$D$13,$F147,0),""))</f>
        <v>10.</v>
      </c>
      <c r="J146" s="191" t="str">
        <f ca="1">IF($F147=0,OFFSET(ORÇAMENTO!R$15,$F146,0),IF($F147&lt;&gt;-1,OFFSET(QCI!$G$13,$F147,0),""))</f>
        <v>COMPLEMENTAÇÕES</v>
      </c>
      <c r="K146" s="191"/>
      <c r="L146" s="191"/>
      <c r="M146" s="192">
        <f ca="1">IF($F147=0,OFFSET(ORÇAMENTO!C$15,$F146,0),1)</f>
        <v>1</v>
      </c>
      <c r="N146" s="193">
        <f ca="1">IF($F147=-1,0,IF(N$13&lt;=$M146,IF(ISERROR(MATCH(N$13,OFFSET($M146,1,0,ROW($M$164)-ROW($M146)-1),0)),ROW($M$164)-ROW($M146)-1,MATCH(N$13,OFFSET($M146,1,0,ROW($M$164)-ROW($M146)-1),0)-1),0))</f>
        <v>5</v>
      </c>
      <c r="O146" s="193">
        <f ca="1">IF($F147=-1,0,IF(O$13&lt;=$M146,IF(ISERROR(MATCH(O$13,OFFSET($M146,1,0,ROW($M$164)-ROW($M146)-1),0)),ROW($M$164)-ROW($M146)-1,MATCH(O$13,OFFSET($M146,1,0,ROW($M$164)-ROW($M146)-1),0)-1),0))</f>
        <v>0</v>
      </c>
      <c r="P146" s="193">
        <f ca="1">IF($F147=-1,0,IF(P$13&lt;=$M146,IF(ISERROR(MATCH(P$13,OFFSET($M146,1,0,ROW($M$164)-ROW($M146)-1),0)),ROW($M$164)-ROW($M146)-1,MATCH(P$13,OFFSET($M146,1,0,ROW($M$164)-ROW($M146)-1),0)-1),0))</f>
        <v>0</v>
      </c>
      <c r="Q146" s="193">
        <f ca="1">IF($F147=-1,0,IF(Q$13&lt;=$M146,IF(ISERROR(MATCH(Q$13,OFFSET($M146,1,0,ROW($M$164)-ROW($M146)-1),0)),ROW($M$164)-ROW($M146)-1,MATCH(Q$13,OFFSET($M146,1,0,ROW($M$164)-ROW($M146)-1),0)-1),0))</f>
        <v>0</v>
      </c>
      <c r="R146" s="193">
        <f t="shared" ref="R146" ca="1" si="269">MIN(OFFSET(M146,0,1,,M146))</f>
        <v>5</v>
      </c>
      <c r="S146" s="194">
        <f ca="1">IF($F147=0,OFFSET(ORÇAMENTO!X$15,$F146,0),IF($F147&lt;&gt;-1,OFFSET(QCI!$O$13,$F147,0),""))</f>
        <v>0</v>
      </c>
      <c r="T146" s="195" t="s">
        <v>785</v>
      </c>
      <c r="U146" s="188" t="e" cm="1">
        <f t="array" aca="1" ref="U146" ca="1">IF(AND($R146=2,ACOMPANHAMENTO="BM"),ROUND(U147,4),U148/$S146)</f>
        <v>#DIV/0!</v>
      </c>
      <c r="V146" s="188" t="e" cm="1">
        <f t="array" aca="1" ref="V146" ca="1">IF(AND($R146=2,ACOMPANHAMENTO="BM"),ROUND(V147,4),V148/$S146)</f>
        <v>#DIV/0!</v>
      </c>
      <c r="W146" s="188" t="e" cm="1">
        <f t="array" aca="1" ref="W146" ca="1">IF(AND($R146=2,ACOMPANHAMENTO="BM"),ROUND(W147,4),W148/$S146)</f>
        <v>#DIV/0!</v>
      </c>
      <c r="X146" s="188" t="e" cm="1">
        <f t="array" aca="1" ref="X146" ca="1">IF(AND($R146=2,ACOMPANHAMENTO="BM"),ROUND(X147,4),X148/$S146)</f>
        <v>#DIV/0!</v>
      </c>
      <c r="Y146" s="188" t="e" cm="1">
        <f t="array" aca="1" ref="Y146" ca="1">IF(AND($R146=2,ACOMPANHAMENTO="BM"),ROUND(Y147,4),Y148/$S146)</f>
        <v>#DIV/0!</v>
      </c>
      <c r="Z146" s="188" t="e" cm="1">
        <f t="array" aca="1" ref="Z146" ca="1">IF(AND($R146=2,ACOMPANHAMENTO="BM"),ROUND(Z147,4),Z148/$S146)</f>
        <v>#DIV/0!</v>
      </c>
      <c r="AA146" s="188" t="e" cm="1">
        <f t="array" aca="1" ref="AA146" ca="1">IF(AND($R146=2,ACOMPANHAMENTO="BM"),ROUND(AA147,4),AA148/$S146)</f>
        <v>#DIV/0!</v>
      </c>
      <c r="AB146" s="188" t="e" cm="1">
        <f t="array" aca="1" ref="AB146" ca="1">IF(AND($R146=2,ACOMPANHAMENTO="BM"),ROUND(AB147,4),AB148/$S146)</f>
        <v>#DIV/0!</v>
      </c>
      <c r="AC146" s="188" t="e" cm="1">
        <f t="array" aca="1" ref="AC146" ca="1">IF(AND($R146=2,ACOMPANHAMENTO="BM"),ROUND(AC147,4),AC148/$S146)</f>
        <v>#DIV/0!</v>
      </c>
      <c r="AD146" s="188" t="e" cm="1">
        <f t="array" aca="1" ref="AD146" ca="1">IF(AND($R146=2,ACOMPANHAMENTO="BM"),ROUND(AD147,4),AD148/$S146)</f>
        <v>#DIV/0!</v>
      </c>
      <c r="AE146" s="188" t="e" cm="1">
        <f t="array" aca="1" ref="AE146" ca="1">IF(AND($R146=2,ACOMPANHAMENTO="BM"),ROUND(AE147,4),AE148/$S146)</f>
        <v>#DIV/0!</v>
      </c>
      <c r="AF146" s="188" t="e" cm="1">
        <f t="array" aca="1" ref="AF146" ca="1">IF(AND($R146=2,ACOMPANHAMENTO="BM"),ROUND(AF147,4),AF148/$S146)</f>
        <v>#DIV/0!</v>
      </c>
      <c r="AG146" s="188" t="e" cm="1">
        <f t="array" aca="1" ref="AG146" ca="1">IF(AND($R146=2,ACOMPANHAMENTO="BM"),ROUND(AG147,4),AG148/$S146)</f>
        <v>#DIV/0!</v>
      </c>
      <c r="AH146" s="188" t="e" cm="1">
        <f t="array" aca="1" ref="AH146" ca="1">IF(AND($R146=2,ACOMPANHAMENTO="BM"),ROUND(AH147,4),AH148/$S146)</f>
        <v>#DIV/0!</v>
      </c>
      <c r="AI146" s="188" t="e" cm="1">
        <f t="array" aca="1" ref="AI146" ca="1">IF(AND($R146=2,ACOMPANHAMENTO="BM"),ROUND(AI147,4),AI148/$S146)</f>
        <v>#DIV/0!</v>
      </c>
      <c r="AJ146" s="188" t="e" cm="1">
        <f t="array" aca="1" ref="AJ146" ca="1">IF(AND($R146=2,ACOMPANHAMENTO="BM"),ROUND(AJ147,4),AJ148/$S146)</f>
        <v>#DIV/0!</v>
      </c>
      <c r="AK146" s="188" t="e" cm="1">
        <f t="array" aca="1" ref="AK146" ca="1">IF(AND($R146=2,ACOMPANHAMENTO="BM"),ROUND(AK147,4),AK148/$S146)</f>
        <v>#DIV/0!</v>
      </c>
      <c r="AL146" s="188" t="e" cm="1">
        <f t="array" aca="1" ref="AL146" ca="1">IF(AND($R146=2,ACOMPANHAMENTO="BM"),ROUND(AL147,4),AL148/$S146)</f>
        <v>#DIV/0!</v>
      </c>
      <c r="AM146" s="188" t="e" cm="1">
        <f t="array" aca="1" ref="AM146" ca="1">IF(AND($R146=2,ACOMPANHAMENTO="BM"),ROUND(AM147,4),AM148/$S146)</f>
        <v>#DIV/0!</v>
      </c>
      <c r="AN146" s="188" t="e" cm="1">
        <f t="array" aca="1" ref="AN146" ca="1">IF(AND($R146=2,ACOMPANHAMENTO="BM"),ROUND(AN147,4),AN148/$S146)</f>
        <v>#DIV/0!</v>
      </c>
      <c r="AO146" s="188" t="e" cm="1">
        <f t="array" aca="1" ref="AO146" ca="1">IF(AND($R146=2,ACOMPANHAMENTO="BM"),ROUND(AO147,4),AO148/$S146)</f>
        <v>#DIV/0!</v>
      </c>
      <c r="AP146" s="188" t="e" cm="1">
        <f t="array" aca="1" ref="AP146" ca="1">IF(AND($R146=2,ACOMPANHAMENTO="BM"),ROUND(AP147,4),AP148/$S146)</f>
        <v>#DIV/0!</v>
      </c>
      <c r="AQ146" s="188" t="e" cm="1">
        <f t="array" aca="1" ref="AQ146" ca="1">IF(AND($R146=2,ACOMPANHAMENTO="BM"),ROUND(AQ147,4),AQ148/$S146)</f>
        <v>#DIV/0!</v>
      </c>
      <c r="AR146" s="188" t="e" cm="1">
        <f t="array" aca="1" ref="AR146" ca="1">IF(AND($R146=2,ACOMPANHAMENTO="BM"),ROUND(AR147,4),AR148/$S146)</f>
        <v>#DIV/0!</v>
      </c>
      <c r="AS146" s="534"/>
    </row>
    <row r="147" spans="1:45" ht="12.75" hidden="1" customHeight="1" x14ac:dyDescent="0.2">
      <c r="E147" s="587"/>
      <c r="F147" s="185">
        <f ca="1">IF(ISERROR(F146),IF(1+COUNTIF($M$13:OFFSET(M146,-1,0),1)&lt;=MAX(QCI!$D$13:$D$24),1+COUNTIF($M$13:OFFSET(M146,-1,0),1),-1),0)</f>
        <v>0</v>
      </c>
      <c r="G147" s="185" t="str" cm="1">
        <f t="array" aca="1" ref="G147" ca="1">IF(ACOMPANHAMENTO="BM",OFFSET(G147,-1,0),"")</f>
        <v/>
      </c>
      <c r="H147" s="196" t="str" cm="1">
        <f t="array" aca="1" ref="H147" ca="1">IF(OR(S146=0,S146=""),"vazia",IF(AND(OR(ACOMPANHAMENTO="PLE",$R146&lt;&gt;2),$F147=0),"calculada","--&gt;"))</f>
        <v>vazia</v>
      </c>
      <c r="I147" s="197"/>
      <c r="J147" s="198" t="str">
        <f t="shared" ref="J147" ca="1" si="270">IF(AND(H146&lt;&gt;0,ISNUMBER(H146)),"PREENCHA ESTA LINHA --&gt;","")</f>
        <v/>
      </c>
      <c r="K147" s="198"/>
      <c r="L147" s="198"/>
      <c r="M147" s="199"/>
      <c r="N147" s="199"/>
      <c r="O147" s="199"/>
      <c r="P147" s="199"/>
      <c r="Q147" s="199"/>
      <c r="R147" s="199"/>
      <c r="S147" s="200"/>
      <c r="T147" s="201"/>
      <c r="U147" s="587"/>
      <c r="V147" s="587"/>
      <c r="W147" s="587"/>
      <c r="X147" s="587"/>
      <c r="Y147" s="587"/>
      <c r="Z147" s="587"/>
      <c r="AA147" s="587"/>
      <c r="AB147" s="587"/>
      <c r="AC147" s="587"/>
      <c r="AD147" s="587"/>
      <c r="AE147" s="587"/>
      <c r="AF147" s="587"/>
      <c r="AG147" s="587"/>
      <c r="AH147" s="587"/>
      <c r="AI147" s="587"/>
      <c r="AJ147" s="587"/>
      <c r="AK147" s="587"/>
      <c r="AL147" s="587"/>
      <c r="AM147" s="587"/>
      <c r="AN147" s="587"/>
      <c r="AO147" s="587"/>
      <c r="AP147" s="587"/>
      <c r="AQ147" s="587"/>
      <c r="AR147" s="587"/>
      <c r="AS147" s="534"/>
    </row>
    <row r="148" spans="1:45" ht="12.75" hidden="1" customHeight="1" x14ac:dyDescent="0.2">
      <c r="D148" s="533"/>
      <c r="E148" s="202" cm="1">
        <f t="array" aca="1" ref="E148" ca="1">IF($R146=2,
         IF(AND(ACOMPANHAMENTO="PLE",ISNUMBER($F146)),
                SUMIF((OFFSET(CÁLCULO!$BS$15:$CS$15,$F146,0,OFFSET(ORÇAMENTO!$D$15,CRONO!$F146,0))),CRONO!E$12,OFFSET(CÁLCULO!$AR$15:$BR$15,$F146,0,OFFSET(ORÇAMENTO!$D$15,CRONO!$F146,0)))
                +IF(AND($F148&lt;&gt;"",$F148&lt;&gt;0),
                        SUMIF(CÁLCULO!$BS$15:$CS$244,CRONO!E$12,CÁLCULO!$AR$15:$BR$244)/(ORÇAMENTO!$X$15-CÁLCULO.TotalAdmLocal)*CRONO!$F148,
                        0),
                 E147*$S146),
          SUMIF(OFFSET($S148,1,0,$R146-2),($M146+1)&amp;"$",OFFSET(E148,1,0,$R146-2)))</f>
        <v>0</v>
      </c>
      <c r="F148" s="185" t="str">
        <f ca="1">IF(OR($R146&lt;&gt;2,AUTOEVENTO&lt;&gt;"manual",$F147&gt;0),"",
        IF(Import.TipoArredondamento="Tradicional",
              SUMIF(OFFSET(CÁLCULO!$M$15,CRONO!$F146,0,OFFSET(ORÇAMENTO!$D$15,CRONO!$F146,0)),1,OFFSET(ORÇAMENTO!$X$15,CRONO!$F146,0,OFFSET(ORÇAMENTO!$D$15,CRONO!$F146,0))),
              0))</f>
        <v/>
      </c>
      <c r="H148" s="203"/>
      <c r="S148" s="204" t="str">
        <f t="shared" ref="S148" ca="1" si="271">M146&amp;"$"</f>
        <v>1$</v>
      </c>
      <c r="T148" s="205"/>
      <c r="U148" s="202" cm="1">
        <f t="array" aca="1" ref="U148" ca="1">IF($R146=2,
         IF(AND(ACOMPANHAMENTO="PLE",ISNUMBER($F146)),
                SUMIF((OFFSET(CÁLCULO!$BS$15:$CS$15,$F146,0,OFFSET(ORÇAMENTO!$D$15,CRONO!$F146,0))),CRONO!U$12,OFFSET(CÁLCULO!$AR$15:$BR$15,$F146,0,OFFSET(ORÇAMENTO!$D$15,CRONO!$F146,0)))
                +IF(AND($F148&lt;&gt;"",$F148&lt;&gt;0),
                        SUMIF(CÁLCULO!$BS$15:$CS$244,CRONO!U$12,CÁLCULO!$AR$15:$BR$244)/(ORÇAMENTO!$X$15-CÁLCULO.TotalAdmLocal)*CRONO!$F148,
                        0),
                 U147*$S146),
          SUMIF(OFFSET($S148,1,0,$R146-2),($M146+1)&amp;"$",OFFSET(U148,1,0,$R146-2)))</f>
        <v>0</v>
      </c>
      <c r="V148" s="202" cm="1">
        <f t="array" aca="1" ref="V148" ca="1">IF($R146=2,
         IF(AND(ACOMPANHAMENTO="PLE",ISNUMBER($F146)),
                SUMIF((OFFSET(CÁLCULO!$BS$15:$CS$15,$F146,0,OFFSET(ORÇAMENTO!$D$15,CRONO!$F146,0))),CRONO!V$12,OFFSET(CÁLCULO!$AR$15:$BR$15,$F146,0,OFFSET(ORÇAMENTO!$D$15,CRONO!$F146,0)))
                +IF(AND($F148&lt;&gt;"",$F148&lt;&gt;0),
                        SUMIF(CÁLCULO!$BS$15:$CS$244,CRONO!V$12,CÁLCULO!$AR$15:$BR$244)/(ORÇAMENTO!$X$15-CÁLCULO.TotalAdmLocal)*CRONO!$F148,
                        0),
                 V147*$S146),
          SUMIF(OFFSET($S148,1,0,$R146-2),($M146+1)&amp;"$",OFFSET(V148,1,0,$R146-2)))</f>
        <v>0</v>
      </c>
      <c r="W148" s="202" cm="1">
        <f t="array" aca="1" ref="W148" ca="1">IF($R146=2,
         IF(AND(ACOMPANHAMENTO="PLE",ISNUMBER($F146)),
                SUMIF((OFFSET(CÁLCULO!$BS$15:$CS$15,$F146,0,OFFSET(ORÇAMENTO!$D$15,CRONO!$F146,0))),CRONO!W$12,OFFSET(CÁLCULO!$AR$15:$BR$15,$F146,0,OFFSET(ORÇAMENTO!$D$15,CRONO!$F146,0)))
                +IF(AND($F148&lt;&gt;"",$F148&lt;&gt;0),
                        SUMIF(CÁLCULO!$BS$15:$CS$244,CRONO!W$12,CÁLCULO!$AR$15:$BR$244)/(ORÇAMENTO!$X$15-CÁLCULO.TotalAdmLocal)*CRONO!$F148,
                        0),
                 W147*$S146),
          SUMIF(OFFSET($S148,1,0,$R146-2),($M146+1)&amp;"$",OFFSET(W148,1,0,$R146-2)))</f>
        <v>0</v>
      </c>
      <c r="X148" s="202" cm="1">
        <f t="array" aca="1" ref="X148" ca="1">IF($R146=2,
         IF(AND(ACOMPANHAMENTO="PLE",ISNUMBER($F146)),
                SUMIF((OFFSET(CÁLCULO!$BS$15:$CS$15,$F146,0,OFFSET(ORÇAMENTO!$D$15,CRONO!$F146,0))),CRONO!X$12,OFFSET(CÁLCULO!$AR$15:$BR$15,$F146,0,OFFSET(ORÇAMENTO!$D$15,CRONO!$F146,0)))
                +IF(AND($F148&lt;&gt;"",$F148&lt;&gt;0),
                        SUMIF(CÁLCULO!$BS$15:$CS$244,CRONO!X$12,CÁLCULO!$AR$15:$BR$244)/(ORÇAMENTO!$X$15-CÁLCULO.TotalAdmLocal)*CRONO!$F148,
                        0),
                 X147*$S146),
          SUMIF(OFFSET($S148,1,0,$R146-2),($M146+1)&amp;"$",OFFSET(X148,1,0,$R146-2)))</f>
        <v>0</v>
      </c>
      <c r="Y148" s="202" cm="1">
        <f t="array" aca="1" ref="Y148" ca="1">IF($R146=2,
         IF(AND(ACOMPANHAMENTO="PLE",ISNUMBER($F146)),
                SUMIF((OFFSET(CÁLCULO!$BS$15:$CS$15,$F146,0,OFFSET(ORÇAMENTO!$D$15,CRONO!$F146,0))),CRONO!Y$12,OFFSET(CÁLCULO!$AR$15:$BR$15,$F146,0,OFFSET(ORÇAMENTO!$D$15,CRONO!$F146,0)))
                +IF(AND($F148&lt;&gt;"",$F148&lt;&gt;0),
                        SUMIF(CÁLCULO!$BS$15:$CS$244,CRONO!Y$12,CÁLCULO!$AR$15:$BR$244)/(ORÇAMENTO!$X$15-CÁLCULO.TotalAdmLocal)*CRONO!$F148,
                        0),
                 Y147*$S146),
          SUMIF(OFFSET($S148,1,0,$R146-2),($M146+1)&amp;"$",OFFSET(Y148,1,0,$R146-2)))</f>
        <v>0</v>
      </c>
      <c r="Z148" s="202" cm="1">
        <f t="array" aca="1" ref="Z148" ca="1">IF($R146=2,
         IF(AND(ACOMPANHAMENTO="PLE",ISNUMBER($F146)),
                SUMIF((OFFSET(CÁLCULO!$BS$15:$CS$15,$F146,0,OFFSET(ORÇAMENTO!$D$15,CRONO!$F146,0))),CRONO!Z$12,OFFSET(CÁLCULO!$AR$15:$BR$15,$F146,0,OFFSET(ORÇAMENTO!$D$15,CRONO!$F146,0)))
                +IF(AND($F148&lt;&gt;"",$F148&lt;&gt;0),
                        SUMIF(CÁLCULO!$BS$15:$CS$244,CRONO!Z$12,CÁLCULO!$AR$15:$BR$244)/(ORÇAMENTO!$X$15-CÁLCULO.TotalAdmLocal)*CRONO!$F148,
                        0),
                 Z147*$S146),
          SUMIF(OFFSET($S148,1,0,$R146-2),($M146+1)&amp;"$",OFFSET(Z148,1,0,$R146-2)))</f>
        <v>0</v>
      </c>
      <c r="AA148" s="202" cm="1">
        <f t="array" aca="1" ref="AA148" ca="1">IF($R146=2,
         IF(AND(ACOMPANHAMENTO="PLE",ISNUMBER($F146)),
                SUMIF((OFFSET(CÁLCULO!$BS$15:$CS$15,$F146,0,OFFSET(ORÇAMENTO!$D$15,CRONO!$F146,0))),CRONO!AA$12,OFFSET(CÁLCULO!$AR$15:$BR$15,$F146,0,OFFSET(ORÇAMENTO!$D$15,CRONO!$F146,0)))
                +IF(AND($F148&lt;&gt;"",$F148&lt;&gt;0),
                        SUMIF(CÁLCULO!$BS$15:$CS$244,CRONO!AA$12,CÁLCULO!$AR$15:$BR$244)/(ORÇAMENTO!$X$15-CÁLCULO.TotalAdmLocal)*CRONO!$F148,
                        0),
                 AA147*$S146),
          SUMIF(OFFSET($S148,1,0,$R146-2),($M146+1)&amp;"$",OFFSET(AA148,1,0,$R146-2)))</f>
        <v>0</v>
      </c>
      <c r="AB148" s="202" cm="1">
        <f t="array" aca="1" ref="AB148" ca="1">IF($R146=2,
         IF(AND(ACOMPANHAMENTO="PLE",ISNUMBER($F146)),
                SUMIF((OFFSET(CÁLCULO!$BS$15:$CS$15,$F146,0,OFFSET(ORÇAMENTO!$D$15,CRONO!$F146,0))),CRONO!AB$12,OFFSET(CÁLCULO!$AR$15:$BR$15,$F146,0,OFFSET(ORÇAMENTO!$D$15,CRONO!$F146,0)))
                +IF(AND($F148&lt;&gt;"",$F148&lt;&gt;0),
                        SUMIF(CÁLCULO!$BS$15:$CS$244,CRONO!AB$12,CÁLCULO!$AR$15:$BR$244)/(ORÇAMENTO!$X$15-CÁLCULO.TotalAdmLocal)*CRONO!$F148,
                        0),
                 AB147*$S146),
          SUMIF(OFFSET($S148,1,0,$R146-2),($M146+1)&amp;"$",OFFSET(AB148,1,0,$R146-2)))</f>
        <v>0</v>
      </c>
      <c r="AC148" s="202" cm="1">
        <f t="array" aca="1" ref="AC148" ca="1">IF($R146=2,
         IF(AND(ACOMPANHAMENTO="PLE",ISNUMBER($F146)),
                SUMIF((OFFSET(CÁLCULO!$BS$15:$CS$15,$F146,0,OFFSET(ORÇAMENTO!$D$15,CRONO!$F146,0))),CRONO!AC$12,OFFSET(CÁLCULO!$AR$15:$BR$15,$F146,0,OFFSET(ORÇAMENTO!$D$15,CRONO!$F146,0)))
                +IF(AND($F148&lt;&gt;"",$F148&lt;&gt;0),
                        SUMIF(CÁLCULO!$BS$15:$CS$244,CRONO!AC$12,CÁLCULO!$AR$15:$BR$244)/(ORÇAMENTO!$X$15-CÁLCULO.TotalAdmLocal)*CRONO!$F148,
                        0),
                 AC147*$S146),
          SUMIF(OFFSET($S148,1,0,$R146-2),($M146+1)&amp;"$",OFFSET(AC148,1,0,$R146-2)))</f>
        <v>0</v>
      </c>
      <c r="AD148" s="202" cm="1">
        <f t="array" aca="1" ref="AD148" ca="1">IF($R146=2,
         IF(AND(ACOMPANHAMENTO="PLE",ISNUMBER($F146)),
                SUMIF((OFFSET(CÁLCULO!$BS$15:$CS$15,$F146,0,OFFSET(ORÇAMENTO!$D$15,CRONO!$F146,0))),CRONO!AD$12,OFFSET(CÁLCULO!$AR$15:$BR$15,$F146,0,OFFSET(ORÇAMENTO!$D$15,CRONO!$F146,0)))
                +IF(AND($F148&lt;&gt;"",$F148&lt;&gt;0),
                        SUMIF(CÁLCULO!$BS$15:$CS$244,CRONO!AD$12,CÁLCULO!$AR$15:$BR$244)/(ORÇAMENTO!$X$15-CÁLCULO.TotalAdmLocal)*CRONO!$F148,
                        0),
                 AD147*$S146),
          SUMIF(OFFSET($S148,1,0,$R146-2),($M146+1)&amp;"$",OFFSET(AD148,1,0,$R146-2)))</f>
        <v>0</v>
      </c>
      <c r="AE148" s="202" cm="1">
        <f t="array" aca="1" ref="AE148" ca="1">IF($R146=2,
         IF(AND(ACOMPANHAMENTO="PLE",ISNUMBER($F146)),
                SUMIF((OFFSET(CÁLCULO!$BS$15:$CS$15,$F146,0,OFFSET(ORÇAMENTO!$D$15,CRONO!$F146,0))),CRONO!AE$12,OFFSET(CÁLCULO!$AR$15:$BR$15,$F146,0,OFFSET(ORÇAMENTO!$D$15,CRONO!$F146,0)))
                +IF(AND($F148&lt;&gt;"",$F148&lt;&gt;0),
                        SUMIF(CÁLCULO!$BS$15:$CS$244,CRONO!AE$12,CÁLCULO!$AR$15:$BR$244)/(ORÇAMENTO!$X$15-CÁLCULO.TotalAdmLocal)*CRONO!$F148,
                        0),
                 AE147*$S146),
          SUMIF(OFFSET($S148,1,0,$R146-2),($M146+1)&amp;"$",OFFSET(AE148,1,0,$R146-2)))</f>
        <v>0</v>
      </c>
      <c r="AF148" s="202" cm="1">
        <f t="array" aca="1" ref="AF148" ca="1">IF($R146=2,
         IF(AND(ACOMPANHAMENTO="PLE",ISNUMBER($F146)),
                SUMIF((OFFSET(CÁLCULO!$BS$15:$CS$15,$F146,0,OFFSET(ORÇAMENTO!$D$15,CRONO!$F146,0))),CRONO!AF$12,OFFSET(CÁLCULO!$AR$15:$BR$15,$F146,0,OFFSET(ORÇAMENTO!$D$15,CRONO!$F146,0)))
                +IF(AND($F148&lt;&gt;"",$F148&lt;&gt;0),
                        SUMIF(CÁLCULO!$BS$15:$CS$244,CRONO!AF$12,CÁLCULO!$AR$15:$BR$244)/(ORÇAMENTO!$X$15-CÁLCULO.TotalAdmLocal)*CRONO!$F148,
                        0),
                 AF147*$S146),
          SUMIF(OFFSET($S148,1,0,$R146-2),($M146+1)&amp;"$",OFFSET(AF148,1,0,$R146-2)))</f>
        <v>0</v>
      </c>
      <c r="AG148" s="202" cm="1">
        <f t="array" aca="1" ref="AG148" ca="1">IF($R146=2,
         IF(AND(ACOMPANHAMENTO="PLE",ISNUMBER($F146)),
                SUMIF((OFFSET(CÁLCULO!$BS$15:$CS$15,$F146,0,OFFSET(ORÇAMENTO!$D$15,CRONO!$F146,0))),CRONO!AG$12,OFFSET(CÁLCULO!$AR$15:$BR$15,$F146,0,OFFSET(ORÇAMENTO!$D$15,CRONO!$F146,0)))
                +IF(AND($F148&lt;&gt;"",$F148&lt;&gt;0),
                        SUMIF(CÁLCULO!$BS$15:$CS$244,CRONO!AG$12,CÁLCULO!$AR$15:$BR$244)/(ORÇAMENTO!$X$15-CÁLCULO.TotalAdmLocal)*CRONO!$F148,
                        0),
                 AG147*$S146),
          SUMIF(OFFSET($S148,1,0,$R146-2),($M146+1)&amp;"$",OFFSET(AG148,1,0,$R146-2)))</f>
        <v>0</v>
      </c>
      <c r="AH148" s="202" cm="1">
        <f t="array" aca="1" ref="AH148" ca="1">IF($R146=2,
         IF(AND(ACOMPANHAMENTO="PLE",ISNUMBER($F146)),
                SUMIF((OFFSET(CÁLCULO!$BS$15:$CS$15,$F146,0,OFFSET(ORÇAMENTO!$D$15,CRONO!$F146,0))),CRONO!AH$12,OFFSET(CÁLCULO!$AR$15:$BR$15,$F146,0,OFFSET(ORÇAMENTO!$D$15,CRONO!$F146,0)))
                +IF(AND($F148&lt;&gt;"",$F148&lt;&gt;0),
                        SUMIF(CÁLCULO!$BS$15:$CS$244,CRONO!AH$12,CÁLCULO!$AR$15:$BR$244)/(ORÇAMENTO!$X$15-CÁLCULO.TotalAdmLocal)*CRONO!$F148,
                        0),
                 AH147*$S146),
          SUMIF(OFFSET($S148,1,0,$R146-2),($M146+1)&amp;"$",OFFSET(AH148,1,0,$R146-2)))</f>
        <v>0</v>
      </c>
      <c r="AI148" s="202" cm="1">
        <f t="array" aca="1" ref="AI148" ca="1">IF($R146=2,
         IF(AND(ACOMPANHAMENTO="PLE",ISNUMBER($F146)),
                SUMIF((OFFSET(CÁLCULO!$BS$15:$CS$15,$F146,0,OFFSET(ORÇAMENTO!$D$15,CRONO!$F146,0))),CRONO!AI$12,OFFSET(CÁLCULO!$AR$15:$BR$15,$F146,0,OFFSET(ORÇAMENTO!$D$15,CRONO!$F146,0)))
                +IF(AND($F148&lt;&gt;"",$F148&lt;&gt;0),
                        SUMIF(CÁLCULO!$BS$15:$CS$244,CRONO!AI$12,CÁLCULO!$AR$15:$BR$244)/(ORÇAMENTO!$X$15-CÁLCULO.TotalAdmLocal)*CRONO!$F148,
                        0),
                 AI147*$S146),
          SUMIF(OFFSET($S148,1,0,$R146-2),($M146+1)&amp;"$",OFFSET(AI148,1,0,$R146-2)))</f>
        <v>0</v>
      </c>
      <c r="AJ148" s="202" cm="1">
        <f t="array" aca="1" ref="AJ148" ca="1">IF($R146=2,
         IF(AND(ACOMPANHAMENTO="PLE",ISNUMBER($F146)),
                SUMIF((OFFSET(CÁLCULO!$BS$15:$CS$15,$F146,0,OFFSET(ORÇAMENTO!$D$15,CRONO!$F146,0))),CRONO!AJ$12,OFFSET(CÁLCULO!$AR$15:$BR$15,$F146,0,OFFSET(ORÇAMENTO!$D$15,CRONO!$F146,0)))
                +IF(AND($F148&lt;&gt;"",$F148&lt;&gt;0),
                        SUMIF(CÁLCULO!$BS$15:$CS$244,CRONO!AJ$12,CÁLCULO!$AR$15:$BR$244)/(ORÇAMENTO!$X$15-CÁLCULO.TotalAdmLocal)*CRONO!$F148,
                        0),
                 AJ147*$S146),
          SUMIF(OFFSET($S148,1,0,$R146-2),($M146+1)&amp;"$",OFFSET(AJ148,1,0,$R146-2)))</f>
        <v>0</v>
      </c>
      <c r="AK148" s="202" cm="1">
        <f t="array" aca="1" ref="AK148" ca="1">IF($R146=2,
         IF(AND(ACOMPANHAMENTO="PLE",ISNUMBER($F146)),
                SUMIF((OFFSET(CÁLCULO!$BS$15:$CS$15,$F146,0,OFFSET(ORÇAMENTO!$D$15,CRONO!$F146,0))),CRONO!AK$12,OFFSET(CÁLCULO!$AR$15:$BR$15,$F146,0,OFFSET(ORÇAMENTO!$D$15,CRONO!$F146,0)))
                +IF(AND($F148&lt;&gt;"",$F148&lt;&gt;0),
                        SUMIF(CÁLCULO!$BS$15:$CS$244,CRONO!AK$12,CÁLCULO!$AR$15:$BR$244)/(ORÇAMENTO!$X$15-CÁLCULO.TotalAdmLocal)*CRONO!$F148,
                        0),
                 AK147*$S146),
          SUMIF(OFFSET($S148,1,0,$R146-2),($M146+1)&amp;"$",OFFSET(AK148,1,0,$R146-2)))</f>
        <v>0</v>
      </c>
      <c r="AL148" s="202" cm="1">
        <f t="array" aca="1" ref="AL148" ca="1">IF($R146=2,
         IF(AND(ACOMPANHAMENTO="PLE",ISNUMBER($F146)),
                SUMIF((OFFSET(CÁLCULO!$BS$15:$CS$15,$F146,0,OFFSET(ORÇAMENTO!$D$15,CRONO!$F146,0))),CRONO!AL$12,OFFSET(CÁLCULO!$AR$15:$BR$15,$F146,0,OFFSET(ORÇAMENTO!$D$15,CRONO!$F146,0)))
                +IF(AND($F148&lt;&gt;"",$F148&lt;&gt;0),
                        SUMIF(CÁLCULO!$BS$15:$CS$244,CRONO!AL$12,CÁLCULO!$AR$15:$BR$244)/(ORÇAMENTO!$X$15-CÁLCULO.TotalAdmLocal)*CRONO!$F148,
                        0),
                 AL147*$S146),
          SUMIF(OFFSET($S148,1,0,$R146-2),($M146+1)&amp;"$",OFFSET(AL148,1,0,$R146-2)))</f>
        <v>0</v>
      </c>
      <c r="AM148" s="202" cm="1">
        <f t="array" aca="1" ref="AM148" ca="1">IF($R146=2,
         IF(AND(ACOMPANHAMENTO="PLE",ISNUMBER($F146)),
                SUMIF((OFFSET(CÁLCULO!$BS$15:$CS$15,$F146,0,OFFSET(ORÇAMENTO!$D$15,CRONO!$F146,0))),CRONO!AM$12,OFFSET(CÁLCULO!$AR$15:$BR$15,$F146,0,OFFSET(ORÇAMENTO!$D$15,CRONO!$F146,0)))
                +IF(AND($F148&lt;&gt;"",$F148&lt;&gt;0),
                        SUMIF(CÁLCULO!$BS$15:$CS$244,CRONO!AM$12,CÁLCULO!$AR$15:$BR$244)/(ORÇAMENTO!$X$15-CÁLCULO.TotalAdmLocal)*CRONO!$F148,
                        0),
                 AM147*$S146),
          SUMIF(OFFSET($S148,1,0,$R146-2),($M146+1)&amp;"$",OFFSET(AM148,1,0,$R146-2)))</f>
        <v>0</v>
      </c>
      <c r="AN148" s="202" cm="1">
        <f t="array" aca="1" ref="AN148" ca="1">IF($R146=2,
         IF(AND(ACOMPANHAMENTO="PLE",ISNUMBER($F146)),
                SUMIF((OFFSET(CÁLCULO!$BS$15:$CS$15,$F146,0,OFFSET(ORÇAMENTO!$D$15,CRONO!$F146,0))),CRONO!AN$12,OFFSET(CÁLCULO!$AR$15:$BR$15,$F146,0,OFFSET(ORÇAMENTO!$D$15,CRONO!$F146,0)))
                +IF(AND($F148&lt;&gt;"",$F148&lt;&gt;0),
                        SUMIF(CÁLCULO!$BS$15:$CS$244,CRONO!AN$12,CÁLCULO!$AR$15:$BR$244)/(ORÇAMENTO!$X$15-CÁLCULO.TotalAdmLocal)*CRONO!$F148,
                        0),
                 AN147*$S146),
          SUMIF(OFFSET($S148,1,0,$R146-2),($M146+1)&amp;"$",OFFSET(AN148,1,0,$R146-2)))</f>
        <v>0</v>
      </c>
      <c r="AO148" s="202" cm="1">
        <f t="array" aca="1" ref="AO148" ca="1">IF($R146=2,
         IF(AND(ACOMPANHAMENTO="PLE",ISNUMBER($F146)),
                SUMIF((OFFSET(CÁLCULO!$BS$15:$CS$15,$F146,0,OFFSET(ORÇAMENTO!$D$15,CRONO!$F146,0))),CRONO!AO$12,OFFSET(CÁLCULO!$AR$15:$BR$15,$F146,0,OFFSET(ORÇAMENTO!$D$15,CRONO!$F146,0)))
                +IF(AND($F148&lt;&gt;"",$F148&lt;&gt;0),
                        SUMIF(CÁLCULO!$BS$15:$CS$244,CRONO!AO$12,CÁLCULO!$AR$15:$BR$244)/(ORÇAMENTO!$X$15-CÁLCULO.TotalAdmLocal)*CRONO!$F148,
                        0),
                 AO147*$S146),
          SUMIF(OFFSET($S148,1,0,$R146-2),($M146+1)&amp;"$",OFFSET(AO148,1,0,$R146-2)))</f>
        <v>0</v>
      </c>
      <c r="AP148" s="202" cm="1">
        <f t="array" aca="1" ref="AP148" ca="1">IF($R146=2,
         IF(AND(ACOMPANHAMENTO="PLE",ISNUMBER($F146)),
                SUMIF((OFFSET(CÁLCULO!$BS$15:$CS$15,$F146,0,OFFSET(ORÇAMENTO!$D$15,CRONO!$F146,0))),CRONO!AP$12,OFFSET(CÁLCULO!$AR$15:$BR$15,$F146,0,OFFSET(ORÇAMENTO!$D$15,CRONO!$F146,0)))
                +IF(AND($F148&lt;&gt;"",$F148&lt;&gt;0),
                        SUMIF(CÁLCULO!$BS$15:$CS$244,CRONO!AP$12,CÁLCULO!$AR$15:$BR$244)/(ORÇAMENTO!$X$15-CÁLCULO.TotalAdmLocal)*CRONO!$F148,
                        0),
                 AP147*$S146),
          SUMIF(OFFSET($S148,1,0,$R146-2),($M146+1)&amp;"$",OFFSET(AP148,1,0,$R146-2)))</f>
        <v>0</v>
      </c>
      <c r="AQ148" s="202" cm="1">
        <f t="array" aca="1" ref="AQ148" ca="1">IF($R146=2,
         IF(AND(ACOMPANHAMENTO="PLE",ISNUMBER($F146)),
                SUMIF((OFFSET(CÁLCULO!$BS$15:$CS$15,$F146,0,OFFSET(ORÇAMENTO!$D$15,CRONO!$F146,0))),CRONO!AQ$12,OFFSET(CÁLCULO!$AR$15:$BR$15,$F146,0,OFFSET(ORÇAMENTO!$D$15,CRONO!$F146,0)))
                +IF(AND($F148&lt;&gt;"",$F148&lt;&gt;0),
                        SUMIF(CÁLCULO!$BS$15:$CS$244,CRONO!AQ$12,CÁLCULO!$AR$15:$BR$244)/(ORÇAMENTO!$X$15-CÁLCULO.TotalAdmLocal)*CRONO!$F148,
                        0),
                 AQ147*$S146),
          SUMIF(OFFSET($S148,1,0,$R146-2),($M146+1)&amp;"$",OFFSET(AQ148,1,0,$R146-2)))</f>
        <v>0</v>
      </c>
      <c r="AR148" s="202" cm="1">
        <f t="array" aca="1" ref="AR148" ca="1">IF($R146=2,
         IF(AND(ACOMPANHAMENTO="PLE",ISNUMBER($F146)),
                SUMIF((OFFSET(CÁLCULO!$BS$15:$CS$15,$F146,0,OFFSET(ORÇAMENTO!$D$15,CRONO!$F146,0))),CRONO!AR$12,OFFSET(CÁLCULO!$AR$15:$BR$15,$F146,0,OFFSET(ORÇAMENTO!$D$15,CRONO!$F146,0)))
                +IF(AND($F148&lt;&gt;"",$F148&lt;&gt;0),
                        SUMIF(CÁLCULO!$BS$15:$CS$244,CRONO!AR$12,CÁLCULO!$AR$15:$BR$244)/(ORÇAMENTO!$X$15-CÁLCULO.TotalAdmLocal)*CRONO!$F148,
                        0),
                 AR147*$S146),
          SUMIF(OFFSET($S148,1,0,$R146-2),($M146+1)&amp;"$",OFFSET(AR148,1,0,$R146-2)))</f>
        <v>0</v>
      </c>
      <c r="AS148" s="534"/>
    </row>
    <row r="149" spans="1:45" x14ac:dyDescent="0.2">
      <c r="A149" s="186" t="e">
        <f t="shared" ref="A149" ca="1" si="272">IF($M149&gt;1,_xlfn.CONCAT($I149," ",$J149),"")</f>
        <v>#NAME?</v>
      </c>
      <c r="B149" s="185">
        <f t="shared" ref="B149" ca="1" si="273">OFFSET(B149,-3,0)+1</f>
        <v>46</v>
      </c>
      <c r="C149" s="185">
        <f ca="1">IF($R149&lt;&gt;2,0,IF($S149=0,1,IF(F150&gt;0,OFFSET(QCI!$M$13,SUBSTITUTE(F150,".",""),0),OFFSET(ORÇAMENTO!$AA$15,CRONO!$F149,0))/$S149))</f>
        <v>1</v>
      </c>
      <c r="D149" s="185">
        <f ca="1">IF($R149&lt;&gt;2,0,IF($S149=0,1,IF(F150&gt;0,OFFSET(QCI!$N$13,SUBSTITUTE(F150,".",""),0),OFFSET(ORÇAMENTO!$AB$15,CRONO!$F149,0))/$S149))</f>
        <v>1</v>
      </c>
      <c r="E149" s="188" t="e" cm="1">
        <f t="array" aca="1" ref="E149" ca="1">IF(AND($R149=2,ACOMPANHAMENTO="BM"),ROUND(E150,4),E151/$S149)</f>
        <v>#DIV/0!</v>
      </c>
      <c r="F149" s="185" cm="1">
        <f t="array" aca="1" ref="F149" ca="1">IF(B149&lt;=ORÇAMENTO.MáximoListaCrono,MATCH(B149,ORÇAMENTO.ListaCrono,0),NA())</f>
        <v>219</v>
      </c>
      <c r="G149" s="185" t="str">
        <f t="shared" ref="G149" ca="1" si="274">IF(AND($F150&lt;&gt;-1,$S149&gt;0),"F","")</f>
        <v/>
      </c>
      <c r="H149" s="189" t="str" cm="1">
        <f t="array" aca="1" ref="H149" ca="1">IF(OR(S149=0,S149=""),"Linha",IF(AND(OR(ACOMPANHAMENTO="PLE",$R149&lt;&gt;2),$F150=0),"Linha",ROUND(1-SUM(U149:AS149),4)))</f>
        <v>Linha</v>
      </c>
      <c r="I149" s="190" t="str">
        <f ca="1">IF($F150=0,OFFSET(ORÇAMENTO!O$15,$F149,0),IF($F150&lt;&gt;-1,OFFSET(QCI!$D$13,$F150,0),""))</f>
        <v>10.1.</v>
      </c>
      <c r="J149" s="191" t="str">
        <f ca="1">IF($F150=0,OFFSET(ORÇAMENTO!R$15,$F149,0),IF($F150&lt;&gt;-1,OFFSET(QCI!$G$13,$F150,0),""))</f>
        <v>CALAFETE / LIMPEZA</v>
      </c>
      <c r="K149" s="191"/>
      <c r="L149" s="191"/>
      <c r="M149" s="192">
        <f ca="1">IF($F150=0,OFFSET(ORÇAMENTO!C$15,$F149,0),1)</f>
        <v>2</v>
      </c>
      <c r="N149" s="193">
        <f ca="1">IF($F150=-1,0,IF(N$13&lt;=$M149,IF(ISERROR(MATCH(N$13,OFFSET($M149,1,0,ROW($M$164)-ROW($M149)-1),0)),ROW($M$164)-ROW($M149)-1,MATCH(N$13,OFFSET($M149,1,0,ROW($M$164)-ROW($M149)-1),0)-1),0))</f>
        <v>2</v>
      </c>
      <c r="O149" s="193">
        <f ca="1">IF($F150=-1,0,IF(O$13&lt;=$M149,IF(ISERROR(MATCH(O$13,OFFSET($M149,1,0,ROW($M$164)-ROW($M149)-1),0)),ROW($M$164)-ROW($M149)-1,MATCH(O$13,OFFSET($M149,1,0,ROW($M$164)-ROW($M149)-1),0)-1),0))</f>
        <v>14</v>
      </c>
      <c r="P149" s="193">
        <f ca="1">IF($F150=-1,0,IF(P$13&lt;=$M149,IF(ISERROR(MATCH(P$13,OFFSET($M149,1,0,ROW($M$164)-ROW($M149)-1),0)),ROW($M$164)-ROW($M149)-1,MATCH(P$13,OFFSET($M149,1,0,ROW($M$164)-ROW($M149)-1),0)-1),0))</f>
        <v>0</v>
      </c>
      <c r="Q149" s="193">
        <f ca="1">IF($F150=-1,0,IF(Q$13&lt;=$M149,IF(ISERROR(MATCH(Q$13,OFFSET($M149,1,0,ROW($M$164)-ROW($M149)-1),0)),ROW($M$164)-ROW($M149)-1,MATCH(Q$13,OFFSET($M149,1,0,ROW($M$164)-ROW($M149)-1),0)-1),0))</f>
        <v>0</v>
      </c>
      <c r="R149" s="193">
        <f t="shared" ref="R149" ca="1" si="275">MIN(OFFSET(M149,0,1,,M149))</f>
        <v>2</v>
      </c>
      <c r="S149" s="194">
        <f ca="1">IF($F150=0,OFFSET(ORÇAMENTO!X$15,$F149,0),IF($F150&lt;&gt;-1,OFFSET(QCI!$O$13,$F150,0),""))</f>
        <v>0</v>
      </c>
      <c r="T149" s="195" t="s">
        <v>785</v>
      </c>
      <c r="U149" s="188" t="e" cm="1">
        <f t="array" aca="1" ref="U149" ca="1">IF(AND($R149=2,ACOMPANHAMENTO="BM"),ROUND(U150,4),U151/$S149)</f>
        <v>#DIV/0!</v>
      </c>
      <c r="V149" s="188" t="e" cm="1">
        <f t="array" aca="1" ref="V149" ca="1">IF(AND($R149=2,ACOMPANHAMENTO="BM"),ROUND(V150,4),V151/$S149)</f>
        <v>#DIV/0!</v>
      </c>
      <c r="W149" s="188" t="e" cm="1">
        <f t="array" aca="1" ref="W149" ca="1">IF(AND($R149=2,ACOMPANHAMENTO="BM"),ROUND(W150,4),W151/$S149)</f>
        <v>#DIV/0!</v>
      </c>
      <c r="X149" s="188" t="e" cm="1">
        <f t="array" aca="1" ref="X149" ca="1">IF(AND($R149=2,ACOMPANHAMENTO="BM"),ROUND(X150,4),X151/$S149)</f>
        <v>#DIV/0!</v>
      </c>
      <c r="Y149" s="188" t="e" cm="1">
        <f t="array" aca="1" ref="Y149" ca="1">IF(AND($R149=2,ACOMPANHAMENTO="BM"),ROUND(Y150,4),Y151/$S149)</f>
        <v>#DIV/0!</v>
      </c>
      <c r="Z149" s="188" t="e" cm="1">
        <f t="array" aca="1" ref="Z149" ca="1">IF(AND($R149=2,ACOMPANHAMENTO="BM"),ROUND(Z150,4),Z151/$S149)</f>
        <v>#DIV/0!</v>
      </c>
      <c r="AA149" s="188" t="e" cm="1">
        <f t="array" aca="1" ref="AA149" ca="1">IF(AND($R149=2,ACOMPANHAMENTO="BM"),ROUND(AA150,4),AA151/$S149)</f>
        <v>#DIV/0!</v>
      </c>
      <c r="AB149" s="188" t="e" cm="1">
        <f t="array" aca="1" ref="AB149" ca="1">IF(AND($R149=2,ACOMPANHAMENTO="BM"),ROUND(AB150,4),AB151/$S149)</f>
        <v>#DIV/0!</v>
      </c>
      <c r="AC149" s="188" t="e" cm="1">
        <f t="array" aca="1" ref="AC149" ca="1">IF(AND($R149=2,ACOMPANHAMENTO="BM"),ROUND(AC150,4),AC151/$S149)</f>
        <v>#DIV/0!</v>
      </c>
      <c r="AD149" s="188" t="e" cm="1">
        <f t="array" aca="1" ref="AD149" ca="1">IF(AND($R149=2,ACOMPANHAMENTO="BM"),ROUND(AD150,4),AD151/$S149)</f>
        <v>#DIV/0!</v>
      </c>
      <c r="AE149" s="188" t="e" cm="1">
        <f t="array" aca="1" ref="AE149" ca="1">IF(AND($R149=2,ACOMPANHAMENTO="BM"),ROUND(AE150,4),AE151/$S149)</f>
        <v>#DIV/0!</v>
      </c>
      <c r="AF149" s="188" t="e" cm="1">
        <f t="array" aca="1" ref="AF149" ca="1">IF(AND($R149=2,ACOMPANHAMENTO="BM"),ROUND(AF150,4),AF151/$S149)</f>
        <v>#DIV/0!</v>
      </c>
      <c r="AG149" s="188" t="e" cm="1">
        <f t="array" aca="1" ref="AG149" ca="1">IF(AND($R149=2,ACOMPANHAMENTO="BM"),ROUND(AG150,4),AG151/$S149)</f>
        <v>#DIV/0!</v>
      </c>
      <c r="AH149" s="188" t="e" cm="1">
        <f t="array" aca="1" ref="AH149" ca="1">IF(AND($R149=2,ACOMPANHAMENTO="BM"),ROUND(AH150,4),AH151/$S149)</f>
        <v>#DIV/0!</v>
      </c>
      <c r="AI149" s="188" t="e" cm="1">
        <f t="array" aca="1" ref="AI149" ca="1">IF(AND($R149=2,ACOMPANHAMENTO="BM"),ROUND(AI150,4),AI151/$S149)</f>
        <v>#DIV/0!</v>
      </c>
      <c r="AJ149" s="188" t="e" cm="1">
        <f t="array" aca="1" ref="AJ149" ca="1">IF(AND($R149=2,ACOMPANHAMENTO="BM"),ROUND(AJ150,4),AJ151/$S149)</f>
        <v>#DIV/0!</v>
      </c>
      <c r="AK149" s="188" t="e" cm="1">
        <f t="array" aca="1" ref="AK149" ca="1">IF(AND($R149=2,ACOMPANHAMENTO="BM"),ROUND(AK150,4),AK151/$S149)</f>
        <v>#DIV/0!</v>
      </c>
      <c r="AL149" s="188" t="e" cm="1">
        <f t="array" aca="1" ref="AL149" ca="1">IF(AND($R149=2,ACOMPANHAMENTO="BM"),ROUND(AL150,4),AL151/$S149)</f>
        <v>#DIV/0!</v>
      </c>
      <c r="AM149" s="188" t="e" cm="1">
        <f t="array" aca="1" ref="AM149" ca="1">IF(AND($R149=2,ACOMPANHAMENTO="BM"),ROUND(AM150,4),AM151/$S149)</f>
        <v>#DIV/0!</v>
      </c>
      <c r="AN149" s="188" t="e" cm="1">
        <f t="array" aca="1" ref="AN149" ca="1">IF(AND($R149=2,ACOMPANHAMENTO="BM"),ROUND(AN150,4),AN151/$S149)</f>
        <v>#DIV/0!</v>
      </c>
      <c r="AO149" s="188" t="e" cm="1">
        <f t="array" aca="1" ref="AO149" ca="1">IF(AND($R149=2,ACOMPANHAMENTO="BM"),ROUND(AO150,4),AO151/$S149)</f>
        <v>#DIV/0!</v>
      </c>
      <c r="AP149" s="188" t="e" cm="1">
        <f t="array" aca="1" ref="AP149" ca="1">IF(AND($R149=2,ACOMPANHAMENTO="BM"),ROUND(AP150,4),AP151/$S149)</f>
        <v>#DIV/0!</v>
      </c>
      <c r="AQ149" s="188" t="e" cm="1">
        <f t="array" aca="1" ref="AQ149" ca="1">IF(AND($R149=2,ACOMPANHAMENTO="BM"),ROUND(AQ150,4),AQ151/$S149)</f>
        <v>#DIV/0!</v>
      </c>
      <c r="AR149" s="188" t="e" cm="1">
        <f t="array" aca="1" ref="AR149" ca="1">IF(AND($R149=2,ACOMPANHAMENTO="BM"),ROUND(AR150,4),AR151/$S149)</f>
        <v>#DIV/0!</v>
      </c>
      <c r="AS149" s="534"/>
    </row>
    <row r="150" spans="1:45" ht="12.75" hidden="1" customHeight="1" x14ac:dyDescent="0.2">
      <c r="E150" s="587"/>
      <c r="F150" s="185">
        <f ca="1">IF(ISERROR(F149),IF(1+COUNTIF($M$13:OFFSET(M149,-1,0),1)&lt;=MAX(QCI!$D$13:$D$24),1+COUNTIF($M$13:OFFSET(M149,-1,0),1),-1),0)</f>
        <v>0</v>
      </c>
      <c r="G150" s="185" t="str" cm="1">
        <f t="array" aca="1" ref="G150" ca="1">IF(ACOMPANHAMENTO="BM",OFFSET(G150,-1,0),"")</f>
        <v/>
      </c>
      <c r="H150" s="196" t="str" cm="1">
        <f t="array" aca="1" ref="H150" ca="1">IF(OR(S149=0,S149=""),"vazia",IF(AND(OR(ACOMPANHAMENTO="PLE",$R149&lt;&gt;2),$F150=0),"calculada","--&gt;"))</f>
        <v>vazia</v>
      </c>
      <c r="I150" s="197"/>
      <c r="J150" s="198" t="str">
        <f t="shared" ref="J150" ca="1" si="276">IF(AND(H149&lt;&gt;0,ISNUMBER(H149)),"PREENCHA ESTA LINHA --&gt;","")</f>
        <v/>
      </c>
      <c r="K150" s="198"/>
      <c r="L150" s="198"/>
      <c r="M150" s="199"/>
      <c r="N150" s="199"/>
      <c r="O150" s="199"/>
      <c r="P150" s="199"/>
      <c r="Q150" s="199"/>
      <c r="R150" s="199"/>
      <c r="S150" s="200"/>
      <c r="T150" s="201"/>
      <c r="U150" s="587"/>
      <c r="V150" s="587"/>
      <c r="W150" s="587"/>
      <c r="X150" s="587"/>
      <c r="Y150" s="587"/>
      <c r="Z150" s="587"/>
      <c r="AA150" s="587"/>
      <c r="AB150" s="587"/>
      <c r="AC150" s="587"/>
      <c r="AD150" s="587"/>
      <c r="AE150" s="587"/>
      <c r="AF150" s="587"/>
      <c r="AG150" s="587"/>
      <c r="AH150" s="587"/>
      <c r="AI150" s="587"/>
      <c r="AJ150" s="587"/>
      <c r="AK150" s="587"/>
      <c r="AL150" s="587"/>
      <c r="AM150" s="587"/>
      <c r="AN150" s="587"/>
      <c r="AO150" s="587"/>
      <c r="AP150" s="587"/>
      <c r="AQ150" s="587"/>
      <c r="AR150" s="587"/>
      <c r="AS150" s="534"/>
    </row>
    <row r="151" spans="1:45" ht="12.75" hidden="1" customHeight="1" x14ac:dyDescent="0.2">
      <c r="D151" s="533"/>
      <c r="E151" s="202" cm="1">
        <f t="array" aca="1" ref="E151" ca="1">IF($R149=2,
         IF(AND(ACOMPANHAMENTO="PLE",ISNUMBER($F149)),
                SUMIF((OFFSET(CÁLCULO!$BS$15:$CS$15,$F149,0,OFFSET(ORÇAMENTO!$D$15,CRONO!$F149,0))),CRONO!E$12,OFFSET(CÁLCULO!$AR$15:$BR$15,$F149,0,OFFSET(ORÇAMENTO!$D$15,CRONO!$F149,0)))
                +IF(AND($F151&lt;&gt;"",$F151&lt;&gt;0),
                        SUMIF(CÁLCULO!$BS$15:$CS$244,CRONO!E$12,CÁLCULO!$AR$15:$BR$244)/(ORÇAMENTO!$X$15-CÁLCULO.TotalAdmLocal)*CRONO!$F151,
                        0),
                 E150*$S149),
          SUMIF(OFFSET($S151,1,0,$R149-2),($M149+1)&amp;"$",OFFSET(E151,1,0,$R149-2)))</f>
        <v>0</v>
      </c>
      <c r="F151" s="185">
        <f ca="1">IF(OR($R149&lt;&gt;2,AUTOEVENTO&lt;&gt;"manual",$F150&gt;0),"",
        IF(Import.TipoArredondamento="Tradicional",
              SUMIF(OFFSET(CÁLCULO!$M$15,CRONO!$F149,0,OFFSET(ORÇAMENTO!$D$15,CRONO!$F149,0)),1,OFFSET(ORÇAMENTO!$X$15,CRONO!$F149,0,OFFSET(ORÇAMENTO!$D$15,CRONO!$F149,0))),
              0))</f>
        <v>0</v>
      </c>
      <c r="H151" s="203"/>
      <c r="S151" s="204" t="str">
        <f t="shared" ref="S151" ca="1" si="277">M149&amp;"$"</f>
        <v>2$</v>
      </c>
      <c r="T151" s="205"/>
      <c r="U151" s="202" cm="1">
        <f t="array" aca="1" ref="U151" ca="1">IF($R149=2,
         IF(AND(ACOMPANHAMENTO="PLE",ISNUMBER($F149)),
                SUMIF((OFFSET(CÁLCULO!$BS$15:$CS$15,$F149,0,OFFSET(ORÇAMENTO!$D$15,CRONO!$F149,0))),CRONO!U$12,OFFSET(CÁLCULO!$AR$15:$BR$15,$F149,0,OFFSET(ORÇAMENTO!$D$15,CRONO!$F149,0)))
                +IF(AND($F151&lt;&gt;"",$F151&lt;&gt;0),
                        SUMIF(CÁLCULO!$BS$15:$CS$244,CRONO!U$12,CÁLCULO!$AR$15:$BR$244)/(ORÇAMENTO!$X$15-CÁLCULO.TotalAdmLocal)*CRONO!$F151,
                        0),
                 U150*$S149),
          SUMIF(OFFSET($S151,1,0,$R149-2),($M149+1)&amp;"$",OFFSET(U151,1,0,$R149-2)))</f>
        <v>0</v>
      </c>
      <c r="V151" s="202" cm="1">
        <f t="array" aca="1" ref="V151" ca="1">IF($R149=2,
         IF(AND(ACOMPANHAMENTO="PLE",ISNUMBER($F149)),
                SUMIF((OFFSET(CÁLCULO!$BS$15:$CS$15,$F149,0,OFFSET(ORÇAMENTO!$D$15,CRONO!$F149,0))),CRONO!V$12,OFFSET(CÁLCULO!$AR$15:$BR$15,$F149,0,OFFSET(ORÇAMENTO!$D$15,CRONO!$F149,0)))
                +IF(AND($F151&lt;&gt;"",$F151&lt;&gt;0),
                        SUMIF(CÁLCULO!$BS$15:$CS$244,CRONO!V$12,CÁLCULO!$AR$15:$BR$244)/(ORÇAMENTO!$X$15-CÁLCULO.TotalAdmLocal)*CRONO!$F151,
                        0),
                 V150*$S149),
          SUMIF(OFFSET($S151,1,0,$R149-2),($M149+1)&amp;"$",OFFSET(V151,1,0,$R149-2)))</f>
        <v>0</v>
      </c>
      <c r="W151" s="202" cm="1">
        <f t="array" aca="1" ref="W151" ca="1">IF($R149=2,
         IF(AND(ACOMPANHAMENTO="PLE",ISNUMBER($F149)),
                SUMIF((OFFSET(CÁLCULO!$BS$15:$CS$15,$F149,0,OFFSET(ORÇAMENTO!$D$15,CRONO!$F149,0))),CRONO!W$12,OFFSET(CÁLCULO!$AR$15:$BR$15,$F149,0,OFFSET(ORÇAMENTO!$D$15,CRONO!$F149,0)))
                +IF(AND($F151&lt;&gt;"",$F151&lt;&gt;0),
                        SUMIF(CÁLCULO!$BS$15:$CS$244,CRONO!W$12,CÁLCULO!$AR$15:$BR$244)/(ORÇAMENTO!$X$15-CÁLCULO.TotalAdmLocal)*CRONO!$F151,
                        0),
                 W150*$S149),
          SUMIF(OFFSET($S151,1,0,$R149-2),($M149+1)&amp;"$",OFFSET(W151,1,0,$R149-2)))</f>
        <v>0</v>
      </c>
      <c r="X151" s="202" cm="1">
        <f t="array" aca="1" ref="X151" ca="1">IF($R149=2,
         IF(AND(ACOMPANHAMENTO="PLE",ISNUMBER($F149)),
                SUMIF((OFFSET(CÁLCULO!$BS$15:$CS$15,$F149,0,OFFSET(ORÇAMENTO!$D$15,CRONO!$F149,0))),CRONO!X$12,OFFSET(CÁLCULO!$AR$15:$BR$15,$F149,0,OFFSET(ORÇAMENTO!$D$15,CRONO!$F149,0)))
                +IF(AND($F151&lt;&gt;"",$F151&lt;&gt;0),
                        SUMIF(CÁLCULO!$BS$15:$CS$244,CRONO!X$12,CÁLCULO!$AR$15:$BR$244)/(ORÇAMENTO!$X$15-CÁLCULO.TotalAdmLocal)*CRONO!$F151,
                        0),
                 X150*$S149),
          SUMIF(OFFSET($S151,1,0,$R149-2),($M149+1)&amp;"$",OFFSET(X151,1,0,$R149-2)))</f>
        <v>0</v>
      </c>
      <c r="Y151" s="202" cm="1">
        <f t="array" aca="1" ref="Y151" ca="1">IF($R149=2,
         IF(AND(ACOMPANHAMENTO="PLE",ISNUMBER($F149)),
                SUMIF((OFFSET(CÁLCULO!$BS$15:$CS$15,$F149,0,OFFSET(ORÇAMENTO!$D$15,CRONO!$F149,0))),CRONO!Y$12,OFFSET(CÁLCULO!$AR$15:$BR$15,$F149,0,OFFSET(ORÇAMENTO!$D$15,CRONO!$F149,0)))
                +IF(AND($F151&lt;&gt;"",$F151&lt;&gt;0),
                        SUMIF(CÁLCULO!$BS$15:$CS$244,CRONO!Y$12,CÁLCULO!$AR$15:$BR$244)/(ORÇAMENTO!$X$15-CÁLCULO.TotalAdmLocal)*CRONO!$F151,
                        0),
                 Y150*$S149),
          SUMIF(OFFSET($S151,1,0,$R149-2),($M149+1)&amp;"$",OFFSET(Y151,1,0,$R149-2)))</f>
        <v>0</v>
      </c>
      <c r="Z151" s="202" cm="1">
        <f t="array" aca="1" ref="Z151" ca="1">IF($R149=2,
         IF(AND(ACOMPANHAMENTO="PLE",ISNUMBER($F149)),
                SUMIF((OFFSET(CÁLCULO!$BS$15:$CS$15,$F149,0,OFFSET(ORÇAMENTO!$D$15,CRONO!$F149,0))),CRONO!Z$12,OFFSET(CÁLCULO!$AR$15:$BR$15,$F149,0,OFFSET(ORÇAMENTO!$D$15,CRONO!$F149,0)))
                +IF(AND($F151&lt;&gt;"",$F151&lt;&gt;0),
                        SUMIF(CÁLCULO!$BS$15:$CS$244,CRONO!Z$12,CÁLCULO!$AR$15:$BR$244)/(ORÇAMENTO!$X$15-CÁLCULO.TotalAdmLocal)*CRONO!$F151,
                        0),
                 Z150*$S149),
          SUMIF(OFFSET($S151,1,0,$R149-2),($M149+1)&amp;"$",OFFSET(Z151,1,0,$R149-2)))</f>
        <v>0</v>
      </c>
      <c r="AA151" s="202" cm="1">
        <f t="array" aca="1" ref="AA151" ca="1">IF($R149=2,
         IF(AND(ACOMPANHAMENTO="PLE",ISNUMBER($F149)),
                SUMIF((OFFSET(CÁLCULO!$BS$15:$CS$15,$F149,0,OFFSET(ORÇAMENTO!$D$15,CRONO!$F149,0))),CRONO!AA$12,OFFSET(CÁLCULO!$AR$15:$BR$15,$F149,0,OFFSET(ORÇAMENTO!$D$15,CRONO!$F149,0)))
                +IF(AND($F151&lt;&gt;"",$F151&lt;&gt;0),
                        SUMIF(CÁLCULO!$BS$15:$CS$244,CRONO!AA$12,CÁLCULO!$AR$15:$BR$244)/(ORÇAMENTO!$X$15-CÁLCULO.TotalAdmLocal)*CRONO!$F151,
                        0),
                 AA150*$S149),
          SUMIF(OFFSET($S151,1,0,$R149-2),($M149+1)&amp;"$",OFFSET(AA151,1,0,$R149-2)))</f>
        <v>0</v>
      </c>
      <c r="AB151" s="202" cm="1">
        <f t="array" aca="1" ref="AB151" ca="1">IF($R149=2,
         IF(AND(ACOMPANHAMENTO="PLE",ISNUMBER($F149)),
                SUMIF((OFFSET(CÁLCULO!$BS$15:$CS$15,$F149,0,OFFSET(ORÇAMENTO!$D$15,CRONO!$F149,0))),CRONO!AB$12,OFFSET(CÁLCULO!$AR$15:$BR$15,$F149,0,OFFSET(ORÇAMENTO!$D$15,CRONO!$F149,0)))
                +IF(AND($F151&lt;&gt;"",$F151&lt;&gt;0),
                        SUMIF(CÁLCULO!$BS$15:$CS$244,CRONO!AB$12,CÁLCULO!$AR$15:$BR$244)/(ORÇAMENTO!$X$15-CÁLCULO.TotalAdmLocal)*CRONO!$F151,
                        0),
                 AB150*$S149),
          SUMIF(OFFSET($S151,1,0,$R149-2),($M149+1)&amp;"$",OFFSET(AB151,1,0,$R149-2)))</f>
        <v>0</v>
      </c>
      <c r="AC151" s="202" cm="1">
        <f t="array" aca="1" ref="AC151" ca="1">IF($R149=2,
         IF(AND(ACOMPANHAMENTO="PLE",ISNUMBER($F149)),
                SUMIF((OFFSET(CÁLCULO!$BS$15:$CS$15,$F149,0,OFFSET(ORÇAMENTO!$D$15,CRONO!$F149,0))),CRONO!AC$12,OFFSET(CÁLCULO!$AR$15:$BR$15,$F149,0,OFFSET(ORÇAMENTO!$D$15,CRONO!$F149,0)))
                +IF(AND($F151&lt;&gt;"",$F151&lt;&gt;0),
                        SUMIF(CÁLCULO!$BS$15:$CS$244,CRONO!AC$12,CÁLCULO!$AR$15:$BR$244)/(ORÇAMENTO!$X$15-CÁLCULO.TotalAdmLocal)*CRONO!$F151,
                        0),
                 AC150*$S149),
          SUMIF(OFFSET($S151,1,0,$R149-2),($M149+1)&amp;"$",OFFSET(AC151,1,0,$R149-2)))</f>
        <v>0</v>
      </c>
      <c r="AD151" s="202" cm="1">
        <f t="array" aca="1" ref="AD151" ca="1">IF($R149=2,
         IF(AND(ACOMPANHAMENTO="PLE",ISNUMBER($F149)),
                SUMIF((OFFSET(CÁLCULO!$BS$15:$CS$15,$F149,0,OFFSET(ORÇAMENTO!$D$15,CRONO!$F149,0))),CRONO!AD$12,OFFSET(CÁLCULO!$AR$15:$BR$15,$F149,0,OFFSET(ORÇAMENTO!$D$15,CRONO!$F149,0)))
                +IF(AND($F151&lt;&gt;"",$F151&lt;&gt;0),
                        SUMIF(CÁLCULO!$BS$15:$CS$244,CRONO!AD$12,CÁLCULO!$AR$15:$BR$244)/(ORÇAMENTO!$X$15-CÁLCULO.TotalAdmLocal)*CRONO!$F151,
                        0),
                 AD150*$S149),
          SUMIF(OFFSET($S151,1,0,$R149-2),($M149+1)&amp;"$",OFFSET(AD151,1,0,$R149-2)))</f>
        <v>0</v>
      </c>
      <c r="AE151" s="202" cm="1">
        <f t="array" aca="1" ref="AE151" ca="1">IF($R149=2,
         IF(AND(ACOMPANHAMENTO="PLE",ISNUMBER($F149)),
                SUMIF((OFFSET(CÁLCULO!$BS$15:$CS$15,$F149,0,OFFSET(ORÇAMENTO!$D$15,CRONO!$F149,0))),CRONO!AE$12,OFFSET(CÁLCULO!$AR$15:$BR$15,$F149,0,OFFSET(ORÇAMENTO!$D$15,CRONO!$F149,0)))
                +IF(AND($F151&lt;&gt;"",$F151&lt;&gt;0),
                        SUMIF(CÁLCULO!$BS$15:$CS$244,CRONO!AE$12,CÁLCULO!$AR$15:$BR$244)/(ORÇAMENTO!$X$15-CÁLCULO.TotalAdmLocal)*CRONO!$F151,
                        0),
                 AE150*$S149),
          SUMIF(OFFSET($S151,1,0,$R149-2),($M149+1)&amp;"$",OFFSET(AE151,1,0,$R149-2)))</f>
        <v>0</v>
      </c>
      <c r="AF151" s="202" cm="1">
        <f t="array" aca="1" ref="AF151" ca="1">IF($R149=2,
         IF(AND(ACOMPANHAMENTO="PLE",ISNUMBER($F149)),
                SUMIF((OFFSET(CÁLCULO!$BS$15:$CS$15,$F149,0,OFFSET(ORÇAMENTO!$D$15,CRONO!$F149,0))),CRONO!AF$12,OFFSET(CÁLCULO!$AR$15:$BR$15,$F149,0,OFFSET(ORÇAMENTO!$D$15,CRONO!$F149,0)))
                +IF(AND($F151&lt;&gt;"",$F151&lt;&gt;0),
                        SUMIF(CÁLCULO!$BS$15:$CS$244,CRONO!AF$12,CÁLCULO!$AR$15:$BR$244)/(ORÇAMENTO!$X$15-CÁLCULO.TotalAdmLocal)*CRONO!$F151,
                        0),
                 AF150*$S149),
          SUMIF(OFFSET($S151,1,0,$R149-2),($M149+1)&amp;"$",OFFSET(AF151,1,0,$R149-2)))</f>
        <v>0</v>
      </c>
      <c r="AG151" s="202" cm="1">
        <f t="array" aca="1" ref="AG151" ca="1">IF($R149=2,
         IF(AND(ACOMPANHAMENTO="PLE",ISNUMBER($F149)),
                SUMIF((OFFSET(CÁLCULO!$BS$15:$CS$15,$F149,0,OFFSET(ORÇAMENTO!$D$15,CRONO!$F149,0))),CRONO!AG$12,OFFSET(CÁLCULO!$AR$15:$BR$15,$F149,0,OFFSET(ORÇAMENTO!$D$15,CRONO!$F149,0)))
                +IF(AND($F151&lt;&gt;"",$F151&lt;&gt;0),
                        SUMIF(CÁLCULO!$BS$15:$CS$244,CRONO!AG$12,CÁLCULO!$AR$15:$BR$244)/(ORÇAMENTO!$X$15-CÁLCULO.TotalAdmLocal)*CRONO!$F151,
                        0),
                 AG150*$S149),
          SUMIF(OFFSET($S151,1,0,$R149-2),($M149+1)&amp;"$",OFFSET(AG151,1,0,$R149-2)))</f>
        <v>0</v>
      </c>
      <c r="AH151" s="202" cm="1">
        <f t="array" aca="1" ref="AH151" ca="1">IF($R149=2,
         IF(AND(ACOMPANHAMENTO="PLE",ISNUMBER($F149)),
                SUMIF((OFFSET(CÁLCULO!$BS$15:$CS$15,$F149,0,OFFSET(ORÇAMENTO!$D$15,CRONO!$F149,0))),CRONO!AH$12,OFFSET(CÁLCULO!$AR$15:$BR$15,$F149,0,OFFSET(ORÇAMENTO!$D$15,CRONO!$F149,0)))
                +IF(AND($F151&lt;&gt;"",$F151&lt;&gt;0),
                        SUMIF(CÁLCULO!$BS$15:$CS$244,CRONO!AH$12,CÁLCULO!$AR$15:$BR$244)/(ORÇAMENTO!$X$15-CÁLCULO.TotalAdmLocal)*CRONO!$F151,
                        0),
                 AH150*$S149),
          SUMIF(OFFSET($S151,1,0,$R149-2),($M149+1)&amp;"$",OFFSET(AH151,1,0,$R149-2)))</f>
        <v>0</v>
      </c>
      <c r="AI151" s="202" cm="1">
        <f t="array" aca="1" ref="AI151" ca="1">IF($R149=2,
         IF(AND(ACOMPANHAMENTO="PLE",ISNUMBER($F149)),
                SUMIF((OFFSET(CÁLCULO!$BS$15:$CS$15,$F149,0,OFFSET(ORÇAMENTO!$D$15,CRONO!$F149,0))),CRONO!AI$12,OFFSET(CÁLCULO!$AR$15:$BR$15,$F149,0,OFFSET(ORÇAMENTO!$D$15,CRONO!$F149,0)))
                +IF(AND($F151&lt;&gt;"",$F151&lt;&gt;0),
                        SUMIF(CÁLCULO!$BS$15:$CS$244,CRONO!AI$12,CÁLCULO!$AR$15:$BR$244)/(ORÇAMENTO!$X$15-CÁLCULO.TotalAdmLocal)*CRONO!$F151,
                        0),
                 AI150*$S149),
          SUMIF(OFFSET($S151,1,0,$R149-2),($M149+1)&amp;"$",OFFSET(AI151,1,0,$R149-2)))</f>
        <v>0</v>
      </c>
      <c r="AJ151" s="202" cm="1">
        <f t="array" aca="1" ref="AJ151" ca="1">IF($R149=2,
         IF(AND(ACOMPANHAMENTO="PLE",ISNUMBER($F149)),
                SUMIF((OFFSET(CÁLCULO!$BS$15:$CS$15,$F149,0,OFFSET(ORÇAMENTO!$D$15,CRONO!$F149,0))),CRONO!AJ$12,OFFSET(CÁLCULO!$AR$15:$BR$15,$F149,0,OFFSET(ORÇAMENTO!$D$15,CRONO!$F149,0)))
                +IF(AND($F151&lt;&gt;"",$F151&lt;&gt;0),
                        SUMIF(CÁLCULO!$BS$15:$CS$244,CRONO!AJ$12,CÁLCULO!$AR$15:$BR$244)/(ORÇAMENTO!$X$15-CÁLCULO.TotalAdmLocal)*CRONO!$F151,
                        0),
                 AJ150*$S149),
          SUMIF(OFFSET($S151,1,0,$R149-2),($M149+1)&amp;"$",OFFSET(AJ151,1,0,$R149-2)))</f>
        <v>0</v>
      </c>
      <c r="AK151" s="202" cm="1">
        <f t="array" aca="1" ref="AK151" ca="1">IF($R149=2,
         IF(AND(ACOMPANHAMENTO="PLE",ISNUMBER($F149)),
                SUMIF((OFFSET(CÁLCULO!$BS$15:$CS$15,$F149,0,OFFSET(ORÇAMENTO!$D$15,CRONO!$F149,0))),CRONO!AK$12,OFFSET(CÁLCULO!$AR$15:$BR$15,$F149,0,OFFSET(ORÇAMENTO!$D$15,CRONO!$F149,0)))
                +IF(AND($F151&lt;&gt;"",$F151&lt;&gt;0),
                        SUMIF(CÁLCULO!$BS$15:$CS$244,CRONO!AK$12,CÁLCULO!$AR$15:$BR$244)/(ORÇAMENTO!$X$15-CÁLCULO.TotalAdmLocal)*CRONO!$F151,
                        0),
                 AK150*$S149),
          SUMIF(OFFSET($S151,1,0,$R149-2),($M149+1)&amp;"$",OFFSET(AK151,1,0,$R149-2)))</f>
        <v>0</v>
      </c>
      <c r="AL151" s="202" cm="1">
        <f t="array" aca="1" ref="AL151" ca="1">IF($R149=2,
         IF(AND(ACOMPANHAMENTO="PLE",ISNUMBER($F149)),
                SUMIF((OFFSET(CÁLCULO!$BS$15:$CS$15,$F149,0,OFFSET(ORÇAMENTO!$D$15,CRONO!$F149,0))),CRONO!AL$12,OFFSET(CÁLCULO!$AR$15:$BR$15,$F149,0,OFFSET(ORÇAMENTO!$D$15,CRONO!$F149,0)))
                +IF(AND($F151&lt;&gt;"",$F151&lt;&gt;0),
                        SUMIF(CÁLCULO!$BS$15:$CS$244,CRONO!AL$12,CÁLCULO!$AR$15:$BR$244)/(ORÇAMENTO!$X$15-CÁLCULO.TotalAdmLocal)*CRONO!$F151,
                        0),
                 AL150*$S149),
          SUMIF(OFFSET($S151,1,0,$R149-2),($M149+1)&amp;"$",OFFSET(AL151,1,0,$R149-2)))</f>
        <v>0</v>
      </c>
      <c r="AM151" s="202" cm="1">
        <f t="array" aca="1" ref="AM151" ca="1">IF($R149=2,
         IF(AND(ACOMPANHAMENTO="PLE",ISNUMBER($F149)),
                SUMIF((OFFSET(CÁLCULO!$BS$15:$CS$15,$F149,0,OFFSET(ORÇAMENTO!$D$15,CRONO!$F149,0))),CRONO!AM$12,OFFSET(CÁLCULO!$AR$15:$BR$15,$F149,0,OFFSET(ORÇAMENTO!$D$15,CRONO!$F149,0)))
                +IF(AND($F151&lt;&gt;"",$F151&lt;&gt;0),
                        SUMIF(CÁLCULO!$BS$15:$CS$244,CRONO!AM$12,CÁLCULO!$AR$15:$BR$244)/(ORÇAMENTO!$X$15-CÁLCULO.TotalAdmLocal)*CRONO!$F151,
                        0),
                 AM150*$S149),
          SUMIF(OFFSET($S151,1,0,$R149-2),($M149+1)&amp;"$",OFFSET(AM151,1,0,$R149-2)))</f>
        <v>0</v>
      </c>
      <c r="AN151" s="202" cm="1">
        <f t="array" aca="1" ref="AN151" ca="1">IF($R149=2,
         IF(AND(ACOMPANHAMENTO="PLE",ISNUMBER($F149)),
                SUMIF((OFFSET(CÁLCULO!$BS$15:$CS$15,$F149,0,OFFSET(ORÇAMENTO!$D$15,CRONO!$F149,0))),CRONO!AN$12,OFFSET(CÁLCULO!$AR$15:$BR$15,$F149,0,OFFSET(ORÇAMENTO!$D$15,CRONO!$F149,0)))
                +IF(AND($F151&lt;&gt;"",$F151&lt;&gt;0),
                        SUMIF(CÁLCULO!$BS$15:$CS$244,CRONO!AN$12,CÁLCULO!$AR$15:$BR$244)/(ORÇAMENTO!$X$15-CÁLCULO.TotalAdmLocal)*CRONO!$F151,
                        0),
                 AN150*$S149),
          SUMIF(OFFSET($S151,1,0,$R149-2),($M149+1)&amp;"$",OFFSET(AN151,1,0,$R149-2)))</f>
        <v>0</v>
      </c>
      <c r="AO151" s="202" cm="1">
        <f t="array" aca="1" ref="AO151" ca="1">IF($R149=2,
         IF(AND(ACOMPANHAMENTO="PLE",ISNUMBER($F149)),
                SUMIF((OFFSET(CÁLCULO!$BS$15:$CS$15,$F149,0,OFFSET(ORÇAMENTO!$D$15,CRONO!$F149,0))),CRONO!AO$12,OFFSET(CÁLCULO!$AR$15:$BR$15,$F149,0,OFFSET(ORÇAMENTO!$D$15,CRONO!$F149,0)))
                +IF(AND($F151&lt;&gt;"",$F151&lt;&gt;0),
                        SUMIF(CÁLCULO!$BS$15:$CS$244,CRONO!AO$12,CÁLCULO!$AR$15:$BR$244)/(ORÇAMENTO!$X$15-CÁLCULO.TotalAdmLocal)*CRONO!$F151,
                        0),
                 AO150*$S149),
          SUMIF(OFFSET($S151,1,0,$R149-2),($M149+1)&amp;"$",OFFSET(AO151,1,0,$R149-2)))</f>
        <v>0</v>
      </c>
      <c r="AP151" s="202" cm="1">
        <f t="array" aca="1" ref="AP151" ca="1">IF($R149=2,
         IF(AND(ACOMPANHAMENTO="PLE",ISNUMBER($F149)),
                SUMIF((OFFSET(CÁLCULO!$BS$15:$CS$15,$F149,0,OFFSET(ORÇAMENTO!$D$15,CRONO!$F149,0))),CRONO!AP$12,OFFSET(CÁLCULO!$AR$15:$BR$15,$F149,0,OFFSET(ORÇAMENTO!$D$15,CRONO!$F149,0)))
                +IF(AND($F151&lt;&gt;"",$F151&lt;&gt;0),
                        SUMIF(CÁLCULO!$BS$15:$CS$244,CRONO!AP$12,CÁLCULO!$AR$15:$BR$244)/(ORÇAMENTO!$X$15-CÁLCULO.TotalAdmLocal)*CRONO!$F151,
                        0),
                 AP150*$S149),
          SUMIF(OFFSET($S151,1,0,$R149-2),($M149+1)&amp;"$",OFFSET(AP151,1,0,$R149-2)))</f>
        <v>0</v>
      </c>
      <c r="AQ151" s="202" cm="1">
        <f t="array" aca="1" ref="AQ151" ca="1">IF($R149=2,
         IF(AND(ACOMPANHAMENTO="PLE",ISNUMBER($F149)),
                SUMIF((OFFSET(CÁLCULO!$BS$15:$CS$15,$F149,0,OFFSET(ORÇAMENTO!$D$15,CRONO!$F149,0))),CRONO!AQ$12,OFFSET(CÁLCULO!$AR$15:$BR$15,$F149,0,OFFSET(ORÇAMENTO!$D$15,CRONO!$F149,0)))
                +IF(AND($F151&lt;&gt;"",$F151&lt;&gt;0),
                        SUMIF(CÁLCULO!$BS$15:$CS$244,CRONO!AQ$12,CÁLCULO!$AR$15:$BR$244)/(ORÇAMENTO!$X$15-CÁLCULO.TotalAdmLocal)*CRONO!$F151,
                        0),
                 AQ150*$S149),
          SUMIF(OFFSET($S151,1,0,$R149-2),($M149+1)&amp;"$",OFFSET(AQ151,1,0,$R149-2)))</f>
        <v>0</v>
      </c>
      <c r="AR151" s="202" cm="1">
        <f t="array" aca="1" ref="AR151" ca="1">IF($R149=2,
         IF(AND(ACOMPANHAMENTO="PLE",ISNUMBER($F149)),
                SUMIF((OFFSET(CÁLCULO!$BS$15:$CS$15,$F149,0,OFFSET(ORÇAMENTO!$D$15,CRONO!$F149,0))),CRONO!AR$12,OFFSET(CÁLCULO!$AR$15:$BR$15,$F149,0,OFFSET(ORÇAMENTO!$D$15,CRONO!$F149,0)))
                +IF(AND($F151&lt;&gt;"",$F151&lt;&gt;0),
                        SUMIF(CÁLCULO!$BS$15:$CS$244,CRONO!AR$12,CÁLCULO!$AR$15:$BR$244)/(ORÇAMENTO!$X$15-CÁLCULO.TotalAdmLocal)*CRONO!$F151,
                        0),
                 AR150*$S149),
          SUMIF(OFFSET($S151,1,0,$R149-2),($M149+1)&amp;"$",OFFSET(AR151,1,0,$R149-2)))</f>
        <v>0</v>
      </c>
      <c r="AS151" s="534"/>
    </row>
    <row r="152" spans="1:45" hidden="1" x14ac:dyDescent="0.2">
      <c r="A152" s="186" t="str">
        <f t="shared" ref="A152" ca="1" si="278">IF($M152&gt;1,_xlfn.CONCAT($I152," ",$J152),"")</f>
        <v/>
      </c>
      <c r="B152" s="185">
        <f t="shared" ref="B152" ca="1" si="279">OFFSET(B152,-3,0)+1</f>
        <v>47</v>
      </c>
      <c r="C152" s="185">
        <f ca="1">IF($R152&lt;&gt;2,0,IF($S152=0,1,IF(F153&gt;0,OFFSET(QCI!$M$13,SUBSTITUTE(F153,".",""),0),OFFSET(ORÇAMENTO!$AA$15,CRONO!$F152,0))/$S152))</f>
        <v>0</v>
      </c>
      <c r="D152" s="185">
        <f ca="1">IF($R152&lt;&gt;2,0,IF($S152=0,1,IF(F153&gt;0,OFFSET(QCI!$N$13,SUBSTITUTE(F153,".",""),0),OFFSET(ORÇAMENTO!$AB$15,CRONO!$F152,0))/$S152))</f>
        <v>0</v>
      </c>
      <c r="E152" s="188" t="e" cm="1">
        <f t="array" aca="1" ref="E152" ca="1">IF(AND($R152=2,ACOMPANHAMENTO="BM"),ROUND(E153,4),E154/$S152)</f>
        <v>#VALUE!</v>
      </c>
      <c r="F152" s="185" t="e" cm="1">
        <f t="array" aca="1" ref="F152" ca="1">IF(B152&lt;=ORÇAMENTO.MáximoListaCrono,MATCH(B152,ORÇAMENTO.ListaCrono,0),NA())</f>
        <v>#N/A</v>
      </c>
      <c r="G152" s="185" t="str">
        <f t="shared" ref="G152" ca="1" si="280">IF(AND($F153&lt;&gt;-1,$S152&gt;0),"F","")</f>
        <v/>
      </c>
      <c r="H152" s="189" t="str" cm="1">
        <f t="array" aca="1" ref="H152" ca="1">IF(OR(S152=0,S152=""),"Linha",IF(AND(OR(ACOMPANHAMENTO="PLE",$R152&lt;&gt;2),$F153=0),"Linha",ROUND(1-SUM(U152:AS152),4)))</f>
        <v>Linha</v>
      </c>
      <c r="I152" s="190" t="str">
        <f ca="1">IF($F153=0,OFFSET(ORÇAMENTO!O$15,$F152,0),IF($F153&lt;&gt;-1,OFFSET(QCI!$D$13,$F153,0),""))</f>
        <v/>
      </c>
      <c r="J152" s="191" t="str">
        <f ca="1">IF($F153=0,OFFSET(ORÇAMENTO!R$15,$F152,0),IF($F153&lt;&gt;-1,OFFSET(QCI!$G$13,$F153,0),""))</f>
        <v/>
      </c>
      <c r="K152" s="191"/>
      <c r="L152" s="191"/>
      <c r="M152" s="192">
        <f ca="1">IF($F153=0,OFFSET(ORÇAMENTO!C$15,$F152,0),1)</f>
        <v>1</v>
      </c>
      <c r="N152" s="193">
        <f ca="1">IF($F153=-1,0,IF(N$13&lt;=$M152,IF(ISERROR(MATCH(N$13,OFFSET($M152,1,0,ROW($M$164)-ROW($M152)-1),0)),ROW($M$164)-ROW($M152)-1,MATCH(N$13,OFFSET($M152,1,0,ROW($M$164)-ROW($M152)-1),0)-1),0))</f>
        <v>0</v>
      </c>
      <c r="O152" s="193">
        <f ca="1">IF($F153=-1,0,IF(O$13&lt;=$M152,IF(ISERROR(MATCH(O$13,OFFSET($M152,1,0,ROW($M$164)-ROW($M152)-1),0)),ROW($M$164)-ROW($M152)-1,MATCH(O$13,OFFSET($M152,1,0,ROW($M$164)-ROW($M152)-1),0)-1),0))</f>
        <v>0</v>
      </c>
      <c r="P152" s="193">
        <f ca="1">IF($F153=-1,0,IF(P$13&lt;=$M152,IF(ISERROR(MATCH(P$13,OFFSET($M152,1,0,ROW($M$164)-ROW($M152)-1),0)),ROW($M$164)-ROW($M152)-1,MATCH(P$13,OFFSET($M152,1,0,ROW($M$164)-ROW($M152)-1),0)-1),0))</f>
        <v>0</v>
      </c>
      <c r="Q152" s="193">
        <f ca="1">IF($F153=-1,0,IF(Q$13&lt;=$M152,IF(ISERROR(MATCH(Q$13,OFFSET($M152,1,0,ROW($M$164)-ROW($M152)-1),0)),ROW($M$164)-ROW($M152)-1,MATCH(Q$13,OFFSET($M152,1,0,ROW($M$164)-ROW($M152)-1),0)-1),0))</f>
        <v>0</v>
      </c>
      <c r="R152" s="193">
        <f t="shared" ref="R152" ca="1" si="281">MIN(OFFSET(M152,0,1,,M152))</f>
        <v>0</v>
      </c>
      <c r="S152" s="194" t="str">
        <f ca="1">IF($F153=0,OFFSET(ORÇAMENTO!X$15,$F152,0),IF($F153&lt;&gt;-1,OFFSET(QCI!$O$13,$F153,0),""))</f>
        <v/>
      </c>
      <c r="T152" s="195" t="s">
        <v>785</v>
      </c>
      <c r="U152" s="188" t="e" cm="1">
        <f t="array" aca="1" ref="U152" ca="1">IF(AND($R152=2,ACOMPANHAMENTO="BM"),ROUND(U153,4),U154/$S152)</f>
        <v>#VALUE!</v>
      </c>
      <c r="V152" s="188" t="e" cm="1">
        <f t="array" aca="1" ref="V152" ca="1">IF(AND($R152=2,ACOMPANHAMENTO="BM"),ROUND(V153,4),V154/$S152)</f>
        <v>#VALUE!</v>
      </c>
      <c r="W152" s="188" t="e" cm="1">
        <f t="array" aca="1" ref="W152" ca="1">IF(AND($R152=2,ACOMPANHAMENTO="BM"),ROUND(W153,4),W154/$S152)</f>
        <v>#VALUE!</v>
      </c>
      <c r="X152" s="188" t="e" cm="1">
        <f t="array" aca="1" ref="X152" ca="1">IF(AND($R152=2,ACOMPANHAMENTO="BM"),ROUND(X153,4),X154/$S152)</f>
        <v>#VALUE!</v>
      </c>
      <c r="Y152" s="188" t="e" cm="1">
        <f t="array" aca="1" ref="Y152" ca="1">IF(AND($R152=2,ACOMPANHAMENTO="BM"),ROUND(Y153,4),Y154/$S152)</f>
        <v>#VALUE!</v>
      </c>
      <c r="Z152" s="188" t="e" cm="1">
        <f t="array" aca="1" ref="Z152" ca="1">IF(AND($R152=2,ACOMPANHAMENTO="BM"),ROUND(Z153,4),Z154/$S152)</f>
        <v>#VALUE!</v>
      </c>
      <c r="AA152" s="188" t="e" cm="1">
        <f t="array" aca="1" ref="AA152" ca="1">IF(AND($R152=2,ACOMPANHAMENTO="BM"),ROUND(AA153,4),AA154/$S152)</f>
        <v>#VALUE!</v>
      </c>
      <c r="AB152" s="188" t="e" cm="1">
        <f t="array" aca="1" ref="AB152" ca="1">IF(AND($R152=2,ACOMPANHAMENTO="BM"),ROUND(AB153,4),AB154/$S152)</f>
        <v>#VALUE!</v>
      </c>
      <c r="AC152" s="188" t="e" cm="1">
        <f t="array" aca="1" ref="AC152" ca="1">IF(AND($R152=2,ACOMPANHAMENTO="BM"),ROUND(AC153,4),AC154/$S152)</f>
        <v>#VALUE!</v>
      </c>
      <c r="AD152" s="188" t="e" cm="1">
        <f t="array" aca="1" ref="AD152" ca="1">IF(AND($R152=2,ACOMPANHAMENTO="BM"),ROUND(AD153,4),AD154/$S152)</f>
        <v>#VALUE!</v>
      </c>
      <c r="AE152" s="188" t="e" cm="1">
        <f t="array" aca="1" ref="AE152" ca="1">IF(AND($R152=2,ACOMPANHAMENTO="BM"),ROUND(AE153,4),AE154/$S152)</f>
        <v>#VALUE!</v>
      </c>
      <c r="AF152" s="188" t="e" cm="1">
        <f t="array" aca="1" ref="AF152" ca="1">IF(AND($R152=2,ACOMPANHAMENTO="BM"),ROUND(AF153,4),AF154/$S152)</f>
        <v>#VALUE!</v>
      </c>
      <c r="AG152" s="188" t="e" cm="1">
        <f t="array" aca="1" ref="AG152" ca="1">IF(AND($R152=2,ACOMPANHAMENTO="BM"),ROUND(AG153,4),AG154/$S152)</f>
        <v>#VALUE!</v>
      </c>
      <c r="AH152" s="188" t="e" cm="1">
        <f t="array" aca="1" ref="AH152" ca="1">IF(AND($R152=2,ACOMPANHAMENTO="BM"),ROUND(AH153,4),AH154/$S152)</f>
        <v>#VALUE!</v>
      </c>
      <c r="AI152" s="188" t="e" cm="1">
        <f t="array" aca="1" ref="AI152" ca="1">IF(AND($R152=2,ACOMPANHAMENTO="BM"),ROUND(AI153,4),AI154/$S152)</f>
        <v>#VALUE!</v>
      </c>
      <c r="AJ152" s="188" t="e" cm="1">
        <f t="array" aca="1" ref="AJ152" ca="1">IF(AND($R152=2,ACOMPANHAMENTO="BM"),ROUND(AJ153,4),AJ154/$S152)</f>
        <v>#VALUE!</v>
      </c>
      <c r="AK152" s="188" t="e" cm="1">
        <f t="array" aca="1" ref="AK152" ca="1">IF(AND($R152=2,ACOMPANHAMENTO="BM"),ROUND(AK153,4),AK154/$S152)</f>
        <v>#VALUE!</v>
      </c>
      <c r="AL152" s="188" t="e" cm="1">
        <f t="array" aca="1" ref="AL152" ca="1">IF(AND($R152=2,ACOMPANHAMENTO="BM"),ROUND(AL153,4),AL154/$S152)</f>
        <v>#VALUE!</v>
      </c>
      <c r="AM152" s="188" t="e" cm="1">
        <f t="array" aca="1" ref="AM152" ca="1">IF(AND($R152=2,ACOMPANHAMENTO="BM"),ROUND(AM153,4),AM154/$S152)</f>
        <v>#VALUE!</v>
      </c>
      <c r="AN152" s="188" t="e" cm="1">
        <f t="array" aca="1" ref="AN152" ca="1">IF(AND($R152=2,ACOMPANHAMENTO="BM"),ROUND(AN153,4),AN154/$S152)</f>
        <v>#VALUE!</v>
      </c>
      <c r="AO152" s="188" t="e" cm="1">
        <f t="array" aca="1" ref="AO152" ca="1">IF(AND($R152=2,ACOMPANHAMENTO="BM"),ROUND(AO153,4),AO154/$S152)</f>
        <v>#VALUE!</v>
      </c>
      <c r="AP152" s="188" t="e" cm="1">
        <f t="array" aca="1" ref="AP152" ca="1">IF(AND($R152=2,ACOMPANHAMENTO="BM"),ROUND(AP153,4),AP154/$S152)</f>
        <v>#VALUE!</v>
      </c>
      <c r="AQ152" s="188" t="e" cm="1">
        <f t="array" aca="1" ref="AQ152" ca="1">IF(AND($R152=2,ACOMPANHAMENTO="BM"),ROUND(AQ153,4),AQ154/$S152)</f>
        <v>#VALUE!</v>
      </c>
      <c r="AR152" s="188" t="e" cm="1">
        <f t="array" aca="1" ref="AR152" ca="1">IF(AND($R152=2,ACOMPANHAMENTO="BM"),ROUND(AR153,4),AR154/$S152)</f>
        <v>#VALUE!</v>
      </c>
      <c r="AS152" s="534"/>
    </row>
    <row r="153" spans="1:45" ht="12.75" hidden="1" customHeight="1" x14ac:dyDescent="0.2">
      <c r="E153" s="587"/>
      <c r="F153" s="185">
        <f ca="1">IF(ISERROR(F152),IF(1+COUNTIF($M$13:OFFSET(M152,-1,0),1)&lt;=MAX(QCI!$D$13:$D$24),1+COUNTIF($M$13:OFFSET(M152,-1,0),1),-1),0)</f>
        <v>-1</v>
      </c>
      <c r="G153" s="185" t="str" cm="1">
        <f t="array" aca="1" ref="G153" ca="1">IF(ACOMPANHAMENTO="BM",OFFSET(G153,-1,0),"")</f>
        <v/>
      </c>
      <c r="H153" s="196" t="str" cm="1">
        <f t="array" aca="1" ref="H153" ca="1">IF(OR(S152=0,S152=""),"vazia",IF(AND(OR(ACOMPANHAMENTO="PLE",$R152&lt;&gt;2),$F153=0),"calculada","--&gt;"))</f>
        <v>vazia</v>
      </c>
      <c r="I153" s="197"/>
      <c r="J153" s="198" t="str">
        <f t="shared" ref="J153" ca="1" si="282">IF(AND(H152&lt;&gt;0,ISNUMBER(H152)),"PREENCHA ESTA LINHA --&gt;","")</f>
        <v/>
      </c>
      <c r="K153" s="198"/>
      <c r="L153" s="198"/>
      <c r="M153" s="199"/>
      <c r="N153" s="199"/>
      <c r="O153" s="199"/>
      <c r="P153" s="199"/>
      <c r="Q153" s="199"/>
      <c r="R153" s="199"/>
      <c r="S153" s="200"/>
      <c r="T153" s="201"/>
      <c r="U153" s="587"/>
      <c r="V153" s="587"/>
      <c r="W153" s="587"/>
      <c r="X153" s="587"/>
      <c r="Y153" s="587"/>
      <c r="Z153" s="587"/>
      <c r="AA153" s="587"/>
      <c r="AB153" s="587"/>
      <c r="AC153" s="587"/>
      <c r="AD153" s="587"/>
      <c r="AE153" s="587"/>
      <c r="AF153" s="587"/>
      <c r="AG153" s="587"/>
      <c r="AH153" s="587"/>
      <c r="AI153" s="587"/>
      <c r="AJ153" s="587"/>
      <c r="AK153" s="587"/>
      <c r="AL153" s="587"/>
      <c r="AM153" s="587"/>
      <c r="AN153" s="587"/>
      <c r="AO153" s="587"/>
      <c r="AP153" s="587"/>
      <c r="AQ153" s="587"/>
      <c r="AR153" s="587"/>
      <c r="AS153" s="534"/>
    </row>
    <row r="154" spans="1:45" ht="12.75" hidden="1" customHeight="1" x14ac:dyDescent="0.2">
      <c r="D154" s="533"/>
      <c r="E154" s="202" cm="1">
        <f t="array" aca="1" ref="E154" ca="1">IF($R152=2,
         IF(AND(ACOMPANHAMENTO="PLE",ISNUMBER($F152)),
                SUMIF((OFFSET(CÁLCULO!$BS$15:$CS$15,$F152,0,OFFSET(ORÇAMENTO!$D$15,CRONO!$F152,0))),CRONO!E$12,OFFSET(CÁLCULO!$AR$15:$BR$15,$F152,0,OFFSET(ORÇAMENTO!$D$15,CRONO!$F152,0)))
                +IF(AND($F154&lt;&gt;"",$F154&lt;&gt;0),
                        SUMIF(CÁLCULO!$BS$15:$CS$244,CRONO!E$12,CÁLCULO!$AR$15:$BR$244)/(ORÇAMENTO!$X$15-CÁLCULO.TotalAdmLocal)*CRONO!$F154,
                        0),
                 E153*$S152),
          SUMIF(OFFSET($S154,1,0,$R152-2),($M152+1)&amp;"$",OFFSET(E154,1,0,$R152-2)))</f>
        <v>0</v>
      </c>
      <c r="F154" s="185" t="str">
        <f ca="1">IF(OR($R152&lt;&gt;2,AUTOEVENTO&lt;&gt;"manual",$F153&gt;0),"",
        IF(Import.TipoArredondamento="Tradicional",
              SUMIF(OFFSET(CÁLCULO!$M$15,CRONO!$F152,0,OFFSET(ORÇAMENTO!$D$15,CRONO!$F152,0)),1,OFFSET(ORÇAMENTO!$X$15,CRONO!$F152,0,OFFSET(ORÇAMENTO!$D$15,CRONO!$F152,0))),
              0))</f>
        <v/>
      </c>
      <c r="H154" s="203"/>
      <c r="S154" s="204" t="str">
        <f t="shared" ref="S154" ca="1" si="283">M152&amp;"$"</f>
        <v>1$</v>
      </c>
      <c r="T154" s="205"/>
      <c r="U154" s="202" cm="1">
        <f t="array" aca="1" ref="U154" ca="1">IF($R152=2,
         IF(AND(ACOMPANHAMENTO="PLE",ISNUMBER($F152)),
                SUMIF((OFFSET(CÁLCULO!$BS$15:$CS$15,$F152,0,OFFSET(ORÇAMENTO!$D$15,CRONO!$F152,0))),CRONO!U$12,OFFSET(CÁLCULO!$AR$15:$BR$15,$F152,0,OFFSET(ORÇAMENTO!$D$15,CRONO!$F152,0)))
                +IF(AND($F154&lt;&gt;"",$F154&lt;&gt;0),
                        SUMIF(CÁLCULO!$BS$15:$CS$244,CRONO!U$12,CÁLCULO!$AR$15:$BR$244)/(ORÇAMENTO!$X$15-CÁLCULO.TotalAdmLocal)*CRONO!$F154,
                        0),
                 U153*$S152),
          SUMIF(OFFSET($S154,1,0,$R152-2),($M152+1)&amp;"$",OFFSET(U154,1,0,$R152-2)))</f>
        <v>0</v>
      </c>
      <c r="V154" s="202" cm="1">
        <f t="array" aca="1" ref="V154" ca="1">IF($R152=2,
         IF(AND(ACOMPANHAMENTO="PLE",ISNUMBER($F152)),
                SUMIF((OFFSET(CÁLCULO!$BS$15:$CS$15,$F152,0,OFFSET(ORÇAMENTO!$D$15,CRONO!$F152,0))),CRONO!V$12,OFFSET(CÁLCULO!$AR$15:$BR$15,$F152,0,OFFSET(ORÇAMENTO!$D$15,CRONO!$F152,0)))
                +IF(AND($F154&lt;&gt;"",$F154&lt;&gt;0),
                        SUMIF(CÁLCULO!$BS$15:$CS$244,CRONO!V$12,CÁLCULO!$AR$15:$BR$244)/(ORÇAMENTO!$X$15-CÁLCULO.TotalAdmLocal)*CRONO!$F154,
                        0),
                 V153*$S152),
          SUMIF(OFFSET($S154,1,0,$R152-2),($M152+1)&amp;"$",OFFSET(V154,1,0,$R152-2)))</f>
        <v>0</v>
      </c>
      <c r="W154" s="202" cm="1">
        <f t="array" aca="1" ref="W154" ca="1">IF($R152=2,
         IF(AND(ACOMPANHAMENTO="PLE",ISNUMBER($F152)),
                SUMIF((OFFSET(CÁLCULO!$BS$15:$CS$15,$F152,0,OFFSET(ORÇAMENTO!$D$15,CRONO!$F152,0))),CRONO!W$12,OFFSET(CÁLCULO!$AR$15:$BR$15,$F152,0,OFFSET(ORÇAMENTO!$D$15,CRONO!$F152,0)))
                +IF(AND($F154&lt;&gt;"",$F154&lt;&gt;0),
                        SUMIF(CÁLCULO!$BS$15:$CS$244,CRONO!W$12,CÁLCULO!$AR$15:$BR$244)/(ORÇAMENTO!$X$15-CÁLCULO.TotalAdmLocal)*CRONO!$F154,
                        0),
                 W153*$S152),
          SUMIF(OFFSET($S154,1,0,$R152-2),($M152+1)&amp;"$",OFFSET(W154,1,0,$R152-2)))</f>
        <v>0</v>
      </c>
      <c r="X154" s="202" cm="1">
        <f t="array" aca="1" ref="X154" ca="1">IF($R152=2,
         IF(AND(ACOMPANHAMENTO="PLE",ISNUMBER($F152)),
                SUMIF((OFFSET(CÁLCULO!$BS$15:$CS$15,$F152,0,OFFSET(ORÇAMENTO!$D$15,CRONO!$F152,0))),CRONO!X$12,OFFSET(CÁLCULO!$AR$15:$BR$15,$F152,0,OFFSET(ORÇAMENTO!$D$15,CRONO!$F152,0)))
                +IF(AND($F154&lt;&gt;"",$F154&lt;&gt;0),
                        SUMIF(CÁLCULO!$BS$15:$CS$244,CRONO!X$12,CÁLCULO!$AR$15:$BR$244)/(ORÇAMENTO!$X$15-CÁLCULO.TotalAdmLocal)*CRONO!$F154,
                        0),
                 X153*$S152),
          SUMIF(OFFSET($S154,1,0,$R152-2),($M152+1)&amp;"$",OFFSET(X154,1,0,$R152-2)))</f>
        <v>0</v>
      </c>
      <c r="Y154" s="202" cm="1">
        <f t="array" aca="1" ref="Y154" ca="1">IF($R152=2,
         IF(AND(ACOMPANHAMENTO="PLE",ISNUMBER($F152)),
                SUMIF((OFFSET(CÁLCULO!$BS$15:$CS$15,$F152,0,OFFSET(ORÇAMENTO!$D$15,CRONO!$F152,0))),CRONO!Y$12,OFFSET(CÁLCULO!$AR$15:$BR$15,$F152,0,OFFSET(ORÇAMENTO!$D$15,CRONO!$F152,0)))
                +IF(AND($F154&lt;&gt;"",$F154&lt;&gt;0),
                        SUMIF(CÁLCULO!$BS$15:$CS$244,CRONO!Y$12,CÁLCULO!$AR$15:$BR$244)/(ORÇAMENTO!$X$15-CÁLCULO.TotalAdmLocal)*CRONO!$F154,
                        0),
                 Y153*$S152),
          SUMIF(OFFSET($S154,1,0,$R152-2),($M152+1)&amp;"$",OFFSET(Y154,1,0,$R152-2)))</f>
        <v>0</v>
      </c>
      <c r="Z154" s="202" cm="1">
        <f t="array" aca="1" ref="Z154" ca="1">IF($R152=2,
         IF(AND(ACOMPANHAMENTO="PLE",ISNUMBER($F152)),
                SUMIF((OFFSET(CÁLCULO!$BS$15:$CS$15,$F152,0,OFFSET(ORÇAMENTO!$D$15,CRONO!$F152,0))),CRONO!Z$12,OFFSET(CÁLCULO!$AR$15:$BR$15,$F152,0,OFFSET(ORÇAMENTO!$D$15,CRONO!$F152,0)))
                +IF(AND($F154&lt;&gt;"",$F154&lt;&gt;0),
                        SUMIF(CÁLCULO!$BS$15:$CS$244,CRONO!Z$12,CÁLCULO!$AR$15:$BR$244)/(ORÇAMENTO!$X$15-CÁLCULO.TotalAdmLocal)*CRONO!$F154,
                        0),
                 Z153*$S152),
          SUMIF(OFFSET($S154,1,0,$R152-2),($M152+1)&amp;"$",OFFSET(Z154,1,0,$R152-2)))</f>
        <v>0</v>
      </c>
      <c r="AA154" s="202" cm="1">
        <f t="array" aca="1" ref="AA154" ca="1">IF($R152=2,
         IF(AND(ACOMPANHAMENTO="PLE",ISNUMBER($F152)),
                SUMIF((OFFSET(CÁLCULO!$BS$15:$CS$15,$F152,0,OFFSET(ORÇAMENTO!$D$15,CRONO!$F152,0))),CRONO!AA$12,OFFSET(CÁLCULO!$AR$15:$BR$15,$F152,0,OFFSET(ORÇAMENTO!$D$15,CRONO!$F152,0)))
                +IF(AND($F154&lt;&gt;"",$F154&lt;&gt;0),
                        SUMIF(CÁLCULO!$BS$15:$CS$244,CRONO!AA$12,CÁLCULO!$AR$15:$BR$244)/(ORÇAMENTO!$X$15-CÁLCULO.TotalAdmLocal)*CRONO!$F154,
                        0),
                 AA153*$S152),
          SUMIF(OFFSET($S154,1,0,$R152-2),($M152+1)&amp;"$",OFFSET(AA154,1,0,$R152-2)))</f>
        <v>0</v>
      </c>
      <c r="AB154" s="202" cm="1">
        <f t="array" aca="1" ref="AB154" ca="1">IF($R152=2,
         IF(AND(ACOMPANHAMENTO="PLE",ISNUMBER($F152)),
                SUMIF((OFFSET(CÁLCULO!$BS$15:$CS$15,$F152,0,OFFSET(ORÇAMENTO!$D$15,CRONO!$F152,0))),CRONO!AB$12,OFFSET(CÁLCULO!$AR$15:$BR$15,$F152,0,OFFSET(ORÇAMENTO!$D$15,CRONO!$F152,0)))
                +IF(AND($F154&lt;&gt;"",$F154&lt;&gt;0),
                        SUMIF(CÁLCULO!$BS$15:$CS$244,CRONO!AB$12,CÁLCULO!$AR$15:$BR$244)/(ORÇAMENTO!$X$15-CÁLCULO.TotalAdmLocal)*CRONO!$F154,
                        0),
                 AB153*$S152),
          SUMIF(OFFSET($S154,1,0,$R152-2),($M152+1)&amp;"$",OFFSET(AB154,1,0,$R152-2)))</f>
        <v>0</v>
      </c>
      <c r="AC154" s="202" cm="1">
        <f t="array" aca="1" ref="AC154" ca="1">IF($R152=2,
         IF(AND(ACOMPANHAMENTO="PLE",ISNUMBER($F152)),
                SUMIF((OFFSET(CÁLCULO!$BS$15:$CS$15,$F152,0,OFFSET(ORÇAMENTO!$D$15,CRONO!$F152,0))),CRONO!AC$12,OFFSET(CÁLCULO!$AR$15:$BR$15,$F152,0,OFFSET(ORÇAMENTO!$D$15,CRONO!$F152,0)))
                +IF(AND($F154&lt;&gt;"",$F154&lt;&gt;0),
                        SUMIF(CÁLCULO!$BS$15:$CS$244,CRONO!AC$12,CÁLCULO!$AR$15:$BR$244)/(ORÇAMENTO!$X$15-CÁLCULO.TotalAdmLocal)*CRONO!$F154,
                        0),
                 AC153*$S152),
          SUMIF(OFFSET($S154,1,0,$R152-2),($M152+1)&amp;"$",OFFSET(AC154,1,0,$R152-2)))</f>
        <v>0</v>
      </c>
      <c r="AD154" s="202" cm="1">
        <f t="array" aca="1" ref="AD154" ca="1">IF($R152=2,
         IF(AND(ACOMPANHAMENTO="PLE",ISNUMBER($F152)),
                SUMIF((OFFSET(CÁLCULO!$BS$15:$CS$15,$F152,0,OFFSET(ORÇAMENTO!$D$15,CRONO!$F152,0))),CRONO!AD$12,OFFSET(CÁLCULO!$AR$15:$BR$15,$F152,0,OFFSET(ORÇAMENTO!$D$15,CRONO!$F152,0)))
                +IF(AND($F154&lt;&gt;"",$F154&lt;&gt;0),
                        SUMIF(CÁLCULO!$BS$15:$CS$244,CRONO!AD$12,CÁLCULO!$AR$15:$BR$244)/(ORÇAMENTO!$X$15-CÁLCULO.TotalAdmLocal)*CRONO!$F154,
                        0),
                 AD153*$S152),
          SUMIF(OFFSET($S154,1,0,$R152-2),($M152+1)&amp;"$",OFFSET(AD154,1,0,$R152-2)))</f>
        <v>0</v>
      </c>
      <c r="AE154" s="202" cm="1">
        <f t="array" aca="1" ref="AE154" ca="1">IF($R152=2,
         IF(AND(ACOMPANHAMENTO="PLE",ISNUMBER($F152)),
                SUMIF((OFFSET(CÁLCULO!$BS$15:$CS$15,$F152,0,OFFSET(ORÇAMENTO!$D$15,CRONO!$F152,0))),CRONO!AE$12,OFFSET(CÁLCULO!$AR$15:$BR$15,$F152,0,OFFSET(ORÇAMENTO!$D$15,CRONO!$F152,0)))
                +IF(AND($F154&lt;&gt;"",$F154&lt;&gt;0),
                        SUMIF(CÁLCULO!$BS$15:$CS$244,CRONO!AE$12,CÁLCULO!$AR$15:$BR$244)/(ORÇAMENTO!$X$15-CÁLCULO.TotalAdmLocal)*CRONO!$F154,
                        0),
                 AE153*$S152),
          SUMIF(OFFSET($S154,1,0,$R152-2),($M152+1)&amp;"$",OFFSET(AE154,1,0,$R152-2)))</f>
        <v>0</v>
      </c>
      <c r="AF154" s="202" cm="1">
        <f t="array" aca="1" ref="AF154" ca="1">IF($R152=2,
         IF(AND(ACOMPANHAMENTO="PLE",ISNUMBER($F152)),
                SUMIF((OFFSET(CÁLCULO!$BS$15:$CS$15,$F152,0,OFFSET(ORÇAMENTO!$D$15,CRONO!$F152,0))),CRONO!AF$12,OFFSET(CÁLCULO!$AR$15:$BR$15,$F152,0,OFFSET(ORÇAMENTO!$D$15,CRONO!$F152,0)))
                +IF(AND($F154&lt;&gt;"",$F154&lt;&gt;0),
                        SUMIF(CÁLCULO!$BS$15:$CS$244,CRONO!AF$12,CÁLCULO!$AR$15:$BR$244)/(ORÇAMENTO!$X$15-CÁLCULO.TotalAdmLocal)*CRONO!$F154,
                        0),
                 AF153*$S152),
          SUMIF(OFFSET($S154,1,0,$R152-2),($M152+1)&amp;"$",OFFSET(AF154,1,0,$R152-2)))</f>
        <v>0</v>
      </c>
      <c r="AG154" s="202" cm="1">
        <f t="array" aca="1" ref="AG154" ca="1">IF($R152=2,
         IF(AND(ACOMPANHAMENTO="PLE",ISNUMBER($F152)),
                SUMIF((OFFSET(CÁLCULO!$BS$15:$CS$15,$F152,0,OFFSET(ORÇAMENTO!$D$15,CRONO!$F152,0))),CRONO!AG$12,OFFSET(CÁLCULO!$AR$15:$BR$15,$F152,0,OFFSET(ORÇAMENTO!$D$15,CRONO!$F152,0)))
                +IF(AND($F154&lt;&gt;"",$F154&lt;&gt;0),
                        SUMIF(CÁLCULO!$BS$15:$CS$244,CRONO!AG$12,CÁLCULO!$AR$15:$BR$244)/(ORÇAMENTO!$X$15-CÁLCULO.TotalAdmLocal)*CRONO!$F154,
                        0),
                 AG153*$S152),
          SUMIF(OFFSET($S154,1,0,$R152-2),($M152+1)&amp;"$",OFFSET(AG154,1,0,$R152-2)))</f>
        <v>0</v>
      </c>
      <c r="AH154" s="202" cm="1">
        <f t="array" aca="1" ref="AH154" ca="1">IF($R152=2,
         IF(AND(ACOMPANHAMENTO="PLE",ISNUMBER($F152)),
                SUMIF((OFFSET(CÁLCULO!$BS$15:$CS$15,$F152,0,OFFSET(ORÇAMENTO!$D$15,CRONO!$F152,0))),CRONO!AH$12,OFFSET(CÁLCULO!$AR$15:$BR$15,$F152,0,OFFSET(ORÇAMENTO!$D$15,CRONO!$F152,0)))
                +IF(AND($F154&lt;&gt;"",$F154&lt;&gt;0),
                        SUMIF(CÁLCULO!$BS$15:$CS$244,CRONO!AH$12,CÁLCULO!$AR$15:$BR$244)/(ORÇAMENTO!$X$15-CÁLCULO.TotalAdmLocal)*CRONO!$F154,
                        0),
                 AH153*$S152),
          SUMIF(OFFSET($S154,1,0,$R152-2),($M152+1)&amp;"$",OFFSET(AH154,1,0,$R152-2)))</f>
        <v>0</v>
      </c>
      <c r="AI154" s="202" cm="1">
        <f t="array" aca="1" ref="AI154" ca="1">IF($R152=2,
         IF(AND(ACOMPANHAMENTO="PLE",ISNUMBER($F152)),
                SUMIF((OFFSET(CÁLCULO!$BS$15:$CS$15,$F152,0,OFFSET(ORÇAMENTO!$D$15,CRONO!$F152,0))),CRONO!AI$12,OFFSET(CÁLCULO!$AR$15:$BR$15,$F152,0,OFFSET(ORÇAMENTO!$D$15,CRONO!$F152,0)))
                +IF(AND($F154&lt;&gt;"",$F154&lt;&gt;0),
                        SUMIF(CÁLCULO!$BS$15:$CS$244,CRONO!AI$12,CÁLCULO!$AR$15:$BR$244)/(ORÇAMENTO!$X$15-CÁLCULO.TotalAdmLocal)*CRONO!$F154,
                        0),
                 AI153*$S152),
          SUMIF(OFFSET($S154,1,0,$R152-2),($M152+1)&amp;"$",OFFSET(AI154,1,0,$R152-2)))</f>
        <v>0</v>
      </c>
      <c r="AJ154" s="202" cm="1">
        <f t="array" aca="1" ref="AJ154" ca="1">IF($R152=2,
         IF(AND(ACOMPANHAMENTO="PLE",ISNUMBER($F152)),
                SUMIF((OFFSET(CÁLCULO!$BS$15:$CS$15,$F152,0,OFFSET(ORÇAMENTO!$D$15,CRONO!$F152,0))),CRONO!AJ$12,OFFSET(CÁLCULO!$AR$15:$BR$15,$F152,0,OFFSET(ORÇAMENTO!$D$15,CRONO!$F152,0)))
                +IF(AND($F154&lt;&gt;"",$F154&lt;&gt;0),
                        SUMIF(CÁLCULO!$BS$15:$CS$244,CRONO!AJ$12,CÁLCULO!$AR$15:$BR$244)/(ORÇAMENTO!$X$15-CÁLCULO.TotalAdmLocal)*CRONO!$F154,
                        0),
                 AJ153*$S152),
          SUMIF(OFFSET($S154,1,0,$R152-2),($M152+1)&amp;"$",OFFSET(AJ154,1,0,$R152-2)))</f>
        <v>0</v>
      </c>
      <c r="AK154" s="202" cm="1">
        <f t="array" aca="1" ref="AK154" ca="1">IF($R152=2,
         IF(AND(ACOMPANHAMENTO="PLE",ISNUMBER($F152)),
                SUMIF((OFFSET(CÁLCULO!$BS$15:$CS$15,$F152,0,OFFSET(ORÇAMENTO!$D$15,CRONO!$F152,0))),CRONO!AK$12,OFFSET(CÁLCULO!$AR$15:$BR$15,$F152,0,OFFSET(ORÇAMENTO!$D$15,CRONO!$F152,0)))
                +IF(AND($F154&lt;&gt;"",$F154&lt;&gt;0),
                        SUMIF(CÁLCULO!$BS$15:$CS$244,CRONO!AK$12,CÁLCULO!$AR$15:$BR$244)/(ORÇAMENTO!$X$15-CÁLCULO.TotalAdmLocal)*CRONO!$F154,
                        0),
                 AK153*$S152),
          SUMIF(OFFSET($S154,1,0,$R152-2),($M152+1)&amp;"$",OFFSET(AK154,1,0,$R152-2)))</f>
        <v>0</v>
      </c>
      <c r="AL154" s="202" cm="1">
        <f t="array" aca="1" ref="AL154" ca="1">IF($R152=2,
         IF(AND(ACOMPANHAMENTO="PLE",ISNUMBER($F152)),
                SUMIF((OFFSET(CÁLCULO!$BS$15:$CS$15,$F152,0,OFFSET(ORÇAMENTO!$D$15,CRONO!$F152,0))),CRONO!AL$12,OFFSET(CÁLCULO!$AR$15:$BR$15,$F152,0,OFFSET(ORÇAMENTO!$D$15,CRONO!$F152,0)))
                +IF(AND($F154&lt;&gt;"",$F154&lt;&gt;0),
                        SUMIF(CÁLCULO!$BS$15:$CS$244,CRONO!AL$12,CÁLCULO!$AR$15:$BR$244)/(ORÇAMENTO!$X$15-CÁLCULO.TotalAdmLocal)*CRONO!$F154,
                        0),
                 AL153*$S152),
          SUMIF(OFFSET($S154,1,0,$R152-2),($M152+1)&amp;"$",OFFSET(AL154,1,0,$R152-2)))</f>
        <v>0</v>
      </c>
      <c r="AM154" s="202" cm="1">
        <f t="array" aca="1" ref="AM154" ca="1">IF($R152=2,
         IF(AND(ACOMPANHAMENTO="PLE",ISNUMBER($F152)),
                SUMIF((OFFSET(CÁLCULO!$BS$15:$CS$15,$F152,0,OFFSET(ORÇAMENTO!$D$15,CRONO!$F152,0))),CRONO!AM$12,OFFSET(CÁLCULO!$AR$15:$BR$15,$F152,0,OFFSET(ORÇAMENTO!$D$15,CRONO!$F152,0)))
                +IF(AND($F154&lt;&gt;"",$F154&lt;&gt;0),
                        SUMIF(CÁLCULO!$BS$15:$CS$244,CRONO!AM$12,CÁLCULO!$AR$15:$BR$244)/(ORÇAMENTO!$X$15-CÁLCULO.TotalAdmLocal)*CRONO!$F154,
                        0),
                 AM153*$S152),
          SUMIF(OFFSET($S154,1,0,$R152-2),($M152+1)&amp;"$",OFFSET(AM154,1,0,$R152-2)))</f>
        <v>0</v>
      </c>
      <c r="AN154" s="202" cm="1">
        <f t="array" aca="1" ref="AN154" ca="1">IF($R152=2,
         IF(AND(ACOMPANHAMENTO="PLE",ISNUMBER($F152)),
                SUMIF((OFFSET(CÁLCULO!$BS$15:$CS$15,$F152,0,OFFSET(ORÇAMENTO!$D$15,CRONO!$F152,0))),CRONO!AN$12,OFFSET(CÁLCULO!$AR$15:$BR$15,$F152,0,OFFSET(ORÇAMENTO!$D$15,CRONO!$F152,0)))
                +IF(AND($F154&lt;&gt;"",$F154&lt;&gt;0),
                        SUMIF(CÁLCULO!$BS$15:$CS$244,CRONO!AN$12,CÁLCULO!$AR$15:$BR$244)/(ORÇAMENTO!$X$15-CÁLCULO.TotalAdmLocal)*CRONO!$F154,
                        0),
                 AN153*$S152),
          SUMIF(OFFSET($S154,1,0,$R152-2),($M152+1)&amp;"$",OFFSET(AN154,1,0,$R152-2)))</f>
        <v>0</v>
      </c>
      <c r="AO154" s="202" cm="1">
        <f t="array" aca="1" ref="AO154" ca="1">IF($R152=2,
         IF(AND(ACOMPANHAMENTO="PLE",ISNUMBER($F152)),
                SUMIF((OFFSET(CÁLCULO!$BS$15:$CS$15,$F152,0,OFFSET(ORÇAMENTO!$D$15,CRONO!$F152,0))),CRONO!AO$12,OFFSET(CÁLCULO!$AR$15:$BR$15,$F152,0,OFFSET(ORÇAMENTO!$D$15,CRONO!$F152,0)))
                +IF(AND($F154&lt;&gt;"",$F154&lt;&gt;0),
                        SUMIF(CÁLCULO!$BS$15:$CS$244,CRONO!AO$12,CÁLCULO!$AR$15:$BR$244)/(ORÇAMENTO!$X$15-CÁLCULO.TotalAdmLocal)*CRONO!$F154,
                        0),
                 AO153*$S152),
          SUMIF(OFFSET($S154,1,0,$R152-2),($M152+1)&amp;"$",OFFSET(AO154,1,0,$R152-2)))</f>
        <v>0</v>
      </c>
      <c r="AP154" s="202" cm="1">
        <f t="array" aca="1" ref="AP154" ca="1">IF($R152=2,
         IF(AND(ACOMPANHAMENTO="PLE",ISNUMBER($F152)),
                SUMIF((OFFSET(CÁLCULO!$BS$15:$CS$15,$F152,0,OFFSET(ORÇAMENTO!$D$15,CRONO!$F152,0))),CRONO!AP$12,OFFSET(CÁLCULO!$AR$15:$BR$15,$F152,0,OFFSET(ORÇAMENTO!$D$15,CRONO!$F152,0)))
                +IF(AND($F154&lt;&gt;"",$F154&lt;&gt;0),
                        SUMIF(CÁLCULO!$BS$15:$CS$244,CRONO!AP$12,CÁLCULO!$AR$15:$BR$244)/(ORÇAMENTO!$X$15-CÁLCULO.TotalAdmLocal)*CRONO!$F154,
                        0),
                 AP153*$S152),
          SUMIF(OFFSET($S154,1,0,$R152-2),($M152+1)&amp;"$",OFFSET(AP154,1,0,$R152-2)))</f>
        <v>0</v>
      </c>
      <c r="AQ154" s="202" cm="1">
        <f t="array" aca="1" ref="AQ154" ca="1">IF($R152=2,
         IF(AND(ACOMPANHAMENTO="PLE",ISNUMBER($F152)),
                SUMIF((OFFSET(CÁLCULO!$BS$15:$CS$15,$F152,0,OFFSET(ORÇAMENTO!$D$15,CRONO!$F152,0))),CRONO!AQ$12,OFFSET(CÁLCULO!$AR$15:$BR$15,$F152,0,OFFSET(ORÇAMENTO!$D$15,CRONO!$F152,0)))
                +IF(AND($F154&lt;&gt;"",$F154&lt;&gt;0),
                        SUMIF(CÁLCULO!$BS$15:$CS$244,CRONO!AQ$12,CÁLCULO!$AR$15:$BR$244)/(ORÇAMENTO!$X$15-CÁLCULO.TotalAdmLocal)*CRONO!$F154,
                        0),
                 AQ153*$S152),
          SUMIF(OFFSET($S154,1,0,$R152-2),($M152+1)&amp;"$",OFFSET(AQ154,1,0,$R152-2)))</f>
        <v>0</v>
      </c>
      <c r="AR154" s="202" cm="1">
        <f t="array" aca="1" ref="AR154" ca="1">IF($R152=2,
         IF(AND(ACOMPANHAMENTO="PLE",ISNUMBER($F152)),
                SUMIF((OFFSET(CÁLCULO!$BS$15:$CS$15,$F152,0,OFFSET(ORÇAMENTO!$D$15,CRONO!$F152,0))),CRONO!AR$12,OFFSET(CÁLCULO!$AR$15:$BR$15,$F152,0,OFFSET(ORÇAMENTO!$D$15,CRONO!$F152,0)))
                +IF(AND($F154&lt;&gt;"",$F154&lt;&gt;0),
                        SUMIF(CÁLCULO!$BS$15:$CS$244,CRONO!AR$12,CÁLCULO!$AR$15:$BR$244)/(ORÇAMENTO!$X$15-CÁLCULO.TotalAdmLocal)*CRONO!$F154,
                        0),
                 AR153*$S152),
          SUMIF(OFFSET($S154,1,0,$R152-2),($M152+1)&amp;"$",OFFSET(AR154,1,0,$R152-2)))</f>
        <v>0</v>
      </c>
      <c r="AS154" s="534"/>
    </row>
    <row r="155" spans="1:45" hidden="1" x14ac:dyDescent="0.2">
      <c r="A155" s="186" t="str">
        <f t="shared" ref="A155" ca="1" si="284">IF($M155&gt;1,_xlfn.CONCAT($I155," ",$J155),"")</f>
        <v/>
      </c>
      <c r="B155" s="185">
        <f t="shared" ref="B155" ca="1" si="285">OFFSET(B155,-3,0)+1</f>
        <v>48</v>
      </c>
      <c r="C155" s="185">
        <f ca="1">IF($R155&lt;&gt;2,0,IF($S155=0,1,IF(F156&gt;0,OFFSET(QCI!$M$13,SUBSTITUTE(F156,".",""),0),OFFSET(ORÇAMENTO!$AA$15,CRONO!$F155,0))/$S155))</f>
        <v>0</v>
      </c>
      <c r="D155" s="185">
        <f ca="1">IF($R155&lt;&gt;2,0,IF($S155=0,1,IF(F156&gt;0,OFFSET(QCI!$N$13,SUBSTITUTE(F156,".",""),0),OFFSET(ORÇAMENTO!$AB$15,CRONO!$F155,0))/$S155))</f>
        <v>0</v>
      </c>
      <c r="E155" s="188" t="e" cm="1">
        <f t="array" aca="1" ref="E155" ca="1">IF(AND($R155=2,ACOMPANHAMENTO="BM"),ROUND(E156,4),E157/$S155)</f>
        <v>#VALUE!</v>
      </c>
      <c r="F155" s="185" t="e" cm="1">
        <f t="array" aca="1" ref="F155" ca="1">IF(B155&lt;=ORÇAMENTO.MáximoListaCrono,MATCH(B155,ORÇAMENTO.ListaCrono,0),NA())</f>
        <v>#N/A</v>
      </c>
      <c r="G155" s="185" t="str">
        <f t="shared" ref="G155" ca="1" si="286">IF(AND($F156&lt;&gt;-1,$S155&gt;0),"F","")</f>
        <v/>
      </c>
      <c r="H155" s="189" t="str" cm="1">
        <f t="array" aca="1" ref="H155" ca="1">IF(OR(S155=0,S155=""),"Linha",IF(AND(OR(ACOMPANHAMENTO="PLE",$R155&lt;&gt;2),$F156=0),"Linha",ROUND(1-SUM(U155:AS155),4)))</f>
        <v>Linha</v>
      </c>
      <c r="I155" s="190" t="str">
        <f ca="1">IF($F156=0,OFFSET(ORÇAMENTO!O$15,$F155,0),IF($F156&lt;&gt;-1,OFFSET(QCI!$D$13,$F156,0),""))</f>
        <v/>
      </c>
      <c r="J155" s="191" t="str">
        <f ca="1">IF($F156=0,OFFSET(ORÇAMENTO!R$15,$F155,0),IF($F156&lt;&gt;-1,OFFSET(QCI!$G$13,$F156,0),""))</f>
        <v/>
      </c>
      <c r="K155" s="191"/>
      <c r="L155" s="191"/>
      <c r="M155" s="192">
        <f ca="1">IF($F156=0,OFFSET(ORÇAMENTO!C$15,$F155,0),1)</f>
        <v>1</v>
      </c>
      <c r="N155" s="193">
        <f ca="1">IF($F156=-1,0,IF(N$13&lt;=$M155,IF(ISERROR(MATCH(N$13,OFFSET($M155,1,0,ROW($M$164)-ROW($M155)-1),0)),ROW($M$164)-ROW($M155)-1,MATCH(N$13,OFFSET($M155,1,0,ROW($M$164)-ROW($M155)-1),0)-1),0))</f>
        <v>0</v>
      </c>
      <c r="O155" s="193">
        <f ca="1">IF($F156=-1,0,IF(O$13&lt;=$M155,IF(ISERROR(MATCH(O$13,OFFSET($M155,1,0,ROW($M$164)-ROW($M155)-1),0)),ROW($M$164)-ROW($M155)-1,MATCH(O$13,OFFSET($M155,1,0,ROW($M$164)-ROW($M155)-1),0)-1),0))</f>
        <v>0</v>
      </c>
      <c r="P155" s="193">
        <f ca="1">IF($F156=-1,0,IF(P$13&lt;=$M155,IF(ISERROR(MATCH(P$13,OFFSET($M155,1,0,ROW($M$164)-ROW($M155)-1),0)),ROW($M$164)-ROW($M155)-1,MATCH(P$13,OFFSET($M155,1,0,ROW($M$164)-ROW($M155)-1),0)-1),0))</f>
        <v>0</v>
      </c>
      <c r="Q155" s="193">
        <f ca="1">IF($F156=-1,0,IF(Q$13&lt;=$M155,IF(ISERROR(MATCH(Q$13,OFFSET($M155,1,0,ROW($M$164)-ROW($M155)-1),0)),ROW($M$164)-ROW($M155)-1,MATCH(Q$13,OFFSET($M155,1,0,ROW($M$164)-ROW($M155)-1),0)-1),0))</f>
        <v>0</v>
      </c>
      <c r="R155" s="193">
        <f t="shared" ref="R155" ca="1" si="287">MIN(OFFSET(M155,0,1,,M155))</f>
        <v>0</v>
      </c>
      <c r="S155" s="194" t="str">
        <f ca="1">IF($F156=0,OFFSET(ORÇAMENTO!X$15,$F155,0),IF($F156&lt;&gt;-1,OFFSET(QCI!$O$13,$F156,0),""))</f>
        <v/>
      </c>
      <c r="T155" s="195" t="s">
        <v>785</v>
      </c>
      <c r="U155" s="188" t="e" cm="1">
        <f t="array" aca="1" ref="U155" ca="1">IF(AND($R155=2,ACOMPANHAMENTO="BM"),ROUND(U156,4),U157/$S155)</f>
        <v>#VALUE!</v>
      </c>
      <c r="V155" s="188" t="e" cm="1">
        <f t="array" aca="1" ref="V155" ca="1">IF(AND($R155=2,ACOMPANHAMENTO="BM"),ROUND(V156,4),V157/$S155)</f>
        <v>#VALUE!</v>
      </c>
      <c r="W155" s="188" t="e" cm="1">
        <f t="array" aca="1" ref="W155" ca="1">IF(AND($R155=2,ACOMPANHAMENTO="BM"),ROUND(W156,4),W157/$S155)</f>
        <v>#VALUE!</v>
      </c>
      <c r="X155" s="188" t="e" cm="1">
        <f t="array" aca="1" ref="X155" ca="1">IF(AND($R155=2,ACOMPANHAMENTO="BM"),ROUND(X156,4),X157/$S155)</f>
        <v>#VALUE!</v>
      </c>
      <c r="Y155" s="188" t="e" cm="1">
        <f t="array" aca="1" ref="Y155" ca="1">IF(AND($R155=2,ACOMPANHAMENTO="BM"),ROUND(Y156,4),Y157/$S155)</f>
        <v>#VALUE!</v>
      </c>
      <c r="Z155" s="188" t="e" cm="1">
        <f t="array" aca="1" ref="Z155" ca="1">IF(AND($R155=2,ACOMPANHAMENTO="BM"),ROUND(Z156,4),Z157/$S155)</f>
        <v>#VALUE!</v>
      </c>
      <c r="AA155" s="188" t="e" cm="1">
        <f t="array" aca="1" ref="AA155" ca="1">IF(AND($R155=2,ACOMPANHAMENTO="BM"),ROUND(AA156,4),AA157/$S155)</f>
        <v>#VALUE!</v>
      </c>
      <c r="AB155" s="188" t="e" cm="1">
        <f t="array" aca="1" ref="AB155" ca="1">IF(AND($R155=2,ACOMPANHAMENTO="BM"),ROUND(AB156,4),AB157/$S155)</f>
        <v>#VALUE!</v>
      </c>
      <c r="AC155" s="188" t="e" cm="1">
        <f t="array" aca="1" ref="AC155" ca="1">IF(AND($R155=2,ACOMPANHAMENTO="BM"),ROUND(AC156,4),AC157/$S155)</f>
        <v>#VALUE!</v>
      </c>
      <c r="AD155" s="188" t="e" cm="1">
        <f t="array" aca="1" ref="AD155" ca="1">IF(AND($R155=2,ACOMPANHAMENTO="BM"),ROUND(AD156,4),AD157/$S155)</f>
        <v>#VALUE!</v>
      </c>
      <c r="AE155" s="188" t="e" cm="1">
        <f t="array" aca="1" ref="AE155" ca="1">IF(AND($R155=2,ACOMPANHAMENTO="BM"),ROUND(AE156,4),AE157/$S155)</f>
        <v>#VALUE!</v>
      </c>
      <c r="AF155" s="188" t="e" cm="1">
        <f t="array" aca="1" ref="AF155" ca="1">IF(AND($R155=2,ACOMPANHAMENTO="BM"),ROUND(AF156,4),AF157/$S155)</f>
        <v>#VALUE!</v>
      </c>
      <c r="AG155" s="188" t="e" cm="1">
        <f t="array" aca="1" ref="AG155" ca="1">IF(AND($R155=2,ACOMPANHAMENTO="BM"),ROUND(AG156,4),AG157/$S155)</f>
        <v>#VALUE!</v>
      </c>
      <c r="AH155" s="188" t="e" cm="1">
        <f t="array" aca="1" ref="AH155" ca="1">IF(AND($R155=2,ACOMPANHAMENTO="BM"),ROUND(AH156,4),AH157/$S155)</f>
        <v>#VALUE!</v>
      </c>
      <c r="AI155" s="188" t="e" cm="1">
        <f t="array" aca="1" ref="AI155" ca="1">IF(AND($R155=2,ACOMPANHAMENTO="BM"),ROUND(AI156,4),AI157/$S155)</f>
        <v>#VALUE!</v>
      </c>
      <c r="AJ155" s="188" t="e" cm="1">
        <f t="array" aca="1" ref="AJ155" ca="1">IF(AND($R155=2,ACOMPANHAMENTO="BM"),ROUND(AJ156,4),AJ157/$S155)</f>
        <v>#VALUE!</v>
      </c>
      <c r="AK155" s="188" t="e" cm="1">
        <f t="array" aca="1" ref="AK155" ca="1">IF(AND($R155=2,ACOMPANHAMENTO="BM"),ROUND(AK156,4),AK157/$S155)</f>
        <v>#VALUE!</v>
      </c>
      <c r="AL155" s="188" t="e" cm="1">
        <f t="array" aca="1" ref="AL155" ca="1">IF(AND($R155=2,ACOMPANHAMENTO="BM"),ROUND(AL156,4),AL157/$S155)</f>
        <v>#VALUE!</v>
      </c>
      <c r="AM155" s="188" t="e" cm="1">
        <f t="array" aca="1" ref="AM155" ca="1">IF(AND($R155=2,ACOMPANHAMENTO="BM"),ROUND(AM156,4),AM157/$S155)</f>
        <v>#VALUE!</v>
      </c>
      <c r="AN155" s="188" t="e" cm="1">
        <f t="array" aca="1" ref="AN155" ca="1">IF(AND($R155=2,ACOMPANHAMENTO="BM"),ROUND(AN156,4),AN157/$S155)</f>
        <v>#VALUE!</v>
      </c>
      <c r="AO155" s="188" t="e" cm="1">
        <f t="array" aca="1" ref="AO155" ca="1">IF(AND($R155=2,ACOMPANHAMENTO="BM"),ROUND(AO156,4),AO157/$S155)</f>
        <v>#VALUE!</v>
      </c>
      <c r="AP155" s="188" t="e" cm="1">
        <f t="array" aca="1" ref="AP155" ca="1">IF(AND($R155=2,ACOMPANHAMENTO="BM"),ROUND(AP156,4),AP157/$S155)</f>
        <v>#VALUE!</v>
      </c>
      <c r="AQ155" s="188" t="e" cm="1">
        <f t="array" aca="1" ref="AQ155" ca="1">IF(AND($R155=2,ACOMPANHAMENTO="BM"),ROUND(AQ156,4),AQ157/$S155)</f>
        <v>#VALUE!</v>
      </c>
      <c r="AR155" s="188" t="e" cm="1">
        <f t="array" aca="1" ref="AR155" ca="1">IF(AND($R155=2,ACOMPANHAMENTO="BM"),ROUND(AR156,4),AR157/$S155)</f>
        <v>#VALUE!</v>
      </c>
      <c r="AS155" s="534"/>
    </row>
    <row r="156" spans="1:45" ht="12.75" hidden="1" customHeight="1" x14ac:dyDescent="0.2">
      <c r="E156" s="587"/>
      <c r="F156" s="185">
        <f ca="1">IF(ISERROR(F155),IF(1+COUNTIF($M$13:OFFSET(M155,-1,0),1)&lt;=MAX(QCI!$D$13:$D$24),1+COUNTIF($M$13:OFFSET(M155,-1,0),1),-1),0)</f>
        <v>-1</v>
      </c>
      <c r="G156" s="185" t="str" cm="1">
        <f t="array" aca="1" ref="G156" ca="1">IF(ACOMPANHAMENTO="BM",OFFSET(G156,-1,0),"")</f>
        <v/>
      </c>
      <c r="H156" s="196" t="str" cm="1">
        <f t="array" aca="1" ref="H156" ca="1">IF(OR(S155=0,S155=""),"vazia",IF(AND(OR(ACOMPANHAMENTO="PLE",$R155&lt;&gt;2),$F156=0),"calculada","--&gt;"))</f>
        <v>vazia</v>
      </c>
      <c r="I156" s="197"/>
      <c r="J156" s="198" t="str">
        <f t="shared" ref="J156" ca="1" si="288">IF(AND(H155&lt;&gt;0,ISNUMBER(H155)),"PREENCHA ESTA LINHA --&gt;","")</f>
        <v/>
      </c>
      <c r="K156" s="198"/>
      <c r="L156" s="198"/>
      <c r="M156" s="199"/>
      <c r="N156" s="199"/>
      <c r="O156" s="199"/>
      <c r="P156" s="199"/>
      <c r="Q156" s="199"/>
      <c r="R156" s="199"/>
      <c r="S156" s="200"/>
      <c r="T156" s="201"/>
      <c r="U156" s="587"/>
      <c r="V156" s="587"/>
      <c r="W156" s="587"/>
      <c r="X156" s="587"/>
      <c r="Y156" s="587"/>
      <c r="Z156" s="587"/>
      <c r="AA156" s="587"/>
      <c r="AB156" s="587"/>
      <c r="AC156" s="587"/>
      <c r="AD156" s="587"/>
      <c r="AE156" s="587"/>
      <c r="AF156" s="587"/>
      <c r="AG156" s="587"/>
      <c r="AH156" s="587"/>
      <c r="AI156" s="587"/>
      <c r="AJ156" s="587"/>
      <c r="AK156" s="587"/>
      <c r="AL156" s="587"/>
      <c r="AM156" s="587"/>
      <c r="AN156" s="587"/>
      <c r="AO156" s="587"/>
      <c r="AP156" s="587"/>
      <c r="AQ156" s="587"/>
      <c r="AR156" s="587"/>
      <c r="AS156" s="534"/>
    </row>
    <row r="157" spans="1:45" ht="12.75" hidden="1" customHeight="1" x14ac:dyDescent="0.2">
      <c r="D157" s="533"/>
      <c r="E157" s="202" cm="1">
        <f t="array" aca="1" ref="E157" ca="1">IF($R155=2,
         IF(AND(ACOMPANHAMENTO="PLE",ISNUMBER($F155)),
                SUMIF((OFFSET(CÁLCULO!$BS$15:$CS$15,$F155,0,OFFSET(ORÇAMENTO!$D$15,CRONO!$F155,0))),CRONO!E$12,OFFSET(CÁLCULO!$AR$15:$BR$15,$F155,0,OFFSET(ORÇAMENTO!$D$15,CRONO!$F155,0)))
                +IF(AND($F157&lt;&gt;"",$F157&lt;&gt;0),
                        SUMIF(CÁLCULO!$BS$15:$CS$244,CRONO!E$12,CÁLCULO!$AR$15:$BR$244)/(ORÇAMENTO!$X$15-CÁLCULO.TotalAdmLocal)*CRONO!$F157,
                        0),
                 E156*$S155),
          SUMIF(OFFSET($S157,1,0,$R155-2),($M155+1)&amp;"$",OFFSET(E157,1,0,$R155-2)))</f>
        <v>0</v>
      </c>
      <c r="F157" s="185" t="str">
        <f ca="1">IF(OR($R155&lt;&gt;2,AUTOEVENTO&lt;&gt;"manual",$F156&gt;0),"",
        IF(Import.TipoArredondamento="Tradicional",
              SUMIF(OFFSET(CÁLCULO!$M$15,CRONO!$F155,0,OFFSET(ORÇAMENTO!$D$15,CRONO!$F155,0)),1,OFFSET(ORÇAMENTO!$X$15,CRONO!$F155,0,OFFSET(ORÇAMENTO!$D$15,CRONO!$F155,0))),
              0))</f>
        <v/>
      </c>
      <c r="H157" s="203"/>
      <c r="S157" s="204" t="str">
        <f t="shared" ref="S157" ca="1" si="289">M155&amp;"$"</f>
        <v>1$</v>
      </c>
      <c r="T157" s="205"/>
      <c r="U157" s="202" cm="1">
        <f t="array" aca="1" ref="U157" ca="1">IF($R155=2,
         IF(AND(ACOMPANHAMENTO="PLE",ISNUMBER($F155)),
                SUMIF((OFFSET(CÁLCULO!$BS$15:$CS$15,$F155,0,OFFSET(ORÇAMENTO!$D$15,CRONO!$F155,0))),CRONO!U$12,OFFSET(CÁLCULO!$AR$15:$BR$15,$F155,0,OFFSET(ORÇAMENTO!$D$15,CRONO!$F155,0)))
                +IF(AND($F157&lt;&gt;"",$F157&lt;&gt;0),
                        SUMIF(CÁLCULO!$BS$15:$CS$244,CRONO!U$12,CÁLCULO!$AR$15:$BR$244)/(ORÇAMENTO!$X$15-CÁLCULO.TotalAdmLocal)*CRONO!$F157,
                        0),
                 U156*$S155),
          SUMIF(OFFSET($S157,1,0,$R155-2),($M155+1)&amp;"$",OFFSET(U157,1,0,$R155-2)))</f>
        <v>0</v>
      </c>
      <c r="V157" s="202" cm="1">
        <f t="array" aca="1" ref="V157" ca="1">IF($R155=2,
         IF(AND(ACOMPANHAMENTO="PLE",ISNUMBER($F155)),
                SUMIF((OFFSET(CÁLCULO!$BS$15:$CS$15,$F155,0,OFFSET(ORÇAMENTO!$D$15,CRONO!$F155,0))),CRONO!V$12,OFFSET(CÁLCULO!$AR$15:$BR$15,$F155,0,OFFSET(ORÇAMENTO!$D$15,CRONO!$F155,0)))
                +IF(AND($F157&lt;&gt;"",$F157&lt;&gt;0),
                        SUMIF(CÁLCULO!$BS$15:$CS$244,CRONO!V$12,CÁLCULO!$AR$15:$BR$244)/(ORÇAMENTO!$X$15-CÁLCULO.TotalAdmLocal)*CRONO!$F157,
                        0),
                 V156*$S155),
          SUMIF(OFFSET($S157,1,0,$R155-2),($M155+1)&amp;"$",OFFSET(V157,1,0,$R155-2)))</f>
        <v>0</v>
      </c>
      <c r="W157" s="202" cm="1">
        <f t="array" aca="1" ref="W157" ca="1">IF($R155=2,
         IF(AND(ACOMPANHAMENTO="PLE",ISNUMBER($F155)),
                SUMIF((OFFSET(CÁLCULO!$BS$15:$CS$15,$F155,0,OFFSET(ORÇAMENTO!$D$15,CRONO!$F155,0))),CRONO!W$12,OFFSET(CÁLCULO!$AR$15:$BR$15,$F155,0,OFFSET(ORÇAMENTO!$D$15,CRONO!$F155,0)))
                +IF(AND($F157&lt;&gt;"",$F157&lt;&gt;0),
                        SUMIF(CÁLCULO!$BS$15:$CS$244,CRONO!W$12,CÁLCULO!$AR$15:$BR$244)/(ORÇAMENTO!$X$15-CÁLCULO.TotalAdmLocal)*CRONO!$F157,
                        0),
                 W156*$S155),
          SUMIF(OFFSET($S157,1,0,$R155-2),($M155+1)&amp;"$",OFFSET(W157,1,0,$R155-2)))</f>
        <v>0</v>
      </c>
      <c r="X157" s="202" cm="1">
        <f t="array" aca="1" ref="X157" ca="1">IF($R155=2,
         IF(AND(ACOMPANHAMENTO="PLE",ISNUMBER($F155)),
                SUMIF((OFFSET(CÁLCULO!$BS$15:$CS$15,$F155,0,OFFSET(ORÇAMENTO!$D$15,CRONO!$F155,0))),CRONO!X$12,OFFSET(CÁLCULO!$AR$15:$BR$15,$F155,0,OFFSET(ORÇAMENTO!$D$15,CRONO!$F155,0)))
                +IF(AND($F157&lt;&gt;"",$F157&lt;&gt;0),
                        SUMIF(CÁLCULO!$BS$15:$CS$244,CRONO!X$12,CÁLCULO!$AR$15:$BR$244)/(ORÇAMENTO!$X$15-CÁLCULO.TotalAdmLocal)*CRONO!$F157,
                        0),
                 X156*$S155),
          SUMIF(OFFSET($S157,1,0,$R155-2),($M155+1)&amp;"$",OFFSET(X157,1,0,$R155-2)))</f>
        <v>0</v>
      </c>
      <c r="Y157" s="202" cm="1">
        <f t="array" aca="1" ref="Y157" ca="1">IF($R155=2,
         IF(AND(ACOMPANHAMENTO="PLE",ISNUMBER($F155)),
                SUMIF((OFFSET(CÁLCULO!$BS$15:$CS$15,$F155,0,OFFSET(ORÇAMENTO!$D$15,CRONO!$F155,0))),CRONO!Y$12,OFFSET(CÁLCULO!$AR$15:$BR$15,$F155,0,OFFSET(ORÇAMENTO!$D$15,CRONO!$F155,0)))
                +IF(AND($F157&lt;&gt;"",$F157&lt;&gt;0),
                        SUMIF(CÁLCULO!$BS$15:$CS$244,CRONO!Y$12,CÁLCULO!$AR$15:$BR$244)/(ORÇAMENTO!$X$15-CÁLCULO.TotalAdmLocal)*CRONO!$F157,
                        0),
                 Y156*$S155),
          SUMIF(OFFSET($S157,1,0,$R155-2),($M155+1)&amp;"$",OFFSET(Y157,1,0,$R155-2)))</f>
        <v>0</v>
      </c>
      <c r="Z157" s="202" cm="1">
        <f t="array" aca="1" ref="Z157" ca="1">IF($R155=2,
         IF(AND(ACOMPANHAMENTO="PLE",ISNUMBER($F155)),
                SUMIF((OFFSET(CÁLCULO!$BS$15:$CS$15,$F155,0,OFFSET(ORÇAMENTO!$D$15,CRONO!$F155,0))),CRONO!Z$12,OFFSET(CÁLCULO!$AR$15:$BR$15,$F155,0,OFFSET(ORÇAMENTO!$D$15,CRONO!$F155,0)))
                +IF(AND($F157&lt;&gt;"",$F157&lt;&gt;0),
                        SUMIF(CÁLCULO!$BS$15:$CS$244,CRONO!Z$12,CÁLCULO!$AR$15:$BR$244)/(ORÇAMENTO!$X$15-CÁLCULO.TotalAdmLocal)*CRONO!$F157,
                        0),
                 Z156*$S155),
          SUMIF(OFFSET($S157,1,0,$R155-2),($M155+1)&amp;"$",OFFSET(Z157,1,0,$R155-2)))</f>
        <v>0</v>
      </c>
      <c r="AA157" s="202" cm="1">
        <f t="array" aca="1" ref="AA157" ca="1">IF($R155=2,
         IF(AND(ACOMPANHAMENTO="PLE",ISNUMBER($F155)),
                SUMIF((OFFSET(CÁLCULO!$BS$15:$CS$15,$F155,0,OFFSET(ORÇAMENTO!$D$15,CRONO!$F155,0))),CRONO!AA$12,OFFSET(CÁLCULO!$AR$15:$BR$15,$F155,0,OFFSET(ORÇAMENTO!$D$15,CRONO!$F155,0)))
                +IF(AND($F157&lt;&gt;"",$F157&lt;&gt;0),
                        SUMIF(CÁLCULO!$BS$15:$CS$244,CRONO!AA$12,CÁLCULO!$AR$15:$BR$244)/(ORÇAMENTO!$X$15-CÁLCULO.TotalAdmLocal)*CRONO!$F157,
                        0),
                 AA156*$S155),
          SUMIF(OFFSET($S157,1,0,$R155-2),($M155+1)&amp;"$",OFFSET(AA157,1,0,$R155-2)))</f>
        <v>0</v>
      </c>
      <c r="AB157" s="202" cm="1">
        <f t="array" aca="1" ref="AB157" ca="1">IF($R155=2,
         IF(AND(ACOMPANHAMENTO="PLE",ISNUMBER($F155)),
                SUMIF((OFFSET(CÁLCULO!$BS$15:$CS$15,$F155,0,OFFSET(ORÇAMENTO!$D$15,CRONO!$F155,0))),CRONO!AB$12,OFFSET(CÁLCULO!$AR$15:$BR$15,$F155,0,OFFSET(ORÇAMENTO!$D$15,CRONO!$F155,0)))
                +IF(AND($F157&lt;&gt;"",$F157&lt;&gt;0),
                        SUMIF(CÁLCULO!$BS$15:$CS$244,CRONO!AB$12,CÁLCULO!$AR$15:$BR$244)/(ORÇAMENTO!$X$15-CÁLCULO.TotalAdmLocal)*CRONO!$F157,
                        0),
                 AB156*$S155),
          SUMIF(OFFSET($S157,1,0,$R155-2),($M155+1)&amp;"$",OFFSET(AB157,1,0,$R155-2)))</f>
        <v>0</v>
      </c>
      <c r="AC157" s="202" cm="1">
        <f t="array" aca="1" ref="AC157" ca="1">IF($R155=2,
         IF(AND(ACOMPANHAMENTO="PLE",ISNUMBER($F155)),
                SUMIF((OFFSET(CÁLCULO!$BS$15:$CS$15,$F155,0,OFFSET(ORÇAMENTO!$D$15,CRONO!$F155,0))),CRONO!AC$12,OFFSET(CÁLCULO!$AR$15:$BR$15,$F155,0,OFFSET(ORÇAMENTO!$D$15,CRONO!$F155,0)))
                +IF(AND($F157&lt;&gt;"",$F157&lt;&gt;0),
                        SUMIF(CÁLCULO!$BS$15:$CS$244,CRONO!AC$12,CÁLCULO!$AR$15:$BR$244)/(ORÇAMENTO!$X$15-CÁLCULO.TotalAdmLocal)*CRONO!$F157,
                        0),
                 AC156*$S155),
          SUMIF(OFFSET($S157,1,0,$R155-2),($M155+1)&amp;"$",OFFSET(AC157,1,0,$R155-2)))</f>
        <v>0</v>
      </c>
      <c r="AD157" s="202" cm="1">
        <f t="array" aca="1" ref="AD157" ca="1">IF($R155=2,
         IF(AND(ACOMPANHAMENTO="PLE",ISNUMBER($F155)),
                SUMIF((OFFSET(CÁLCULO!$BS$15:$CS$15,$F155,0,OFFSET(ORÇAMENTO!$D$15,CRONO!$F155,0))),CRONO!AD$12,OFFSET(CÁLCULO!$AR$15:$BR$15,$F155,0,OFFSET(ORÇAMENTO!$D$15,CRONO!$F155,0)))
                +IF(AND($F157&lt;&gt;"",$F157&lt;&gt;0),
                        SUMIF(CÁLCULO!$BS$15:$CS$244,CRONO!AD$12,CÁLCULO!$AR$15:$BR$244)/(ORÇAMENTO!$X$15-CÁLCULO.TotalAdmLocal)*CRONO!$F157,
                        0),
                 AD156*$S155),
          SUMIF(OFFSET($S157,1,0,$R155-2),($M155+1)&amp;"$",OFFSET(AD157,1,0,$R155-2)))</f>
        <v>0</v>
      </c>
      <c r="AE157" s="202" cm="1">
        <f t="array" aca="1" ref="AE157" ca="1">IF($R155=2,
         IF(AND(ACOMPANHAMENTO="PLE",ISNUMBER($F155)),
                SUMIF((OFFSET(CÁLCULO!$BS$15:$CS$15,$F155,0,OFFSET(ORÇAMENTO!$D$15,CRONO!$F155,0))),CRONO!AE$12,OFFSET(CÁLCULO!$AR$15:$BR$15,$F155,0,OFFSET(ORÇAMENTO!$D$15,CRONO!$F155,0)))
                +IF(AND($F157&lt;&gt;"",$F157&lt;&gt;0),
                        SUMIF(CÁLCULO!$BS$15:$CS$244,CRONO!AE$12,CÁLCULO!$AR$15:$BR$244)/(ORÇAMENTO!$X$15-CÁLCULO.TotalAdmLocal)*CRONO!$F157,
                        0),
                 AE156*$S155),
          SUMIF(OFFSET($S157,1,0,$R155-2),($M155+1)&amp;"$",OFFSET(AE157,1,0,$R155-2)))</f>
        <v>0</v>
      </c>
      <c r="AF157" s="202" cm="1">
        <f t="array" aca="1" ref="AF157" ca="1">IF($R155=2,
         IF(AND(ACOMPANHAMENTO="PLE",ISNUMBER($F155)),
                SUMIF((OFFSET(CÁLCULO!$BS$15:$CS$15,$F155,0,OFFSET(ORÇAMENTO!$D$15,CRONO!$F155,0))),CRONO!AF$12,OFFSET(CÁLCULO!$AR$15:$BR$15,$F155,0,OFFSET(ORÇAMENTO!$D$15,CRONO!$F155,0)))
                +IF(AND($F157&lt;&gt;"",$F157&lt;&gt;0),
                        SUMIF(CÁLCULO!$BS$15:$CS$244,CRONO!AF$12,CÁLCULO!$AR$15:$BR$244)/(ORÇAMENTO!$X$15-CÁLCULO.TotalAdmLocal)*CRONO!$F157,
                        0),
                 AF156*$S155),
          SUMIF(OFFSET($S157,1,0,$R155-2),($M155+1)&amp;"$",OFFSET(AF157,1,0,$R155-2)))</f>
        <v>0</v>
      </c>
      <c r="AG157" s="202" cm="1">
        <f t="array" aca="1" ref="AG157" ca="1">IF($R155=2,
         IF(AND(ACOMPANHAMENTO="PLE",ISNUMBER($F155)),
                SUMIF((OFFSET(CÁLCULO!$BS$15:$CS$15,$F155,0,OFFSET(ORÇAMENTO!$D$15,CRONO!$F155,0))),CRONO!AG$12,OFFSET(CÁLCULO!$AR$15:$BR$15,$F155,0,OFFSET(ORÇAMENTO!$D$15,CRONO!$F155,0)))
                +IF(AND($F157&lt;&gt;"",$F157&lt;&gt;0),
                        SUMIF(CÁLCULO!$BS$15:$CS$244,CRONO!AG$12,CÁLCULO!$AR$15:$BR$244)/(ORÇAMENTO!$X$15-CÁLCULO.TotalAdmLocal)*CRONO!$F157,
                        0),
                 AG156*$S155),
          SUMIF(OFFSET($S157,1,0,$R155-2),($M155+1)&amp;"$",OFFSET(AG157,1,0,$R155-2)))</f>
        <v>0</v>
      </c>
      <c r="AH157" s="202" cm="1">
        <f t="array" aca="1" ref="AH157" ca="1">IF($R155=2,
         IF(AND(ACOMPANHAMENTO="PLE",ISNUMBER($F155)),
                SUMIF((OFFSET(CÁLCULO!$BS$15:$CS$15,$F155,0,OFFSET(ORÇAMENTO!$D$15,CRONO!$F155,0))),CRONO!AH$12,OFFSET(CÁLCULO!$AR$15:$BR$15,$F155,0,OFFSET(ORÇAMENTO!$D$15,CRONO!$F155,0)))
                +IF(AND($F157&lt;&gt;"",$F157&lt;&gt;0),
                        SUMIF(CÁLCULO!$BS$15:$CS$244,CRONO!AH$12,CÁLCULO!$AR$15:$BR$244)/(ORÇAMENTO!$X$15-CÁLCULO.TotalAdmLocal)*CRONO!$F157,
                        0),
                 AH156*$S155),
          SUMIF(OFFSET($S157,1,0,$R155-2),($M155+1)&amp;"$",OFFSET(AH157,1,0,$R155-2)))</f>
        <v>0</v>
      </c>
      <c r="AI157" s="202" cm="1">
        <f t="array" aca="1" ref="AI157" ca="1">IF($R155=2,
         IF(AND(ACOMPANHAMENTO="PLE",ISNUMBER($F155)),
                SUMIF((OFFSET(CÁLCULO!$BS$15:$CS$15,$F155,0,OFFSET(ORÇAMENTO!$D$15,CRONO!$F155,0))),CRONO!AI$12,OFFSET(CÁLCULO!$AR$15:$BR$15,$F155,0,OFFSET(ORÇAMENTO!$D$15,CRONO!$F155,0)))
                +IF(AND($F157&lt;&gt;"",$F157&lt;&gt;0),
                        SUMIF(CÁLCULO!$BS$15:$CS$244,CRONO!AI$12,CÁLCULO!$AR$15:$BR$244)/(ORÇAMENTO!$X$15-CÁLCULO.TotalAdmLocal)*CRONO!$F157,
                        0),
                 AI156*$S155),
          SUMIF(OFFSET($S157,1,0,$R155-2),($M155+1)&amp;"$",OFFSET(AI157,1,0,$R155-2)))</f>
        <v>0</v>
      </c>
      <c r="AJ157" s="202" cm="1">
        <f t="array" aca="1" ref="AJ157" ca="1">IF($R155=2,
         IF(AND(ACOMPANHAMENTO="PLE",ISNUMBER($F155)),
                SUMIF((OFFSET(CÁLCULO!$BS$15:$CS$15,$F155,0,OFFSET(ORÇAMENTO!$D$15,CRONO!$F155,0))),CRONO!AJ$12,OFFSET(CÁLCULO!$AR$15:$BR$15,$F155,0,OFFSET(ORÇAMENTO!$D$15,CRONO!$F155,0)))
                +IF(AND($F157&lt;&gt;"",$F157&lt;&gt;0),
                        SUMIF(CÁLCULO!$BS$15:$CS$244,CRONO!AJ$12,CÁLCULO!$AR$15:$BR$244)/(ORÇAMENTO!$X$15-CÁLCULO.TotalAdmLocal)*CRONO!$F157,
                        0),
                 AJ156*$S155),
          SUMIF(OFFSET($S157,1,0,$R155-2),($M155+1)&amp;"$",OFFSET(AJ157,1,0,$R155-2)))</f>
        <v>0</v>
      </c>
      <c r="AK157" s="202" cm="1">
        <f t="array" aca="1" ref="AK157" ca="1">IF($R155=2,
         IF(AND(ACOMPANHAMENTO="PLE",ISNUMBER($F155)),
                SUMIF((OFFSET(CÁLCULO!$BS$15:$CS$15,$F155,0,OFFSET(ORÇAMENTO!$D$15,CRONO!$F155,0))),CRONO!AK$12,OFFSET(CÁLCULO!$AR$15:$BR$15,$F155,0,OFFSET(ORÇAMENTO!$D$15,CRONO!$F155,0)))
                +IF(AND($F157&lt;&gt;"",$F157&lt;&gt;0),
                        SUMIF(CÁLCULO!$BS$15:$CS$244,CRONO!AK$12,CÁLCULO!$AR$15:$BR$244)/(ORÇAMENTO!$X$15-CÁLCULO.TotalAdmLocal)*CRONO!$F157,
                        0),
                 AK156*$S155),
          SUMIF(OFFSET($S157,1,0,$R155-2),($M155+1)&amp;"$",OFFSET(AK157,1,0,$R155-2)))</f>
        <v>0</v>
      </c>
      <c r="AL157" s="202" cm="1">
        <f t="array" aca="1" ref="AL157" ca="1">IF($R155=2,
         IF(AND(ACOMPANHAMENTO="PLE",ISNUMBER($F155)),
                SUMIF((OFFSET(CÁLCULO!$BS$15:$CS$15,$F155,0,OFFSET(ORÇAMENTO!$D$15,CRONO!$F155,0))),CRONO!AL$12,OFFSET(CÁLCULO!$AR$15:$BR$15,$F155,0,OFFSET(ORÇAMENTO!$D$15,CRONO!$F155,0)))
                +IF(AND($F157&lt;&gt;"",$F157&lt;&gt;0),
                        SUMIF(CÁLCULO!$BS$15:$CS$244,CRONO!AL$12,CÁLCULO!$AR$15:$BR$244)/(ORÇAMENTO!$X$15-CÁLCULO.TotalAdmLocal)*CRONO!$F157,
                        0),
                 AL156*$S155),
          SUMIF(OFFSET($S157,1,0,$R155-2),($M155+1)&amp;"$",OFFSET(AL157,1,0,$R155-2)))</f>
        <v>0</v>
      </c>
      <c r="AM157" s="202" cm="1">
        <f t="array" aca="1" ref="AM157" ca="1">IF($R155=2,
         IF(AND(ACOMPANHAMENTO="PLE",ISNUMBER($F155)),
                SUMIF((OFFSET(CÁLCULO!$BS$15:$CS$15,$F155,0,OFFSET(ORÇAMENTO!$D$15,CRONO!$F155,0))),CRONO!AM$12,OFFSET(CÁLCULO!$AR$15:$BR$15,$F155,0,OFFSET(ORÇAMENTO!$D$15,CRONO!$F155,0)))
                +IF(AND($F157&lt;&gt;"",$F157&lt;&gt;0),
                        SUMIF(CÁLCULO!$BS$15:$CS$244,CRONO!AM$12,CÁLCULO!$AR$15:$BR$244)/(ORÇAMENTO!$X$15-CÁLCULO.TotalAdmLocal)*CRONO!$F157,
                        0),
                 AM156*$S155),
          SUMIF(OFFSET($S157,1,0,$R155-2),($M155+1)&amp;"$",OFFSET(AM157,1,0,$R155-2)))</f>
        <v>0</v>
      </c>
      <c r="AN157" s="202" cm="1">
        <f t="array" aca="1" ref="AN157" ca="1">IF($R155=2,
         IF(AND(ACOMPANHAMENTO="PLE",ISNUMBER($F155)),
                SUMIF((OFFSET(CÁLCULO!$BS$15:$CS$15,$F155,0,OFFSET(ORÇAMENTO!$D$15,CRONO!$F155,0))),CRONO!AN$12,OFFSET(CÁLCULO!$AR$15:$BR$15,$F155,0,OFFSET(ORÇAMENTO!$D$15,CRONO!$F155,0)))
                +IF(AND($F157&lt;&gt;"",$F157&lt;&gt;0),
                        SUMIF(CÁLCULO!$BS$15:$CS$244,CRONO!AN$12,CÁLCULO!$AR$15:$BR$244)/(ORÇAMENTO!$X$15-CÁLCULO.TotalAdmLocal)*CRONO!$F157,
                        0),
                 AN156*$S155),
          SUMIF(OFFSET($S157,1,0,$R155-2),($M155+1)&amp;"$",OFFSET(AN157,1,0,$R155-2)))</f>
        <v>0</v>
      </c>
      <c r="AO157" s="202" cm="1">
        <f t="array" aca="1" ref="AO157" ca="1">IF($R155=2,
         IF(AND(ACOMPANHAMENTO="PLE",ISNUMBER($F155)),
                SUMIF((OFFSET(CÁLCULO!$BS$15:$CS$15,$F155,0,OFFSET(ORÇAMENTO!$D$15,CRONO!$F155,0))),CRONO!AO$12,OFFSET(CÁLCULO!$AR$15:$BR$15,$F155,0,OFFSET(ORÇAMENTO!$D$15,CRONO!$F155,0)))
                +IF(AND($F157&lt;&gt;"",$F157&lt;&gt;0),
                        SUMIF(CÁLCULO!$BS$15:$CS$244,CRONO!AO$12,CÁLCULO!$AR$15:$BR$244)/(ORÇAMENTO!$X$15-CÁLCULO.TotalAdmLocal)*CRONO!$F157,
                        0),
                 AO156*$S155),
          SUMIF(OFFSET($S157,1,0,$R155-2),($M155+1)&amp;"$",OFFSET(AO157,1,0,$R155-2)))</f>
        <v>0</v>
      </c>
      <c r="AP157" s="202" cm="1">
        <f t="array" aca="1" ref="AP157" ca="1">IF($R155=2,
         IF(AND(ACOMPANHAMENTO="PLE",ISNUMBER($F155)),
                SUMIF((OFFSET(CÁLCULO!$BS$15:$CS$15,$F155,0,OFFSET(ORÇAMENTO!$D$15,CRONO!$F155,0))),CRONO!AP$12,OFFSET(CÁLCULO!$AR$15:$BR$15,$F155,0,OFFSET(ORÇAMENTO!$D$15,CRONO!$F155,0)))
                +IF(AND($F157&lt;&gt;"",$F157&lt;&gt;0),
                        SUMIF(CÁLCULO!$BS$15:$CS$244,CRONO!AP$12,CÁLCULO!$AR$15:$BR$244)/(ORÇAMENTO!$X$15-CÁLCULO.TotalAdmLocal)*CRONO!$F157,
                        0),
                 AP156*$S155),
          SUMIF(OFFSET($S157,1,0,$R155-2),($M155+1)&amp;"$",OFFSET(AP157,1,0,$R155-2)))</f>
        <v>0</v>
      </c>
      <c r="AQ157" s="202" cm="1">
        <f t="array" aca="1" ref="AQ157" ca="1">IF($R155=2,
         IF(AND(ACOMPANHAMENTO="PLE",ISNUMBER($F155)),
                SUMIF((OFFSET(CÁLCULO!$BS$15:$CS$15,$F155,0,OFFSET(ORÇAMENTO!$D$15,CRONO!$F155,0))),CRONO!AQ$12,OFFSET(CÁLCULO!$AR$15:$BR$15,$F155,0,OFFSET(ORÇAMENTO!$D$15,CRONO!$F155,0)))
                +IF(AND($F157&lt;&gt;"",$F157&lt;&gt;0),
                        SUMIF(CÁLCULO!$BS$15:$CS$244,CRONO!AQ$12,CÁLCULO!$AR$15:$BR$244)/(ORÇAMENTO!$X$15-CÁLCULO.TotalAdmLocal)*CRONO!$F157,
                        0),
                 AQ156*$S155),
          SUMIF(OFFSET($S157,1,0,$R155-2),($M155+1)&amp;"$",OFFSET(AQ157,1,0,$R155-2)))</f>
        <v>0</v>
      </c>
      <c r="AR157" s="202" cm="1">
        <f t="array" aca="1" ref="AR157" ca="1">IF($R155=2,
         IF(AND(ACOMPANHAMENTO="PLE",ISNUMBER($F155)),
                SUMIF((OFFSET(CÁLCULO!$BS$15:$CS$15,$F155,0,OFFSET(ORÇAMENTO!$D$15,CRONO!$F155,0))),CRONO!AR$12,OFFSET(CÁLCULO!$AR$15:$BR$15,$F155,0,OFFSET(ORÇAMENTO!$D$15,CRONO!$F155,0)))
                +IF(AND($F157&lt;&gt;"",$F157&lt;&gt;0),
                        SUMIF(CÁLCULO!$BS$15:$CS$244,CRONO!AR$12,CÁLCULO!$AR$15:$BR$244)/(ORÇAMENTO!$X$15-CÁLCULO.TotalAdmLocal)*CRONO!$F157,
                        0),
                 AR156*$S155),
          SUMIF(OFFSET($S157,1,0,$R155-2),($M155+1)&amp;"$",OFFSET(AR157,1,0,$R155-2)))</f>
        <v>0</v>
      </c>
      <c r="AS157" s="534"/>
    </row>
    <row r="158" spans="1:45" hidden="1" x14ac:dyDescent="0.2">
      <c r="A158" s="186" t="str">
        <f t="shared" ref="A158" ca="1" si="290">IF($M158&gt;1,_xlfn.CONCAT($I158," ",$J158),"")</f>
        <v/>
      </c>
      <c r="B158" s="185">
        <f t="shared" ref="B158" ca="1" si="291">OFFSET(B158,-3,0)+1</f>
        <v>49</v>
      </c>
      <c r="C158" s="185">
        <f ca="1">IF($R158&lt;&gt;2,0,IF($S158=0,1,IF(F159&gt;0,OFFSET(QCI!$M$13,SUBSTITUTE(F159,".",""),0),OFFSET(ORÇAMENTO!$AA$15,CRONO!$F158,0))/$S158))</f>
        <v>0</v>
      </c>
      <c r="D158" s="185">
        <f ca="1">IF($R158&lt;&gt;2,0,IF($S158=0,1,IF(F159&gt;0,OFFSET(QCI!$N$13,SUBSTITUTE(F159,".",""),0),OFFSET(ORÇAMENTO!$AB$15,CRONO!$F158,0))/$S158))</f>
        <v>0</v>
      </c>
      <c r="E158" s="188" t="e" cm="1">
        <f t="array" aca="1" ref="E158" ca="1">IF(AND($R158=2,ACOMPANHAMENTO="BM"),ROUND(E159,4),E160/$S158)</f>
        <v>#VALUE!</v>
      </c>
      <c r="F158" s="185" t="e" cm="1">
        <f t="array" aca="1" ref="F158" ca="1">IF(B158&lt;=ORÇAMENTO.MáximoListaCrono,MATCH(B158,ORÇAMENTO.ListaCrono,0),NA())</f>
        <v>#N/A</v>
      </c>
      <c r="G158" s="185" t="str">
        <f t="shared" ref="G158" ca="1" si="292">IF(AND($F159&lt;&gt;-1,$S158&gt;0),"F","")</f>
        <v/>
      </c>
      <c r="H158" s="189" t="str" cm="1">
        <f t="array" aca="1" ref="H158" ca="1">IF(OR(S158=0,S158=""),"Linha",IF(AND(OR(ACOMPANHAMENTO="PLE",$R158&lt;&gt;2),$F159=0),"Linha",ROUND(1-SUM(U158:AS158),4)))</f>
        <v>Linha</v>
      </c>
      <c r="I158" s="190" t="str">
        <f ca="1">IF($F159=0,OFFSET(ORÇAMENTO!O$15,$F158,0),IF($F159&lt;&gt;-1,OFFSET(QCI!$D$13,$F159,0),""))</f>
        <v/>
      </c>
      <c r="J158" s="191" t="str">
        <f ca="1">IF($F159=0,OFFSET(ORÇAMENTO!R$15,$F158,0),IF($F159&lt;&gt;-1,OFFSET(QCI!$G$13,$F159,0),""))</f>
        <v/>
      </c>
      <c r="K158" s="191"/>
      <c r="L158" s="191"/>
      <c r="M158" s="192">
        <f ca="1">IF($F159=0,OFFSET(ORÇAMENTO!C$15,$F158,0),1)</f>
        <v>1</v>
      </c>
      <c r="N158" s="193">
        <f t="shared" ref="N158" ca="1" si="293">IF($F159=-1,0,IF(N$13&lt;=$M158,IF(ISERROR(MATCH(N$13,OFFSET($M158,1,0,ROW($M$164)-ROW($M158)-1),0)),ROW($M$164)-ROW($M158)-1,MATCH(N$13,OFFSET($M158,1,0,ROW($M$164)-ROW($M158)-1),0)-1),0))</f>
        <v>0</v>
      </c>
      <c r="O158" s="193">
        <f t="shared" ref="O158" ca="1" si="294">IF($F159=-1,0,IF(O$13&lt;=$M158,IF(ISERROR(MATCH(O$13,OFFSET($M158,1,0,ROW($M$164)-ROW($M158)-1),0)),ROW($M$164)-ROW($M158)-1,MATCH(O$13,OFFSET($M158,1,0,ROW($M$164)-ROW($M158)-1),0)-1),0))</f>
        <v>0</v>
      </c>
      <c r="P158" s="193">
        <f t="shared" ref="P158" ca="1" si="295">IF($F159=-1,0,IF(P$13&lt;=$M158,IF(ISERROR(MATCH(P$13,OFFSET($M158,1,0,ROW($M$164)-ROW($M158)-1),0)),ROW($M$164)-ROW($M158)-1,MATCH(P$13,OFFSET($M158,1,0,ROW($M$164)-ROW($M158)-1),0)-1),0))</f>
        <v>0</v>
      </c>
      <c r="Q158" s="193">
        <f t="shared" ref="Q158" ca="1" si="296">IF($F159=-1,0,IF(Q$13&lt;=$M158,IF(ISERROR(MATCH(Q$13,OFFSET($M158,1,0,ROW($M$164)-ROW($M158)-1),0)),ROW($M$164)-ROW($M158)-1,MATCH(Q$13,OFFSET($M158,1,0,ROW($M$164)-ROW($M158)-1),0)-1),0))</f>
        <v>0</v>
      </c>
      <c r="R158" s="193">
        <f t="shared" ref="R158" ca="1" si="297">MIN(OFFSET(M158,0,1,,M158))</f>
        <v>0</v>
      </c>
      <c r="S158" s="194" t="str">
        <f ca="1">IF($F159=0,OFFSET(ORÇAMENTO!X$15,$F158,0),IF($F159&lt;&gt;-1,OFFSET(QCI!$O$13,$F159,0),""))</f>
        <v/>
      </c>
      <c r="T158" s="195" t="s">
        <v>785</v>
      </c>
      <c r="U158" s="188" t="e" cm="1">
        <f t="array" aca="1" ref="U158" ca="1">IF(AND($R158=2,ACOMPANHAMENTO="BM"),ROUND(U159,4),U160/$S158)</f>
        <v>#VALUE!</v>
      </c>
      <c r="V158" s="188" t="e" cm="1">
        <f t="array" aca="1" ref="V158" ca="1">IF(AND($R158=2,ACOMPANHAMENTO="BM"),ROUND(V159,4),V160/$S158)</f>
        <v>#VALUE!</v>
      </c>
      <c r="W158" s="188" t="e" cm="1">
        <f t="array" aca="1" ref="W158" ca="1">IF(AND($R158=2,ACOMPANHAMENTO="BM"),ROUND(W159,4),W160/$S158)</f>
        <v>#VALUE!</v>
      </c>
      <c r="X158" s="188" t="e" cm="1">
        <f t="array" aca="1" ref="X158" ca="1">IF(AND($R158=2,ACOMPANHAMENTO="BM"),ROUND(X159,4),X160/$S158)</f>
        <v>#VALUE!</v>
      </c>
      <c r="Y158" s="188" t="e" cm="1">
        <f t="array" aca="1" ref="Y158" ca="1">IF(AND($R158=2,ACOMPANHAMENTO="BM"),ROUND(Y159,4),Y160/$S158)</f>
        <v>#VALUE!</v>
      </c>
      <c r="Z158" s="188" t="e" cm="1">
        <f t="array" aca="1" ref="Z158" ca="1">IF(AND($R158=2,ACOMPANHAMENTO="BM"),ROUND(Z159,4),Z160/$S158)</f>
        <v>#VALUE!</v>
      </c>
      <c r="AA158" s="188" t="e" cm="1">
        <f t="array" aca="1" ref="AA158" ca="1">IF(AND($R158=2,ACOMPANHAMENTO="BM"),ROUND(AA159,4),AA160/$S158)</f>
        <v>#VALUE!</v>
      </c>
      <c r="AB158" s="188" t="e" cm="1">
        <f t="array" aca="1" ref="AB158" ca="1">IF(AND($R158=2,ACOMPANHAMENTO="BM"),ROUND(AB159,4),AB160/$S158)</f>
        <v>#VALUE!</v>
      </c>
      <c r="AC158" s="188" t="e" cm="1">
        <f t="array" aca="1" ref="AC158" ca="1">IF(AND($R158=2,ACOMPANHAMENTO="BM"),ROUND(AC159,4),AC160/$S158)</f>
        <v>#VALUE!</v>
      </c>
      <c r="AD158" s="188" t="e" cm="1">
        <f t="array" aca="1" ref="AD158" ca="1">IF(AND($R158=2,ACOMPANHAMENTO="BM"),ROUND(AD159,4),AD160/$S158)</f>
        <v>#VALUE!</v>
      </c>
      <c r="AE158" s="188" t="e" cm="1">
        <f t="array" aca="1" ref="AE158" ca="1">IF(AND($R158=2,ACOMPANHAMENTO="BM"),ROUND(AE159,4),AE160/$S158)</f>
        <v>#VALUE!</v>
      </c>
      <c r="AF158" s="188" t="e" cm="1">
        <f t="array" aca="1" ref="AF158" ca="1">IF(AND($R158=2,ACOMPANHAMENTO="BM"),ROUND(AF159,4),AF160/$S158)</f>
        <v>#VALUE!</v>
      </c>
      <c r="AG158" s="188" t="e" cm="1">
        <f t="array" aca="1" ref="AG158" ca="1">IF(AND($R158=2,ACOMPANHAMENTO="BM"),ROUND(AG159,4),AG160/$S158)</f>
        <v>#VALUE!</v>
      </c>
      <c r="AH158" s="188" t="e" cm="1">
        <f t="array" aca="1" ref="AH158" ca="1">IF(AND($R158=2,ACOMPANHAMENTO="BM"),ROUND(AH159,4),AH160/$S158)</f>
        <v>#VALUE!</v>
      </c>
      <c r="AI158" s="188" t="e" cm="1">
        <f t="array" aca="1" ref="AI158" ca="1">IF(AND($R158=2,ACOMPANHAMENTO="BM"),ROUND(AI159,4),AI160/$S158)</f>
        <v>#VALUE!</v>
      </c>
      <c r="AJ158" s="188" t="e" cm="1">
        <f t="array" aca="1" ref="AJ158" ca="1">IF(AND($R158=2,ACOMPANHAMENTO="BM"),ROUND(AJ159,4),AJ160/$S158)</f>
        <v>#VALUE!</v>
      </c>
      <c r="AK158" s="188" t="e" cm="1">
        <f t="array" aca="1" ref="AK158" ca="1">IF(AND($R158=2,ACOMPANHAMENTO="BM"),ROUND(AK159,4),AK160/$S158)</f>
        <v>#VALUE!</v>
      </c>
      <c r="AL158" s="188" t="e" cm="1">
        <f t="array" aca="1" ref="AL158" ca="1">IF(AND($R158=2,ACOMPANHAMENTO="BM"),ROUND(AL159,4),AL160/$S158)</f>
        <v>#VALUE!</v>
      </c>
      <c r="AM158" s="188" t="e" cm="1">
        <f t="array" aca="1" ref="AM158" ca="1">IF(AND($R158=2,ACOMPANHAMENTO="BM"),ROUND(AM159,4),AM160/$S158)</f>
        <v>#VALUE!</v>
      </c>
      <c r="AN158" s="188" t="e" cm="1">
        <f t="array" aca="1" ref="AN158" ca="1">IF(AND($R158=2,ACOMPANHAMENTO="BM"),ROUND(AN159,4),AN160/$S158)</f>
        <v>#VALUE!</v>
      </c>
      <c r="AO158" s="188" t="e" cm="1">
        <f t="array" aca="1" ref="AO158" ca="1">IF(AND($R158=2,ACOMPANHAMENTO="BM"),ROUND(AO159,4),AO160/$S158)</f>
        <v>#VALUE!</v>
      </c>
      <c r="AP158" s="188" t="e" cm="1">
        <f t="array" aca="1" ref="AP158" ca="1">IF(AND($R158=2,ACOMPANHAMENTO="BM"),ROUND(AP159,4),AP160/$S158)</f>
        <v>#VALUE!</v>
      </c>
      <c r="AQ158" s="188" t="e" cm="1">
        <f t="array" aca="1" ref="AQ158" ca="1">IF(AND($R158=2,ACOMPANHAMENTO="BM"),ROUND(AQ159,4),AQ160/$S158)</f>
        <v>#VALUE!</v>
      </c>
      <c r="AR158" s="188" t="e" cm="1">
        <f t="array" aca="1" ref="AR158" ca="1">IF(AND($R158=2,ACOMPANHAMENTO="BM"),ROUND(AR159,4),AR160/$S158)</f>
        <v>#VALUE!</v>
      </c>
      <c r="AS158" s="534"/>
    </row>
    <row r="159" spans="1:45" ht="12.75" hidden="1" customHeight="1" x14ac:dyDescent="0.2">
      <c r="E159" s="587"/>
      <c r="F159" s="185">
        <f ca="1">IF(ISERROR(F158),IF(1+COUNTIF($M$13:OFFSET(M158,-1,0),1)&lt;=MAX(QCI!$D$13:$D$24),1+COUNTIF($M$13:OFFSET(M158,-1,0),1),-1),0)</f>
        <v>-1</v>
      </c>
      <c r="G159" s="185" t="str" cm="1">
        <f t="array" aca="1" ref="G159" ca="1">IF(ACOMPANHAMENTO="BM",OFFSET(G159,-1,0),"")</f>
        <v/>
      </c>
      <c r="H159" s="196" t="str" cm="1">
        <f t="array" aca="1" ref="H159" ca="1">IF(OR(S158=0,S158=""),"vazia",IF(AND(OR(ACOMPANHAMENTO="PLE",$R158&lt;&gt;2),$F159=0),"calculada","--&gt;"))</f>
        <v>vazia</v>
      </c>
      <c r="I159" s="197"/>
      <c r="J159" s="198" t="str">
        <f t="shared" ref="J159" ca="1" si="298">IF(AND(H158&lt;&gt;0,ISNUMBER(H158)),"PREENCHA ESTA LINHA --&gt;","")</f>
        <v/>
      </c>
      <c r="K159" s="198"/>
      <c r="L159" s="198"/>
      <c r="M159" s="199"/>
      <c r="N159" s="199"/>
      <c r="O159" s="199"/>
      <c r="P159" s="199"/>
      <c r="Q159" s="199"/>
      <c r="R159" s="199"/>
      <c r="S159" s="200"/>
      <c r="T159" s="201"/>
      <c r="U159" s="587"/>
      <c r="V159" s="587"/>
      <c r="W159" s="587"/>
      <c r="X159" s="587"/>
      <c r="Y159" s="587"/>
      <c r="Z159" s="587"/>
      <c r="AA159" s="587"/>
      <c r="AB159" s="587"/>
      <c r="AC159" s="587"/>
      <c r="AD159" s="587"/>
      <c r="AE159" s="587"/>
      <c r="AF159" s="587"/>
      <c r="AG159" s="587"/>
      <c r="AH159" s="587"/>
      <c r="AI159" s="587"/>
      <c r="AJ159" s="587"/>
      <c r="AK159" s="587"/>
      <c r="AL159" s="587"/>
      <c r="AM159" s="587"/>
      <c r="AN159" s="587"/>
      <c r="AO159" s="587"/>
      <c r="AP159" s="587"/>
      <c r="AQ159" s="587"/>
      <c r="AR159" s="587"/>
      <c r="AS159" s="534"/>
    </row>
    <row r="160" spans="1:45" ht="12.75" hidden="1" customHeight="1" x14ac:dyDescent="0.2">
      <c r="D160" s="533"/>
      <c r="E160" s="202" cm="1">
        <f t="array" aca="1" ref="E160" ca="1">IF($R158=2,
         IF(AND(ACOMPANHAMENTO="PLE",ISNUMBER($F158)),
                SUMIF((OFFSET(CÁLCULO!$BS$15:$CS$15,$F158,0,OFFSET(ORÇAMENTO!$D$15,CRONO!$F158,0))),CRONO!E$12,OFFSET(CÁLCULO!$AR$15:$BR$15,$F158,0,OFFSET(ORÇAMENTO!$D$15,CRONO!$F158,0)))
                +IF(AND($F160&lt;&gt;"",$F160&lt;&gt;0),
                        SUMIF(CÁLCULO!$BS$15:$CS$244,CRONO!E$12,CÁLCULO!$AR$15:$BR$244)/(ORÇAMENTO!$X$15-CÁLCULO.TotalAdmLocal)*CRONO!$F160,
                        0),
                 E159*$S158),
          SUMIF(OFFSET($S160,1,0,$R158-2),($M158+1)&amp;"$",OFFSET(E160,1,0,$R158-2)))</f>
        <v>0</v>
      </c>
      <c r="F160" s="185" t="str">
        <f ca="1">IF(OR($R158&lt;&gt;2,AUTOEVENTO&lt;&gt;"manual",$F159&gt;0),"",
        IF(Import.TipoArredondamento="Tradicional",
              SUMIF(OFFSET(CÁLCULO!$M$15,CRONO!$F158,0,OFFSET(ORÇAMENTO!$D$15,CRONO!$F158,0)),1,OFFSET(ORÇAMENTO!$X$15,CRONO!$F158,0,OFFSET(ORÇAMENTO!$D$15,CRONO!$F158,0))),
              0))</f>
        <v/>
      </c>
      <c r="H160" s="203"/>
      <c r="S160" s="204" t="str">
        <f t="shared" ref="S160" ca="1" si="299">M158&amp;"$"</f>
        <v>1$</v>
      </c>
      <c r="T160" s="205"/>
      <c r="U160" s="202" cm="1">
        <f t="array" aca="1" ref="U160" ca="1">IF($R158=2,
         IF(AND(ACOMPANHAMENTO="PLE",ISNUMBER($F158)),
                SUMIF((OFFSET(CÁLCULO!$BS$15:$CS$15,$F158,0,OFFSET(ORÇAMENTO!$D$15,CRONO!$F158,0))),CRONO!U$12,OFFSET(CÁLCULO!$AR$15:$BR$15,$F158,0,OFFSET(ORÇAMENTO!$D$15,CRONO!$F158,0)))
                +IF(AND($F160&lt;&gt;"",$F160&lt;&gt;0),
                        SUMIF(CÁLCULO!$BS$15:$CS$244,CRONO!U$12,CÁLCULO!$AR$15:$BR$244)/(ORÇAMENTO!$X$15-CÁLCULO.TotalAdmLocal)*CRONO!$F160,
                        0),
                 U159*$S158),
          SUMIF(OFFSET($S160,1,0,$R158-2),($M158+1)&amp;"$",OFFSET(U160,1,0,$R158-2)))</f>
        <v>0</v>
      </c>
      <c r="V160" s="202" cm="1">
        <f t="array" aca="1" ref="V160" ca="1">IF($R158=2,
         IF(AND(ACOMPANHAMENTO="PLE",ISNUMBER($F158)),
                SUMIF((OFFSET(CÁLCULO!$BS$15:$CS$15,$F158,0,OFFSET(ORÇAMENTO!$D$15,CRONO!$F158,0))),CRONO!V$12,OFFSET(CÁLCULO!$AR$15:$BR$15,$F158,0,OFFSET(ORÇAMENTO!$D$15,CRONO!$F158,0)))
                +IF(AND($F160&lt;&gt;"",$F160&lt;&gt;0),
                        SUMIF(CÁLCULO!$BS$15:$CS$244,CRONO!V$12,CÁLCULO!$AR$15:$BR$244)/(ORÇAMENTO!$X$15-CÁLCULO.TotalAdmLocal)*CRONO!$F160,
                        0),
                 V159*$S158),
          SUMIF(OFFSET($S160,1,0,$R158-2),($M158+1)&amp;"$",OFFSET(V160,1,0,$R158-2)))</f>
        <v>0</v>
      </c>
      <c r="W160" s="202" cm="1">
        <f t="array" aca="1" ref="W160" ca="1">IF($R158=2,
         IF(AND(ACOMPANHAMENTO="PLE",ISNUMBER($F158)),
                SUMIF((OFFSET(CÁLCULO!$BS$15:$CS$15,$F158,0,OFFSET(ORÇAMENTO!$D$15,CRONO!$F158,0))),CRONO!W$12,OFFSET(CÁLCULO!$AR$15:$BR$15,$F158,0,OFFSET(ORÇAMENTO!$D$15,CRONO!$F158,0)))
                +IF(AND($F160&lt;&gt;"",$F160&lt;&gt;0),
                        SUMIF(CÁLCULO!$BS$15:$CS$244,CRONO!W$12,CÁLCULO!$AR$15:$BR$244)/(ORÇAMENTO!$X$15-CÁLCULO.TotalAdmLocal)*CRONO!$F160,
                        0),
                 W159*$S158),
          SUMIF(OFFSET($S160,1,0,$R158-2),($M158+1)&amp;"$",OFFSET(W160,1,0,$R158-2)))</f>
        <v>0</v>
      </c>
      <c r="X160" s="202" cm="1">
        <f t="array" aca="1" ref="X160" ca="1">IF($R158=2,
         IF(AND(ACOMPANHAMENTO="PLE",ISNUMBER($F158)),
                SUMIF((OFFSET(CÁLCULO!$BS$15:$CS$15,$F158,0,OFFSET(ORÇAMENTO!$D$15,CRONO!$F158,0))),CRONO!X$12,OFFSET(CÁLCULO!$AR$15:$BR$15,$F158,0,OFFSET(ORÇAMENTO!$D$15,CRONO!$F158,0)))
                +IF(AND($F160&lt;&gt;"",$F160&lt;&gt;0),
                        SUMIF(CÁLCULO!$BS$15:$CS$244,CRONO!X$12,CÁLCULO!$AR$15:$BR$244)/(ORÇAMENTO!$X$15-CÁLCULO.TotalAdmLocal)*CRONO!$F160,
                        0),
                 X159*$S158),
          SUMIF(OFFSET($S160,1,0,$R158-2),($M158+1)&amp;"$",OFFSET(X160,1,0,$R158-2)))</f>
        <v>0</v>
      </c>
      <c r="Y160" s="202" cm="1">
        <f t="array" aca="1" ref="Y160" ca="1">IF($R158=2,
         IF(AND(ACOMPANHAMENTO="PLE",ISNUMBER($F158)),
                SUMIF((OFFSET(CÁLCULO!$BS$15:$CS$15,$F158,0,OFFSET(ORÇAMENTO!$D$15,CRONO!$F158,0))),CRONO!Y$12,OFFSET(CÁLCULO!$AR$15:$BR$15,$F158,0,OFFSET(ORÇAMENTO!$D$15,CRONO!$F158,0)))
                +IF(AND($F160&lt;&gt;"",$F160&lt;&gt;0),
                        SUMIF(CÁLCULO!$BS$15:$CS$244,CRONO!Y$12,CÁLCULO!$AR$15:$BR$244)/(ORÇAMENTO!$X$15-CÁLCULO.TotalAdmLocal)*CRONO!$F160,
                        0),
                 Y159*$S158),
          SUMIF(OFFSET($S160,1,0,$R158-2),($M158+1)&amp;"$",OFFSET(Y160,1,0,$R158-2)))</f>
        <v>0</v>
      </c>
      <c r="Z160" s="202" cm="1">
        <f t="array" aca="1" ref="Z160" ca="1">IF($R158=2,
         IF(AND(ACOMPANHAMENTO="PLE",ISNUMBER($F158)),
                SUMIF((OFFSET(CÁLCULO!$BS$15:$CS$15,$F158,0,OFFSET(ORÇAMENTO!$D$15,CRONO!$F158,0))),CRONO!Z$12,OFFSET(CÁLCULO!$AR$15:$BR$15,$F158,0,OFFSET(ORÇAMENTO!$D$15,CRONO!$F158,0)))
                +IF(AND($F160&lt;&gt;"",$F160&lt;&gt;0),
                        SUMIF(CÁLCULO!$BS$15:$CS$244,CRONO!Z$12,CÁLCULO!$AR$15:$BR$244)/(ORÇAMENTO!$X$15-CÁLCULO.TotalAdmLocal)*CRONO!$F160,
                        0),
                 Z159*$S158),
          SUMIF(OFFSET($S160,1,0,$R158-2),($M158+1)&amp;"$",OFFSET(Z160,1,0,$R158-2)))</f>
        <v>0</v>
      </c>
      <c r="AA160" s="202" cm="1">
        <f t="array" aca="1" ref="AA160" ca="1">IF($R158=2,
         IF(AND(ACOMPANHAMENTO="PLE",ISNUMBER($F158)),
                SUMIF((OFFSET(CÁLCULO!$BS$15:$CS$15,$F158,0,OFFSET(ORÇAMENTO!$D$15,CRONO!$F158,0))),CRONO!AA$12,OFFSET(CÁLCULO!$AR$15:$BR$15,$F158,0,OFFSET(ORÇAMENTO!$D$15,CRONO!$F158,0)))
                +IF(AND($F160&lt;&gt;"",$F160&lt;&gt;0),
                        SUMIF(CÁLCULO!$BS$15:$CS$244,CRONO!AA$12,CÁLCULO!$AR$15:$BR$244)/(ORÇAMENTO!$X$15-CÁLCULO.TotalAdmLocal)*CRONO!$F160,
                        0),
                 AA159*$S158),
          SUMIF(OFFSET($S160,1,0,$R158-2),($M158+1)&amp;"$",OFFSET(AA160,1,0,$R158-2)))</f>
        <v>0</v>
      </c>
      <c r="AB160" s="202" cm="1">
        <f t="array" aca="1" ref="AB160" ca="1">IF($R158=2,
         IF(AND(ACOMPANHAMENTO="PLE",ISNUMBER($F158)),
                SUMIF((OFFSET(CÁLCULO!$BS$15:$CS$15,$F158,0,OFFSET(ORÇAMENTO!$D$15,CRONO!$F158,0))),CRONO!AB$12,OFFSET(CÁLCULO!$AR$15:$BR$15,$F158,0,OFFSET(ORÇAMENTO!$D$15,CRONO!$F158,0)))
                +IF(AND($F160&lt;&gt;"",$F160&lt;&gt;0),
                        SUMIF(CÁLCULO!$BS$15:$CS$244,CRONO!AB$12,CÁLCULO!$AR$15:$BR$244)/(ORÇAMENTO!$X$15-CÁLCULO.TotalAdmLocal)*CRONO!$F160,
                        0),
                 AB159*$S158),
          SUMIF(OFFSET($S160,1,0,$R158-2),($M158+1)&amp;"$",OFFSET(AB160,1,0,$R158-2)))</f>
        <v>0</v>
      </c>
      <c r="AC160" s="202" cm="1">
        <f t="array" aca="1" ref="AC160" ca="1">IF($R158=2,
         IF(AND(ACOMPANHAMENTO="PLE",ISNUMBER($F158)),
                SUMIF((OFFSET(CÁLCULO!$BS$15:$CS$15,$F158,0,OFFSET(ORÇAMENTO!$D$15,CRONO!$F158,0))),CRONO!AC$12,OFFSET(CÁLCULO!$AR$15:$BR$15,$F158,0,OFFSET(ORÇAMENTO!$D$15,CRONO!$F158,0)))
                +IF(AND($F160&lt;&gt;"",$F160&lt;&gt;0),
                        SUMIF(CÁLCULO!$BS$15:$CS$244,CRONO!AC$12,CÁLCULO!$AR$15:$BR$244)/(ORÇAMENTO!$X$15-CÁLCULO.TotalAdmLocal)*CRONO!$F160,
                        0),
                 AC159*$S158),
          SUMIF(OFFSET($S160,1,0,$R158-2),($M158+1)&amp;"$",OFFSET(AC160,1,0,$R158-2)))</f>
        <v>0</v>
      </c>
      <c r="AD160" s="202" cm="1">
        <f t="array" aca="1" ref="AD160" ca="1">IF($R158=2,
         IF(AND(ACOMPANHAMENTO="PLE",ISNUMBER($F158)),
                SUMIF((OFFSET(CÁLCULO!$BS$15:$CS$15,$F158,0,OFFSET(ORÇAMENTO!$D$15,CRONO!$F158,0))),CRONO!AD$12,OFFSET(CÁLCULO!$AR$15:$BR$15,$F158,0,OFFSET(ORÇAMENTO!$D$15,CRONO!$F158,0)))
                +IF(AND($F160&lt;&gt;"",$F160&lt;&gt;0),
                        SUMIF(CÁLCULO!$BS$15:$CS$244,CRONO!AD$12,CÁLCULO!$AR$15:$BR$244)/(ORÇAMENTO!$X$15-CÁLCULO.TotalAdmLocal)*CRONO!$F160,
                        0),
                 AD159*$S158),
          SUMIF(OFFSET($S160,1,0,$R158-2),($M158+1)&amp;"$",OFFSET(AD160,1,0,$R158-2)))</f>
        <v>0</v>
      </c>
      <c r="AE160" s="202" cm="1">
        <f t="array" aca="1" ref="AE160" ca="1">IF($R158=2,
         IF(AND(ACOMPANHAMENTO="PLE",ISNUMBER($F158)),
                SUMIF((OFFSET(CÁLCULO!$BS$15:$CS$15,$F158,0,OFFSET(ORÇAMENTO!$D$15,CRONO!$F158,0))),CRONO!AE$12,OFFSET(CÁLCULO!$AR$15:$BR$15,$F158,0,OFFSET(ORÇAMENTO!$D$15,CRONO!$F158,0)))
                +IF(AND($F160&lt;&gt;"",$F160&lt;&gt;0),
                        SUMIF(CÁLCULO!$BS$15:$CS$244,CRONO!AE$12,CÁLCULO!$AR$15:$BR$244)/(ORÇAMENTO!$X$15-CÁLCULO.TotalAdmLocal)*CRONO!$F160,
                        0),
                 AE159*$S158),
          SUMIF(OFFSET($S160,1,0,$R158-2),($M158+1)&amp;"$",OFFSET(AE160,1,0,$R158-2)))</f>
        <v>0</v>
      </c>
      <c r="AF160" s="202" cm="1">
        <f t="array" aca="1" ref="AF160" ca="1">IF($R158=2,
         IF(AND(ACOMPANHAMENTO="PLE",ISNUMBER($F158)),
                SUMIF((OFFSET(CÁLCULO!$BS$15:$CS$15,$F158,0,OFFSET(ORÇAMENTO!$D$15,CRONO!$F158,0))),CRONO!AF$12,OFFSET(CÁLCULO!$AR$15:$BR$15,$F158,0,OFFSET(ORÇAMENTO!$D$15,CRONO!$F158,0)))
                +IF(AND($F160&lt;&gt;"",$F160&lt;&gt;0),
                        SUMIF(CÁLCULO!$BS$15:$CS$244,CRONO!AF$12,CÁLCULO!$AR$15:$BR$244)/(ORÇAMENTO!$X$15-CÁLCULO.TotalAdmLocal)*CRONO!$F160,
                        0),
                 AF159*$S158),
          SUMIF(OFFSET($S160,1,0,$R158-2),($M158+1)&amp;"$",OFFSET(AF160,1,0,$R158-2)))</f>
        <v>0</v>
      </c>
      <c r="AG160" s="202" cm="1">
        <f t="array" aca="1" ref="AG160" ca="1">IF($R158=2,
         IF(AND(ACOMPANHAMENTO="PLE",ISNUMBER($F158)),
                SUMIF((OFFSET(CÁLCULO!$BS$15:$CS$15,$F158,0,OFFSET(ORÇAMENTO!$D$15,CRONO!$F158,0))),CRONO!AG$12,OFFSET(CÁLCULO!$AR$15:$BR$15,$F158,0,OFFSET(ORÇAMENTO!$D$15,CRONO!$F158,0)))
                +IF(AND($F160&lt;&gt;"",$F160&lt;&gt;0),
                        SUMIF(CÁLCULO!$BS$15:$CS$244,CRONO!AG$12,CÁLCULO!$AR$15:$BR$244)/(ORÇAMENTO!$X$15-CÁLCULO.TotalAdmLocal)*CRONO!$F160,
                        0),
                 AG159*$S158),
          SUMIF(OFFSET($S160,1,0,$R158-2),($M158+1)&amp;"$",OFFSET(AG160,1,0,$R158-2)))</f>
        <v>0</v>
      </c>
      <c r="AH160" s="202" cm="1">
        <f t="array" aca="1" ref="AH160" ca="1">IF($R158=2,
         IF(AND(ACOMPANHAMENTO="PLE",ISNUMBER($F158)),
                SUMIF((OFFSET(CÁLCULO!$BS$15:$CS$15,$F158,0,OFFSET(ORÇAMENTO!$D$15,CRONO!$F158,0))),CRONO!AH$12,OFFSET(CÁLCULO!$AR$15:$BR$15,$F158,0,OFFSET(ORÇAMENTO!$D$15,CRONO!$F158,0)))
                +IF(AND($F160&lt;&gt;"",$F160&lt;&gt;0),
                        SUMIF(CÁLCULO!$BS$15:$CS$244,CRONO!AH$12,CÁLCULO!$AR$15:$BR$244)/(ORÇAMENTO!$X$15-CÁLCULO.TotalAdmLocal)*CRONO!$F160,
                        0),
                 AH159*$S158),
          SUMIF(OFFSET($S160,1,0,$R158-2),($M158+1)&amp;"$",OFFSET(AH160,1,0,$R158-2)))</f>
        <v>0</v>
      </c>
      <c r="AI160" s="202" cm="1">
        <f t="array" aca="1" ref="AI160" ca="1">IF($R158=2,
         IF(AND(ACOMPANHAMENTO="PLE",ISNUMBER($F158)),
                SUMIF((OFFSET(CÁLCULO!$BS$15:$CS$15,$F158,0,OFFSET(ORÇAMENTO!$D$15,CRONO!$F158,0))),CRONO!AI$12,OFFSET(CÁLCULO!$AR$15:$BR$15,$F158,0,OFFSET(ORÇAMENTO!$D$15,CRONO!$F158,0)))
                +IF(AND($F160&lt;&gt;"",$F160&lt;&gt;0),
                        SUMIF(CÁLCULO!$BS$15:$CS$244,CRONO!AI$12,CÁLCULO!$AR$15:$BR$244)/(ORÇAMENTO!$X$15-CÁLCULO.TotalAdmLocal)*CRONO!$F160,
                        0),
                 AI159*$S158),
          SUMIF(OFFSET($S160,1,0,$R158-2),($M158+1)&amp;"$",OFFSET(AI160,1,0,$R158-2)))</f>
        <v>0</v>
      </c>
      <c r="AJ160" s="202" cm="1">
        <f t="array" aca="1" ref="AJ160" ca="1">IF($R158=2,
         IF(AND(ACOMPANHAMENTO="PLE",ISNUMBER($F158)),
                SUMIF((OFFSET(CÁLCULO!$BS$15:$CS$15,$F158,0,OFFSET(ORÇAMENTO!$D$15,CRONO!$F158,0))),CRONO!AJ$12,OFFSET(CÁLCULO!$AR$15:$BR$15,$F158,0,OFFSET(ORÇAMENTO!$D$15,CRONO!$F158,0)))
                +IF(AND($F160&lt;&gt;"",$F160&lt;&gt;0),
                        SUMIF(CÁLCULO!$BS$15:$CS$244,CRONO!AJ$12,CÁLCULO!$AR$15:$BR$244)/(ORÇAMENTO!$X$15-CÁLCULO.TotalAdmLocal)*CRONO!$F160,
                        0),
                 AJ159*$S158),
          SUMIF(OFFSET($S160,1,0,$R158-2),($M158+1)&amp;"$",OFFSET(AJ160,1,0,$R158-2)))</f>
        <v>0</v>
      </c>
      <c r="AK160" s="202" cm="1">
        <f t="array" aca="1" ref="AK160" ca="1">IF($R158=2,
         IF(AND(ACOMPANHAMENTO="PLE",ISNUMBER($F158)),
                SUMIF((OFFSET(CÁLCULO!$BS$15:$CS$15,$F158,0,OFFSET(ORÇAMENTO!$D$15,CRONO!$F158,0))),CRONO!AK$12,OFFSET(CÁLCULO!$AR$15:$BR$15,$F158,0,OFFSET(ORÇAMENTO!$D$15,CRONO!$F158,0)))
                +IF(AND($F160&lt;&gt;"",$F160&lt;&gt;0),
                        SUMIF(CÁLCULO!$BS$15:$CS$244,CRONO!AK$12,CÁLCULO!$AR$15:$BR$244)/(ORÇAMENTO!$X$15-CÁLCULO.TotalAdmLocal)*CRONO!$F160,
                        0),
                 AK159*$S158),
          SUMIF(OFFSET($S160,1,0,$R158-2),($M158+1)&amp;"$",OFFSET(AK160,1,0,$R158-2)))</f>
        <v>0</v>
      </c>
      <c r="AL160" s="202" cm="1">
        <f t="array" aca="1" ref="AL160" ca="1">IF($R158=2,
         IF(AND(ACOMPANHAMENTO="PLE",ISNUMBER($F158)),
                SUMIF((OFFSET(CÁLCULO!$BS$15:$CS$15,$F158,0,OFFSET(ORÇAMENTO!$D$15,CRONO!$F158,0))),CRONO!AL$12,OFFSET(CÁLCULO!$AR$15:$BR$15,$F158,0,OFFSET(ORÇAMENTO!$D$15,CRONO!$F158,0)))
                +IF(AND($F160&lt;&gt;"",$F160&lt;&gt;0),
                        SUMIF(CÁLCULO!$BS$15:$CS$244,CRONO!AL$12,CÁLCULO!$AR$15:$BR$244)/(ORÇAMENTO!$X$15-CÁLCULO.TotalAdmLocal)*CRONO!$F160,
                        0),
                 AL159*$S158),
          SUMIF(OFFSET($S160,1,0,$R158-2),($M158+1)&amp;"$",OFFSET(AL160,1,0,$R158-2)))</f>
        <v>0</v>
      </c>
      <c r="AM160" s="202" cm="1">
        <f t="array" aca="1" ref="AM160" ca="1">IF($R158=2,
         IF(AND(ACOMPANHAMENTO="PLE",ISNUMBER($F158)),
                SUMIF((OFFSET(CÁLCULO!$BS$15:$CS$15,$F158,0,OFFSET(ORÇAMENTO!$D$15,CRONO!$F158,0))),CRONO!AM$12,OFFSET(CÁLCULO!$AR$15:$BR$15,$F158,0,OFFSET(ORÇAMENTO!$D$15,CRONO!$F158,0)))
                +IF(AND($F160&lt;&gt;"",$F160&lt;&gt;0),
                        SUMIF(CÁLCULO!$BS$15:$CS$244,CRONO!AM$12,CÁLCULO!$AR$15:$BR$244)/(ORÇAMENTO!$X$15-CÁLCULO.TotalAdmLocal)*CRONO!$F160,
                        0),
                 AM159*$S158),
          SUMIF(OFFSET($S160,1,0,$R158-2),($M158+1)&amp;"$",OFFSET(AM160,1,0,$R158-2)))</f>
        <v>0</v>
      </c>
      <c r="AN160" s="202" cm="1">
        <f t="array" aca="1" ref="AN160" ca="1">IF($R158=2,
         IF(AND(ACOMPANHAMENTO="PLE",ISNUMBER($F158)),
                SUMIF((OFFSET(CÁLCULO!$BS$15:$CS$15,$F158,0,OFFSET(ORÇAMENTO!$D$15,CRONO!$F158,0))),CRONO!AN$12,OFFSET(CÁLCULO!$AR$15:$BR$15,$F158,0,OFFSET(ORÇAMENTO!$D$15,CRONO!$F158,0)))
                +IF(AND($F160&lt;&gt;"",$F160&lt;&gt;0),
                        SUMIF(CÁLCULO!$BS$15:$CS$244,CRONO!AN$12,CÁLCULO!$AR$15:$BR$244)/(ORÇAMENTO!$X$15-CÁLCULO.TotalAdmLocal)*CRONO!$F160,
                        0),
                 AN159*$S158),
          SUMIF(OFFSET($S160,1,0,$R158-2),($M158+1)&amp;"$",OFFSET(AN160,1,0,$R158-2)))</f>
        <v>0</v>
      </c>
      <c r="AO160" s="202" cm="1">
        <f t="array" aca="1" ref="AO160" ca="1">IF($R158=2,
         IF(AND(ACOMPANHAMENTO="PLE",ISNUMBER($F158)),
                SUMIF((OFFSET(CÁLCULO!$BS$15:$CS$15,$F158,0,OFFSET(ORÇAMENTO!$D$15,CRONO!$F158,0))),CRONO!AO$12,OFFSET(CÁLCULO!$AR$15:$BR$15,$F158,0,OFFSET(ORÇAMENTO!$D$15,CRONO!$F158,0)))
                +IF(AND($F160&lt;&gt;"",$F160&lt;&gt;0),
                        SUMIF(CÁLCULO!$BS$15:$CS$244,CRONO!AO$12,CÁLCULO!$AR$15:$BR$244)/(ORÇAMENTO!$X$15-CÁLCULO.TotalAdmLocal)*CRONO!$F160,
                        0),
                 AO159*$S158),
          SUMIF(OFFSET($S160,1,0,$R158-2),($M158+1)&amp;"$",OFFSET(AO160,1,0,$R158-2)))</f>
        <v>0</v>
      </c>
      <c r="AP160" s="202" cm="1">
        <f t="array" aca="1" ref="AP160" ca="1">IF($R158=2,
         IF(AND(ACOMPANHAMENTO="PLE",ISNUMBER($F158)),
                SUMIF((OFFSET(CÁLCULO!$BS$15:$CS$15,$F158,0,OFFSET(ORÇAMENTO!$D$15,CRONO!$F158,0))),CRONO!AP$12,OFFSET(CÁLCULO!$AR$15:$BR$15,$F158,0,OFFSET(ORÇAMENTO!$D$15,CRONO!$F158,0)))
                +IF(AND($F160&lt;&gt;"",$F160&lt;&gt;0),
                        SUMIF(CÁLCULO!$BS$15:$CS$244,CRONO!AP$12,CÁLCULO!$AR$15:$BR$244)/(ORÇAMENTO!$X$15-CÁLCULO.TotalAdmLocal)*CRONO!$F160,
                        0),
                 AP159*$S158),
          SUMIF(OFFSET($S160,1,0,$R158-2),($M158+1)&amp;"$",OFFSET(AP160,1,0,$R158-2)))</f>
        <v>0</v>
      </c>
      <c r="AQ160" s="202" cm="1">
        <f t="array" aca="1" ref="AQ160" ca="1">IF($R158=2,
         IF(AND(ACOMPANHAMENTO="PLE",ISNUMBER($F158)),
                SUMIF((OFFSET(CÁLCULO!$BS$15:$CS$15,$F158,0,OFFSET(ORÇAMENTO!$D$15,CRONO!$F158,0))),CRONO!AQ$12,OFFSET(CÁLCULO!$AR$15:$BR$15,$F158,0,OFFSET(ORÇAMENTO!$D$15,CRONO!$F158,0)))
                +IF(AND($F160&lt;&gt;"",$F160&lt;&gt;0),
                        SUMIF(CÁLCULO!$BS$15:$CS$244,CRONO!AQ$12,CÁLCULO!$AR$15:$BR$244)/(ORÇAMENTO!$X$15-CÁLCULO.TotalAdmLocal)*CRONO!$F160,
                        0),
                 AQ159*$S158),
          SUMIF(OFFSET($S160,1,0,$R158-2),($M158+1)&amp;"$",OFFSET(AQ160,1,0,$R158-2)))</f>
        <v>0</v>
      </c>
      <c r="AR160" s="202" cm="1">
        <f t="array" aca="1" ref="AR160" ca="1">IF($R158=2,
         IF(AND(ACOMPANHAMENTO="PLE",ISNUMBER($F158)),
                SUMIF((OFFSET(CÁLCULO!$BS$15:$CS$15,$F158,0,OFFSET(ORÇAMENTO!$D$15,CRONO!$F158,0))),CRONO!AR$12,OFFSET(CÁLCULO!$AR$15:$BR$15,$F158,0,OFFSET(ORÇAMENTO!$D$15,CRONO!$F158,0)))
                +IF(AND($F160&lt;&gt;"",$F160&lt;&gt;0),
                        SUMIF(CÁLCULO!$BS$15:$CS$244,CRONO!AR$12,CÁLCULO!$AR$15:$BR$244)/(ORÇAMENTO!$X$15-CÁLCULO.TotalAdmLocal)*CRONO!$F160,
                        0),
                 AR159*$S158),
          SUMIF(OFFSET($S160,1,0,$R158-2),($M158+1)&amp;"$",OFFSET(AR160,1,0,$R158-2)))</f>
        <v>0</v>
      </c>
      <c r="AS160" s="534"/>
    </row>
    <row r="161" spans="1:45" hidden="1" x14ac:dyDescent="0.2">
      <c r="A161" s="186" t="str">
        <f t="shared" ref="A161" ca="1" si="300">IF($M161&gt;1,_xlfn.CONCAT($I161," ",$J161),"")</f>
        <v/>
      </c>
      <c r="B161" s="185">
        <f t="shared" ref="B161" ca="1" si="301">OFFSET(B161,-3,0)+1</f>
        <v>50</v>
      </c>
      <c r="C161" s="185">
        <f ca="1">IF($R161&lt;&gt;2,0,IF($S161=0,1,IF(F162&gt;0,OFFSET(QCI!$M$13,SUBSTITUTE(F162,".",""),0),OFFSET(ORÇAMENTO!$AA$15,CRONO!$F161,0))/$S161))</f>
        <v>0</v>
      </c>
      <c r="D161" s="185">
        <f ca="1">IF($R161&lt;&gt;2,0,IF($S161=0,1,IF(F162&gt;0,OFFSET(QCI!$N$13,SUBSTITUTE(F162,".",""),0),OFFSET(ORÇAMENTO!$AB$15,CRONO!$F161,0))/$S161))</f>
        <v>0</v>
      </c>
      <c r="E161" s="188" t="e" cm="1">
        <f t="array" aca="1" ref="E161" ca="1">IF(AND($R161=2,ACOMPANHAMENTO="BM"),ROUND(E162,4),E163/$S161)</f>
        <v>#VALUE!</v>
      </c>
      <c r="F161" s="185" t="e" cm="1">
        <f t="array" aca="1" ref="F161" ca="1">IF(B161&lt;=ORÇAMENTO.MáximoListaCrono,MATCH(B161,ORÇAMENTO.ListaCrono,0),NA())</f>
        <v>#N/A</v>
      </c>
      <c r="G161" s="185" t="str">
        <f t="shared" ref="G161" ca="1" si="302">IF(AND($F162&lt;&gt;-1,$S161&gt;0),"F","")</f>
        <v/>
      </c>
      <c r="H161" s="189" t="str" cm="1">
        <f t="array" aca="1" ref="H161" ca="1">IF(OR(S161=0,S161=""),"Linha",IF(AND(OR(ACOMPANHAMENTO="PLE",$R161&lt;&gt;2),$F162=0),"Linha",ROUND(1-SUM(U161:AS161),4)))</f>
        <v>Linha</v>
      </c>
      <c r="I161" s="190" t="str">
        <f ca="1">IF($F162=0,OFFSET(ORÇAMENTO!O$15,$F161,0),IF($F162&lt;&gt;-1,OFFSET(QCI!$D$13,$F162,0),""))</f>
        <v/>
      </c>
      <c r="J161" s="191" t="str">
        <f ca="1">IF($F162=0,OFFSET(ORÇAMENTO!R$15,$F161,0),IF($F162&lt;&gt;-1,OFFSET(QCI!$G$13,$F162,0),""))</f>
        <v/>
      </c>
      <c r="K161" s="191"/>
      <c r="L161" s="191"/>
      <c r="M161" s="192">
        <f ca="1">IF($F162=0,OFFSET(ORÇAMENTO!C$15,$F161,0),1)</f>
        <v>1</v>
      </c>
      <c r="N161" s="193">
        <f t="shared" ref="N161" ca="1" si="303">IF($F162=-1,0,IF(N$13&lt;=$M161,IF(ISERROR(MATCH(N$13,OFFSET($M161,1,0,ROW($M$164)-ROW($M161)-1),0)),ROW($M$164)-ROW($M161)-1,MATCH(N$13,OFFSET($M161,1,0,ROW($M$164)-ROW($M161)-1),0)-1),0))</f>
        <v>0</v>
      </c>
      <c r="O161" s="193">
        <f t="shared" ref="O161" ca="1" si="304">IF($F162=-1,0,IF(O$13&lt;=$M161,IF(ISERROR(MATCH(O$13,OFFSET($M161,1,0,ROW($M$164)-ROW($M161)-1),0)),ROW($M$164)-ROW($M161)-1,MATCH(O$13,OFFSET($M161,1,0,ROW($M$164)-ROW($M161)-1),0)-1),0))</f>
        <v>0</v>
      </c>
      <c r="P161" s="193">
        <f t="shared" ref="P161" ca="1" si="305">IF($F162=-1,0,IF(P$13&lt;=$M161,IF(ISERROR(MATCH(P$13,OFFSET($M161,1,0,ROW($M$164)-ROW($M161)-1),0)),ROW($M$164)-ROW($M161)-1,MATCH(P$13,OFFSET($M161,1,0,ROW($M$164)-ROW($M161)-1),0)-1),0))</f>
        <v>0</v>
      </c>
      <c r="Q161" s="193">
        <f t="shared" ref="Q161" ca="1" si="306">IF($F162=-1,0,IF(Q$13&lt;=$M161,IF(ISERROR(MATCH(Q$13,OFFSET($M161,1,0,ROW($M$164)-ROW($M161)-1),0)),ROW($M$164)-ROW($M161)-1,MATCH(Q$13,OFFSET($M161,1,0,ROW($M$164)-ROW($M161)-1),0)-1),0))</f>
        <v>0</v>
      </c>
      <c r="R161" s="193">
        <f t="shared" ref="R161" ca="1" si="307">MIN(OFFSET(M161,0,1,,M161))</f>
        <v>0</v>
      </c>
      <c r="S161" s="194" t="str">
        <f ca="1">IF($F162=0,OFFSET(ORÇAMENTO!X$15,$F161,0),IF($F162&lt;&gt;-1,OFFSET(QCI!$O$13,$F162,0),""))</f>
        <v/>
      </c>
      <c r="T161" s="195" t="s">
        <v>785</v>
      </c>
      <c r="U161" s="188" t="e" cm="1">
        <f t="array" aca="1" ref="U161" ca="1">IF(AND($R161=2,ACOMPANHAMENTO="BM"),ROUND(U162,4),U163/$S161)</f>
        <v>#VALUE!</v>
      </c>
      <c r="V161" s="188" t="e" cm="1">
        <f t="array" aca="1" ref="V161" ca="1">IF(AND($R161=2,ACOMPANHAMENTO="BM"),ROUND(V162,4),V163/$S161)</f>
        <v>#VALUE!</v>
      </c>
      <c r="W161" s="188" t="e" cm="1">
        <f t="array" aca="1" ref="W161" ca="1">IF(AND($R161=2,ACOMPANHAMENTO="BM"),ROUND(W162,4),W163/$S161)</f>
        <v>#VALUE!</v>
      </c>
      <c r="X161" s="188" t="e" cm="1">
        <f t="array" aca="1" ref="X161" ca="1">IF(AND($R161=2,ACOMPANHAMENTO="BM"),ROUND(X162,4),X163/$S161)</f>
        <v>#VALUE!</v>
      </c>
      <c r="Y161" s="188" t="e" cm="1">
        <f t="array" aca="1" ref="Y161" ca="1">IF(AND($R161=2,ACOMPANHAMENTO="BM"),ROUND(Y162,4),Y163/$S161)</f>
        <v>#VALUE!</v>
      </c>
      <c r="Z161" s="188" t="e" cm="1">
        <f t="array" aca="1" ref="Z161" ca="1">IF(AND($R161=2,ACOMPANHAMENTO="BM"),ROUND(Z162,4),Z163/$S161)</f>
        <v>#VALUE!</v>
      </c>
      <c r="AA161" s="188" t="e" cm="1">
        <f t="array" aca="1" ref="AA161" ca="1">IF(AND($R161=2,ACOMPANHAMENTO="BM"),ROUND(AA162,4),AA163/$S161)</f>
        <v>#VALUE!</v>
      </c>
      <c r="AB161" s="188" t="e" cm="1">
        <f t="array" aca="1" ref="AB161" ca="1">IF(AND($R161=2,ACOMPANHAMENTO="BM"),ROUND(AB162,4),AB163/$S161)</f>
        <v>#VALUE!</v>
      </c>
      <c r="AC161" s="188" t="e" cm="1">
        <f t="array" aca="1" ref="AC161" ca="1">IF(AND($R161=2,ACOMPANHAMENTO="BM"),ROUND(AC162,4),AC163/$S161)</f>
        <v>#VALUE!</v>
      </c>
      <c r="AD161" s="188" t="e" cm="1">
        <f t="array" aca="1" ref="AD161" ca="1">IF(AND($R161=2,ACOMPANHAMENTO="BM"),ROUND(AD162,4),AD163/$S161)</f>
        <v>#VALUE!</v>
      </c>
      <c r="AE161" s="188" t="e" cm="1">
        <f t="array" aca="1" ref="AE161" ca="1">IF(AND($R161=2,ACOMPANHAMENTO="BM"),ROUND(AE162,4),AE163/$S161)</f>
        <v>#VALUE!</v>
      </c>
      <c r="AF161" s="188" t="e" cm="1">
        <f t="array" aca="1" ref="AF161" ca="1">IF(AND($R161=2,ACOMPANHAMENTO="BM"),ROUND(AF162,4),AF163/$S161)</f>
        <v>#VALUE!</v>
      </c>
      <c r="AG161" s="188" t="e" cm="1">
        <f t="array" aca="1" ref="AG161" ca="1">IF(AND($R161=2,ACOMPANHAMENTO="BM"),ROUND(AG162,4),AG163/$S161)</f>
        <v>#VALUE!</v>
      </c>
      <c r="AH161" s="188" t="e" cm="1">
        <f t="array" aca="1" ref="AH161" ca="1">IF(AND($R161=2,ACOMPANHAMENTO="BM"),ROUND(AH162,4),AH163/$S161)</f>
        <v>#VALUE!</v>
      </c>
      <c r="AI161" s="188" t="e" cm="1">
        <f t="array" aca="1" ref="AI161" ca="1">IF(AND($R161=2,ACOMPANHAMENTO="BM"),ROUND(AI162,4),AI163/$S161)</f>
        <v>#VALUE!</v>
      </c>
      <c r="AJ161" s="188" t="e" cm="1">
        <f t="array" aca="1" ref="AJ161" ca="1">IF(AND($R161=2,ACOMPANHAMENTO="BM"),ROUND(AJ162,4),AJ163/$S161)</f>
        <v>#VALUE!</v>
      </c>
      <c r="AK161" s="188" t="e" cm="1">
        <f t="array" aca="1" ref="AK161" ca="1">IF(AND($R161=2,ACOMPANHAMENTO="BM"),ROUND(AK162,4),AK163/$S161)</f>
        <v>#VALUE!</v>
      </c>
      <c r="AL161" s="188" t="e" cm="1">
        <f t="array" aca="1" ref="AL161" ca="1">IF(AND($R161=2,ACOMPANHAMENTO="BM"),ROUND(AL162,4),AL163/$S161)</f>
        <v>#VALUE!</v>
      </c>
      <c r="AM161" s="188" t="e" cm="1">
        <f t="array" aca="1" ref="AM161" ca="1">IF(AND($R161=2,ACOMPANHAMENTO="BM"),ROUND(AM162,4),AM163/$S161)</f>
        <v>#VALUE!</v>
      </c>
      <c r="AN161" s="188" t="e" cm="1">
        <f t="array" aca="1" ref="AN161" ca="1">IF(AND($R161=2,ACOMPANHAMENTO="BM"),ROUND(AN162,4),AN163/$S161)</f>
        <v>#VALUE!</v>
      </c>
      <c r="AO161" s="188" t="e" cm="1">
        <f t="array" aca="1" ref="AO161" ca="1">IF(AND($R161=2,ACOMPANHAMENTO="BM"),ROUND(AO162,4),AO163/$S161)</f>
        <v>#VALUE!</v>
      </c>
      <c r="AP161" s="188" t="e" cm="1">
        <f t="array" aca="1" ref="AP161" ca="1">IF(AND($R161=2,ACOMPANHAMENTO="BM"),ROUND(AP162,4),AP163/$S161)</f>
        <v>#VALUE!</v>
      </c>
      <c r="AQ161" s="188" t="e" cm="1">
        <f t="array" aca="1" ref="AQ161" ca="1">IF(AND($R161=2,ACOMPANHAMENTO="BM"),ROUND(AQ162,4),AQ163/$S161)</f>
        <v>#VALUE!</v>
      </c>
      <c r="AR161" s="188" t="e" cm="1">
        <f t="array" aca="1" ref="AR161" ca="1">IF(AND($R161=2,ACOMPANHAMENTO="BM"),ROUND(AR162,4),AR163/$S161)</f>
        <v>#VALUE!</v>
      </c>
      <c r="AS161" s="534"/>
    </row>
    <row r="162" spans="1:45" ht="12.75" hidden="1" customHeight="1" x14ac:dyDescent="0.2">
      <c r="E162" s="587"/>
      <c r="F162" s="185">
        <f ca="1">IF(ISERROR(F161),IF(1+COUNTIF($M$13:OFFSET(M161,-1,0),1)&lt;=MAX(QCI!$D$13:$D$24),1+COUNTIF($M$13:OFFSET(M161,-1,0),1),-1),0)</f>
        <v>-1</v>
      </c>
      <c r="G162" s="185" t="str" cm="1">
        <f t="array" aca="1" ref="G162" ca="1">IF(ACOMPANHAMENTO="BM",OFFSET(G162,-1,0),"")</f>
        <v/>
      </c>
      <c r="H162" s="196" t="str" cm="1">
        <f t="array" aca="1" ref="H162" ca="1">IF(OR(S161=0,S161=""),"vazia",IF(AND(OR(ACOMPANHAMENTO="PLE",$R161&lt;&gt;2),$F162=0),"calculada","--&gt;"))</f>
        <v>vazia</v>
      </c>
      <c r="I162" s="197"/>
      <c r="J162" s="198" t="str">
        <f t="shared" ref="J162" ca="1" si="308">IF(AND(H161&lt;&gt;0,ISNUMBER(H161)),"PREENCHA ESTA LINHA --&gt;","")</f>
        <v/>
      </c>
      <c r="K162" s="198"/>
      <c r="L162" s="198"/>
      <c r="M162" s="199"/>
      <c r="N162" s="199"/>
      <c r="O162" s="199"/>
      <c r="P162" s="199"/>
      <c r="Q162" s="199"/>
      <c r="R162" s="199"/>
      <c r="S162" s="200"/>
      <c r="T162" s="201"/>
      <c r="U162" s="587"/>
      <c r="V162" s="587"/>
      <c r="W162" s="587"/>
      <c r="X162" s="587"/>
      <c r="Y162" s="587"/>
      <c r="Z162" s="587"/>
      <c r="AA162" s="587"/>
      <c r="AB162" s="587"/>
      <c r="AC162" s="587"/>
      <c r="AD162" s="587"/>
      <c r="AE162" s="587"/>
      <c r="AF162" s="587"/>
      <c r="AG162" s="587"/>
      <c r="AH162" s="587"/>
      <c r="AI162" s="587"/>
      <c r="AJ162" s="587"/>
      <c r="AK162" s="587"/>
      <c r="AL162" s="587"/>
      <c r="AM162" s="587"/>
      <c r="AN162" s="587"/>
      <c r="AO162" s="587"/>
      <c r="AP162" s="587"/>
      <c r="AQ162" s="587"/>
      <c r="AR162" s="587"/>
      <c r="AS162" s="534"/>
    </row>
    <row r="163" spans="1:45" ht="12.75" hidden="1" customHeight="1" x14ac:dyDescent="0.2">
      <c r="D163" s="533"/>
      <c r="E163" s="202" cm="1">
        <f t="array" aca="1" ref="E163" ca="1">IF($R161=2,
         IF(AND(ACOMPANHAMENTO="PLE",ISNUMBER($F161)),
                SUMIF((OFFSET(CÁLCULO!$BS$15:$CS$15,$F161,0,OFFSET(ORÇAMENTO!$D$15,CRONO!$F161,0))),CRONO!E$12,OFFSET(CÁLCULO!$AR$15:$BR$15,$F161,0,OFFSET(ORÇAMENTO!$D$15,CRONO!$F161,0)))
                +IF(AND($F163&lt;&gt;"",$F163&lt;&gt;0),
                        SUMIF(CÁLCULO!$BS$15:$CS$244,CRONO!E$12,CÁLCULO!$AR$15:$BR$244)/(ORÇAMENTO!$X$15-CÁLCULO.TotalAdmLocal)*CRONO!$F163,
                        0),
                 E162*$S161),
          SUMIF(OFFSET($S163,1,0,$R161-2),($M161+1)&amp;"$",OFFSET(E163,1,0,$R161-2)))</f>
        <v>0</v>
      </c>
      <c r="F163" s="185" t="str">
        <f ca="1">IF(OR($R161&lt;&gt;2,AUTOEVENTO&lt;&gt;"manual",$F162&gt;0),"",
        IF(Import.TipoArredondamento="Tradicional",
              SUMIF(OFFSET(CÁLCULO!$M$15,CRONO!$F161,0,OFFSET(ORÇAMENTO!$D$15,CRONO!$F161,0)),1,OFFSET(ORÇAMENTO!$X$15,CRONO!$F161,0,OFFSET(ORÇAMENTO!$D$15,CRONO!$F161,0))),
              0))</f>
        <v/>
      </c>
      <c r="H163" s="203"/>
      <c r="S163" s="204" t="str">
        <f t="shared" ref="S163" ca="1" si="309">M161&amp;"$"</f>
        <v>1$</v>
      </c>
      <c r="T163" s="205"/>
      <c r="U163" s="202" cm="1">
        <f t="array" aca="1" ref="U163" ca="1">IF($R161=2,
         IF(AND(ACOMPANHAMENTO="PLE",ISNUMBER($F161)),
                SUMIF((OFFSET(CÁLCULO!$BS$15:$CS$15,$F161,0,OFFSET(ORÇAMENTO!$D$15,CRONO!$F161,0))),CRONO!U$12,OFFSET(CÁLCULO!$AR$15:$BR$15,$F161,0,OFFSET(ORÇAMENTO!$D$15,CRONO!$F161,0)))
                +IF(AND($F163&lt;&gt;"",$F163&lt;&gt;0),
                        SUMIF(CÁLCULO!$BS$15:$CS$244,CRONO!U$12,CÁLCULO!$AR$15:$BR$244)/(ORÇAMENTO!$X$15-CÁLCULO.TotalAdmLocal)*CRONO!$F163,
                        0),
                 U162*$S161),
          SUMIF(OFFSET($S163,1,0,$R161-2),($M161+1)&amp;"$",OFFSET(U163,1,0,$R161-2)))</f>
        <v>0</v>
      </c>
      <c r="V163" s="202" cm="1">
        <f t="array" aca="1" ref="V163" ca="1">IF($R161=2,
         IF(AND(ACOMPANHAMENTO="PLE",ISNUMBER($F161)),
                SUMIF((OFFSET(CÁLCULO!$BS$15:$CS$15,$F161,0,OFFSET(ORÇAMENTO!$D$15,CRONO!$F161,0))),CRONO!V$12,OFFSET(CÁLCULO!$AR$15:$BR$15,$F161,0,OFFSET(ORÇAMENTO!$D$15,CRONO!$F161,0)))
                +IF(AND($F163&lt;&gt;"",$F163&lt;&gt;0),
                        SUMIF(CÁLCULO!$BS$15:$CS$244,CRONO!V$12,CÁLCULO!$AR$15:$BR$244)/(ORÇAMENTO!$X$15-CÁLCULO.TotalAdmLocal)*CRONO!$F163,
                        0),
                 V162*$S161),
          SUMIF(OFFSET($S163,1,0,$R161-2),($M161+1)&amp;"$",OFFSET(V163,1,0,$R161-2)))</f>
        <v>0</v>
      </c>
      <c r="W163" s="202" cm="1">
        <f t="array" aca="1" ref="W163" ca="1">IF($R161=2,
         IF(AND(ACOMPANHAMENTO="PLE",ISNUMBER($F161)),
                SUMIF((OFFSET(CÁLCULO!$BS$15:$CS$15,$F161,0,OFFSET(ORÇAMENTO!$D$15,CRONO!$F161,0))),CRONO!W$12,OFFSET(CÁLCULO!$AR$15:$BR$15,$F161,0,OFFSET(ORÇAMENTO!$D$15,CRONO!$F161,0)))
                +IF(AND($F163&lt;&gt;"",$F163&lt;&gt;0),
                        SUMIF(CÁLCULO!$BS$15:$CS$244,CRONO!W$12,CÁLCULO!$AR$15:$BR$244)/(ORÇAMENTO!$X$15-CÁLCULO.TotalAdmLocal)*CRONO!$F163,
                        0),
                 W162*$S161),
          SUMIF(OFFSET($S163,1,0,$R161-2),($M161+1)&amp;"$",OFFSET(W163,1,0,$R161-2)))</f>
        <v>0</v>
      </c>
      <c r="X163" s="202" cm="1">
        <f t="array" aca="1" ref="X163" ca="1">IF($R161=2,
         IF(AND(ACOMPANHAMENTO="PLE",ISNUMBER($F161)),
                SUMIF((OFFSET(CÁLCULO!$BS$15:$CS$15,$F161,0,OFFSET(ORÇAMENTO!$D$15,CRONO!$F161,0))),CRONO!X$12,OFFSET(CÁLCULO!$AR$15:$BR$15,$F161,0,OFFSET(ORÇAMENTO!$D$15,CRONO!$F161,0)))
                +IF(AND($F163&lt;&gt;"",$F163&lt;&gt;0),
                        SUMIF(CÁLCULO!$BS$15:$CS$244,CRONO!X$12,CÁLCULO!$AR$15:$BR$244)/(ORÇAMENTO!$X$15-CÁLCULO.TotalAdmLocal)*CRONO!$F163,
                        0),
                 X162*$S161),
          SUMIF(OFFSET($S163,1,0,$R161-2),($M161+1)&amp;"$",OFFSET(X163,1,0,$R161-2)))</f>
        <v>0</v>
      </c>
      <c r="Y163" s="202" cm="1">
        <f t="array" aca="1" ref="Y163" ca="1">IF($R161=2,
         IF(AND(ACOMPANHAMENTO="PLE",ISNUMBER($F161)),
                SUMIF((OFFSET(CÁLCULO!$BS$15:$CS$15,$F161,0,OFFSET(ORÇAMENTO!$D$15,CRONO!$F161,0))),CRONO!Y$12,OFFSET(CÁLCULO!$AR$15:$BR$15,$F161,0,OFFSET(ORÇAMENTO!$D$15,CRONO!$F161,0)))
                +IF(AND($F163&lt;&gt;"",$F163&lt;&gt;0),
                        SUMIF(CÁLCULO!$BS$15:$CS$244,CRONO!Y$12,CÁLCULO!$AR$15:$BR$244)/(ORÇAMENTO!$X$15-CÁLCULO.TotalAdmLocal)*CRONO!$F163,
                        0),
                 Y162*$S161),
          SUMIF(OFFSET($S163,1,0,$R161-2),($M161+1)&amp;"$",OFFSET(Y163,1,0,$R161-2)))</f>
        <v>0</v>
      </c>
      <c r="Z163" s="202" cm="1">
        <f t="array" aca="1" ref="Z163" ca="1">IF($R161=2,
         IF(AND(ACOMPANHAMENTO="PLE",ISNUMBER($F161)),
                SUMIF((OFFSET(CÁLCULO!$BS$15:$CS$15,$F161,0,OFFSET(ORÇAMENTO!$D$15,CRONO!$F161,0))),CRONO!Z$12,OFFSET(CÁLCULO!$AR$15:$BR$15,$F161,0,OFFSET(ORÇAMENTO!$D$15,CRONO!$F161,0)))
                +IF(AND($F163&lt;&gt;"",$F163&lt;&gt;0),
                        SUMIF(CÁLCULO!$BS$15:$CS$244,CRONO!Z$12,CÁLCULO!$AR$15:$BR$244)/(ORÇAMENTO!$X$15-CÁLCULO.TotalAdmLocal)*CRONO!$F163,
                        0),
                 Z162*$S161),
          SUMIF(OFFSET($S163,1,0,$R161-2),($M161+1)&amp;"$",OFFSET(Z163,1,0,$R161-2)))</f>
        <v>0</v>
      </c>
      <c r="AA163" s="202" cm="1">
        <f t="array" aca="1" ref="AA163" ca="1">IF($R161=2,
         IF(AND(ACOMPANHAMENTO="PLE",ISNUMBER($F161)),
                SUMIF((OFFSET(CÁLCULO!$BS$15:$CS$15,$F161,0,OFFSET(ORÇAMENTO!$D$15,CRONO!$F161,0))),CRONO!AA$12,OFFSET(CÁLCULO!$AR$15:$BR$15,$F161,0,OFFSET(ORÇAMENTO!$D$15,CRONO!$F161,0)))
                +IF(AND($F163&lt;&gt;"",$F163&lt;&gt;0),
                        SUMIF(CÁLCULO!$BS$15:$CS$244,CRONO!AA$12,CÁLCULO!$AR$15:$BR$244)/(ORÇAMENTO!$X$15-CÁLCULO.TotalAdmLocal)*CRONO!$F163,
                        0),
                 AA162*$S161),
          SUMIF(OFFSET($S163,1,0,$R161-2),($M161+1)&amp;"$",OFFSET(AA163,1,0,$R161-2)))</f>
        <v>0</v>
      </c>
      <c r="AB163" s="202" cm="1">
        <f t="array" aca="1" ref="AB163" ca="1">IF($R161=2,
         IF(AND(ACOMPANHAMENTO="PLE",ISNUMBER($F161)),
                SUMIF((OFFSET(CÁLCULO!$BS$15:$CS$15,$F161,0,OFFSET(ORÇAMENTO!$D$15,CRONO!$F161,0))),CRONO!AB$12,OFFSET(CÁLCULO!$AR$15:$BR$15,$F161,0,OFFSET(ORÇAMENTO!$D$15,CRONO!$F161,0)))
                +IF(AND($F163&lt;&gt;"",$F163&lt;&gt;0),
                        SUMIF(CÁLCULO!$BS$15:$CS$244,CRONO!AB$12,CÁLCULO!$AR$15:$BR$244)/(ORÇAMENTO!$X$15-CÁLCULO.TotalAdmLocal)*CRONO!$F163,
                        0),
                 AB162*$S161),
          SUMIF(OFFSET($S163,1,0,$R161-2),($M161+1)&amp;"$",OFFSET(AB163,1,0,$R161-2)))</f>
        <v>0</v>
      </c>
      <c r="AC163" s="202" cm="1">
        <f t="array" aca="1" ref="AC163" ca="1">IF($R161=2,
         IF(AND(ACOMPANHAMENTO="PLE",ISNUMBER($F161)),
                SUMIF((OFFSET(CÁLCULO!$BS$15:$CS$15,$F161,0,OFFSET(ORÇAMENTO!$D$15,CRONO!$F161,0))),CRONO!AC$12,OFFSET(CÁLCULO!$AR$15:$BR$15,$F161,0,OFFSET(ORÇAMENTO!$D$15,CRONO!$F161,0)))
                +IF(AND($F163&lt;&gt;"",$F163&lt;&gt;0),
                        SUMIF(CÁLCULO!$BS$15:$CS$244,CRONO!AC$12,CÁLCULO!$AR$15:$BR$244)/(ORÇAMENTO!$X$15-CÁLCULO.TotalAdmLocal)*CRONO!$F163,
                        0),
                 AC162*$S161),
          SUMIF(OFFSET($S163,1,0,$R161-2),($M161+1)&amp;"$",OFFSET(AC163,1,0,$R161-2)))</f>
        <v>0</v>
      </c>
      <c r="AD163" s="202" cm="1">
        <f t="array" aca="1" ref="AD163" ca="1">IF($R161=2,
         IF(AND(ACOMPANHAMENTO="PLE",ISNUMBER($F161)),
                SUMIF((OFFSET(CÁLCULO!$BS$15:$CS$15,$F161,0,OFFSET(ORÇAMENTO!$D$15,CRONO!$F161,0))),CRONO!AD$12,OFFSET(CÁLCULO!$AR$15:$BR$15,$F161,0,OFFSET(ORÇAMENTO!$D$15,CRONO!$F161,0)))
                +IF(AND($F163&lt;&gt;"",$F163&lt;&gt;0),
                        SUMIF(CÁLCULO!$BS$15:$CS$244,CRONO!AD$12,CÁLCULO!$AR$15:$BR$244)/(ORÇAMENTO!$X$15-CÁLCULO.TotalAdmLocal)*CRONO!$F163,
                        0),
                 AD162*$S161),
          SUMIF(OFFSET($S163,1,0,$R161-2),($M161+1)&amp;"$",OFFSET(AD163,1,0,$R161-2)))</f>
        <v>0</v>
      </c>
      <c r="AE163" s="202" cm="1">
        <f t="array" aca="1" ref="AE163" ca="1">IF($R161=2,
         IF(AND(ACOMPANHAMENTO="PLE",ISNUMBER($F161)),
                SUMIF((OFFSET(CÁLCULO!$BS$15:$CS$15,$F161,0,OFFSET(ORÇAMENTO!$D$15,CRONO!$F161,0))),CRONO!AE$12,OFFSET(CÁLCULO!$AR$15:$BR$15,$F161,0,OFFSET(ORÇAMENTO!$D$15,CRONO!$F161,0)))
                +IF(AND($F163&lt;&gt;"",$F163&lt;&gt;0),
                        SUMIF(CÁLCULO!$BS$15:$CS$244,CRONO!AE$12,CÁLCULO!$AR$15:$BR$244)/(ORÇAMENTO!$X$15-CÁLCULO.TotalAdmLocal)*CRONO!$F163,
                        0),
                 AE162*$S161),
          SUMIF(OFFSET($S163,1,0,$R161-2),($M161+1)&amp;"$",OFFSET(AE163,1,0,$R161-2)))</f>
        <v>0</v>
      </c>
      <c r="AF163" s="202" cm="1">
        <f t="array" aca="1" ref="AF163" ca="1">IF($R161=2,
         IF(AND(ACOMPANHAMENTO="PLE",ISNUMBER($F161)),
                SUMIF((OFFSET(CÁLCULO!$BS$15:$CS$15,$F161,0,OFFSET(ORÇAMENTO!$D$15,CRONO!$F161,0))),CRONO!AF$12,OFFSET(CÁLCULO!$AR$15:$BR$15,$F161,0,OFFSET(ORÇAMENTO!$D$15,CRONO!$F161,0)))
                +IF(AND($F163&lt;&gt;"",$F163&lt;&gt;0),
                        SUMIF(CÁLCULO!$BS$15:$CS$244,CRONO!AF$12,CÁLCULO!$AR$15:$BR$244)/(ORÇAMENTO!$X$15-CÁLCULO.TotalAdmLocal)*CRONO!$F163,
                        0),
                 AF162*$S161),
          SUMIF(OFFSET($S163,1,0,$R161-2),($M161+1)&amp;"$",OFFSET(AF163,1,0,$R161-2)))</f>
        <v>0</v>
      </c>
      <c r="AG163" s="202" cm="1">
        <f t="array" aca="1" ref="AG163" ca="1">IF($R161=2,
         IF(AND(ACOMPANHAMENTO="PLE",ISNUMBER($F161)),
                SUMIF((OFFSET(CÁLCULO!$BS$15:$CS$15,$F161,0,OFFSET(ORÇAMENTO!$D$15,CRONO!$F161,0))),CRONO!AG$12,OFFSET(CÁLCULO!$AR$15:$BR$15,$F161,0,OFFSET(ORÇAMENTO!$D$15,CRONO!$F161,0)))
                +IF(AND($F163&lt;&gt;"",$F163&lt;&gt;0),
                        SUMIF(CÁLCULO!$BS$15:$CS$244,CRONO!AG$12,CÁLCULO!$AR$15:$BR$244)/(ORÇAMENTO!$X$15-CÁLCULO.TotalAdmLocal)*CRONO!$F163,
                        0),
                 AG162*$S161),
          SUMIF(OFFSET($S163,1,0,$R161-2),($M161+1)&amp;"$",OFFSET(AG163,1,0,$R161-2)))</f>
        <v>0</v>
      </c>
      <c r="AH163" s="202" cm="1">
        <f t="array" aca="1" ref="AH163" ca="1">IF($R161=2,
         IF(AND(ACOMPANHAMENTO="PLE",ISNUMBER($F161)),
                SUMIF((OFFSET(CÁLCULO!$BS$15:$CS$15,$F161,0,OFFSET(ORÇAMENTO!$D$15,CRONO!$F161,0))),CRONO!AH$12,OFFSET(CÁLCULO!$AR$15:$BR$15,$F161,0,OFFSET(ORÇAMENTO!$D$15,CRONO!$F161,0)))
                +IF(AND($F163&lt;&gt;"",$F163&lt;&gt;0),
                        SUMIF(CÁLCULO!$BS$15:$CS$244,CRONO!AH$12,CÁLCULO!$AR$15:$BR$244)/(ORÇAMENTO!$X$15-CÁLCULO.TotalAdmLocal)*CRONO!$F163,
                        0),
                 AH162*$S161),
          SUMIF(OFFSET($S163,1,0,$R161-2),($M161+1)&amp;"$",OFFSET(AH163,1,0,$R161-2)))</f>
        <v>0</v>
      </c>
      <c r="AI163" s="202" cm="1">
        <f t="array" aca="1" ref="AI163" ca="1">IF($R161=2,
         IF(AND(ACOMPANHAMENTO="PLE",ISNUMBER($F161)),
                SUMIF((OFFSET(CÁLCULO!$BS$15:$CS$15,$F161,0,OFFSET(ORÇAMENTO!$D$15,CRONO!$F161,0))),CRONO!AI$12,OFFSET(CÁLCULO!$AR$15:$BR$15,$F161,0,OFFSET(ORÇAMENTO!$D$15,CRONO!$F161,0)))
                +IF(AND($F163&lt;&gt;"",$F163&lt;&gt;0),
                        SUMIF(CÁLCULO!$BS$15:$CS$244,CRONO!AI$12,CÁLCULO!$AR$15:$BR$244)/(ORÇAMENTO!$X$15-CÁLCULO.TotalAdmLocal)*CRONO!$F163,
                        0),
                 AI162*$S161),
          SUMIF(OFFSET($S163,1,0,$R161-2),($M161+1)&amp;"$",OFFSET(AI163,1,0,$R161-2)))</f>
        <v>0</v>
      </c>
      <c r="AJ163" s="202" cm="1">
        <f t="array" aca="1" ref="AJ163" ca="1">IF($R161=2,
         IF(AND(ACOMPANHAMENTO="PLE",ISNUMBER($F161)),
                SUMIF((OFFSET(CÁLCULO!$BS$15:$CS$15,$F161,0,OFFSET(ORÇAMENTO!$D$15,CRONO!$F161,0))),CRONO!AJ$12,OFFSET(CÁLCULO!$AR$15:$BR$15,$F161,0,OFFSET(ORÇAMENTO!$D$15,CRONO!$F161,0)))
                +IF(AND($F163&lt;&gt;"",$F163&lt;&gt;0),
                        SUMIF(CÁLCULO!$BS$15:$CS$244,CRONO!AJ$12,CÁLCULO!$AR$15:$BR$244)/(ORÇAMENTO!$X$15-CÁLCULO.TotalAdmLocal)*CRONO!$F163,
                        0),
                 AJ162*$S161),
          SUMIF(OFFSET($S163,1,0,$R161-2),($M161+1)&amp;"$",OFFSET(AJ163,1,0,$R161-2)))</f>
        <v>0</v>
      </c>
      <c r="AK163" s="202" cm="1">
        <f t="array" aca="1" ref="AK163" ca="1">IF($R161=2,
         IF(AND(ACOMPANHAMENTO="PLE",ISNUMBER($F161)),
                SUMIF((OFFSET(CÁLCULO!$BS$15:$CS$15,$F161,0,OFFSET(ORÇAMENTO!$D$15,CRONO!$F161,0))),CRONO!AK$12,OFFSET(CÁLCULO!$AR$15:$BR$15,$F161,0,OFFSET(ORÇAMENTO!$D$15,CRONO!$F161,0)))
                +IF(AND($F163&lt;&gt;"",$F163&lt;&gt;0),
                        SUMIF(CÁLCULO!$BS$15:$CS$244,CRONO!AK$12,CÁLCULO!$AR$15:$BR$244)/(ORÇAMENTO!$X$15-CÁLCULO.TotalAdmLocal)*CRONO!$F163,
                        0),
                 AK162*$S161),
          SUMIF(OFFSET($S163,1,0,$R161-2),($M161+1)&amp;"$",OFFSET(AK163,1,0,$R161-2)))</f>
        <v>0</v>
      </c>
      <c r="AL163" s="202" cm="1">
        <f t="array" aca="1" ref="AL163" ca="1">IF($R161=2,
         IF(AND(ACOMPANHAMENTO="PLE",ISNUMBER($F161)),
                SUMIF((OFFSET(CÁLCULO!$BS$15:$CS$15,$F161,0,OFFSET(ORÇAMENTO!$D$15,CRONO!$F161,0))),CRONO!AL$12,OFFSET(CÁLCULO!$AR$15:$BR$15,$F161,0,OFFSET(ORÇAMENTO!$D$15,CRONO!$F161,0)))
                +IF(AND($F163&lt;&gt;"",$F163&lt;&gt;0),
                        SUMIF(CÁLCULO!$BS$15:$CS$244,CRONO!AL$12,CÁLCULO!$AR$15:$BR$244)/(ORÇAMENTO!$X$15-CÁLCULO.TotalAdmLocal)*CRONO!$F163,
                        0),
                 AL162*$S161),
          SUMIF(OFFSET($S163,1,0,$R161-2),($M161+1)&amp;"$",OFFSET(AL163,1,0,$R161-2)))</f>
        <v>0</v>
      </c>
      <c r="AM163" s="202" cm="1">
        <f t="array" aca="1" ref="AM163" ca="1">IF($R161=2,
         IF(AND(ACOMPANHAMENTO="PLE",ISNUMBER($F161)),
                SUMIF((OFFSET(CÁLCULO!$BS$15:$CS$15,$F161,0,OFFSET(ORÇAMENTO!$D$15,CRONO!$F161,0))),CRONO!AM$12,OFFSET(CÁLCULO!$AR$15:$BR$15,$F161,0,OFFSET(ORÇAMENTO!$D$15,CRONO!$F161,0)))
                +IF(AND($F163&lt;&gt;"",$F163&lt;&gt;0),
                        SUMIF(CÁLCULO!$BS$15:$CS$244,CRONO!AM$12,CÁLCULO!$AR$15:$BR$244)/(ORÇAMENTO!$X$15-CÁLCULO.TotalAdmLocal)*CRONO!$F163,
                        0),
                 AM162*$S161),
          SUMIF(OFFSET($S163,1,0,$R161-2),($M161+1)&amp;"$",OFFSET(AM163,1,0,$R161-2)))</f>
        <v>0</v>
      </c>
      <c r="AN163" s="202" cm="1">
        <f t="array" aca="1" ref="AN163" ca="1">IF($R161=2,
         IF(AND(ACOMPANHAMENTO="PLE",ISNUMBER($F161)),
                SUMIF((OFFSET(CÁLCULO!$BS$15:$CS$15,$F161,0,OFFSET(ORÇAMENTO!$D$15,CRONO!$F161,0))),CRONO!AN$12,OFFSET(CÁLCULO!$AR$15:$BR$15,$F161,0,OFFSET(ORÇAMENTO!$D$15,CRONO!$F161,0)))
                +IF(AND($F163&lt;&gt;"",$F163&lt;&gt;0),
                        SUMIF(CÁLCULO!$BS$15:$CS$244,CRONO!AN$12,CÁLCULO!$AR$15:$BR$244)/(ORÇAMENTO!$X$15-CÁLCULO.TotalAdmLocal)*CRONO!$F163,
                        0),
                 AN162*$S161),
          SUMIF(OFFSET($S163,1,0,$R161-2),($M161+1)&amp;"$",OFFSET(AN163,1,0,$R161-2)))</f>
        <v>0</v>
      </c>
      <c r="AO163" s="202" cm="1">
        <f t="array" aca="1" ref="AO163" ca="1">IF($R161=2,
         IF(AND(ACOMPANHAMENTO="PLE",ISNUMBER($F161)),
                SUMIF((OFFSET(CÁLCULO!$BS$15:$CS$15,$F161,0,OFFSET(ORÇAMENTO!$D$15,CRONO!$F161,0))),CRONO!AO$12,OFFSET(CÁLCULO!$AR$15:$BR$15,$F161,0,OFFSET(ORÇAMENTO!$D$15,CRONO!$F161,0)))
                +IF(AND($F163&lt;&gt;"",$F163&lt;&gt;0),
                        SUMIF(CÁLCULO!$BS$15:$CS$244,CRONO!AO$12,CÁLCULO!$AR$15:$BR$244)/(ORÇAMENTO!$X$15-CÁLCULO.TotalAdmLocal)*CRONO!$F163,
                        0),
                 AO162*$S161),
          SUMIF(OFFSET($S163,1,0,$R161-2),($M161+1)&amp;"$",OFFSET(AO163,1,0,$R161-2)))</f>
        <v>0</v>
      </c>
      <c r="AP163" s="202" cm="1">
        <f t="array" aca="1" ref="AP163" ca="1">IF($R161=2,
         IF(AND(ACOMPANHAMENTO="PLE",ISNUMBER($F161)),
                SUMIF((OFFSET(CÁLCULO!$BS$15:$CS$15,$F161,0,OFFSET(ORÇAMENTO!$D$15,CRONO!$F161,0))),CRONO!AP$12,OFFSET(CÁLCULO!$AR$15:$BR$15,$F161,0,OFFSET(ORÇAMENTO!$D$15,CRONO!$F161,0)))
                +IF(AND($F163&lt;&gt;"",$F163&lt;&gt;0),
                        SUMIF(CÁLCULO!$BS$15:$CS$244,CRONO!AP$12,CÁLCULO!$AR$15:$BR$244)/(ORÇAMENTO!$X$15-CÁLCULO.TotalAdmLocal)*CRONO!$F163,
                        0),
                 AP162*$S161),
          SUMIF(OFFSET($S163,1,0,$R161-2),($M161+1)&amp;"$",OFFSET(AP163,1,0,$R161-2)))</f>
        <v>0</v>
      </c>
      <c r="AQ163" s="202" cm="1">
        <f t="array" aca="1" ref="AQ163" ca="1">IF($R161=2,
         IF(AND(ACOMPANHAMENTO="PLE",ISNUMBER($F161)),
                SUMIF((OFFSET(CÁLCULO!$BS$15:$CS$15,$F161,0,OFFSET(ORÇAMENTO!$D$15,CRONO!$F161,0))),CRONO!AQ$12,OFFSET(CÁLCULO!$AR$15:$BR$15,$F161,0,OFFSET(ORÇAMENTO!$D$15,CRONO!$F161,0)))
                +IF(AND($F163&lt;&gt;"",$F163&lt;&gt;0),
                        SUMIF(CÁLCULO!$BS$15:$CS$244,CRONO!AQ$12,CÁLCULO!$AR$15:$BR$244)/(ORÇAMENTO!$X$15-CÁLCULO.TotalAdmLocal)*CRONO!$F163,
                        0),
                 AQ162*$S161),
          SUMIF(OFFSET($S163,1,0,$R161-2),($M161+1)&amp;"$",OFFSET(AQ163,1,0,$R161-2)))</f>
        <v>0</v>
      </c>
      <c r="AR163" s="202" cm="1">
        <f t="array" aca="1" ref="AR163" ca="1">IF($R161=2,
         IF(AND(ACOMPANHAMENTO="PLE",ISNUMBER($F161)),
                SUMIF((OFFSET(CÁLCULO!$BS$15:$CS$15,$F161,0,OFFSET(ORÇAMENTO!$D$15,CRONO!$F161,0))),CRONO!AR$12,OFFSET(CÁLCULO!$AR$15:$BR$15,$F161,0,OFFSET(ORÇAMENTO!$D$15,CRONO!$F161,0)))
                +IF(AND($F163&lt;&gt;"",$F163&lt;&gt;0),
                        SUMIF(CÁLCULO!$BS$15:$CS$244,CRONO!AR$12,CÁLCULO!$AR$15:$BR$244)/(ORÇAMENTO!$X$15-CÁLCULO.TotalAdmLocal)*CRONO!$F163,
                        0),
                 AR162*$S161),
          SUMIF(OFFSET($S163,1,0,$R161-2),($M161+1)&amp;"$",OFFSET(AR163,1,0,$R161-2)))</f>
        <v>0</v>
      </c>
      <c r="AS163" s="534"/>
    </row>
    <row r="164" spans="1:45" ht="5.0999999999999996" customHeight="1" x14ac:dyDescent="0.2">
      <c r="E164" s="640"/>
      <c r="G164" s="185" t="s">
        <v>536</v>
      </c>
      <c r="H164" s="432"/>
      <c r="I164" s="641"/>
      <c r="J164" s="642"/>
      <c r="K164" s="642"/>
      <c r="L164" s="642"/>
      <c r="M164" s="643" t="s">
        <v>797</v>
      </c>
      <c r="N164" s="643"/>
      <c r="O164" s="643"/>
      <c r="P164" s="643"/>
      <c r="Q164" s="643"/>
      <c r="R164" s="643"/>
      <c r="S164" s="644"/>
      <c r="T164" s="644"/>
      <c r="U164" s="642"/>
      <c r="V164" s="642"/>
      <c r="W164" s="642"/>
      <c r="X164" s="642"/>
      <c r="Y164" s="642"/>
      <c r="Z164" s="642"/>
      <c r="AA164" s="642"/>
      <c r="AB164" s="642"/>
      <c r="AC164" s="642"/>
      <c r="AD164" s="642"/>
      <c r="AE164" s="642"/>
      <c r="AF164" s="642"/>
      <c r="AG164" s="642"/>
      <c r="AH164" s="642"/>
      <c r="AI164" s="642"/>
      <c r="AJ164" s="642"/>
      <c r="AK164" s="642"/>
      <c r="AL164" s="642"/>
      <c r="AM164" s="642"/>
      <c r="AN164" s="642"/>
      <c r="AO164" s="642"/>
      <c r="AP164" s="642"/>
      <c r="AQ164" s="642"/>
      <c r="AR164" s="642"/>
      <c r="AS164" s="534"/>
    </row>
    <row r="165" spans="1:45" ht="12.75" customHeight="1" x14ac:dyDescent="0.2">
      <c r="E165" s="528" t="e">
        <f ca="1">E169/$R$165</f>
        <v>#DIV/0!</v>
      </c>
      <c r="G165" s="185" t="s">
        <v>536</v>
      </c>
      <c r="I165" s="776" t="str">
        <f ca="1">"Total:    R$ "&amp;TEXT(R165,"#.##0,00")</f>
        <v>Total:    R$ 0,00</v>
      </c>
      <c r="J165" s="776"/>
      <c r="K165" s="776"/>
      <c r="L165" s="227"/>
      <c r="R165" s="228">
        <f ca="1">SUMIF(M12:M164,1,S12:S164)</f>
        <v>0</v>
      </c>
      <c r="S165" s="229"/>
      <c r="T165" s="230" t="s">
        <v>798</v>
      </c>
      <c r="U165" s="528" t="e">
        <f t="shared" ref="U165:AF165" ca="1" si="310">ROUND(U169,2)/$R$165</f>
        <v>#DIV/0!</v>
      </c>
      <c r="V165" s="528" t="e">
        <f t="shared" ca="1" si="310"/>
        <v>#DIV/0!</v>
      </c>
      <c r="W165" s="528" t="e">
        <f t="shared" ca="1" si="310"/>
        <v>#DIV/0!</v>
      </c>
      <c r="X165" s="528" t="e">
        <f t="shared" ca="1" si="310"/>
        <v>#DIV/0!</v>
      </c>
      <c r="Y165" s="528" t="e">
        <f t="shared" ca="1" si="310"/>
        <v>#DIV/0!</v>
      </c>
      <c r="Z165" s="528" t="e">
        <f t="shared" ca="1" si="310"/>
        <v>#DIV/0!</v>
      </c>
      <c r="AA165" s="528" t="e">
        <f t="shared" ca="1" si="310"/>
        <v>#DIV/0!</v>
      </c>
      <c r="AB165" s="528" t="e">
        <f t="shared" ca="1" si="310"/>
        <v>#DIV/0!</v>
      </c>
      <c r="AC165" s="528" t="e">
        <f t="shared" ca="1" si="310"/>
        <v>#DIV/0!</v>
      </c>
      <c r="AD165" s="528" t="e">
        <f t="shared" ca="1" si="310"/>
        <v>#DIV/0!</v>
      </c>
      <c r="AE165" s="528" t="e">
        <f t="shared" ca="1" si="310"/>
        <v>#DIV/0!</v>
      </c>
      <c r="AF165" s="539" t="e">
        <f t="shared" ca="1" si="310"/>
        <v>#DIV/0!</v>
      </c>
      <c r="AG165" s="528" t="e">
        <f t="shared" ref="AG165:AR165" ca="1" si="311">ROUND(AG169,2)/$R$165</f>
        <v>#DIV/0!</v>
      </c>
      <c r="AH165" s="528" t="e">
        <f t="shared" ca="1" si="311"/>
        <v>#DIV/0!</v>
      </c>
      <c r="AI165" s="528" t="e">
        <f t="shared" ca="1" si="311"/>
        <v>#DIV/0!</v>
      </c>
      <c r="AJ165" s="528" t="e">
        <f t="shared" ca="1" si="311"/>
        <v>#DIV/0!</v>
      </c>
      <c r="AK165" s="528" t="e">
        <f t="shared" ca="1" si="311"/>
        <v>#DIV/0!</v>
      </c>
      <c r="AL165" s="528" t="e">
        <f t="shared" ca="1" si="311"/>
        <v>#DIV/0!</v>
      </c>
      <c r="AM165" s="528" t="e">
        <f t="shared" ca="1" si="311"/>
        <v>#DIV/0!</v>
      </c>
      <c r="AN165" s="528" t="e">
        <f t="shared" ca="1" si="311"/>
        <v>#DIV/0!</v>
      </c>
      <c r="AO165" s="528" t="e">
        <f t="shared" ca="1" si="311"/>
        <v>#DIV/0!</v>
      </c>
      <c r="AP165" s="528" t="e">
        <f t="shared" ca="1" si="311"/>
        <v>#DIV/0!</v>
      </c>
      <c r="AQ165" s="528" t="e">
        <f t="shared" ca="1" si="311"/>
        <v>#DIV/0!</v>
      </c>
      <c r="AR165" s="539" t="e">
        <f t="shared" ca="1" si="311"/>
        <v>#DIV/0!</v>
      </c>
      <c r="AS165" s="534"/>
    </row>
    <row r="166" spans="1:45" ht="15" customHeight="1" x14ac:dyDescent="0.2">
      <c r="E166" s="231">
        <f ca="1">IF(E$12=1,ROUND(E171,2),ROUND(E171,2)-ROUND(D171,2))</f>
        <v>0</v>
      </c>
      <c r="G166" s="185" t="s">
        <v>536</v>
      </c>
      <c r="I166" s="776"/>
      <c r="J166" s="776"/>
      <c r="K166" s="776"/>
      <c r="L166" s="232"/>
      <c r="R166" s="228"/>
      <c r="S166" s="233"/>
      <c r="T166" s="234" t="str">
        <f>IF(import.recurso="FGTS","Financiamento:","Repasse:")</f>
        <v>Repasse:</v>
      </c>
      <c r="U166" s="231">
        <f t="shared" ref="U166:AF166" ca="1" si="312">IF(U$12=1,ROUND(U171,2),ROUND(U171,2)-ROUND(T171,2))</f>
        <v>0</v>
      </c>
      <c r="V166" s="231">
        <f t="shared" ca="1" si="312"/>
        <v>0</v>
      </c>
      <c r="W166" s="231">
        <f t="shared" ca="1" si="312"/>
        <v>0</v>
      </c>
      <c r="X166" s="231">
        <f t="shared" ca="1" si="312"/>
        <v>0</v>
      </c>
      <c r="Y166" s="231">
        <f t="shared" ca="1" si="312"/>
        <v>0</v>
      </c>
      <c r="Z166" s="231">
        <f t="shared" ca="1" si="312"/>
        <v>0</v>
      </c>
      <c r="AA166" s="231">
        <f t="shared" ca="1" si="312"/>
        <v>0</v>
      </c>
      <c r="AB166" s="231">
        <f t="shared" ca="1" si="312"/>
        <v>0</v>
      </c>
      <c r="AC166" s="231">
        <f t="shared" ca="1" si="312"/>
        <v>0</v>
      </c>
      <c r="AD166" s="231">
        <f t="shared" ca="1" si="312"/>
        <v>0</v>
      </c>
      <c r="AE166" s="231">
        <f t="shared" ca="1" si="312"/>
        <v>0</v>
      </c>
      <c r="AF166" s="231">
        <f t="shared" ca="1" si="312"/>
        <v>0</v>
      </c>
      <c r="AG166" s="231">
        <f t="shared" ref="AG166:AG169" ca="1" si="313">IF(AG$12=1,ROUND(AG171,2),ROUND(AG171,2)-ROUND(AF171,2))</f>
        <v>0</v>
      </c>
      <c r="AH166" s="231">
        <f t="shared" ref="AH166:AH169" ca="1" si="314">IF(AH$12=1,ROUND(AH171,2),ROUND(AH171,2)-ROUND(AG171,2))</f>
        <v>0</v>
      </c>
      <c r="AI166" s="231">
        <f t="shared" ref="AI166:AI169" ca="1" si="315">IF(AI$12=1,ROUND(AI171,2),ROUND(AI171,2)-ROUND(AH171,2))</f>
        <v>0</v>
      </c>
      <c r="AJ166" s="231">
        <f t="shared" ref="AJ166:AJ169" ca="1" si="316">IF(AJ$12=1,ROUND(AJ171,2),ROUND(AJ171,2)-ROUND(AI171,2))</f>
        <v>0</v>
      </c>
      <c r="AK166" s="231">
        <f t="shared" ref="AK166:AK169" ca="1" si="317">IF(AK$12=1,ROUND(AK171,2),ROUND(AK171,2)-ROUND(AJ171,2))</f>
        <v>0</v>
      </c>
      <c r="AL166" s="231">
        <f t="shared" ref="AL166:AL169" ca="1" si="318">IF(AL$12=1,ROUND(AL171,2),ROUND(AL171,2)-ROUND(AK171,2))</f>
        <v>0</v>
      </c>
      <c r="AM166" s="231">
        <f t="shared" ref="AM166:AM169" ca="1" si="319">IF(AM$12=1,ROUND(AM171,2),ROUND(AM171,2)-ROUND(AL171,2))</f>
        <v>0</v>
      </c>
      <c r="AN166" s="231">
        <f t="shared" ref="AN166:AN169" ca="1" si="320">IF(AN$12=1,ROUND(AN171,2),ROUND(AN171,2)-ROUND(AM171,2))</f>
        <v>0</v>
      </c>
      <c r="AO166" s="231">
        <f t="shared" ref="AO166:AO169" ca="1" si="321">IF(AO$12=1,ROUND(AO171,2),ROUND(AO171,2)-ROUND(AN171,2))</f>
        <v>0</v>
      </c>
      <c r="AP166" s="231">
        <f t="shared" ref="AP166:AP169" ca="1" si="322">IF(AP$12=1,ROUND(AP171,2),ROUND(AP171,2)-ROUND(AO171,2))</f>
        <v>0</v>
      </c>
      <c r="AQ166" s="231">
        <f t="shared" ref="AQ166:AQ169" ca="1" si="323">IF(AQ$12=1,ROUND(AQ171,2),ROUND(AQ171,2)-ROUND(AP171,2))</f>
        <v>0</v>
      </c>
      <c r="AR166" s="231">
        <f t="shared" ref="AR166:AR169" ca="1" si="324">IF(AR$12=1,ROUND(AR171,2),ROUND(AR171,2)-ROUND(AQ171,2))</f>
        <v>0</v>
      </c>
      <c r="AS166" s="534"/>
    </row>
    <row r="167" spans="1:45" ht="12.75" customHeight="1" x14ac:dyDescent="0.2">
      <c r="E167" s="529">
        <f ca="1">IF(E$12=1,ROUND(E172,2),ROUND(E172,2)-ROUND(D172,2))</f>
        <v>0</v>
      </c>
      <c r="G167" s="185" t="s">
        <v>536</v>
      </c>
      <c r="I167" s="235"/>
      <c r="L167" s="236" t="s">
        <v>799</v>
      </c>
      <c r="R167" s="228"/>
      <c r="S167" s="237"/>
      <c r="T167" s="238" t="s">
        <v>800</v>
      </c>
      <c r="U167" s="529">
        <f t="shared" ref="U167:AF167" ca="1" si="325">IF(U$12=1,ROUND(U172,2),ROUND(U172,2)-ROUND(T172,2))</f>
        <v>0</v>
      </c>
      <c r="V167" s="529">
        <f t="shared" ca="1" si="325"/>
        <v>0</v>
      </c>
      <c r="W167" s="529">
        <f t="shared" ca="1" si="325"/>
        <v>0</v>
      </c>
      <c r="X167" s="529">
        <f t="shared" ca="1" si="325"/>
        <v>0</v>
      </c>
      <c r="Y167" s="529">
        <f t="shared" ca="1" si="325"/>
        <v>0</v>
      </c>
      <c r="Z167" s="529">
        <f t="shared" ca="1" si="325"/>
        <v>0</v>
      </c>
      <c r="AA167" s="529">
        <f t="shared" ca="1" si="325"/>
        <v>0</v>
      </c>
      <c r="AB167" s="529">
        <f t="shared" ca="1" si="325"/>
        <v>0</v>
      </c>
      <c r="AC167" s="529">
        <f t="shared" ca="1" si="325"/>
        <v>0</v>
      </c>
      <c r="AD167" s="529">
        <f t="shared" ca="1" si="325"/>
        <v>0</v>
      </c>
      <c r="AE167" s="529">
        <f t="shared" ca="1" si="325"/>
        <v>0</v>
      </c>
      <c r="AF167" s="529">
        <f t="shared" ca="1" si="325"/>
        <v>0</v>
      </c>
      <c r="AG167" s="529">
        <f t="shared" ca="1" si="313"/>
        <v>0</v>
      </c>
      <c r="AH167" s="529">
        <f t="shared" ca="1" si="314"/>
        <v>0</v>
      </c>
      <c r="AI167" s="529">
        <f t="shared" ca="1" si="315"/>
        <v>0</v>
      </c>
      <c r="AJ167" s="529">
        <f t="shared" ca="1" si="316"/>
        <v>0</v>
      </c>
      <c r="AK167" s="529">
        <f t="shared" ca="1" si="317"/>
        <v>0</v>
      </c>
      <c r="AL167" s="529">
        <f t="shared" ca="1" si="318"/>
        <v>0</v>
      </c>
      <c r="AM167" s="529">
        <f t="shared" ca="1" si="319"/>
        <v>0</v>
      </c>
      <c r="AN167" s="529">
        <f t="shared" ca="1" si="320"/>
        <v>0</v>
      </c>
      <c r="AO167" s="529">
        <f t="shared" ca="1" si="321"/>
        <v>0</v>
      </c>
      <c r="AP167" s="529">
        <f t="shared" ca="1" si="322"/>
        <v>0</v>
      </c>
      <c r="AQ167" s="529">
        <f t="shared" ca="1" si="323"/>
        <v>0</v>
      </c>
      <c r="AR167" s="529">
        <f t="shared" ca="1" si="324"/>
        <v>0</v>
      </c>
      <c r="AS167" s="534"/>
    </row>
    <row r="168" spans="1:45" x14ac:dyDescent="0.2">
      <c r="E168" s="239">
        <f ca="1">IF(E$12=1,ROUND(E173,2),ROUND(E173,2)-ROUND(D173,2))</f>
        <v>0</v>
      </c>
      <c r="G168" s="185" t="s">
        <v>536</v>
      </c>
      <c r="I168" s="235"/>
      <c r="L168" s="236"/>
      <c r="R168" s="228"/>
      <c r="S168" s="240"/>
      <c r="T168" s="241" t="s">
        <v>801</v>
      </c>
      <c r="U168" s="239">
        <f t="shared" ref="U168:AF168" ca="1" si="326">IF(U$12=1,ROUND(U173,2),ROUND(U173,2)-ROUND(T173,2))</f>
        <v>0</v>
      </c>
      <c r="V168" s="239">
        <f t="shared" ca="1" si="326"/>
        <v>0</v>
      </c>
      <c r="W168" s="239">
        <f t="shared" ca="1" si="326"/>
        <v>0</v>
      </c>
      <c r="X168" s="239">
        <f t="shared" ca="1" si="326"/>
        <v>0</v>
      </c>
      <c r="Y168" s="239">
        <f t="shared" ca="1" si="326"/>
        <v>0</v>
      </c>
      <c r="Z168" s="239">
        <f t="shared" ca="1" si="326"/>
        <v>0</v>
      </c>
      <c r="AA168" s="239">
        <f t="shared" ca="1" si="326"/>
        <v>0</v>
      </c>
      <c r="AB168" s="239">
        <f t="shared" ca="1" si="326"/>
        <v>0</v>
      </c>
      <c r="AC168" s="239">
        <f t="shared" ca="1" si="326"/>
        <v>0</v>
      </c>
      <c r="AD168" s="239">
        <f t="shared" ca="1" si="326"/>
        <v>0</v>
      </c>
      <c r="AE168" s="239">
        <f t="shared" ca="1" si="326"/>
        <v>0</v>
      </c>
      <c r="AF168" s="239">
        <f t="shared" ca="1" si="326"/>
        <v>0</v>
      </c>
      <c r="AG168" s="239">
        <f t="shared" ca="1" si="313"/>
        <v>0</v>
      </c>
      <c r="AH168" s="239">
        <f t="shared" ca="1" si="314"/>
        <v>0</v>
      </c>
      <c r="AI168" s="239">
        <f t="shared" ca="1" si="315"/>
        <v>0</v>
      </c>
      <c r="AJ168" s="239">
        <f t="shared" ca="1" si="316"/>
        <v>0</v>
      </c>
      <c r="AK168" s="239">
        <f t="shared" ca="1" si="317"/>
        <v>0</v>
      </c>
      <c r="AL168" s="239">
        <f t="shared" ca="1" si="318"/>
        <v>0</v>
      </c>
      <c r="AM168" s="239">
        <f t="shared" ca="1" si="319"/>
        <v>0</v>
      </c>
      <c r="AN168" s="239">
        <f t="shared" ca="1" si="320"/>
        <v>0</v>
      </c>
      <c r="AO168" s="239">
        <f t="shared" ca="1" si="321"/>
        <v>0</v>
      </c>
      <c r="AP168" s="239">
        <f t="shared" ca="1" si="322"/>
        <v>0</v>
      </c>
      <c r="AQ168" s="239">
        <f t="shared" ca="1" si="323"/>
        <v>0</v>
      </c>
      <c r="AR168" s="239">
        <f t="shared" ca="1" si="324"/>
        <v>0</v>
      </c>
      <c r="AS168" s="534"/>
    </row>
    <row r="169" spans="1:45" x14ac:dyDescent="0.2">
      <c r="E169" s="530">
        <f ca="1">IF(E$12=1,ROUND(E174,2),ROUND(E174,2)-ROUND(D174,2))</f>
        <v>0</v>
      </c>
      <c r="G169" s="185" t="s">
        <v>536</v>
      </c>
      <c r="H169" s="536"/>
      <c r="L169" s="242"/>
      <c r="S169" s="243"/>
      <c r="T169" s="244" t="s">
        <v>802</v>
      </c>
      <c r="U169" s="530">
        <f t="shared" ref="U169:AF169" ca="1" si="327">IF(U$12=1,ROUND(U174,2),ROUND(U174,2)-ROUND(T174,2))</f>
        <v>0</v>
      </c>
      <c r="V169" s="530">
        <f t="shared" ca="1" si="327"/>
        <v>0</v>
      </c>
      <c r="W169" s="530">
        <f t="shared" ca="1" si="327"/>
        <v>0</v>
      </c>
      <c r="X169" s="530">
        <f t="shared" ca="1" si="327"/>
        <v>0</v>
      </c>
      <c r="Y169" s="530">
        <f t="shared" ca="1" si="327"/>
        <v>0</v>
      </c>
      <c r="Z169" s="530">
        <f t="shared" ca="1" si="327"/>
        <v>0</v>
      </c>
      <c r="AA169" s="530">
        <f t="shared" ca="1" si="327"/>
        <v>0</v>
      </c>
      <c r="AB169" s="530">
        <f t="shared" ca="1" si="327"/>
        <v>0</v>
      </c>
      <c r="AC169" s="530">
        <f t="shared" ca="1" si="327"/>
        <v>0</v>
      </c>
      <c r="AD169" s="530">
        <f t="shared" ca="1" si="327"/>
        <v>0</v>
      </c>
      <c r="AE169" s="530">
        <f t="shared" ca="1" si="327"/>
        <v>0</v>
      </c>
      <c r="AF169" s="530">
        <f t="shared" ca="1" si="327"/>
        <v>0</v>
      </c>
      <c r="AG169" s="530">
        <f t="shared" ca="1" si="313"/>
        <v>0</v>
      </c>
      <c r="AH169" s="530">
        <f t="shared" ca="1" si="314"/>
        <v>0</v>
      </c>
      <c r="AI169" s="530">
        <f t="shared" ca="1" si="315"/>
        <v>0</v>
      </c>
      <c r="AJ169" s="530">
        <f t="shared" ca="1" si="316"/>
        <v>0</v>
      </c>
      <c r="AK169" s="530">
        <f t="shared" ca="1" si="317"/>
        <v>0</v>
      </c>
      <c r="AL169" s="530">
        <f t="shared" ca="1" si="318"/>
        <v>0</v>
      </c>
      <c r="AM169" s="530">
        <f t="shared" ca="1" si="319"/>
        <v>0</v>
      </c>
      <c r="AN169" s="530">
        <f t="shared" ca="1" si="320"/>
        <v>0</v>
      </c>
      <c r="AO169" s="530">
        <f t="shared" ca="1" si="321"/>
        <v>0</v>
      </c>
      <c r="AP169" s="530">
        <f t="shared" ca="1" si="322"/>
        <v>0</v>
      </c>
      <c r="AQ169" s="530">
        <f t="shared" ca="1" si="323"/>
        <v>0</v>
      </c>
      <c r="AR169" s="530">
        <f t="shared" ca="1" si="324"/>
        <v>0</v>
      </c>
      <c r="AS169" s="534"/>
    </row>
    <row r="170" spans="1:45" x14ac:dyDescent="0.2">
      <c r="E170" s="528" t="e">
        <f ca="1">ROUND(ROUND(E174,2)/$R$165,4)</f>
        <v>#DIV/0!</v>
      </c>
      <c r="G170" s="185" t="s">
        <v>536</v>
      </c>
      <c r="L170" s="227"/>
      <c r="S170" s="229"/>
      <c r="T170" s="230" t="s">
        <v>798</v>
      </c>
      <c r="U170" s="528" t="e">
        <f t="shared" ref="U170:AF170" ca="1" si="328">ROUND(ROUND(U174,2)/$R$165,4)</f>
        <v>#DIV/0!</v>
      </c>
      <c r="V170" s="528" t="e">
        <f t="shared" ca="1" si="328"/>
        <v>#DIV/0!</v>
      </c>
      <c r="W170" s="528" t="e">
        <f t="shared" ca="1" si="328"/>
        <v>#DIV/0!</v>
      </c>
      <c r="X170" s="528" t="e">
        <f t="shared" ca="1" si="328"/>
        <v>#DIV/0!</v>
      </c>
      <c r="Y170" s="528" t="e">
        <f t="shared" ca="1" si="328"/>
        <v>#DIV/0!</v>
      </c>
      <c r="Z170" s="528" t="e">
        <f t="shared" ca="1" si="328"/>
        <v>#DIV/0!</v>
      </c>
      <c r="AA170" s="528" t="e">
        <f t="shared" ca="1" si="328"/>
        <v>#DIV/0!</v>
      </c>
      <c r="AB170" s="528" t="e">
        <f t="shared" ca="1" si="328"/>
        <v>#DIV/0!</v>
      </c>
      <c r="AC170" s="528" t="e">
        <f t="shared" ca="1" si="328"/>
        <v>#DIV/0!</v>
      </c>
      <c r="AD170" s="528" t="e">
        <f t="shared" ca="1" si="328"/>
        <v>#DIV/0!</v>
      </c>
      <c r="AE170" s="528" t="e">
        <f t="shared" ca="1" si="328"/>
        <v>#DIV/0!</v>
      </c>
      <c r="AF170" s="528" t="e">
        <f t="shared" ca="1" si="328"/>
        <v>#DIV/0!</v>
      </c>
      <c r="AG170" s="528" t="e">
        <f t="shared" ref="AG170:AR170" ca="1" si="329">ROUND(ROUND(AG174,2)/$R$165,4)</f>
        <v>#DIV/0!</v>
      </c>
      <c r="AH170" s="528" t="e">
        <f t="shared" ca="1" si="329"/>
        <v>#DIV/0!</v>
      </c>
      <c r="AI170" s="528" t="e">
        <f t="shared" ca="1" si="329"/>
        <v>#DIV/0!</v>
      </c>
      <c r="AJ170" s="528" t="e">
        <f t="shared" ca="1" si="329"/>
        <v>#DIV/0!</v>
      </c>
      <c r="AK170" s="528" t="e">
        <f t="shared" ca="1" si="329"/>
        <v>#DIV/0!</v>
      </c>
      <c r="AL170" s="528" t="e">
        <f t="shared" ca="1" si="329"/>
        <v>#DIV/0!</v>
      </c>
      <c r="AM170" s="528" t="e">
        <f t="shared" ca="1" si="329"/>
        <v>#DIV/0!</v>
      </c>
      <c r="AN170" s="528" t="e">
        <f t="shared" ca="1" si="329"/>
        <v>#DIV/0!</v>
      </c>
      <c r="AO170" s="528" t="e">
        <f t="shared" ca="1" si="329"/>
        <v>#DIV/0!</v>
      </c>
      <c r="AP170" s="528" t="e">
        <f t="shared" ca="1" si="329"/>
        <v>#DIV/0!</v>
      </c>
      <c r="AQ170" s="528" t="e">
        <f t="shared" ca="1" si="329"/>
        <v>#DIV/0!</v>
      </c>
      <c r="AR170" s="528" t="e">
        <f t="shared" ca="1" si="329"/>
        <v>#DIV/0!</v>
      </c>
      <c r="AS170" s="534"/>
    </row>
    <row r="171" spans="1:45" x14ac:dyDescent="0.2">
      <c r="E171" s="231">
        <f ca="1">ROUND(E174-E173-E172,2)</f>
        <v>0</v>
      </c>
      <c r="G171" s="185" t="s">
        <v>536</v>
      </c>
      <c r="L171" s="232"/>
      <c r="S171" s="233"/>
      <c r="T171" s="234" t="str">
        <f>IF(import.recurso="FGTS","Financiamento:","Repasse:")</f>
        <v>Repasse:</v>
      </c>
      <c r="U171" s="231">
        <f t="shared" ref="U171:AF171" ca="1" si="330">ROUND(U174-U173-U172,2)</f>
        <v>0</v>
      </c>
      <c r="V171" s="231">
        <f t="shared" ca="1" si="330"/>
        <v>0</v>
      </c>
      <c r="W171" s="231">
        <f t="shared" ca="1" si="330"/>
        <v>0</v>
      </c>
      <c r="X171" s="231">
        <f t="shared" ca="1" si="330"/>
        <v>0</v>
      </c>
      <c r="Y171" s="231">
        <f t="shared" ca="1" si="330"/>
        <v>0</v>
      </c>
      <c r="Z171" s="231">
        <f t="shared" ca="1" si="330"/>
        <v>0</v>
      </c>
      <c r="AA171" s="231">
        <f t="shared" ca="1" si="330"/>
        <v>0</v>
      </c>
      <c r="AB171" s="231">
        <f t="shared" ca="1" si="330"/>
        <v>0</v>
      </c>
      <c r="AC171" s="231">
        <f t="shared" ca="1" si="330"/>
        <v>0</v>
      </c>
      <c r="AD171" s="231">
        <f t="shared" ca="1" si="330"/>
        <v>0</v>
      </c>
      <c r="AE171" s="231">
        <f t="shared" ca="1" si="330"/>
        <v>0</v>
      </c>
      <c r="AF171" s="231">
        <f t="shared" ca="1" si="330"/>
        <v>0</v>
      </c>
      <c r="AG171" s="231">
        <f t="shared" ref="AG171:AR171" ca="1" si="331">ROUND(AG174-AG173-AG172,2)</f>
        <v>0</v>
      </c>
      <c r="AH171" s="231">
        <f t="shared" ca="1" si="331"/>
        <v>0</v>
      </c>
      <c r="AI171" s="231">
        <f t="shared" ca="1" si="331"/>
        <v>0</v>
      </c>
      <c r="AJ171" s="231">
        <f t="shared" ca="1" si="331"/>
        <v>0</v>
      </c>
      <c r="AK171" s="231">
        <f t="shared" ca="1" si="331"/>
        <v>0</v>
      </c>
      <c r="AL171" s="231">
        <f t="shared" ca="1" si="331"/>
        <v>0</v>
      </c>
      <c r="AM171" s="231">
        <f t="shared" ca="1" si="331"/>
        <v>0</v>
      </c>
      <c r="AN171" s="231">
        <f t="shared" ca="1" si="331"/>
        <v>0</v>
      </c>
      <c r="AO171" s="231">
        <f t="shared" ca="1" si="331"/>
        <v>0</v>
      </c>
      <c r="AP171" s="231">
        <f t="shared" ca="1" si="331"/>
        <v>0</v>
      </c>
      <c r="AQ171" s="231">
        <f t="shared" ca="1" si="331"/>
        <v>0</v>
      </c>
      <c r="AR171" s="231">
        <f t="shared" ca="1" si="331"/>
        <v>0</v>
      </c>
      <c r="AS171" s="534"/>
    </row>
    <row r="172" spans="1:45" x14ac:dyDescent="0.2">
      <c r="E172" s="529" cm="1">
        <f t="array" aca="1" ref="E172" ca="1">IF(E$12=1,0,OFFSET(E172,0,-1))+SUM((OFFSET($C$13,1,0):OFFSET($C$164,-3,0))*IF(ISNUMBER(OFFSET(E$11,5,0):OFFSET(E$164,-1,0)),OFFSET(E$11,5,0):OFFSET(E$164,-1,0),0))</f>
        <v>0</v>
      </c>
      <c r="G172" s="185" t="s">
        <v>536</v>
      </c>
      <c r="L172" s="236" t="s">
        <v>803</v>
      </c>
      <c r="S172" s="237"/>
      <c r="T172" s="238" t="s">
        <v>800</v>
      </c>
      <c r="U172" s="529" cm="1">
        <f t="array" aca="1" ref="U172" ca="1">IF(U$12=1,0,OFFSET(U172,0,-1))+SUM((OFFSET($C$13,1,0):OFFSET($C$164,-3,0))*IF(ISNUMBER(OFFSET(U$11,5,0):OFFSET(U$164,-1,0)),OFFSET(U$11,5,0):OFFSET(U$164,-1,0),0))</f>
        <v>0</v>
      </c>
      <c r="V172" s="529" cm="1">
        <f t="array" aca="1" ref="V172" ca="1">IF(V$12=1,0,OFFSET(V172,0,-1))+SUM((OFFSET($C$13,1,0):OFFSET($C$164,-3,0))*IF(ISNUMBER(OFFSET(V$11,5,0):OFFSET(V$164,-1,0)),OFFSET(V$11,5,0):OFFSET(V$164,-1,0),0))</f>
        <v>0</v>
      </c>
      <c r="W172" s="529" cm="1">
        <f t="array" aca="1" ref="W172" ca="1">IF(W$12=1,0,OFFSET(W172,0,-1))+SUM((OFFSET($C$13,1,0):OFFSET($C$164,-3,0))*IF(ISNUMBER(OFFSET(W$11,5,0):OFFSET(W$164,-1,0)),OFFSET(W$11,5,0):OFFSET(W$164,-1,0),0))</f>
        <v>0</v>
      </c>
      <c r="X172" s="529" cm="1">
        <f t="array" aca="1" ref="X172" ca="1">IF(X$12=1,0,OFFSET(X172,0,-1))+SUM((OFFSET($C$13,1,0):OFFSET($C$164,-3,0))*IF(ISNUMBER(OFFSET(X$11,5,0):OFFSET(X$164,-1,0)),OFFSET(X$11,5,0):OFFSET(X$164,-1,0),0))</f>
        <v>0</v>
      </c>
      <c r="Y172" s="529" cm="1">
        <f t="array" aca="1" ref="Y172" ca="1">IF(Y$12=1,0,OFFSET(Y172,0,-1))+SUM((OFFSET($C$13,1,0):OFFSET($C$164,-3,0))*IF(ISNUMBER(OFFSET(Y$11,5,0):OFFSET(Y$164,-1,0)),OFFSET(Y$11,5,0):OFFSET(Y$164,-1,0),0))</f>
        <v>0</v>
      </c>
      <c r="Z172" s="529" cm="1">
        <f t="array" aca="1" ref="Z172" ca="1">IF(Z$12=1,0,OFFSET(Z172,0,-1))+SUM((OFFSET($C$13,1,0):OFFSET($C$164,-3,0))*IF(ISNUMBER(OFFSET(Z$11,5,0):OFFSET(Z$164,-1,0)),OFFSET(Z$11,5,0):OFFSET(Z$164,-1,0),0))</f>
        <v>0</v>
      </c>
      <c r="AA172" s="529" cm="1">
        <f t="array" aca="1" ref="AA172" ca="1">IF(AA$12=1,0,OFFSET(AA172,0,-1))+SUM((OFFSET($C$13,1,0):OFFSET($C$164,-3,0))*IF(ISNUMBER(OFFSET(AA$11,5,0):OFFSET(AA$164,-1,0)),OFFSET(AA$11,5,0):OFFSET(AA$164,-1,0),0))</f>
        <v>0</v>
      </c>
      <c r="AB172" s="529" cm="1">
        <f t="array" aca="1" ref="AB172" ca="1">IF(AB$12=1,0,OFFSET(AB172,0,-1))+SUM((OFFSET($C$13,1,0):OFFSET($C$164,-3,0))*IF(ISNUMBER(OFFSET(AB$11,5,0):OFFSET(AB$164,-1,0)),OFFSET(AB$11,5,0):OFFSET(AB$164,-1,0),0))</f>
        <v>0</v>
      </c>
      <c r="AC172" s="529" cm="1">
        <f t="array" aca="1" ref="AC172" ca="1">IF(AC$12=1,0,OFFSET(AC172,0,-1))+SUM((OFFSET($C$13,1,0):OFFSET($C$164,-3,0))*IF(ISNUMBER(OFFSET(AC$11,5,0):OFFSET(AC$164,-1,0)),OFFSET(AC$11,5,0):OFFSET(AC$164,-1,0),0))</f>
        <v>0</v>
      </c>
      <c r="AD172" s="529" cm="1">
        <f t="array" aca="1" ref="AD172" ca="1">IF(AD$12=1,0,OFFSET(AD172,0,-1))+SUM((OFFSET($C$13,1,0):OFFSET($C$164,-3,0))*IF(ISNUMBER(OFFSET(AD$11,5,0):OFFSET(AD$164,-1,0)),OFFSET(AD$11,5,0):OFFSET(AD$164,-1,0),0))</f>
        <v>0</v>
      </c>
      <c r="AE172" s="529" cm="1">
        <f t="array" aca="1" ref="AE172" ca="1">IF(AE$12=1,0,OFFSET(AE172,0,-1))+SUM((OFFSET($C$13,1,0):OFFSET($C$164,-3,0))*IF(ISNUMBER(OFFSET(AE$11,5,0):OFFSET(AE$164,-1,0)),OFFSET(AE$11,5,0):OFFSET(AE$164,-1,0),0))</f>
        <v>0</v>
      </c>
      <c r="AF172" s="529" cm="1">
        <f t="array" aca="1" ref="AF172" ca="1">IF(AF$12=1,0,OFFSET(AF172,0,-1))+SUM((OFFSET($C$13,1,0):OFFSET($C$164,-3,0))*IF(ISNUMBER(OFFSET(AF$11,5,0):OFFSET(AF$164,-1,0)),OFFSET(AF$11,5,0):OFFSET(AF$164,-1,0),0))</f>
        <v>0</v>
      </c>
      <c r="AG172" s="529" cm="1">
        <f t="array" aca="1" ref="AG172" ca="1">IF(AG$12=1,0,OFFSET(AG172,0,-1))+SUM((OFFSET($C$13,1,0):OFFSET($C$164,-3,0))*IF(ISNUMBER(OFFSET(AG$11,5,0):OFFSET(AG$164,-1,0)),OFFSET(AG$11,5,0):OFFSET(AG$164,-1,0),0))</f>
        <v>0</v>
      </c>
      <c r="AH172" s="529" cm="1">
        <f t="array" aca="1" ref="AH172" ca="1">IF(AH$12=1,0,OFFSET(AH172,0,-1))+SUM((OFFSET($C$13,1,0):OFFSET($C$164,-3,0))*IF(ISNUMBER(OFFSET(AH$11,5,0):OFFSET(AH$164,-1,0)),OFFSET(AH$11,5,0):OFFSET(AH$164,-1,0),0))</f>
        <v>0</v>
      </c>
      <c r="AI172" s="529" cm="1">
        <f t="array" aca="1" ref="AI172" ca="1">IF(AI$12=1,0,OFFSET(AI172,0,-1))+SUM((OFFSET($C$13,1,0):OFFSET($C$164,-3,0))*IF(ISNUMBER(OFFSET(AI$11,5,0):OFFSET(AI$164,-1,0)),OFFSET(AI$11,5,0):OFFSET(AI$164,-1,0),0))</f>
        <v>0</v>
      </c>
      <c r="AJ172" s="529" cm="1">
        <f t="array" aca="1" ref="AJ172" ca="1">IF(AJ$12=1,0,OFFSET(AJ172,0,-1))+SUM((OFFSET($C$13,1,0):OFFSET($C$164,-3,0))*IF(ISNUMBER(OFFSET(AJ$11,5,0):OFFSET(AJ$164,-1,0)),OFFSET(AJ$11,5,0):OFFSET(AJ$164,-1,0),0))</f>
        <v>0</v>
      </c>
      <c r="AK172" s="529" cm="1">
        <f t="array" aca="1" ref="AK172" ca="1">IF(AK$12=1,0,OFFSET(AK172,0,-1))+SUM((OFFSET($C$13,1,0):OFFSET($C$164,-3,0))*IF(ISNUMBER(OFFSET(AK$11,5,0):OFFSET(AK$164,-1,0)),OFFSET(AK$11,5,0):OFFSET(AK$164,-1,0),0))</f>
        <v>0</v>
      </c>
      <c r="AL172" s="529" cm="1">
        <f t="array" aca="1" ref="AL172" ca="1">IF(AL$12=1,0,OFFSET(AL172,0,-1))+SUM((OFFSET($C$13,1,0):OFFSET($C$164,-3,0))*IF(ISNUMBER(OFFSET(AL$11,5,0):OFFSET(AL$164,-1,0)),OFFSET(AL$11,5,0):OFFSET(AL$164,-1,0),0))</f>
        <v>0</v>
      </c>
      <c r="AM172" s="529" cm="1">
        <f t="array" aca="1" ref="AM172" ca="1">IF(AM$12=1,0,OFFSET(AM172,0,-1))+SUM((OFFSET($C$13,1,0):OFFSET($C$164,-3,0))*IF(ISNUMBER(OFFSET(AM$11,5,0):OFFSET(AM$164,-1,0)),OFFSET(AM$11,5,0):OFFSET(AM$164,-1,0),0))</f>
        <v>0</v>
      </c>
      <c r="AN172" s="529" cm="1">
        <f t="array" aca="1" ref="AN172" ca="1">IF(AN$12=1,0,OFFSET(AN172,0,-1))+SUM((OFFSET($C$13,1,0):OFFSET($C$164,-3,0))*IF(ISNUMBER(OFFSET(AN$11,5,0):OFFSET(AN$164,-1,0)),OFFSET(AN$11,5,0):OFFSET(AN$164,-1,0),0))</f>
        <v>0</v>
      </c>
      <c r="AO172" s="529" cm="1">
        <f t="array" aca="1" ref="AO172" ca="1">IF(AO$12=1,0,OFFSET(AO172,0,-1))+SUM((OFFSET($C$13,1,0):OFFSET($C$164,-3,0))*IF(ISNUMBER(OFFSET(AO$11,5,0):OFFSET(AO$164,-1,0)),OFFSET(AO$11,5,0):OFFSET(AO$164,-1,0),0))</f>
        <v>0</v>
      </c>
      <c r="AP172" s="529" cm="1">
        <f t="array" aca="1" ref="AP172" ca="1">IF(AP$12=1,0,OFFSET(AP172,0,-1))+SUM((OFFSET($C$13,1,0):OFFSET($C$164,-3,0))*IF(ISNUMBER(OFFSET(AP$11,5,0):OFFSET(AP$164,-1,0)),OFFSET(AP$11,5,0):OFFSET(AP$164,-1,0),0))</f>
        <v>0</v>
      </c>
      <c r="AQ172" s="529" cm="1">
        <f t="array" aca="1" ref="AQ172" ca="1">IF(AQ$12=1,0,OFFSET(AQ172,0,-1))+SUM((OFFSET($C$13,1,0):OFFSET($C$164,-3,0))*IF(ISNUMBER(OFFSET(AQ$11,5,0):OFFSET(AQ$164,-1,0)),OFFSET(AQ$11,5,0):OFFSET(AQ$164,-1,0),0))</f>
        <v>0</v>
      </c>
      <c r="AR172" s="529" cm="1">
        <f t="array" aca="1" ref="AR172" ca="1">IF(AR$12=1,0,OFFSET(AR172,0,-1))+SUM((OFFSET($C$13,1,0):OFFSET($C$164,-3,0))*IF(ISNUMBER(OFFSET(AR$11,5,0):OFFSET(AR$164,-1,0)),OFFSET(AR$11,5,0):OFFSET(AR$164,-1,0),0))</f>
        <v>0</v>
      </c>
      <c r="AS172" s="534"/>
    </row>
    <row r="173" spans="1:45" x14ac:dyDescent="0.2">
      <c r="E173" s="239" cm="1">
        <f t="array" aca="1" ref="E173" ca="1">IF(E$12=1,0,OFFSET(E173,0,-1))+SUM((OFFSET($D$13,1,0):OFFSET($D$164,-3,0))*IF(ISNUMBER(OFFSET(E$11,5,0):OFFSET(E$164,-1,0)),OFFSET(E$11,5,0):OFFSET(E$164,-1,0),0))</f>
        <v>0</v>
      </c>
      <c r="G173" s="185" t="s">
        <v>536</v>
      </c>
      <c r="L173" s="236"/>
      <c r="S173" s="240"/>
      <c r="T173" s="241" t="s">
        <v>801</v>
      </c>
      <c r="U173" s="239" cm="1">
        <f t="array" aca="1" ref="U173" ca="1">IF(U$12=1,0,OFFSET(U173,0,-1))+SUM((OFFSET($D$13,1,0):OFFSET($D$164,-3,0))*IF(ISNUMBER(OFFSET(U$11,5,0):OFFSET(U$164,-1,0)),OFFSET(U$11,5,0):OFFSET(U$164,-1,0),0))</f>
        <v>0</v>
      </c>
      <c r="V173" s="239" cm="1">
        <f t="array" aca="1" ref="V173" ca="1">IF(V$12=1,0,OFFSET(V173,0,-1))+SUM((OFFSET($D$13,1,0):OFFSET($D$164,-3,0))*IF(ISNUMBER(OFFSET(V$11,5,0):OFFSET(V$164,-1,0)),OFFSET(V$11,5,0):OFFSET(V$164,-1,0),0))</f>
        <v>0</v>
      </c>
      <c r="W173" s="239" cm="1">
        <f t="array" aca="1" ref="W173" ca="1">IF(W$12=1,0,OFFSET(W173,0,-1))+SUM((OFFSET($D$13,1,0):OFFSET($D$164,-3,0))*IF(ISNUMBER(OFFSET(W$11,5,0):OFFSET(W$164,-1,0)),OFFSET(W$11,5,0):OFFSET(W$164,-1,0),0))</f>
        <v>0</v>
      </c>
      <c r="X173" s="239" cm="1">
        <f t="array" aca="1" ref="X173" ca="1">IF(X$12=1,0,OFFSET(X173,0,-1))+SUM((OFFSET($D$13,1,0):OFFSET($D$164,-3,0))*IF(ISNUMBER(OFFSET(X$11,5,0):OFFSET(X$164,-1,0)),OFFSET(X$11,5,0):OFFSET(X$164,-1,0),0))</f>
        <v>0</v>
      </c>
      <c r="Y173" s="239" cm="1">
        <f t="array" aca="1" ref="Y173" ca="1">IF(Y$12=1,0,OFFSET(Y173,0,-1))+SUM((OFFSET($D$13,1,0):OFFSET($D$164,-3,0))*IF(ISNUMBER(OFFSET(Y$11,5,0):OFFSET(Y$164,-1,0)),OFFSET(Y$11,5,0):OFFSET(Y$164,-1,0),0))</f>
        <v>0</v>
      </c>
      <c r="Z173" s="239" cm="1">
        <f t="array" aca="1" ref="Z173" ca="1">IF(Z$12=1,0,OFFSET(Z173,0,-1))+SUM((OFFSET($D$13,1,0):OFFSET($D$164,-3,0))*IF(ISNUMBER(OFFSET(Z$11,5,0):OFFSET(Z$164,-1,0)),OFFSET(Z$11,5,0):OFFSET(Z$164,-1,0),0))</f>
        <v>0</v>
      </c>
      <c r="AA173" s="239" cm="1">
        <f t="array" aca="1" ref="AA173" ca="1">IF(AA$12=1,0,OFFSET(AA173,0,-1))+SUM((OFFSET($D$13,1,0):OFFSET($D$164,-3,0))*IF(ISNUMBER(OFFSET(AA$11,5,0):OFFSET(AA$164,-1,0)),OFFSET(AA$11,5,0):OFFSET(AA$164,-1,0),0))</f>
        <v>0</v>
      </c>
      <c r="AB173" s="239" cm="1">
        <f t="array" aca="1" ref="AB173" ca="1">IF(AB$12=1,0,OFFSET(AB173,0,-1))+SUM((OFFSET($D$13,1,0):OFFSET($D$164,-3,0))*IF(ISNUMBER(OFFSET(AB$11,5,0):OFFSET(AB$164,-1,0)),OFFSET(AB$11,5,0):OFFSET(AB$164,-1,0),0))</f>
        <v>0</v>
      </c>
      <c r="AC173" s="239" cm="1">
        <f t="array" aca="1" ref="AC173" ca="1">IF(AC$12=1,0,OFFSET(AC173,0,-1))+SUM((OFFSET($D$13,1,0):OFFSET($D$164,-3,0))*IF(ISNUMBER(OFFSET(AC$11,5,0):OFFSET(AC$164,-1,0)),OFFSET(AC$11,5,0):OFFSET(AC$164,-1,0),0))</f>
        <v>0</v>
      </c>
      <c r="AD173" s="239" cm="1">
        <f t="array" aca="1" ref="AD173" ca="1">IF(AD$12=1,0,OFFSET(AD173,0,-1))+SUM((OFFSET($D$13,1,0):OFFSET($D$164,-3,0))*IF(ISNUMBER(OFFSET(AD$11,5,0):OFFSET(AD$164,-1,0)),OFFSET(AD$11,5,0):OFFSET(AD$164,-1,0),0))</f>
        <v>0</v>
      </c>
      <c r="AE173" s="239" cm="1">
        <f t="array" aca="1" ref="AE173" ca="1">IF(AE$12=1,0,OFFSET(AE173,0,-1))+SUM((OFFSET($D$13,1,0):OFFSET($D$164,-3,0))*IF(ISNUMBER(OFFSET(AE$11,5,0):OFFSET(AE$164,-1,0)),OFFSET(AE$11,5,0):OFFSET(AE$164,-1,0),0))</f>
        <v>0</v>
      </c>
      <c r="AF173" s="239" cm="1">
        <f t="array" aca="1" ref="AF173" ca="1">IF(AF$12=1,0,OFFSET(AF173,0,-1))+SUM((OFFSET($D$13,1,0):OFFSET($D$164,-3,0))*IF(ISNUMBER(OFFSET(AF$11,5,0):OFFSET(AF$164,-1,0)),OFFSET(AF$11,5,0):OFFSET(AF$164,-1,0),0))</f>
        <v>0</v>
      </c>
      <c r="AG173" s="239" cm="1">
        <f t="array" aca="1" ref="AG173" ca="1">IF(AG$12=1,0,OFFSET(AG173,0,-1))+SUM((OFFSET($D$13,1,0):OFFSET($D$164,-3,0))*IF(ISNUMBER(OFFSET(AG$11,5,0):OFFSET(AG$164,-1,0)),OFFSET(AG$11,5,0):OFFSET(AG$164,-1,0),0))</f>
        <v>0</v>
      </c>
      <c r="AH173" s="239" cm="1">
        <f t="array" aca="1" ref="AH173" ca="1">IF(AH$12=1,0,OFFSET(AH173,0,-1))+SUM((OFFSET($D$13,1,0):OFFSET($D$164,-3,0))*IF(ISNUMBER(OFFSET(AH$11,5,0):OFFSET(AH$164,-1,0)),OFFSET(AH$11,5,0):OFFSET(AH$164,-1,0),0))</f>
        <v>0</v>
      </c>
      <c r="AI173" s="239" cm="1">
        <f t="array" aca="1" ref="AI173" ca="1">IF(AI$12=1,0,OFFSET(AI173,0,-1))+SUM((OFFSET($D$13,1,0):OFFSET($D$164,-3,0))*IF(ISNUMBER(OFFSET(AI$11,5,0):OFFSET(AI$164,-1,0)),OFFSET(AI$11,5,0):OFFSET(AI$164,-1,0),0))</f>
        <v>0</v>
      </c>
      <c r="AJ173" s="239" cm="1">
        <f t="array" aca="1" ref="AJ173" ca="1">IF(AJ$12=1,0,OFFSET(AJ173,0,-1))+SUM((OFFSET($D$13,1,0):OFFSET($D$164,-3,0))*IF(ISNUMBER(OFFSET(AJ$11,5,0):OFFSET(AJ$164,-1,0)),OFFSET(AJ$11,5,0):OFFSET(AJ$164,-1,0),0))</f>
        <v>0</v>
      </c>
      <c r="AK173" s="239" cm="1">
        <f t="array" aca="1" ref="AK173" ca="1">IF(AK$12=1,0,OFFSET(AK173,0,-1))+SUM((OFFSET($D$13,1,0):OFFSET($D$164,-3,0))*IF(ISNUMBER(OFFSET(AK$11,5,0):OFFSET(AK$164,-1,0)),OFFSET(AK$11,5,0):OFFSET(AK$164,-1,0),0))</f>
        <v>0</v>
      </c>
      <c r="AL173" s="239" cm="1">
        <f t="array" aca="1" ref="AL173" ca="1">IF(AL$12=1,0,OFFSET(AL173,0,-1))+SUM((OFFSET($D$13,1,0):OFFSET($D$164,-3,0))*IF(ISNUMBER(OFFSET(AL$11,5,0):OFFSET(AL$164,-1,0)),OFFSET(AL$11,5,0):OFFSET(AL$164,-1,0),0))</f>
        <v>0</v>
      </c>
      <c r="AM173" s="239" cm="1">
        <f t="array" aca="1" ref="AM173" ca="1">IF(AM$12=1,0,OFFSET(AM173,0,-1))+SUM((OFFSET($D$13,1,0):OFFSET($D$164,-3,0))*IF(ISNUMBER(OFFSET(AM$11,5,0):OFFSET(AM$164,-1,0)),OFFSET(AM$11,5,0):OFFSET(AM$164,-1,0),0))</f>
        <v>0</v>
      </c>
      <c r="AN173" s="239" cm="1">
        <f t="array" aca="1" ref="AN173" ca="1">IF(AN$12=1,0,OFFSET(AN173,0,-1))+SUM((OFFSET($D$13,1,0):OFFSET($D$164,-3,0))*IF(ISNUMBER(OFFSET(AN$11,5,0):OFFSET(AN$164,-1,0)),OFFSET(AN$11,5,0):OFFSET(AN$164,-1,0),0))</f>
        <v>0</v>
      </c>
      <c r="AO173" s="239" cm="1">
        <f t="array" aca="1" ref="AO173" ca="1">IF(AO$12=1,0,OFFSET(AO173,0,-1))+SUM((OFFSET($D$13,1,0):OFFSET($D$164,-3,0))*IF(ISNUMBER(OFFSET(AO$11,5,0):OFFSET(AO$164,-1,0)),OFFSET(AO$11,5,0):OFFSET(AO$164,-1,0),0))</f>
        <v>0</v>
      </c>
      <c r="AP173" s="239" cm="1">
        <f t="array" aca="1" ref="AP173" ca="1">IF(AP$12=1,0,OFFSET(AP173,0,-1))+SUM((OFFSET($D$13,1,0):OFFSET($D$164,-3,0))*IF(ISNUMBER(OFFSET(AP$11,5,0):OFFSET(AP$164,-1,0)),OFFSET(AP$11,5,0):OFFSET(AP$164,-1,0),0))</f>
        <v>0</v>
      </c>
      <c r="AQ173" s="239" cm="1">
        <f t="array" aca="1" ref="AQ173" ca="1">IF(AQ$12=1,0,OFFSET(AQ173,0,-1))+SUM((OFFSET($D$13,1,0):OFFSET($D$164,-3,0))*IF(ISNUMBER(OFFSET(AQ$11,5,0):OFFSET(AQ$164,-1,0)),OFFSET(AQ$11,5,0):OFFSET(AQ$164,-1,0),0))</f>
        <v>0</v>
      </c>
      <c r="AR173" s="239" cm="1">
        <f t="array" aca="1" ref="AR173" ca="1">IF(AR$12=1,0,OFFSET(AR173,0,-1))+SUM((OFFSET($D$13,1,0):OFFSET($D$164,-3,0))*IF(ISNUMBER(OFFSET(AR$11,5,0):OFFSET(AR$164,-1,0)),OFFSET(AR$11,5,0):OFFSET(AR$164,-1,0),0))</f>
        <v>0</v>
      </c>
      <c r="AS173" s="534"/>
    </row>
    <row r="174" spans="1:45" ht="13.5" thickBot="1" x14ac:dyDescent="0.25">
      <c r="D174" s="533"/>
      <c r="E174" s="531">
        <f ca="1">SUMIF($S$12:$S$164,"1$",E12:E164)+IF(E$12&gt;1,OFFSET(E174,0,-1),0)</f>
        <v>0</v>
      </c>
      <c r="G174" s="185" t="s">
        <v>536</v>
      </c>
      <c r="H174" s="522" t="str" cm="1">
        <f t="array" ref="H174">IF(ACOMPANHAMENTO="BM","Selecione o Macrosserviço da Administração Local:","")</f>
        <v/>
      </c>
      <c r="I174"/>
      <c r="L174" s="236"/>
      <c r="S174" s="237"/>
      <c r="T174" s="526" t="s">
        <v>802</v>
      </c>
      <c r="U174" s="531">
        <f t="shared" ref="U174:AF174" ca="1" si="332">SUMIF($S$12:$S$164,"1$",U12:U164)+IF(U$12&gt;1,OFFSET(U174,0,-1),0)</f>
        <v>0</v>
      </c>
      <c r="V174" s="531">
        <f t="shared" ca="1" si="332"/>
        <v>0</v>
      </c>
      <c r="W174" s="531">
        <f t="shared" ca="1" si="332"/>
        <v>0</v>
      </c>
      <c r="X174" s="531">
        <f t="shared" ca="1" si="332"/>
        <v>0</v>
      </c>
      <c r="Y174" s="531">
        <f t="shared" ca="1" si="332"/>
        <v>0</v>
      </c>
      <c r="Z174" s="531">
        <f t="shared" ca="1" si="332"/>
        <v>0</v>
      </c>
      <c r="AA174" s="531">
        <f t="shared" ca="1" si="332"/>
        <v>0</v>
      </c>
      <c r="AB174" s="531">
        <f t="shared" ca="1" si="332"/>
        <v>0</v>
      </c>
      <c r="AC174" s="531">
        <f t="shared" ca="1" si="332"/>
        <v>0</v>
      </c>
      <c r="AD174" s="531">
        <f t="shared" ca="1" si="332"/>
        <v>0</v>
      </c>
      <c r="AE174" s="531">
        <f t="shared" ca="1" si="332"/>
        <v>0</v>
      </c>
      <c r="AF174" s="540">
        <f t="shared" ca="1" si="332"/>
        <v>0</v>
      </c>
      <c r="AG174" s="531">
        <f t="shared" ref="AG174:AR174" ca="1" si="333">SUMIF($S$12:$S$164,"1$",AG12:AG164)+IF(AG$12&gt;1,OFFSET(AG174,0,-1),0)</f>
        <v>0</v>
      </c>
      <c r="AH174" s="531">
        <f t="shared" ca="1" si="333"/>
        <v>0</v>
      </c>
      <c r="AI174" s="531">
        <f t="shared" ca="1" si="333"/>
        <v>0</v>
      </c>
      <c r="AJ174" s="531">
        <f t="shared" ca="1" si="333"/>
        <v>0</v>
      </c>
      <c r="AK174" s="531">
        <f t="shared" ca="1" si="333"/>
        <v>0</v>
      </c>
      <c r="AL174" s="531">
        <f t="shared" ca="1" si="333"/>
        <v>0</v>
      </c>
      <c r="AM174" s="531">
        <f t="shared" ca="1" si="333"/>
        <v>0</v>
      </c>
      <c r="AN174" s="531">
        <f t="shared" ca="1" si="333"/>
        <v>0</v>
      </c>
      <c r="AO174" s="531">
        <f t="shared" ca="1" si="333"/>
        <v>0</v>
      </c>
      <c r="AP174" s="531">
        <f t="shared" ca="1" si="333"/>
        <v>0</v>
      </c>
      <c r="AQ174" s="531">
        <f t="shared" ca="1" si="333"/>
        <v>0</v>
      </c>
      <c r="AR174" s="540">
        <f t="shared" ca="1" si="333"/>
        <v>0</v>
      </c>
      <c r="AS174" s="534"/>
    </row>
    <row r="175" spans="1:45" ht="13.5" thickBot="1" x14ac:dyDescent="0.25">
      <c r="D175" s="533"/>
      <c r="E175" s="532" t="e">
        <f ca="1">IF($F$175="","",
  IF(ACOMPANHAMENTO="PLE",
     IF(AUTOEVENTO="Manual",
         IF(AdmLocal="Automática",
              E170,
              SUMIF(OFFSET(CRONOPLE!$F$14,CRONOPLE!$A$8+1,1,1,OFFSET(CRONOPLE!$BE$12,0,-1)),"&lt;="&amp;E$12,OFFSET(EVENTOS!$G$14,CRONOPLE!$A$8+1,1,1,OFFSET(CRONOPLE!$BE$12,0,-1)))/OFFSET(EVENTOS!$G$14,CRONOPLE!$A$8+1,-1)),
         SUMIFS(OFFSET(CÁLCULO!$AQ$15,$F$175,1,OFFSET(ORÇAMENTO!$D$15,$F$175,0),CÁLCULO.FrentesPreenchidas),OFFSET(CÁLCULO!$BR$15,$F$175,1,OFFSET(ORÇAMENTO!$D$15,$F$175,0),CÁLCULO.FrentesPreenchidas),"&lt;="&amp;E$12)/OFFSET(ORÇAMENTO!$X$15,$F$175,0)),
     IF(ACOMPANHAMENTO="BM",SUM(OFFSET($T$13,$F$175+2,1,1,E$12))/OFFSET($S$13,$F$175,0),"")))</f>
        <v>#DIV/0!</v>
      </c>
      <c r="F175" s="185">
        <f ca="1">IF(ACOMPANHAMENTO="PLE",
    IF(AUTOEVENTO="Manual",
        IF(AdmLocal="Automática",1,IF(CRONOPLE!$D$8&lt;&gt;"","",MATCH(Import.EventoAdmLocal,EVENTOS!$B$15:$B$57,0))),
        IF(CRONOPLE!$D$8&lt;&gt;"","",CRONOPLE!$A$10)),
    IF($H$176&lt;&gt;"","",MATCH(Import.MacrosserviçoAdmLocal,$A$13:$A$164,0)-1))</f>
        <v>3</v>
      </c>
      <c r="G175" s="185" t="s">
        <v>536</v>
      </c>
      <c r="H175" s="729"/>
      <c r="I175" s="771"/>
      <c r="J175" s="730"/>
      <c r="L175" s="242"/>
      <c r="S175" s="525"/>
      <c r="T175" s="527" t="s">
        <v>804</v>
      </c>
      <c r="U175" s="532" t="e">
        <f ca="1">IF($F$175="","",
  IF(ACOMPANHAMENTO="PLE",
     IF(AUTOEVENTO="Manual",
         IF(AdmLocal="Automática",
              U170,
              SUMIF(OFFSET(CRONOPLE!$F$14,CRONOPLE!$A$8+1,1,1,OFFSET(CRONOPLE!$BE$12,0,-1)),"&lt;="&amp;U$12,OFFSET(EVENTOS!$G$14,CRONOPLE!$A$8+1,1,1,OFFSET(CRONOPLE!$BE$12,0,-1)))/OFFSET(EVENTOS!$G$14,CRONOPLE!$A$8+1,-1)),
         SUMIFS(OFFSET(CÁLCULO!$AQ$15,$F$175,1,OFFSET(ORÇAMENTO!$D$15,$F$175,0),CÁLCULO.FrentesPreenchidas),OFFSET(CÁLCULO!$BR$15,$F$175,1,OFFSET(ORÇAMENTO!$D$15,$F$175,0),CÁLCULO.FrentesPreenchidas),"&lt;="&amp;U$12)/OFFSET(ORÇAMENTO!$X$15,$F$175,0)),
     IF(ACOMPANHAMENTO="BM",SUM(OFFSET($T$13,$F$175+2,1,1,U$12))/OFFSET($S$13,$F$175,0),"")))</f>
        <v>#DIV/0!</v>
      </c>
      <c r="V175" s="532" t="e">
        <f ca="1">IF($F$175="","",
  IF(ACOMPANHAMENTO="PLE",
     IF(AUTOEVENTO="Manual",
         IF(AdmLocal="Automática",
              V170,
              SUMIF(OFFSET(CRONOPLE!$F$14,CRONOPLE!$A$8+1,1,1,OFFSET(CRONOPLE!$BE$12,0,-1)),"&lt;="&amp;V$12,OFFSET(EVENTOS!$G$14,CRONOPLE!$A$8+1,1,1,OFFSET(CRONOPLE!$BE$12,0,-1)))/OFFSET(EVENTOS!$G$14,CRONOPLE!$A$8+1,-1)),
         SUMIFS(OFFSET(CÁLCULO!$AQ$15,$F$175,1,OFFSET(ORÇAMENTO!$D$15,$F$175,0),CÁLCULO.FrentesPreenchidas),OFFSET(CÁLCULO!$BR$15,$F$175,1,OFFSET(ORÇAMENTO!$D$15,$F$175,0),CÁLCULO.FrentesPreenchidas),"&lt;="&amp;V$12)/OFFSET(ORÇAMENTO!$X$15,$F$175,0)),
     IF(ACOMPANHAMENTO="BM",SUM(OFFSET($T$13,$F$175+2,1,1,V$12))/OFFSET($S$13,$F$175,0),"")))</f>
        <v>#DIV/0!</v>
      </c>
      <c r="W175" s="532" t="e">
        <f ca="1">IF($F$175="","",
  IF(ACOMPANHAMENTO="PLE",
     IF(AUTOEVENTO="Manual",
         IF(AdmLocal="Automática",
              W170,
              SUMIF(OFFSET(CRONOPLE!$F$14,CRONOPLE!$A$8+1,1,1,OFFSET(CRONOPLE!$BE$12,0,-1)),"&lt;="&amp;W$12,OFFSET(EVENTOS!$G$14,CRONOPLE!$A$8+1,1,1,OFFSET(CRONOPLE!$BE$12,0,-1)))/OFFSET(EVENTOS!$G$14,CRONOPLE!$A$8+1,-1)),
         SUMIFS(OFFSET(CÁLCULO!$AQ$15,$F$175,1,OFFSET(ORÇAMENTO!$D$15,$F$175,0),CÁLCULO.FrentesPreenchidas),OFFSET(CÁLCULO!$BR$15,$F$175,1,OFFSET(ORÇAMENTO!$D$15,$F$175,0),CÁLCULO.FrentesPreenchidas),"&lt;="&amp;W$12)/OFFSET(ORÇAMENTO!$X$15,$F$175,0)),
     IF(ACOMPANHAMENTO="BM",SUM(OFFSET($T$13,$F$175+2,1,1,W$12))/OFFSET($S$13,$F$175,0),"")))</f>
        <v>#DIV/0!</v>
      </c>
      <c r="X175" s="532" t="e">
        <f ca="1">IF($F$175="","",
  IF(ACOMPANHAMENTO="PLE",
     IF(AUTOEVENTO="Manual",
         IF(AdmLocal="Automática",
              X170,
              SUMIF(OFFSET(CRONOPLE!$F$14,CRONOPLE!$A$8+1,1,1,OFFSET(CRONOPLE!$BE$12,0,-1)),"&lt;="&amp;X$12,OFFSET(EVENTOS!$G$14,CRONOPLE!$A$8+1,1,1,OFFSET(CRONOPLE!$BE$12,0,-1)))/OFFSET(EVENTOS!$G$14,CRONOPLE!$A$8+1,-1)),
         SUMIFS(OFFSET(CÁLCULO!$AQ$15,$F$175,1,OFFSET(ORÇAMENTO!$D$15,$F$175,0),CÁLCULO.FrentesPreenchidas),OFFSET(CÁLCULO!$BR$15,$F$175,1,OFFSET(ORÇAMENTO!$D$15,$F$175,0),CÁLCULO.FrentesPreenchidas),"&lt;="&amp;X$12)/OFFSET(ORÇAMENTO!$X$15,$F$175,0)),
     IF(ACOMPANHAMENTO="BM",SUM(OFFSET($T$13,$F$175+2,1,1,X$12))/OFFSET($S$13,$F$175,0),"")))</f>
        <v>#DIV/0!</v>
      </c>
      <c r="Y175" s="532" t="e">
        <f ca="1">IF($F$175="","",
  IF(ACOMPANHAMENTO="PLE",
     IF(AUTOEVENTO="Manual",
         IF(AdmLocal="Automática",
              Y170,
              SUMIF(OFFSET(CRONOPLE!$F$14,CRONOPLE!$A$8+1,1,1,OFFSET(CRONOPLE!$BE$12,0,-1)),"&lt;="&amp;Y$12,OFFSET(EVENTOS!$G$14,CRONOPLE!$A$8+1,1,1,OFFSET(CRONOPLE!$BE$12,0,-1)))/OFFSET(EVENTOS!$G$14,CRONOPLE!$A$8+1,-1)),
         SUMIFS(OFFSET(CÁLCULO!$AQ$15,$F$175,1,OFFSET(ORÇAMENTO!$D$15,$F$175,0),CÁLCULO.FrentesPreenchidas),OFFSET(CÁLCULO!$BR$15,$F$175,1,OFFSET(ORÇAMENTO!$D$15,$F$175,0),CÁLCULO.FrentesPreenchidas),"&lt;="&amp;Y$12)/OFFSET(ORÇAMENTO!$X$15,$F$175,0)),
     IF(ACOMPANHAMENTO="BM",SUM(OFFSET($T$13,$F$175+2,1,1,Y$12))/OFFSET($S$13,$F$175,0),"")))</f>
        <v>#DIV/0!</v>
      </c>
      <c r="Z175" s="532" t="e">
        <f ca="1">IF($F$175="","",
  IF(ACOMPANHAMENTO="PLE",
     IF(AUTOEVENTO="Manual",
         IF(AdmLocal="Automática",
              Z170,
              SUMIF(OFFSET(CRONOPLE!$F$14,CRONOPLE!$A$8+1,1,1,OFFSET(CRONOPLE!$BE$12,0,-1)),"&lt;="&amp;Z$12,OFFSET(EVENTOS!$G$14,CRONOPLE!$A$8+1,1,1,OFFSET(CRONOPLE!$BE$12,0,-1)))/OFFSET(EVENTOS!$G$14,CRONOPLE!$A$8+1,-1)),
         SUMIFS(OFFSET(CÁLCULO!$AQ$15,$F$175,1,OFFSET(ORÇAMENTO!$D$15,$F$175,0),CÁLCULO.FrentesPreenchidas),OFFSET(CÁLCULO!$BR$15,$F$175,1,OFFSET(ORÇAMENTO!$D$15,$F$175,0),CÁLCULO.FrentesPreenchidas),"&lt;="&amp;Z$12)/OFFSET(ORÇAMENTO!$X$15,$F$175,0)),
     IF(ACOMPANHAMENTO="BM",SUM(OFFSET($T$13,$F$175+2,1,1,Z$12))/OFFSET($S$13,$F$175,0),"")))</f>
        <v>#DIV/0!</v>
      </c>
      <c r="AA175" s="532" t="e">
        <f ca="1">IF($F$175="","",
  IF(ACOMPANHAMENTO="PLE",
     IF(AUTOEVENTO="Manual",
         IF(AdmLocal="Automática",
              AA170,
              SUMIF(OFFSET(CRONOPLE!$F$14,CRONOPLE!$A$8+1,1,1,OFFSET(CRONOPLE!$BE$12,0,-1)),"&lt;="&amp;AA$12,OFFSET(EVENTOS!$G$14,CRONOPLE!$A$8+1,1,1,OFFSET(CRONOPLE!$BE$12,0,-1)))/OFFSET(EVENTOS!$G$14,CRONOPLE!$A$8+1,-1)),
         SUMIFS(OFFSET(CÁLCULO!$AQ$15,$F$175,1,OFFSET(ORÇAMENTO!$D$15,$F$175,0),CÁLCULO.FrentesPreenchidas),OFFSET(CÁLCULO!$BR$15,$F$175,1,OFFSET(ORÇAMENTO!$D$15,$F$175,0),CÁLCULO.FrentesPreenchidas),"&lt;="&amp;AA$12)/OFFSET(ORÇAMENTO!$X$15,$F$175,0)),
     IF(ACOMPANHAMENTO="BM",SUM(OFFSET($T$13,$F$175+2,1,1,AA$12))/OFFSET($S$13,$F$175,0),"")))</f>
        <v>#DIV/0!</v>
      </c>
      <c r="AB175" s="532" t="e">
        <f ca="1">IF($F$175="","",
  IF(ACOMPANHAMENTO="PLE",
     IF(AUTOEVENTO="Manual",
         IF(AdmLocal="Automática",
              AB170,
              SUMIF(OFFSET(CRONOPLE!$F$14,CRONOPLE!$A$8+1,1,1,OFFSET(CRONOPLE!$BE$12,0,-1)),"&lt;="&amp;AB$12,OFFSET(EVENTOS!$G$14,CRONOPLE!$A$8+1,1,1,OFFSET(CRONOPLE!$BE$12,0,-1)))/OFFSET(EVENTOS!$G$14,CRONOPLE!$A$8+1,-1)),
         SUMIFS(OFFSET(CÁLCULO!$AQ$15,$F$175,1,OFFSET(ORÇAMENTO!$D$15,$F$175,0),CÁLCULO.FrentesPreenchidas),OFFSET(CÁLCULO!$BR$15,$F$175,1,OFFSET(ORÇAMENTO!$D$15,$F$175,0),CÁLCULO.FrentesPreenchidas),"&lt;="&amp;AB$12)/OFFSET(ORÇAMENTO!$X$15,$F$175,0)),
     IF(ACOMPANHAMENTO="BM",SUM(OFFSET($T$13,$F$175+2,1,1,AB$12))/OFFSET($S$13,$F$175,0),"")))</f>
        <v>#DIV/0!</v>
      </c>
      <c r="AC175" s="532" t="e">
        <f ca="1">IF($F$175="","",
  IF(ACOMPANHAMENTO="PLE",
     IF(AUTOEVENTO="Manual",
         IF(AdmLocal="Automática",
              AC170,
              SUMIF(OFFSET(CRONOPLE!$F$14,CRONOPLE!$A$8+1,1,1,OFFSET(CRONOPLE!$BE$12,0,-1)),"&lt;="&amp;AC$12,OFFSET(EVENTOS!$G$14,CRONOPLE!$A$8+1,1,1,OFFSET(CRONOPLE!$BE$12,0,-1)))/OFFSET(EVENTOS!$G$14,CRONOPLE!$A$8+1,-1)),
         SUMIFS(OFFSET(CÁLCULO!$AQ$15,$F$175,1,OFFSET(ORÇAMENTO!$D$15,$F$175,0),CÁLCULO.FrentesPreenchidas),OFFSET(CÁLCULO!$BR$15,$F$175,1,OFFSET(ORÇAMENTO!$D$15,$F$175,0),CÁLCULO.FrentesPreenchidas),"&lt;="&amp;AC$12)/OFFSET(ORÇAMENTO!$X$15,$F$175,0)),
     IF(ACOMPANHAMENTO="BM",SUM(OFFSET($T$13,$F$175+2,1,1,AC$12))/OFFSET($S$13,$F$175,0),"")))</f>
        <v>#DIV/0!</v>
      </c>
      <c r="AD175" s="532" t="e">
        <f ca="1">IF($F$175="","",
  IF(ACOMPANHAMENTO="PLE",
     IF(AUTOEVENTO="Manual",
         IF(AdmLocal="Automática",
              AD170,
              SUMIF(OFFSET(CRONOPLE!$F$14,CRONOPLE!$A$8+1,1,1,OFFSET(CRONOPLE!$BE$12,0,-1)),"&lt;="&amp;AD$12,OFFSET(EVENTOS!$G$14,CRONOPLE!$A$8+1,1,1,OFFSET(CRONOPLE!$BE$12,0,-1)))/OFFSET(EVENTOS!$G$14,CRONOPLE!$A$8+1,-1)),
         SUMIFS(OFFSET(CÁLCULO!$AQ$15,$F$175,1,OFFSET(ORÇAMENTO!$D$15,$F$175,0),CÁLCULO.FrentesPreenchidas),OFFSET(CÁLCULO!$BR$15,$F$175,1,OFFSET(ORÇAMENTO!$D$15,$F$175,0),CÁLCULO.FrentesPreenchidas),"&lt;="&amp;AD$12)/OFFSET(ORÇAMENTO!$X$15,$F$175,0)),
     IF(ACOMPANHAMENTO="BM",SUM(OFFSET($T$13,$F$175+2,1,1,AD$12))/OFFSET($S$13,$F$175,0),"")))</f>
        <v>#DIV/0!</v>
      </c>
      <c r="AE175" s="532" t="e">
        <f ca="1">IF($F$175="","",
  IF(ACOMPANHAMENTO="PLE",
     IF(AUTOEVENTO="Manual",
         IF(AdmLocal="Automática",
              AE170,
              SUMIF(OFFSET(CRONOPLE!$F$14,CRONOPLE!$A$8+1,1,1,OFFSET(CRONOPLE!$BE$12,0,-1)),"&lt;="&amp;AE$12,OFFSET(EVENTOS!$G$14,CRONOPLE!$A$8+1,1,1,OFFSET(CRONOPLE!$BE$12,0,-1)))/OFFSET(EVENTOS!$G$14,CRONOPLE!$A$8+1,-1)),
         SUMIFS(OFFSET(CÁLCULO!$AQ$15,$F$175,1,OFFSET(ORÇAMENTO!$D$15,$F$175,0),CÁLCULO.FrentesPreenchidas),OFFSET(CÁLCULO!$BR$15,$F$175,1,OFFSET(ORÇAMENTO!$D$15,$F$175,0),CÁLCULO.FrentesPreenchidas),"&lt;="&amp;AE$12)/OFFSET(ORÇAMENTO!$X$15,$F$175,0)),
     IF(ACOMPANHAMENTO="BM",SUM(OFFSET($T$13,$F$175+2,1,1,AE$12))/OFFSET($S$13,$F$175,0),"")))</f>
        <v>#DIV/0!</v>
      </c>
      <c r="AF175" s="532" t="e">
        <f ca="1">IF($F$175="","",
  IF(ACOMPANHAMENTO="PLE",
     IF(AUTOEVENTO="Manual",
         IF(AdmLocal="Automática",
              AF170,
              SUMIF(OFFSET(CRONOPLE!$F$14,CRONOPLE!$A$8+1,1,1,OFFSET(CRONOPLE!$BE$12,0,-1)),"&lt;="&amp;AF$12,OFFSET(EVENTOS!$G$14,CRONOPLE!$A$8+1,1,1,OFFSET(CRONOPLE!$BE$12,0,-1)))/OFFSET(EVENTOS!$G$14,CRONOPLE!$A$8+1,-1)),
         SUMIFS(OFFSET(CÁLCULO!$AQ$15,$F$175,1,OFFSET(ORÇAMENTO!$D$15,$F$175,0),CÁLCULO.FrentesPreenchidas),OFFSET(CÁLCULO!$BR$15,$F$175,1,OFFSET(ORÇAMENTO!$D$15,$F$175,0),CÁLCULO.FrentesPreenchidas),"&lt;="&amp;AF$12)/OFFSET(ORÇAMENTO!$X$15,$F$175,0)),
     IF(ACOMPANHAMENTO="BM",SUM(OFFSET($T$13,$F$175+2,1,1,AF$12))/OFFSET($S$13,$F$175,0),"")))</f>
        <v>#DIV/0!</v>
      </c>
      <c r="AG175" s="532" t="e">
        <f ca="1">IF($F$175="","",
  IF(ACOMPANHAMENTO="PLE",
     IF(AUTOEVENTO="Manual",
         IF(AdmLocal="Automática",
              AG170,
              SUMIF(OFFSET(CRONOPLE!$F$14,CRONOPLE!$A$8+1,1,1,OFFSET(CRONOPLE!$BE$12,0,-1)),"&lt;="&amp;AG$12,OFFSET(EVENTOS!$G$14,CRONOPLE!$A$8+1,1,1,OFFSET(CRONOPLE!$BE$12,0,-1)))/OFFSET(EVENTOS!$G$14,CRONOPLE!$A$8+1,-1)),
         SUMIFS(OFFSET(CÁLCULO!$AQ$15,$F$175,1,OFFSET(ORÇAMENTO!$D$15,$F$175,0),CÁLCULO.FrentesPreenchidas),OFFSET(CÁLCULO!$BR$15,$F$175,1,OFFSET(ORÇAMENTO!$D$15,$F$175,0),CÁLCULO.FrentesPreenchidas),"&lt;="&amp;AG$12)/OFFSET(ORÇAMENTO!$X$15,$F$175,0)),
     IF(ACOMPANHAMENTO="BM",SUM(OFFSET($T$13,$F$175+2,1,1,AG$12))/OFFSET($S$13,$F$175,0),"")))</f>
        <v>#DIV/0!</v>
      </c>
      <c r="AH175" s="532" t="e">
        <f ca="1">IF($F$175="","",
  IF(ACOMPANHAMENTO="PLE",
     IF(AUTOEVENTO="Manual",
         IF(AdmLocal="Automática",
              AH170,
              SUMIF(OFFSET(CRONOPLE!$F$14,CRONOPLE!$A$8+1,1,1,OFFSET(CRONOPLE!$BE$12,0,-1)),"&lt;="&amp;AH$12,OFFSET(EVENTOS!$G$14,CRONOPLE!$A$8+1,1,1,OFFSET(CRONOPLE!$BE$12,0,-1)))/OFFSET(EVENTOS!$G$14,CRONOPLE!$A$8+1,-1)),
         SUMIFS(OFFSET(CÁLCULO!$AQ$15,$F$175,1,OFFSET(ORÇAMENTO!$D$15,$F$175,0),CÁLCULO.FrentesPreenchidas),OFFSET(CÁLCULO!$BR$15,$F$175,1,OFFSET(ORÇAMENTO!$D$15,$F$175,0),CÁLCULO.FrentesPreenchidas),"&lt;="&amp;AH$12)/OFFSET(ORÇAMENTO!$X$15,$F$175,0)),
     IF(ACOMPANHAMENTO="BM",SUM(OFFSET($T$13,$F$175+2,1,1,AH$12))/OFFSET($S$13,$F$175,0),"")))</f>
        <v>#DIV/0!</v>
      </c>
      <c r="AI175" s="532" t="e">
        <f ca="1">IF($F$175="","",
  IF(ACOMPANHAMENTO="PLE",
     IF(AUTOEVENTO="Manual",
         IF(AdmLocal="Automática",
              AI170,
              SUMIF(OFFSET(CRONOPLE!$F$14,CRONOPLE!$A$8+1,1,1,OFFSET(CRONOPLE!$BE$12,0,-1)),"&lt;="&amp;AI$12,OFFSET(EVENTOS!$G$14,CRONOPLE!$A$8+1,1,1,OFFSET(CRONOPLE!$BE$12,0,-1)))/OFFSET(EVENTOS!$G$14,CRONOPLE!$A$8+1,-1)),
         SUMIFS(OFFSET(CÁLCULO!$AQ$15,$F$175,1,OFFSET(ORÇAMENTO!$D$15,$F$175,0),CÁLCULO.FrentesPreenchidas),OFFSET(CÁLCULO!$BR$15,$F$175,1,OFFSET(ORÇAMENTO!$D$15,$F$175,0),CÁLCULO.FrentesPreenchidas),"&lt;="&amp;AI$12)/OFFSET(ORÇAMENTO!$X$15,$F$175,0)),
     IF(ACOMPANHAMENTO="BM",SUM(OFFSET($T$13,$F$175+2,1,1,AI$12))/OFFSET($S$13,$F$175,0),"")))</f>
        <v>#DIV/0!</v>
      </c>
      <c r="AJ175" s="532" t="e">
        <f ca="1">IF($F$175="","",
  IF(ACOMPANHAMENTO="PLE",
     IF(AUTOEVENTO="Manual",
         IF(AdmLocal="Automática",
              AJ170,
              SUMIF(OFFSET(CRONOPLE!$F$14,CRONOPLE!$A$8+1,1,1,OFFSET(CRONOPLE!$BE$12,0,-1)),"&lt;="&amp;AJ$12,OFFSET(EVENTOS!$G$14,CRONOPLE!$A$8+1,1,1,OFFSET(CRONOPLE!$BE$12,0,-1)))/OFFSET(EVENTOS!$G$14,CRONOPLE!$A$8+1,-1)),
         SUMIFS(OFFSET(CÁLCULO!$AQ$15,$F$175,1,OFFSET(ORÇAMENTO!$D$15,$F$175,0),CÁLCULO.FrentesPreenchidas),OFFSET(CÁLCULO!$BR$15,$F$175,1,OFFSET(ORÇAMENTO!$D$15,$F$175,0),CÁLCULO.FrentesPreenchidas),"&lt;="&amp;AJ$12)/OFFSET(ORÇAMENTO!$X$15,$F$175,0)),
     IF(ACOMPANHAMENTO="BM",SUM(OFFSET($T$13,$F$175+2,1,1,AJ$12))/OFFSET($S$13,$F$175,0),"")))</f>
        <v>#DIV/0!</v>
      </c>
      <c r="AK175" s="532" t="e">
        <f ca="1">IF($F$175="","",
  IF(ACOMPANHAMENTO="PLE",
     IF(AUTOEVENTO="Manual",
         IF(AdmLocal="Automática",
              AK170,
              SUMIF(OFFSET(CRONOPLE!$F$14,CRONOPLE!$A$8+1,1,1,OFFSET(CRONOPLE!$BE$12,0,-1)),"&lt;="&amp;AK$12,OFFSET(EVENTOS!$G$14,CRONOPLE!$A$8+1,1,1,OFFSET(CRONOPLE!$BE$12,0,-1)))/OFFSET(EVENTOS!$G$14,CRONOPLE!$A$8+1,-1)),
         SUMIFS(OFFSET(CÁLCULO!$AQ$15,$F$175,1,OFFSET(ORÇAMENTO!$D$15,$F$175,0),CÁLCULO.FrentesPreenchidas),OFFSET(CÁLCULO!$BR$15,$F$175,1,OFFSET(ORÇAMENTO!$D$15,$F$175,0),CÁLCULO.FrentesPreenchidas),"&lt;="&amp;AK$12)/OFFSET(ORÇAMENTO!$X$15,$F$175,0)),
     IF(ACOMPANHAMENTO="BM",SUM(OFFSET($T$13,$F$175+2,1,1,AK$12))/OFFSET($S$13,$F$175,0),"")))</f>
        <v>#DIV/0!</v>
      </c>
      <c r="AL175" s="532" t="e">
        <f ca="1">IF($F$175="","",
  IF(ACOMPANHAMENTO="PLE",
     IF(AUTOEVENTO="Manual",
         IF(AdmLocal="Automática",
              AL170,
              SUMIF(OFFSET(CRONOPLE!$F$14,CRONOPLE!$A$8+1,1,1,OFFSET(CRONOPLE!$BE$12,0,-1)),"&lt;="&amp;AL$12,OFFSET(EVENTOS!$G$14,CRONOPLE!$A$8+1,1,1,OFFSET(CRONOPLE!$BE$12,0,-1)))/OFFSET(EVENTOS!$G$14,CRONOPLE!$A$8+1,-1)),
         SUMIFS(OFFSET(CÁLCULO!$AQ$15,$F$175,1,OFFSET(ORÇAMENTO!$D$15,$F$175,0),CÁLCULO.FrentesPreenchidas),OFFSET(CÁLCULO!$BR$15,$F$175,1,OFFSET(ORÇAMENTO!$D$15,$F$175,0),CÁLCULO.FrentesPreenchidas),"&lt;="&amp;AL$12)/OFFSET(ORÇAMENTO!$X$15,$F$175,0)),
     IF(ACOMPANHAMENTO="BM",SUM(OFFSET($T$13,$F$175+2,1,1,AL$12))/OFFSET($S$13,$F$175,0),"")))</f>
        <v>#DIV/0!</v>
      </c>
      <c r="AM175" s="532" t="e">
        <f ca="1">IF($F$175="","",
  IF(ACOMPANHAMENTO="PLE",
     IF(AUTOEVENTO="Manual",
         IF(AdmLocal="Automática",
              AM170,
              SUMIF(OFFSET(CRONOPLE!$F$14,CRONOPLE!$A$8+1,1,1,OFFSET(CRONOPLE!$BE$12,0,-1)),"&lt;="&amp;AM$12,OFFSET(EVENTOS!$G$14,CRONOPLE!$A$8+1,1,1,OFFSET(CRONOPLE!$BE$12,0,-1)))/OFFSET(EVENTOS!$G$14,CRONOPLE!$A$8+1,-1)),
         SUMIFS(OFFSET(CÁLCULO!$AQ$15,$F$175,1,OFFSET(ORÇAMENTO!$D$15,$F$175,0),CÁLCULO.FrentesPreenchidas),OFFSET(CÁLCULO!$BR$15,$F$175,1,OFFSET(ORÇAMENTO!$D$15,$F$175,0),CÁLCULO.FrentesPreenchidas),"&lt;="&amp;AM$12)/OFFSET(ORÇAMENTO!$X$15,$F$175,0)),
     IF(ACOMPANHAMENTO="BM",SUM(OFFSET($T$13,$F$175+2,1,1,AM$12))/OFFSET($S$13,$F$175,0),"")))</f>
        <v>#DIV/0!</v>
      </c>
      <c r="AN175" s="532" t="e">
        <f ca="1">IF($F$175="","",
  IF(ACOMPANHAMENTO="PLE",
     IF(AUTOEVENTO="Manual",
         IF(AdmLocal="Automática",
              AN170,
              SUMIF(OFFSET(CRONOPLE!$F$14,CRONOPLE!$A$8+1,1,1,OFFSET(CRONOPLE!$BE$12,0,-1)),"&lt;="&amp;AN$12,OFFSET(EVENTOS!$G$14,CRONOPLE!$A$8+1,1,1,OFFSET(CRONOPLE!$BE$12,0,-1)))/OFFSET(EVENTOS!$G$14,CRONOPLE!$A$8+1,-1)),
         SUMIFS(OFFSET(CÁLCULO!$AQ$15,$F$175,1,OFFSET(ORÇAMENTO!$D$15,$F$175,0),CÁLCULO.FrentesPreenchidas),OFFSET(CÁLCULO!$BR$15,$F$175,1,OFFSET(ORÇAMENTO!$D$15,$F$175,0),CÁLCULO.FrentesPreenchidas),"&lt;="&amp;AN$12)/OFFSET(ORÇAMENTO!$X$15,$F$175,0)),
     IF(ACOMPANHAMENTO="BM",SUM(OFFSET($T$13,$F$175+2,1,1,AN$12))/OFFSET($S$13,$F$175,0),"")))</f>
        <v>#DIV/0!</v>
      </c>
      <c r="AO175" s="532" t="e">
        <f ca="1">IF($F$175="","",
  IF(ACOMPANHAMENTO="PLE",
     IF(AUTOEVENTO="Manual",
         IF(AdmLocal="Automática",
              AO170,
              SUMIF(OFFSET(CRONOPLE!$F$14,CRONOPLE!$A$8+1,1,1,OFFSET(CRONOPLE!$BE$12,0,-1)),"&lt;="&amp;AO$12,OFFSET(EVENTOS!$G$14,CRONOPLE!$A$8+1,1,1,OFFSET(CRONOPLE!$BE$12,0,-1)))/OFFSET(EVENTOS!$G$14,CRONOPLE!$A$8+1,-1)),
         SUMIFS(OFFSET(CÁLCULO!$AQ$15,$F$175,1,OFFSET(ORÇAMENTO!$D$15,$F$175,0),CÁLCULO.FrentesPreenchidas),OFFSET(CÁLCULO!$BR$15,$F$175,1,OFFSET(ORÇAMENTO!$D$15,$F$175,0),CÁLCULO.FrentesPreenchidas),"&lt;="&amp;AO$12)/OFFSET(ORÇAMENTO!$X$15,$F$175,0)),
     IF(ACOMPANHAMENTO="BM",SUM(OFFSET($T$13,$F$175+2,1,1,AO$12))/OFFSET($S$13,$F$175,0),"")))</f>
        <v>#DIV/0!</v>
      </c>
      <c r="AP175" s="532" t="e">
        <f ca="1">IF($F$175="","",
  IF(ACOMPANHAMENTO="PLE",
     IF(AUTOEVENTO="Manual",
         IF(AdmLocal="Automática",
              AP170,
              SUMIF(OFFSET(CRONOPLE!$F$14,CRONOPLE!$A$8+1,1,1,OFFSET(CRONOPLE!$BE$12,0,-1)),"&lt;="&amp;AP$12,OFFSET(EVENTOS!$G$14,CRONOPLE!$A$8+1,1,1,OFFSET(CRONOPLE!$BE$12,0,-1)))/OFFSET(EVENTOS!$G$14,CRONOPLE!$A$8+1,-1)),
         SUMIFS(OFFSET(CÁLCULO!$AQ$15,$F$175,1,OFFSET(ORÇAMENTO!$D$15,$F$175,0),CÁLCULO.FrentesPreenchidas),OFFSET(CÁLCULO!$BR$15,$F$175,1,OFFSET(ORÇAMENTO!$D$15,$F$175,0),CÁLCULO.FrentesPreenchidas),"&lt;="&amp;AP$12)/OFFSET(ORÇAMENTO!$X$15,$F$175,0)),
     IF(ACOMPANHAMENTO="BM",SUM(OFFSET($T$13,$F$175+2,1,1,AP$12))/OFFSET($S$13,$F$175,0),"")))</f>
        <v>#DIV/0!</v>
      </c>
      <c r="AQ175" s="532" t="e">
        <f ca="1">IF($F$175="","",
  IF(ACOMPANHAMENTO="PLE",
     IF(AUTOEVENTO="Manual",
         IF(AdmLocal="Automática",
              AQ170,
              SUMIF(OFFSET(CRONOPLE!$F$14,CRONOPLE!$A$8+1,1,1,OFFSET(CRONOPLE!$BE$12,0,-1)),"&lt;="&amp;AQ$12,OFFSET(EVENTOS!$G$14,CRONOPLE!$A$8+1,1,1,OFFSET(CRONOPLE!$BE$12,0,-1)))/OFFSET(EVENTOS!$G$14,CRONOPLE!$A$8+1,-1)),
         SUMIFS(OFFSET(CÁLCULO!$AQ$15,$F$175,1,OFFSET(ORÇAMENTO!$D$15,$F$175,0),CÁLCULO.FrentesPreenchidas),OFFSET(CÁLCULO!$BR$15,$F$175,1,OFFSET(ORÇAMENTO!$D$15,$F$175,0),CÁLCULO.FrentesPreenchidas),"&lt;="&amp;AQ$12)/OFFSET(ORÇAMENTO!$X$15,$F$175,0)),
     IF(ACOMPANHAMENTO="BM",SUM(OFFSET($T$13,$F$175+2,1,1,AQ$12))/OFFSET($S$13,$F$175,0),"")))</f>
        <v>#DIV/0!</v>
      </c>
      <c r="AR175" s="532" t="e">
        <f ca="1">IF($F$175="","",
  IF(ACOMPANHAMENTO="PLE",
     IF(AUTOEVENTO="Manual",
         IF(AdmLocal="Automática",
              AR170,
              SUMIF(OFFSET(CRONOPLE!$F$14,CRONOPLE!$A$8+1,1,1,OFFSET(CRONOPLE!$BE$12,0,-1)),"&lt;="&amp;AR$12,OFFSET(EVENTOS!$G$14,CRONOPLE!$A$8+1,1,1,OFFSET(CRONOPLE!$BE$12,0,-1)))/OFFSET(EVENTOS!$G$14,CRONOPLE!$A$8+1,-1)),
         SUMIFS(OFFSET(CÁLCULO!$AQ$15,$F$175,1,OFFSET(ORÇAMENTO!$D$15,$F$175,0),CÁLCULO.FrentesPreenchidas),OFFSET(CÁLCULO!$BR$15,$F$175,1,OFFSET(ORÇAMENTO!$D$15,$F$175,0),CÁLCULO.FrentesPreenchidas),"&lt;="&amp;AR$12)/OFFSET(ORÇAMENTO!$X$15,$F$175,0)),
     IF(ACOMPANHAMENTO="BM",SUM(OFFSET($T$13,$F$175+2,1,1,AR$12))/OFFSET($S$13,$F$175,0),"")))</f>
        <v>#DIV/0!</v>
      </c>
      <c r="AS175" s="534"/>
    </row>
    <row r="176" spans="1:45" ht="17.100000000000001" customHeight="1" x14ac:dyDescent="0.25">
      <c r="G176" s="185" t="s">
        <v>536</v>
      </c>
      <c r="H176" s="571" t="str" cm="1">
        <f t="array" ref="H176">IF(AND(ACOMPANHAMENTO="BM",$H$175=""),"↑ Não foi indicado o Macrosserviço de Administração Local","")</f>
        <v/>
      </c>
      <c r="T176" s="583" t="str">
        <f ca="1">IF(COUNTIF(U176:AS176,"%Adm&gt;%Global")&gt;0,"Verificar proporcionalidade da Administração Local","")</f>
        <v/>
      </c>
      <c r="U176" s="535" t="e">
        <f ca="1">IF(U175="","",IF(ROUND(U175,4)&gt;ROUND(U170,4),"%Adm&gt;%Global",""))</f>
        <v>#DIV/0!</v>
      </c>
      <c r="V176" s="535" t="e">
        <f t="shared" ref="V176:AS176" ca="1" si="334">IF(V175="","",IF(ROUND(V175,4)&gt;ROUND(V170,4),"%Adm&gt;%Global",""))</f>
        <v>#DIV/0!</v>
      </c>
      <c r="W176" s="535" t="e">
        <f t="shared" ca="1" si="334"/>
        <v>#DIV/0!</v>
      </c>
      <c r="X176" s="535" t="e">
        <f t="shared" ca="1" si="334"/>
        <v>#DIV/0!</v>
      </c>
      <c r="Y176" s="535" t="e">
        <f t="shared" ca="1" si="334"/>
        <v>#DIV/0!</v>
      </c>
      <c r="Z176" s="535" t="e">
        <f t="shared" ca="1" si="334"/>
        <v>#DIV/0!</v>
      </c>
      <c r="AA176" s="535" t="e">
        <f t="shared" ca="1" si="334"/>
        <v>#DIV/0!</v>
      </c>
      <c r="AB176" s="535" t="e">
        <f t="shared" ca="1" si="334"/>
        <v>#DIV/0!</v>
      </c>
      <c r="AC176" s="535" t="e">
        <f t="shared" ca="1" si="334"/>
        <v>#DIV/0!</v>
      </c>
      <c r="AD176" s="535" t="e">
        <f t="shared" ca="1" si="334"/>
        <v>#DIV/0!</v>
      </c>
      <c r="AE176" s="535" t="e">
        <f t="shared" ca="1" si="334"/>
        <v>#DIV/0!</v>
      </c>
      <c r="AF176" s="535" t="e">
        <f t="shared" ca="1" si="334"/>
        <v>#DIV/0!</v>
      </c>
      <c r="AG176" s="535" t="e">
        <f ca="1">IF(AG175="","",IF(ROUND(AG175,4)&gt;ROUND(AG170,4),"%Adm&gt;%Global",""))</f>
        <v>#DIV/0!</v>
      </c>
      <c r="AH176" s="535" t="e">
        <f t="shared" ref="AH176:AR176" ca="1" si="335">IF(AH175="","",IF(ROUND(AH175,4)&gt;ROUND(AH170,4),"%Adm&gt;%Global",""))</f>
        <v>#DIV/0!</v>
      </c>
      <c r="AI176" s="535" t="e">
        <f t="shared" ca="1" si="335"/>
        <v>#DIV/0!</v>
      </c>
      <c r="AJ176" s="535" t="e">
        <f t="shared" ca="1" si="335"/>
        <v>#DIV/0!</v>
      </c>
      <c r="AK176" s="535" t="e">
        <f t="shared" ca="1" si="335"/>
        <v>#DIV/0!</v>
      </c>
      <c r="AL176" s="535" t="e">
        <f t="shared" ca="1" si="335"/>
        <v>#DIV/0!</v>
      </c>
      <c r="AM176" s="535" t="e">
        <f t="shared" ca="1" si="335"/>
        <v>#DIV/0!</v>
      </c>
      <c r="AN176" s="535" t="e">
        <f t="shared" ca="1" si="335"/>
        <v>#DIV/0!</v>
      </c>
      <c r="AO176" s="535" t="e">
        <f t="shared" ca="1" si="335"/>
        <v>#DIV/0!</v>
      </c>
      <c r="AP176" s="535" t="e">
        <f t="shared" ca="1" si="335"/>
        <v>#DIV/0!</v>
      </c>
      <c r="AQ176" s="535" t="e">
        <f t="shared" ca="1" si="335"/>
        <v>#DIV/0!</v>
      </c>
      <c r="AR176" s="535" t="e">
        <f t="shared" ca="1" si="335"/>
        <v>#DIV/0!</v>
      </c>
      <c r="AS176" s="535" t="str">
        <f t="shared" si="334"/>
        <v/>
      </c>
    </row>
    <row r="177" spans="7:44" ht="32.25" customHeight="1" x14ac:dyDescent="0.2">
      <c r="G177" s="185" t="s">
        <v>536</v>
      </c>
      <c r="I177" s="717" t="str">
        <f>Import.Município</f>
        <v>Pedro Régis-PB</v>
      </c>
      <c r="J177" s="717"/>
      <c r="K177" s="717"/>
      <c r="L177" s="717"/>
      <c r="M177" s="717"/>
      <c r="N177" s="717"/>
      <c r="O177" s="717"/>
      <c r="P177" s="717"/>
      <c r="Q177" s="717"/>
      <c r="R177" s="717"/>
      <c r="S177" s="717"/>
      <c r="AA177" s="460"/>
      <c r="AB177" s="460"/>
      <c r="AC177" s="460"/>
      <c r="AD177" s="460"/>
      <c r="AE177" s="462"/>
      <c r="AF177" s="462"/>
      <c r="AM177" s="460"/>
      <c r="AN177" s="460"/>
      <c r="AO177" s="460"/>
      <c r="AP177" s="460"/>
      <c r="AQ177" s="462"/>
      <c r="AR177" s="462"/>
    </row>
    <row r="178" spans="7:44" x14ac:dyDescent="0.2">
      <c r="G178" s="185" t="s">
        <v>536</v>
      </c>
      <c r="I178" s="9" t="s">
        <v>693</v>
      </c>
      <c r="J178"/>
      <c r="K178"/>
      <c r="L178"/>
      <c r="AA178" s="181" t="s">
        <v>696</v>
      </c>
      <c r="AB178" s="181"/>
      <c r="AC178" s="181"/>
      <c r="AD178" s="181"/>
      <c r="AE178" s="185"/>
      <c r="AF178" s="185"/>
      <c r="AM178" s="181" t="s">
        <v>696</v>
      </c>
      <c r="AN178" s="181"/>
      <c r="AO178" s="181"/>
      <c r="AP178" s="181"/>
      <c r="AQ178" s="185"/>
      <c r="AR178" s="185"/>
    </row>
    <row r="179" spans="7:44" x14ac:dyDescent="0.2">
      <c r="G179" s="185" t="s">
        <v>536</v>
      </c>
      <c r="I179"/>
      <c r="J179"/>
      <c r="K179"/>
      <c r="L179"/>
      <c r="AA179" s="398" t="str">
        <f t="array" aca="1" ref="AA179:AA181" ca="1">OFFSET(Import.RespOrçamento,0,-1) &amp; " " &amp; Import.RespOrçamento</f>
        <v>Nome: Thales Mamede Galvão de Oliveira</v>
      </c>
      <c r="AC179"/>
      <c r="AD179" s="79"/>
      <c r="AE179" s="185"/>
      <c r="AF179" s="185"/>
      <c r="AM179" s="398" t="str">
        <f t="array" aca="1" ref="AM179:AM181" ca="1">OFFSET(Import.RespOrçamento,0,-1) &amp; " " &amp; Import.RespOrçamento</f>
        <v>Nome: Thales Mamede Galvão de Oliveira</v>
      </c>
      <c r="AO179"/>
      <c r="AP179" s="79"/>
      <c r="AQ179" s="185"/>
      <c r="AR179" s="185"/>
    </row>
    <row r="180" spans="7:44" x14ac:dyDescent="0.2">
      <c r="G180" s="185" t="s">
        <v>536</v>
      </c>
      <c r="I180" s="770">
        <f>DADOS!$C$25</f>
        <v>45981</v>
      </c>
      <c r="J180" s="770"/>
      <c r="K180" s="770"/>
      <c r="L180" s="180"/>
      <c r="M180" s="245"/>
      <c r="N180" s="245"/>
      <c r="O180" s="245"/>
      <c r="P180" s="245"/>
      <c r="Q180" s="245"/>
      <c r="R180" s="245"/>
      <c r="S180" s="246"/>
      <c r="AA180" s="398" t="str">
        <f ca="1"/>
        <v>CREA/CAU: 162.151.440-4</v>
      </c>
      <c r="AC180" s="79"/>
      <c r="AD180" s="79"/>
      <c r="AE180" s="185"/>
      <c r="AF180" s="185"/>
      <c r="AM180" s="398" t="str">
        <f ca="1"/>
        <v>CREA/CAU: 162.151.440-4</v>
      </c>
      <c r="AO180" s="79"/>
      <c r="AP180" s="79"/>
      <c r="AQ180" s="185"/>
      <c r="AR180" s="185"/>
    </row>
    <row r="181" spans="7:44" x14ac:dyDescent="0.2">
      <c r="G181" s="185" t="s">
        <v>536</v>
      </c>
      <c r="I181" s="9" t="s">
        <v>694</v>
      </c>
      <c r="J181"/>
      <c r="K181"/>
      <c r="L181"/>
      <c r="AA181" s="398" t="str">
        <f ca="1"/>
        <v>ART/RRT: -</v>
      </c>
      <c r="AC181" s="79"/>
      <c r="AD181" s="79"/>
      <c r="AE181" s="185"/>
      <c r="AF181" s="185"/>
      <c r="AM181" s="398" t="str">
        <f ca="1"/>
        <v>ART/RRT: -</v>
      </c>
      <c r="AO181" s="79"/>
      <c r="AP181" s="79"/>
      <c r="AQ181" s="185"/>
      <c r="AR181" s="185"/>
    </row>
  </sheetData>
  <sheetProtection algorithmName="SHA-512" hashValue="YRJ9pT2GRxsClRFLpHClnsSIzTtqnWGIy9WrA/iy8iWQ+JoWu0Hvx9bOGpzhNHuEVb8zPvEephvX7pS3/y106Q==" saltValue="E8F1TTYMvHHnsX8u31+TpQ==" spinCount="100000" sheet="1" objects="1" scenarios="1" autoFilter="0"/>
  <autoFilter ref="G13:G181" xr:uid="{00000000-0009-0000-0000-000007000000}">
    <filterColumn colId="0">
      <customFilters>
        <customFilter operator="notEqual" val=" "/>
      </customFilters>
    </filterColumn>
  </autoFilter>
  <mergeCells count="22">
    <mergeCell ref="T12:T13"/>
    <mergeCell ref="L8:T8"/>
    <mergeCell ref="U8:Y8"/>
    <mergeCell ref="K10:T11"/>
    <mergeCell ref="I165:K166"/>
    <mergeCell ref="H12:H13"/>
    <mergeCell ref="I12:I13"/>
    <mergeCell ref="J12:J13"/>
    <mergeCell ref="I180:K180"/>
    <mergeCell ref="I177:S177"/>
    <mergeCell ref="H175:J175"/>
    <mergeCell ref="S12:S13"/>
    <mergeCell ref="AQ4:AR4"/>
    <mergeCell ref="AQ5:AR5"/>
    <mergeCell ref="AG8:AK8"/>
    <mergeCell ref="AL8:AQ8"/>
    <mergeCell ref="G8:G11"/>
    <mergeCell ref="I8:J8"/>
    <mergeCell ref="H7:H9"/>
    <mergeCell ref="AE4:AF4"/>
    <mergeCell ref="AE5:AF5"/>
    <mergeCell ref="Z8:AE8"/>
  </mergeCells>
  <phoneticPr fontId="38" type="noConversion"/>
  <conditionalFormatting sqref="U12:U13">
    <cfRule type="expression" dxfId="328" priority="16577" stopIfTrue="1">
      <formula>NOT(ISNUMBER(T$12))</formula>
    </cfRule>
  </conditionalFormatting>
  <conditionalFormatting sqref="E2 U2:AR2">
    <cfRule type="expression" dxfId="327" priority="16578" stopIfTrue="1">
      <formula>AND(ISNUMBER($H1),$H1&lt;&gt;0)</formula>
    </cfRule>
  </conditionalFormatting>
  <conditionalFormatting sqref="I2:S2">
    <cfRule type="expression" dxfId="326" priority="16579" stopIfTrue="1">
      <formula>$M1=2</formula>
    </cfRule>
    <cfRule type="expression" dxfId="325" priority="16580" stopIfTrue="1">
      <formula>AND($M1=1,$S1&lt;&gt;"")</formula>
    </cfRule>
  </conditionalFormatting>
  <conditionalFormatting sqref="I1:S1">
    <cfRule type="expression" dxfId="324" priority="16581" stopIfTrue="1">
      <formula>$M1=2</formula>
    </cfRule>
    <cfRule type="expression" dxfId="323" priority="16582" stopIfTrue="1">
      <formula>AND($M1=1,$S1&lt;&gt;"")</formula>
    </cfRule>
  </conditionalFormatting>
  <conditionalFormatting sqref="E165 E167 E169:E170 E172 E174 U174:AR174 U165:AR165 U167:AR167 U169:AR170 U172:AR172">
    <cfRule type="expression" dxfId="322" priority="16583" stopIfTrue="1">
      <formula>D$170=1</formula>
    </cfRule>
  </conditionalFormatting>
  <conditionalFormatting sqref="E166 E168 E171 E173 E175 U166:AR166 U168:AR168 U171:AR171 U173:AR173 U175:AR175">
    <cfRule type="expression" dxfId="321" priority="16584" stopIfTrue="1">
      <formula>D$170=1</formula>
    </cfRule>
  </conditionalFormatting>
  <conditionalFormatting sqref="AF7:AF8 AR7:AR8">
    <cfRule type="expression" dxfId="320" priority="16588" stopIfTrue="1">
      <formula>OR(TIPOORCAMENTO&lt;&gt;"Licitado",QCI.ExisteManual)</formula>
    </cfRule>
  </conditionalFormatting>
  <conditionalFormatting sqref="Z7:AE8">
    <cfRule type="expression" dxfId="319" priority="16576" stopIfTrue="1">
      <formula>QCI.ExisteManual</formula>
    </cfRule>
  </conditionalFormatting>
  <conditionalFormatting sqref="H2">
    <cfRule type="expression" dxfId="318" priority="12722">
      <formula>AND(H1&lt;&gt;0,ISNUMBER(H1))</formula>
    </cfRule>
  </conditionalFormatting>
  <conditionalFormatting sqref="E175 U175:AR175">
    <cfRule type="expression" dxfId="317" priority="12713">
      <formula>ROUND(E175,4)&gt;ROUND(E170,4)</formula>
    </cfRule>
  </conditionalFormatting>
  <conditionalFormatting sqref="H1">
    <cfRule type="expression" dxfId="316" priority="12712">
      <formula>AND(H1&lt;&gt;0,ISNUMBER(H1))</formula>
    </cfRule>
  </conditionalFormatting>
  <conditionalFormatting sqref="H175:J175">
    <cfRule type="expression" dxfId="315" priority="12711">
      <formula>$H$174=""</formula>
    </cfRule>
  </conditionalFormatting>
  <conditionalFormatting sqref="E175">
    <cfRule type="expression" dxfId="314" priority="12704" stopIfTrue="1">
      <formula>D$170=1</formula>
    </cfRule>
  </conditionalFormatting>
  <conditionalFormatting sqref="E1">
    <cfRule type="expression" dxfId="313" priority="12701" stopIfTrue="1">
      <formula>E1&lt;&gt;0</formula>
    </cfRule>
  </conditionalFormatting>
  <conditionalFormatting sqref="E2">
    <cfRule type="expression" dxfId="312" priority="12700">
      <formula>AND(_xlfn.SINGLE(ACOMPANHAMENTO)="BM",E2&gt;ROUND(E2,4))</formula>
    </cfRule>
  </conditionalFormatting>
  <conditionalFormatting sqref="E175">
    <cfRule type="expression" dxfId="311" priority="12699" stopIfTrue="1">
      <formula>D$170=1</formula>
    </cfRule>
  </conditionalFormatting>
  <conditionalFormatting sqref="U1:AR1">
    <cfRule type="expression" dxfId="310" priority="2655" stopIfTrue="1">
      <formula>U1&lt;&gt;0</formula>
    </cfRule>
  </conditionalFormatting>
  <conditionalFormatting sqref="U2:AR2">
    <cfRule type="expression" dxfId="309" priority="2654">
      <formula>AND(_xlfn.SINGLE(ACOMPANHAMENTO)="BM",U2&gt;ROUND(U2,4))</formula>
    </cfRule>
  </conditionalFormatting>
  <conditionalFormatting sqref="E15 E18 E21 U15:AR15 U18:AR18 U21:AR21">
    <cfRule type="expression" dxfId="308" priority="185" stopIfTrue="1">
      <formula>AND(ISNUMBER($H14),$H14&lt;&gt;0)</formula>
    </cfRule>
  </conditionalFormatting>
  <conditionalFormatting sqref="I15:S15 I18:S18 I21:S21">
    <cfRule type="expression" dxfId="307" priority="186" stopIfTrue="1">
      <formula>$M14=2</formula>
    </cfRule>
    <cfRule type="expression" dxfId="306" priority="187" stopIfTrue="1">
      <formula>AND($M14=1,$S14&lt;&gt;"")</formula>
    </cfRule>
  </conditionalFormatting>
  <conditionalFormatting sqref="I14:S14 I17:S17 I20:S20">
    <cfRule type="expression" dxfId="305" priority="188" stopIfTrue="1">
      <formula>$M14=2</formula>
    </cfRule>
    <cfRule type="expression" dxfId="304" priority="189" stopIfTrue="1">
      <formula>AND($M14=1,$S14&lt;&gt;"")</formula>
    </cfRule>
  </conditionalFormatting>
  <conditionalFormatting sqref="H15 H18 H21">
    <cfRule type="expression" dxfId="303" priority="184">
      <formula>AND(H14&lt;&gt;0,ISNUMBER(H14))</formula>
    </cfRule>
  </conditionalFormatting>
  <conditionalFormatting sqref="H14 H17 H20">
    <cfRule type="expression" dxfId="302" priority="183">
      <formula>AND(H14&lt;&gt;0,ISNUMBER(H14))</formula>
    </cfRule>
  </conditionalFormatting>
  <conditionalFormatting sqref="E14 E17 E20">
    <cfRule type="expression" dxfId="301" priority="182" stopIfTrue="1">
      <formula>E14&lt;&gt;0</formula>
    </cfRule>
  </conditionalFormatting>
  <conditionalFormatting sqref="E15 E18 E21">
    <cfRule type="expression" dxfId="300" priority="181">
      <formula>AND(_xlfn.SINGLE(ACOMPANHAMENTO)="BM",E15&gt;ROUND(E15,4))</formula>
    </cfRule>
  </conditionalFormatting>
  <conditionalFormatting sqref="U14:AR14 U17:AR17 U20:AR20">
    <cfRule type="expression" dxfId="299" priority="180" stopIfTrue="1">
      <formula>U14&lt;&gt;0</formula>
    </cfRule>
  </conditionalFormatting>
  <conditionalFormatting sqref="U15:AR15 U18:AR18 U21:AR21">
    <cfRule type="expression" dxfId="298" priority="179">
      <formula>AND(_xlfn.SINGLE(ACOMPANHAMENTO)="BM",U15&gt;ROUND(U15,4))</formula>
    </cfRule>
  </conditionalFormatting>
  <conditionalFormatting sqref="E24 E27 E30 U24:AR24 U27:AR27 U30:AR30">
    <cfRule type="expression" dxfId="297" priority="174" stopIfTrue="1">
      <formula>AND(ISNUMBER($H23),$H23&lt;&gt;0)</formula>
    </cfRule>
  </conditionalFormatting>
  <conditionalFormatting sqref="I24:S24 I27:S27 I30:S30">
    <cfRule type="expression" dxfId="296" priority="175" stopIfTrue="1">
      <formula>$M23=2</formula>
    </cfRule>
    <cfRule type="expression" dxfId="295" priority="176" stopIfTrue="1">
      <formula>AND($M23=1,$S23&lt;&gt;"")</formula>
    </cfRule>
  </conditionalFormatting>
  <conditionalFormatting sqref="I23:S23 I26:S26 I29:S29">
    <cfRule type="expression" dxfId="294" priority="177" stopIfTrue="1">
      <formula>$M23=2</formula>
    </cfRule>
    <cfRule type="expression" dxfId="293" priority="178" stopIfTrue="1">
      <formula>AND($M23=1,$S23&lt;&gt;"")</formula>
    </cfRule>
  </conditionalFormatting>
  <conditionalFormatting sqref="H24 H27 H30">
    <cfRule type="expression" dxfId="292" priority="173">
      <formula>AND(H23&lt;&gt;0,ISNUMBER(H23))</formula>
    </cfRule>
  </conditionalFormatting>
  <conditionalFormatting sqref="H23 H26 H29">
    <cfRule type="expression" dxfId="291" priority="172">
      <formula>AND(H23&lt;&gt;0,ISNUMBER(H23))</formula>
    </cfRule>
  </conditionalFormatting>
  <conditionalFormatting sqref="E23 E26 E29">
    <cfRule type="expression" dxfId="290" priority="171" stopIfTrue="1">
      <formula>E23&lt;&gt;0</formula>
    </cfRule>
  </conditionalFormatting>
  <conditionalFormatting sqref="E24 E27 E30">
    <cfRule type="expression" dxfId="289" priority="170">
      <formula>AND(_xlfn.SINGLE(ACOMPANHAMENTO)="BM",E24&gt;ROUND(E24,4))</formula>
    </cfRule>
  </conditionalFormatting>
  <conditionalFormatting sqref="U23:AR23 U26:AR26 U29:AR29">
    <cfRule type="expression" dxfId="288" priority="169" stopIfTrue="1">
      <formula>U23&lt;&gt;0</formula>
    </cfRule>
  </conditionalFormatting>
  <conditionalFormatting sqref="U24:AR24 U27:AR27 U30:AR30">
    <cfRule type="expression" dxfId="287" priority="168">
      <formula>AND(_xlfn.SINGLE(ACOMPANHAMENTO)="BM",U24&gt;ROUND(U24,4))</formula>
    </cfRule>
  </conditionalFormatting>
  <conditionalFormatting sqref="E33 E36 E39 U33:AR33 U36:AR36 U39:AR39">
    <cfRule type="expression" dxfId="286" priority="163" stopIfTrue="1">
      <formula>AND(ISNUMBER($H32),$H32&lt;&gt;0)</formula>
    </cfRule>
  </conditionalFormatting>
  <conditionalFormatting sqref="I33:S33 I36:S36 I39:S39">
    <cfRule type="expression" dxfId="285" priority="164" stopIfTrue="1">
      <formula>$M32=2</formula>
    </cfRule>
    <cfRule type="expression" dxfId="284" priority="165" stopIfTrue="1">
      <formula>AND($M32=1,$S32&lt;&gt;"")</formula>
    </cfRule>
  </conditionalFormatting>
  <conditionalFormatting sqref="I32:S32 I35:S35 I38:S38">
    <cfRule type="expression" dxfId="283" priority="166" stopIfTrue="1">
      <formula>$M32=2</formula>
    </cfRule>
    <cfRule type="expression" dxfId="282" priority="167" stopIfTrue="1">
      <formula>AND($M32=1,$S32&lt;&gt;"")</formula>
    </cfRule>
  </conditionalFormatting>
  <conditionalFormatting sqref="H33 H36 H39">
    <cfRule type="expression" dxfId="281" priority="162">
      <formula>AND(H32&lt;&gt;0,ISNUMBER(H32))</formula>
    </cfRule>
  </conditionalFormatting>
  <conditionalFormatting sqref="H32 H35 H38">
    <cfRule type="expression" dxfId="280" priority="161">
      <formula>AND(H32&lt;&gt;0,ISNUMBER(H32))</formula>
    </cfRule>
  </conditionalFormatting>
  <conditionalFormatting sqref="E32 E35 E38">
    <cfRule type="expression" dxfId="279" priority="160" stopIfTrue="1">
      <formula>E32&lt;&gt;0</formula>
    </cfRule>
  </conditionalFormatting>
  <conditionalFormatting sqref="E33 E36 E39">
    <cfRule type="expression" dxfId="278" priority="159">
      <formula>AND(_xlfn.SINGLE(ACOMPANHAMENTO)="BM",E33&gt;ROUND(E33,4))</formula>
    </cfRule>
  </conditionalFormatting>
  <conditionalFormatting sqref="U32:AR32 U35:AR35 U38:AR38">
    <cfRule type="expression" dxfId="277" priority="158" stopIfTrue="1">
      <formula>U32&lt;&gt;0</formula>
    </cfRule>
  </conditionalFormatting>
  <conditionalFormatting sqref="U33:AR33 U36:AR36 U39:AR39">
    <cfRule type="expression" dxfId="276" priority="157">
      <formula>AND(_xlfn.SINGLE(ACOMPANHAMENTO)="BM",U33&gt;ROUND(U33,4))</formula>
    </cfRule>
  </conditionalFormatting>
  <conditionalFormatting sqref="E42 E45 E48 U42:AR42 U45:AR45 U48:AR48">
    <cfRule type="expression" dxfId="275" priority="152" stopIfTrue="1">
      <formula>AND(ISNUMBER($H41),$H41&lt;&gt;0)</formula>
    </cfRule>
  </conditionalFormatting>
  <conditionalFormatting sqref="I42:S42 I45:S45 I48:S48">
    <cfRule type="expression" dxfId="274" priority="153" stopIfTrue="1">
      <formula>$M41=2</formula>
    </cfRule>
    <cfRule type="expression" dxfId="273" priority="154" stopIfTrue="1">
      <formula>AND($M41=1,$S41&lt;&gt;"")</formula>
    </cfRule>
  </conditionalFormatting>
  <conditionalFormatting sqref="I41:S41 I44:S44 I47:S47">
    <cfRule type="expression" dxfId="272" priority="155" stopIfTrue="1">
      <formula>$M41=2</formula>
    </cfRule>
    <cfRule type="expression" dxfId="271" priority="156" stopIfTrue="1">
      <formula>AND($M41=1,$S41&lt;&gt;"")</formula>
    </cfRule>
  </conditionalFormatting>
  <conditionalFormatting sqref="H42 H45 H48">
    <cfRule type="expression" dxfId="270" priority="151">
      <formula>AND(H41&lt;&gt;0,ISNUMBER(H41))</formula>
    </cfRule>
  </conditionalFormatting>
  <conditionalFormatting sqref="H41 H44 H47">
    <cfRule type="expression" dxfId="269" priority="150">
      <formula>AND(H41&lt;&gt;0,ISNUMBER(H41))</formula>
    </cfRule>
  </conditionalFormatting>
  <conditionalFormatting sqref="E41 E44 E47">
    <cfRule type="expression" dxfId="268" priority="149" stopIfTrue="1">
      <formula>E41&lt;&gt;0</formula>
    </cfRule>
  </conditionalFormatting>
  <conditionalFormatting sqref="E42 E45 E48">
    <cfRule type="expression" dxfId="267" priority="148">
      <formula>AND(_xlfn.SINGLE(ACOMPANHAMENTO)="BM",E42&gt;ROUND(E42,4))</formula>
    </cfRule>
  </conditionalFormatting>
  <conditionalFormatting sqref="U41:AR41 U44:AR44 U47:AR47">
    <cfRule type="expression" dxfId="266" priority="147" stopIfTrue="1">
      <formula>U41&lt;&gt;0</formula>
    </cfRule>
  </conditionalFormatting>
  <conditionalFormatting sqref="U42:AR42 U45:AR45 U48:AR48">
    <cfRule type="expression" dxfId="265" priority="146">
      <formula>AND(_xlfn.SINGLE(ACOMPANHAMENTO)="BM",U42&gt;ROUND(U42,4))</formula>
    </cfRule>
  </conditionalFormatting>
  <conditionalFormatting sqref="E51 E54 E57 U51:AR51 U54:AR54 U57:AR57">
    <cfRule type="expression" dxfId="264" priority="141" stopIfTrue="1">
      <formula>AND(ISNUMBER($H50),$H50&lt;&gt;0)</formula>
    </cfRule>
  </conditionalFormatting>
  <conditionalFormatting sqref="I51:S51 I54:S54 I57:S57">
    <cfRule type="expression" dxfId="263" priority="142" stopIfTrue="1">
      <formula>$M50=2</formula>
    </cfRule>
    <cfRule type="expression" dxfId="262" priority="143" stopIfTrue="1">
      <formula>AND($M50=1,$S50&lt;&gt;"")</formula>
    </cfRule>
  </conditionalFormatting>
  <conditionalFormatting sqref="I50:S50 I53:S53 I56:S56">
    <cfRule type="expression" dxfId="261" priority="144" stopIfTrue="1">
      <formula>$M50=2</formula>
    </cfRule>
    <cfRule type="expression" dxfId="260" priority="145" stopIfTrue="1">
      <formula>AND($M50=1,$S50&lt;&gt;"")</formula>
    </cfRule>
  </conditionalFormatting>
  <conditionalFormatting sqref="H51 H54 H57">
    <cfRule type="expression" dxfId="259" priority="140">
      <formula>AND(H50&lt;&gt;0,ISNUMBER(H50))</formula>
    </cfRule>
  </conditionalFormatting>
  <conditionalFormatting sqref="H50 H53 H56">
    <cfRule type="expression" dxfId="258" priority="139">
      <formula>AND(H50&lt;&gt;0,ISNUMBER(H50))</formula>
    </cfRule>
  </conditionalFormatting>
  <conditionalFormatting sqref="E50 E53 E56">
    <cfRule type="expression" dxfId="257" priority="138" stopIfTrue="1">
      <formula>E50&lt;&gt;0</formula>
    </cfRule>
  </conditionalFormatting>
  <conditionalFormatting sqref="E51 E54 E57">
    <cfRule type="expression" dxfId="256" priority="137">
      <formula>AND(_xlfn.SINGLE(ACOMPANHAMENTO)="BM",E51&gt;ROUND(E51,4))</formula>
    </cfRule>
  </conditionalFormatting>
  <conditionalFormatting sqref="U50:AR50 U53:AR53 U56:AR56">
    <cfRule type="expression" dxfId="255" priority="136" stopIfTrue="1">
      <formula>U50&lt;&gt;0</formula>
    </cfRule>
  </conditionalFormatting>
  <conditionalFormatting sqref="U51:AR51 U54:AR54 U57:AR57">
    <cfRule type="expression" dxfId="254" priority="135">
      <formula>AND(_xlfn.SINGLE(ACOMPANHAMENTO)="BM",U51&gt;ROUND(U51,4))</formula>
    </cfRule>
  </conditionalFormatting>
  <conditionalFormatting sqref="E60 E63 E66 U60:AR60 U63:AR63 U66:AR66">
    <cfRule type="expression" dxfId="253" priority="130" stopIfTrue="1">
      <formula>AND(ISNUMBER($H59),$H59&lt;&gt;0)</formula>
    </cfRule>
  </conditionalFormatting>
  <conditionalFormatting sqref="I60:S60 I63:S63 I66:S66">
    <cfRule type="expression" dxfId="252" priority="131" stopIfTrue="1">
      <formula>$M59=2</formula>
    </cfRule>
    <cfRule type="expression" dxfId="251" priority="132" stopIfTrue="1">
      <formula>AND($M59=1,$S59&lt;&gt;"")</formula>
    </cfRule>
  </conditionalFormatting>
  <conditionalFormatting sqref="I59:S59 I62:S62 I65:S65">
    <cfRule type="expression" dxfId="250" priority="133" stopIfTrue="1">
      <formula>$M59=2</formula>
    </cfRule>
    <cfRule type="expression" dxfId="249" priority="134" stopIfTrue="1">
      <formula>AND($M59=1,$S59&lt;&gt;"")</formula>
    </cfRule>
  </conditionalFormatting>
  <conditionalFormatting sqref="H60 H63 H66">
    <cfRule type="expression" dxfId="248" priority="129">
      <formula>AND(H59&lt;&gt;0,ISNUMBER(H59))</formula>
    </cfRule>
  </conditionalFormatting>
  <conditionalFormatting sqref="H59 H62 H65">
    <cfRule type="expression" dxfId="247" priority="128">
      <formula>AND(H59&lt;&gt;0,ISNUMBER(H59))</formula>
    </cfRule>
  </conditionalFormatting>
  <conditionalFormatting sqref="E59 E62 E65">
    <cfRule type="expression" dxfId="246" priority="127" stopIfTrue="1">
      <formula>E59&lt;&gt;0</formula>
    </cfRule>
  </conditionalFormatting>
  <conditionalFormatting sqref="E60 E63 E66">
    <cfRule type="expression" dxfId="245" priority="126">
      <formula>AND(_xlfn.SINGLE(ACOMPANHAMENTO)="BM",E60&gt;ROUND(E60,4))</formula>
    </cfRule>
  </conditionalFormatting>
  <conditionalFormatting sqref="U59:AR59 U62:AR62 U65:AR65">
    <cfRule type="expression" dxfId="244" priority="125" stopIfTrue="1">
      <formula>U59&lt;&gt;0</formula>
    </cfRule>
  </conditionalFormatting>
  <conditionalFormatting sqref="U60:AR60 U63:AR63 U66:AR66">
    <cfRule type="expression" dxfId="243" priority="124">
      <formula>AND(_xlfn.SINGLE(ACOMPANHAMENTO)="BM",U60&gt;ROUND(U60,4))</formula>
    </cfRule>
  </conditionalFormatting>
  <conditionalFormatting sqref="E69 E72 E75 U69:AR69 U72:AR72 U75:AR75">
    <cfRule type="expression" dxfId="242" priority="119" stopIfTrue="1">
      <formula>AND(ISNUMBER($H68),$H68&lt;&gt;0)</formula>
    </cfRule>
  </conditionalFormatting>
  <conditionalFormatting sqref="I69:S69 I72:S72 I75:S75">
    <cfRule type="expression" dxfId="241" priority="120" stopIfTrue="1">
      <formula>$M68=2</formula>
    </cfRule>
    <cfRule type="expression" dxfId="240" priority="121" stopIfTrue="1">
      <formula>AND($M68=1,$S68&lt;&gt;"")</formula>
    </cfRule>
  </conditionalFormatting>
  <conditionalFormatting sqref="I68:S68 I71:S71 I74:S74">
    <cfRule type="expression" dxfId="239" priority="122" stopIfTrue="1">
      <formula>$M68=2</formula>
    </cfRule>
    <cfRule type="expression" dxfId="238" priority="123" stopIfTrue="1">
      <formula>AND($M68=1,$S68&lt;&gt;"")</formula>
    </cfRule>
  </conditionalFormatting>
  <conditionalFormatting sqref="H69 H72 H75">
    <cfRule type="expression" dxfId="237" priority="118">
      <formula>AND(H68&lt;&gt;0,ISNUMBER(H68))</formula>
    </cfRule>
  </conditionalFormatting>
  <conditionalFormatting sqref="H68 H71 H74">
    <cfRule type="expression" dxfId="236" priority="117">
      <formula>AND(H68&lt;&gt;0,ISNUMBER(H68))</formula>
    </cfRule>
  </conditionalFormatting>
  <conditionalFormatting sqref="E68 E71 E74">
    <cfRule type="expression" dxfId="235" priority="116" stopIfTrue="1">
      <formula>E68&lt;&gt;0</formula>
    </cfRule>
  </conditionalFormatting>
  <conditionalFormatting sqref="E69 E72 E75">
    <cfRule type="expression" dxfId="234" priority="115">
      <formula>AND(_xlfn.SINGLE(ACOMPANHAMENTO)="BM",E69&gt;ROUND(E69,4))</formula>
    </cfRule>
  </conditionalFormatting>
  <conditionalFormatting sqref="U68:AR68 U71:AR71 U74:AR74">
    <cfRule type="expression" dxfId="233" priority="114" stopIfTrue="1">
      <formula>U68&lt;&gt;0</formula>
    </cfRule>
  </conditionalFormatting>
  <conditionalFormatting sqref="U69:AR69 U72:AR72 U75:AR75">
    <cfRule type="expression" dxfId="232" priority="113">
      <formula>AND(_xlfn.SINGLE(ACOMPANHAMENTO)="BM",U69&gt;ROUND(U69,4))</formula>
    </cfRule>
  </conditionalFormatting>
  <conditionalFormatting sqref="E78 E81 E84 U78:AR78 U81:AR81 U84:AR84">
    <cfRule type="expression" dxfId="231" priority="108" stopIfTrue="1">
      <formula>AND(ISNUMBER($H77),$H77&lt;&gt;0)</formula>
    </cfRule>
  </conditionalFormatting>
  <conditionalFormatting sqref="I78:S78 I81:S81 I84:S84">
    <cfRule type="expression" dxfId="230" priority="109" stopIfTrue="1">
      <formula>$M77=2</formula>
    </cfRule>
    <cfRule type="expression" dxfId="229" priority="110" stopIfTrue="1">
      <formula>AND($M77=1,$S77&lt;&gt;"")</formula>
    </cfRule>
  </conditionalFormatting>
  <conditionalFormatting sqref="I77:S77 I80:S80 I83:S83">
    <cfRule type="expression" dxfId="228" priority="111" stopIfTrue="1">
      <formula>$M77=2</formula>
    </cfRule>
    <cfRule type="expression" dxfId="227" priority="112" stopIfTrue="1">
      <formula>AND($M77=1,$S77&lt;&gt;"")</formula>
    </cfRule>
  </conditionalFormatting>
  <conditionalFormatting sqref="H78 H81 H84">
    <cfRule type="expression" dxfId="226" priority="107">
      <formula>AND(H77&lt;&gt;0,ISNUMBER(H77))</formula>
    </cfRule>
  </conditionalFormatting>
  <conditionalFormatting sqref="H77 H80 H83">
    <cfRule type="expression" dxfId="225" priority="106">
      <formula>AND(H77&lt;&gt;0,ISNUMBER(H77))</formula>
    </cfRule>
  </conditionalFormatting>
  <conditionalFormatting sqref="E77 E80 E83">
    <cfRule type="expression" dxfId="224" priority="105" stopIfTrue="1">
      <formula>E77&lt;&gt;0</formula>
    </cfRule>
  </conditionalFormatting>
  <conditionalFormatting sqref="E78 E81 E84">
    <cfRule type="expression" dxfId="223" priority="104">
      <formula>AND(_xlfn.SINGLE(ACOMPANHAMENTO)="BM",E78&gt;ROUND(E78,4))</formula>
    </cfRule>
  </conditionalFormatting>
  <conditionalFormatting sqref="U77:AR77 U80:AR80 U83:AR83">
    <cfRule type="expression" dxfId="222" priority="103" stopIfTrue="1">
      <formula>U77&lt;&gt;0</formula>
    </cfRule>
  </conditionalFormatting>
  <conditionalFormatting sqref="U78:AR78 U81:AR81 U84:AR84">
    <cfRule type="expression" dxfId="221" priority="102">
      <formula>AND(_xlfn.SINGLE(ACOMPANHAMENTO)="BM",U78&gt;ROUND(U78,4))</formula>
    </cfRule>
  </conditionalFormatting>
  <conditionalFormatting sqref="E87 E90 E93 U87:AR87 U90:AR90 U93:AR93">
    <cfRule type="expression" dxfId="220" priority="97" stopIfTrue="1">
      <formula>AND(ISNUMBER($H86),$H86&lt;&gt;0)</formula>
    </cfRule>
  </conditionalFormatting>
  <conditionalFormatting sqref="I87:S87 I90:S90 I93:S93">
    <cfRule type="expression" dxfId="219" priority="98" stopIfTrue="1">
      <formula>$M86=2</formula>
    </cfRule>
    <cfRule type="expression" dxfId="218" priority="99" stopIfTrue="1">
      <formula>AND($M86=1,$S86&lt;&gt;"")</formula>
    </cfRule>
  </conditionalFormatting>
  <conditionalFormatting sqref="I86:S86 I89:S89 I92:S92">
    <cfRule type="expression" dxfId="217" priority="100" stopIfTrue="1">
      <formula>$M86=2</formula>
    </cfRule>
    <cfRule type="expression" dxfId="216" priority="101" stopIfTrue="1">
      <formula>AND($M86=1,$S86&lt;&gt;"")</formula>
    </cfRule>
  </conditionalFormatting>
  <conditionalFormatting sqref="H87 H90 H93">
    <cfRule type="expression" dxfId="215" priority="96">
      <formula>AND(H86&lt;&gt;0,ISNUMBER(H86))</formula>
    </cfRule>
  </conditionalFormatting>
  <conditionalFormatting sqref="H86 H89 H92">
    <cfRule type="expression" dxfId="214" priority="95">
      <formula>AND(H86&lt;&gt;0,ISNUMBER(H86))</formula>
    </cfRule>
  </conditionalFormatting>
  <conditionalFormatting sqref="E86 E89 E92">
    <cfRule type="expression" dxfId="213" priority="94" stopIfTrue="1">
      <formula>E86&lt;&gt;0</formula>
    </cfRule>
  </conditionalFormatting>
  <conditionalFormatting sqref="E87 E90 E93">
    <cfRule type="expression" dxfId="212" priority="93">
      <formula>AND(_xlfn.SINGLE(ACOMPANHAMENTO)="BM",E87&gt;ROUND(E87,4))</formula>
    </cfRule>
  </conditionalFormatting>
  <conditionalFormatting sqref="U86:AR86 U89:AR89 U92:AR92">
    <cfRule type="expression" dxfId="211" priority="92" stopIfTrue="1">
      <formula>U86&lt;&gt;0</formula>
    </cfRule>
  </conditionalFormatting>
  <conditionalFormatting sqref="U87:AR87 U90:AR90 U93:AR93">
    <cfRule type="expression" dxfId="210" priority="91">
      <formula>AND(_xlfn.SINGLE(ACOMPANHAMENTO)="BM",U87&gt;ROUND(U87,4))</formula>
    </cfRule>
  </conditionalFormatting>
  <conditionalFormatting sqref="E96 E99 E102 U96:AR96 U99:AR99 U102:AR102">
    <cfRule type="expression" dxfId="209" priority="86" stopIfTrue="1">
      <formula>AND(ISNUMBER($H95),$H95&lt;&gt;0)</formula>
    </cfRule>
  </conditionalFormatting>
  <conditionalFormatting sqref="I96:S96 I99:S99 I102:S102">
    <cfRule type="expression" dxfId="208" priority="87" stopIfTrue="1">
      <formula>$M95=2</formula>
    </cfRule>
    <cfRule type="expression" dxfId="207" priority="88" stopIfTrue="1">
      <formula>AND($M95=1,$S95&lt;&gt;"")</formula>
    </cfRule>
  </conditionalFormatting>
  <conditionalFormatting sqref="I95:S95 I98:S98 I101:S101">
    <cfRule type="expression" dxfId="206" priority="89" stopIfTrue="1">
      <formula>$M95=2</formula>
    </cfRule>
    <cfRule type="expression" dxfId="205" priority="90" stopIfTrue="1">
      <formula>AND($M95=1,$S95&lt;&gt;"")</formula>
    </cfRule>
  </conditionalFormatting>
  <conditionalFormatting sqref="H96 H99 H102">
    <cfRule type="expression" dxfId="204" priority="85">
      <formula>AND(H95&lt;&gt;0,ISNUMBER(H95))</formula>
    </cfRule>
  </conditionalFormatting>
  <conditionalFormatting sqref="H95 H98 H101">
    <cfRule type="expression" dxfId="203" priority="84">
      <formula>AND(H95&lt;&gt;0,ISNUMBER(H95))</formula>
    </cfRule>
  </conditionalFormatting>
  <conditionalFormatting sqref="E95 E98 E101">
    <cfRule type="expression" dxfId="202" priority="83" stopIfTrue="1">
      <formula>E95&lt;&gt;0</formula>
    </cfRule>
  </conditionalFormatting>
  <conditionalFormatting sqref="E96 E99 E102">
    <cfRule type="expression" dxfId="201" priority="82">
      <formula>AND(_xlfn.SINGLE(ACOMPANHAMENTO)="BM",E96&gt;ROUND(E96,4))</formula>
    </cfRule>
  </conditionalFormatting>
  <conditionalFormatting sqref="U95:AR95 U98:AR98 U101:AR101">
    <cfRule type="expression" dxfId="200" priority="81" stopIfTrue="1">
      <formula>U95&lt;&gt;0</formula>
    </cfRule>
  </conditionalFormatting>
  <conditionalFormatting sqref="U96:AR96 U99:AR99 U102:AR102">
    <cfRule type="expression" dxfId="199" priority="80">
      <formula>AND(_xlfn.SINGLE(ACOMPANHAMENTO)="BM",U96&gt;ROUND(U96,4))</formula>
    </cfRule>
  </conditionalFormatting>
  <conditionalFormatting sqref="E105 E108 E111 U105:AR105 U108:AR108 U111:AR111">
    <cfRule type="expression" dxfId="198" priority="75" stopIfTrue="1">
      <formula>AND(ISNUMBER($H104),$H104&lt;&gt;0)</formula>
    </cfRule>
  </conditionalFormatting>
  <conditionalFormatting sqref="I105:S105 I108:S108 I111:S111">
    <cfRule type="expression" dxfId="197" priority="76" stopIfTrue="1">
      <formula>$M104=2</formula>
    </cfRule>
    <cfRule type="expression" dxfId="196" priority="77" stopIfTrue="1">
      <formula>AND($M104=1,$S104&lt;&gt;"")</formula>
    </cfRule>
  </conditionalFormatting>
  <conditionalFormatting sqref="I104:S104 I107:S107 I110:S110">
    <cfRule type="expression" dxfId="195" priority="78" stopIfTrue="1">
      <formula>$M104=2</formula>
    </cfRule>
    <cfRule type="expression" dxfId="194" priority="79" stopIfTrue="1">
      <formula>AND($M104=1,$S104&lt;&gt;"")</formula>
    </cfRule>
  </conditionalFormatting>
  <conditionalFormatting sqref="H105 H108 H111">
    <cfRule type="expression" dxfId="193" priority="74">
      <formula>AND(H104&lt;&gt;0,ISNUMBER(H104))</formula>
    </cfRule>
  </conditionalFormatting>
  <conditionalFormatting sqref="H104 H107 H110">
    <cfRule type="expression" dxfId="192" priority="73">
      <formula>AND(H104&lt;&gt;0,ISNUMBER(H104))</formula>
    </cfRule>
  </conditionalFormatting>
  <conditionalFormatting sqref="E104 E107 E110">
    <cfRule type="expression" dxfId="191" priority="72" stopIfTrue="1">
      <formula>E104&lt;&gt;0</formula>
    </cfRule>
  </conditionalFormatting>
  <conditionalFormatting sqref="E105 E108 E111">
    <cfRule type="expression" dxfId="190" priority="71">
      <formula>AND(_xlfn.SINGLE(ACOMPANHAMENTO)="BM",E105&gt;ROUND(E105,4))</formula>
    </cfRule>
  </conditionalFormatting>
  <conditionalFormatting sqref="U104:AR104 U107:AR107 U110:AR110">
    <cfRule type="expression" dxfId="189" priority="70" stopIfTrue="1">
      <formula>U104&lt;&gt;0</formula>
    </cfRule>
  </conditionalFormatting>
  <conditionalFormatting sqref="U105:AR105 U108:AR108 U111:AR111">
    <cfRule type="expression" dxfId="188" priority="69">
      <formula>AND(_xlfn.SINGLE(ACOMPANHAMENTO)="BM",U105&gt;ROUND(U105,4))</formula>
    </cfRule>
  </conditionalFormatting>
  <conditionalFormatting sqref="E114 E117 E120 U114:AR114 U117:AR117 U120:AR120">
    <cfRule type="expression" dxfId="187" priority="64" stopIfTrue="1">
      <formula>AND(ISNUMBER($H113),$H113&lt;&gt;0)</formula>
    </cfRule>
  </conditionalFormatting>
  <conditionalFormatting sqref="I114:S114 I117:S117 I120:S120">
    <cfRule type="expression" dxfId="186" priority="65" stopIfTrue="1">
      <formula>$M113=2</formula>
    </cfRule>
    <cfRule type="expression" dxfId="185" priority="66" stopIfTrue="1">
      <formula>AND($M113=1,$S113&lt;&gt;"")</formula>
    </cfRule>
  </conditionalFormatting>
  <conditionalFormatting sqref="I113:S113 I116:S116 I119:S119">
    <cfRule type="expression" dxfId="184" priority="67" stopIfTrue="1">
      <formula>$M113=2</formula>
    </cfRule>
    <cfRule type="expression" dxfId="183" priority="68" stopIfTrue="1">
      <formula>AND($M113=1,$S113&lt;&gt;"")</formula>
    </cfRule>
  </conditionalFormatting>
  <conditionalFormatting sqref="H114 H117 H120">
    <cfRule type="expression" dxfId="182" priority="63">
      <formula>AND(H113&lt;&gt;0,ISNUMBER(H113))</formula>
    </cfRule>
  </conditionalFormatting>
  <conditionalFormatting sqref="H113 H116 H119">
    <cfRule type="expression" dxfId="181" priority="62">
      <formula>AND(H113&lt;&gt;0,ISNUMBER(H113))</formula>
    </cfRule>
  </conditionalFormatting>
  <conditionalFormatting sqref="E113 E116 E119">
    <cfRule type="expression" dxfId="180" priority="61" stopIfTrue="1">
      <formula>E113&lt;&gt;0</formula>
    </cfRule>
  </conditionalFormatting>
  <conditionalFormatting sqref="E114 E117 E120">
    <cfRule type="expression" dxfId="179" priority="60">
      <formula>AND(_xlfn.SINGLE(ACOMPANHAMENTO)="BM",E114&gt;ROUND(E114,4))</formula>
    </cfRule>
  </conditionalFormatting>
  <conditionalFormatting sqref="U113:AR113 U116:AR116 U119:AR119">
    <cfRule type="expression" dxfId="178" priority="59" stopIfTrue="1">
      <formula>U113&lt;&gt;0</formula>
    </cfRule>
  </conditionalFormatting>
  <conditionalFormatting sqref="U114:AR114 U117:AR117 U120:AR120">
    <cfRule type="expression" dxfId="177" priority="58">
      <formula>AND(_xlfn.SINGLE(ACOMPANHAMENTO)="BM",U114&gt;ROUND(U114,4))</formula>
    </cfRule>
  </conditionalFormatting>
  <conditionalFormatting sqref="E123 E126 E129 U123:AR123 U126:AR126 U129:AR129">
    <cfRule type="expression" dxfId="176" priority="53" stopIfTrue="1">
      <formula>AND(ISNUMBER($H122),$H122&lt;&gt;0)</formula>
    </cfRule>
  </conditionalFormatting>
  <conditionalFormatting sqref="I123:S123 I126:S126 I129:S129">
    <cfRule type="expression" dxfId="175" priority="54" stopIfTrue="1">
      <formula>$M122=2</formula>
    </cfRule>
    <cfRule type="expression" dxfId="174" priority="55" stopIfTrue="1">
      <formula>AND($M122=1,$S122&lt;&gt;"")</formula>
    </cfRule>
  </conditionalFormatting>
  <conditionalFormatting sqref="I122:S122 I125:S125 I128:S128">
    <cfRule type="expression" dxfId="173" priority="56" stopIfTrue="1">
      <formula>$M122=2</formula>
    </cfRule>
    <cfRule type="expression" dxfId="172" priority="57" stopIfTrue="1">
      <formula>AND($M122=1,$S122&lt;&gt;"")</formula>
    </cfRule>
  </conditionalFormatting>
  <conditionalFormatting sqref="H123 H126 H129">
    <cfRule type="expression" dxfId="171" priority="52">
      <formula>AND(H122&lt;&gt;0,ISNUMBER(H122))</formula>
    </cfRule>
  </conditionalFormatting>
  <conditionalFormatting sqref="H122 H125 H128">
    <cfRule type="expression" dxfId="170" priority="51">
      <formula>AND(H122&lt;&gt;0,ISNUMBER(H122))</formula>
    </cfRule>
  </conditionalFormatting>
  <conditionalFormatting sqref="E122 E125 E128">
    <cfRule type="expression" dxfId="169" priority="50" stopIfTrue="1">
      <formula>E122&lt;&gt;0</formula>
    </cfRule>
  </conditionalFormatting>
  <conditionalFormatting sqref="E123 E126 E129">
    <cfRule type="expression" dxfId="168" priority="49">
      <formula>AND(_xlfn.SINGLE(ACOMPANHAMENTO)="BM",E123&gt;ROUND(E123,4))</formula>
    </cfRule>
  </conditionalFormatting>
  <conditionalFormatting sqref="U122:AR122 U125:AR125 U128:AR128">
    <cfRule type="expression" dxfId="167" priority="48" stopIfTrue="1">
      <formula>U122&lt;&gt;0</formula>
    </cfRule>
  </conditionalFormatting>
  <conditionalFormatting sqref="U123:AR123 U126:AR126 U129:AR129">
    <cfRule type="expression" dxfId="166" priority="47">
      <formula>AND(_xlfn.SINGLE(ACOMPANHAMENTO)="BM",U123&gt;ROUND(U123,4))</formula>
    </cfRule>
  </conditionalFormatting>
  <conditionalFormatting sqref="E132 E135 E138 U132:AR132 U135:AR135 U138:AR138">
    <cfRule type="expression" dxfId="165" priority="42" stopIfTrue="1">
      <formula>AND(ISNUMBER($H131),$H131&lt;&gt;0)</formula>
    </cfRule>
  </conditionalFormatting>
  <conditionalFormatting sqref="I132:S132 I135:S135 I138:S138">
    <cfRule type="expression" dxfId="164" priority="43" stopIfTrue="1">
      <formula>$M131=2</formula>
    </cfRule>
    <cfRule type="expression" dxfId="163" priority="44" stopIfTrue="1">
      <formula>AND($M131=1,$S131&lt;&gt;"")</formula>
    </cfRule>
  </conditionalFormatting>
  <conditionalFormatting sqref="I131:S131 I134:S134 I137:S137">
    <cfRule type="expression" dxfId="162" priority="45" stopIfTrue="1">
      <formula>$M131=2</formula>
    </cfRule>
    <cfRule type="expression" dxfId="161" priority="46" stopIfTrue="1">
      <formula>AND($M131=1,$S131&lt;&gt;"")</formula>
    </cfRule>
  </conditionalFormatting>
  <conditionalFormatting sqref="H132 H135 H138">
    <cfRule type="expression" dxfId="160" priority="41">
      <formula>AND(H131&lt;&gt;0,ISNUMBER(H131))</formula>
    </cfRule>
  </conditionalFormatting>
  <conditionalFormatting sqref="H131 H134 H137">
    <cfRule type="expression" dxfId="159" priority="40">
      <formula>AND(H131&lt;&gt;0,ISNUMBER(H131))</formula>
    </cfRule>
  </conditionalFormatting>
  <conditionalFormatting sqref="E131 E134 E137">
    <cfRule type="expression" dxfId="158" priority="39" stopIfTrue="1">
      <formula>E131&lt;&gt;0</formula>
    </cfRule>
  </conditionalFormatting>
  <conditionalFormatting sqref="E132 E135 E138">
    <cfRule type="expression" dxfId="157" priority="38">
      <formula>AND(_xlfn.SINGLE(ACOMPANHAMENTO)="BM",E132&gt;ROUND(E132,4))</formula>
    </cfRule>
  </conditionalFormatting>
  <conditionalFormatting sqref="U131:AR131 U134:AR134 U137:AR137">
    <cfRule type="expression" dxfId="156" priority="37" stopIfTrue="1">
      <formula>U131&lt;&gt;0</formula>
    </cfRule>
  </conditionalFormatting>
  <conditionalFormatting sqref="U132:AR132 U135:AR135 U138:AR138">
    <cfRule type="expression" dxfId="155" priority="36">
      <formula>AND(_xlfn.SINGLE(ACOMPANHAMENTO)="BM",U132&gt;ROUND(U132,4))</formula>
    </cfRule>
  </conditionalFormatting>
  <conditionalFormatting sqref="E141 E144 E147 U141:AR141 U144:AR144 U147:AR147">
    <cfRule type="expression" dxfId="154" priority="31" stopIfTrue="1">
      <formula>AND(ISNUMBER($H140),$H140&lt;&gt;0)</formula>
    </cfRule>
  </conditionalFormatting>
  <conditionalFormatting sqref="I141:S141 I144:S144 I147:S147">
    <cfRule type="expression" dxfId="153" priority="32" stopIfTrue="1">
      <formula>$M140=2</formula>
    </cfRule>
    <cfRule type="expression" dxfId="152" priority="33" stopIfTrue="1">
      <formula>AND($M140=1,$S140&lt;&gt;"")</formula>
    </cfRule>
  </conditionalFormatting>
  <conditionalFormatting sqref="I140:S140 I143:S143 I146:S146">
    <cfRule type="expression" dxfId="151" priority="34" stopIfTrue="1">
      <formula>$M140=2</formula>
    </cfRule>
    <cfRule type="expression" dxfId="150" priority="35" stopIfTrue="1">
      <formula>AND($M140=1,$S140&lt;&gt;"")</formula>
    </cfRule>
  </conditionalFormatting>
  <conditionalFormatting sqref="H141 H144 H147">
    <cfRule type="expression" dxfId="149" priority="30">
      <formula>AND(H140&lt;&gt;0,ISNUMBER(H140))</formula>
    </cfRule>
  </conditionalFormatting>
  <conditionalFormatting sqref="H140 H143 H146">
    <cfRule type="expression" dxfId="148" priority="29">
      <formula>AND(H140&lt;&gt;0,ISNUMBER(H140))</formula>
    </cfRule>
  </conditionalFormatting>
  <conditionalFormatting sqref="E140 E143 E146">
    <cfRule type="expression" dxfId="147" priority="28" stopIfTrue="1">
      <formula>E140&lt;&gt;0</formula>
    </cfRule>
  </conditionalFormatting>
  <conditionalFormatting sqref="E141 E144 E147">
    <cfRule type="expression" dxfId="146" priority="27">
      <formula>AND(_xlfn.SINGLE(ACOMPANHAMENTO)="BM",E141&gt;ROUND(E141,4))</formula>
    </cfRule>
  </conditionalFormatting>
  <conditionalFormatting sqref="U140:AR140 U143:AR143 U146:AR146">
    <cfRule type="expression" dxfId="145" priority="26" stopIfTrue="1">
      <formula>U140&lt;&gt;0</formula>
    </cfRule>
  </conditionalFormatting>
  <conditionalFormatting sqref="U141:AR141 U144:AR144 U147:AR147">
    <cfRule type="expression" dxfId="144" priority="25">
      <formula>AND(_xlfn.SINGLE(ACOMPANHAMENTO)="BM",U141&gt;ROUND(U141,4))</formula>
    </cfRule>
  </conditionalFormatting>
  <conditionalFormatting sqref="E150 E153 E156 U150:AR150 U153:AR153 U156:AR156">
    <cfRule type="expression" dxfId="143" priority="20" stopIfTrue="1">
      <formula>AND(ISNUMBER($H149),$H149&lt;&gt;0)</formula>
    </cfRule>
  </conditionalFormatting>
  <conditionalFormatting sqref="I150:S150 I153:S153 I156:S156">
    <cfRule type="expression" dxfId="142" priority="21" stopIfTrue="1">
      <formula>$M149=2</formula>
    </cfRule>
    <cfRule type="expression" dxfId="141" priority="22" stopIfTrue="1">
      <formula>AND($M149=1,$S149&lt;&gt;"")</formula>
    </cfRule>
  </conditionalFormatting>
  <conditionalFormatting sqref="I149:S149 I152:S152 I155:S155">
    <cfRule type="expression" dxfId="140" priority="23" stopIfTrue="1">
      <formula>$M149=2</formula>
    </cfRule>
    <cfRule type="expression" dxfId="139" priority="24" stopIfTrue="1">
      <formula>AND($M149=1,$S149&lt;&gt;"")</formula>
    </cfRule>
  </conditionalFormatting>
  <conditionalFormatting sqref="H150 H153 H156">
    <cfRule type="expression" dxfId="138" priority="19">
      <formula>AND(H149&lt;&gt;0,ISNUMBER(H149))</formula>
    </cfRule>
  </conditionalFormatting>
  <conditionalFormatting sqref="H149 H152 H155">
    <cfRule type="expression" dxfId="137" priority="18">
      <formula>AND(H149&lt;&gt;0,ISNUMBER(H149))</formula>
    </cfRule>
  </conditionalFormatting>
  <conditionalFormatting sqref="E149 E152 E155">
    <cfRule type="expression" dxfId="136" priority="17" stopIfTrue="1">
      <formula>E149&lt;&gt;0</formula>
    </cfRule>
  </conditionalFormatting>
  <conditionalFormatting sqref="E150 E153 E156">
    <cfRule type="expression" dxfId="135" priority="16">
      <formula>AND(_xlfn.SINGLE(ACOMPANHAMENTO)="BM",E150&gt;ROUND(E150,4))</formula>
    </cfRule>
  </conditionalFormatting>
  <conditionalFormatting sqref="U149:AR149 U152:AR152 U155:AR155">
    <cfRule type="expression" dxfId="134" priority="15" stopIfTrue="1">
      <formula>U149&lt;&gt;0</formula>
    </cfRule>
  </conditionalFormatting>
  <conditionalFormatting sqref="U150:AR150 U153:AR153 U156:AR156">
    <cfRule type="expression" dxfId="133" priority="14">
      <formula>AND(_xlfn.SINGLE(ACOMPANHAMENTO)="BM",U150&gt;ROUND(U150,4))</formula>
    </cfRule>
  </conditionalFormatting>
  <conditionalFormatting sqref="E159 E162 U159:AR159 U162:AR162">
    <cfRule type="expression" dxfId="132" priority="9" stopIfTrue="1">
      <formula>AND(ISNUMBER($H158),$H158&lt;&gt;0)</formula>
    </cfRule>
  </conditionalFormatting>
  <conditionalFormatting sqref="I159:S159 I162:S162">
    <cfRule type="expression" dxfId="131" priority="10" stopIfTrue="1">
      <formula>$M158=2</formula>
    </cfRule>
    <cfRule type="expression" dxfId="130" priority="11" stopIfTrue="1">
      <formula>AND($M158=1,$S158&lt;&gt;"")</formula>
    </cfRule>
  </conditionalFormatting>
  <conditionalFormatting sqref="I158:S158 I161:S161">
    <cfRule type="expression" dxfId="129" priority="12" stopIfTrue="1">
      <formula>$M158=2</formula>
    </cfRule>
    <cfRule type="expression" dxfId="128" priority="13" stopIfTrue="1">
      <formula>AND($M158=1,$S158&lt;&gt;"")</formula>
    </cfRule>
  </conditionalFormatting>
  <conditionalFormatting sqref="H159 H162">
    <cfRule type="expression" dxfId="127" priority="8">
      <formula>AND(H158&lt;&gt;0,ISNUMBER(H158))</formula>
    </cfRule>
  </conditionalFormatting>
  <conditionalFormatting sqref="H158 H161">
    <cfRule type="expression" dxfId="126" priority="7">
      <formula>AND(H158&lt;&gt;0,ISNUMBER(H158))</formula>
    </cfRule>
  </conditionalFormatting>
  <conditionalFormatting sqref="E158 E161">
    <cfRule type="expression" dxfId="125" priority="6" stopIfTrue="1">
      <formula>E158&lt;&gt;0</formula>
    </cfRule>
  </conditionalFormatting>
  <conditionalFormatting sqref="E159 E162">
    <cfRule type="expression" dxfId="124" priority="5">
      <formula>AND(_xlfn.SINGLE(ACOMPANHAMENTO)="BM",E159&gt;ROUND(E159,4))</formula>
    </cfRule>
  </conditionalFormatting>
  <conditionalFormatting sqref="U158:AR158 U161:AR161">
    <cfRule type="expression" dxfId="123" priority="4" stopIfTrue="1">
      <formula>U158&lt;&gt;0</formula>
    </cfRule>
  </conditionalFormatting>
  <conditionalFormatting sqref="U159:AR159 U162:AR162">
    <cfRule type="expression" dxfId="122" priority="3">
      <formula>AND(_xlfn.SINGLE(ACOMPANHAMENTO)="BM",U159&gt;ROUND(U159,4))</formula>
    </cfRule>
  </conditionalFormatting>
  <conditionalFormatting sqref="AG12:AG13">
    <cfRule type="expression" dxfId="121" priority="2" stopIfTrue="1">
      <formula>NOT(ISNUMBER(AF$12))</formula>
    </cfRule>
  </conditionalFormatting>
  <conditionalFormatting sqref="AL7:AQ8">
    <cfRule type="expression" dxfId="120" priority="1" stopIfTrue="1">
      <formula>QCI.ExisteManual</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R1 E14 E17 E20 U14:AR14 U17:AR17 U20:AR20 E23 E26 E29 U23:AR23 U26:AR26 U29:AR29 E32 E35 E38 U32:AR32 U35:AR35 U38:AR38 E41 E44 E47 U41:AR41 U44:AR44 U47:AR47 E50 E53 E56 U50:AR50 U53:AR53 U56:AR56 E59 E62 E65 U59:AR59 U62:AR62 U65:AR65 E68 E71 E74 U68:AR68 U71:AR71 U74:AR74 E77 E80 E83 U77:AR77 U80:AR80 U83:AR83 E86 E89 E92 U86:AR86 U89:AR89 U92:AR92 E95 E98 E101 U95:AR95 U98:AR98 U101:AR101 E104 E107 E110 U104:AR104 U107:AR107 U110:AR110 E113 E116 E119 U113:AR113 U116:AR116 U119:AR119 E122 E125 E128 U122:AR122 U125:AR125 U128:AR128 E131 E134 E137 U131:AR131 U134:AR134 U137:AR137 E140 E143 E146 U140:AR140 U143:AR143 U146:AR146 E149 E152 E155 U149:AR149 U152:AR152 U155:AR155 E158 E161 U161:AR161 U158:AR158" xr:uid="{00000000-0002-0000-0700-000001000000}"/>
    <dataValidation type="whole" operator="greaterThan" allowBlank="1" showErrorMessage="1" sqref="U12 AG12" xr:uid="{00000000-0002-0000-0700-000002000000}">
      <formula1>0</formula1>
      <formula2>0</formula2>
    </dataValidation>
    <dataValidation type="decimal" allowBlank="1" showErrorMessage="1" error="Porcentagem Acumulada &gt; 100%." sqref="E2 E15 E18 E21 E24 E27 E30 E33 E36 E39 E42 E45 E48 E51 E54 E57 E60 E63 E66 E69 E72 E75 E78 E81 E84 E87 E90 E93 E96 E99 E102 E105 E108 E111 E114 E117 E120 E123 E126 E129 E132 E135 E138 E141 E144 E147 E150 E153 E156 E159 E162 U162:AS162 U159:AS159 U156:AS156 U153:AS153 U150:AS150 U147:AS147 U144:AS144 U141:AS141 U138:AS138 U135:AS135 U132:AS132 U129:AS129 U126:AS126 U123:AS123 U120:AS120 U117:AS117 U114:AS114 U111:AS111 U108:AS108 U105:AS105 U102:AS102 U99:AS99 U96:AS96 U93:AS93 U90:AS90 U87:AS87 U84:AS84 U81:AS81 U78:AS78 U75:AS75 U72:AS72 U69:AS69 U66:AS66 U63:AS63 U60:AS60 U57:AS57 U54:AS54 U51:AS51 U48:AS48 U45:AS45 U42:AS42 U39:AS39 U36:AS36 U33:AS33 U30:AS30 U27:AS27 U24:AS24 U21:AS21 U18:AS18 U15:AS15 U2:AS2" xr:uid="{00000000-0002-0000-0700-000003000000}">
      <formula1>0</formula1>
      <formula2>CRONO.MaxParc</formula2>
    </dataValidation>
    <dataValidation type="date" operator="greaterThan" allowBlank="1" showInputMessage="1" showErrorMessage="1" errorTitle="Erro" error="Digite somente datas." sqref="U13 AG13" xr:uid="{00000000-0002-0000-0700-000004000000}">
      <formula1>36526</formula1>
    </dataValidation>
    <dataValidation type="list" allowBlank="1" showErrorMessage="1" errorTitle="Atenção" error="Selecione uma opção da lista." sqref="H175:J175"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85" zoomScaleNormal="85" zoomScaleSheetLayoutView="90" workbookViewId="0">
      <pane xSplit="7" ySplit="13" topLeftCell="H23" activePane="bottomRight" state="frozen"/>
      <selection pane="topRight"/>
      <selection pane="bottomLeft"/>
      <selection pane="bottomRight"/>
    </sheetView>
  </sheetViews>
  <sheetFormatPr defaultRowHeight="12.75" x14ac:dyDescent="0.2"/>
  <cols>
    <col min="1" max="1" width="15.71093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28515625" hidden="1" customWidth="1"/>
    <col min="29" max="29" width="3.5703125" hidden="1" customWidth="1"/>
    <col min="30" max="30" width="13.42578125" hidden="1" customWidth="1"/>
    <col min="31" max="31" width="9.28515625" hidden="1" customWidth="1"/>
  </cols>
  <sheetData>
    <row r="1" spans="1:31" ht="30" customHeight="1" x14ac:dyDescent="0.2">
      <c r="A1" s="654" t="s">
        <v>980</v>
      </c>
      <c r="F1" s="272" t="s">
        <v>805</v>
      </c>
      <c r="I1" s="8"/>
      <c r="J1" s="8"/>
      <c r="O1" s="492" t="s">
        <v>757</v>
      </c>
      <c r="P1" s="86"/>
    </row>
    <row r="2" spans="1:31" x14ac:dyDescent="0.2">
      <c r="A2" t="s">
        <v>975</v>
      </c>
      <c r="Z2" t="s">
        <v>806</v>
      </c>
      <c r="AA2" s="88" t="s">
        <v>807</v>
      </c>
      <c r="AB2" s="77"/>
    </row>
    <row r="3" spans="1:31" x14ac:dyDescent="0.2">
      <c r="A3" t="s">
        <v>976</v>
      </c>
      <c r="D3" s="684" t="s">
        <v>650</v>
      </c>
      <c r="E3" s="684"/>
      <c r="F3" s="87" t="s">
        <v>707</v>
      </c>
      <c r="G3" s="684" t="s">
        <v>652</v>
      </c>
      <c r="H3" s="684"/>
      <c r="I3" s="684"/>
      <c r="J3" s="777" t="s">
        <v>808</v>
      </c>
      <c r="K3" s="777"/>
      <c r="L3" s="777"/>
      <c r="M3" s="778" t="s">
        <v>809</v>
      </c>
      <c r="N3" s="778"/>
      <c r="O3" s="778"/>
      <c r="Z3" s="102">
        <f ca="1">MAX(Z7:AB7)</f>
        <v>0</v>
      </c>
      <c r="AA3" s="273" cm="1">
        <f t="array" aca="1" ref="AA3" ca="1">IF(OR($O$24=ORÇAMENTO.SumINVMANUAL+QCI.SumINVMANUAL,$O$24=0),0,MIN(MAX(0,($Z$3*$O$24-ORÇAMENTO.SumCPMANUAL-QCI.SumCPMANUAL)/($O$24-ORÇAMENTO.SumINVMANUAL-QCI.SumINVMANUAL)),1))</f>
        <v>0</v>
      </c>
      <c r="AB3" s="92"/>
    </row>
    <row r="4" spans="1:31" x14ac:dyDescent="0.2">
      <c r="A4" t="s">
        <v>977</v>
      </c>
      <c r="D4" s="681" t="str">
        <f>Import.CR</f>
        <v>-</v>
      </c>
      <c r="E4" s="681"/>
      <c r="F4" s="56" t="str">
        <f>Import.TransfereGOV</f>
        <v>-</v>
      </c>
      <c r="G4" s="681" t="str">
        <f>Import.Proponente</f>
        <v>Prefeitura Municipal de Pedro Régis-PB</v>
      </c>
      <c r="H4" s="681"/>
      <c r="I4" s="681"/>
      <c r="J4" s="779" t="str">
        <f>Import.Município</f>
        <v>Pedro Régis-PB</v>
      </c>
      <c r="K4" s="779"/>
      <c r="L4" s="779"/>
      <c r="M4" s="778"/>
      <c r="N4" s="778"/>
      <c r="O4" s="778"/>
      <c r="R4" s="129"/>
      <c r="Z4" s="92"/>
      <c r="AA4" s="92"/>
      <c r="AB4" s="92"/>
    </row>
    <row r="5" spans="1:31" ht="5.0999999999999996" customHeight="1" x14ac:dyDescent="0.2">
      <c r="A5" t="s">
        <v>978</v>
      </c>
      <c r="M5" s="265"/>
      <c r="O5" s="4"/>
    </row>
    <row r="6" spans="1:31" x14ac:dyDescent="0.2">
      <c r="A6" t="s">
        <v>979</v>
      </c>
      <c r="D6" s="684" t="s">
        <v>708</v>
      </c>
      <c r="E6" s="684"/>
      <c r="F6" s="684"/>
      <c r="G6" s="684"/>
      <c r="H6" s="684"/>
      <c r="I6" s="684"/>
      <c r="J6" s="684"/>
      <c r="K6" s="684"/>
      <c r="L6" s="274" t="s">
        <v>715</v>
      </c>
      <c r="M6" s="87" t="str">
        <f>IF(import.recurso="FGTS","FINANCIAMENTO","REPASSE")</f>
        <v>REPASSE</v>
      </c>
      <c r="N6" s="87" t="s">
        <v>810</v>
      </c>
      <c r="O6" s="87" t="s">
        <v>811</v>
      </c>
      <c r="Z6" t="s">
        <v>812</v>
      </c>
      <c r="AA6" t="s">
        <v>813</v>
      </c>
      <c r="AB6" t="s">
        <v>814</v>
      </c>
    </row>
    <row r="7" spans="1:31" ht="12.75" customHeight="1" x14ac:dyDescent="0.2">
      <c r="A7" s="658" t="s">
        <v>982</v>
      </c>
      <c r="C7" s="710" t="s">
        <v>655</v>
      </c>
      <c r="D7" s="681" t="str">
        <f>Import.Apelido</f>
        <v>Casa térrea acessível, 2 quartos, Autil=47,46m², conforme Portaria MCID 1416/2023</v>
      </c>
      <c r="E7" s="681"/>
      <c r="F7" s="681"/>
      <c r="G7" s="681"/>
      <c r="H7" s="681"/>
      <c r="I7" s="681"/>
      <c r="J7" s="681"/>
      <c r="K7" s="681"/>
      <c r="L7" s="275" t="str">
        <f>import.recurso</f>
        <v>OGU</v>
      </c>
      <c r="M7" s="276">
        <f>Import.Repasse</f>
        <v>2734215.06</v>
      </c>
      <c r="N7" s="276">
        <f>Import.Contrapartida</f>
        <v>0</v>
      </c>
      <c r="O7" s="276">
        <f>M7+N7</f>
        <v>2734215.06</v>
      </c>
      <c r="Z7" s="102">
        <f>ROUND(Import.CPMinPerc,4)</f>
        <v>0</v>
      </c>
      <c r="AA7" s="102">
        <f ca="1">IF($O$24=0,0,Import.CPMinAbsoluta/$O$24)</f>
        <v>0</v>
      </c>
      <c r="AB7" s="102">
        <f ca="1">IF($O$24=0,0,($O$24-$AB$24-Import.Repasse)/($O$24))</f>
        <v>0</v>
      </c>
    </row>
    <row r="8" spans="1:31" x14ac:dyDescent="0.2">
      <c r="A8" t="s">
        <v>819</v>
      </c>
      <c r="C8" s="710"/>
      <c r="D8" s="92"/>
      <c r="E8" s="92"/>
      <c r="F8" s="277"/>
      <c r="G8" s="92"/>
      <c r="H8" s="92"/>
      <c r="I8" s="92"/>
      <c r="J8" s="92"/>
      <c r="K8" s="92"/>
      <c r="L8" s="92"/>
      <c r="M8" s="92"/>
      <c r="N8" s="92"/>
      <c r="O8" s="92"/>
    </row>
    <row r="9" spans="1:31" ht="12.75" customHeight="1" x14ac:dyDescent="0.2">
      <c r="A9" t="s">
        <v>981</v>
      </c>
      <c r="C9" s="710"/>
      <c r="G9" s="783"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IF(OFFSET($A$24,-1,0)&lt;OFFSET(ORÇAMENTO!$E$244,-1,0),"ERRO: NÚMERO DE LINHAS DO QCI INSUFICIENTE. CLIQUE NO BOTÃO ADICIONAR LINHAS",
  "")))))))</f>
        <v/>
      </c>
      <c r="H9" s="783"/>
      <c r="I9" s="512"/>
      <c r="J9" s="511"/>
      <c r="K9" s="782" t="s">
        <v>815</v>
      </c>
      <c r="L9" s="278" t="str">
        <f>$L$13</f>
        <v>Repasse (R$)</v>
      </c>
      <c r="M9" s="278" t="s">
        <v>741</v>
      </c>
      <c r="AD9" s="780"/>
      <c r="AE9" s="780"/>
    </row>
    <row r="10" spans="1:31" ht="12.75" customHeight="1" x14ac:dyDescent="0.2">
      <c r="A10" s="784" t="s">
        <v>816</v>
      </c>
      <c r="C10" s="710"/>
      <c r="G10" s="783"/>
      <c r="H10" s="783"/>
      <c r="I10" s="512"/>
      <c r="J10" s="511"/>
      <c r="K10" s="782"/>
      <c r="L10" s="279">
        <f ca="1">Import.Repasse-L24</f>
        <v>2734215.06</v>
      </c>
      <c r="M10" s="280">
        <f ca="1">Import.Contrapartida-M24</f>
        <v>0</v>
      </c>
      <c r="Z10" s="724" t="s">
        <v>721</v>
      </c>
      <c r="AA10" s="724"/>
      <c r="AB10" s="724"/>
      <c r="AD10" s="780" t="s">
        <v>817</v>
      </c>
      <c r="AE10" s="780"/>
    </row>
    <row r="11" spans="1:31" ht="20.100000000000001" customHeight="1" x14ac:dyDescent="0.25">
      <c r="A11" s="784"/>
      <c r="C11" s="710"/>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IF(NOT(ISBLANK(QCI.DescManual)),IF(QCI.Divisao="Calculado","Manual","SemiAuto"),IF(ISERROR(MATCH($A12,ORÇAMENTO!$E$15:$E$244,0)),"Branco","Automático"))</f>
        <v>Branco</v>
      </c>
      <c r="C12" t="str">
        <f ca="1">IF(O12&gt;0,"F","")</f>
        <v/>
      </c>
      <c r="D12" s="281">
        <f>ROW()-ROW($D$13)</f>
        <v>-1</v>
      </c>
      <c r="E12" s="118"/>
      <c r="F12" s="118"/>
      <c r="G12" s="163" t="str">
        <f ca="1">IF(OR($B12="Manual",$B12="SemiAuto"),QCI.DescManual,IF($B12="Automático",INDEX(ORÇAMENTO!$R$15:$R$244,MATCH($A12,ORÇAMENTO!$E$15:$E$244,0)),""))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IF($B12="Branco",0,IF(OR($B12="Manual",$B12="SemiAuto"),QCI.InvManual,INDEX(ORÇAMENTO!X$15:X$244,MATCH($A12,ORÇAMENTO!$E$15:$E$244,0))))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IF($B12="Branco",0,IF($B12="Manual",QCI.CPManual,IF($B12="SemiAuto",ROUND(QCI!$AA$3*QCI.InvManual,2),INDEX(ORÇAMENTO!$AA$15:$AA$244,MATCH($A12,ORÇAMENTO!$E$15:$E$244,0)))))</f>
        <v>0</v>
      </c>
      <c r="AB12" cm="1">
        <f t="array" aca="1" ref="AB12" ca="1">IF($B12="Branco",0,IF($B12="Manual",QCI.OutrosManual,IF($B12="SemiAuto",0,INDEX(ORÇAMENTO!$AB$15:$AB$244,MATCH($A12,ORÇAMENTO!$E$15:$E$244,0)))))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
      <c r="A14">
        <f t="shared" ref="A14:A23" ca="1" si="0">IF(NOT(ISBLANK(QCI.DescManual)),OFFSET(A14,-1,0),D14)</f>
        <v>1</v>
      </c>
      <c r="B14" t="str">
        <f ca="1">IF(NOT(ISBLANK(QCI.DescManual)),IF(QCI.Divisao="Calculado","Manual","SemiAuto"),IF(ISERROR(MATCH($A14,ORÇAMENTO!$E$15:$E$244,0)),"Branco","Automático"))</f>
        <v>Automático</v>
      </c>
      <c r="C14" t="str">
        <f t="shared" ref="C14:C22" ca="1" si="1">IF(O14&gt;0,"F","")</f>
        <v/>
      </c>
      <c r="D14" s="281">
        <f t="shared" ref="D14:D22" si="2">ROW()-ROW($D$13)</f>
        <v>1</v>
      </c>
      <c r="E14" s="118" t="s">
        <v>100</v>
      </c>
      <c r="F14" s="118" t="s">
        <v>140</v>
      </c>
      <c r="G14" s="163" t="str">
        <f ca="1">IF(OR($B14="Manual",$B14="SemiAuto"),QCI.DescManual,IF($B14="Automático",INDEX(ORÇAMENTO!$R$15:$R$244,MATCH($A14,ORÇAMENTO!$E$15:$E$244,0)),""))</f>
        <v>SERVIÇOS PRELIMINARES</v>
      </c>
      <c r="H14" s="118" t="s">
        <v>976</v>
      </c>
      <c r="I14" s="464">
        <v>20</v>
      </c>
      <c r="J14" s="282" t="str">
        <f ca="1">IF(AND(ISBLANK(E14),ISBLANK(F14)),"",VLOOKUP($F14,OFFSET(DADOS!$A$2,1,MATCH(QCI!$E14,DADOS!$2:$2,0)-1,100,50),2,FALSE))</f>
        <v>un</v>
      </c>
      <c r="K14" s="463" t="str" cm="1">
        <f t="array" aca="1" ref="K14" ca="1">IF(OR($B14="Manual",$B14="SemiAuto"),QCI.LoteManual,IF($B14="Automático",IF(TIPOORCAMENTO="Licitado",Import.CTEF,"LOTE 1"),""))</f>
        <v>LOTE 1</v>
      </c>
      <c r="L14" s="283">
        <f t="shared" ref="L14:L22" ca="1" si="3">ROUND($O14,2)-ROUND($M14,2)-ROUND($N14,2)</f>
        <v>0</v>
      </c>
      <c r="M14" s="284">
        <f t="shared" ref="M14:M22" ca="1" si="4">ROUND($AA14,2)-ROUND($AE14,2)</f>
        <v>0</v>
      </c>
      <c r="N14" s="285">
        <f t="shared" ref="N14:N22" ca="1" si="5">ROUND($AB14,2)</f>
        <v>0</v>
      </c>
      <c r="O14" s="286" cm="1">
        <f t="array" aca="1" ref="O14" ca="1">IF($B14="Branco",0,IF(OR($B14="Manual",$B14="SemiAuto"),QCI.InvManual,INDEX(ORÇAMENTO!X$15:X$244,MATCH($A14,ORÇAMENTO!$E$15:$E$244,0))))</f>
        <v>0</v>
      </c>
      <c r="P14" s="577" t="str">
        <f t="shared" ref="P14:P22" ca="1" si="6">IF(O14=0,"",
  IF(E14="","ITEM",
  IF(F14="","SUBITEM",
  IF(H14="","SITUAÇÃO",
  IF(I14=0,"QUANT.","")))))</f>
        <v/>
      </c>
      <c r="R14" s="465"/>
      <c r="S14" s="578" t="str">
        <f t="shared" ref="S14:S22" si="7">IF(R14="","",
  IF(T14=0,"► LOTE",
  IF(U14=0,"► INVEST",
  IF(V14=0,"► DIV",
  IF(AND(V14="Calculado",W14=""),"► CP",
  IF(AND(V14="Calculado",X14=""),"► OU",""))))))</f>
        <v/>
      </c>
      <c r="T14" s="466"/>
      <c r="U14" s="579"/>
      <c r="V14" s="467" t="s">
        <v>819</v>
      </c>
      <c r="W14" s="580"/>
      <c r="X14" s="581"/>
      <c r="Z14">
        <f t="shared" ref="Z14:Z22" ca="1" si="8">$O14-$AA14-$AB14</f>
        <v>0</v>
      </c>
      <c r="AA14" cm="1">
        <f t="array" aca="1" ref="AA14" ca="1">IF($B14="Branco",0,IF($B14="Manual",QCI.CPManual,IF($B14="SemiAuto",ROUND(QCI!$AA$3*QCI.InvManual,2),INDEX(ORÇAMENTO!$AA$15:$AA$244,MATCH($A14,ORÇAMENTO!$E$15:$E$244,0)))))</f>
        <v>0</v>
      </c>
      <c r="AB14" cm="1">
        <f t="array" aca="1" ref="AB14" ca="1">IF($B14="Branco",0,IF($B14="Manual",QCI.OutrosManual,IF($B14="SemiAuto",0,INDEX(ORÇAMENTO!$AB$15:$AB$244,MATCH($A14,ORÇAMENTO!$E$15:$E$244,0)))))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IF(NOT(ISBLANK(QCI.DescManual)),IF(QCI.Divisao="Calculado","Manual","SemiAuto"),IF(ISERROR(MATCH($A15,ORÇAMENTO!$E$15:$E$244,0)),"Branco","Automático"))</f>
        <v>Automático</v>
      </c>
      <c r="C15" t="str">
        <f t="shared" ca="1" si="1"/>
        <v/>
      </c>
      <c r="D15" s="281">
        <f t="shared" si="2"/>
        <v>2</v>
      </c>
      <c r="E15" s="118" t="s">
        <v>100</v>
      </c>
      <c r="F15" s="118" t="s">
        <v>140</v>
      </c>
      <c r="G15" s="163" t="str">
        <f ca="1">IF(OR($B15="Manual",$B15="SemiAuto"),QCI.DescManual,IF($B15="Automático",INDEX(ORÇAMENTO!$R$15:$R$244,MATCH($A15,ORÇAMENTO!$E$15:$E$244,0)),""))</f>
        <v>ADMINISTRAÇÃO DA OBRA</v>
      </c>
      <c r="H15" s="118" t="s">
        <v>976</v>
      </c>
      <c r="I15" s="464">
        <v>20</v>
      </c>
      <c r="J15" s="282" t="str">
        <f ca="1">IF(AND(ISBLANK(E15),ISBLANK(F15)),"",VLOOKUP($F15,OFFSET(DADOS!$A$2,1,MATCH(QCI!$E15,DADOS!$2:$2,0)-1,100,50),2,FALSE))</f>
        <v>un</v>
      </c>
      <c r="K15" s="463" t="str" cm="1">
        <f t="array" aca="1" ref="K15" ca="1">IF(OR($B15="Manual",$B15="SemiAuto"),QCI.LoteManual,IF($B15="Automático",IF(TIPOORCAMENTO="Licitado",Import.CTEF,"LOTE 1"),""))</f>
        <v>LOTE 1</v>
      </c>
      <c r="L15" s="283">
        <f t="shared" ca="1" si="3"/>
        <v>0</v>
      </c>
      <c r="M15" s="284">
        <f t="shared" ca="1" si="4"/>
        <v>0</v>
      </c>
      <c r="N15" s="285">
        <f t="shared" ca="1" si="5"/>
        <v>0</v>
      </c>
      <c r="O15" s="286" cm="1">
        <f t="array" aca="1" ref="O15" ca="1">IF($B15="Branco",0,IF(OR($B15="Manual",$B15="SemiAuto"),QCI.InvManual,INDEX(ORÇAMENTO!X$15:X$244,MATCH($A15,ORÇAMENTO!$E$15:$E$244,0))))</f>
        <v>0</v>
      </c>
      <c r="P15" s="577" t="str">
        <f t="shared" ca="1" si="6"/>
        <v/>
      </c>
      <c r="R15" s="465"/>
      <c r="S15" s="578" t="str">
        <f t="shared" si="7"/>
        <v/>
      </c>
      <c r="T15" s="466"/>
      <c r="U15" s="579"/>
      <c r="V15" s="467" t="s">
        <v>819</v>
      </c>
      <c r="W15" s="580"/>
      <c r="X15" s="581"/>
      <c r="Z15">
        <f t="shared" ca="1" si="8"/>
        <v>0</v>
      </c>
      <c r="AA15" cm="1">
        <f t="array" aca="1" ref="AA15" ca="1">IF($B15="Branco",0,IF($B15="Manual",QCI.CPManual,IF($B15="SemiAuto",ROUND(QCI!$AA$3*QCI.InvManual,2),INDEX(ORÇAMENTO!$AA$15:$AA$244,MATCH($A15,ORÇAMENTO!$E$15:$E$244,0)))))</f>
        <v>0</v>
      </c>
      <c r="AB15" cm="1">
        <f t="array" aca="1" ref="AB15" ca="1">IF($B15="Branco",0,IF($B15="Manual",QCI.OutrosManual,IF($B15="SemiAuto",0,INDEX(ORÇAMENTO!$AB$15:$AB$244,MATCH($A15,ORÇAMENTO!$E$15:$E$244,0)))))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IF(NOT(ISBLANK(QCI.DescManual)),IF(QCI.Divisao="Calculado","Manual","SemiAuto"),IF(ISERROR(MATCH($A16,ORÇAMENTO!$E$15:$E$244,0)),"Branco","Automático"))</f>
        <v>Automático</v>
      </c>
      <c r="C16" t="str">
        <f t="shared" ca="1" si="1"/>
        <v/>
      </c>
      <c r="D16" s="281">
        <f t="shared" si="2"/>
        <v>3</v>
      </c>
      <c r="E16" s="118" t="s">
        <v>100</v>
      </c>
      <c r="F16" s="118" t="s">
        <v>140</v>
      </c>
      <c r="G16" s="163" t="str">
        <f ca="1">IF(OR($B16="Manual",$B16="SemiAuto"),QCI.DescManual,IF($B16="Automático",INDEX(ORÇAMENTO!$R$15:$R$244,MATCH($A16,ORÇAMENTO!$E$15:$E$244,0)),""))</f>
        <v>FUNDAÇÕES</v>
      </c>
      <c r="H16" s="118" t="s">
        <v>976</v>
      </c>
      <c r="I16" s="464">
        <v>20</v>
      </c>
      <c r="J16" s="282" t="str">
        <f ca="1">IF(AND(ISBLANK(E16),ISBLANK(F16)),"",VLOOKUP($F16,OFFSET(DADOS!$A$2,1,MATCH(QCI!$E16,DADOS!$2:$2,0)-1,100,50),2,FALSE))</f>
        <v>un</v>
      </c>
      <c r="K16" s="463" t="str" cm="1">
        <f t="array" aca="1" ref="K16" ca="1">IF(OR($B16="Manual",$B16="SemiAuto"),QCI.LoteManual,IF($B16="Automático",IF(TIPOORCAMENTO="Licitado",Import.CTEF,"LOTE 1"),""))</f>
        <v>LOTE 1</v>
      </c>
      <c r="L16" s="283">
        <f t="shared" ca="1" si="3"/>
        <v>0</v>
      </c>
      <c r="M16" s="284">
        <f t="shared" ca="1" si="4"/>
        <v>0</v>
      </c>
      <c r="N16" s="285">
        <f t="shared" ca="1" si="5"/>
        <v>0</v>
      </c>
      <c r="O16" s="286" cm="1">
        <f t="array" aca="1" ref="O16" ca="1">IF($B16="Branco",0,IF(OR($B16="Manual",$B16="SemiAuto"),QCI.InvManual,INDEX(ORÇAMENTO!X$15:X$244,MATCH($A16,ORÇAMENTO!$E$15:$E$244,0))))</f>
        <v>0</v>
      </c>
      <c r="P16" s="577" t="str">
        <f t="shared" ca="1" si="6"/>
        <v/>
      </c>
      <c r="R16" s="465"/>
      <c r="S16" s="578" t="str">
        <f t="shared" si="7"/>
        <v/>
      </c>
      <c r="T16" s="466"/>
      <c r="U16" s="579"/>
      <c r="V16" s="467" t="s">
        <v>819</v>
      </c>
      <c r="W16" s="580"/>
      <c r="X16" s="581"/>
      <c r="Z16">
        <f t="shared" ca="1" si="8"/>
        <v>0</v>
      </c>
      <c r="AA16" cm="1">
        <f t="array" aca="1" ref="AA16" ca="1">IF($B16="Branco",0,IF($B16="Manual",QCI.CPManual,IF($B16="SemiAuto",ROUND(QCI!$AA$3*QCI.InvManual,2),INDEX(ORÇAMENTO!$AA$15:$AA$244,MATCH($A16,ORÇAMENTO!$E$15:$E$244,0)))))</f>
        <v>0</v>
      </c>
      <c r="AB16" cm="1">
        <f t="array" aca="1" ref="AB16" ca="1">IF($B16="Branco",0,IF($B16="Manual",QCI.OutrosManual,IF($B16="SemiAuto",0,INDEX(ORÇAMENTO!$AB$15:$AB$244,MATCH($A16,ORÇAMENTO!$E$15:$E$244,0)))))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IF(NOT(ISBLANK(QCI.DescManual)),IF(QCI.Divisao="Calculado","Manual","SemiAuto"),IF(ISERROR(MATCH($A17,ORÇAMENTO!$E$15:$E$244,0)),"Branco","Automático"))</f>
        <v>Automático</v>
      </c>
      <c r="C17" t="str">
        <f t="shared" ca="1" si="1"/>
        <v/>
      </c>
      <c r="D17" s="281">
        <f t="shared" si="2"/>
        <v>4</v>
      </c>
      <c r="E17" s="118" t="s">
        <v>100</v>
      </c>
      <c r="F17" s="118" t="s">
        <v>140</v>
      </c>
      <c r="G17" s="163" t="str">
        <f ca="1">IF(OR($B17="Manual",$B17="SemiAuto"),QCI.DescManual,IF($B17="Automático",INDEX(ORÇAMENTO!$R$15:$R$244,MATCH($A17,ORÇAMENTO!$E$15:$E$244,0)),""))</f>
        <v>SUPRAESTRUTURA</v>
      </c>
      <c r="H17" s="118" t="s">
        <v>976</v>
      </c>
      <c r="I17" s="464">
        <v>20</v>
      </c>
      <c r="J17" s="282" t="str">
        <f ca="1">IF(AND(ISBLANK(E17),ISBLANK(F17)),"",VLOOKUP($F17,OFFSET(DADOS!$A$2,1,MATCH(QCI!$E17,DADOS!$2:$2,0)-1,100,50),2,FALSE))</f>
        <v>un</v>
      </c>
      <c r="K17" s="463" t="str" cm="1">
        <f t="array" aca="1" ref="K17" ca="1">IF(OR($B17="Manual",$B17="SemiAuto"),QCI.LoteManual,IF($B17="Automático",IF(TIPOORCAMENTO="Licitado",Import.CTEF,"LOTE 1"),""))</f>
        <v>LOTE 1</v>
      </c>
      <c r="L17" s="283">
        <f t="shared" ca="1" si="3"/>
        <v>0</v>
      </c>
      <c r="M17" s="284">
        <f t="shared" ca="1" si="4"/>
        <v>0</v>
      </c>
      <c r="N17" s="285">
        <f t="shared" ca="1" si="5"/>
        <v>0</v>
      </c>
      <c r="O17" s="286" cm="1">
        <f t="array" aca="1" ref="O17" ca="1">IF($B17="Branco",0,IF(OR($B17="Manual",$B17="SemiAuto"),QCI.InvManual,INDEX(ORÇAMENTO!X$15:X$244,MATCH($A17,ORÇAMENTO!$E$15:$E$244,0))))</f>
        <v>0</v>
      </c>
      <c r="P17" s="577" t="str">
        <f t="shared" ca="1" si="6"/>
        <v/>
      </c>
      <c r="R17" s="465"/>
      <c r="S17" s="578" t="str">
        <f t="shared" si="7"/>
        <v/>
      </c>
      <c r="T17" s="466"/>
      <c r="U17" s="579"/>
      <c r="V17" s="467" t="s">
        <v>819</v>
      </c>
      <c r="W17" s="580"/>
      <c r="X17" s="581"/>
      <c r="Z17">
        <f t="shared" ca="1" si="8"/>
        <v>0</v>
      </c>
      <c r="AA17" cm="1">
        <f t="array" aca="1" ref="AA17" ca="1">IF($B17="Branco",0,IF($B17="Manual",QCI.CPManual,IF($B17="SemiAuto",ROUND(QCI!$AA$3*QCI.InvManual,2),INDEX(ORÇAMENTO!$AA$15:$AA$244,MATCH($A17,ORÇAMENTO!$E$15:$E$244,0)))))</f>
        <v>0</v>
      </c>
      <c r="AB17" cm="1">
        <f t="array" aca="1" ref="AB17" ca="1">IF($B17="Branco",0,IF($B17="Manual",QCI.OutrosManual,IF($B17="SemiAuto",0,INDEX(ORÇAMENTO!$AB$15:$AB$244,MATCH($A17,ORÇAMENTO!$E$15:$E$244,0)))))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IF(NOT(ISBLANK(QCI.DescManual)),IF(QCI.Divisao="Calculado","Manual","SemiAuto"),IF(ISERROR(MATCH($A18,ORÇAMENTO!$E$15:$E$244,0)),"Branco","Automático"))</f>
        <v>Automático</v>
      </c>
      <c r="C18" t="str">
        <f t="shared" ca="1" si="1"/>
        <v/>
      </c>
      <c r="D18" s="281">
        <f t="shared" si="2"/>
        <v>5</v>
      </c>
      <c r="E18" s="118" t="s">
        <v>100</v>
      </c>
      <c r="F18" s="118" t="s">
        <v>140</v>
      </c>
      <c r="G18" s="163" t="str">
        <f ca="1">IF(OR($B18="Manual",$B18="SemiAuto"),QCI.DescManual,IF($B18="Automático",INDEX(ORÇAMENTO!$R$15:$R$244,MATCH($A18,ORÇAMENTO!$E$15:$E$244,0)),""))</f>
        <v>PAREDES E PAINÉIS</v>
      </c>
      <c r="H18" s="118" t="s">
        <v>976</v>
      </c>
      <c r="I18" s="464">
        <v>20</v>
      </c>
      <c r="J18" s="282" t="str">
        <f ca="1">IF(AND(ISBLANK(E18),ISBLANK(F18)),"",VLOOKUP($F18,OFFSET(DADOS!$A$2,1,MATCH(QCI!$E18,DADOS!$2:$2,0)-1,100,50),2,FALSE))</f>
        <v>un</v>
      </c>
      <c r="K18" s="463" t="str" cm="1">
        <f t="array" aca="1" ref="K18" ca="1">IF(OR($B18="Manual",$B18="SemiAuto"),QCI.LoteManual,IF($B18="Automático",IF(TIPOORCAMENTO="Licitado",Import.CTEF,"LOTE 1"),""))</f>
        <v>LOTE 1</v>
      </c>
      <c r="L18" s="283">
        <f t="shared" ca="1" si="3"/>
        <v>0</v>
      </c>
      <c r="M18" s="284">
        <f t="shared" ca="1" si="4"/>
        <v>0</v>
      </c>
      <c r="N18" s="285">
        <f t="shared" ca="1" si="5"/>
        <v>0</v>
      </c>
      <c r="O18" s="286" cm="1">
        <f t="array" aca="1" ref="O18" ca="1">IF($B18="Branco",0,IF(OR($B18="Manual",$B18="SemiAuto"),QCI.InvManual,INDEX(ORÇAMENTO!X$15:X$244,MATCH($A18,ORÇAMENTO!$E$15:$E$244,0))))</f>
        <v>0</v>
      </c>
      <c r="P18" s="577" t="str">
        <f t="shared" ca="1" si="6"/>
        <v/>
      </c>
      <c r="R18" s="465"/>
      <c r="S18" s="578" t="str">
        <f t="shared" si="7"/>
        <v/>
      </c>
      <c r="T18" s="466"/>
      <c r="U18" s="579"/>
      <c r="V18" s="467" t="s">
        <v>819</v>
      </c>
      <c r="W18" s="580"/>
      <c r="X18" s="581"/>
      <c r="Z18">
        <f t="shared" ca="1" si="8"/>
        <v>0</v>
      </c>
      <c r="AA18" cm="1">
        <f t="array" aca="1" ref="AA18" ca="1">IF($B18="Branco",0,IF($B18="Manual",QCI.CPManual,IF($B18="SemiAuto",ROUND(QCI!$AA$3*QCI.InvManual,2),INDEX(ORÇAMENTO!$AA$15:$AA$244,MATCH($A18,ORÇAMENTO!$E$15:$E$244,0)))))</f>
        <v>0</v>
      </c>
      <c r="AB18" cm="1">
        <f t="array" aca="1" ref="AB18" ca="1">IF($B18="Branco",0,IF($B18="Manual",QCI.OutrosManual,IF($B18="SemiAuto",0,INDEX(ORÇAMENTO!$AB$15:$AB$244,MATCH($A18,ORÇAMENTO!$E$15:$E$244,0)))))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IF(NOT(ISBLANK(QCI.DescManual)),IF(QCI.Divisao="Calculado","Manual","SemiAuto"),IF(ISERROR(MATCH($A19,ORÇAMENTO!$E$15:$E$244,0)),"Branco","Automático"))</f>
        <v>Automático</v>
      </c>
      <c r="C19" t="str">
        <f t="shared" ca="1" si="1"/>
        <v/>
      </c>
      <c r="D19" s="281">
        <f t="shared" si="2"/>
        <v>6</v>
      </c>
      <c r="E19" s="118" t="s">
        <v>100</v>
      </c>
      <c r="F19" s="118" t="s">
        <v>140</v>
      </c>
      <c r="G19" s="163" t="str">
        <f ca="1">IF(OR($B19="Manual",$B19="SemiAuto"),QCI.DescManual,IF($B19="Automático",INDEX(ORÇAMENTO!$R$15:$R$244,MATCH($A19,ORÇAMENTO!$E$15:$E$244,0)),""))</f>
        <v>COBERTURA E PROTEÇÕES</v>
      </c>
      <c r="H19" s="118" t="s">
        <v>976</v>
      </c>
      <c r="I19" s="464">
        <v>20</v>
      </c>
      <c r="J19" s="282" t="str">
        <f ca="1">IF(AND(ISBLANK(E19),ISBLANK(F19)),"",VLOOKUP($F19,OFFSET(DADOS!$A$2,1,MATCH(QCI!$E19,DADOS!$2:$2,0)-1,100,50),2,FALSE))</f>
        <v>un</v>
      </c>
      <c r="K19" s="463" t="str" cm="1">
        <f t="array" aca="1" ref="K19" ca="1">IF(OR($B19="Manual",$B19="SemiAuto"),QCI.LoteManual,IF($B19="Automático",IF(TIPOORCAMENTO="Licitado",Import.CTEF,"LOTE 1"),""))</f>
        <v>LOTE 1</v>
      </c>
      <c r="L19" s="283">
        <f t="shared" ca="1" si="3"/>
        <v>0</v>
      </c>
      <c r="M19" s="284">
        <f t="shared" ca="1" si="4"/>
        <v>0</v>
      </c>
      <c r="N19" s="285">
        <f t="shared" ca="1" si="5"/>
        <v>0</v>
      </c>
      <c r="O19" s="286" cm="1">
        <f t="array" aca="1" ref="O19" ca="1">IF($B19="Branco",0,IF(OR($B19="Manual",$B19="SemiAuto"),QCI.InvManual,INDEX(ORÇAMENTO!X$15:X$244,MATCH($A19,ORÇAMENTO!$E$15:$E$244,0))))</f>
        <v>0</v>
      </c>
      <c r="P19" s="577" t="str">
        <f t="shared" ca="1" si="6"/>
        <v/>
      </c>
      <c r="R19" s="465"/>
      <c r="S19" s="578" t="str">
        <f t="shared" si="7"/>
        <v/>
      </c>
      <c r="T19" s="466"/>
      <c r="U19" s="579"/>
      <c r="V19" s="467" t="s">
        <v>819</v>
      </c>
      <c r="W19" s="580"/>
      <c r="X19" s="581"/>
      <c r="Z19">
        <f t="shared" ca="1" si="8"/>
        <v>0</v>
      </c>
      <c r="AA19" cm="1">
        <f t="array" aca="1" ref="AA19" ca="1">IF($B19="Branco",0,IF($B19="Manual",QCI.CPManual,IF($B19="SemiAuto",ROUND(QCI!$AA$3*QCI.InvManual,2),INDEX(ORÇAMENTO!$AA$15:$AA$244,MATCH($A19,ORÇAMENTO!$E$15:$E$244,0)))))</f>
        <v>0</v>
      </c>
      <c r="AB19" cm="1">
        <f t="array" aca="1" ref="AB19" ca="1">IF($B19="Branco",0,IF($B19="Manual",QCI.OutrosManual,IF($B19="SemiAuto",0,INDEX(ORÇAMENTO!$AB$15:$AB$244,MATCH($A19,ORÇAMENTO!$E$15:$E$244,0)))))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IF(NOT(ISBLANK(QCI.DescManual)),IF(QCI.Divisao="Calculado","Manual","SemiAuto"),IF(ISERROR(MATCH($A20,ORÇAMENTO!$E$15:$E$244,0)),"Branco","Automático"))</f>
        <v>Automático</v>
      </c>
      <c r="C20" t="str">
        <f t="shared" ca="1" si="1"/>
        <v/>
      </c>
      <c r="D20" s="281">
        <f t="shared" si="2"/>
        <v>7</v>
      </c>
      <c r="E20" s="118" t="s">
        <v>100</v>
      </c>
      <c r="F20" s="118" t="s">
        <v>140</v>
      </c>
      <c r="G20" s="163" t="str">
        <f ca="1">IF(OR($B20="Manual",$B20="SemiAuto"),QCI.DescManual,IF($B20="Automático",INDEX(ORÇAMENTO!$R$15:$R$244,MATCH($A20,ORÇAMENTO!$E$15:$E$244,0)),""))</f>
        <v>REVESTIMENTOS</v>
      </c>
      <c r="H20" s="118" t="s">
        <v>976</v>
      </c>
      <c r="I20" s="464">
        <v>20</v>
      </c>
      <c r="J20" s="282" t="str">
        <f ca="1">IF(AND(ISBLANK(E20),ISBLANK(F20)),"",VLOOKUP($F20,OFFSET(DADOS!$A$2,1,MATCH(QCI!$E20,DADOS!$2:$2,0)-1,100,50),2,FALSE))</f>
        <v>un</v>
      </c>
      <c r="K20" s="463" t="str" cm="1">
        <f t="array" aca="1" ref="K20" ca="1">IF(OR($B20="Manual",$B20="SemiAuto"),QCI.LoteManual,IF($B20="Automático",IF(TIPOORCAMENTO="Licitado",Import.CTEF,"LOTE 1"),""))</f>
        <v>LOTE 1</v>
      </c>
      <c r="L20" s="283">
        <f t="shared" ca="1" si="3"/>
        <v>0</v>
      </c>
      <c r="M20" s="284">
        <f t="shared" ca="1" si="4"/>
        <v>0</v>
      </c>
      <c r="N20" s="285">
        <f t="shared" ca="1" si="5"/>
        <v>0</v>
      </c>
      <c r="O20" s="286" cm="1">
        <f t="array" aca="1" ref="O20" ca="1">IF($B20="Branco",0,IF(OR($B20="Manual",$B20="SemiAuto"),QCI.InvManual,INDEX(ORÇAMENTO!X$15:X$244,MATCH($A20,ORÇAMENTO!$E$15:$E$244,0))))</f>
        <v>0</v>
      </c>
      <c r="P20" s="577" t="str">
        <f t="shared" ca="1" si="6"/>
        <v/>
      </c>
      <c r="R20" s="465"/>
      <c r="S20" s="578" t="str">
        <f t="shared" si="7"/>
        <v/>
      </c>
      <c r="T20" s="466"/>
      <c r="U20" s="579"/>
      <c r="V20" s="467" t="s">
        <v>819</v>
      </c>
      <c r="W20" s="580"/>
      <c r="X20" s="581"/>
      <c r="Z20">
        <f t="shared" ca="1" si="8"/>
        <v>0</v>
      </c>
      <c r="AA20" cm="1">
        <f t="array" aca="1" ref="AA20" ca="1">IF($B20="Branco",0,IF($B20="Manual",QCI.CPManual,IF($B20="SemiAuto",ROUND(QCI!$AA$3*QCI.InvManual,2),INDEX(ORÇAMENTO!$AA$15:$AA$244,MATCH($A20,ORÇAMENTO!$E$15:$E$244,0)))))</f>
        <v>0</v>
      </c>
      <c r="AB20" cm="1">
        <f t="array" aca="1" ref="AB20" ca="1">IF($B20="Branco",0,IF($B20="Manual",QCI.OutrosManual,IF($B20="SemiAuto",0,INDEX(ORÇAMENTO!$AB$15:$AB$244,MATCH($A20,ORÇAMENTO!$E$15:$E$244,0)))))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IF(NOT(ISBLANK(QCI.DescManual)),IF(QCI.Divisao="Calculado","Manual","SemiAuto"),IF(ISERROR(MATCH($A21,ORÇAMENTO!$E$15:$E$244,0)),"Branco","Automático"))</f>
        <v>Automático</v>
      </c>
      <c r="C21" t="str">
        <f t="shared" ca="1" si="1"/>
        <v/>
      </c>
      <c r="D21" s="281">
        <f t="shared" si="2"/>
        <v>8</v>
      </c>
      <c r="E21" s="118" t="s">
        <v>100</v>
      </c>
      <c r="F21" s="118" t="s">
        <v>140</v>
      </c>
      <c r="G21" s="163" t="str">
        <f ca="1">IF(OR($B21="Manual",$B21="SemiAuto"),QCI.DescManual,IF($B21="Automático",INDEX(ORÇAMENTO!$R$15:$R$244,MATCH($A21,ORÇAMENTO!$E$15:$E$244,0)),""))</f>
        <v>PAVIMENTAÇÕES</v>
      </c>
      <c r="H21" s="118" t="s">
        <v>976</v>
      </c>
      <c r="I21" s="464">
        <v>20</v>
      </c>
      <c r="J21" s="282" t="str">
        <f ca="1">IF(AND(ISBLANK(E21),ISBLANK(F21)),"",VLOOKUP($F21,OFFSET(DADOS!$A$2,1,MATCH(QCI!$E21,DADOS!$2:$2,0)-1,100,50),2,FALSE))</f>
        <v>un</v>
      </c>
      <c r="K21" s="463" t="str" cm="1">
        <f t="array" aca="1" ref="K21" ca="1">IF(OR($B21="Manual",$B21="SemiAuto"),QCI.LoteManual,IF($B21="Automático",IF(TIPOORCAMENTO="Licitado",Import.CTEF,"LOTE 1"),""))</f>
        <v>LOTE 1</v>
      </c>
      <c r="L21" s="283">
        <f t="shared" ca="1" si="3"/>
        <v>0</v>
      </c>
      <c r="M21" s="284">
        <f t="shared" ca="1" si="4"/>
        <v>0</v>
      </c>
      <c r="N21" s="285">
        <f t="shared" ca="1" si="5"/>
        <v>0</v>
      </c>
      <c r="O21" s="286" cm="1">
        <f t="array" aca="1" ref="O21" ca="1">IF($B21="Branco",0,IF(OR($B21="Manual",$B21="SemiAuto"),QCI.InvManual,INDEX(ORÇAMENTO!X$15:X$244,MATCH($A21,ORÇAMENTO!$E$15:$E$244,0))))</f>
        <v>0</v>
      </c>
      <c r="P21" s="577" t="str">
        <f t="shared" ca="1" si="6"/>
        <v/>
      </c>
      <c r="R21" s="465"/>
      <c r="S21" s="578" t="str">
        <f t="shared" si="7"/>
        <v/>
      </c>
      <c r="T21" s="466"/>
      <c r="U21" s="579"/>
      <c r="V21" s="467" t="s">
        <v>819</v>
      </c>
      <c r="W21" s="580"/>
      <c r="X21" s="581"/>
      <c r="Z21">
        <f t="shared" ca="1" si="8"/>
        <v>0</v>
      </c>
      <c r="AA21" cm="1">
        <f t="array" aca="1" ref="AA21" ca="1">IF($B21="Branco",0,IF($B21="Manual",QCI.CPManual,IF($B21="SemiAuto",ROUND(QCI!$AA$3*QCI.InvManual,2),INDEX(ORÇAMENTO!$AA$15:$AA$244,MATCH($A21,ORÇAMENTO!$E$15:$E$244,0)))))</f>
        <v>0</v>
      </c>
      <c r="AB21" cm="1">
        <f t="array" aca="1" ref="AB21" ca="1">IF($B21="Branco",0,IF($B21="Manual",QCI.OutrosManual,IF($B21="SemiAuto",0,INDEX(ORÇAMENTO!$AB$15:$AB$244,MATCH($A21,ORÇAMENTO!$E$15:$E$244,0)))))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IF(NOT(ISBLANK(QCI.DescManual)),IF(QCI.Divisao="Calculado","Manual","SemiAuto"),IF(ISERROR(MATCH($A22,ORÇAMENTO!$E$15:$E$244,0)),"Branco","Automático"))</f>
        <v>Automático</v>
      </c>
      <c r="C22" t="str">
        <f t="shared" ca="1" si="1"/>
        <v/>
      </c>
      <c r="D22" s="281">
        <f t="shared" si="2"/>
        <v>9</v>
      </c>
      <c r="E22" s="118" t="s">
        <v>100</v>
      </c>
      <c r="F22" s="118" t="s">
        <v>140</v>
      </c>
      <c r="G22" s="163" t="str">
        <f ca="1">IF(OR($B22="Manual",$B22="SemiAuto"),QCI.DescManual,IF($B22="Automático",INDEX(ORÇAMENTO!$R$15:$R$244,MATCH($A22,ORÇAMENTO!$E$15:$E$244,0)),""))</f>
        <v>INSTALAÇÕES</v>
      </c>
      <c r="H22" s="118" t="s">
        <v>976</v>
      </c>
      <c r="I22" s="464">
        <v>20</v>
      </c>
      <c r="J22" s="282" t="str">
        <f ca="1">IF(AND(ISBLANK(E22),ISBLANK(F22)),"",VLOOKUP($F22,OFFSET(DADOS!$A$2,1,MATCH(QCI!$E22,DADOS!$2:$2,0)-1,100,50),2,FALSE))</f>
        <v>un</v>
      </c>
      <c r="K22" s="463" t="str" cm="1">
        <f t="array" aca="1" ref="K22" ca="1">IF(OR($B22="Manual",$B22="SemiAuto"),QCI.LoteManual,IF($B22="Automático",IF(TIPOORCAMENTO="Licitado",Import.CTEF,"LOTE 1"),""))</f>
        <v>LOTE 1</v>
      </c>
      <c r="L22" s="283">
        <f t="shared" ca="1" si="3"/>
        <v>0</v>
      </c>
      <c r="M22" s="284">
        <f t="shared" ca="1" si="4"/>
        <v>0</v>
      </c>
      <c r="N22" s="285">
        <f t="shared" ca="1" si="5"/>
        <v>0</v>
      </c>
      <c r="O22" s="286" cm="1">
        <f t="array" aca="1" ref="O22" ca="1">IF($B22="Branco",0,IF(OR($B22="Manual",$B22="SemiAuto"),QCI.InvManual,INDEX(ORÇAMENTO!X$15:X$244,MATCH($A22,ORÇAMENTO!$E$15:$E$244,0))))</f>
        <v>0</v>
      </c>
      <c r="P22" s="577" t="str">
        <f t="shared" ca="1" si="6"/>
        <v/>
      </c>
      <c r="R22" s="465"/>
      <c r="S22" s="578" t="str">
        <f t="shared" si="7"/>
        <v/>
      </c>
      <c r="T22" s="466"/>
      <c r="U22" s="579"/>
      <c r="V22" s="467" t="s">
        <v>819</v>
      </c>
      <c r="W22" s="580"/>
      <c r="X22" s="581"/>
      <c r="Z22">
        <f t="shared" ca="1" si="8"/>
        <v>0</v>
      </c>
      <c r="AA22" cm="1">
        <f t="array" aca="1" ref="AA22" ca="1">IF($B22="Branco",0,IF($B22="Manual",QCI.CPManual,IF($B22="SemiAuto",ROUND(QCI!$AA$3*QCI.InvManual,2),INDEX(ORÇAMENTO!$AA$15:$AA$244,MATCH($A22,ORÇAMENTO!$E$15:$E$244,0)))))</f>
        <v>0</v>
      </c>
      <c r="AB22" cm="1">
        <f t="array" aca="1" ref="AB22" ca="1">IF($B22="Branco",0,IF($B22="Manual",QCI.OutrosManual,IF($B22="SemiAuto",0,INDEX(ORÇAMENTO!$AB$15:$AB$244,MATCH($A22,ORÇAMENTO!$E$15:$E$244,0)))))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IF(NOT(ISBLANK(QCI.DescManual)),IF(QCI.Divisao="Calculado","Manual","SemiAuto"),IF(ISERROR(MATCH($A23,ORÇAMENTO!$E$15:$E$244,0)),"Branco","Automático"))</f>
        <v>Automático</v>
      </c>
      <c r="C23" t="str">
        <f ca="1">IF(O23&gt;0,"F","")</f>
        <v/>
      </c>
      <c r="D23" s="281">
        <f>ROW()-ROW($D$13)</f>
        <v>10</v>
      </c>
      <c r="E23" s="118" t="s">
        <v>100</v>
      </c>
      <c r="F23" s="118" t="s">
        <v>140</v>
      </c>
      <c r="G23" s="163" t="str">
        <f ca="1">IF(OR($B23="Manual",$B23="SemiAuto"),QCI.DescManual,IF($B23="Automático",INDEX(ORÇAMENTO!$R$15:$R$244,MATCH($A23,ORÇAMENTO!$E$15:$E$244,0)),""))</f>
        <v>COMPLEMENTAÇÕES</v>
      </c>
      <c r="H23" s="118" t="s">
        <v>976</v>
      </c>
      <c r="I23" s="464">
        <v>20</v>
      </c>
      <c r="J23" s="282" t="str">
        <f ca="1">IF(AND(ISBLANK(E23),ISBLANK(F23)),"",VLOOKUP($F23,OFFSET(DADOS!$A$2,1,MATCH(QCI!$E23,DADOS!$2:$2,0)-1,100,50),2,FALSE))</f>
        <v>un</v>
      </c>
      <c r="K23" s="463" t="str" cm="1">
        <f t="array" aca="1" ref="K23" ca="1">IF(OR($B23="Manual",$B23="SemiAuto"),QCI.LoteManual,IF($B23="Automático",IF(TIPOORCAMENTO="Licitado",Import.CTEF,"LOTE 1"),""))</f>
        <v>LOTE 1</v>
      </c>
      <c r="L23" s="283">
        <f ca="1">ROUND($O23,2)-ROUND($M23,2)-ROUND($N23,2)</f>
        <v>0</v>
      </c>
      <c r="M23" s="284">
        <f ca="1">ROUND($AA23,2)-ROUND($AE23,2)</f>
        <v>0</v>
      </c>
      <c r="N23" s="285">
        <f ca="1">ROUND($AB23,2)</f>
        <v>0</v>
      </c>
      <c r="O23" s="286" cm="1">
        <f t="array" aca="1" ref="O23" ca="1">IF($B23="Branco",0,IF(OR($B23="Manual",$B23="SemiAuto"),QCI.InvManual,INDEX(ORÇAMENTO!X$15:X$244,MATCH($A23,ORÇAMENTO!$E$15:$E$244,0))))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cm="1">
        <f t="array" aca="1" ref="AA23" ca="1">IF($B23="Branco",0,IF($B23="Manual",QCI.CPManual,IF($B23="SemiAuto",ROUND(QCI!$AA$3*QCI.InvManual,2),INDEX(ORÇAMENTO!$AA$15:$AA$244,MATCH($A23,ORÇAMENTO!$E$15:$E$244,0)))))</f>
        <v>0</v>
      </c>
      <c r="AB23" cm="1">
        <f t="array" aca="1" ref="AB23" ca="1">IF($B23="Branco",0,IF($B23="Manual",QCI.OutrosManual,IF($B23="SemiAuto",0,INDEX(ORÇAMENTO!$AB$15:$AB$244,MATCH($A23,ORÇAMENTO!$E$15:$E$244,0)))))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781" t="s">
        <v>830</v>
      </c>
      <c r="L24" s="296">
        <f ca="1">SUM(L13:OFFSET(L24,-1,0))</f>
        <v>0</v>
      </c>
      <c r="M24" s="297">
        <f ca="1">SUM(M13:OFFSET(M24,-1,0))</f>
        <v>0</v>
      </c>
      <c r="N24" s="298">
        <f ca="1">SUM(N13:OFFSET(N24,-1,0))</f>
        <v>0</v>
      </c>
      <c r="O24" s="299">
        <f ca="1">SUM(O13:OFFSET(O24,-1,0))</f>
        <v>0</v>
      </c>
      <c r="R24" s="300"/>
      <c r="T24" s="301"/>
      <c r="U24" s="302"/>
      <c r="V24" s="303"/>
      <c r="W24" s="304"/>
      <c r="X24" s="305"/>
      <c r="Z24" s="88">
        <f ca="1">SUMPRODUCT(ROUND(Z13:OFFSET(Z24,-1,0),2))</f>
        <v>0</v>
      </c>
      <c r="AA24" s="88">
        <f ca="1">SUMPRODUCT(ROUND(AA13:OFFSET(AA24,-1,0),2))</f>
        <v>0</v>
      </c>
      <c r="AB24" s="88">
        <f ca="1">SUM(AB13:OFFSET(AB24,-1,0))</f>
        <v>0</v>
      </c>
    </row>
    <row r="25" spans="1:31" x14ac:dyDescent="0.2">
      <c r="B25" t="s">
        <v>831</v>
      </c>
      <c r="C25" t="s">
        <v>536</v>
      </c>
      <c r="D25" s="306"/>
      <c r="E25" s="307"/>
      <c r="F25" s="307"/>
      <c r="G25" s="307"/>
      <c r="H25" s="307"/>
      <c r="I25" s="307"/>
      <c r="J25" s="307"/>
      <c r="K25" s="781"/>
      <c r="L25" s="308">
        <f ca="1">IF(ISERROR(L24/$O24),0,ROUND(L24/$O24,4))</f>
        <v>0</v>
      </c>
      <c r="M25" s="309">
        <f ca="1">IF(ISERROR(M24/$O24),0,ROUND(M24/$O24,4))</f>
        <v>0</v>
      </c>
      <c r="N25" s="310">
        <f ca="1">IF(ISERROR(N24/$O24),0,ROUND(N24/$O24,4))</f>
        <v>0</v>
      </c>
      <c r="O25" s="311">
        <f ca="1">IF(ISERROR(O24/$O24),0,ROUND(O24/$O24,4))</f>
        <v>0</v>
      </c>
      <c r="R25" s="312"/>
      <c r="T25" s="313"/>
      <c r="U25" s="314"/>
      <c r="V25" s="315"/>
      <c r="W25" s="316"/>
      <c r="X25" s="317"/>
    </row>
    <row r="27" spans="1:31" ht="14.25" x14ac:dyDescent="0.2">
      <c r="D27" s="135" t="s">
        <v>689</v>
      </c>
    </row>
    <row r="28" spans="1:31" ht="12.75" customHeight="1" x14ac:dyDescent="0.2">
      <c r="D28" s="715"/>
      <c r="E28" s="715"/>
      <c r="F28" s="715"/>
      <c r="G28" s="715"/>
      <c r="H28" s="715"/>
      <c r="I28" s="715"/>
      <c r="J28" s="715"/>
      <c r="K28" s="715"/>
      <c r="L28" s="715"/>
      <c r="M28" s="715"/>
      <c r="N28" s="715"/>
      <c r="O28" s="715"/>
    </row>
    <row r="29" spans="1:31" ht="12.75" customHeight="1" x14ac:dyDescent="0.2">
      <c r="D29" s="715"/>
      <c r="E29" s="715"/>
      <c r="F29" s="715"/>
      <c r="G29" s="715"/>
      <c r="H29" s="715"/>
      <c r="I29" s="715"/>
      <c r="J29" s="715"/>
      <c r="K29" s="715"/>
      <c r="L29" s="715"/>
      <c r="M29" s="715"/>
      <c r="N29" s="715"/>
      <c r="O29" s="715"/>
    </row>
    <row r="30" spans="1:31" ht="12.75" customHeight="1" x14ac:dyDescent="0.2">
      <c r="D30" s="715"/>
      <c r="E30" s="715"/>
      <c r="F30" s="715"/>
      <c r="G30" s="715"/>
      <c r="H30" s="715"/>
      <c r="I30" s="715"/>
      <c r="J30" s="715"/>
      <c r="K30" s="715"/>
      <c r="L30" s="715"/>
      <c r="M30" s="715"/>
      <c r="N30" s="715"/>
      <c r="O30" s="715"/>
    </row>
    <row r="33" spans="4:12" ht="15" x14ac:dyDescent="0.2">
      <c r="D33" s="717" t="str">
        <f>Import.Município</f>
        <v>Pedro Régis-PB</v>
      </c>
      <c r="E33" s="717"/>
      <c r="F33" s="717"/>
      <c r="I33" s="139"/>
      <c r="J33" s="139"/>
      <c r="K33" s="180"/>
      <c r="L33" s="180"/>
    </row>
    <row r="34" spans="4:12" x14ac:dyDescent="0.2">
      <c r="D34" s="9" t="s">
        <v>693</v>
      </c>
      <c r="I34" s="181" t="s">
        <v>832</v>
      </c>
      <c r="J34" s="181"/>
    </row>
    <row r="35" spans="4:12" x14ac:dyDescent="0.2">
      <c r="I35" s="77" t="str">
        <f>"Nome:" &amp;  " " &amp; DADOS!C28</f>
        <v>Nome: Michele Ribeiro de Oliveira</v>
      </c>
    </row>
    <row r="36" spans="4:12" x14ac:dyDescent="0.2">
      <c r="D36" s="711">
        <f>DADOS!$C$25</f>
        <v>45981</v>
      </c>
      <c r="E36" s="711"/>
      <c r="F36" s="711"/>
      <c r="I36" s="77" t="str">
        <f>"Cargo:"  &amp; " " &amp; DADOS!C29</f>
        <v>Cargo: Prefeita Constitucional</v>
      </c>
    </row>
    <row r="37" spans="4:12" x14ac:dyDescent="0.2">
      <c r="D37" s="140" t="s">
        <v>694</v>
      </c>
      <c r="E37" s="1"/>
      <c r="F37" s="1"/>
      <c r="K37" s="77"/>
      <c r="L37" s="78"/>
    </row>
  </sheetData>
  <sheetProtection algorithmName="SHA-512" hashValue="CsxUmeZc+EDHTFAODAaI7vdyhJItSXEOvFp/ouXhkDgBbDv2vM4BeYAZ1VYwCnRVQcgdG/LhnVALfmiT2Q9k0A==" saltValue="2I0OzVwCix+H8JWdwU+9cA==" spinCount="100000" sheet="1" objects="1" scenarios="1" autoFilter="0"/>
  <autoFilter ref="C13:C25" xr:uid="{00000000-0009-0000-0000-00000A000000}"/>
  <mergeCells count="20">
    <mergeCell ref="D6:K6"/>
    <mergeCell ref="A10:A11"/>
    <mergeCell ref="Z10:AB10"/>
    <mergeCell ref="D36:F36"/>
    <mergeCell ref="D28:O30"/>
    <mergeCell ref="D33:F33"/>
    <mergeCell ref="AD10:AE10"/>
    <mergeCell ref="K24:K25"/>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cfRule type="expression" dxfId="119" priority="961" stopIfTrue="1">
      <formula>OR($B12="Automático",$B12="Branco")</formula>
    </cfRule>
  </conditionalFormatting>
  <conditionalFormatting sqref="L12">
    <cfRule type="expression" dxfId="118"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17" priority="963" stopIfTrue="1">
      <formula>OR($B12="Automático",$B12="Branco",$V12&lt;&gt;"Calculado")</formula>
    </cfRule>
  </conditionalFormatting>
  <conditionalFormatting sqref="M25">
    <cfRule type="expression" dxfId="116" priority="965" stopIfTrue="1">
      <formula>AND($G$9&lt;&gt;"",OR($M$25&lt;Import.CPMinPerc,$M$25&gt;Import.CPMaxPerc))</formula>
    </cfRule>
  </conditionalFormatting>
  <conditionalFormatting sqref="M24">
    <cfRule type="expression" dxfId="115" priority="966" stopIfTrue="1">
      <formula>AND($G$9&lt;&gt;"",$M$24&lt;Import.CPMinAbsoluta)</formula>
    </cfRule>
  </conditionalFormatting>
  <conditionalFormatting sqref="L10:M10">
    <cfRule type="cellIs" dxfId="114" priority="967" stopIfTrue="1" operator="lessThan">
      <formula>0</formula>
    </cfRule>
  </conditionalFormatting>
  <conditionalFormatting sqref="G12">
    <cfRule type="cellIs" dxfId="113" priority="968" stopIfTrue="1" operator="equal">
      <formula>"(digite a descrição aqui)"</formula>
    </cfRule>
  </conditionalFormatting>
  <conditionalFormatting sqref="T14:V22">
    <cfRule type="expression" dxfId="112" priority="5" stopIfTrue="1">
      <formula>OR($B14="Automático",$B14="Branco")</formula>
    </cfRule>
  </conditionalFormatting>
  <conditionalFormatting sqref="L14:L22">
    <cfRule type="expression" dxfId="111"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10" priority="7" stopIfTrue="1">
      <formula>OR($B14="Automático",$B14="Branco",$V14&lt;&gt;"Calculado")</formula>
    </cfRule>
  </conditionalFormatting>
  <conditionalFormatting sqref="G14:G22">
    <cfRule type="cellIs" dxfId="109" priority="8" stopIfTrue="1" operator="equal">
      <formula>"(digite a descrição aqui)"</formula>
    </cfRule>
  </conditionalFormatting>
  <conditionalFormatting sqref="T23:V23">
    <cfRule type="expression" dxfId="108" priority="1" stopIfTrue="1">
      <formula>OR($B23="Automático",$B23="Branco")</formula>
    </cfRule>
  </conditionalFormatting>
  <conditionalFormatting sqref="L23">
    <cfRule type="expression" dxfId="107"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06" priority="3" stopIfTrue="1">
      <formula>OR($B23="Automático",$B23="Branco",$V23&lt;&gt;"Calculado")</formula>
    </cfRule>
  </conditionalFormatting>
  <conditionalFormatting sqref="G23">
    <cfRule type="cellIs" dxfId="105"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BF74"/>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28515625" customWidth="1"/>
    <col min="3" max="3" width="17" customWidth="1"/>
    <col min="4" max="4" width="19.7109375" customWidth="1"/>
    <col min="5" max="5" width="0.7109375" customWidth="1"/>
    <col min="6" max="6" width="5.5703125" hidden="1" customWidth="1"/>
    <col min="7" max="7" width="9.28515625" hidden="1" customWidth="1"/>
    <col min="8" max="57" width="5.5703125" customWidth="1"/>
    <col min="58" max="58" width="8.5703125" hidden="1" customWidth="1"/>
    <col min="59" max="59" width="8.5703125" customWidth="1"/>
  </cols>
  <sheetData>
    <row r="1" spans="1:58" ht="19.5" hidden="1" customHeight="1" x14ac:dyDescent="0.2">
      <c r="A1" s="7" t="e">
        <f ca="1">IF(C1=0,"","F")</f>
        <v>#REF!</v>
      </c>
      <c r="B1" s="247" t="e">
        <f ca="1">OFFSET(B1,-1,0)+1</f>
        <v>#REF!</v>
      </c>
      <c r="C1" s="785" t="e">
        <f ca="1">IF(AUTOEVENTO="Manual",OFFSET(EVENTOS!$D$15,$B1-$B$15,0),IF(B1&lt;=MAX(CÁLCULO!$M$15:$M$244),VLOOKUP($B1,CÁLCULO!$M$15:$N$244,2,FALSE),0))</f>
        <v>#REF!</v>
      </c>
      <c r="D1" s="785"/>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c r="AG1" s="248"/>
      <c r="AH1" s="248"/>
      <c r="AI1" s="248"/>
      <c r="AJ1" s="248"/>
      <c r="AK1" s="248"/>
      <c r="AL1" s="248"/>
      <c r="AM1" s="248"/>
      <c r="AN1" s="248"/>
      <c r="AO1" s="248"/>
      <c r="AP1" s="248"/>
      <c r="AQ1" s="248"/>
      <c r="AR1" s="248"/>
      <c r="AS1" s="248"/>
      <c r="AT1" s="248"/>
      <c r="AU1" s="248"/>
      <c r="AV1" s="248"/>
      <c r="AW1" s="248"/>
      <c r="AX1" s="248"/>
      <c r="AY1" s="248"/>
      <c r="AZ1" s="248"/>
      <c r="BA1" s="248"/>
      <c r="BB1" s="248"/>
      <c r="BC1" s="248"/>
      <c r="BD1" s="248"/>
      <c r="BE1" s="248"/>
    </row>
    <row r="2" spans="1:58" ht="16.5" hidden="1" customHeight="1" x14ac:dyDescent="0.2">
      <c r="A2" s="7"/>
      <c r="B2" s="7"/>
      <c r="C2" s="12"/>
      <c r="D2" s="12"/>
      <c r="F2" s="438"/>
    </row>
    <row r="3" spans="1:58" ht="15.75" x14ac:dyDescent="0.25">
      <c r="H3" s="206" t="s">
        <v>833</v>
      </c>
      <c r="AD3" s="682" t="s">
        <v>644</v>
      </c>
      <c r="AE3" s="682"/>
      <c r="AF3" s="682"/>
      <c r="AG3" s="206" t="s">
        <v>833</v>
      </c>
      <c r="BC3" s="682" t="s">
        <v>644</v>
      </c>
      <c r="BD3" s="682"/>
      <c r="BE3" s="682"/>
    </row>
    <row r="4" spans="1:58" ht="15.75" x14ac:dyDescent="0.2">
      <c r="B4" s="82"/>
      <c r="C4" s="82"/>
      <c r="H4" s="83" t="str">
        <f>import.recurso</f>
        <v>OGU</v>
      </c>
      <c r="AD4" s="683" t="s">
        <v>647</v>
      </c>
      <c r="AE4" s="683"/>
      <c r="AF4" s="683"/>
      <c r="AG4" s="83" t="str">
        <f>import.recurso</f>
        <v>OGU</v>
      </c>
      <c r="BC4" s="683" t="s">
        <v>647</v>
      </c>
      <c r="BD4" s="683"/>
      <c r="BE4" s="683"/>
    </row>
    <row r="6" spans="1:58"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794" t="str" cm="1">
        <f t="array" ref="AE6">IF(TIPOORCAMENTO="Licitado","Nº CTEF","")</f>
        <v/>
      </c>
      <c r="AF6" s="794"/>
      <c r="AG6" s="211" t="s">
        <v>788</v>
      </c>
      <c r="AH6" s="186"/>
      <c r="AI6" s="186"/>
      <c r="AJ6" s="186"/>
      <c r="AK6" s="185"/>
      <c r="AL6" s="185"/>
      <c r="AM6" s="264"/>
      <c r="AN6" s="208" t="s">
        <v>758</v>
      </c>
      <c r="AO6" s="212"/>
      <c r="AQ6" s="186"/>
      <c r="AR6" s="186"/>
      <c r="AS6" s="186"/>
      <c r="AT6" s="209"/>
      <c r="AU6" s="208" t="str" cm="1">
        <f t="array" ref="AU6">IF(TIPOORCAMENTO="Licitado","NOME DA EMPRESA","DESCRIÇÃO DO LOTE")</f>
        <v>DESCRIÇÃO DO LOTE</v>
      </c>
      <c r="AV6" s="186"/>
      <c r="AW6" s="186"/>
      <c r="AX6" s="186"/>
      <c r="BC6" s="4"/>
      <c r="BD6" s="794" t="str" cm="1">
        <f t="array" ref="BD6">IF(TIPOORCAMENTO="Licitado","Nº CTEF","")</f>
        <v/>
      </c>
      <c r="BE6" s="794"/>
    </row>
    <row r="7" spans="1:58" x14ac:dyDescent="0.2">
      <c r="B7" s="764" t="str">
        <f>Import.CR</f>
        <v>-</v>
      </c>
      <c r="C7" s="764"/>
      <c r="D7" s="214" t="str">
        <f>Import.TransfereGOV</f>
        <v>-</v>
      </c>
      <c r="E7" s="42"/>
      <c r="H7" s="774" t="str">
        <f>Import.Proponente</f>
        <v>Prefeitura Municipal de Pedro Régis-PB</v>
      </c>
      <c r="I7" s="774"/>
      <c r="J7" s="774"/>
      <c r="K7" s="774"/>
      <c r="L7" s="774"/>
      <c r="M7" s="774"/>
      <c r="N7" s="774"/>
      <c r="O7" s="764" t="str">
        <f>Import.Apelido</f>
        <v>Casa térrea acessível, 2 quartos, Autil=47,46m², conforme Portaria MCID 1416/2023</v>
      </c>
      <c r="P7" s="764"/>
      <c r="Q7" s="764"/>
      <c r="R7" s="764"/>
      <c r="S7" s="764"/>
      <c r="T7" s="764"/>
      <c r="U7" s="764"/>
      <c r="V7" s="764" t="str" cm="1">
        <f t="array" ref="V7">IF(TIPOORCAMENTO="Licitado",Import.empresa,Import.DescLote)</f>
        <v>Construção de 20 residencias unifamiliares no Município de Pedro Régis/PB - Novo PAC FNHIS - Sub 50</v>
      </c>
      <c r="W7" s="764"/>
      <c r="X7" s="764"/>
      <c r="Y7" s="764"/>
      <c r="Z7" s="764"/>
      <c r="AA7" s="764"/>
      <c r="AB7" s="764"/>
      <c r="AC7" s="764"/>
      <c r="AD7" s="764"/>
      <c r="AE7" s="795" t="str" cm="1">
        <f t="array" ref="AE7">IF(TIPOORCAMENTO="Licitado",Import.CTEF,"")</f>
        <v/>
      </c>
      <c r="AF7" s="795"/>
      <c r="AG7" s="774" t="str">
        <f>Import.Proponente</f>
        <v>Prefeitura Municipal de Pedro Régis-PB</v>
      </c>
      <c r="AH7" s="774"/>
      <c r="AI7" s="774"/>
      <c r="AJ7" s="774"/>
      <c r="AK7" s="774"/>
      <c r="AL7" s="774"/>
      <c r="AM7" s="774"/>
      <c r="AN7" s="764" t="str">
        <f>Import.Apelido</f>
        <v>Casa térrea acessível, 2 quartos, Autil=47,46m², conforme Portaria MCID 1416/2023</v>
      </c>
      <c r="AO7" s="764"/>
      <c r="AP7" s="764"/>
      <c r="AQ7" s="764"/>
      <c r="AR7" s="764"/>
      <c r="AS7" s="764"/>
      <c r="AT7" s="764"/>
      <c r="AU7" s="764" t="str" cm="1">
        <f t="array" ref="AU7">IF(TIPOORCAMENTO="Licitado",Import.empresa,Import.DescLote)</f>
        <v>Construção de 20 residencias unifamiliares no Município de Pedro Régis/PB - Novo PAC FNHIS - Sub 50</v>
      </c>
      <c r="AV7" s="764"/>
      <c r="AW7" s="764"/>
      <c r="AX7" s="764"/>
      <c r="AY7" s="764"/>
      <c r="AZ7" s="764"/>
      <c r="BA7" s="764"/>
      <c r="BB7" s="764"/>
      <c r="BC7" s="764"/>
      <c r="BD7" s="795" t="str" cm="1">
        <f t="array" ref="BD7">IF(TIPOORCAMENTO="Licitado",Import.CTEF,"")</f>
        <v/>
      </c>
      <c r="BE7" s="795"/>
      <c r="BF7" s="265"/>
    </row>
    <row r="9" spans="1:58" ht="15.75" x14ac:dyDescent="0.25">
      <c r="A9" s="165">
        <v>0</v>
      </c>
      <c r="B9" s="266"/>
      <c r="C9" s="266"/>
      <c r="I9" s="267" t="s">
        <v>834</v>
      </c>
      <c r="J9" s="797">
        <v>1</v>
      </c>
      <c r="K9" s="797"/>
      <c r="M9" s="267" t="s">
        <v>799</v>
      </c>
      <c r="N9" s="798" t="str">
        <f ca="1">TEXT(IF(PLE.Medicao=1,Import.DataInicioObra,OFFSET($H$60,0,1+(PLE.Medicao-$I$61)*2-2)+1),"dd/mm/aaaa")&amp;" a "&amp;TEXT(OFFSET($H$60,0,1+(PLE.Medicao-$I$61)*2),"dd/mm/aaaa")</f>
        <v>00/01/1900 a 00/01/1900</v>
      </c>
      <c r="O9" s="798"/>
      <c r="P9" s="798"/>
      <c r="Q9" s="798"/>
      <c r="R9" s="798"/>
      <c r="S9" s="798"/>
      <c r="T9" s="798"/>
      <c r="U9" s="268"/>
      <c r="X9" s="267" t="s">
        <v>835</v>
      </c>
      <c r="Y9" s="796" t="e">
        <f ca="1">OFFSET($I$61,1+8*(ROUNDUP(($J$9-0)/((COLUMN($BF$14)-COLUMN($G$14)-1)/25*12),0)-1),ROUNDDOWN((($J$9-0)-OFFSET($I$61,8*(ROUNDUP(($J$9-0)/((COLUMN($BF$14)-COLUMN($G$14)-1)/25*12),0)-1),0))*(2+1/12),0))</f>
        <v>#DIV/0!</v>
      </c>
      <c r="Z9" s="796"/>
      <c r="AD9" s="267" t="s">
        <v>836</v>
      </c>
      <c r="AE9" s="796" t="e">
        <f ca="1">OFFSET($I$61,3+8*(ROUNDUP(($J$9-0)/((COLUMN($BF$14)-COLUMN($G$14)-1)/25*12),0)-1),ROUNDDOWN((($J$9-0)-OFFSET($I$61,8*(ROUNDUP(($J$9-0)/((COLUMN($BF$14)-COLUMN($G$14)-1)/25*12),0)-1),0))*(2+1/12),0))</f>
        <v>#DIV/0!</v>
      </c>
      <c r="AF9" s="796"/>
      <c r="AH9" s="267" t="s">
        <v>834</v>
      </c>
      <c r="AI9" s="797">
        <v>1</v>
      </c>
      <c r="AJ9" s="797"/>
      <c r="AL9" s="267" t="s">
        <v>799</v>
      </c>
      <c r="AM9" s="798" t="str">
        <f ca="1">TEXT(IF(PLE.Medicao=1,Import.DataInicioObra,OFFSET($H$60,0,1+(PLE.Medicao-$I$61)*2-2)+1),"dd/mm/aaaa")&amp;" a "&amp;TEXT(OFFSET($H$60,0,1+(PLE.Medicao-$I$61)*2),"dd/mm/aaaa")</f>
        <v>00/01/1900 a 00/01/1900</v>
      </c>
      <c r="AN9" s="798"/>
      <c r="AO9" s="798"/>
      <c r="AP9" s="798"/>
      <c r="AQ9" s="798"/>
      <c r="AR9" s="798"/>
      <c r="AS9" s="798"/>
      <c r="AT9" s="268"/>
      <c r="AW9" s="267" t="s">
        <v>835</v>
      </c>
      <c r="AX9" s="796" t="e">
        <f ca="1">OFFSET($I$61,1+8*(ROUNDUP(($J$9-0)/((COLUMN($BF$14)-COLUMN($G$14)-1)/25*12),0)-1),ROUNDDOWN((($J$9-0)-OFFSET($I$61,8*(ROUNDUP(($J$9-0)/((COLUMN($BF$14)-COLUMN($G$14)-1)/25*12),0)-1),0))*(2+1/12),0))</f>
        <v>#DIV/0!</v>
      </c>
      <c r="AY9" s="796"/>
      <c r="BC9" s="267" t="s">
        <v>836</v>
      </c>
      <c r="BD9" s="796" t="e">
        <f ca="1">OFFSET($I$61,3+8*(ROUNDUP(($J$9-0)/((COLUMN($BF$14)-COLUMN($G$14)-1)/25*12),0)-1),ROUNDDOWN((($J$9-0)-OFFSET($I$61,8*(ROUNDUP(($J$9-0)/((COLUMN($BF$14)-COLUMN($G$14)-1)/25*12),0)-1),0))*(2+1/12),0))</f>
        <v>#DIV/0!</v>
      </c>
      <c r="BE9" s="796"/>
    </row>
    <row r="11" spans="1:58" ht="65.25" customHeight="1" x14ac:dyDescent="0.2">
      <c r="A11" s="250" t="s">
        <v>837</v>
      </c>
      <c r="C11" s="799"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IF($H$60&lt;&gt;"",UPPER($H$60),
 IF($S$69&lt;&gt;"",UPPER($S$69),""))))))</f>
        <v>ALTERE O TIPO DE ORÇAMENTO NA ABA 'MENU' PARA LICITADO.</v>
      </c>
      <c r="D11" s="799"/>
      <c r="F11" s="252" t="str" cm="1">
        <f t="array" aca="1" ref="F11" ca="1">IF(F$12&gt;CÁLCULO.NúmeroDeFrentes,"",OFFSET(CÁLCULO!$P$12,0,F$12))</f>
        <v>Casa 1</v>
      </c>
      <c r="H11" s="252" t="str" cm="1">
        <f t="array" aca="1" ref="H11" ca="1">IF(H$12&gt;CÁLCULO.NúmeroDeFrentes,"",OFFSET(CÁLCULO!$P$12,0,H$12))</f>
        <v>Casa 1</v>
      </c>
      <c r="I11" s="252" t="str" cm="1">
        <f t="array" aca="1" ref="I11" ca="1">IF(I$12&gt;CÁLCULO.NúmeroDeFrentes,"",OFFSET(CÁLCULO!$P$12,0,I$12))</f>
        <v>Casa 2</v>
      </c>
      <c r="J11" s="252" t="str" cm="1">
        <f t="array" aca="1" ref="J11" ca="1">IF(J$12&gt;CÁLCULO.NúmeroDeFrentes,"",OFFSET(CÁLCULO!$P$12,0,J$12))</f>
        <v>Casa 3</v>
      </c>
      <c r="K11" s="252" t="str" cm="1">
        <f t="array" aca="1" ref="K11" ca="1">IF(K$12&gt;CÁLCULO.NúmeroDeFrentes,"",OFFSET(CÁLCULO!$P$12,0,K$12))</f>
        <v>Casa 4</v>
      </c>
      <c r="L11" s="252" t="str" cm="1">
        <f t="array" aca="1" ref="L11" ca="1">IF(L$12&gt;CÁLCULO.NúmeroDeFrentes,"",OFFSET(CÁLCULO!$P$12,0,L$12))</f>
        <v>Casa 5</v>
      </c>
      <c r="M11" s="252" t="str" cm="1">
        <f t="array" aca="1" ref="M11" ca="1">IF(M$12&gt;CÁLCULO.NúmeroDeFrentes,"",OFFSET(CÁLCULO!$P$12,0,M$12))</f>
        <v>Casa 6</v>
      </c>
      <c r="N11" s="252" t="str" cm="1">
        <f t="array" aca="1" ref="N11" ca="1">IF(N$12&gt;CÁLCULO.NúmeroDeFrentes,"",OFFSET(CÁLCULO!$P$12,0,N$12))</f>
        <v>Casa 7</v>
      </c>
      <c r="O11" s="252" t="str" cm="1">
        <f t="array" aca="1" ref="O11" ca="1">IF(O$12&gt;CÁLCULO.NúmeroDeFrentes,"",OFFSET(CÁLCULO!$P$12,0,O$12))</f>
        <v>Casa 8</v>
      </c>
      <c r="P11" s="252" t="str" cm="1">
        <f t="array" aca="1" ref="P11" ca="1">IF(P$12&gt;CÁLCULO.NúmeroDeFrentes,"",OFFSET(CÁLCULO!$P$12,0,P$12))</f>
        <v>Casa 9</v>
      </c>
      <c r="Q11" s="252" t="str" cm="1">
        <f t="array" aca="1" ref="Q11" ca="1">IF(Q$12&gt;CÁLCULO.NúmeroDeFrentes,"",OFFSET(CÁLCULO!$P$12,0,Q$12))</f>
        <v>Casa 10</v>
      </c>
      <c r="R11" s="252" t="str" cm="1">
        <f t="array" aca="1" ref="R11" ca="1">IF(R$12&gt;CÁLCULO.NúmeroDeFrentes,"",OFFSET(CÁLCULO!$P$12,0,R$12))</f>
        <v>Casa 11</v>
      </c>
      <c r="S11" s="252" t="str" cm="1">
        <f t="array" aca="1" ref="S11" ca="1">IF(S$12&gt;CÁLCULO.NúmeroDeFrentes,"",OFFSET(CÁLCULO!$P$12,0,S$12))</f>
        <v>Casa 12</v>
      </c>
      <c r="T11" s="252" t="str" cm="1">
        <f t="array" aca="1" ref="T11" ca="1">IF(T$12&gt;CÁLCULO.NúmeroDeFrentes,"",OFFSET(CÁLCULO!$P$12,0,T$12))</f>
        <v>Casa 13</v>
      </c>
      <c r="U11" s="252" t="str" cm="1">
        <f t="array" aca="1" ref="U11" ca="1">IF(U$12&gt;CÁLCULO.NúmeroDeFrentes,"",OFFSET(CÁLCULO!$P$12,0,U$12))</f>
        <v>Casa 14</v>
      </c>
      <c r="V11" s="252" t="str" cm="1">
        <f t="array" aca="1" ref="V11" ca="1">IF(V$12&gt;CÁLCULO.NúmeroDeFrentes,"",OFFSET(CÁLCULO!$P$12,0,V$12))</f>
        <v>Casa 15</v>
      </c>
      <c r="W11" s="252" t="str" cm="1">
        <f t="array" aca="1" ref="W11" ca="1">IF(W$12&gt;CÁLCULO.NúmeroDeFrentes,"",OFFSET(CÁLCULO!$P$12,0,W$12))</f>
        <v>Casa 16</v>
      </c>
      <c r="X11" s="252" t="str" cm="1">
        <f t="array" aca="1" ref="X11" ca="1">IF(X$12&gt;CÁLCULO.NúmeroDeFrentes,"",OFFSET(CÁLCULO!$P$12,0,X$12))</f>
        <v>Casa 17</v>
      </c>
      <c r="Y11" s="252" t="str" cm="1">
        <f t="array" aca="1" ref="Y11" ca="1">IF(Y$12&gt;CÁLCULO.NúmeroDeFrentes,"",OFFSET(CÁLCULO!$P$12,0,Y$12))</f>
        <v>Casa 18</v>
      </c>
      <c r="Z11" s="252" t="str" cm="1">
        <f t="array" aca="1" ref="Z11" ca="1">IF(Z$12&gt;CÁLCULO.NúmeroDeFrentes,"",OFFSET(CÁLCULO!$P$12,0,Z$12))</f>
        <v>Casa 19</v>
      </c>
      <c r="AA11" s="252" t="str" cm="1">
        <f t="array" aca="1" ref="AA11" ca="1">IF(AA$12&gt;CÁLCULO.NúmeroDeFrentes,"",OFFSET(CÁLCULO!$P$12,0,AA$12))</f>
        <v>Casa 20</v>
      </c>
      <c r="AB11" s="252" cm="1">
        <f t="array" aca="1" ref="AB11" ca="1">IF(AB$12&gt;CÁLCULO.NúmeroDeFrentes,"",OFFSET(CÁLCULO!$P$12,0,AB$12))</f>
        <v>0</v>
      </c>
      <c r="AC11" s="252" cm="1">
        <f t="array" aca="1" ref="AC11" ca="1">IF(AC$12&gt;CÁLCULO.NúmeroDeFrentes,"",OFFSET(CÁLCULO!$P$12,0,AC$12))</f>
        <v>0</v>
      </c>
      <c r="AD11" s="252" cm="1">
        <f t="array" aca="1" ref="AD11" ca="1">IF(AD$12&gt;CÁLCULO.NúmeroDeFrentes,"",OFFSET(CÁLCULO!$P$12,0,AD$12))</f>
        <v>0</v>
      </c>
      <c r="AE11" s="252" cm="1">
        <f t="array" aca="1" ref="AE11" ca="1">IF(AE$12&gt;CÁLCULO.NúmeroDeFrentes,"",OFFSET(CÁLCULO!$P$12,0,AE$12))</f>
        <v>0</v>
      </c>
      <c r="AF11" s="252" cm="1">
        <f t="array" aca="1" ref="AF11" ca="1">IF(AF$12&gt;CÁLCULO.NúmeroDeFrentes,"",OFFSET(CÁLCULO!$P$12,0,AF$12))</f>
        <v>0</v>
      </c>
      <c r="AG11" s="252" cm="1">
        <f t="array" aca="1" ref="AG11" ca="1">IF(AG$12&gt;CÁLCULO.NúmeroDeFrentes,"",OFFSET(CÁLCULO!$P$12,0,AG$12))</f>
        <v>0</v>
      </c>
      <c r="AH11" s="252" t="str" cm="1">
        <f t="array" aca="1" ref="AH11" ca="1">IF(AH$12&gt;CÁLCULO.NúmeroDeFrentes,"",OFFSET(CÁLCULO!$P$12,0,AH$12))</f>
        <v/>
      </c>
      <c r="AI11" s="252" t="str" cm="1">
        <f t="array" aca="1" ref="AI11" ca="1">IF(AI$12&gt;CÁLCULO.NúmeroDeFrentes,"",OFFSET(CÁLCULO!$P$12,0,AI$12))</f>
        <v/>
      </c>
      <c r="AJ11" s="252" t="str" cm="1">
        <f t="array" aca="1" ref="AJ11" ca="1">IF(AJ$12&gt;CÁLCULO.NúmeroDeFrentes,"",OFFSET(CÁLCULO!$P$12,0,AJ$12))</f>
        <v/>
      </c>
      <c r="AK11" s="252" t="str" cm="1">
        <f t="array" aca="1" ref="AK11" ca="1">IF(AK$12&gt;CÁLCULO.NúmeroDeFrentes,"",OFFSET(CÁLCULO!$P$12,0,AK$12))</f>
        <v/>
      </c>
      <c r="AL11" s="252" t="str" cm="1">
        <f t="array" aca="1" ref="AL11" ca="1">IF(AL$12&gt;CÁLCULO.NúmeroDeFrentes,"",OFFSET(CÁLCULO!$P$12,0,AL$12))</f>
        <v/>
      </c>
      <c r="AM11" s="252" t="str" cm="1">
        <f t="array" aca="1" ref="AM11" ca="1">IF(AM$12&gt;CÁLCULO.NúmeroDeFrentes,"",OFFSET(CÁLCULO!$P$12,0,AM$12))</f>
        <v/>
      </c>
      <c r="AN11" s="252" t="str" cm="1">
        <f t="array" aca="1" ref="AN11" ca="1">IF(AN$12&gt;CÁLCULO.NúmeroDeFrentes,"",OFFSET(CÁLCULO!$P$12,0,AN$12))</f>
        <v/>
      </c>
      <c r="AO11" s="252" t="str" cm="1">
        <f t="array" aca="1" ref="AO11" ca="1">IF(AO$12&gt;CÁLCULO.NúmeroDeFrentes,"",OFFSET(CÁLCULO!$P$12,0,AO$12))</f>
        <v/>
      </c>
      <c r="AP11" s="252" t="str" cm="1">
        <f t="array" aca="1" ref="AP11" ca="1">IF(AP$12&gt;CÁLCULO.NúmeroDeFrentes,"",OFFSET(CÁLCULO!$P$12,0,AP$12))</f>
        <v/>
      </c>
      <c r="AQ11" s="252" t="str" cm="1">
        <f t="array" aca="1" ref="AQ11" ca="1">IF(AQ$12&gt;CÁLCULO.NúmeroDeFrentes,"",OFFSET(CÁLCULO!$P$12,0,AQ$12))</f>
        <v/>
      </c>
      <c r="AR11" s="252" t="str" cm="1">
        <f t="array" aca="1" ref="AR11" ca="1">IF(AR$12&gt;CÁLCULO.NúmeroDeFrentes,"",OFFSET(CÁLCULO!$P$12,0,AR$12))</f>
        <v/>
      </c>
      <c r="AS11" s="252" t="str" cm="1">
        <f t="array" aca="1" ref="AS11" ca="1">IF(AS$12&gt;CÁLCULO.NúmeroDeFrentes,"",OFFSET(CÁLCULO!$P$12,0,AS$12))</f>
        <v/>
      </c>
      <c r="AT11" s="252" t="str" cm="1">
        <f t="array" aca="1" ref="AT11" ca="1">IF(AT$12&gt;CÁLCULO.NúmeroDeFrentes,"",OFFSET(CÁLCULO!$P$12,0,AT$12))</f>
        <v/>
      </c>
      <c r="AU11" s="252" t="str" cm="1">
        <f t="array" aca="1" ref="AU11" ca="1">IF(AU$12&gt;CÁLCULO.NúmeroDeFrentes,"",OFFSET(CÁLCULO!$P$12,0,AU$12))</f>
        <v/>
      </c>
      <c r="AV11" s="252" t="str" cm="1">
        <f t="array" aca="1" ref="AV11" ca="1">IF(AV$12&gt;CÁLCULO.NúmeroDeFrentes,"",OFFSET(CÁLCULO!$P$12,0,AV$12))</f>
        <v/>
      </c>
      <c r="AW11" s="252" t="str" cm="1">
        <f t="array" aca="1" ref="AW11" ca="1">IF(AW$12&gt;CÁLCULO.NúmeroDeFrentes,"",OFFSET(CÁLCULO!$P$12,0,AW$12))</f>
        <v/>
      </c>
      <c r="AX11" s="252" t="str" cm="1">
        <f t="array" aca="1" ref="AX11" ca="1">IF(AX$12&gt;CÁLCULO.NúmeroDeFrentes,"",OFFSET(CÁLCULO!$P$12,0,AX$12))</f>
        <v/>
      </c>
      <c r="AY11" s="252" t="str" cm="1">
        <f t="array" aca="1" ref="AY11" ca="1">IF(AY$12&gt;CÁLCULO.NúmeroDeFrentes,"",OFFSET(CÁLCULO!$P$12,0,AY$12))</f>
        <v/>
      </c>
      <c r="AZ11" s="252" t="str" cm="1">
        <f t="array" aca="1" ref="AZ11" ca="1">IF(AZ$12&gt;CÁLCULO.NúmeroDeFrentes,"",OFFSET(CÁLCULO!$P$12,0,AZ$12))</f>
        <v/>
      </c>
      <c r="BA11" s="252" t="str" cm="1">
        <f t="array" aca="1" ref="BA11" ca="1">IF(BA$12&gt;CÁLCULO.NúmeroDeFrentes,"",OFFSET(CÁLCULO!$P$12,0,BA$12))</f>
        <v/>
      </c>
      <c r="BB11" s="252" t="str" cm="1">
        <f t="array" aca="1" ref="BB11" ca="1">IF(BB$12&gt;CÁLCULO.NúmeroDeFrentes,"",OFFSET(CÁLCULO!$P$12,0,BB$12))</f>
        <v/>
      </c>
      <c r="BC11" s="252" t="str" cm="1">
        <f t="array" aca="1" ref="BC11" ca="1">IF(BC$12&gt;CÁLCULO.NúmeroDeFrentes,"",OFFSET(CÁLCULO!$P$12,0,BC$12))</f>
        <v/>
      </c>
      <c r="BD11" s="252" t="str" cm="1">
        <f t="array" aca="1" ref="BD11" ca="1">IF(BD$12&gt;CÁLCULO.NúmeroDeFrentes,"",OFFSET(CÁLCULO!$P$12,0,BD$12))</f>
        <v/>
      </c>
      <c r="BE11" s="252" t="str" cm="1">
        <f t="array" aca="1" ref="BE11" ca="1">IF(BE$12&gt;CÁLCULO.NúmeroDeFrentes,"",OFFSET(CÁLCULO!$P$12,0,BE$12))</f>
        <v/>
      </c>
    </row>
    <row r="12" spans="1:58" ht="12.75" customHeight="1" x14ac:dyDescent="0.2">
      <c r="A12" s="106" t="s">
        <v>660</v>
      </c>
      <c r="B12" s="762" t="s">
        <v>760</v>
      </c>
      <c r="C12" s="762" t="s">
        <v>778</v>
      </c>
      <c r="D12" s="762"/>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c r="AG12" s="253">
        <f ca="1">OFFSET(AG12,0,-1)+1</f>
        <v>26</v>
      </c>
      <c r="AH12" s="253">
        <f ca="1">OFFSET(AH12,0,-1)+1</f>
        <v>27</v>
      </c>
      <c r="AI12" s="253">
        <f t="shared" ref="AI12:BE12" ca="1" si="1">OFFSET(AI12,0,-1)+1</f>
        <v>28</v>
      </c>
      <c r="AJ12" s="253">
        <f t="shared" ca="1" si="1"/>
        <v>29</v>
      </c>
      <c r="AK12" s="253">
        <f t="shared" ca="1" si="1"/>
        <v>30</v>
      </c>
      <c r="AL12" s="253">
        <f t="shared" ca="1" si="1"/>
        <v>31</v>
      </c>
      <c r="AM12" s="253">
        <f t="shared" ca="1" si="1"/>
        <v>32</v>
      </c>
      <c r="AN12" s="253">
        <f t="shared" ca="1" si="1"/>
        <v>33</v>
      </c>
      <c r="AO12" s="253">
        <f t="shared" ca="1" si="1"/>
        <v>34</v>
      </c>
      <c r="AP12" s="253">
        <f t="shared" ca="1" si="1"/>
        <v>35</v>
      </c>
      <c r="AQ12" s="253">
        <f t="shared" ca="1" si="1"/>
        <v>36</v>
      </c>
      <c r="AR12" s="253">
        <f t="shared" ca="1" si="1"/>
        <v>37</v>
      </c>
      <c r="AS12" s="253">
        <f t="shared" ca="1" si="1"/>
        <v>38</v>
      </c>
      <c r="AT12" s="253">
        <f t="shared" ca="1" si="1"/>
        <v>39</v>
      </c>
      <c r="AU12" s="253">
        <f t="shared" ca="1" si="1"/>
        <v>40</v>
      </c>
      <c r="AV12" s="253">
        <f t="shared" ca="1" si="1"/>
        <v>41</v>
      </c>
      <c r="AW12" s="253">
        <f t="shared" ca="1" si="1"/>
        <v>42</v>
      </c>
      <c r="AX12" s="253">
        <f t="shared" ca="1" si="1"/>
        <v>43</v>
      </c>
      <c r="AY12" s="253">
        <f t="shared" ca="1" si="1"/>
        <v>44</v>
      </c>
      <c r="AZ12" s="253">
        <f t="shared" ca="1" si="1"/>
        <v>45</v>
      </c>
      <c r="BA12" s="253">
        <f t="shared" ca="1" si="1"/>
        <v>46</v>
      </c>
      <c r="BB12" s="253">
        <f t="shared" ca="1" si="1"/>
        <v>47</v>
      </c>
      <c r="BC12" s="253">
        <f t="shared" ca="1" si="1"/>
        <v>48</v>
      </c>
      <c r="BD12" s="253">
        <f t="shared" ca="1" si="1"/>
        <v>49</v>
      </c>
      <c r="BE12" s="253">
        <f t="shared" ca="1" si="1"/>
        <v>50</v>
      </c>
    </row>
    <row r="13" spans="1:58" x14ac:dyDescent="0.2">
      <c r="B13" s="762"/>
      <c r="C13" s="762"/>
      <c r="D13" s="762"/>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c r="AG13" s="255"/>
      <c r="AH13" s="254"/>
      <c r="AI13" s="254"/>
      <c r="AJ13" s="254"/>
      <c r="AK13" s="254"/>
      <c r="AL13" s="254"/>
      <c r="AM13" s="254" t="s">
        <v>838</v>
      </c>
      <c r="AN13" s="254"/>
      <c r="AO13" s="254"/>
      <c r="AP13" s="254"/>
      <c r="AQ13" s="254"/>
      <c r="AR13" s="254"/>
      <c r="AS13" s="254"/>
      <c r="AT13" s="254"/>
      <c r="AU13" s="254"/>
      <c r="AV13" s="254"/>
      <c r="AW13" s="254"/>
      <c r="AX13" s="254"/>
      <c r="AY13" s="254"/>
      <c r="AZ13" s="254"/>
      <c r="BA13" s="254"/>
      <c r="BB13" s="254"/>
      <c r="BC13" s="254"/>
      <c r="BD13" s="254"/>
      <c r="BE13" s="256"/>
    </row>
    <row r="14" spans="1:58" ht="4.1500000000000004" customHeight="1" x14ac:dyDescent="0.2">
      <c r="A14" s="7" t="s">
        <v>536</v>
      </c>
    </row>
    <row r="15" spans="1:58" x14ac:dyDescent="0.2">
      <c r="A15" s="7" t="str">
        <f>IF(B15=0,"","F")</f>
        <v/>
      </c>
      <c r="B15" s="257">
        <f>EVENTOS!$C$15</f>
        <v>0</v>
      </c>
      <c r="C15" s="791" t="str">
        <f>EVENTOS!$D$15</f>
        <v/>
      </c>
      <c r="D15" s="791"/>
      <c r="F15" s="260"/>
      <c r="H15" s="260"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c r="AG15" s="260"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AH15" s="259"/>
      <c r="AI15" s="259"/>
      <c r="AJ15" s="259"/>
      <c r="AK15" s="259"/>
      <c r="AL15" s="259"/>
      <c r="AM15" s="259"/>
      <c r="AN15" s="259"/>
      <c r="AO15" s="259"/>
      <c r="AP15" s="259"/>
      <c r="AQ15" s="259"/>
      <c r="AR15" s="259"/>
      <c r="AS15" s="259"/>
      <c r="AT15" s="259"/>
      <c r="AU15" s="259"/>
      <c r="AV15" s="259"/>
      <c r="AW15" s="259"/>
      <c r="AX15" s="259"/>
      <c r="AY15" s="259"/>
      <c r="AZ15" s="259"/>
      <c r="BA15" s="259"/>
      <c r="BB15" s="259"/>
      <c r="BC15" s="259"/>
      <c r="BD15" s="259"/>
      <c r="BE15" s="261"/>
    </row>
    <row r="16" spans="1:58" ht="19.5" customHeight="1" x14ac:dyDescent="0.2">
      <c r="A16" s="7" t="str">
        <f t="shared" ref="A16:A56" ca="1" si="2">IF(C16=0,"","F")</f>
        <v>F</v>
      </c>
      <c r="B16" s="247">
        <f t="shared" ref="B16:B56" ca="1" si="3">OFFSET(B16,-1,0)+1</f>
        <v>1</v>
      </c>
      <c r="C16" s="785" t="str">
        <f ca="1">IF(AUTOEVENTO="Manual",OFFSET(EVENTOS!$D$15,$B16-$B$15,0),IF(B16&lt;=MAX(CÁLCULO!$M$15:$M$244),VLOOKUP($B16,CÁLCULO!$M$15:$N$244,2,FALSE),0))</f>
        <v>SERVIÇOS PRELIMINARES</v>
      </c>
      <c r="D16" s="785"/>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c r="AG16" s="248"/>
      <c r="AH16" s="248"/>
      <c r="AI16" s="248"/>
      <c r="AJ16" s="248"/>
      <c r="AK16" s="248"/>
      <c r="AL16" s="248"/>
      <c r="AM16" s="248"/>
      <c r="AN16" s="248"/>
      <c r="AO16" s="248"/>
      <c r="AP16" s="248"/>
      <c r="AQ16" s="248"/>
      <c r="AR16" s="248"/>
      <c r="AS16" s="248"/>
      <c r="AT16" s="248"/>
      <c r="AU16" s="248"/>
      <c r="AV16" s="248"/>
      <c r="AW16" s="248"/>
      <c r="AX16" s="248"/>
      <c r="AY16" s="248"/>
      <c r="AZ16" s="248"/>
      <c r="BA16" s="248"/>
      <c r="BB16" s="248"/>
      <c r="BC16" s="248"/>
      <c r="BD16" s="248"/>
      <c r="BE16" s="248"/>
    </row>
    <row r="17" spans="1:57" ht="19.5" customHeight="1" x14ac:dyDescent="0.2">
      <c r="A17" s="7" t="str">
        <f t="shared" ca="1" si="2"/>
        <v>F</v>
      </c>
      <c r="B17" s="247">
        <f t="shared" ca="1" si="3"/>
        <v>2</v>
      </c>
      <c r="C17" s="785" t="str">
        <f ca="1">IF(AUTOEVENTO="Manual",OFFSET(EVENTOS!$D$15,$B17-$B$15,0),IF(B17&lt;=MAX(CÁLCULO!$M$15:$M$244),VLOOKUP($B17,CÁLCULO!$M$15:$N$244,2,FALSE),0))</f>
        <v>ADMINISTRAÇÃO DA OBRA</v>
      </c>
      <c r="D17" s="785"/>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c r="AG17" s="248"/>
      <c r="AH17" s="248"/>
      <c r="AI17" s="248"/>
      <c r="AJ17" s="248"/>
      <c r="AK17" s="248"/>
      <c r="AL17" s="248"/>
      <c r="AM17" s="248"/>
      <c r="AN17" s="248"/>
      <c r="AO17" s="248"/>
      <c r="AP17" s="248"/>
      <c r="AQ17" s="248"/>
      <c r="AR17" s="248"/>
      <c r="AS17" s="248"/>
      <c r="AT17" s="248"/>
      <c r="AU17" s="248"/>
      <c r="AV17" s="248"/>
      <c r="AW17" s="248"/>
      <c r="AX17" s="248"/>
      <c r="AY17" s="248"/>
      <c r="AZ17" s="248"/>
      <c r="BA17" s="248"/>
      <c r="BB17" s="248"/>
      <c r="BC17" s="248"/>
      <c r="BD17" s="248"/>
      <c r="BE17" s="248"/>
    </row>
    <row r="18" spans="1:57" ht="19.5" customHeight="1" x14ac:dyDescent="0.2">
      <c r="A18" s="7" t="str">
        <f t="shared" ca="1" si="2"/>
        <v>F</v>
      </c>
      <c r="B18" s="247">
        <f t="shared" ca="1" si="3"/>
        <v>3</v>
      </c>
      <c r="C18" s="785" t="str">
        <f ca="1">IF(AUTOEVENTO="Manual",OFFSET(EVENTOS!$D$15,$B18-$B$15,0),IF(B18&lt;=MAX(CÁLCULO!$M$15:$M$244),VLOOKUP($B18,CÁLCULO!$M$15:$N$244,2,FALSE),0))</f>
        <v>FUNDAÇÕES</v>
      </c>
      <c r="D18" s="785"/>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c r="AG18" s="248"/>
      <c r="AH18" s="248"/>
      <c r="AI18" s="248"/>
      <c r="AJ18" s="248"/>
      <c r="AK18" s="248"/>
      <c r="AL18" s="248"/>
      <c r="AM18" s="248"/>
      <c r="AN18" s="248"/>
      <c r="AO18" s="248"/>
      <c r="AP18" s="248"/>
      <c r="AQ18" s="248"/>
      <c r="AR18" s="248"/>
      <c r="AS18" s="248"/>
      <c r="AT18" s="248"/>
      <c r="AU18" s="248"/>
      <c r="AV18" s="248"/>
      <c r="AW18" s="248"/>
      <c r="AX18" s="248"/>
      <c r="AY18" s="248"/>
      <c r="AZ18" s="248"/>
      <c r="BA18" s="248"/>
      <c r="BB18" s="248"/>
      <c r="BC18" s="248"/>
      <c r="BD18" s="248"/>
      <c r="BE18" s="248"/>
    </row>
    <row r="19" spans="1:57" ht="19.5" customHeight="1" x14ac:dyDescent="0.2">
      <c r="A19" s="7" t="str">
        <f t="shared" ca="1" si="2"/>
        <v>F</v>
      </c>
      <c r="B19" s="247">
        <f t="shared" ca="1" si="3"/>
        <v>4</v>
      </c>
      <c r="C19" s="785" t="str">
        <f ca="1">IF(AUTOEVENTO="Manual",OFFSET(EVENTOS!$D$15,$B19-$B$15,0),IF(B19&lt;=MAX(CÁLCULO!$M$15:$M$244),VLOOKUP($B19,CÁLCULO!$M$15:$N$244,2,FALSE),0))</f>
        <v>SUPRAESTRUTURA</v>
      </c>
      <c r="D19" s="785"/>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c r="AG19" s="248"/>
      <c r="AH19" s="248"/>
      <c r="AI19" s="248"/>
      <c r="AJ19" s="248"/>
      <c r="AK19" s="248"/>
      <c r="AL19" s="248"/>
      <c r="AM19" s="248"/>
      <c r="AN19" s="248"/>
      <c r="AO19" s="248"/>
      <c r="AP19" s="248"/>
      <c r="AQ19" s="248"/>
      <c r="AR19" s="248"/>
      <c r="AS19" s="248"/>
      <c r="AT19" s="248"/>
      <c r="AU19" s="248"/>
      <c r="AV19" s="248"/>
      <c r="AW19" s="248"/>
      <c r="AX19" s="248"/>
      <c r="AY19" s="248"/>
      <c r="AZ19" s="248"/>
      <c r="BA19" s="248"/>
      <c r="BB19" s="248"/>
      <c r="BC19" s="248"/>
      <c r="BD19" s="248"/>
      <c r="BE19" s="248"/>
    </row>
    <row r="20" spans="1:57" ht="19.5" customHeight="1" x14ac:dyDescent="0.2">
      <c r="A20" s="7" t="str">
        <f t="shared" ca="1" si="2"/>
        <v>F</v>
      </c>
      <c r="B20" s="247">
        <f t="shared" ca="1" si="3"/>
        <v>5</v>
      </c>
      <c r="C20" s="785" t="str">
        <f ca="1">IF(AUTOEVENTO="Manual",OFFSET(EVENTOS!$D$15,$B20-$B$15,0),IF(B20&lt;=MAX(CÁLCULO!$M$15:$M$244),VLOOKUP($B20,CÁLCULO!$M$15:$N$244,2,FALSE),0))</f>
        <v>PAREDES E PAINÉIS</v>
      </c>
      <c r="D20" s="785"/>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c r="AG20" s="248"/>
      <c r="AH20" s="248"/>
      <c r="AI20" s="248"/>
      <c r="AJ20" s="248"/>
      <c r="AK20" s="248"/>
      <c r="AL20" s="248"/>
      <c r="AM20" s="248"/>
      <c r="AN20" s="248"/>
      <c r="AO20" s="248"/>
      <c r="AP20" s="248"/>
      <c r="AQ20" s="248"/>
      <c r="AR20" s="248"/>
      <c r="AS20" s="248"/>
      <c r="AT20" s="248"/>
      <c r="AU20" s="248"/>
      <c r="AV20" s="248"/>
      <c r="AW20" s="248"/>
      <c r="AX20" s="248"/>
      <c r="AY20" s="248"/>
      <c r="AZ20" s="248"/>
      <c r="BA20" s="248"/>
      <c r="BB20" s="248"/>
      <c r="BC20" s="248"/>
      <c r="BD20" s="248"/>
      <c r="BE20" s="248"/>
    </row>
    <row r="21" spans="1:57" ht="19.5" customHeight="1" x14ac:dyDescent="0.2">
      <c r="A21" s="7" t="str">
        <f t="shared" ca="1" si="2"/>
        <v>F</v>
      </c>
      <c r="B21" s="247">
        <f t="shared" ca="1" si="3"/>
        <v>6</v>
      </c>
      <c r="C21" s="785" t="str">
        <f ca="1">IF(AUTOEVENTO="Manual",OFFSET(EVENTOS!$D$15,$B21-$B$15,0),IF(B21&lt;=MAX(CÁLCULO!$M$15:$M$244),VLOOKUP($B21,CÁLCULO!$M$15:$N$244,2,FALSE),0))</f>
        <v>COBERTURA E PROTEÇÕES</v>
      </c>
      <c r="D21" s="785"/>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c r="AG21" s="248"/>
      <c r="AH21" s="248"/>
      <c r="AI21" s="248"/>
      <c r="AJ21" s="248"/>
      <c r="AK21" s="248"/>
      <c r="AL21" s="248"/>
      <c r="AM21" s="248"/>
      <c r="AN21" s="248"/>
      <c r="AO21" s="248"/>
      <c r="AP21" s="248"/>
      <c r="AQ21" s="248"/>
      <c r="AR21" s="248"/>
      <c r="AS21" s="248"/>
      <c r="AT21" s="248"/>
      <c r="AU21" s="248"/>
      <c r="AV21" s="248"/>
      <c r="AW21" s="248"/>
      <c r="AX21" s="248"/>
      <c r="AY21" s="248"/>
      <c r="AZ21" s="248"/>
      <c r="BA21" s="248"/>
      <c r="BB21" s="248"/>
      <c r="BC21" s="248"/>
      <c r="BD21" s="248"/>
      <c r="BE21" s="248"/>
    </row>
    <row r="22" spans="1:57" ht="19.5" customHeight="1" x14ac:dyDescent="0.2">
      <c r="A22" s="7" t="str">
        <f t="shared" ca="1" si="2"/>
        <v>F</v>
      </c>
      <c r="B22" s="247">
        <f t="shared" ca="1" si="3"/>
        <v>7</v>
      </c>
      <c r="C22" s="785" t="str">
        <f ca="1">IF(AUTOEVENTO="Manual",OFFSET(EVENTOS!$D$15,$B22-$B$15,0),IF(B22&lt;=MAX(CÁLCULO!$M$15:$M$244),VLOOKUP($B22,CÁLCULO!$M$15:$N$244,2,FALSE),0))</f>
        <v>REVESTIMENTOS</v>
      </c>
      <c r="D22" s="785"/>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c r="AG22" s="248"/>
      <c r="AH22" s="248"/>
      <c r="AI22" s="248"/>
      <c r="AJ22" s="248"/>
      <c r="AK22" s="248"/>
      <c r="AL22" s="248"/>
      <c r="AM22" s="248"/>
      <c r="AN22" s="248"/>
      <c r="AO22" s="248"/>
      <c r="AP22" s="248"/>
      <c r="AQ22" s="248"/>
      <c r="AR22" s="248"/>
      <c r="AS22" s="248"/>
      <c r="AT22" s="248"/>
      <c r="AU22" s="248"/>
      <c r="AV22" s="248"/>
      <c r="AW22" s="248"/>
      <c r="AX22" s="248"/>
      <c r="AY22" s="248"/>
      <c r="AZ22" s="248"/>
      <c r="BA22" s="248"/>
      <c r="BB22" s="248"/>
      <c r="BC22" s="248"/>
      <c r="BD22" s="248"/>
      <c r="BE22" s="248"/>
    </row>
    <row r="23" spans="1:57" ht="19.5" customHeight="1" x14ac:dyDescent="0.2">
      <c r="A23" s="7" t="str">
        <f t="shared" ca="1" si="2"/>
        <v>F</v>
      </c>
      <c r="B23" s="247">
        <f t="shared" ca="1" si="3"/>
        <v>8</v>
      </c>
      <c r="C23" s="785" t="str">
        <f ca="1">IF(AUTOEVENTO="Manual",OFFSET(EVENTOS!$D$15,$B23-$B$15,0),IF(B23&lt;=MAX(CÁLCULO!$M$15:$M$244),VLOOKUP($B23,CÁLCULO!$M$15:$N$244,2,FALSE),0))</f>
        <v>PAVIMENTAÇÕES</v>
      </c>
      <c r="D23" s="785"/>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c r="AG23" s="248"/>
      <c r="AH23" s="248"/>
      <c r="AI23" s="248"/>
      <c r="AJ23" s="248"/>
      <c r="AK23" s="248"/>
      <c r="AL23" s="248"/>
      <c r="AM23" s="248"/>
      <c r="AN23" s="248"/>
      <c r="AO23" s="248"/>
      <c r="AP23" s="248"/>
      <c r="AQ23" s="248"/>
      <c r="AR23" s="248"/>
      <c r="AS23" s="248"/>
      <c r="AT23" s="248"/>
      <c r="AU23" s="248"/>
      <c r="AV23" s="248"/>
      <c r="AW23" s="248"/>
      <c r="AX23" s="248"/>
      <c r="AY23" s="248"/>
      <c r="AZ23" s="248"/>
      <c r="BA23" s="248"/>
      <c r="BB23" s="248"/>
      <c r="BC23" s="248"/>
      <c r="BD23" s="248"/>
      <c r="BE23" s="248"/>
    </row>
    <row r="24" spans="1:57" ht="19.5" customHeight="1" x14ac:dyDescent="0.2">
      <c r="A24" s="7" t="str">
        <f t="shared" ca="1" si="2"/>
        <v>F</v>
      </c>
      <c r="B24" s="247">
        <f t="shared" ca="1" si="3"/>
        <v>9</v>
      </c>
      <c r="C24" s="785" t="str">
        <f ca="1">IF(AUTOEVENTO="Manual",OFFSET(EVENTOS!$D$15,$B24-$B$15,0),IF(B24&lt;=MAX(CÁLCULO!$M$15:$M$244),VLOOKUP($B24,CÁLCULO!$M$15:$N$244,2,FALSE),0))</f>
        <v>INSTALAÇÕES</v>
      </c>
      <c r="D24" s="785"/>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c r="AG24" s="248"/>
      <c r="AH24" s="248"/>
      <c r="AI24" s="248"/>
      <c r="AJ24" s="248"/>
      <c r="AK24" s="248"/>
      <c r="AL24" s="248"/>
      <c r="AM24" s="248"/>
      <c r="AN24" s="248"/>
      <c r="AO24" s="248"/>
      <c r="AP24" s="248"/>
      <c r="AQ24" s="248"/>
      <c r="AR24" s="248"/>
      <c r="AS24" s="248"/>
      <c r="AT24" s="248"/>
      <c r="AU24" s="248"/>
      <c r="AV24" s="248"/>
      <c r="AW24" s="248"/>
      <c r="AX24" s="248"/>
      <c r="AY24" s="248"/>
      <c r="AZ24" s="248"/>
      <c r="BA24" s="248"/>
      <c r="BB24" s="248"/>
      <c r="BC24" s="248"/>
      <c r="BD24" s="248"/>
      <c r="BE24" s="248"/>
    </row>
    <row r="25" spans="1:57" ht="19.5" customHeight="1" x14ac:dyDescent="0.2">
      <c r="A25" s="7" t="str">
        <f t="shared" ca="1" si="2"/>
        <v>F</v>
      </c>
      <c r="B25" s="247">
        <f t="shared" ca="1" si="3"/>
        <v>10</v>
      </c>
      <c r="C25" s="785" t="str">
        <f ca="1">IF(AUTOEVENTO="Manual",OFFSET(EVENTOS!$D$15,$B25-$B$15,0),IF(B25&lt;=MAX(CÁLCULO!$M$15:$M$244),VLOOKUP($B25,CÁLCULO!$M$15:$N$244,2,FALSE),0))</f>
        <v>COMPLEMENTAÇÕES</v>
      </c>
      <c r="D25" s="785"/>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c r="AG25" s="248"/>
      <c r="AH25" s="248"/>
      <c r="AI25" s="248"/>
      <c r="AJ25" s="248"/>
      <c r="AK25" s="248"/>
      <c r="AL25" s="248"/>
      <c r="AM25" s="248"/>
      <c r="AN25" s="248"/>
      <c r="AO25" s="248"/>
      <c r="AP25" s="248"/>
      <c r="AQ25" s="248"/>
      <c r="AR25" s="248"/>
      <c r="AS25" s="248"/>
      <c r="AT25" s="248"/>
      <c r="AU25" s="248"/>
      <c r="AV25" s="248"/>
      <c r="AW25" s="248"/>
      <c r="AX25" s="248"/>
      <c r="AY25" s="248"/>
      <c r="AZ25" s="248"/>
      <c r="BA25" s="248"/>
      <c r="BB25" s="248"/>
      <c r="BC25" s="248"/>
      <c r="BD25" s="248"/>
      <c r="BE25" s="248"/>
    </row>
    <row r="26" spans="1:57" ht="19.5" customHeight="1" x14ac:dyDescent="0.2">
      <c r="A26" s="7" t="str">
        <f t="shared" ca="1" si="2"/>
        <v/>
      </c>
      <c r="B26" s="247">
        <f t="shared" ca="1" si="3"/>
        <v>11</v>
      </c>
      <c r="C26" s="785">
        <f ca="1">IF(AUTOEVENTO="Manual",OFFSET(EVENTOS!$D$15,$B26-$B$15,0),IF(B26&lt;=MAX(CÁLCULO!$M$15:$M$244),VLOOKUP($B26,CÁLCULO!$M$15:$N$244,2,FALSE),0))</f>
        <v>0</v>
      </c>
      <c r="D26" s="785"/>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c r="AG26" s="248"/>
      <c r="AH26" s="248"/>
      <c r="AI26" s="248"/>
      <c r="AJ26" s="248"/>
      <c r="AK26" s="248"/>
      <c r="AL26" s="248"/>
      <c r="AM26" s="248"/>
      <c r="AN26" s="248"/>
      <c r="AO26" s="248"/>
      <c r="AP26" s="248"/>
      <c r="AQ26" s="248"/>
      <c r="AR26" s="248"/>
      <c r="AS26" s="248"/>
      <c r="AT26" s="248"/>
      <c r="AU26" s="248"/>
      <c r="AV26" s="248"/>
      <c r="AW26" s="248"/>
      <c r="AX26" s="248"/>
      <c r="AY26" s="248"/>
      <c r="AZ26" s="248"/>
      <c r="BA26" s="248"/>
      <c r="BB26" s="248"/>
      <c r="BC26" s="248"/>
      <c r="BD26" s="248"/>
      <c r="BE26" s="248"/>
    </row>
    <row r="27" spans="1:57" ht="19.5" customHeight="1" x14ac:dyDescent="0.2">
      <c r="A27" s="7" t="str">
        <f t="shared" ca="1" si="2"/>
        <v/>
      </c>
      <c r="B27" s="247">
        <f t="shared" ca="1" si="3"/>
        <v>12</v>
      </c>
      <c r="C27" s="785">
        <f ca="1">IF(AUTOEVENTO="Manual",OFFSET(EVENTOS!$D$15,$B27-$B$15,0),IF(B27&lt;=MAX(CÁLCULO!$M$15:$M$244),VLOOKUP($B27,CÁLCULO!$M$15:$N$244,2,FALSE),0))</f>
        <v>0</v>
      </c>
      <c r="D27" s="785"/>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c r="AG27" s="248"/>
      <c r="AH27" s="248"/>
      <c r="AI27" s="248"/>
      <c r="AJ27" s="248"/>
      <c r="AK27" s="248"/>
      <c r="AL27" s="248"/>
      <c r="AM27" s="248"/>
      <c r="AN27" s="248"/>
      <c r="AO27" s="248"/>
      <c r="AP27" s="248"/>
      <c r="AQ27" s="248"/>
      <c r="AR27" s="248"/>
      <c r="AS27" s="248"/>
      <c r="AT27" s="248"/>
      <c r="AU27" s="248"/>
      <c r="AV27" s="248"/>
      <c r="AW27" s="248"/>
      <c r="AX27" s="248"/>
      <c r="AY27" s="248"/>
      <c r="AZ27" s="248"/>
      <c r="BA27" s="248"/>
      <c r="BB27" s="248"/>
      <c r="BC27" s="248"/>
      <c r="BD27" s="248"/>
      <c r="BE27" s="248"/>
    </row>
    <row r="28" spans="1:57" ht="19.5" customHeight="1" x14ac:dyDescent="0.2">
      <c r="A28" s="7" t="str">
        <f t="shared" ca="1" si="2"/>
        <v/>
      </c>
      <c r="B28" s="247">
        <f t="shared" ca="1" si="3"/>
        <v>13</v>
      </c>
      <c r="C28" s="785">
        <f ca="1">IF(AUTOEVENTO="Manual",OFFSET(EVENTOS!$D$15,$B28-$B$15,0),IF(B28&lt;=MAX(CÁLCULO!$M$15:$M$244),VLOOKUP($B28,CÁLCULO!$M$15:$N$244,2,FALSE),0))</f>
        <v>0</v>
      </c>
      <c r="D28" s="785"/>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c r="AG28" s="248"/>
      <c r="AH28" s="248"/>
      <c r="AI28" s="248"/>
      <c r="AJ28" s="248"/>
      <c r="AK28" s="248"/>
      <c r="AL28" s="248"/>
      <c r="AM28" s="248"/>
      <c r="AN28" s="248"/>
      <c r="AO28" s="248"/>
      <c r="AP28" s="248"/>
      <c r="AQ28" s="248"/>
      <c r="AR28" s="248"/>
      <c r="AS28" s="248"/>
      <c r="AT28" s="248"/>
      <c r="AU28" s="248"/>
      <c r="AV28" s="248"/>
      <c r="AW28" s="248"/>
      <c r="AX28" s="248"/>
      <c r="AY28" s="248"/>
      <c r="AZ28" s="248"/>
      <c r="BA28" s="248"/>
      <c r="BB28" s="248"/>
      <c r="BC28" s="248"/>
      <c r="BD28" s="248"/>
      <c r="BE28" s="248"/>
    </row>
    <row r="29" spans="1:57" ht="19.5" customHeight="1" x14ac:dyDescent="0.2">
      <c r="A29" s="7" t="str">
        <f t="shared" ca="1" si="2"/>
        <v/>
      </c>
      <c r="B29" s="247">
        <f t="shared" ca="1" si="3"/>
        <v>14</v>
      </c>
      <c r="C29" s="785">
        <f ca="1">IF(AUTOEVENTO="Manual",OFFSET(EVENTOS!$D$15,$B29-$B$15,0),IF(B29&lt;=MAX(CÁLCULO!$M$15:$M$244),VLOOKUP($B29,CÁLCULO!$M$15:$N$244,2,FALSE),0))</f>
        <v>0</v>
      </c>
      <c r="D29" s="785"/>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c r="AG29" s="248"/>
      <c r="AH29" s="248"/>
      <c r="AI29" s="248"/>
      <c r="AJ29" s="248"/>
      <c r="AK29" s="248"/>
      <c r="AL29" s="248"/>
      <c r="AM29" s="248"/>
      <c r="AN29" s="248"/>
      <c r="AO29" s="248"/>
      <c r="AP29" s="248"/>
      <c r="AQ29" s="248"/>
      <c r="AR29" s="248"/>
      <c r="AS29" s="248"/>
      <c r="AT29" s="248"/>
      <c r="AU29" s="248"/>
      <c r="AV29" s="248"/>
      <c r="AW29" s="248"/>
      <c r="AX29" s="248"/>
      <c r="AY29" s="248"/>
      <c r="AZ29" s="248"/>
      <c r="BA29" s="248"/>
      <c r="BB29" s="248"/>
      <c r="BC29" s="248"/>
      <c r="BD29" s="248"/>
      <c r="BE29" s="248"/>
    </row>
    <row r="30" spans="1:57" ht="19.5" customHeight="1" x14ac:dyDescent="0.2">
      <c r="A30" s="7" t="str">
        <f t="shared" ca="1" si="2"/>
        <v/>
      </c>
      <c r="B30" s="247">
        <f t="shared" ca="1" si="3"/>
        <v>15</v>
      </c>
      <c r="C30" s="785">
        <f ca="1">IF(AUTOEVENTO="Manual",OFFSET(EVENTOS!$D$15,$B30-$B$15,0),IF(B30&lt;=MAX(CÁLCULO!$M$15:$M$244),VLOOKUP($B30,CÁLCULO!$M$15:$N$244,2,FALSE),0))</f>
        <v>0</v>
      </c>
      <c r="D30" s="785"/>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c r="AG30" s="248"/>
      <c r="AH30" s="248"/>
      <c r="AI30" s="248"/>
      <c r="AJ30" s="248"/>
      <c r="AK30" s="248"/>
      <c r="AL30" s="248"/>
      <c r="AM30" s="248"/>
      <c r="AN30" s="248"/>
      <c r="AO30" s="248"/>
      <c r="AP30" s="248"/>
      <c r="AQ30" s="248"/>
      <c r="AR30" s="248"/>
      <c r="AS30" s="248"/>
      <c r="AT30" s="248"/>
      <c r="AU30" s="248"/>
      <c r="AV30" s="248"/>
      <c r="AW30" s="248"/>
      <c r="AX30" s="248"/>
      <c r="AY30" s="248"/>
      <c r="AZ30" s="248"/>
      <c r="BA30" s="248"/>
      <c r="BB30" s="248"/>
      <c r="BC30" s="248"/>
      <c r="BD30" s="248"/>
      <c r="BE30" s="248"/>
    </row>
    <row r="31" spans="1:57" ht="19.5" customHeight="1" x14ac:dyDescent="0.2">
      <c r="A31" s="7" t="str">
        <f t="shared" ca="1" si="2"/>
        <v/>
      </c>
      <c r="B31" s="247">
        <f t="shared" ca="1" si="3"/>
        <v>16</v>
      </c>
      <c r="C31" s="785">
        <f ca="1">IF(AUTOEVENTO="Manual",OFFSET(EVENTOS!$D$15,$B31-$B$15,0),IF(B31&lt;=MAX(CÁLCULO!$M$15:$M$244),VLOOKUP($B31,CÁLCULO!$M$15:$N$244,2,FALSE),0))</f>
        <v>0</v>
      </c>
      <c r="D31" s="785"/>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c r="AG31" s="248"/>
      <c r="AH31" s="248"/>
      <c r="AI31" s="248"/>
      <c r="AJ31" s="248"/>
      <c r="AK31" s="248"/>
      <c r="AL31" s="248"/>
      <c r="AM31" s="248"/>
      <c r="AN31" s="248"/>
      <c r="AO31" s="248"/>
      <c r="AP31" s="248"/>
      <c r="AQ31" s="248"/>
      <c r="AR31" s="248"/>
      <c r="AS31" s="248"/>
      <c r="AT31" s="248"/>
      <c r="AU31" s="248"/>
      <c r="AV31" s="248"/>
      <c r="AW31" s="248"/>
      <c r="AX31" s="248"/>
      <c r="AY31" s="248"/>
      <c r="AZ31" s="248"/>
      <c r="BA31" s="248"/>
      <c r="BB31" s="248"/>
      <c r="BC31" s="248"/>
      <c r="BD31" s="248"/>
      <c r="BE31" s="248"/>
    </row>
    <row r="32" spans="1:57" ht="19.5" customHeight="1" x14ac:dyDescent="0.2">
      <c r="A32" s="7" t="str">
        <f t="shared" ca="1" si="2"/>
        <v/>
      </c>
      <c r="B32" s="247">
        <f t="shared" ca="1" si="3"/>
        <v>17</v>
      </c>
      <c r="C32" s="785">
        <f ca="1">IF(AUTOEVENTO="Manual",OFFSET(EVENTOS!$D$15,$B32-$B$15,0),IF(B32&lt;=MAX(CÁLCULO!$M$15:$M$244),VLOOKUP($B32,CÁLCULO!$M$15:$N$244,2,FALSE),0))</f>
        <v>0</v>
      </c>
      <c r="D32" s="785"/>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c r="AG32" s="248"/>
      <c r="AH32" s="248"/>
      <c r="AI32" s="248"/>
      <c r="AJ32" s="248"/>
      <c r="AK32" s="248"/>
      <c r="AL32" s="248"/>
      <c r="AM32" s="248"/>
      <c r="AN32" s="248"/>
      <c r="AO32" s="248"/>
      <c r="AP32" s="248"/>
      <c r="AQ32" s="248"/>
      <c r="AR32" s="248"/>
      <c r="AS32" s="248"/>
      <c r="AT32" s="248"/>
      <c r="AU32" s="248"/>
      <c r="AV32" s="248"/>
      <c r="AW32" s="248"/>
      <c r="AX32" s="248"/>
      <c r="AY32" s="248"/>
      <c r="AZ32" s="248"/>
      <c r="BA32" s="248"/>
      <c r="BB32" s="248"/>
      <c r="BC32" s="248"/>
      <c r="BD32" s="248"/>
      <c r="BE32" s="248"/>
    </row>
    <row r="33" spans="1:57" ht="19.5" customHeight="1" x14ac:dyDescent="0.2">
      <c r="A33" s="7" t="str">
        <f t="shared" ca="1" si="2"/>
        <v/>
      </c>
      <c r="B33" s="247">
        <f t="shared" ca="1" si="3"/>
        <v>18</v>
      </c>
      <c r="C33" s="785">
        <f ca="1">IF(AUTOEVENTO="Manual",OFFSET(EVENTOS!$D$15,$B33-$B$15,0),IF(B33&lt;=MAX(CÁLCULO!$M$15:$M$244),VLOOKUP($B33,CÁLCULO!$M$15:$N$244,2,FALSE),0))</f>
        <v>0</v>
      </c>
      <c r="D33" s="785"/>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c r="AG33" s="248"/>
      <c r="AH33" s="248"/>
      <c r="AI33" s="248"/>
      <c r="AJ33" s="248"/>
      <c r="AK33" s="248"/>
      <c r="AL33" s="248"/>
      <c r="AM33" s="248"/>
      <c r="AN33" s="248"/>
      <c r="AO33" s="248"/>
      <c r="AP33" s="248"/>
      <c r="AQ33" s="248"/>
      <c r="AR33" s="248"/>
      <c r="AS33" s="248"/>
      <c r="AT33" s="248"/>
      <c r="AU33" s="248"/>
      <c r="AV33" s="248"/>
      <c r="AW33" s="248"/>
      <c r="AX33" s="248"/>
      <c r="AY33" s="248"/>
      <c r="AZ33" s="248"/>
      <c r="BA33" s="248"/>
      <c r="BB33" s="248"/>
      <c r="BC33" s="248"/>
      <c r="BD33" s="248"/>
      <c r="BE33" s="248"/>
    </row>
    <row r="34" spans="1:57" ht="19.5" customHeight="1" x14ac:dyDescent="0.2">
      <c r="A34" s="7" t="str">
        <f t="shared" ca="1" si="2"/>
        <v/>
      </c>
      <c r="B34" s="247">
        <f t="shared" ca="1" si="3"/>
        <v>19</v>
      </c>
      <c r="C34" s="785">
        <f ca="1">IF(AUTOEVENTO="Manual",OFFSET(EVENTOS!$D$15,$B34-$B$15,0),IF(B34&lt;=MAX(CÁLCULO!$M$15:$M$244),VLOOKUP($B34,CÁLCULO!$M$15:$N$244,2,FALSE),0))</f>
        <v>0</v>
      </c>
      <c r="D34" s="785"/>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c r="AG34" s="248"/>
      <c r="AH34" s="248"/>
      <c r="AI34" s="248"/>
      <c r="AJ34" s="248"/>
      <c r="AK34" s="248"/>
      <c r="AL34" s="248"/>
      <c r="AM34" s="248"/>
      <c r="AN34" s="248"/>
      <c r="AO34" s="248"/>
      <c r="AP34" s="248"/>
      <c r="AQ34" s="248"/>
      <c r="AR34" s="248"/>
      <c r="AS34" s="248"/>
      <c r="AT34" s="248"/>
      <c r="AU34" s="248"/>
      <c r="AV34" s="248"/>
      <c r="AW34" s="248"/>
      <c r="AX34" s="248"/>
      <c r="AY34" s="248"/>
      <c r="AZ34" s="248"/>
      <c r="BA34" s="248"/>
      <c r="BB34" s="248"/>
      <c r="BC34" s="248"/>
      <c r="BD34" s="248"/>
      <c r="BE34" s="248"/>
    </row>
    <row r="35" spans="1:57" ht="19.5" customHeight="1" x14ac:dyDescent="0.2">
      <c r="A35" s="7" t="str">
        <f t="shared" ca="1" si="2"/>
        <v/>
      </c>
      <c r="B35" s="247">
        <f t="shared" ca="1" si="3"/>
        <v>20</v>
      </c>
      <c r="C35" s="785">
        <f ca="1">IF(AUTOEVENTO="Manual",OFFSET(EVENTOS!$D$15,$B35-$B$15,0),IF(B35&lt;=MAX(CÁLCULO!$M$15:$M$244),VLOOKUP($B35,CÁLCULO!$M$15:$N$244,2,FALSE),0))</f>
        <v>0</v>
      </c>
      <c r="D35" s="785"/>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c r="AG35" s="248"/>
      <c r="AH35" s="248"/>
      <c r="AI35" s="248"/>
      <c r="AJ35" s="248"/>
      <c r="AK35" s="248"/>
      <c r="AL35" s="248"/>
      <c r="AM35" s="248"/>
      <c r="AN35" s="248"/>
      <c r="AO35" s="248"/>
      <c r="AP35" s="248"/>
      <c r="AQ35" s="248"/>
      <c r="AR35" s="248"/>
      <c r="AS35" s="248"/>
      <c r="AT35" s="248"/>
      <c r="AU35" s="248"/>
      <c r="AV35" s="248"/>
      <c r="AW35" s="248"/>
      <c r="AX35" s="248"/>
      <c r="AY35" s="248"/>
      <c r="AZ35" s="248"/>
      <c r="BA35" s="248"/>
      <c r="BB35" s="248"/>
      <c r="BC35" s="248"/>
      <c r="BD35" s="248"/>
      <c r="BE35" s="248"/>
    </row>
    <row r="36" spans="1:57" ht="19.5" customHeight="1" x14ac:dyDescent="0.2">
      <c r="A36" s="7" t="str">
        <f t="shared" ca="1" si="2"/>
        <v/>
      </c>
      <c r="B36" s="247">
        <f t="shared" ca="1" si="3"/>
        <v>21</v>
      </c>
      <c r="C36" s="785">
        <f ca="1">IF(AUTOEVENTO="Manual",OFFSET(EVENTOS!$D$15,$B36-$B$15,0),IF(B36&lt;=MAX(CÁLCULO!$M$15:$M$244),VLOOKUP($B36,CÁLCULO!$M$15:$N$244,2,FALSE),0))</f>
        <v>0</v>
      </c>
      <c r="D36" s="785"/>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c r="AG36" s="248"/>
      <c r="AH36" s="248"/>
      <c r="AI36" s="248"/>
      <c r="AJ36" s="248"/>
      <c r="AK36" s="248"/>
      <c r="AL36" s="248"/>
      <c r="AM36" s="248"/>
      <c r="AN36" s="248"/>
      <c r="AO36" s="248"/>
      <c r="AP36" s="248"/>
      <c r="AQ36" s="248"/>
      <c r="AR36" s="248"/>
      <c r="AS36" s="248"/>
      <c r="AT36" s="248"/>
      <c r="AU36" s="248"/>
      <c r="AV36" s="248"/>
      <c r="AW36" s="248"/>
      <c r="AX36" s="248"/>
      <c r="AY36" s="248"/>
      <c r="AZ36" s="248"/>
      <c r="BA36" s="248"/>
      <c r="BB36" s="248"/>
      <c r="BC36" s="248"/>
      <c r="BD36" s="248"/>
      <c r="BE36" s="248"/>
    </row>
    <row r="37" spans="1:57" ht="19.5" customHeight="1" x14ac:dyDescent="0.2">
      <c r="A37" s="7" t="str">
        <f t="shared" ca="1" si="2"/>
        <v/>
      </c>
      <c r="B37" s="247">
        <f t="shared" ca="1" si="3"/>
        <v>22</v>
      </c>
      <c r="C37" s="785">
        <f ca="1">IF(AUTOEVENTO="Manual",OFFSET(EVENTOS!$D$15,$B37-$B$15,0),IF(B37&lt;=MAX(CÁLCULO!$M$15:$M$244),VLOOKUP($B37,CÁLCULO!$M$15:$N$244,2,FALSE),0))</f>
        <v>0</v>
      </c>
      <c r="D37" s="785"/>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c r="AG37" s="248"/>
      <c r="AH37" s="248"/>
      <c r="AI37" s="248"/>
      <c r="AJ37" s="248"/>
      <c r="AK37" s="248"/>
      <c r="AL37" s="248"/>
      <c r="AM37" s="248"/>
      <c r="AN37" s="248"/>
      <c r="AO37" s="248"/>
      <c r="AP37" s="248"/>
      <c r="AQ37" s="248"/>
      <c r="AR37" s="248"/>
      <c r="AS37" s="248"/>
      <c r="AT37" s="248"/>
      <c r="AU37" s="248"/>
      <c r="AV37" s="248"/>
      <c r="AW37" s="248"/>
      <c r="AX37" s="248"/>
      <c r="AY37" s="248"/>
      <c r="AZ37" s="248"/>
      <c r="BA37" s="248"/>
      <c r="BB37" s="248"/>
      <c r="BC37" s="248"/>
      <c r="BD37" s="248"/>
      <c r="BE37" s="248"/>
    </row>
    <row r="38" spans="1:57" ht="19.5" customHeight="1" x14ac:dyDescent="0.2">
      <c r="A38" s="7" t="str">
        <f t="shared" ca="1" si="2"/>
        <v/>
      </c>
      <c r="B38" s="247">
        <f t="shared" ca="1" si="3"/>
        <v>23</v>
      </c>
      <c r="C38" s="785">
        <f ca="1">IF(AUTOEVENTO="Manual",OFFSET(EVENTOS!$D$15,$B38-$B$15,0),IF(B38&lt;=MAX(CÁLCULO!$M$15:$M$244),VLOOKUP($B38,CÁLCULO!$M$15:$N$244,2,FALSE),0))</f>
        <v>0</v>
      </c>
      <c r="D38" s="785"/>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c r="AG38" s="248"/>
      <c r="AH38" s="248"/>
      <c r="AI38" s="248"/>
      <c r="AJ38" s="248"/>
      <c r="AK38" s="248"/>
      <c r="AL38" s="248"/>
      <c r="AM38" s="248"/>
      <c r="AN38" s="248"/>
      <c r="AO38" s="248"/>
      <c r="AP38" s="248"/>
      <c r="AQ38" s="248"/>
      <c r="AR38" s="248"/>
      <c r="AS38" s="248"/>
      <c r="AT38" s="248"/>
      <c r="AU38" s="248"/>
      <c r="AV38" s="248"/>
      <c r="AW38" s="248"/>
      <c r="AX38" s="248"/>
      <c r="AY38" s="248"/>
      <c r="AZ38" s="248"/>
      <c r="BA38" s="248"/>
      <c r="BB38" s="248"/>
      <c r="BC38" s="248"/>
      <c r="BD38" s="248"/>
      <c r="BE38" s="248"/>
    </row>
    <row r="39" spans="1:57" ht="19.5" customHeight="1" x14ac:dyDescent="0.2">
      <c r="A39" s="7" t="str">
        <f t="shared" ca="1" si="2"/>
        <v/>
      </c>
      <c r="B39" s="247">
        <f t="shared" ca="1" si="3"/>
        <v>24</v>
      </c>
      <c r="C39" s="785">
        <f ca="1">IF(AUTOEVENTO="Manual",OFFSET(EVENTOS!$D$15,$B39-$B$15,0),IF(B39&lt;=MAX(CÁLCULO!$M$15:$M$244),VLOOKUP($B39,CÁLCULO!$M$15:$N$244,2,FALSE),0))</f>
        <v>0</v>
      </c>
      <c r="D39" s="785"/>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c r="AG39" s="248"/>
      <c r="AH39" s="248"/>
      <c r="AI39" s="248"/>
      <c r="AJ39" s="248"/>
      <c r="AK39" s="248"/>
      <c r="AL39" s="248"/>
      <c r="AM39" s="248"/>
      <c r="AN39" s="248"/>
      <c r="AO39" s="248"/>
      <c r="AP39" s="248"/>
      <c r="AQ39" s="248"/>
      <c r="AR39" s="248"/>
      <c r="AS39" s="248"/>
      <c r="AT39" s="248"/>
      <c r="AU39" s="248"/>
      <c r="AV39" s="248"/>
      <c r="AW39" s="248"/>
      <c r="AX39" s="248"/>
      <c r="AY39" s="248"/>
      <c r="AZ39" s="248"/>
      <c r="BA39" s="248"/>
      <c r="BB39" s="248"/>
      <c r="BC39" s="248"/>
      <c r="BD39" s="248"/>
      <c r="BE39" s="248"/>
    </row>
    <row r="40" spans="1:57" ht="19.5" customHeight="1" x14ac:dyDescent="0.2">
      <c r="A40" s="7" t="str">
        <f t="shared" ca="1" si="2"/>
        <v/>
      </c>
      <c r="B40" s="247">
        <f t="shared" ca="1" si="3"/>
        <v>25</v>
      </c>
      <c r="C40" s="785">
        <f ca="1">IF(AUTOEVENTO="Manual",OFFSET(EVENTOS!$D$15,$B40-$B$15,0),IF(B40&lt;=MAX(CÁLCULO!$M$15:$M$244),VLOOKUP($B40,CÁLCULO!$M$15:$N$244,2,FALSE),0))</f>
        <v>0</v>
      </c>
      <c r="D40" s="785"/>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c r="AG40" s="248"/>
      <c r="AH40" s="248"/>
      <c r="AI40" s="248"/>
      <c r="AJ40" s="248"/>
      <c r="AK40" s="248"/>
      <c r="AL40" s="248"/>
      <c r="AM40" s="248"/>
      <c r="AN40" s="248"/>
      <c r="AO40" s="248"/>
      <c r="AP40" s="248"/>
      <c r="AQ40" s="248"/>
      <c r="AR40" s="248"/>
      <c r="AS40" s="248"/>
      <c r="AT40" s="248"/>
      <c r="AU40" s="248"/>
      <c r="AV40" s="248"/>
      <c r="AW40" s="248"/>
      <c r="AX40" s="248"/>
      <c r="AY40" s="248"/>
      <c r="AZ40" s="248"/>
      <c r="BA40" s="248"/>
      <c r="BB40" s="248"/>
      <c r="BC40" s="248"/>
      <c r="BD40" s="248"/>
      <c r="BE40" s="248"/>
    </row>
    <row r="41" spans="1:57" ht="19.5" customHeight="1" x14ac:dyDescent="0.2">
      <c r="A41" s="7" t="str">
        <f t="shared" ca="1" si="2"/>
        <v/>
      </c>
      <c r="B41" s="247">
        <f t="shared" ca="1" si="3"/>
        <v>26</v>
      </c>
      <c r="C41" s="785">
        <f ca="1">IF(AUTOEVENTO="Manual",OFFSET(EVENTOS!$D$15,$B41-$B$15,0),IF(B41&lt;=MAX(CÁLCULO!$M$15:$M$244),VLOOKUP($B41,CÁLCULO!$M$15:$N$244,2,FALSE),0))</f>
        <v>0</v>
      </c>
      <c r="D41" s="785"/>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c r="AG41" s="248"/>
      <c r="AH41" s="248"/>
      <c r="AI41" s="248"/>
      <c r="AJ41" s="248"/>
      <c r="AK41" s="248"/>
      <c r="AL41" s="248"/>
      <c r="AM41" s="248"/>
      <c r="AN41" s="248"/>
      <c r="AO41" s="248"/>
      <c r="AP41" s="248"/>
      <c r="AQ41" s="248"/>
      <c r="AR41" s="248"/>
      <c r="AS41" s="248"/>
      <c r="AT41" s="248"/>
      <c r="AU41" s="248"/>
      <c r="AV41" s="248"/>
      <c r="AW41" s="248"/>
      <c r="AX41" s="248"/>
      <c r="AY41" s="248"/>
      <c r="AZ41" s="248"/>
      <c r="BA41" s="248"/>
      <c r="BB41" s="248"/>
      <c r="BC41" s="248"/>
      <c r="BD41" s="248"/>
      <c r="BE41" s="248"/>
    </row>
    <row r="42" spans="1:57" ht="19.5" customHeight="1" x14ac:dyDescent="0.2">
      <c r="A42" s="7" t="str">
        <f t="shared" ca="1" si="2"/>
        <v/>
      </c>
      <c r="B42" s="247">
        <f t="shared" ca="1" si="3"/>
        <v>27</v>
      </c>
      <c r="C42" s="785">
        <f ca="1">IF(AUTOEVENTO="Manual",OFFSET(EVENTOS!$D$15,$B42-$B$15,0),IF(B42&lt;=MAX(CÁLCULO!$M$15:$M$244),VLOOKUP($B42,CÁLCULO!$M$15:$N$244,2,FALSE),0))</f>
        <v>0</v>
      </c>
      <c r="D42" s="785"/>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c r="AG42" s="248"/>
      <c r="AH42" s="248"/>
      <c r="AI42" s="248"/>
      <c r="AJ42" s="248"/>
      <c r="AK42" s="248"/>
      <c r="AL42" s="248"/>
      <c r="AM42" s="248"/>
      <c r="AN42" s="248"/>
      <c r="AO42" s="248"/>
      <c r="AP42" s="248"/>
      <c r="AQ42" s="248"/>
      <c r="AR42" s="248"/>
      <c r="AS42" s="248"/>
      <c r="AT42" s="248"/>
      <c r="AU42" s="248"/>
      <c r="AV42" s="248"/>
      <c r="AW42" s="248"/>
      <c r="AX42" s="248"/>
      <c r="AY42" s="248"/>
      <c r="AZ42" s="248"/>
      <c r="BA42" s="248"/>
      <c r="BB42" s="248"/>
      <c r="BC42" s="248"/>
      <c r="BD42" s="248"/>
      <c r="BE42" s="248"/>
    </row>
    <row r="43" spans="1:57" ht="19.5" customHeight="1" x14ac:dyDescent="0.2">
      <c r="A43" s="7" t="str">
        <f t="shared" ca="1" si="2"/>
        <v/>
      </c>
      <c r="B43" s="247">
        <f t="shared" ca="1" si="3"/>
        <v>28</v>
      </c>
      <c r="C43" s="785">
        <f ca="1">IF(AUTOEVENTO="Manual",OFFSET(EVENTOS!$D$15,$B43-$B$15,0),IF(B43&lt;=MAX(CÁLCULO!$M$15:$M$244),VLOOKUP($B43,CÁLCULO!$M$15:$N$244,2,FALSE),0))</f>
        <v>0</v>
      </c>
      <c r="D43" s="785"/>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c r="AG43" s="248"/>
      <c r="AH43" s="248"/>
      <c r="AI43" s="248"/>
      <c r="AJ43" s="248"/>
      <c r="AK43" s="248"/>
      <c r="AL43" s="248"/>
      <c r="AM43" s="248"/>
      <c r="AN43" s="248"/>
      <c r="AO43" s="248"/>
      <c r="AP43" s="248"/>
      <c r="AQ43" s="248"/>
      <c r="AR43" s="248"/>
      <c r="AS43" s="248"/>
      <c r="AT43" s="248"/>
      <c r="AU43" s="248"/>
      <c r="AV43" s="248"/>
      <c r="AW43" s="248"/>
      <c r="AX43" s="248"/>
      <c r="AY43" s="248"/>
      <c r="AZ43" s="248"/>
      <c r="BA43" s="248"/>
      <c r="BB43" s="248"/>
      <c r="BC43" s="248"/>
      <c r="BD43" s="248"/>
      <c r="BE43" s="248"/>
    </row>
    <row r="44" spans="1:57" ht="19.5" customHeight="1" x14ac:dyDescent="0.2">
      <c r="A44" s="7" t="str">
        <f t="shared" ca="1" si="2"/>
        <v/>
      </c>
      <c r="B44" s="247">
        <f t="shared" ca="1" si="3"/>
        <v>29</v>
      </c>
      <c r="C44" s="785">
        <f ca="1">IF(AUTOEVENTO="Manual",OFFSET(EVENTOS!$D$15,$B44-$B$15,0),IF(B44&lt;=MAX(CÁLCULO!$M$15:$M$244),VLOOKUP($B44,CÁLCULO!$M$15:$N$244,2,FALSE),0))</f>
        <v>0</v>
      </c>
      <c r="D44" s="785"/>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c r="AG44" s="248"/>
      <c r="AH44" s="248"/>
      <c r="AI44" s="248"/>
      <c r="AJ44" s="248"/>
      <c r="AK44" s="248"/>
      <c r="AL44" s="248"/>
      <c r="AM44" s="248"/>
      <c r="AN44" s="248"/>
      <c r="AO44" s="248"/>
      <c r="AP44" s="248"/>
      <c r="AQ44" s="248"/>
      <c r="AR44" s="248"/>
      <c r="AS44" s="248"/>
      <c r="AT44" s="248"/>
      <c r="AU44" s="248"/>
      <c r="AV44" s="248"/>
      <c r="AW44" s="248"/>
      <c r="AX44" s="248"/>
      <c r="AY44" s="248"/>
      <c r="AZ44" s="248"/>
      <c r="BA44" s="248"/>
      <c r="BB44" s="248"/>
      <c r="BC44" s="248"/>
      <c r="BD44" s="248"/>
      <c r="BE44" s="248"/>
    </row>
    <row r="45" spans="1:57" ht="19.5" customHeight="1" x14ac:dyDescent="0.2">
      <c r="A45" s="7" t="str">
        <f t="shared" ca="1" si="2"/>
        <v/>
      </c>
      <c r="B45" s="247">
        <f t="shared" ca="1" si="3"/>
        <v>30</v>
      </c>
      <c r="C45" s="785">
        <f ca="1">IF(AUTOEVENTO="Manual",OFFSET(EVENTOS!$D$15,$B45-$B$15,0),IF(B45&lt;=MAX(CÁLCULO!$M$15:$M$244),VLOOKUP($B45,CÁLCULO!$M$15:$N$244,2,FALSE),0))</f>
        <v>0</v>
      </c>
      <c r="D45" s="785"/>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c r="AG45" s="248"/>
      <c r="AH45" s="248"/>
      <c r="AI45" s="248"/>
      <c r="AJ45" s="248"/>
      <c r="AK45" s="248"/>
      <c r="AL45" s="248"/>
      <c r="AM45" s="248"/>
      <c r="AN45" s="248"/>
      <c r="AO45" s="248"/>
      <c r="AP45" s="248"/>
      <c r="AQ45" s="248"/>
      <c r="AR45" s="248"/>
      <c r="AS45" s="248"/>
      <c r="AT45" s="248"/>
      <c r="AU45" s="248"/>
      <c r="AV45" s="248"/>
      <c r="AW45" s="248"/>
      <c r="AX45" s="248"/>
      <c r="AY45" s="248"/>
      <c r="AZ45" s="248"/>
      <c r="BA45" s="248"/>
      <c r="BB45" s="248"/>
      <c r="BC45" s="248"/>
      <c r="BD45" s="248"/>
      <c r="BE45" s="248"/>
    </row>
    <row r="46" spans="1:57" ht="19.5" customHeight="1" x14ac:dyDescent="0.2">
      <c r="A46" s="7" t="str">
        <f t="shared" ca="1" si="2"/>
        <v/>
      </c>
      <c r="B46" s="247">
        <f t="shared" ca="1" si="3"/>
        <v>31</v>
      </c>
      <c r="C46" s="785">
        <f ca="1">IF(AUTOEVENTO="Manual",OFFSET(EVENTOS!$D$15,$B46-$B$15,0),IF(B46&lt;=MAX(CÁLCULO!$M$15:$M$244),VLOOKUP($B46,CÁLCULO!$M$15:$N$244,2,FALSE),0))</f>
        <v>0</v>
      </c>
      <c r="D46" s="785"/>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c r="AG46" s="248"/>
      <c r="AH46" s="248"/>
      <c r="AI46" s="248"/>
      <c r="AJ46" s="248"/>
      <c r="AK46" s="248"/>
      <c r="AL46" s="248"/>
      <c r="AM46" s="248"/>
      <c r="AN46" s="248"/>
      <c r="AO46" s="248"/>
      <c r="AP46" s="248"/>
      <c r="AQ46" s="248"/>
      <c r="AR46" s="248"/>
      <c r="AS46" s="248"/>
      <c r="AT46" s="248"/>
      <c r="AU46" s="248"/>
      <c r="AV46" s="248"/>
      <c r="AW46" s="248"/>
      <c r="AX46" s="248"/>
      <c r="AY46" s="248"/>
      <c r="AZ46" s="248"/>
      <c r="BA46" s="248"/>
      <c r="BB46" s="248"/>
      <c r="BC46" s="248"/>
      <c r="BD46" s="248"/>
      <c r="BE46" s="248"/>
    </row>
    <row r="47" spans="1:57" ht="19.5" customHeight="1" x14ac:dyDescent="0.2">
      <c r="A47" s="7" t="str">
        <f t="shared" ca="1" si="2"/>
        <v/>
      </c>
      <c r="B47" s="247">
        <f t="shared" ca="1" si="3"/>
        <v>32</v>
      </c>
      <c r="C47" s="785">
        <f ca="1">IF(AUTOEVENTO="Manual",OFFSET(EVENTOS!$D$15,$B47-$B$15,0),IF(B47&lt;=MAX(CÁLCULO!$M$15:$M$244),VLOOKUP($B47,CÁLCULO!$M$15:$N$244,2,FALSE),0))</f>
        <v>0</v>
      </c>
      <c r="D47" s="785"/>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c r="AG47" s="248"/>
      <c r="AH47" s="248"/>
      <c r="AI47" s="248"/>
      <c r="AJ47" s="248"/>
      <c r="AK47" s="248"/>
      <c r="AL47" s="248"/>
      <c r="AM47" s="248"/>
      <c r="AN47" s="248"/>
      <c r="AO47" s="248"/>
      <c r="AP47" s="248"/>
      <c r="AQ47" s="248"/>
      <c r="AR47" s="248"/>
      <c r="AS47" s="248"/>
      <c r="AT47" s="248"/>
      <c r="AU47" s="248"/>
      <c r="AV47" s="248"/>
      <c r="AW47" s="248"/>
      <c r="AX47" s="248"/>
      <c r="AY47" s="248"/>
      <c r="AZ47" s="248"/>
      <c r="BA47" s="248"/>
      <c r="BB47" s="248"/>
      <c r="BC47" s="248"/>
      <c r="BD47" s="248"/>
      <c r="BE47" s="248"/>
    </row>
    <row r="48" spans="1:57" ht="19.5" customHeight="1" x14ac:dyDescent="0.2">
      <c r="A48" s="7" t="str">
        <f t="shared" ca="1" si="2"/>
        <v/>
      </c>
      <c r="B48" s="247">
        <f t="shared" ca="1" si="3"/>
        <v>33</v>
      </c>
      <c r="C48" s="785">
        <f ca="1">IF(AUTOEVENTO="Manual",OFFSET(EVENTOS!$D$15,$B48-$B$15,0),IF(B48&lt;=MAX(CÁLCULO!$M$15:$M$244),VLOOKUP($B48,CÁLCULO!$M$15:$N$244,2,FALSE),0))</f>
        <v>0</v>
      </c>
      <c r="D48" s="785"/>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c r="AG48" s="248"/>
      <c r="AH48" s="248"/>
      <c r="AI48" s="248"/>
      <c r="AJ48" s="248"/>
      <c r="AK48" s="248"/>
      <c r="AL48" s="248"/>
      <c r="AM48" s="248"/>
      <c r="AN48" s="248"/>
      <c r="AO48" s="248"/>
      <c r="AP48" s="248"/>
      <c r="AQ48" s="248"/>
      <c r="AR48" s="248"/>
      <c r="AS48" s="248"/>
      <c r="AT48" s="248"/>
      <c r="AU48" s="248"/>
      <c r="AV48" s="248"/>
      <c r="AW48" s="248"/>
      <c r="AX48" s="248"/>
      <c r="AY48" s="248"/>
      <c r="AZ48" s="248"/>
      <c r="BA48" s="248"/>
      <c r="BB48" s="248"/>
      <c r="BC48" s="248"/>
      <c r="BD48" s="248"/>
      <c r="BE48" s="248"/>
    </row>
    <row r="49" spans="1:57" ht="19.5" customHeight="1" x14ac:dyDescent="0.2">
      <c r="A49" s="7" t="str">
        <f t="shared" ca="1" si="2"/>
        <v/>
      </c>
      <c r="B49" s="247">
        <f t="shared" ca="1" si="3"/>
        <v>34</v>
      </c>
      <c r="C49" s="785">
        <f ca="1">IF(AUTOEVENTO="Manual",OFFSET(EVENTOS!$D$15,$B49-$B$15,0),IF(B49&lt;=MAX(CÁLCULO!$M$15:$M$244),VLOOKUP($B49,CÁLCULO!$M$15:$N$244,2,FALSE),0))</f>
        <v>0</v>
      </c>
      <c r="D49" s="785"/>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c r="AG49" s="248"/>
      <c r="AH49" s="248"/>
      <c r="AI49" s="248"/>
      <c r="AJ49" s="248"/>
      <c r="AK49" s="248"/>
      <c r="AL49" s="248"/>
      <c r="AM49" s="248"/>
      <c r="AN49" s="248"/>
      <c r="AO49" s="248"/>
      <c r="AP49" s="248"/>
      <c r="AQ49" s="248"/>
      <c r="AR49" s="248"/>
      <c r="AS49" s="248"/>
      <c r="AT49" s="248"/>
      <c r="AU49" s="248"/>
      <c r="AV49" s="248"/>
      <c r="AW49" s="248"/>
      <c r="AX49" s="248"/>
      <c r="AY49" s="248"/>
      <c r="AZ49" s="248"/>
      <c r="BA49" s="248"/>
      <c r="BB49" s="248"/>
      <c r="BC49" s="248"/>
      <c r="BD49" s="248"/>
      <c r="BE49" s="248"/>
    </row>
    <row r="50" spans="1:57" ht="19.5" customHeight="1" x14ac:dyDescent="0.2">
      <c r="A50" s="7" t="str">
        <f t="shared" ca="1" si="2"/>
        <v/>
      </c>
      <c r="B50" s="247">
        <f t="shared" ca="1" si="3"/>
        <v>35</v>
      </c>
      <c r="C50" s="785">
        <f ca="1">IF(AUTOEVENTO="Manual",OFFSET(EVENTOS!$D$15,$B50-$B$15,0),IF(B50&lt;=MAX(CÁLCULO!$M$15:$M$244),VLOOKUP($B50,CÁLCULO!$M$15:$N$244,2,FALSE),0))</f>
        <v>0</v>
      </c>
      <c r="D50" s="785"/>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c r="AG50" s="248"/>
      <c r="AH50" s="248"/>
      <c r="AI50" s="248"/>
      <c r="AJ50" s="248"/>
      <c r="AK50" s="248"/>
      <c r="AL50" s="248"/>
      <c r="AM50" s="248"/>
      <c r="AN50" s="248"/>
      <c r="AO50" s="248"/>
      <c r="AP50" s="248"/>
      <c r="AQ50" s="248"/>
      <c r="AR50" s="248"/>
      <c r="AS50" s="248"/>
      <c r="AT50" s="248"/>
      <c r="AU50" s="248"/>
      <c r="AV50" s="248"/>
      <c r="AW50" s="248"/>
      <c r="AX50" s="248"/>
      <c r="AY50" s="248"/>
      <c r="AZ50" s="248"/>
      <c r="BA50" s="248"/>
      <c r="BB50" s="248"/>
      <c r="BC50" s="248"/>
      <c r="BD50" s="248"/>
      <c r="BE50" s="248"/>
    </row>
    <row r="51" spans="1:57" ht="19.5" customHeight="1" x14ac:dyDescent="0.2">
      <c r="A51" s="7" t="str">
        <f t="shared" ca="1" si="2"/>
        <v/>
      </c>
      <c r="B51" s="247">
        <f t="shared" ca="1" si="3"/>
        <v>36</v>
      </c>
      <c r="C51" s="785">
        <f ca="1">IF(AUTOEVENTO="Manual",OFFSET(EVENTOS!$D$15,$B51-$B$15,0),IF(B51&lt;=MAX(CÁLCULO!$M$15:$M$244),VLOOKUP($B51,CÁLCULO!$M$15:$N$244,2,FALSE),0))</f>
        <v>0</v>
      </c>
      <c r="D51" s="785"/>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c r="AG51" s="248"/>
      <c r="AH51" s="248"/>
      <c r="AI51" s="248"/>
      <c r="AJ51" s="248"/>
      <c r="AK51" s="248"/>
      <c r="AL51" s="248"/>
      <c r="AM51" s="248"/>
      <c r="AN51" s="248"/>
      <c r="AO51" s="248"/>
      <c r="AP51" s="248"/>
      <c r="AQ51" s="248"/>
      <c r="AR51" s="248"/>
      <c r="AS51" s="248"/>
      <c r="AT51" s="248"/>
      <c r="AU51" s="248"/>
      <c r="AV51" s="248"/>
      <c r="AW51" s="248"/>
      <c r="AX51" s="248"/>
      <c r="AY51" s="248"/>
      <c r="AZ51" s="248"/>
      <c r="BA51" s="248"/>
      <c r="BB51" s="248"/>
      <c r="BC51" s="248"/>
      <c r="BD51" s="248"/>
      <c r="BE51" s="248"/>
    </row>
    <row r="52" spans="1:57" ht="19.5" customHeight="1" x14ac:dyDescent="0.2">
      <c r="A52" s="7" t="str">
        <f t="shared" ca="1" si="2"/>
        <v/>
      </c>
      <c r="B52" s="247">
        <f t="shared" ca="1" si="3"/>
        <v>37</v>
      </c>
      <c r="C52" s="785">
        <f ca="1">IF(AUTOEVENTO="Manual",OFFSET(EVENTOS!$D$15,$B52-$B$15,0),IF(B52&lt;=MAX(CÁLCULO!$M$15:$M$244),VLOOKUP($B52,CÁLCULO!$M$15:$N$244,2,FALSE),0))</f>
        <v>0</v>
      </c>
      <c r="D52" s="785"/>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c r="AG52" s="248"/>
      <c r="AH52" s="248"/>
      <c r="AI52" s="248"/>
      <c r="AJ52" s="248"/>
      <c r="AK52" s="248"/>
      <c r="AL52" s="248"/>
      <c r="AM52" s="248"/>
      <c r="AN52" s="248"/>
      <c r="AO52" s="248"/>
      <c r="AP52" s="248"/>
      <c r="AQ52" s="248"/>
      <c r="AR52" s="248"/>
      <c r="AS52" s="248"/>
      <c r="AT52" s="248"/>
      <c r="AU52" s="248"/>
      <c r="AV52" s="248"/>
      <c r="AW52" s="248"/>
      <c r="AX52" s="248"/>
      <c r="AY52" s="248"/>
      <c r="AZ52" s="248"/>
      <c r="BA52" s="248"/>
      <c r="BB52" s="248"/>
      <c r="BC52" s="248"/>
      <c r="BD52" s="248"/>
      <c r="BE52" s="248"/>
    </row>
    <row r="53" spans="1:57" ht="19.5" customHeight="1" x14ac:dyDescent="0.2">
      <c r="A53" s="7" t="str">
        <f t="shared" ca="1" si="2"/>
        <v/>
      </c>
      <c r="B53" s="247">
        <f t="shared" ca="1" si="3"/>
        <v>38</v>
      </c>
      <c r="C53" s="785">
        <f ca="1">IF(AUTOEVENTO="Manual",OFFSET(EVENTOS!$D$15,$B53-$B$15,0),IF(B53&lt;=MAX(CÁLCULO!$M$15:$M$244),VLOOKUP($B53,CÁLCULO!$M$15:$N$244,2,FALSE),0))</f>
        <v>0</v>
      </c>
      <c r="D53" s="785"/>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c r="AG53" s="248"/>
      <c r="AH53" s="248"/>
      <c r="AI53" s="248"/>
      <c r="AJ53" s="248"/>
      <c r="AK53" s="248"/>
      <c r="AL53" s="248"/>
      <c r="AM53" s="248"/>
      <c r="AN53" s="248"/>
      <c r="AO53" s="248"/>
      <c r="AP53" s="248"/>
      <c r="AQ53" s="248"/>
      <c r="AR53" s="248"/>
      <c r="AS53" s="248"/>
      <c r="AT53" s="248"/>
      <c r="AU53" s="248"/>
      <c r="AV53" s="248"/>
      <c r="AW53" s="248"/>
      <c r="AX53" s="248"/>
      <c r="AY53" s="248"/>
      <c r="AZ53" s="248"/>
      <c r="BA53" s="248"/>
      <c r="BB53" s="248"/>
      <c r="BC53" s="248"/>
      <c r="BD53" s="248"/>
      <c r="BE53" s="248"/>
    </row>
    <row r="54" spans="1:57" ht="19.5" customHeight="1" x14ac:dyDescent="0.2">
      <c r="A54" s="7" t="str">
        <f t="shared" ca="1" si="2"/>
        <v/>
      </c>
      <c r="B54" s="247">
        <f t="shared" ca="1" si="3"/>
        <v>39</v>
      </c>
      <c r="C54" s="785">
        <f ca="1">IF(AUTOEVENTO="Manual",OFFSET(EVENTOS!$D$15,$B54-$B$15,0),IF(B54&lt;=MAX(CÁLCULO!$M$15:$M$244),VLOOKUP($B54,CÁLCULO!$M$15:$N$244,2,FALSE),0))</f>
        <v>0</v>
      </c>
      <c r="D54" s="785"/>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c r="AG54" s="248"/>
      <c r="AH54" s="248"/>
      <c r="AI54" s="248"/>
      <c r="AJ54" s="248"/>
      <c r="AK54" s="248"/>
      <c r="AL54" s="248"/>
      <c r="AM54" s="248"/>
      <c r="AN54" s="248"/>
      <c r="AO54" s="248"/>
      <c r="AP54" s="248"/>
      <c r="AQ54" s="248"/>
      <c r="AR54" s="248"/>
      <c r="AS54" s="248"/>
      <c r="AT54" s="248"/>
      <c r="AU54" s="248"/>
      <c r="AV54" s="248"/>
      <c r="AW54" s="248"/>
      <c r="AX54" s="248"/>
      <c r="AY54" s="248"/>
      <c r="AZ54" s="248"/>
      <c r="BA54" s="248"/>
      <c r="BB54" s="248"/>
      <c r="BC54" s="248"/>
      <c r="BD54" s="248"/>
      <c r="BE54" s="248"/>
    </row>
    <row r="55" spans="1:57" ht="19.5" customHeight="1" x14ac:dyDescent="0.2">
      <c r="A55" s="7" t="str">
        <f t="shared" ca="1" si="2"/>
        <v/>
      </c>
      <c r="B55" s="247">
        <f t="shared" ca="1" si="3"/>
        <v>40</v>
      </c>
      <c r="C55" s="785">
        <f ca="1">IF(AUTOEVENTO="Manual",OFFSET(EVENTOS!$D$15,$B55-$B$15,0),IF(B55&lt;=MAX(CÁLCULO!$M$15:$M$244),VLOOKUP($B55,CÁLCULO!$M$15:$N$244,2,FALSE),0))</f>
        <v>0</v>
      </c>
      <c r="D55" s="785"/>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c r="AG55" s="248"/>
      <c r="AH55" s="248"/>
      <c r="AI55" s="248"/>
      <c r="AJ55" s="248"/>
      <c r="AK55" s="248"/>
      <c r="AL55" s="248"/>
      <c r="AM55" s="248"/>
      <c r="AN55" s="248"/>
      <c r="AO55" s="248"/>
      <c r="AP55" s="248"/>
      <c r="AQ55" s="248"/>
      <c r="AR55" s="248"/>
      <c r="AS55" s="248"/>
      <c r="AT55" s="248"/>
      <c r="AU55" s="248"/>
      <c r="AV55" s="248"/>
      <c r="AW55" s="248"/>
      <c r="AX55" s="248"/>
      <c r="AY55" s="248"/>
      <c r="AZ55" s="248"/>
      <c r="BA55" s="248"/>
      <c r="BB55" s="248"/>
      <c r="BC55" s="248"/>
      <c r="BD55" s="248"/>
      <c r="BE55" s="248"/>
    </row>
    <row r="56" spans="1:57" ht="19.5" customHeight="1" x14ac:dyDescent="0.2">
      <c r="A56" s="7" t="str">
        <f t="shared" ca="1" si="2"/>
        <v/>
      </c>
      <c r="B56" s="247">
        <f t="shared" ca="1" si="3"/>
        <v>41</v>
      </c>
      <c r="C56" s="785">
        <f ca="1">IF(AUTOEVENTO="Manual",OFFSET(EVENTOS!$D$15,$B56-$B$15,0),IF(B56&lt;=MAX(CÁLCULO!$M$15:$M$244),VLOOKUP($B56,CÁLCULO!$M$15:$N$244,2,FALSE),0))</f>
        <v>0</v>
      </c>
      <c r="D56" s="785"/>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c r="AG56" s="248"/>
      <c r="AH56" s="248"/>
      <c r="AI56" s="248"/>
      <c r="AJ56" s="248"/>
      <c r="AK56" s="248"/>
      <c r="AL56" s="248"/>
      <c r="AM56" s="248"/>
      <c r="AN56" s="248"/>
      <c r="AO56" s="248"/>
      <c r="AP56" s="248"/>
      <c r="AQ56" s="248"/>
      <c r="AR56" s="248"/>
      <c r="AS56" s="248"/>
      <c r="AT56" s="248"/>
      <c r="AU56" s="248"/>
      <c r="AV56" s="248"/>
      <c r="AW56" s="248"/>
      <c r="AX56" s="248"/>
      <c r="AY56" s="248"/>
      <c r="AZ56" s="248"/>
      <c r="BA56" s="248"/>
      <c r="BB56" s="248"/>
      <c r="BC56" s="248"/>
      <c r="BD56" s="248"/>
      <c r="BE56" s="248"/>
    </row>
    <row r="57" spans="1:57" ht="4.5" customHeight="1" x14ac:dyDescent="0.2">
      <c r="A57" s="7" t="s">
        <v>536</v>
      </c>
      <c r="B57" s="618"/>
      <c r="C57" s="619"/>
      <c r="D57" s="419"/>
      <c r="F57" s="636"/>
      <c r="H57" s="618"/>
      <c r="I57" s="619"/>
      <c r="J57" s="619"/>
      <c r="K57" s="619"/>
      <c r="L57" s="619"/>
      <c r="M57" s="619"/>
      <c r="N57" s="619"/>
      <c r="O57" s="619"/>
      <c r="P57" s="619"/>
      <c r="Q57" s="619"/>
      <c r="R57" s="619"/>
      <c r="S57" s="619"/>
      <c r="T57" s="619"/>
      <c r="U57" s="619"/>
      <c r="V57" s="619"/>
      <c r="W57" s="619"/>
      <c r="X57" s="619"/>
      <c r="Y57" s="619"/>
      <c r="Z57" s="619"/>
      <c r="AA57" s="619"/>
      <c r="AB57" s="619"/>
      <c r="AC57" s="619"/>
      <c r="AD57" s="619"/>
      <c r="AE57" s="619"/>
      <c r="AF57" s="419"/>
      <c r="AG57" s="618"/>
      <c r="AH57" s="619"/>
      <c r="AI57" s="619"/>
      <c r="AJ57" s="619"/>
      <c r="AK57" s="619"/>
      <c r="AL57" s="619"/>
      <c r="AM57" s="619"/>
      <c r="AN57" s="619"/>
      <c r="AO57" s="619"/>
      <c r="AP57" s="619"/>
      <c r="AQ57" s="619"/>
      <c r="AR57" s="619"/>
      <c r="AS57" s="619"/>
      <c r="AT57" s="619"/>
      <c r="AU57" s="619"/>
      <c r="AV57" s="619"/>
      <c r="AW57" s="619"/>
      <c r="AX57" s="619"/>
      <c r="AY57" s="619"/>
      <c r="AZ57" s="619"/>
      <c r="BA57" s="619"/>
      <c r="BB57" s="619"/>
      <c r="BC57" s="619"/>
      <c r="BD57" s="619"/>
      <c r="BE57" s="419"/>
    </row>
    <row r="58" spans="1:57" x14ac:dyDescent="0.2">
      <c r="A58" s="7" t="s">
        <v>536</v>
      </c>
    </row>
    <row r="59" spans="1:57" x14ac:dyDescent="0.2">
      <c r="A59" s="7" t="s">
        <v>536</v>
      </c>
      <c r="I59" s="792" t="s">
        <v>839</v>
      </c>
      <c r="J59" s="792"/>
      <c r="K59" s="792"/>
      <c r="L59" s="792"/>
      <c r="M59" s="792"/>
      <c r="N59" s="792"/>
      <c r="O59" s="792"/>
      <c r="P59" s="792"/>
      <c r="Q59" s="792"/>
      <c r="R59" s="792"/>
      <c r="S59" s="792"/>
      <c r="T59" s="792"/>
      <c r="U59" s="792"/>
      <c r="V59" s="792"/>
      <c r="W59" s="792"/>
      <c r="X59" s="792"/>
      <c r="Y59" s="792"/>
      <c r="Z59" s="792"/>
      <c r="AA59" s="792"/>
      <c r="AB59" s="792"/>
      <c r="AC59" s="792"/>
      <c r="AD59" s="792"/>
      <c r="AE59" s="792"/>
      <c r="AF59" s="792"/>
      <c r="AH59" s="792" t="s">
        <v>839</v>
      </c>
      <c r="AI59" s="792"/>
      <c r="AJ59" s="792"/>
      <c r="AK59" s="792"/>
      <c r="AL59" s="792"/>
      <c r="AM59" s="792"/>
      <c r="AN59" s="792"/>
      <c r="AO59" s="792"/>
      <c r="AP59" s="792"/>
      <c r="AQ59" s="792"/>
      <c r="AR59" s="792"/>
      <c r="AS59" s="792"/>
      <c r="AT59" s="792"/>
      <c r="AU59" s="792"/>
      <c r="AV59" s="792"/>
      <c r="AW59" s="792"/>
      <c r="AX59" s="792"/>
      <c r="AY59" s="792"/>
      <c r="AZ59" s="792"/>
      <c r="BA59" s="792"/>
      <c r="BB59" s="792"/>
      <c r="BC59" s="792"/>
      <c r="BD59" s="792"/>
      <c r="BE59" s="792"/>
    </row>
    <row r="60" spans="1:57" x14ac:dyDescent="0.2">
      <c r="A60" s="7" t="s">
        <v>536</v>
      </c>
      <c r="H60" s="583" t="str">
        <f>IF(INDEX($I$60:$BF$60,MATCH(PLE.Medicao,$I$61:$BF$61,0))="","Preencher a data da medição "&amp;PLE.Medicao,"")</f>
        <v>Preencher a data da medição 1</v>
      </c>
      <c r="I60" s="801"/>
      <c r="J60" s="787"/>
      <c r="K60" s="787"/>
      <c r="L60" s="787"/>
      <c r="M60" s="787"/>
      <c r="N60" s="787"/>
      <c r="O60" s="787"/>
      <c r="P60" s="787"/>
      <c r="Q60" s="787"/>
      <c r="R60" s="787"/>
      <c r="S60" s="787"/>
      <c r="T60" s="787"/>
      <c r="U60" s="787"/>
      <c r="V60" s="787"/>
      <c r="W60" s="787"/>
      <c r="X60" s="787"/>
      <c r="Y60" s="787"/>
      <c r="Z60" s="787"/>
      <c r="AA60" s="787"/>
      <c r="AB60" s="787"/>
      <c r="AC60" s="787"/>
      <c r="AD60" s="787"/>
      <c r="AE60" s="787"/>
      <c r="AF60" s="793"/>
      <c r="AG60" s="583" t="str">
        <f>IF(INDEX($I$60:$BF$60,MATCH(PLE.Medicao,$I$61:$BF$61,0))="","Preencher a data da medição "&amp;PLE.Medicao,"")</f>
        <v>Preencher a data da medição 1</v>
      </c>
      <c r="AH60" s="801"/>
      <c r="AI60" s="787"/>
      <c r="AJ60" s="787"/>
      <c r="AK60" s="787"/>
      <c r="AL60" s="787"/>
      <c r="AM60" s="787"/>
      <c r="AN60" s="787"/>
      <c r="AO60" s="787"/>
      <c r="AP60" s="787"/>
      <c r="AQ60" s="787"/>
      <c r="AR60" s="787"/>
      <c r="AS60" s="787"/>
      <c r="AT60" s="787"/>
      <c r="AU60" s="787"/>
      <c r="AV60" s="787"/>
      <c r="AW60" s="787"/>
      <c r="AX60" s="787"/>
      <c r="AY60" s="787"/>
      <c r="AZ60" s="787"/>
      <c r="BA60" s="787"/>
      <c r="BB60" s="787"/>
      <c r="BC60" s="787"/>
      <c r="BD60" s="787"/>
      <c r="BE60" s="793"/>
    </row>
    <row r="61" spans="1:57" x14ac:dyDescent="0.2">
      <c r="A61" s="7" t="s">
        <v>536</v>
      </c>
      <c r="D61" s="269" t="s">
        <v>840</v>
      </c>
      <c r="I61" s="788">
        <f>IF(PLE.Medicao&lt;=12,1,TRUNC((PLE.Medicao - 2)/11,0) * 11 + 1)</f>
        <v>1</v>
      </c>
      <c r="J61" s="788"/>
      <c r="K61" s="788">
        <f>I61+1</f>
        <v>2</v>
      </c>
      <c r="L61" s="788"/>
      <c r="M61" s="788">
        <f>K61+1</f>
        <v>3</v>
      </c>
      <c r="N61" s="788"/>
      <c r="O61" s="788">
        <f>M61+1</f>
        <v>4</v>
      </c>
      <c r="P61" s="788"/>
      <c r="Q61" s="788">
        <f>O61+1</f>
        <v>5</v>
      </c>
      <c r="R61" s="788"/>
      <c r="S61" s="788">
        <f>Q61+1</f>
        <v>6</v>
      </c>
      <c r="T61" s="788"/>
      <c r="U61" s="788">
        <f>S61+1</f>
        <v>7</v>
      </c>
      <c r="V61" s="788"/>
      <c r="W61" s="788">
        <f>U61+1</f>
        <v>8</v>
      </c>
      <c r="X61" s="788"/>
      <c r="Y61" s="788">
        <f>W61+1</f>
        <v>9</v>
      </c>
      <c r="Z61" s="788"/>
      <c r="AA61" s="788">
        <f>Y61+1</f>
        <v>10</v>
      </c>
      <c r="AB61" s="788"/>
      <c r="AC61" s="788">
        <f>AA61+1</f>
        <v>11</v>
      </c>
      <c r="AD61" s="788"/>
      <c r="AE61" s="788">
        <f>AC61+1</f>
        <v>12</v>
      </c>
      <c r="AF61" s="788"/>
      <c r="AH61" s="788">
        <f>IF(PLE.Medicao&lt;=12,1,TRUNC((PLE.Medicao - 2)/11,0) * 11 + 1)</f>
        <v>1</v>
      </c>
      <c r="AI61" s="788"/>
      <c r="AJ61" s="788">
        <f>AH61+1</f>
        <v>2</v>
      </c>
      <c r="AK61" s="788"/>
      <c r="AL61" s="788">
        <f>AJ61+1</f>
        <v>3</v>
      </c>
      <c r="AM61" s="788"/>
      <c r="AN61" s="788">
        <f>AL61+1</f>
        <v>4</v>
      </c>
      <c r="AO61" s="788"/>
      <c r="AP61" s="788">
        <f>AN61+1</f>
        <v>5</v>
      </c>
      <c r="AQ61" s="788"/>
      <c r="AR61" s="788">
        <f>AP61+1</f>
        <v>6</v>
      </c>
      <c r="AS61" s="788"/>
      <c r="AT61" s="788">
        <f>AR61+1</f>
        <v>7</v>
      </c>
      <c r="AU61" s="788"/>
      <c r="AV61" s="788">
        <f>AT61+1</f>
        <v>8</v>
      </c>
      <c r="AW61" s="788"/>
      <c r="AX61" s="788">
        <f>AV61+1</f>
        <v>9</v>
      </c>
      <c r="AY61" s="788"/>
      <c r="AZ61" s="788">
        <f>AX61+1</f>
        <v>10</v>
      </c>
      <c r="BA61" s="788"/>
      <c r="BB61" s="788">
        <f>AZ61+1</f>
        <v>11</v>
      </c>
      <c r="BC61" s="788"/>
      <c r="BD61" s="788">
        <f>BB61+1</f>
        <v>12</v>
      </c>
      <c r="BE61" s="788"/>
    </row>
    <row r="62" spans="1:57" x14ac:dyDescent="0.2">
      <c r="A62" s="7" t="s">
        <v>536</v>
      </c>
      <c r="D62" s="800" t="s">
        <v>799</v>
      </c>
      <c r="H62" s="270" t="s">
        <v>781</v>
      </c>
      <c r="I62" s="802" t="e">
        <f ca="1">ROUND(I63,2)/ORÇAMENTO!$X$15</f>
        <v>#DIV/0!</v>
      </c>
      <c r="J62" s="802"/>
      <c r="K62" s="786" t="e">
        <f ca="1">ROUND(K63,2)/ORÇAMENTO!$X$15</f>
        <v>#DIV/0!</v>
      </c>
      <c r="L62" s="786"/>
      <c r="M62" s="786" t="e">
        <f ca="1">ROUND(M63,2)/ORÇAMENTO!$X$15</f>
        <v>#DIV/0!</v>
      </c>
      <c r="N62" s="786"/>
      <c r="O62" s="786" t="e">
        <f ca="1">ROUND(O63,2)/ORÇAMENTO!$X$15</f>
        <v>#DIV/0!</v>
      </c>
      <c r="P62" s="786"/>
      <c r="Q62" s="786" t="e">
        <f ca="1">ROUND(Q63,2)/ORÇAMENTO!$X$15</f>
        <v>#DIV/0!</v>
      </c>
      <c r="R62" s="786"/>
      <c r="S62" s="786" t="e">
        <f ca="1">ROUND(S63,2)/ORÇAMENTO!$X$15</f>
        <v>#DIV/0!</v>
      </c>
      <c r="T62" s="786"/>
      <c r="U62" s="786" t="e">
        <f ca="1">ROUND(U63,2)/ORÇAMENTO!$X$15</f>
        <v>#DIV/0!</v>
      </c>
      <c r="V62" s="786"/>
      <c r="W62" s="786" t="e">
        <f ca="1">ROUND(W63,2)/ORÇAMENTO!$X$15</f>
        <v>#DIV/0!</v>
      </c>
      <c r="X62" s="786"/>
      <c r="Y62" s="786" t="e">
        <f ca="1">ROUND(Y63,2)/ORÇAMENTO!$X$15</f>
        <v>#DIV/0!</v>
      </c>
      <c r="Z62" s="786"/>
      <c r="AA62" s="786" t="e">
        <f ca="1">ROUND(AA63,2)/ORÇAMENTO!$X$15</f>
        <v>#DIV/0!</v>
      </c>
      <c r="AB62" s="786"/>
      <c r="AC62" s="786" t="e">
        <f ca="1">ROUND(AC63,2)/ORÇAMENTO!$X$15</f>
        <v>#DIV/0!</v>
      </c>
      <c r="AD62" s="786"/>
      <c r="AE62" s="786" t="e">
        <f ca="1">ROUND(AE63,2)/ORÇAMENTO!$X$15</f>
        <v>#DIV/0!</v>
      </c>
      <c r="AF62" s="786"/>
      <c r="AG62" s="270" t="s">
        <v>781</v>
      </c>
      <c r="AH62" s="802" t="e">
        <f ca="1">ROUND(AH63,2)/ORÇAMENTO!$X$15</f>
        <v>#DIV/0!</v>
      </c>
      <c r="AI62" s="802"/>
      <c r="AJ62" s="786" t="e">
        <f ca="1">ROUND(AJ63,2)/ORÇAMENTO!$X$15</f>
        <v>#DIV/0!</v>
      </c>
      <c r="AK62" s="786"/>
      <c r="AL62" s="786" t="e">
        <f ca="1">ROUND(AL63,2)/ORÇAMENTO!$X$15</f>
        <v>#DIV/0!</v>
      </c>
      <c r="AM62" s="786"/>
      <c r="AN62" s="786" t="e">
        <f ca="1">ROUND(AN63,2)/ORÇAMENTO!$X$15</f>
        <v>#DIV/0!</v>
      </c>
      <c r="AO62" s="786"/>
      <c r="AP62" s="786" t="e">
        <f ca="1">ROUND(AP63,2)/ORÇAMENTO!$X$15</f>
        <v>#DIV/0!</v>
      </c>
      <c r="AQ62" s="786"/>
      <c r="AR62" s="786" t="e">
        <f ca="1">ROUND(AR63,2)/ORÇAMENTO!$X$15</f>
        <v>#DIV/0!</v>
      </c>
      <c r="AS62" s="786"/>
      <c r="AT62" s="786" t="e">
        <f ca="1">ROUND(AT63,2)/ORÇAMENTO!$X$15</f>
        <v>#DIV/0!</v>
      </c>
      <c r="AU62" s="786"/>
      <c r="AV62" s="786" t="e">
        <f ca="1">ROUND(AV63,2)/ORÇAMENTO!$X$15</f>
        <v>#DIV/0!</v>
      </c>
      <c r="AW62" s="786"/>
      <c r="AX62" s="786" t="e">
        <f ca="1">ROUND(AX63,2)/ORÇAMENTO!$X$15</f>
        <v>#DIV/0!</v>
      </c>
      <c r="AY62" s="786"/>
      <c r="AZ62" s="786" t="e">
        <f ca="1">ROUND(AZ63,2)/ORÇAMENTO!$X$15</f>
        <v>#DIV/0!</v>
      </c>
      <c r="BA62" s="786"/>
      <c r="BB62" s="786" t="e">
        <f ca="1">ROUND(BB63,2)/ORÇAMENTO!$X$15</f>
        <v>#DIV/0!</v>
      </c>
      <c r="BC62" s="786"/>
      <c r="BD62" s="786" t="e">
        <f ca="1">ROUND(BD63,2)/ORÇAMENTO!$X$15</f>
        <v>#DIV/0!</v>
      </c>
      <c r="BE62" s="786"/>
    </row>
    <row r="63" spans="1:57" x14ac:dyDescent="0.2">
      <c r="A63" s="7" t="s">
        <v>536</v>
      </c>
      <c r="D63" s="800"/>
      <c r="H63" s="11" t="s">
        <v>782</v>
      </c>
      <c r="I63" s="790" cm="1">
        <f t="array" aca="1" ref="I63" ca="1">IF(I61=1,I65,ROUND(I65,2)-ROUND(SUMIF(CÁLCULO!$CT$15:$DT$244,"&lt;="&amp;PLE!I61-1,CÁLCULO!$AR$15:$BR$244)*IF(AdmLocal="Automática",(1+CÁLCULO.TotalAdmLocal/(ORÇAMENTO!$X$15-CÁLCULO.TotalAdmLocal)),1),2))</f>
        <v>0</v>
      </c>
      <c r="J63" s="790"/>
      <c r="K63" s="790">
        <f ca="1">ROUND(K65,2)-ROUND(I65,2)</f>
        <v>0</v>
      </c>
      <c r="L63" s="790"/>
      <c r="M63" s="790">
        <f t="shared" ref="M63" ca="1" si="4">ROUND(M65,2)-ROUND(K65,2)</f>
        <v>0</v>
      </c>
      <c r="N63" s="790"/>
      <c r="O63" s="790">
        <f t="shared" ref="O63" ca="1" si="5">ROUND(O65,2)-ROUND(M65,2)</f>
        <v>0</v>
      </c>
      <c r="P63" s="790"/>
      <c r="Q63" s="790">
        <f t="shared" ref="Q63" ca="1" si="6">ROUND(Q65,2)-ROUND(O65,2)</f>
        <v>0</v>
      </c>
      <c r="R63" s="790"/>
      <c r="S63" s="790">
        <f t="shared" ref="S63" ca="1" si="7">ROUND(S65,2)-ROUND(Q65,2)</f>
        <v>0</v>
      </c>
      <c r="T63" s="790"/>
      <c r="U63" s="790">
        <f t="shared" ref="U63" ca="1" si="8">ROUND(U65,2)-ROUND(S65,2)</f>
        <v>0</v>
      </c>
      <c r="V63" s="790"/>
      <c r="W63" s="790">
        <f t="shared" ref="W63" ca="1" si="9">ROUND(W65,2)-ROUND(U65,2)</f>
        <v>0</v>
      </c>
      <c r="X63" s="790"/>
      <c r="Y63" s="790">
        <f t="shared" ref="Y63" ca="1" si="10">ROUND(Y65,2)-ROUND(W65,2)</f>
        <v>0</v>
      </c>
      <c r="Z63" s="790"/>
      <c r="AA63" s="790">
        <f t="shared" ref="AA63" ca="1" si="11">ROUND(AA65,2)-ROUND(Y65,2)</f>
        <v>0</v>
      </c>
      <c r="AB63" s="790"/>
      <c r="AC63" s="790">
        <f t="shared" ref="AC63" ca="1" si="12">ROUND(AC65,2)-ROUND(AA65,2)</f>
        <v>0</v>
      </c>
      <c r="AD63" s="790"/>
      <c r="AE63" s="790">
        <f t="shared" ref="AE63" ca="1" si="13">ROUND(AE65,2)-ROUND(AC65,2)</f>
        <v>0</v>
      </c>
      <c r="AF63" s="790"/>
      <c r="AG63" s="11" t="s">
        <v>782</v>
      </c>
      <c r="AH63" s="790" cm="1">
        <f t="array" aca="1" ref="AH63" ca="1">IF(AH61=1,AH65,ROUND(AH65,2)-ROUND(SUMIF(CÁLCULO!$CT$15:$DT$244,"&lt;="&amp;PLE!AH61-1,CÁLCULO!$AR$15:$BR$244)*IF(AdmLocal="Automática",(1+CÁLCULO.TotalAdmLocal/(ORÇAMENTO!$X$15-CÁLCULO.TotalAdmLocal)),1),2))</f>
        <v>0</v>
      </c>
      <c r="AI63" s="790"/>
      <c r="AJ63" s="790">
        <f ca="1">ROUND(AJ65,2)-ROUND(AH65,2)</f>
        <v>0</v>
      </c>
      <c r="AK63" s="790"/>
      <c r="AL63" s="790">
        <f t="shared" ref="AL63" ca="1" si="14">ROUND(AL65,2)-ROUND(AJ65,2)</f>
        <v>0</v>
      </c>
      <c r="AM63" s="790"/>
      <c r="AN63" s="790">
        <f t="shared" ref="AN63" ca="1" si="15">ROUND(AN65,2)-ROUND(AL65,2)</f>
        <v>0</v>
      </c>
      <c r="AO63" s="790"/>
      <c r="AP63" s="790">
        <f t="shared" ref="AP63" ca="1" si="16">ROUND(AP65,2)-ROUND(AN65,2)</f>
        <v>0</v>
      </c>
      <c r="AQ63" s="790"/>
      <c r="AR63" s="790">
        <f t="shared" ref="AR63" ca="1" si="17">ROUND(AR65,2)-ROUND(AP65,2)</f>
        <v>0</v>
      </c>
      <c r="AS63" s="790"/>
      <c r="AT63" s="790">
        <f t="shared" ref="AT63" ca="1" si="18">ROUND(AT65,2)-ROUND(AR65,2)</f>
        <v>0</v>
      </c>
      <c r="AU63" s="790"/>
      <c r="AV63" s="790">
        <f t="shared" ref="AV63" ca="1" si="19">ROUND(AV65,2)-ROUND(AT65,2)</f>
        <v>0</v>
      </c>
      <c r="AW63" s="790"/>
      <c r="AX63" s="790">
        <f t="shared" ref="AX63" ca="1" si="20">ROUND(AX65,2)-ROUND(AV65,2)</f>
        <v>0</v>
      </c>
      <c r="AY63" s="790"/>
      <c r="AZ63" s="790">
        <f t="shared" ref="AZ63" ca="1" si="21">ROUND(AZ65,2)-ROUND(AX65,2)</f>
        <v>0</v>
      </c>
      <c r="BA63" s="790"/>
      <c r="BB63" s="790">
        <f t="shared" ref="BB63" ca="1" si="22">ROUND(BB65,2)-ROUND(AZ65,2)</f>
        <v>0</v>
      </c>
      <c r="BC63" s="790"/>
      <c r="BD63" s="790">
        <f t="shared" ref="BD63" ca="1" si="23">ROUND(BD65,2)-ROUND(BB65,2)</f>
        <v>0</v>
      </c>
      <c r="BE63" s="790"/>
    </row>
    <row r="64" spans="1:57" x14ac:dyDescent="0.2">
      <c r="A64" s="7" t="s">
        <v>536</v>
      </c>
      <c r="D64" s="800" t="s">
        <v>803</v>
      </c>
      <c r="H64" s="270" t="s">
        <v>781</v>
      </c>
      <c r="I64" s="804" t="e">
        <f ca="1">ROUND(I65,2)/ORÇAMENTO!$X$15</f>
        <v>#DIV/0!</v>
      </c>
      <c r="J64" s="804"/>
      <c r="K64" s="789" t="e">
        <f ca="1">ROUND(K65,2)/ORÇAMENTO!$X$15</f>
        <v>#DIV/0!</v>
      </c>
      <c r="L64" s="789"/>
      <c r="M64" s="789" t="e">
        <f ca="1">ROUND(M65,2)/ORÇAMENTO!$X$15</f>
        <v>#DIV/0!</v>
      </c>
      <c r="N64" s="789"/>
      <c r="O64" s="789" t="e">
        <f ca="1">ROUND(O65,2)/ORÇAMENTO!$X$15</f>
        <v>#DIV/0!</v>
      </c>
      <c r="P64" s="789"/>
      <c r="Q64" s="789" t="e">
        <f ca="1">ROUND(Q65,2)/ORÇAMENTO!$X$15</f>
        <v>#DIV/0!</v>
      </c>
      <c r="R64" s="789"/>
      <c r="S64" s="789" t="e">
        <f ca="1">ROUND(S65,2)/ORÇAMENTO!$X$15</f>
        <v>#DIV/0!</v>
      </c>
      <c r="T64" s="789"/>
      <c r="U64" s="789" t="e">
        <f ca="1">ROUND(U65,2)/ORÇAMENTO!$X$15</f>
        <v>#DIV/0!</v>
      </c>
      <c r="V64" s="789"/>
      <c r="W64" s="789" t="e">
        <f ca="1">ROUND(W65,2)/ORÇAMENTO!$X$15</f>
        <v>#DIV/0!</v>
      </c>
      <c r="X64" s="789"/>
      <c r="Y64" s="789" t="e">
        <f ca="1">ROUND(Y65,2)/ORÇAMENTO!$X$15</f>
        <v>#DIV/0!</v>
      </c>
      <c r="Z64" s="789"/>
      <c r="AA64" s="789" t="e">
        <f ca="1">ROUND(AA65,2)/ORÇAMENTO!$X$15</f>
        <v>#DIV/0!</v>
      </c>
      <c r="AB64" s="789"/>
      <c r="AC64" s="789" t="e">
        <f ca="1">ROUND(AC65,2)/ORÇAMENTO!$X$15</f>
        <v>#DIV/0!</v>
      </c>
      <c r="AD64" s="789"/>
      <c r="AE64" s="789" t="e">
        <f ca="1">ROUND(AE65,2)/ORÇAMENTO!$X$15</f>
        <v>#DIV/0!</v>
      </c>
      <c r="AF64" s="789"/>
      <c r="AG64" s="270" t="s">
        <v>781</v>
      </c>
      <c r="AH64" s="804" t="e">
        <f ca="1">ROUND(AH65,2)/ORÇAMENTO!$X$15</f>
        <v>#DIV/0!</v>
      </c>
      <c r="AI64" s="804"/>
      <c r="AJ64" s="789" t="e">
        <f ca="1">ROUND(AJ65,2)/ORÇAMENTO!$X$15</f>
        <v>#DIV/0!</v>
      </c>
      <c r="AK64" s="789"/>
      <c r="AL64" s="789" t="e">
        <f ca="1">ROUND(AL65,2)/ORÇAMENTO!$X$15</f>
        <v>#DIV/0!</v>
      </c>
      <c r="AM64" s="789"/>
      <c r="AN64" s="789" t="e">
        <f ca="1">ROUND(AN65,2)/ORÇAMENTO!$X$15</f>
        <v>#DIV/0!</v>
      </c>
      <c r="AO64" s="789"/>
      <c r="AP64" s="789" t="e">
        <f ca="1">ROUND(AP65,2)/ORÇAMENTO!$X$15</f>
        <v>#DIV/0!</v>
      </c>
      <c r="AQ64" s="789"/>
      <c r="AR64" s="789" t="e">
        <f ca="1">ROUND(AR65,2)/ORÇAMENTO!$X$15</f>
        <v>#DIV/0!</v>
      </c>
      <c r="AS64" s="789"/>
      <c r="AT64" s="789" t="e">
        <f ca="1">ROUND(AT65,2)/ORÇAMENTO!$X$15</f>
        <v>#DIV/0!</v>
      </c>
      <c r="AU64" s="789"/>
      <c r="AV64" s="789" t="e">
        <f ca="1">ROUND(AV65,2)/ORÇAMENTO!$X$15</f>
        <v>#DIV/0!</v>
      </c>
      <c r="AW64" s="789"/>
      <c r="AX64" s="789" t="e">
        <f ca="1">ROUND(AX65,2)/ORÇAMENTO!$X$15</f>
        <v>#DIV/0!</v>
      </c>
      <c r="AY64" s="789"/>
      <c r="AZ64" s="789" t="e">
        <f ca="1">ROUND(AZ65,2)/ORÇAMENTO!$X$15</f>
        <v>#DIV/0!</v>
      </c>
      <c r="BA64" s="789"/>
      <c r="BB64" s="789" t="e">
        <f ca="1">ROUND(BB65,2)/ORÇAMENTO!$X$15</f>
        <v>#DIV/0!</v>
      </c>
      <c r="BC64" s="789"/>
      <c r="BD64" s="789" t="e">
        <f ca="1">ROUND(BD65,2)/ORÇAMENTO!$X$15</f>
        <v>#DIV/0!</v>
      </c>
      <c r="BE64" s="789"/>
    </row>
    <row r="65" spans="1:57" x14ac:dyDescent="0.2">
      <c r="A65" s="7" t="s">
        <v>536</v>
      </c>
      <c r="D65" s="800"/>
      <c r="H65" s="11" t="s">
        <v>782</v>
      </c>
      <c r="I65" s="803" cm="1">
        <f t="array" aca="1" ref="I65" ca="1">SUMIF(CÁLCULO!$CT$15:$DT$244,"&lt;="&amp;PLE!I61,CÁLCULO!$AR$15:$BR$244)*IF(AdmLocal="Automática",(1+CÁLCULO.TotalAdmLocal/(ORÇAMENTO!$X$15-CÁLCULO.TotalAdmLocal)),1)</f>
        <v>0</v>
      </c>
      <c r="J65" s="803"/>
      <c r="K65" s="790" cm="1">
        <f t="array" aca="1" ref="K65" ca="1">SUMIF(CÁLCULO!$CT$15:$DT$244,"&lt;="&amp;PLE!K61,CÁLCULO!$AR$15:$BR$244)*IF(AdmLocal="Automática",(1+CÁLCULO.TotalAdmLocal/(ORÇAMENTO!$X$15-CÁLCULO.TotalAdmLocal)),1)</f>
        <v>0</v>
      </c>
      <c r="L65" s="790"/>
      <c r="M65" s="790" cm="1">
        <f t="array" aca="1" ref="M65" ca="1">SUMIF(CÁLCULO!$CT$15:$DT$244,"&lt;="&amp;PLE!M61,CÁLCULO!$AR$15:$BR$244)*IF(AdmLocal="Automática",(1+CÁLCULO.TotalAdmLocal/(ORÇAMENTO!$X$15-CÁLCULO.TotalAdmLocal)),1)</f>
        <v>0</v>
      </c>
      <c r="N65" s="790"/>
      <c r="O65" s="790" cm="1">
        <f t="array" aca="1" ref="O65" ca="1">SUMIF(CÁLCULO!$CT$15:$DT$244,"&lt;="&amp;PLE!O61,CÁLCULO!$AR$15:$BR$244)*IF(AdmLocal="Automática",(1+CÁLCULO.TotalAdmLocal/(ORÇAMENTO!$X$15-CÁLCULO.TotalAdmLocal)),1)</f>
        <v>0</v>
      </c>
      <c r="P65" s="790"/>
      <c r="Q65" s="790" cm="1">
        <f t="array" aca="1" ref="Q65" ca="1">SUMIF(CÁLCULO!$CT$15:$DT$244,"&lt;="&amp;PLE!Q61,CÁLCULO!$AR$15:$BR$244)*IF(AdmLocal="Automática",(1+CÁLCULO.TotalAdmLocal/(ORÇAMENTO!$X$15-CÁLCULO.TotalAdmLocal)),1)</f>
        <v>0</v>
      </c>
      <c r="R65" s="790"/>
      <c r="S65" s="790" cm="1">
        <f t="array" aca="1" ref="S65" ca="1">SUMIF(CÁLCULO!$CT$15:$DT$244,"&lt;="&amp;PLE!S61,CÁLCULO!$AR$15:$BR$244)*IF(AdmLocal="Automática",(1+CÁLCULO.TotalAdmLocal/(ORÇAMENTO!$X$15-CÁLCULO.TotalAdmLocal)),1)</f>
        <v>0</v>
      </c>
      <c r="T65" s="790"/>
      <c r="U65" s="790" cm="1">
        <f t="array" aca="1" ref="U65" ca="1">SUMIF(CÁLCULO!$CT$15:$DT$244,"&lt;="&amp;PLE!U61,CÁLCULO!$AR$15:$BR$244)*IF(AdmLocal="Automática",(1+CÁLCULO.TotalAdmLocal/(ORÇAMENTO!$X$15-CÁLCULO.TotalAdmLocal)),1)</f>
        <v>0</v>
      </c>
      <c r="V65" s="790"/>
      <c r="W65" s="790" cm="1">
        <f t="array" aca="1" ref="W65" ca="1">SUMIF(CÁLCULO!$CT$15:$DT$244,"&lt;="&amp;PLE!W61,CÁLCULO!$AR$15:$BR$244)*IF(AdmLocal="Automática",(1+CÁLCULO.TotalAdmLocal/(ORÇAMENTO!$X$15-CÁLCULO.TotalAdmLocal)),1)</f>
        <v>0</v>
      </c>
      <c r="X65" s="790"/>
      <c r="Y65" s="790" cm="1">
        <f t="array" aca="1" ref="Y65" ca="1">SUMIF(CÁLCULO!$CT$15:$DT$244,"&lt;="&amp;PLE!Y61,CÁLCULO!$AR$15:$BR$244)*IF(AdmLocal="Automática",(1+CÁLCULO.TotalAdmLocal/(ORÇAMENTO!$X$15-CÁLCULO.TotalAdmLocal)),1)</f>
        <v>0</v>
      </c>
      <c r="Z65" s="790"/>
      <c r="AA65" s="790" cm="1">
        <f t="array" aca="1" ref="AA65" ca="1">SUMIF(CÁLCULO!$CT$15:$DT$244,"&lt;="&amp;PLE!AA61,CÁLCULO!$AR$15:$BR$244)*IF(AdmLocal="Automática",(1+CÁLCULO.TotalAdmLocal/(ORÇAMENTO!$X$15-CÁLCULO.TotalAdmLocal)),1)</f>
        <v>0</v>
      </c>
      <c r="AB65" s="790"/>
      <c r="AC65" s="790" cm="1">
        <f t="array" aca="1" ref="AC65" ca="1">SUMIF(CÁLCULO!$CT$15:$DT$244,"&lt;="&amp;PLE!AC61,CÁLCULO!$AR$15:$BR$244)*IF(AdmLocal="Automática",(1+CÁLCULO.TotalAdmLocal/(ORÇAMENTO!$X$15-CÁLCULO.TotalAdmLocal)),1)</f>
        <v>0</v>
      </c>
      <c r="AD65" s="790"/>
      <c r="AE65" s="790" cm="1">
        <f t="array" aca="1" ref="AE65" ca="1">SUMIF(CÁLCULO!$CT$15:$DT$244,"&lt;="&amp;PLE!AE61,CÁLCULO!$AR$15:$BR$244)*IF(AdmLocal="Automática",(1+CÁLCULO.TotalAdmLocal/(ORÇAMENTO!$X$15-CÁLCULO.TotalAdmLocal)),1)</f>
        <v>0</v>
      </c>
      <c r="AF65" s="790"/>
      <c r="AG65" s="11" t="s">
        <v>782</v>
      </c>
      <c r="AH65" s="803" cm="1">
        <f t="array" aca="1" ref="AH65" ca="1">SUMIF(CÁLCULO!$CT$15:$DT$244,"&lt;="&amp;PLE!AH61,CÁLCULO!$AR$15:$BR$244)*IF(AdmLocal="Automática",(1+CÁLCULO.TotalAdmLocal/(ORÇAMENTO!$X$15-CÁLCULO.TotalAdmLocal)),1)</f>
        <v>0</v>
      </c>
      <c r="AI65" s="803"/>
      <c r="AJ65" s="790" cm="1">
        <f t="array" aca="1" ref="AJ65" ca="1">SUMIF(CÁLCULO!$CT$15:$DT$244,"&lt;="&amp;PLE!AJ61,CÁLCULO!$AR$15:$BR$244)*IF(AdmLocal="Automática",(1+CÁLCULO.TotalAdmLocal/(ORÇAMENTO!$X$15-CÁLCULO.TotalAdmLocal)),1)</f>
        <v>0</v>
      </c>
      <c r="AK65" s="790"/>
      <c r="AL65" s="790" cm="1">
        <f t="array" aca="1" ref="AL65" ca="1">SUMIF(CÁLCULO!$CT$15:$DT$244,"&lt;="&amp;PLE!AL61,CÁLCULO!$AR$15:$BR$244)*IF(AdmLocal="Automática",(1+CÁLCULO.TotalAdmLocal/(ORÇAMENTO!$X$15-CÁLCULO.TotalAdmLocal)),1)</f>
        <v>0</v>
      </c>
      <c r="AM65" s="790"/>
      <c r="AN65" s="790" cm="1">
        <f t="array" aca="1" ref="AN65" ca="1">SUMIF(CÁLCULO!$CT$15:$DT$244,"&lt;="&amp;PLE!AN61,CÁLCULO!$AR$15:$BR$244)*IF(AdmLocal="Automática",(1+CÁLCULO.TotalAdmLocal/(ORÇAMENTO!$X$15-CÁLCULO.TotalAdmLocal)),1)</f>
        <v>0</v>
      </c>
      <c r="AO65" s="790"/>
      <c r="AP65" s="790" cm="1">
        <f t="array" aca="1" ref="AP65" ca="1">SUMIF(CÁLCULO!$CT$15:$DT$244,"&lt;="&amp;PLE!AP61,CÁLCULO!$AR$15:$BR$244)*IF(AdmLocal="Automática",(1+CÁLCULO.TotalAdmLocal/(ORÇAMENTO!$X$15-CÁLCULO.TotalAdmLocal)),1)</f>
        <v>0</v>
      </c>
      <c r="AQ65" s="790"/>
      <c r="AR65" s="790" cm="1">
        <f t="array" aca="1" ref="AR65" ca="1">SUMIF(CÁLCULO!$CT$15:$DT$244,"&lt;="&amp;PLE!AR61,CÁLCULO!$AR$15:$BR$244)*IF(AdmLocal="Automática",(1+CÁLCULO.TotalAdmLocal/(ORÇAMENTO!$X$15-CÁLCULO.TotalAdmLocal)),1)</f>
        <v>0</v>
      </c>
      <c r="AS65" s="790"/>
      <c r="AT65" s="790" cm="1">
        <f t="array" aca="1" ref="AT65" ca="1">SUMIF(CÁLCULO!$CT$15:$DT$244,"&lt;="&amp;PLE!AT61,CÁLCULO!$AR$15:$BR$244)*IF(AdmLocal="Automática",(1+CÁLCULO.TotalAdmLocal/(ORÇAMENTO!$X$15-CÁLCULO.TotalAdmLocal)),1)</f>
        <v>0</v>
      </c>
      <c r="AU65" s="790"/>
      <c r="AV65" s="790" cm="1">
        <f t="array" aca="1" ref="AV65" ca="1">SUMIF(CÁLCULO!$CT$15:$DT$244,"&lt;="&amp;PLE!AV61,CÁLCULO!$AR$15:$BR$244)*IF(AdmLocal="Automática",(1+CÁLCULO.TotalAdmLocal/(ORÇAMENTO!$X$15-CÁLCULO.TotalAdmLocal)),1)</f>
        <v>0</v>
      </c>
      <c r="AW65" s="790"/>
      <c r="AX65" s="790" cm="1">
        <f t="array" aca="1" ref="AX65" ca="1">SUMIF(CÁLCULO!$CT$15:$DT$244,"&lt;="&amp;PLE!AX61,CÁLCULO!$AR$15:$BR$244)*IF(AdmLocal="Automática",(1+CÁLCULO.TotalAdmLocal/(ORÇAMENTO!$X$15-CÁLCULO.TotalAdmLocal)),1)</f>
        <v>0</v>
      </c>
      <c r="AY65" s="790"/>
      <c r="AZ65" s="790" cm="1">
        <f t="array" aca="1" ref="AZ65" ca="1">SUMIF(CÁLCULO!$CT$15:$DT$244,"&lt;="&amp;PLE!AZ61,CÁLCULO!$AR$15:$BR$244)*IF(AdmLocal="Automática",(1+CÁLCULO.TotalAdmLocal/(ORÇAMENTO!$X$15-CÁLCULO.TotalAdmLocal)),1)</f>
        <v>0</v>
      </c>
      <c r="BA65" s="790"/>
      <c r="BB65" s="790" cm="1">
        <f t="array" aca="1" ref="BB65" ca="1">SUMIF(CÁLCULO!$CT$15:$DT$244,"&lt;="&amp;PLE!BB61,CÁLCULO!$AR$15:$BR$244)*IF(AdmLocal="Automática",(1+CÁLCULO.TotalAdmLocal/(ORÇAMENTO!$X$15-CÁLCULO.TotalAdmLocal)),1)</f>
        <v>0</v>
      </c>
      <c r="BC65" s="790"/>
      <c r="BD65" s="790" cm="1">
        <f t="array" aca="1" ref="BD65" ca="1">SUMIF(CÁLCULO!$CT$15:$DT$244,"&lt;="&amp;PLE!BD61,CÁLCULO!$AR$15:$BR$244)*IF(AdmLocal="Automática",(1+CÁLCULO.TotalAdmLocal/(ORÇAMENTO!$X$15-CÁLCULO.TotalAdmLocal)),1)</f>
        <v>0</v>
      </c>
      <c r="BE65" s="790"/>
    </row>
    <row r="66" spans="1:57" ht="12.75" customHeight="1" x14ac:dyDescent="0.2">
      <c r="A66" s="7"/>
      <c r="D66" s="552" t="s">
        <v>784</v>
      </c>
      <c r="H66" s="551" t="s">
        <v>781</v>
      </c>
      <c r="I66" s="747" t="e">
        <f ca="1">IF(OR(ACOMPANHAMENTO&lt;&gt;"PLE",I61&gt;PLE.Medicao),0,
   IF(AUTOEVENTO="Manual",
      IF(AdmLocal="Automática",I64,
         IF(Import.EventoAdmLocal="","",SUMIF(OFFSET($G$14,CRONOPLE!$A$8+1,1,1,OFFSET($BF$12,0,-1)),"&lt;="&amp;I61,OFFSET(EVENTOS!$G$14,CRONOPLE!$A$8+1,1,1,OFFSET($BF$12,0,-1)))/OFFSET(EVENTOS!$G$14,CRONOPLE!$A$8+1,-1))),
      IF(Import.EventoAdmLocal="","",SUMIF(OFFSET(CÁLCULO!$CS$15,CRONOPLE!$A$10,1,OFFSET(ORÇAMENTO!$D$15,CRONOPLE!$A$10,0),COLUMN(CÁLCULO!$DT$15)-COLUMN(CÁLCULO!$CS$15)-1),"&lt;="&amp;I61,OFFSET(CÁLCULO!$AQ$15,CRONOPLE!$A$10,1,OFFSET(ORÇAMENTO!$D$15,CRONOPLE!$A$10,0),COLUMN(CÁLCULO!$BR$15)-COLUMN(CÁLCULO!$AQ$15)-1))/OFFSET(ORÇAMENTO!$X$15,CRONOPLE!$A$10,0))))</f>
        <v>#DIV/0!</v>
      </c>
      <c r="J66" s="747"/>
      <c r="K66" s="747">
        <f ca="1">IF(OR(ACOMPANHAMENTO&lt;&gt;"PLE",K61&gt;PLE.Medicao),0,
   IF(AUTOEVENTO="Manual",
      IF(AdmLocal="Automática",K64,
         IF(Import.EventoAdmLocal="","",SUMIF(OFFSET($G$14,CRONOPLE!$A$8+1,1,1,OFFSET($BF$12,0,-1)),"&lt;="&amp;K61,OFFSET(EVENTOS!$G$14,CRONOPLE!$A$8+1,1,1,OFFSET($BF$12,0,-1)))/OFFSET(EVENTOS!$G$14,CRONOPLE!$A$8+1,-1))),
      IF(Import.EventoAdmLocal="","",SUMIF(OFFSET(CÁLCULO!$CS$15,CRONOPLE!$A$10,1,OFFSET(ORÇAMENTO!$D$15,CRONOPLE!$A$10,0),COLUMN(CÁLCULO!$DT$15)-COLUMN(CÁLCULO!$CS$15)-1),"&lt;="&amp;K61,OFFSET(CÁLCULO!$AQ$15,CRONOPLE!$A$10,1,OFFSET(ORÇAMENTO!$D$15,CRONOPLE!$A$10,0),COLUMN(CÁLCULO!$BR$15)-COLUMN(CÁLCULO!$AQ$15)-1))/OFFSET(ORÇAMENTO!$X$15,CRONOPLE!$A$10,0))))</f>
        <v>0</v>
      </c>
      <c r="L66" s="747"/>
      <c r="M66" s="747">
        <f ca="1">IF(OR(ACOMPANHAMENTO&lt;&gt;"PLE",M61&gt;PLE.Medicao),0,
   IF(AUTOEVENTO="Manual",
      IF(AdmLocal="Automática",M64,
         IF(Import.EventoAdmLocal="","",SUMIF(OFFSET($G$14,CRONOPLE!$A$8+1,1,1,OFFSET($BF$12,0,-1)),"&lt;="&amp;M61,OFFSET(EVENTOS!$G$14,CRONOPLE!$A$8+1,1,1,OFFSET($BF$12,0,-1)))/OFFSET(EVENTOS!$G$14,CRONOPLE!$A$8+1,-1))),
      IF(Import.EventoAdmLocal="","",SUMIF(OFFSET(CÁLCULO!$CS$15,CRONOPLE!$A$10,1,OFFSET(ORÇAMENTO!$D$15,CRONOPLE!$A$10,0),COLUMN(CÁLCULO!$DT$15)-COLUMN(CÁLCULO!$CS$15)-1),"&lt;="&amp;M61,OFFSET(CÁLCULO!$AQ$15,CRONOPLE!$A$10,1,OFFSET(ORÇAMENTO!$D$15,CRONOPLE!$A$10,0),COLUMN(CÁLCULO!$BR$15)-COLUMN(CÁLCULO!$AQ$15)-1))/OFFSET(ORÇAMENTO!$X$15,CRONOPLE!$A$10,0))))</f>
        <v>0</v>
      </c>
      <c r="N66" s="747"/>
      <c r="O66" s="747">
        <f ca="1">IF(OR(ACOMPANHAMENTO&lt;&gt;"PLE",O61&gt;PLE.Medicao),0,
   IF(AUTOEVENTO="Manual",
      IF(AdmLocal="Automática",O64,
         IF(Import.EventoAdmLocal="","",SUMIF(OFFSET($G$14,CRONOPLE!$A$8+1,1,1,OFFSET($BF$12,0,-1)),"&lt;="&amp;O61,OFFSET(EVENTOS!$G$14,CRONOPLE!$A$8+1,1,1,OFFSET($BF$12,0,-1)))/OFFSET(EVENTOS!$G$14,CRONOPLE!$A$8+1,-1))),
      IF(Import.EventoAdmLocal="","",SUMIF(OFFSET(CÁLCULO!$CS$15,CRONOPLE!$A$10,1,OFFSET(ORÇAMENTO!$D$15,CRONOPLE!$A$10,0),COLUMN(CÁLCULO!$DT$15)-COLUMN(CÁLCULO!$CS$15)-1),"&lt;="&amp;O61,OFFSET(CÁLCULO!$AQ$15,CRONOPLE!$A$10,1,OFFSET(ORÇAMENTO!$D$15,CRONOPLE!$A$10,0),COLUMN(CÁLCULO!$BR$15)-COLUMN(CÁLCULO!$AQ$15)-1))/OFFSET(ORÇAMENTO!$X$15,CRONOPLE!$A$10,0))))</f>
        <v>0</v>
      </c>
      <c r="P66" s="747"/>
      <c r="Q66" s="747">
        <f ca="1">IF(OR(ACOMPANHAMENTO&lt;&gt;"PLE",Q61&gt;PLE.Medicao),0,
   IF(AUTOEVENTO="Manual",
      IF(AdmLocal="Automática",Q64,
         IF(Import.EventoAdmLocal="","",SUMIF(OFFSET($G$14,CRONOPLE!$A$8+1,1,1,OFFSET($BF$12,0,-1)),"&lt;="&amp;Q61,OFFSET(EVENTOS!$G$14,CRONOPLE!$A$8+1,1,1,OFFSET($BF$12,0,-1)))/OFFSET(EVENTOS!$G$14,CRONOPLE!$A$8+1,-1))),
      IF(Import.EventoAdmLocal="","",SUMIF(OFFSET(CÁLCULO!$CS$15,CRONOPLE!$A$10,1,OFFSET(ORÇAMENTO!$D$15,CRONOPLE!$A$10,0),COLUMN(CÁLCULO!$DT$15)-COLUMN(CÁLCULO!$CS$15)-1),"&lt;="&amp;Q61,OFFSET(CÁLCULO!$AQ$15,CRONOPLE!$A$10,1,OFFSET(ORÇAMENTO!$D$15,CRONOPLE!$A$10,0),COLUMN(CÁLCULO!$BR$15)-COLUMN(CÁLCULO!$AQ$15)-1))/OFFSET(ORÇAMENTO!$X$15,CRONOPLE!$A$10,0))))</f>
        <v>0</v>
      </c>
      <c r="R66" s="747"/>
      <c r="S66" s="747">
        <f ca="1">IF(OR(ACOMPANHAMENTO&lt;&gt;"PLE",S61&gt;PLE.Medicao),0,
   IF(AUTOEVENTO="Manual",
      IF(AdmLocal="Automática",S64,
         IF(Import.EventoAdmLocal="","",SUMIF(OFFSET($G$14,CRONOPLE!$A$8+1,1,1,OFFSET($BF$12,0,-1)),"&lt;="&amp;S61,OFFSET(EVENTOS!$G$14,CRONOPLE!$A$8+1,1,1,OFFSET($BF$12,0,-1)))/OFFSET(EVENTOS!$G$14,CRONOPLE!$A$8+1,-1))),
      IF(Import.EventoAdmLocal="","",SUMIF(OFFSET(CÁLCULO!$CS$15,CRONOPLE!$A$10,1,OFFSET(ORÇAMENTO!$D$15,CRONOPLE!$A$10,0),COLUMN(CÁLCULO!$DT$15)-COLUMN(CÁLCULO!$CS$15)-1),"&lt;="&amp;S61,OFFSET(CÁLCULO!$AQ$15,CRONOPLE!$A$10,1,OFFSET(ORÇAMENTO!$D$15,CRONOPLE!$A$10,0),COLUMN(CÁLCULO!$BR$15)-COLUMN(CÁLCULO!$AQ$15)-1))/OFFSET(ORÇAMENTO!$X$15,CRONOPLE!$A$10,0))))</f>
        <v>0</v>
      </c>
      <c r="T66" s="747"/>
      <c r="U66" s="747">
        <f ca="1">IF(OR(ACOMPANHAMENTO&lt;&gt;"PLE",U61&gt;PLE.Medicao),0,
   IF(AUTOEVENTO="Manual",
      IF(AdmLocal="Automática",U64,
         IF(Import.EventoAdmLocal="","",SUMIF(OFFSET($G$14,CRONOPLE!$A$8+1,1,1,OFFSET($BF$12,0,-1)),"&lt;="&amp;U61,OFFSET(EVENTOS!$G$14,CRONOPLE!$A$8+1,1,1,OFFSET($BF$12,0,-1)))/OFFSET(EVENTOS!$G$14,CRONOPLE!$A$8+1,-1))),
      IF(Import.EventoAdmLocal="","",SUMIF(OFFSET(CÁLCULO!$CS$15,CRONOPLE!$A$10,1,OFFSET(ORÇAMENTO!$D$15,CRONOPLE!$A$10,0),COLUMN(CÁLCULO!$DT$15)-COLUMN(CÁLCULO!$CS$15)-1),"&lt;="&amp;U61,OFFSET(CÁLCULO!$AQ$15,CRONOPLE!$A$10,1,OFFSET(ORÇAMENTO!$D$15,CRONOPLE!$A$10,0),COLUMN(CÁLCULO!$BR$15)-COLUMN(CÁLCULO!$AQ$15)-1))/OFFSET(ORÇAMENTO!$X$15,CRONOPLE!$A$10,0))))</f>
        <v>0</v>
      </c>
      <c r="V66" s="747"/>
      <c r="W66" s="747">
        <f ca="1">IF(OR(ACOMPANHAMENTO&lt;&gt;"PLE",W61&gt;PLE.Medicao),0,
   IF(AUTOEVENTO="Manual",
      IF(AdmLocal="Automática",W64,
         IF(Import.EventoAdmLocal="","",SUMIF(OFFSET($G$14,CRONOPLE!$A$8+1,1,1,OFFSET($BF$12,0,-1)),"&lt;="&amp;W61,OFFSET(EVENTOS!$G$14,CRONOPLE!$A$8+1,1,1,OFFSET($BF$12,0,-1)))/OFFSET(EVENTOS!$G$14,CRONOPLE!$A$8+1,-1))),
      IF(Import.EventoAdmLocal="","",SUMIF(OFFSET(CÁLCULO!$CS$15,CRONOPLE!$A$10,1,OFFSET(ORÇAMENTO!$D$15,CRONOPLE!$A$10,0),COLUMN(CÁLCULO!$DT$15)-COLUMN(CÁLCULO!$CS$15)-1),"&lt;="&amp;W61,OFFSET(CÁLCULO!$AQ$15,CRONOPLE!$A$10,1,OFFSET(ORÇAMENTO!$D$15,CRONOPLE!$A$10,0),COLUMN(CÁLCULO!$BR$15)-COLUMN(CÁLCULO!$AQ$15)-1))/OFFSET(ORÇAMENTO!$X$15,CRONOPLE!$A$10,0))))</f>
        <v>0</v>
      </c>
      <c r="X66" s="747"/>
      <c r="Y66" s="747">
        <f ca="1">IF(OR(ACOMPANHAMENTO&lt;&gt;"PLE",Y61&gt;PLE.Medicao),0,
   IF(AUTOEVENTO="Manual",
      IF(AdmLocal="Automática",Y64,
         IF(Import.EventoAdmLocal="","",SUMIF(OFFSET($G$14,CRONOPLE!$A$8+1,1,1,OFFSET($BF$12,0,-1)),"&lt;="&amp;Y61,OFFSET(EVENTOS!$G$14,CRONOPLE!$A$8+1,1,1,OFFSET($BF$12,0,-1)))/OFFSET(EVENTOS!$G$14,CRONOPLE!$A$8+1,-1))),
      IF(Import.EventoAdmLocal="","",SUMIF(OFFSET(CÁLCULO!$CS$15,CRONOPLE!$A$10,1,OFFSET(ORÇAMENTO!$D$15,CRONOPLE!$A$10,0),COLUMN(CÁLCULO!$DT$15)-COLUMN(CÁLCULO!$CS$15)-1),"&lt;="&amp;Y61,OFFSET(CÁLCULO!$AQ$15,CRONOPLE!$A$10,1,OFFSET(ORÇAMENTO!$D$15,CRONOPLE!$A$10,0),COLUMN(CÁLCULO!$BR$15)-COLUMN(CÁLCULO!$AQ$15)-1))/OFFSET(ORÇAMENTO!$X$15,CRONOPLE!$A$10,0))))</f>
        <v>0</v>
      </c>
      <c r="Z66" s="747"/>
      <c r="AA66" s="747">
        <f ca="1">IF(OR(ACOMPANHAMENTO&lt;&gt;"PLE",AA61&gt;PLE.Medicao),0,
   IF(AUTOEVENTO="Manual",
      IF(AdmLocal="Automática",AA64,
         IF(Import.EventoAdmLocal="","",SUMIF(OFFSET($G$14,CRONOPLE!$A$8+1,1,1,OFFSET($BF$12,0,-1)),"&lt;="&amp;AA61,OFFSET(EVENTOS!$G$14,CRONOPLE!$A$8+1,1,1,OFFSET($BF$12,0,-1)))/OFFSET(EVENTOS!$G$14,CRONOPLE!$A$8+1,-1))),
      IF(Import.EventoAdmLocal="","",SUMIF(OFFSET(CÁLCULO!$CS$15,CRONOPLE!$A$10,1,OFFSET(ORÇAMENTO!$D$15,CRONOPLE!$A$10,0),COLUMN(CÁLCULO!$DT$15)-COLUMN(CÁLCULO!$CS$15)-1),"&lt;="&amp;AA61,OFFSET(CÁLCULO!$AQ$15,CRONOPLE!$A$10,1,OFFSET(ORÇAMENTO!$D$15,CRONOPLE!$A$10,0),COLUMN(CÁLCULO!$BR$15)-COLUMN(CÁLCULO!$AQ$15)-1))/OFFSET(ORÇAMENTO!$X$15,CRONOPLE!$A$10,0))))</f>
        <v>0</v>
      </c>
      <c r="AB66" s="747"/>
      <c r="AC66" s="747">
        <f ca="1">IF(OR(ACOMPANHAMENTO&lt;&gt;"PLE",AC61&gt;PLE.Medicao),0,
   IF(AUTOEVENTO="Manual",
      IF(AdmLocal="Automática",AC64,
         IF(Import.EventoAdmLocal="","",SUMIF(OFFSET($G$14,CRONOPLE!$A$8+1,1,1,OFFSET($BF$12,0,-1)),"&lt;="&amp;AC61,OFFSET(EVENTOS!$G$14,CRONOPLE!$A$8+1,1,1,OFFSET($BF$12,0,-1)))/OFFSET(EVENTOS!$G$14,CRONOPLE!$A$8+1,-1))),
      IF(Import.EventoAdmLocal="","",SUMIF(OFFSET(CÁLCULO!$CS$15,CRONOPLE!$A$10,1,OFFSET(ORÇAMENTO!$D$15,CRONOPLE!$A$10,0),COLUMN(CÁLCULO!$DT$15)-COLUMN(CÁLCULO!$CS$15)-1),"&lt;="&amp;AC61,OFFSET(CÁLCULO!$AQ$15,CRONOPLE!$A$10,1,OFFSET(ORÇAMENTO!$D$15,CRONOPLE!$A$10,0),COLUMN(CÁLCULO!$BR$15)-COLUMN(CÁLCULO!$AQ$15)-1))/OFFSET(ORÇAMENTO!$X$15,CRONOPLE!$A$10,0))))</f>
        <v>0</v>
      </c>
      <c r="AD66" s="747"/>
      <c r="AE66" s="747">
        <f ca="1">IF(OR(ACOMPANHAMENTO&lt;&gt;"PLE",AE61&gt;PLE.Medicao),0,
   IF(AUTOEVENTO="Manual",
      IF(AdmLocal="Automática",AE64,
         IF(Import.EventoAdmLocal="","",SUMIF(OFFSET($G$14,CRONOPLE!$A$8+1,1,1,OFFSET($BF$12,0,-1)),"&lt;="&amp;AE61,OFFSET(EVENTOS!$G$14,CRONOPLE!$A$8+1,1,1,OFFSET($BF$12,0,-1)))/OFFSET(EVENTOS!$G$14,CRONOPLE!$A$8+1,-1))),
      IF(Import.EventoAdmLocal="","",SUMIF(OFFSET(CÁLCULO!$CS$15,CRONOPLE!$A$10,1,OFFSET(ORÇAMENTO!$D$15,CRONOPLE!$A$10,0),COLUMN(CÁLCULO!$DT$15)-COLUMN(CÁLCULO!$CS$15)-1),"&lt;="&amp;AE61,OFFSET(CÁLCULO!$AQ$15,CRONOPLE!$A$10,1,OFFSET(ORÇAMENTO!$D$15,CRONOPLE!$A$10,0),COLUMN(CÁLCULO!$BR$15)-COLUMN(CÁLCULO!$AQ$15)-1))/OFFSET(ORÇAMENTO!$X$15,CRONOPLE!$A$10,0))))</f>
        <v>0</v>
      </c>
      <c r="AF66" s="747"/>
      <c r="AG66" s="551" t="s">
        <v>781</v>
      </c>
      <c r="AH66" s="747" t="e">
        <f ca="1">IF(OR(ACOMPANHAMENTO&lt;&gt;"PLE",AH61&gt;PLE.Medicao),0,
   IF(AUTOEVENTO="Manual",
      IF(AdmLocal="Automática",AH64,
         IF(Import.EventoAdmLocal="","",SUMIF(OFFSET($G$14,CRONOPLE!$A$8+1,1,1,OFFSET($BF$12,0,-1)),"&lt;="&amp;AH61,OFFSET(EVENTOS!$G$14,CRONOPLE!$A$8+1,1,1,OFFSET($BF$12,0,-1)))/OFFSET(EVENTOS!$G$14,CRONOPLE!$A$8+1,-1))),
      IF(Import.EventoAdmLocal="","",SUMIF(OFFSET(CÁLCULO!$CS$15,CRONOPLE!$A$10,1,OFFSET(ORÇAMENTO!$D$15,CRONOPLE!$A$10,0),COLUMN(CÁLCULO!$DT$15)-COLUMN(CÁLCULO!$CS$15)-1),"&lt;="&amp;AH61,OFFSET(CÁLCULO!$AQ$15,CRONOPLE!$A$10,1,OFFSET(ORÇAMENTO!$D$15,CRONOPLE!$A$10,0),COLUMN(CÁLCULO!$BR$15)-COLUMN(CÁLCULO!$AQ$15)-1))/OFFSET(ORÇAMENTO!$X$15,CRONOPLE!$A$10,0))))</f>
        <v>#DIV/0!</v>
      </c>
      <c r="AI66" s="747"/>
      <c r="AJ66" s="747">
        <f ca="1">IF(OR(ACOMPANHAMENTO&lt;&gt;"PLE",AJ61&gt;PLE.Medicao),0,
   IF(AUTOEVENTO="Manual",
      IF(AdmLocal="Automática",AJ64,
         IF(Import.EventoAdmLocal="","",SUMIF(OFFSET($G$14,CRONOPLE!$A$8+1,1,1,OFFSET($BF$12,0,-1)),"&lt;="&amp;AJ61,OFFSET(EVENTOS!$G$14,CRONOPLE!$A$8+1,1,1,OFFSET($BF$12,0,-1)))/OFFSET(EVENTOS!$G$14,CRONOPLE!$A$8+1,-1))),
      IF(Import.EventoAdmLocal="","",SUMIF(OFFSET(CÁLCULO!$CS$15,CRONOPLE!$A$10,1,OFFSET(ORÇAMENTO!$D$15,CRONOPLE!$A$10,0),COLUMN(CÁLCULO!$DT$15)-COLUMN(CÁLCULO!$CS$15)-1),"&lt;="&amp;AJ61,OFFSET(CÁLCULO!$AQ$15,CRONOPLE!$A$10,1,OFFSET(ORÇAMENTO!$D$15,CRONOPLE!$A$10,0),COLUMN(CÁLCULO!$BR$15)-COLUMN(CÁLCULO!$AQ$15)-1))/OFFSET(ORÇAMENTO!$X$15,CRONOPLE!$A$10,0))))</f>
        <v>0</v>
      </c>
      <c r="AK66" s="747"/>
      <c r="AL66" s="747">
        <f ca="1">IF(OR(ACOMPANHAMENTO&lt;&gt;"PLE",AL61&gt;PLE.Medicao),0,
   IF(AUTOEVENTO="Manual",
      IF(AdmLocal="Automática",AL64,
         IF(Import.EventoAdmLocal="","",SUMIF(OFFSET($G$14,CRONOPLE!$A$8+1,1,1,OFFSET($BF$12,0,-1)),"&lt;="&amp;AL61,OFFSET(EVENTOS!$G$14,CRONOPLE!$A$8+1,1,1,OFFSET($BF$12,0,-1)))/OFFSET(EVENTOS!$G$14,CRONOPLE!$A$8+1,-1))),
      IF(Import.EventoAdmLocal="","",SUMIF(OFFSET(CÁLCULO!$CS$15,CRONOPLE!$A$10,1,OFFSET(ORÇAMENTO!$D$15,CRONOPLE!$A$10,0),COLUMN(CÁLCULO!$DT$15)-COLUMN(CÁLCULO!$CS$15)-1),"&lt;="&amp;AL61,OFFSET(CÁLCULO!$AQ$15,CRONOPLE!$A$10,1,OFFSET(ORÇAMENTO!$D$15,CRONOPLE!$A$10,0),COLUMN(CÁLCULO!$BR$15)-COLUMN(CÁLCULO!$AQ$15)-1))/OFFSET(ORÇAMENTO!$X$15,CRONOPLE!$A$10,0))))</f>
        <v>0</v>
      </c>
      <c r="AM66" s="747"/>
      <c r="AN66" s="747">
        <f ca="1">IF(OR(ACOMPANHAMENTO&lt;&gt;"PLE",AN61&gt;PLE.Medicao),0,
   IF(AUTOEVENTO="Manual",
      IF(AdmLocal="Automática",AN64,
         IF(Import.EventoAdmLocal="","",SUMIF(OFFSET($G$14,CRONOPLE!$A$8+1,1,1,OFFSET($BF$12,0,-1)),"&lt;="&amp;AN61,OFFSET(EVENTOS!$G$14,CRONOPLE!$A$8+1,1,1,OFFSET($BF$12,0,-1)))/OFFSET(EVENTOS!$G$14,CRONOPLE!$A$8+1,-1))),
      IF(Import.EventoAdmLocal="","",SUMIF(OFFSET(CÁLCULO!$CS$15,CRONOPLE!$A$10,1,OFFSET(ORÇAMENTO!$D$15,CRONOPLE!$A$10,0),COLUMN(CÁLCULO!$DT$15)-COLUMN(CÁLCULO!$CS$15)-1),"&lt;="&amp;AN61,OFFSET(CÁLCULO!$AQ$15,CRONOPLE!$A$10,1,OFFSET(ORÇAMENTO!$D$15,CRONOPLE!$A$10,0),COLUMN(CÁLCULO!$BR$15)-COLUMN(CÁLCULO!$AQ$15)-1))/OFFSET(ORÇAMENTO!$X$15,CRONOPLE!$A$10,0))))</f>
        <v>0</v>
      </c>
      <c r="AO66" s="747"/>
      <c r="AP66" s="747">
        <f ca="1">IF(OR(ACOMPANHAMENTO&lt;&gt;"PLE",AP61&gt;PLE.Medicao),0,
   IF(AUTOEVENTO="Manual",
      IF(AdmLocal="Automática",AP64,
         IF(Import.EventoAdmLocal="","",SUMIF(OFFSET($G$14,CRONOPLE!$A$8+1,1,1,OFFSET($BF$12,0,-1)),"&lt;="&amp;AP61,OFFSET(EVENTOS!$G$14,CRONOPLE!$A$8+1,1,1,OFFSET($BF$12,0,-1)))/OFFSET(EVENTOS!$G$14,CRONOPLE!$A$8+1,-1))),
      IF(Import.EventoAdmLocal="","",SUMIF(OFFSET(CÁLCULO!$CS$15,CRONOPLE!$A$10,1,OFFSET(ORÇAMENTO!$D$15,CRONOPLE!$A$10,0),COLUMN(CÁLCULO!$DT$15)-COLUMN(CÁLCULO!$CS$15)-1),"&lt;="&amp;AP61,OFFSET(CÁLCULO!$AQ$15,CRONOPLE!$A$10,1,OFFSET(ORÇAMENTO!$D$15,CRONOPLE!$A$10,0),COLUMN(CÁLCULO!$BR$15)-COLUMN(CÁLCULO!$AQ$15)-1))/OFFSET(ORÇAMENTO!$X$15,CRONOPLE!$A$10,0))))</f>
        <v>0</v>
      </c>
      <c r="AQ66" s="747"/>
      <c r="AR66" s="747">
        <f ca="1">IF(OR(ACOMPANHAMENTO&lt;&gt;"PLE",AR61&gt;PLE.Medicao),0,
   IF(AUTOEVENTO="Manual",
      IF(AdmLocal="Automática",AR64,
         IF(Import.EventoAdmLocal="","",SUMIF(OFFSET($G$14,CRONOPLE!$A$8+1,1,1,OFFSET($BF$12,0,-1)),"&lt;="&amp;AR61,OFFSET(EVENTOS!$G$14,CRONOPLE!$A$8+1,1,1,OFFSET($BF$12,0,-1)))/OFFSET(EVENTOS!$G$14,CRONOPLE!$A$8+1,-1))),
      IF(Import.EventoAdmLocal="","",SUMIF(OFFSET(CÁLCULO!$CS$15,CRONOPLE!$A$10,1,OFFSET(ORÇAMENTO!$D$15,CRONOPLE!$A$10,0),COLUMN(CÁLCULO!$DT$15)-COLUMN(CÁLCULO!$CS$15)-1),"&lt;="&amp;AR61,OFFSET(CÁLCULO!$AQ$15,CRONOPLE!$A$10,1,OFFSET(ORÇAMENTO!$D$15,CRONOPLE!$A$10,0),COLUMN(CÁLCULO!$BR$15)-COLUMN(CÁLCULO!$AQ$15)-1))/OFFSET(ORÇAMENTO!$X$15,CRONOPLE!$A$10,0))))</f>
        <v>0</v>
      </c>
      <c r="AS66" s="747"/>
      <c r="AT66" s="747">
        <f ca="1">IF(OR(ACOMPANHAMENTO&lt;&gt;"PLE",AT61&gt;PLE.Medicao),0,
   IF(AUTOEVENTO="Manual",
      IF(AdmLocal="Automática",AT64,
         IF(Import.EventoAdmLocal="","",SUMIF(OFFSET($G$14,CRONOPLE!$A$8+1,1,1,OFFSET($BF$12,0,-1)),"&lt;="&amp;AT61,OFFSET(EVENTOS!$G$14,CRONOPLE!$A$8+1,1,1,OFFSET($BF$12,0,-1)))/OFFSET(EVENTOS!$G$14,CRONOPLE!$A$8+1,-1))),
      IF(Import.EventoAdmLocal="","",SUMIF(OFFSET(CÁLCULO!$CS$15,CRONOPLE!$A$10,1,OFFSET(ORÇAMENTO!$D$15,CRONOPLE!$A$10,0),COLUMN(CÁLCULO!$DT$15)-COLUMN(CÁLCULO!$CS$15)-1),"&lt;="&amp;AT61,OFFSET(CÁLCULO!$AQ$15,CRONOPLE!$A$10,1,OFFSET(ORÇAMENTO!$D$15,CRONOPLE!$A$10,0),COLUMN(CÁLCULO!$BR$15)-COLUMN(CÁLCULO!$AQ$15)-1))/OFFSET(ORÇAMENTO!$X$15,CRONOPLE!$A$10,0))))</f>
        <v>0</v>
      </c>
      <c r="AU66" s="747"/>
      <c r="AV66" s="747">
        <f ca="1">IF(OR(ACOMPANHAMENTO&lt;&gt;"PLE",AV61&gt;PLE.Medicao),0,
   IF(AUTOEVENTO="Manual",
      IF(AdmLocal="Automática",AV64,
         IF(Import.EventoAdmLocal="","",SUMIF(OFFSET($G$14,CRONOPLE!$A$8+1,1,1,OFFSET($BF$12,0,-1)),"&lt;="&amp;AV61,OFFSET(EVENTOS!$G$14,CRONOPLE!$A$8+1,1,1,OFFSET($BF$12,0,-1)))/OFFSET(EVENTOS!$G$14,CRONOPLE!$A$8+1,-1))),
      IF(Import.EventoAdmLocal="","",SUMIF(OFFSET(CÁLCULO!$CS$15,CRONOPLE!$A$10,1,OFFSET(ORÇAMENTO!$D$15,CRONOPLE!$A$10,0),COLUMN(CÁLCULO!$DT$15)-COLUMN(CÁLCULO!$CS$15)-1),"&lt;="&amp;AV61,OFFSET(CÁLCULO!$AQ$15,CRONOPLE!$A$10,1,OFFSET(ORÇAMENTO!$D$15,CRONOPLE!$A$10,0),COLUMN(CÁLCULO!$BR$15)-COLUMN(CÁLCULO!$AQ$15)-1))/OFFSET(ORÇAMENTO!$X$15,CRONOPLE!$A$10,0))))</f>
        <v>0</v>
      </c>
      <c r="AW66" s="747"/>
      <c r="AX66" s="747">
        <f ca="1">IF(OR(ACOMPANHAMENTO&lt;&gt;"PLE",AX61&gt;PLE.Medicao),0,
   IF(AUTOEVENTO="Manual",
      IF(AdmLocal="Automática",AX64,
         IF(Import.EventoAdmLocal="","",SUMIF(OFFSET($G$14,CRONOPLE!$A$8+1,1,1,OFFSET($BF$12,0,-1)),"&lt;="&amp;AX61,OFFSET(EVENTOS!$G$14,CRONOPLE!$A$8+1,1,1,OFFSET($BF$12,0,-1)))/OFFSET(EVENTOS!$G$14,CRONOPLE!$A$8+1,-1))),
      IF(Import.EventoAdmLocal="","",SUMIF(OFFSET(CÁLCULO!$CS$15,CRONOPLE!$A$10,1,OFFSET(ORÇAMENTO!$D$15,CRONOPLE!$A$10,0),COLUMN(CÁLCULO!$DT$15)-COLUMN(CÁLCULO!$CS$15)-1),"&lt;="&amp;AX61,OFFSET(CÁLCULO!$AQ$15,CRONOPLE!$A$10,1,OFFSET(ORÇAMENTO!$D$15,CRONOPLE!$A$10,0),COLUMN(CÁLCULO!$BR$15)-COLUMN(CÁLCULO!$AQ$15)-1))/OFFSET(ORÇAMENTO!$X$15,CRONOPLE!$A$10,0))))</f>
        <v>0</v>
      </c>
      <c r="AY66" s="747"/>
      <c r="AZ66" s="747">
        <f ca="1">IF(OR(ACOMPANHAMENTO&lt;&gt;"PLE",AZ61&gt;PLE.Medicao),0,
   IF(AUTOEVENTO="Manual",
      IF(AdmLocal="Automática",AZ64,
         IF(Import.EventoAdmLocal="","",SUMIF(OFFSET($G$14,CRONOPLE!$A$8+1,1,1,OFFSET($BF$12,0,-1)),"&lt;="&amp;AZ61,OFFSET(EVENTOS!$G$14,CRONOPLE!$A$8+1,1,1,OFFSET($BF$12,0,-1)))/OFFSET(EVENTOS!$G$14,CRONOPLE!$A$8+1,-1))),
      IF(Import.EventoAdmLocal="","",SUMIF(OFFSET(CÁLCULO!$CS$15,CRONOPLE!$A$10,1,OFFSET(ORÇAMENTO!$D$15,CRONOPLE!$A$10,0),COLUMN(CÁLCULO!$DT$15)-COLUMN(CÁLCULO!$CS$15)-1),"&lt;="&amp;AZ61,OFFSET(CÁLCULO!$AQ$15,CRONOPLE!$A$10,1,OFFSET(ORÇAMENTO!$D$15,CRONOPLE!$A$10,0),COLUMN(CÁLCULO!$BR$15)-COLUMN(CÁLCULO!$AQ$15)-1))/OFFSET(ORÇAMENTO!$X$15,CRONOPLE!$A$10,0))))</f>
        <v>0</v>
      </c>
      <c r="BA66" s="747"/>
      <c r="BB66" s="747">
        <f ca="1">IF(OR(ACOMPANHAMENTO&lt;&gt;"PLE",BB61&gt;PLE.Medicao),0,
   IF(AUTOEVENTO="Manual",
      IF(AdmLocal="Automática",BB64,
         IF(Import.EventoAdmLocal="","",SUMIF(OFFSET($G$14,CRONOPLE!$A$8+1,1,1,OFFSET($BF$12,0,-1)),"&lt;="&amp;BB61,OFFSET(EVENTOS!$G$14,CRONOPLE!$A$8+1,1,1,OFFSET($BF$12,0,-1)))/OFFSET(EVENTOS!$G$14,CRONOPLE!$A$8+1,-1))),
      IF(Import.EventoAdmLocal="","",SUMIF(OFFSET(CÁLCULO!$CS$15,CRONOPLE!$A$10,1,OFFSET(ORÇAMENTO!$D$15,CRONOPLE!$A$10,0),COLUMN(CÁLCULO!$DT$15)-COLUMN(CÁLCULO!$CS$15)-1),"&lt;="&amp;BB61,OFFSET(CÁLCULO!$AQ$15,CRONOPLE!$A$10,1,OFFSET(ORÇAMENTO!$D$15,CRONOPLE!$A$10,0),COLUMN(CÁLCULO!$BR$15)-COLUMN(CÁLCULO!$AQ$15)-1))/OFFSET(ORÇAMENTO!$X$15,CRONOPLE!$A$10,0))))</f>
        <v>0</v>
      </c>
      <c r="BC66" s="747"/>
      <c r="BD66" s="747">
        <f ca="1">IF(OR(ACOMPANHAMENTO&lt;&gt;"PLE",BD61&gt;PLE.Medicao),0,
   IF(AUTOEVENTO="Manual",
      IF(AdmLocal="Automática",BD64,
         IF(Import.EventoAdmLocal="","",SUMIF(OFFSET($G$14,CRONOPLE!$A$8+1,1,1,OFFSET($BF$12,0,-1)),"&lt;="&amp;BD61,OFFSET(EVENTOS!$G$14,CRONOPLE!$A$8+1,1,1,OFFSET($BF$12,0,-1)))/OFFSET(EVENTOS!$G$14,CRONOPLE!$A$8+1,-1))),
      IF(Import.EventoAdmLocal="","",SUMIF(OFFSET(CÁLCULO!$CS$15,CRONOPLE!$A$10,1,OFFSET(ORÇAMENTO!$D$15,CRONOPLE!$A$10,0),COLUMN(CÁLCULO!$DT$15)-COLUMN(CÁLCULO!$CS$15)-1),"&lt;="&amp;BD61,OFFSET(CÁLCULO!$AQ$15,CRONOPLE!$A$10,1,OFFSET(ORÇAMENTO!$D$15,CRONOPLE!$A$10,0),COLUMN(CÁLCULO!$BR$15)-COLUMN(CÁLCULO!$AQ$15)-1))/OFFSET(ORÇAMENTO!$X$15,CRONOPLE!$A$10,0))))</f>
        <v>0</v>
      </c>
      <c r="BE66" s="747"/>
    </row>
    <row r="67" spans="1:57" ht="13.5" x14ac:dyDescent="0.25">
      <c r="A67" s="7" t="s">
        <v>536</v>
      </c>
      <c r="D67" s="523"/>
      <c r="H67" s="583" t="str">
        <f ca="1">IF(COUNTIF(I67:BF67,"%Adm&gt;%Global")&gt;0,"Verificar proporcionalidade da Administração Local","")</f>
        <v/>
      </c>
      <c r="I67" s="535" t="e">
        <f ca="1">IF(I66="","",IF(ROUND(I66,4)&gt;ROUND(I64,4),"%Adm&gt;%Global",""))</f>
        <v>#DIV/0!</v>
      </c>
      <c r="J67" s="524"/>
      <c r="K67" s="535" t="e">
        <f t="shared" ref="K67" ca="1" si="24">IF(K66="","",IF(ROUND(K66,4)&gt;ROUND(K64,4),"%Adm&gt;%Global",""))</f>
        <v>#DIV/0!</v>
      </c>
      <c r="L67" s="524"/>
      <c r="M67" s="535" t="e">
        <f t="shared" ref="M67" ca="1" si="25">IF(M66="","",IF(ROUND(M66,4)&gt;ROUND(M64,4),"%Adm&gt;%Global",""))</f>
        <v>#DIV/0!</v>
      </c>
      <c r="N67" s="524"/>
      <c r="O67" s="535" t="e">
        <f t="shared" ref="O67" ca="1" si="26">IF(O66="","",IF(ROUND(O66,4)&gt;ROUND(O64,4),"%Adm&gt;%Global",""))</f>
        <v>#DIV/0!</v>
      </c>
      <c r="P67" s="524"/>
      <c r="Q67" s="535" t="e">
        <f t="shared" ref="Q67" ca="1" si="27">IF(Q66="","",IF(ROUND(Q66,4)&gt;ROUND(Q64,4),"%Adm&gt;%Global",""))</f>
        <v>#DIV/0!</v>
      </c>
      <c r="R67" s="524"/>
      <c r="S67" s="535" t="e">
        <f t="shared" ref="S67" ca="1" si="28">IF(S66="","",IF(ROUND(S66,4)&gt;ROUND(S64,4),"%Adm&gt;%Global",""))</f>
        <v>#DIV/0!</v>
      </c>
      <c r="T67" s="524"/>
      <c r="U67" s="535" t="e">
        <f t="shared" ref="U67" ca="1" si="29">IF(U66="","",IF(ROUND(U66,4)&gt;ROUND(U64,4),"%Adm&gt;%Global",""))</f>
        <v>#DIV/0!</v>
      </c>
      <c r="V67" s="524"/>
      <c r="W67" s="535" t="e">
        <f t="shared" ref="W67" ca="1" si="30">IF(W66="","",IF(ROUND(W66,4)&gt;ROUND(W64,4),"%Adm&gt;%Global",""))</f>
        <v>#DIV/0!</v>
      </c>
      <c r="X67" s="524"/>
      <c r="Y67" s="535" t="e">
        <f t="shared" ref="Y67" ca="1" si="31">IF(Y66="","",IF(ROUND(Y66,4)&gt;ROUND(Y64,4),"%Adm&gt;%Global",""))</f>
        <v>#DIV/0!</v>
      </c>
      <c r="Z67" s="524"/>
      <c r="AA67" s="535" t="e">
        <f t="shared" ref="AA67" ca="1" si="32">IF(AA66="","",IF(ROUND(AA66,4)&gt;ROUND(AA64,4),"%Adm&gt;%Global",""))</f>
        <v>#DIV/0!</v>
      </c>
      <c r="AB67" s="524"/>
      <c r="AC67" s="535" t="e">
        <f t="shared" ref="AC67" ca="1" si="33">IF(AC66="","",IF(ROUND(AC66,4)&gt;ROUND(AC64,4),"%Adm&gt;%Global",""))</f>
        <v>#DIV/0!</v>
      </c>
      <c r="AD67" s="524"/>
      <c r="AE67" s="535" t="e">
        <f t="shared" ref="AE67" ca="1" si="34">IF(AE66="","",IF(ROUND(AE66,4)&gt;ROUND(AE64,4),"%Adm&gt;%Global",""))</f>
        <v>#DIV/0!</v>
      </c>
      <c r="AF67" s="524"/>
      <c r="AG67" s="583" t="str">
        <f ca="1">IF(COUNTIF(AH67:CE67,"%Adm&gt;%Global")&gt;0,"Verificar proporcionalidade da Administração Local","")</f>
        <v/>
      </c>
      <c r="AH67" s="535" t="e">
        <f ca="1">IF(AH66="","",IF(ROUND(AH66,4)&gt;ROUND(AH64,4),"%Adm&gt;%Global",""))</f>
        <v>#DIV/0!</v>
      </c>
      <c r="AI67" s="524"/>
      <c r="AJ67" s="535" t="e">
        <f t="shared" ref="AJ67" ca="1" si="35">IF(AJ66="","",IF(ROUND(AJ66,4)&gt;ROUND(AJ64,4),"%Adm&gt;%Global",""))</f>
        <v>#DIV/0!</v>
      </c>
      <c r="AK67" s="524"/>
      <c r="AL67" s="535" t="e">
        <f t="shared" ref="AL67" ca="1" si="36">IF(AL66="","",IF(ROUND(AL66,4)&gt;ROUND(AL64,4),"%Adm&gt;%Global",""))</f>
        <v>#DIV/0!</v>
      </c>
      <c r="AM67" s="524"/>
      <c r="AN67" s="535" t="e">
        <f t="shared" ref="AN67" ca="1" si="37">IF(AN66="","",IF(ROUND(AN66,4)&gt;ROUND(AN64,4),"%Adm&gt;%Global",""))</f>
        <v>#DIV/0!</v>
      </c>
      <c r="AO67" s="524"/>
      <c r="AP67" s="535" t="e">
        <f t="shared" ref="AP67" ca="1" si="38">IF(AP66="","",IF(ROUND(AP66,4)&gt;ROUND(AP64,4),"%Adm&gt;%Global",""))</f>
        <v>#DIV/0!</v>
      </c>
      <c r="AQ67" s="524"/>
      <c r="AR67" s="535" t="e">
        <f t="shared" ref="AR67" ca="1" si="39">IF(AR66="","",IF(ROUND(AR66,4)&gt;ROUND(AR64,4),"%Adm&gt;%Global",""))</f>
        <v>#DIV/0!</v>
      </c>
      <c r="AS67" s="524"/>
      <c r="AT67" s="535" t="e">
        <f t="shared" ref="AT67" ca="1" si="40">IF(AT66="","",IF(ROUND(AT66,4)&gt;ROUND(AT64,4),"%Adm&gt;%Global",""))</f>
        <v>#DIV/0!</v>
      </c>
      <c r="AU67" s="524"/>
      <c r="AV67" s="535" t="e">
        <f t="shared" ref="AV67" ca="1" si="41">IF(AV66="","",IF(ROUND(AV66,4)&gt;ROUND(AV64,4),"%Adm&gt;%Global",""))</f>
        <v>#DIV/0!</v>
      </c>
      <c r="AW67" s="524"/>
      <c r="AX67" s="535" t="e">
        <f t="shared" ref="AX67" ca="1" si="42">IF(AX66="","",IF(ROUND(AX66,4)&gt;ROUND(AX64,4),"%Adm&gt;%Global",""))</f>
        <v>#DIV/0!</v>
      </c>
      <c r="AY67" s="524"/>
      <c r="AZ67" s="535" t="e">
        <f t="shared" ref="AZ67" ca="1" si="43">IF(AZ66="","",IF(ROUND(AZ66,4)&gt;ROUND(AZ64,4),"%Adm&gt;%Global",""))</f>
        <v>#DIV/0!</v>
      </c>
      <c r="BA67" s="524"/>
      <c r="BB67" s="535" t="e">
        <f t="shared" ref="BB67" ca="1" si="44">IF(BB66="","",IF(ROUND(BB66,4)&gt;ROUND(BB64,4),"%Adm&gt;%Global",""))</f>
        <v>#DIV/0!</v>
      </c>
      <c r="BC67" s="524"/>
      <c r="BD67" s="535" t="e">
        <f t="shared" ref="BD67" ca="1" si="45">IF(BD66="","",IF(ROUND(BD66,4)&gt;ROUND(BD64,4),"%Adm&gt;%Global",""))</f>
        <v>#DIV/0!</v>
      </c>
      <c r="BE67" s="524"/>
    </row>
    <row r="68" spans="1:57" ht="20.25" customHeight="1" x14ac:dyDescent="0.2">
      <c r="A68" s="7" t="s">
        <v>536</v>
      </c>
      <c r="I68" s="805"/>
      <c r="J68" s="805"/>
      <c r="AH68" s="805"/>
      <c r="AI68" s="805"/>
    </row>
    <row r="69" spans="1:57" ht="15" x14ac:dyDescent="0.25">
      <c r="A69" s="7" t="s">
        <v>536</v>
      </c>
      <c r="B69" s="717" t="str">
        <f>Import.Município</f>
        <v>Pedro Régis-PB</v>
      </c>
      <c r="C69" s="717"/>
      <c r="D69" s="717"/>
      <c r="S69" s="562" t="str">
        <f ca="1">IF(DADOS!$D$50&lt;&gt;"","Preencher os Dados do Responsável pela Fiscalização, na aba DADOS.","")</f>
        <v/>
      </c>
      <c r="U69" s="139"/>
      <c r="V69" s="139"/>
      <c r="W69" s="139"/>
      <c r="X69" s="139"/>
      <c r="Y69" s="180"/>
      <c r="Z69" s="180"/>
      <c r="AA69" s="180"/>
      <c r="AB69" s="180"/>
      <c r="AC69" s="180"/>
      <c r="AD69" s="180"/>
      <c r="AR69" s="562" t="str">
        <f ca="1">IF(DADOS!$D$50&lt;&gt;"","Preencher os Dados do Responsável pela Fiscalização, na aba DADOS.","")</f>
        <v/>
      </c>
      <c r="AT69" s="139"/>
      <c r="AU69" s="139"/>
      <c r="AV69" s="139"/>
      <c r="AW69" s="139"/>
      <c r="AX69" s="180"/>
      <c r="AY69" s="180"/>
      <c r="AZ69" s="180"/>
      <c r="BA69" s="180"/>
      <c r="BB69" s="180"/>
      <c r="BC69" s="180"/>
    </row>
    <row r="70" spans="1:57" x14ac:dyDescent="0.2">
      <c r="A70" s="7" t="s">
        <v>536</v>
      </c>
      <c r="B70" s="9" t="s">
        <v>693</v>
      </c>
      <c r="U70" s="181" t="s">
        <v>841</v>
      </c>
      <c r="AT70" s="181" t="s">
        <v>841</v>
      </c>
    </row>
    <row r="71" spans="1:57" x14ac:dyDescent="0.2">
      <c r="A71" s="7" t="s">
        <v>536</v>
      </c>
      <c r="I71" s="79"/>
      <c r="U71" s="77" t="s">
        <v>240</v>
      </c>
      <c r="W71" s="271">
        <f t="array" ref="W71:W74">Import.RespFiscalização</f>
        <v>0</v>
      </c>
      <c r="AH71" s="79"/>
      <c r="AT71" s="77" t="s">
        <v>240</v>
      </c>
      <c r="AV71" s="271">
        <f t="array" ref="AV71:AV74">Import.RespFiscalização</f>
        <v>0</v>
      </c>
    </row>
    <row r="72" spans="1:57" x14ac:dyDescent="0.2">
      <c r="A72" s="7" t="s">
        <v>536</v>
      </c>
      <c r="B72" s="711">
        <f>DADOS!$C$48</f>
        <v>0</v>
      </c>
      <c r="C72" s="711"/>
      <c r="D72" s="711"/>
      <c r="I72" s="79"/>
      <c r="U72" s="77" t="s">
        <v>319</v>
      </c>
      <c r="W72" s="271">
        <v>0</v>
      </c>
      <c r="AH72" s="79"/>
      <c r="AT72" s="77" t="s">
        <v>319</v>
      </c>
      <c r="AV72" s="271">
        <v>0</v>
      </c>
    </row>
    <row r="73" spans="1:57" x14ac:dyDescent="0.2">
      <c r="A73" s="7" t="s">
        <v>536</v>
      </c>
      <c r="B73" s="140" t="s">
        <v>694</v>
      </c>
      <c r="C73" s="1"/>
      <c r="D73" s="1"/>
      <c r="I73" s="79"/>
      <c r="U73" s="77" t="s">
        <v>243</v>
      </c>
      <c r="W73" s="271">
        <v>0</v>
      </c>
      <c r="AH73" s="79"/>
      <c r="AT73" s="77" t="s">
        <v>243</v>
      </c>
      <c r="AV73" s="271">
        <v>0</v>
      </c>
    </row>
    <row r="74" spans="1:57" x14ac:dyDescent="0.2">
      <c r="U74" s="77" t="s">
        <v>246</v>
      </c>
      <c r="W74" s="12">
        <v>0</v>
      </c>
      <c r="AT74" s="77" t="s">
        <v>246</v>
      </c>
      <c r="AV74" s="12">
        <v>0</v>
      </c>
    </row>
  </sheetData>
  <sheetProtection algorithmName="SHA-512" hashValue="72c7lNV8xDfPTsNdkkifcFuOIxRXxzXWapaj+D6KFXoe9YJjtkgbLZCVBJ8aR93h7wD0F6p5U4G8dIwyMblPGg==" saltValue="OyzODdkcLI6iSqawEC9ezQ==" spinCount="100000" sheet="1" objects="1" scenarios="1" autoFilter="0"/>
  <autoFilter ref="A13:A73" xr:uid="{00000000-0009-0000-0000-000009000000}"/>
  <mergeCells count="245">
    <mergeCell ref="AH68:AI68"/>
    <mergeCell ref="AZ65:BA65"/>
    <mergeCell ref="BB65:BC65"/>
    <mergeCell ref="BD65:BE65"/>
    <mergeCell ref="AH66:AI66"/>
    <mergeCell ref="AJ66:AK66"/>
    <mergeCell ref="AL66:AM66"/>
    <mergeCell ref="AN66:AO66"/>
    <mergeCell ref="AP66:AQ66"/>
    <mergeCell ref="AR66:AS66"/>
    <mergeCell ref="AT66:AU66"/>
    <mergeCell ref="AV66:AW66"/>
    <mergeCell ref="AX66:AY66"/>
    <mergeCell ref="AZ66:BA66"/>
    <mergeCell ref="BB66:BC66"/>
    <mergeCell ref="BD66:BE66"/>
    <mergeCell ref="AH65:AI65"/>
    <mergeCell ref="AJ65:AK65"/>
    <mergeCell ref="AL65:AM65"/>
    <mergeCell ref="AN65:AO65"/>
    <mergeCell ref="AP65:AQ65"/>
    <mergeCell ref="AR65:AS65"/>
    <mergeCell ref="AT65:AU65"/>
    <mergeCell ref="AV65:AW65"/>
    <mergeCell ref="AX65:AY65"/>
    <mergeCell ref="AZ63:BA63"/>
    <mergeCell ref="BB63:BC63"/>
    <mergeCell ref="BD63:BE63"/>
    <mergeCell ref="AH64:AI64"/>
    <mergeCell ref="AJ64:AK64"/>
    <mergeCell ref="AL64:AM64"/>
    <mergeCell ref="AN64:AO64"/>
    <mergeCell ref="AP64:AQ64"/>
    <mergeCell ref="AR64:AS64"/>
    <mergeCell ref="AT64:AU64"/>
    <mergeCell ref="AV64:AW64"/>
    <mergeCell ref="AX64:AY64"/>
    <mergeCell ref="AZ64:BA64"/>
    <mergeCell ref="BB64:BC64"/>
    <mergeCell ref="BD64:BE64"/>
    <mergeCell ref="AH63:AI63"/>
    <mergeCell ref="AJ63:AK63"/>
    <mergeCell ref="AL63:AM63"/>
    <mergeCell ref="AN63:AO63"/>
    <mergeCell ref="AP63:AQ63"/>
    <mergeCell ref="AR63:AS63"/>
    <mergeCell ref="AT63:AU63"/>
    <mergeCell ref="AV63:AW63"/>
    <mergeCell ref="AX63:AY63"/>
    <mergeCell ref="AZ61:BA61"/>
    <mergeCell ref="BB61:BC61"/>
    <mergeCell ref="BD61:BE61"/>
    <mergeCell ref="AH62:AI62"/>
    <mergeCell ref="AJ62:AK62"/>
    <mergeCell ref="AL62:AM62"/>
    <mergeCell ref="AN62:AO62"/>
    <mergeCell ref="AP62:AQ62"/>
    <mergeCell ref="AR62:AS62"/>
    <mergeCell ref="AT62:AU62"/>
    <mergeCell ref="AV62:AW62"/>
    <mergeCell ref="AX62:AY62"/>
    <mergeCell ref="AZ62:BA62"/>
    <mergeCell ref="BB62:BC62"/>
    <mergeCell ref="BD62:BE62"/>
    <mergeCell ref="AH61:AI61"/>
    <mergeCell ref="AJ61:AK61"/>
    <mergeCell ref="AL61:AM61"/>
    <mergeCell ref="AN61:AO61"/>
    <mergeCell ref="AP61:AQ61"/>
    <mergeCell ref="AR61:AS61"/>
    <mergeCell ref="AT61:AU61"/>
    <mergeCell ref="AV61:AW61"/>
    <mergeCell ref="AX61:AY61"/>
    <mergeCell ref="AH59:BE59"/>
    <mergeCell ref="AH60:AI60"/>
    <mergeCell ref="AJ60:AK60"/>
    <mergeCell ref="AL60:AM60"/>
    <mergeCell ref="AN60:AO60"/>
    <mergeCell ref="AP60:AQ60"/>
    <mergeCell ref="AR60:AS60"/>
    <mergeCell ref="AT60:AU60"/>
    <mergeCell ref="AV60:AW60"/>
    <mergeCell ref="AX60:AY60"/>
    <mergeCell ref="AZ60:BA60"/>
    <mergeCell ref="BB60:BC60"/>
    <mergeCell ref="BD60:BE60"/>
    <mergeCell ref="BC3:BE3"/>
    <mergeCell ref="BC4:BE4"/>
    <mergeCell ref="BD6:BE6"/>
    <mergeCell ref="AG7:AM7"/>
    <mergeCell ref="AN7:AT7"/>
    <mergeCell ref="AU7:BC7"/>
    <mergeCell ref="BD7:BE7"/>
    <mergeCell ref="AI9:AJ9"/>
    <mergeCell ref="AM9:AS9"/>
    <mergeCell ref="AX9:AY9"/>
    <mergeCell ref="BD9:BE9"/>
    <mergeCell ref="B72:D72"/>
    <mergeCell ref="B69:D69"/>
    <mergeCell ref="D64:D65"/>
    <mergeCell ref="M64:N64"/>
    <mergeCell ref="M65:N65"/>
    <mergeCell ref="I65:J65"/>
    <mergeCell ref="K65:L65"/>
    <mergeCell ref="K64:L64"/>
    <mergeCell ref="I64:J64"/>
    <mergeCell ref="I68:J68"/>
    <mergeCell ref="I66:J66"/>
    <mergeCell ref="K66:L66"/>
    <mergeCell ref="M66:N66"/>
    <mergeCell ref="O66:P66"/>
    <mergeCell ref="Q66:R66"/>
    <mergeCell ref="O65:P65"/>
    <mergeCell ref="O64:P64"/>
    <mergeCell ref="Q64:R64"/>
    <mergeCell ref="AA60:AB60"/>
    <mergeCell ref="C1:D1"/>
    <mergeCell ref="C11:D11"/>
    <mergeCell ref="C12:D13"/>
    <mergeCell ref="U65:V65"/>
    <mergeCell ref="C17:D17"/>
    <mergeCell ref="D62:D63"/>
    <mergeCell ref="C16:D16"/>
    <mergeCell ref="C18:D18"/>
    <mergeCell ref="W63:X63"/>
    <mergeCell ref="S61:T61"/>
    <mergeCell ref="Q61:R61"/>
    <mergeCell ref="K61:L61"/>
    <mergeCell ref="K60:L60"/>
    <mergeCell ref="I60:J60"/>
    <mergeCell ref="I61:J61"/>
    <mergeCell ref="I62:J62"/>
    <mergeCell ref="M61:N61"/>
    <mergeCell ref="C19:D19"/>
    <mergeCell ref="AD3:AF3"/>
    <mergeCell ref="AD4:AF4"/>
    <mergeCell ref="AE6:AF6"/>
    <mergeCell ref="H7:N7"/>
    <mergeCell ref="O7:U7"/>
    <mergeCell ref="AE7:AF7"/>
    <mergeCell ref="V7:AD7"/>
    <mergeCell ref="Y9:Z9"/>
    <mergeCell ref="AE9:AF9"/>
    <mergeCell ref="J9:K9"/>
    <mergeCell ref="N9:T9"/>
    <mergeCell ref="AE63:AF63"/>
    <mergeCell ref="O61:P61"/>
    <mergeCell ref="W62:X62"/>
    <mergeCell ref="U62:V62"/>
    <mergeCell ref="AC62:AD62"/>
    <mergeCell ref="AE61:AF61"/>
    <mergeCell ref="U64:V64"/>
    <mergeCell ref="Y64:Z64"/>
    <mergeCell ref="B12:B13"/>
    <mergeCell ref="C20:D20"/>
    <mergeCell ref="C21:D21"/>
    <mergeCell ref="C22:D22"/>
    <mergeCell ref="C23:D23"/>
    <mergeCell ref="C24:D24"/>
    <mergeCell ref="C30:D30"/>
    <mergeCell ref="C31:D31"/>
    <mergeCell ref="C32:D32"/>
    <mergeCell ref="C33:D33"/>
    <mergeCell ref="C34:D34"/>
    <mergeCell ref="S63:T63"/>
    <mergeCell ref="Q63:R63"/>
    <mergeCell ref="W61:X61"/>
    <mergeCell ref="AC63:AD63"/>
    <mergeCell ref="AC64:AD64"/>
    <mergeCell ref="AA63:AB63"/>
    <mergeCell ref="B7:C7"/>
    <mergeCell ref="C15:D15"/>
    <mergeCell ref="W60:X60"/>
    <mergeCell ref="AC60:AD60"/>
    <mergeCell ref="Y61:Z61"/>
    <mergeCell ref="AA62:AB62"/>
    <mergeCell ref="Y63:Z63"/>
    <mergeCell ref="U63:V63"/>
    <mergeCell ref="C39:D39"/>
    <mergeCell ref="C40:D40"/>
    <mergeCell ref="C41:D41"/>
    <mergeCell ref="C42:D42"/>
    <mergeCell ref="C43:D43"/>
    <mergeCell ref="C48:D48"/>
    <mergeCell ref="C49:D49"/>
    <mergeCell ref="C50:D50"/>
    <mergeCell ref="C51:D51"/>
    <mergeCell ref="C52:D52"/>
    <mergeCell ref="I59:AF59"/>
    <mergeCell ref="AE60:AF60"/>
    <mergeCell ref="Y60:Z60"/>
    <mergeCell ref="AC61:AD61"/>
    <mergeCell ref="AA61:AB61"/>
    <mergeCell ref="Q65:R65"/>
    <mergeCell ref="M60:N60"/>
    <mergeCell ref="O63:P63"/>
    <mergeCell ref="M63:N63"/>
    <mergeCell ref="K63:L63"/>
    <mergeCell ref="I63:J63"/>
    <mergeCell ref="O62:P62"/>
    <mergeCell ref="M62:N62"/>
    <mergeCell ref="K62:L62"/>
    <mergeCell ref="O60:P60"/>
    <mergeCell ref="Q62:R62"/>
    <mergeCell ref="Y62:Z62"/>
    <mergeCell ref="S60:T60"/>
    <mergeCell ref="U60:V60"/>
    <mergeCell ref="Q60:R60"/>
    <mergeCell ref="S62:T62"/>
    <mergeCell ref="U61:V61"/>
    <mergeCell ref="AE62:AF62"/>
    <mergeCell ref="AC66:AD66"/>
    <mergeCell ref="AE66:AF66"/>
    <mergeCell ref="S66:T66"/>
    <mergeCell ref="U66:V66"/>
    <mergeCell ref="W66:X66"/>
    <mergeCell ref="Y66:Z66"/>
    <mergeCell ref="AA66:AB66"/>
    <mergeCell ref="W64:X64"/>
    <mergeCell ref="S64:T64"/>
    <mergeCell ref="AC65:AD65"/>
    <mergeCell ref="AA64:AB64"/>
    <mergeCell ref="AE65:AF65"/>
    <mergeCell ref="AE64:AF64"/>
    <mergeCell ref="Y65:Z65"/>
    <mergeCell ref="AA65:AB65"/>
    <mergeCell ref="S65:T65"/>
    <mergeCell ref="W65:X65"/>
    <mergeCell ref="C25:D25"/>
    <mergeCell ref="C26:D26"/>
    <mergeCell ref="C27:D27"/>
    <mergeCell ref="C28:D28"/>
    <mergeCell ref="C29:D29"/>
    <mergeCell ref="C35:D35"/>
    <mergeCell ref="C55:D55"/>
    <mergeCell ref="C56:D56"/>
    <mergeCell ref="C36:D36"/>
    <mergeCell ref="C37:D37"/>
    <mergeCell ref="C38:D38"/>
    <mergeCell ref="C44:D44"/>
    <mergeCell ref="C45:D45"/>
    <mergeCell ref="C46:D46"/>
    <mergeCell ref="C47:D47"/>
    <mergeCell ref="C53:D53"/>
    <mergeCell ref="C54:D54"/>
  </mergeCells>
  <phoneticPr fontId="38" type="noConversion"/>
  <conditionalFormatting sqref="F1:F2 F25">
    <cfRule type="expression" dxfId="104" priority="2726" stopIfTrue="1">
      <formula>IF(OR(ACOMPANHAMENTO="BM",F$12&gt;CÁLCULO.NúmeroDeFrentes),TRUE,PLE.ValorDoEvento=0)</formula>
    </cfRule>
    <cfRule type="cellIs" dxfId="103" priority="2727" stopIfTrue="1" operator="equal">
      <formula>$J$9</formula>
    </cfRule>
  </conditionalFormatting>
  <conditionalFormatting sqref="I62:AF62 AH62:BE62">
    <cfRule type="expression" dxfId="102" priority="2728" stopIfTrue="1">
      <formula>I61=$J$9</formula>
    </cfRule>
  </conditionalFormatting>
  <conditionalFormatting sqref="I63:AF63 AH63:BE63">
    <cfRule type="expression" dxfId="101" priority="2729" stopIfTrue="1">
      <formula>I61=$J$9</formula>
    </cfRule>
  </conditionalFormatting>
  <conditionalFormatting sqref="I64:AF64 AH64:BE64">
    <cfRule type="expression" dxfId="100" priority="2730" stopIfTrue="1">
      <formula>I61=$J$9</formula>
    </cfRule>
  </conditionalFormatting>
  <conditionalFormatting sqref="I65:AF65 AH65:BE65">
    <cfRule type="expression" dxfId="99" priority="2731" stopIfTrue="1">
      <formula>I61=$J$9</formula>
    </cfRule>
  </conditionalFormatting>
  <conditionalFormatting sqref="I61:J61">
    <cfRule type="cellIs" dxfId="98" priority="2725" stopIfTrue="1" operator="notEqual">
      <formula>1</formula>
    </cfRule>
  </conditionalFormatting>
  <conditionalFormatting sqref="H1:BE1 H25:BE25">
    <cfRule type="expression" dxfId="97" priority="2743" stopIfTrue="1">
      <formula>IF(OR(ACOMPANHAMENTO="BM",TIPOORCAMENTO="Proposto",H$12&gt;CÁLCULO.NúmeroDeFrentes),TRUE,PLE.ValorDoEvento=0)</formula>
    </cfRule>
    <cfRule type="cellIs" dxfId="96" priority="2744" stopIfTrue="1" operator="equal">
      <formula>$J$9</formula>
    </cfRule>
  </conditionalFormatting>
  <conditionalFormatting sqref="AE6:AE7">
    <cfRule type="expression" dxfId="95" priority="2732" stopIfTrue="1">
      <formula>TIPOORCAMENTO&lt;&gt;"Licitado"</formula>
    </cfRule>
  </conditionalFormatting>
  <conditionalFormatting sqref="N9:T9">
    <cfRule type="expression" dxfId="94" priority="2733" stopIfTrue="1">
      <formula>COLUMN(N9)&gt;COLUMN($AF$12)</formula>
    </cfRule>
    <cfRule type="expression" dxfId="93" priority="2734" stopIfTrue="1">
      <formula>$N$9="DIGITE A DATA DA MEDIÇÃO"</formula>
    </cfRule>
  </conditionalFormatting>
  <conditionalFormatting sqref="I9:M9 U9:AF9 AH9:AL9 AT9:BE9">
    <cfRule type="expression" dxfId="92" priority="2735" stopIfTrue="1">
      <formula>COLUMN(I9)&gt;COLUMN($AF$12)</formula>
    </cfRule>
  </conditionalFormatting>
  <conditionalFormatting sqref="K62:AF65 AJ62:BE65">
    <cfRule type="expression" dxfId="91" priority="1741" stopIfTrue="1">
      <formula>I$64=100%</formula>
    </cfRule>
  </conditionalFormatting>
  <conditionalFormatting sqref="J67 L67 N67 P67 R67 T67 V67 X67 Z67 AB67 AD67 AF67 AI67 AK67 AM67 AO67 AQ67 AS67 AU67 AW67 AY67 BA67 BC67 BE67">
    <cfRule type="expression" dxfId="90" priority="14452" stopIfTrue="1">
      <formula>J62=$J$9</formula>
    </cfRule>
  </conditionalFormatting>
  <conditionalFormatting sqref="K66:AF66 AJ66:BE66">
    <cfRule type="expression" dxfId="89" priority="1740">
      <formula>OFFSET(K66,-2,-2)=1</formula>
    </cfRule>
  </conditionalFormatting>
  <conditionalFormatting sqref="I66:AF66 AH66:BE66">
    <cfRule type="expression" dxfId="88" priority="1739">
      <formula>ROUND(I66,4)&gt;ROUND(I64,4)</formula>
    </cfRule>
  </conditionalFormatting>
  <conditionalFormatting sqref="N13">
    <cfRule type="expression" dxfId="87" priority="1738">
      <formula>$Y$9=0</formula>
    </cfRule>
  </conditionalFormatting>
  <conditionalFormatting sqref="F16:F24">
    <cfRule type="expression" dxfId="86" priority="26" stopIfTrue="1">
      <formula>IF(OR(ACOMPANHAMENTO="BM",F$12&gt;CÁLCULO.NúmeroDeFrentes),TRUE,PLE.ValorDoEvento=0)</formula>
    </cfRule>
    <cfRule type="cellIs" dxfId="85" priority="27" stopIfTrue="1" operator="equal">
      <formula>$J$9</formula>
    </cfRule>
  </conditionalFormatting>
  <conditionalFormatting sqref="H16:BE24">
    <cfRule type="expression" dxfId="84" priority="28" stopIfTrue="1">
      <formula>IF(OR(ACOMPANHAMENTO="BM",TIPOORCAMENTO="Proposto",H$12&gt;CÁLCULO.NúmeroDeFrentes),TRUE,PLE.ValorDoEvento=0)</formula>
    </cfRule>
    <cfRule type="cellIs" dxfId="83" priority="29" stopIfTrue="1" operator="equal">
      <formula>$J$9</formula>
    </cfRule>
  </conditionalFormatting>
  <conditionalFormatting sqref="F26:F34">
    <cfRule type="expression" dxfId="82" priority="18" stopIfTrue="1">
      <formula>IF(OR(ACOMPANHAMENTO="BM",F$12&gt;CÁLCULO.NúmeroDeFrentes),TRUE,PLE.ValorDoEvento=0)</formula>
    </cfRule>
    <cfRule type="cellIs" dxfId="81" priority="19" stopIfTrue="1" operator="equal">
      <formula>$J$9</formula>
    </cfRule>
  </conditionalFormatting>
  <conditionalFormatting sqref="H26:BE34">
    <cfRule type="expression" dxfId="80" priority="20" stopIfTrue="1">
      <formula>IF(OR(ACOMPANHAMENTO="BM",TIPOORCAMENTO="Proposto",H$12&gt;CÁLCULO.NúmeroDeFrentes),TRUE,PLE.ValorDoEvento=0)</formula>
    </cfRule>
    <cfRule type="cellIs" dxfId="79" priority="21" stopIfTrue="1" operator="equal">
      <formula>$J$9</formula>
    </cfRule>
  </conditionalFormatting>
  <conditionalFormatting sqref="F35:F43">
    <cfRule type="expression" dxfId="78" priority="14" stopIfTrue="1">
      <formula>IF(OR(ACOMPANHAMENTO="BM",F$12&gt;CÁLCULO.NúmeroDeFrentes),TRUE,PLE.ValorDoEvento=0)</formula>
    </cfRule>
    <cfRule type="cellIs" dxfId="77" priority="15" stopIfTrue="1" operator="equal">
      <formula>$J$9</formula>
    </cfRule>
  </conditionalFormatting>
  <conditionalFormatting sqref="H35:BE43">
    <cfRule type="expression" dxfId="76" priority="16" stopIfTrue="1">
      <formula>IF(OR(ACOMPANHAMENTO="BM",TIPOORCAMENTO="Proposto",H$12&gt;CÁLCULO.NúmeroDeFrentes),TRUE,PLE.ValorDoEvento=0)</formula>
    </cfRule>
    <cfRule type="cellIs" dxfId="75" priority="17" stopIfTrue="1" operator="equal">
      <formula>$J$9</formula>
    </cfRule>
  </conditionalFormatting>
  <conditionalFormatting sqref="F44:F52">
    <cfRule type="expression" dxfId="74" priority="10" stopIfTrue="1">
      <formula>IF(OR(ACOMPANHAMENTO="BM",F$12&gt;CÁLCULO.NúmeroDeFrentes),TRUE,PLE.ValorDoEvento=0)</formula>
    </cfRule>
    <cfRule type="cellIs" dxfId="73" priority="11" stopIfTrue="1" operator="equal">
      <formula>$J$9</formula>
    </cfRule>
  </conditionalFormatting>
  <conditionalFormatting sqref="H44:BE52">
    <cfRule type="expression" dxfId="72" priority="12" stopIfTrue="1">
      <formula>IF(OR(ACOMPANHAMENTO="BM",TIPOORCAMENTO="Proposto",H$12&gt;CÁLCULO.NúmeroDeFrentes),TRUE,PLE.ValorDoEvento=0)</formula>
    </cfRule>
    <cfRule type="cellIs" dxfId="71" priority="13" stopIfTrue="1" operator="equal">
      <formula>$J$9</formula>
    </cfRule>
  </conditionalFormatting>
  <conditionalFormatting sqref="F53:F56">
    <cfRule type="expression" dxfId="70" priority="6" stopIfTrue="1">
      <formula>IF(OR(ACOMPANHAMENTO="BM",F$12&gt;CÁLCULO.NúmeroDeFrentes),TRUE,PLE.ValorDoEvento=0)</formula>
    </cfRule>
    <cfRule type="cellIs" dxfId="69" priority="7" stopIfTrue="1" operator="equal">
      <formula>$J$9</formula>
    </cfRule>
  </conditionalFormatting>
  <conditionalFormatting sqref="H53:BE56">
    <cfRule type="expression" dxfId="68" priority="8" stopIfTrue="1">
      <formula>IF(OR(ACOMPANHAMENTO="BM",TIPOORCAMENTO="Proposto",H$12&gt;CÁLCULO.NúmeroDeFrentes),TRUE,PLE.ValorDoEvento=0)</formula>
    </cfRule>
    <cfRule type="cellIs" dxfId="67" priority="9" stopIfTrue="1" operator="equal">
      <formula>$J$9</formula>
    </cfRule>
  </conditionalFormatting>
  <conditionalFormatting sqref="AH61:AI61">
    <cfRule type="cellIs" dxfId="66" priority="2" stopIfTrue="1" operator="notEqual">
      <formula>1</formula>
    </cfRule>
  </conditionalFormatting>
  <conditionalFormatting sqref="BD6:BD7">
    <cfRule type="expression" dxfId="65" priority="3" stopIfTrue="1">
      <formula>TIPOORCAMENTO&lt;&gt;"Licitado"</formula>
    </cfRule>
  </conditionalFormatting>
  <conditionalFormatting sqref="AM9:AS9">
    <cfRule type="expression" dxfId="64" priority="4" stopIfTrue="1">
      <formula>COLUMN(AM9)&gt;COLUMN($AF$12)</formula>
    </cfRule>
    <cfRule type="expression" dxfId="63" priority="5" stopIfTrue="1">
      <formula>$N$9="DIGITE A DATA DA MEDIÇÃO"</formula>
    </cfRule>
  </conditionalFormatting>
  <conditionalFormatting sqref="AM13">
    <cfRule type="expression" dxfId="62" priority="1">
      <formula>$Y$9=0</formula>
    </cfRule>
  </conditionalFormatting>
  <dataValidations count="3">
    <dataValidation type="whole" operator="greaterThan" allowBlank="1" showErrorMessage="1" sqref="I3:AC4 J9:K9 F1:F4 AH3:BB4 AI9:AJ9 F16:F56" xr:uid="{00000000-0002-0000-0900-000000000000}">
      <formula1>0</formula1>
      <formula2>0</formula2>
    </dataValidation>
    <dataValidation allowBlank="1" showInputMessage="1" showErrorMessage="1" prompt="Digite a data de medição abaixo dos eventos." sqref="N9:T9 AM9:AS9" xr:uid="{00000000-0002-0000-0900-000001000000}">
      <formula1>0</formula1>
      <formula2>0</formula2>
    </dataValidation>
    <dataValidation type="whole" operator="equal" allowBlank="1" showErrorMessage="1" errorTitle="Errp de entrada" error="Preencha somente com o número da medição atual." sqref="H1:BE1 H16:BE56"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19050</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259"/>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28515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28515625" hidden="1" customWidth="1"/>
    <col min="28" max="39" width="11.5703125" customWidth="1"/>
    <col min="40" max="40" width="10.42578125" customWidth="1"/>
    <col min="41" max="41" width="9.28515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EMPREITADA POR PREÇO GLOBAL - OGU</v>
      </c>
      <c r="O2" s="11" t="s">
        <v>647</v>
      </c>
    </row>
    <row r="3" spans="1:41" x14ac:dyDescent="0.2">
      <c r="A3" s="806" t="b">
        <v>0</v>
      </c>
      <c r="B3" s="806"/>
      <c r="E3" s="86"/>
    </row>
    <row r="4" spans="1:41" x14ac:dyDescent="0.2">
      <c r="D4" s="684" t="s">
        <v>652</v>
      </c>
      <c r="E4" s="684"/>
      <c r="F4" s="722" t="s">
        <v>650</v>
      </c>
      <c r="G4" s="722"/>
      <c r="H4" s="722"/>
      <c r="I4" s="145" t="s">
        <v>707</v>
      </c>
      <c r="J4" s="684" t="s">
        <v>708</v>
      </c>
      <c r="K4" s="684"/>
      <c r="L4" s="684"/>
      <c r="M4" s="684"/>
      <c r="N4" s="684"/>
      <c r="O4" s="147" t="s">
        <v>843</v>
      </c>
    </row>
    <row r="5" spans="1:41" ht="12.75" customHeight="1" x14ac:dyDescent="0.2">
      <c r="A5" t="s">
        <v>844</v>
      </c>
      <c r="D5" s="681" t="str">
        <f>Import.Proponente</f>
        <v>Prefeitura Municipal de Pedro Régis-PB</v>
      </c>
      <c r="E5" s="681"/>
      <c r="F5" s="720" t="str">
        <f>Import.CR</f>
        <v>-</v>
      </c>
      <c r="G5" s="720"/>
      <c r="H5" s="720"/>
      <c r="I5" s="322" t="str">
        <f>Import.TransfereGOV</f>
        <v>-</v>
      </c>
      <c r="J5" s="681" t="str">
        <f>Import.Apelido</f>
        <v>Casa térrea acessível, 2 quartos, Autil=47,46m², conforme Portaria MCID 1416/2023</v>
      </c>
      <c r="K5" s="681"/>
      <c r="L5" s="681"/>
      <c r="M5" s="681"/>
      <c r="N5" s="681"/>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Global</v>
      </c>
      <c r="D7" s="87" t="s">
        <v>846</v>
      </c>
      <c r="E7" s="87" t="s">
        <v>847</v>
      </c>
      <c r="F7" s="684" t="s">
        <v>848</v>
      </c>
      <c r="G7" s="684"/>
      <c r="H7" s="684"/>
      <c r="I7" s="684" t="str" cm="1">
        <f t="array" ref="I7">IF(TIPOORCAMENTO="Licitado","REGIME DE EXECUÇÃO","MUNICÍPIO / UF")</f>
        <v>MUNICÍPIO / UF</v>
      </c>
      <c r="J7" s="684"/>
      <c r="K7" s="684"/>
      <c r="L7" s="684"/>
      <c r="M7" s="684" t="s">
        <v>849</v>
      </c>
      <c r="N7" s="684"/>
      <c r="O7" s="87" t="s">
        <v>850</v>
      </c>
      <c r="AO7" s="275" cm="1">
        <f t="array" aca="1" ref="AO7" ca="1">BM.MEDAcumulado</f>
        <v>0</v>
      </c>
    </row>
    <row r="8" spans="1:41" ht="12.75" customHeight="1" x14ac:dyDescent="0.2">
      <c r="A8" s="320" t="s">
        <v>851</v>
      </c>
      <c r="B8" s="2"/>
      <c r="C8" s="710" t="s">
        <v>655</v>
      </c>
      <c r="D8" s="326">
        <f>Import.CTEF</f>
        <v>0</v>
      </c>
      <c r="E8" s="56">
        <f>Import.empresa</f>
        <v>0</v>
      </c>
      <c r="F8" s="681">
        <f>Import.CNPJ</f>
        <v>0</v>
      </c>
      <c r="G8" s="681"/>
      <c r="H8" s="681"/>
      <c r="I8" s="681" t="str" cm="1">
        <f t="array" ref="I8">IF(TIPOORCAMENTO="Licitado",Import.RegimeExecução,Import.Município)</f>
        <v>Pedro Régis-PB</v>
      </c>
      <c r="J8" s="681"/>
      <c r="K8" s="681"/>
      <c r="L8" s="681"/>
      <c r="M8" s="681" t="str" cm="1">
        <f t="array" aca="1" ref="M8" ca="1">TEXT(IF(BM.medicao=1,Import.DataInicioObra,OFFSET($AB$12,0,BM.medicao-1-$AB$13)+1),"dd/mm/aaaa")&amp;" a "&amp;TEXT(OFFSET($AB$12,0,BM.medicao-$AB$13),"dd/mm/aaaa")</f>
        <v>00/01/1900 a 00/01/1900</v>
      </c>
      <c r="N8" s="681"/>
      <c r="O8" s="422">
        <v>1</v>
      </c>
    </row>
    <row r="9" spans="1:41" ht="12.75" customHeight="1" x14ac:dyDescent="0.2">
      <c r="A9" s="559" t="b">
        <v>1</v>
      </c>
      <c r="B9" s="4"/>
      <c r="C9" s="710"/>
    </row>
    <row r="10" spans="1:41" ht="13.35" customHeight="1" x14ac:dyDescent="0.2">
      <c r="A10" s="410" t="s">
        <v>852</v>
      </c>
      <c r="B10" s="411"/>
      <c r="C10" s="710"/>
      <c r="E10" s="556"/>
      <c r="F10" s="807"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IF($J$254&lt;&gt;"",UPPER($J$254),
 "")))))))</f>
        <v>Foi selecionado na aba 'MENU' o acompanhamento por PLE.</v>
      </c>
      <c r="G10" s="807"/>
      <c r="H10" s="807"/>
      <c r="I10" s="807"/>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t="str">
        <f ca="1">OFFSET(CRONO!$F$13,CRONO!$F$175,0)</f>
        <v/>
      </c>
      <c r="B11" s="418"/>
      <c r="C11" s="710"/>
      <c r="E11" s="556"/>
      <c r="F11" s="807"/>
      <c r="G11" s="807"/>
      <c r="H11" s="807"/>
      <c r="I11" s="807"/>
      <c r="N11" s="557"/>
      <c r="O11" s="558" t="str">
        <f ca="1">IF(ISERROR(P11),"","Administração Local Acumulada: "&amp;TEXT(P11,"0,00%"))</f>
        <v/>
      </c>
      <c r="P11" s="561" t="e">
        <f ca="1">OFFSET($O$15,$A$11,0)/OFFSET($I$15,$A$11,0)</f>
        <v>#VALUE!</v>
      </c>
      <c r="T11" s="808" t="s">
        <v>853</v>
      </c>
      <c r="U11" s="808"/>
      <c r="Z11" s="4"/>
      <c r="AB11" s="792" t="s">
        <v>854</v>
      </c>
      <c r="AC11" s="792"/>
      <c r="AD11" s="792"/>
      <c r="AE11" s="792"/>
      <c r="AF11" s="792"/>
      <c r="AG11" s="792"/>
      <c r="AH11" s="792"/>
      <c r="AI11" s="792"/>
      <c r="AJ11" s="792"/>
      <c r="AK11" s="792"/>
      <c r="AL11" s="792"/>
      <c r="AM11" s="792"/>
    </row>
    <row r="12" spans="1:41" ht="15" customHeight="1" x14ac:dyDescent="0.25">
      <c r="C12" s="710"/>
      <c r="E12" s="84" t="s">
        <v>855</v>
      </c>
      <c r="J12" s="683" t="str" cm="1">
        <f t="array" aca="1" ref="J12" ca="1">"Evolução Física "&amp;CHOOSE(MATCH(RegimeExecucao,{"Unitário","Global"},0),"(Qtde.)","(%)")</f>
        <v>Evolução Física (%)</v>
      </c>
      <c r="K12" s="683"/>
      <c r="L12" s="683"/>
      <c r="M12" s="683" t="s">
        <v>856</v>
      </c>
      <c r="N12" s="683"/>
      <c r="O12" s="683"/>
      <c r="Q12" s="683" t="str" cm="1">
        <f t="array" aca="1" ref="Q12" ca="1">"Aferido (CAIXA) "&amp;CHOOSE(MATCH(RegimeExecucao,{"Unitário","Global"},0),"(Qtde.)","(%)")</f>
        <v>Aferido (CAIXA) (%)</v>
      </c>
      <c r="R12" s="683"/>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
      </c>
      <c r="W13" s="292" t="str" cm="1">
        <f t="array" aca="1" ref="W13" ca="1">CHOOSE(MATCH(RegimeExecucao,{"Unitário","Global"},0),"Quant. Glosada (unid)","Percentual Glosado (%)")</f>
        <v>Percentual Glosado (%)</v>
      </c>
      <c r="X13" s="292" t="str" cm="1">
        <f t="array" aca="1" ref="X13" ca="1">CHOOSE(MATCH(RegimeExecucao,{"Unitário","Global"},0),"Preço Unitário (R$)","Valor Total do Item (R$)")</f>
        <v>Valor Total do Item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
      </c>
      <c r="G14" s="122" t="str" cm="1">
        <f t="array" aca="1" ref="G14" ca="1">IF(RegimeExecucao="Global","",ORÇAMENTO!T14)</f>
        <v/>
      </c>
      <c r="H14" s="122" t="str" cm="1">
        <f t="array" aca="1" ref="H14" ca="1">IF(RegimeExecucao="Global","",ORÇAMENTO!W14)</f>
        <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4" t="str">
        <f>"Objeto do CTEF: "&amp;Import.DescLote</f>
        <v>Objeto do CTEF: Construção de 20 residencias unifamiliares no Município de Pedro Régis/PB - Novo PAC FNHIS - Sub 50</v>
      </c>
      <c r="E15" s="814"/>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IF(OR(ACOMPANHAMENTO="PLE",TIPOORCAMENTO="Proposto"),0,SUMIF(OFFSET($A15,1,0):$A$244,"S",OFFSET(M15,1,0):M$244))</f>
        <v>0</v>
      </c>
      <c r="N15" s="341">
        <f ca="1">O15-M15</f>
        <v>0</v>
      </c>
      <c r="O15" s="341" cm="1">
        <f t="array" aca="1" ref="O15" ca="1">IF(OR(ACOMPANHAMENTO="PLE",TIPOORCAMENTO="Proposto"),0,SUMIF(OFFSET($A15,1,0):$A$244,"S",OFFSET(O15,1,0):O$244))</f>
        <v>0</v>
      </c>
      <c r="Q15" s="342"/>
      <c r="R15" s="342"/>
      <c r="T15" s="343"/>
      <c r="U15" s="344"/>
      <c r="V15" s="344"/>
      <c r="W15" s="344"/>
      <c r="X15" s="344"/>
      <c r="Y15" s="344"/>
      <c r="Z15" s="345"/>
      <c r="AB15" s="810" t="str" cm="1">
        <f t="array" aca="1" ref="AB15" ca="1">"Preencher abaixo com a "&amp;CHOOSE(MATCH(RegimeExecucao,{"Unitário","Global"},0),"QUANTIDADE","PORCENTAGEM")&amp;" executada no PERÍODO"</f>
        <v>Preencher abaixo com a PORCENTAGEM executada no PERÍODO</v>
      </c>
      <c r="AC15" s="810"/>
      <c r="AD15" s="810"/>
      <c r="AE15" s="810"/>
      <c r="AF15" s="810"/>
      <c r="AG15" s="810"/>
      <c r="AH15" s="810"/>
      <c r="AI15" s="810"/>
      <c r="AJ15" s="810"/>
      <c r="AK15" s="810"/>
      <c r="AL15" s="810"/>
      <c r="AM15" s="810"/>
    </row>
    <row r="16" spans="1:41" x14ac:dyDescent="0.2">
      <c r="A16">
        <f ca="1">ORÇAMENTO!C16</f>
        <v>1</v>
      </c>
      <c r="B16">
        <f ca="1">ORÇAMENTO!D16</f>
        <v>6</v>
      </c>
      <c r="C16" s="114" t="str">
        <f t="shared" ref="C16:C84" ca="1" si="1">IF(OR($I16&gt;0,$A16=1,$A16=2,$A16=3,$A16=4),"F","")</f>
        <v>F</v>
      </c>
      <c r="D16" s="117" t="str">
        <f ca="1">ORÇAMENTO!O16</f>
        <v>1.</v>
      </c>
      <c r="E16" s="163" t="str">
        <f t="shared" ref="E16:E84" si="2">ORÇAMENTO.Descricao</f>
        <v>SERVIÇOS PRELIMINARES</v>
      </c>
      <c r="F16" s="164" t="str" cm="1">
        <f t="array" aca="1" ref="F16" ca="1">IF(RegimeExecucao="Global","",ORÇAMENTO.Unidade)</f>
        <v/>
      </c>
      <c r="G16" s="122" t="str" cm="1">
        <f t="array" aca="1" ref="G16" ca="1">IF(RegimeExecucao="Global","",ORÇAMENTO!T16)</f>
        <v/>
      </c>
      <c r="H16" s="122" t="str" cm="1">
        <f t="array" aca="1" ref="H16" ca="1">IF(RegimeExecucao="Global","",ORÇAMENTO!W16)</f>
        <v/>
      </c>
      <c r="I16" s="125">
        <f ca="1">ORÇAMENTO!X16</f>
        <v>0</v>
      </c>
      <c r="J16" s="333" cm="1">
        <f t="array" aca="1" ref="J16" ca="1">IF($A16="S",IF(CAIXA.Modo,BM.AFAnterior,BM.MEDAnterior),IF(AND(RegimeExecucao="Global",$I16&gt;0,COUNTIF($AB$13:$AM$13,BM.medicao-1)&gt;0),M16/$I16*100,0))</f>
        <v>0</v>
      </c>
      <c r="K16" s="122">
        <f t="shared" ref="K16:K84"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84" ca="1" si="4">O16-M16</f>
        <v>0</v>
      </c>
      <c r="O16" s="125" cm="1">
        <f t="array" aca="1" ref="O16" ca="1">IF($A16="S",VTOTALBM,IF($A16=0,0,ROUND(SomaAgrupBM,15-13*ORÇAMENTO!$AF$11)))</f>
        <v>0</v>
      </c>
      <c r="Q16" s="337"/>
      <c r="R16" s="338"/>
      <c r="T16" s="117" t="str">
        <f t="shared" ref="T16:T84" ca="1" si="5">IF($W16&gt;0,$D16,"")</f>
        <v/>
      </c>
      <c r="U16" s="163" t="str">
        <f t="shared" ref="U16:U84"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84"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2</v>
      </c>
      <c r="C17" s="114" t="str">
        <f t="shared" ca="1" si="1"/>
        <v>F</v>
      </c>
      <c r="D17" s="117" t="str">
        <f ca="1">ORÇAMENTO!O17</f>
        <v>1.1.</v>
      </c>
      <c r="E17" s="163" t="str">
        <f t="shared" si="2"/>
        <v>LOCAÇÃO</v>
      </c>
      <c r="F17" s="164" t="str" cm="1">
        <f t="array" aca="1" ref="F17" ca="1">IF(RegimeExecucao="Global","",ORÇAMENTO.Unidade)</f>
        <v/>
      </c>
      <c r="G17" s="122" t="str" cm="1">
        <f t="array" aca="1" ref="G17" ca="1">IF(RegimeExecucao="Global","",ORÇAMENTO!T17)</f>
        <v/>
      </c>
      <c r="H17" s="122" t="str" cm="1">
        <f t="array" aca="1" ref="H17" ca="1">IF(RegimeExecucao="Global","",ORÇAMENTO!W17)</f>
        <v/>
      </c>
      <c r="I17" s="125">
        <f ca="1">ORÇAMENTO!X17</f>
        <v>0</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ht="38.25" x14ac:dyDescent="0.2">
      <c r="A18" t="str">
        <f ca="1">ORÇAMENTO!C18</f>
        <v>S</v>
      </c>
      <c r="B18">
        <f ca="1">ORÇAMENTO!D18</f>
        <v>0</v>
      </c>
      <c r="C18" s="114" t="str">
        <f t="shared" ca="1" si="1"/>
        <v/>
      </c>
      <c r="D18" s="117" t="str">
        <f ca="1">ORÇAMENTO!O18</f>
        <v>-</v>
      </c>
      <c r="E18" s="163" t="str">
        <f t="shared" ca="1" si="2"/>
        <v>(Código não identificado nas referências)</v>
      </c>
      <c r="F18" s="164" t="str" cm="1">
        <f t="array" aca="1" ref="F18" ca="1">IF(RegimeExecucao="Global","",ORÇAMENTO.Unidade)</f>
        <v/>
      </c>
      <c r="G18" s="122" t="str" cm="1">
        <f t="array" aca="1" ref="G18" ca="1">IF(RegimeExecucao="Global","",ORÇAMENTO!T18)</f>
        <v/>
      </c>
      <c r="H18" s="122" t="str" cm="1">
        <f t="array" aca="1" ref="H18" ca="1">IF(RegimeExecucao="Global","",ORÇAMENTO!W18)</f>
        <v/>
      </c>
      <c r="I18" s="125">
        <f ca="1">ORÇAMENTO!X18</f>
        <v>0</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x14ac:dyDescent="0.2">
      <c r="A19">
        <f ca="1">ORÇAMENTO!C19</f>
        <v>2</v>
      </c>
      <c r="B19">
        <f ca="1">ORÇAMENTO!D19</f>
        <v>3</v>
      </c>
      <c r="C19" s="114" t="str">
        <f t="shared" ca="1" si="1"/>
        <v>F</v>
      </c>
      <c r="D19" s="117" t="str">
        <f ca="1">ORÇAMENTO!O19</f>
        <v>1.2.</v>
      </c>
      <c r="E19" s="163" t="str">
        <f t="shared" si="2"/>
        <v>CANTEIRO DE OBRAS</v>
      </c>
      <c r="F19" s="164" t="str" cm="1">
        <f t="array" aca="1" ref="F19" ca="1">IF(RegimeExecucao="Global","",ORÇAMENTO.Unidade)</f>
        <v/>
      </c>
      <c r="G19" s="122" t="str" cm="1">
        <f t="array" aca="1" ref="G19" ca="1">IF(RegimeExecucao="Global","",ORÇAMENTO!T19)</f>
        <v/>
      </c>
      <c r="H19" s="122" t="str" cm="1">
        <f t="array" aca="1" ref="H19" ca="1">IF(RegimeExecucao="Global","",ORÇAMENTO!W19)</f>
        <v/>
      </c>
      <c r="I19" s="125">
        <f ca="1">ORÇAMENTO!X19</f>
        <v>0</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ht="25.5" x14ac:dyDescent="0.2">
      <c r="A20" t="str">
        <f ca="1">ORÇAMENTO!C20</f>
        <v>S</v>
      </c>
      <c r="B20">
        <f ca="1">ORÇAMENTO!D20</f>
        <v>0</v>
      </c>
      <c r="C20" s="114" t="str">
        <f t="shared" ca="1" si="1"/>
        <v/>
      </c>
      <c r="D20" s="117" t="str">
        <f ca="1">ORÇAMENTO!O20</f>
        <v>-</v>
      </c>
      <c r="E20" s="163" t="str">
        <f t="shared" ca="1" si="2"/>
        <v>(Código não identificado nas referências)</v>
      </c>
      <c r="F20" s="164" t="str" cm="1">
        <f t="array" aca="1" ref="F20" ca="1">IF(RegimeExecucao="Global","",ORÇAMENTO.Unidade)</f>
        <v/>
      </c>
      <c r="G20" s="122" t="str" cm="1">
        <f t="array" aca="1" ref="G20" ca="1">IF(RegimeExecucao="Global","",ORÇAMENTO!T20)</f>
        <v/>
      </c>
      <c r="H20" s="122" t="str" cm="1">
        <f t="array" aca="1" ref="H20" ca="1">IF(RegimeExecucao="Global","",ORÇAMENTO!W20)</f>
        <v/>
      </c>
      <c r="I20" s="125">
        <f ca="1">ORÇAMENTO!X20</f>
        <v>0</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ht="25.5" x14ac:dyDescent="0.2">
      <c r="A21" t="str">
        <f ca="1">ORÇAMENTO!C21</f>
        <v>S</v>
      </c>
      <c r="B21">
        <f ca="1">ORÇAMENTO!D21</f>
        <v>0</v>
      </c>
      <c r="C21" s="114" t="str">
        <f t="shared" ca="1" si="1"/>
        <v/>
      </c>
      <c r="D21" s="117" t="str">
        <f ca="1">ORÇAMENTO!O21</f>
        <v>-</v>
      </c>
      <c r="E21" s="163" t="str">
        <f t="shared" ca="1" si="2"/>
        <v>(Código não identificado nas referências)</v>
      </c>
      <c r="F21" s="164" t="str" cm="1">
        <f t="array" aca="1" ref="F21" ca="1">IF(RegimeExecucao="Global","",ORÇAMENTO.Unidade)</f>
        <v/>
      </c>
      <c r="G21" s="122" t="str" cm="1">
        <f t="array" aca="1" ref="G21" ca="1">IF(RegimeExecucao="Global","",ORÇAMENTO!T21)</f>
        <v/>
      </c>
      <c r="H21" s="122" t="str" cm="1">
        <f t="array" aca="1" ref="H21" ca="1">IF(RegimeExecucao="Global","",ORÇAMENTO!W21)</f>
        <v/>
      </c>
      <c r="I21" s="125">
        <f ca="1">ORÇAMENTO!X21</f>
        <v>0</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x14ac:dyDescent="0.2">
      <c r="A22">
        <f ca="1">ORÇAMENTO!C22</f>
        <v>1</v>
      </c>
      <c r="B22">
        <f ca="1">ORÇAMENTO!D22</f>
        <v>3</v>
      </c>
      <c r="C22" s="114" t="str">
        <f t="shared" ca="1" si="1"/>
        <v>F</v>
      </c>
      <c r="D22" s="117" t="str">
        <f ca="1">ORÇAMENTO!O22</f>
        <v>2.</v>
      </c>
      <c r="E22" s="163" t="str">
        <f t="shared" si="2"/>
        <v>ADMINISTRAÇÃO DA OBRA</v>
      </c>
      <c r="F22" s="164" t="str" cm="1">
        <f t="array" aca="1" ref="F22" ca="1">IF(RegimeExecucao="Global","",ORÇAMENTO.Unidade)</f>
        <v/>
      </c>
      <c r="G22" s="122" t="str" cm="1">
        <f t="array" aca="1" ref="G22" ca="1">IF(RegimeExecucao="Global","",ORÇAMENTO!T22)</f>
        <v/>
      </c>
      <c r="H22" s="122" t="str" cm="1">
        <f t="array" aca="1" ref="H22" ca="1">IF(RegimeExecucao="Global","",ORÇAMENTO!W22)</f>
        <v/>
      </c>
      <c r="I22" s="125">
        <f ca="1">ORÇAMENTO!X22</f>
        <v>0</v>
      </c>
      <c r="J22" s="333" cm="1">
        <f t="array" aca="1" ref="J22" ca="1">IF($A22="S",IF(CAIXA.Modo,BM.AFAnterior,BM.MEDAnterior),IF(AND(RegimeExecucao="Global",$I22&gt;0,COUNTIF($AB$13:$AM$13,BM.medicao-1)&gt;0),M22/$I22*100,0))</f>
        <v>0</v>
      </c>
      <c r="K22" s="122">
        <f t="shared" ca="1" si="3"/>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t="shared" ca="1" si="4"/>
        <v>0</v>
      </c>
      <c r="O22" s="125" cm="1">
        <f t="array" aca="1" ref="O22" ca="1">IF($A22="S",VTOTALBM,IF($A22=0,0,ROUND(SomaAgrupBM,15-13*ORÇAMENTO!$AF$11)))</f>
        <v>0</v>
      </c>
      <c r="Q22" s="337"/>
      <c r="R22" s="338"/>
      <c r="T22" s="117" t="str">
        <f t="shared" ca="1" si="5"/>
        <v/>
      </c>
      <c r="U22" s="163" t="str">
        <f t="shared" ca="1" si="6"/>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x14ac:dyDescent="0.2">
      <c r="A23">
        <f ca="1">ORÇAMENTO!C23</f>
        <v>2</v>
      </c>
      <c r="B23">
        <f ca="1">ORÇAMENTO!D23</f>
        <v>2</v>
      </c>
      <c r="C23" s="114" t="str">
        <f t="shared" ca="1" si="1"/>
        <v>F</v>
      </c>
      <c r="D23" s="117" t="str">
        <f ca="1">ORÇAMENTO!O23</f>
        <v>2.1.</v>
      </c>
      <c r="E23" s="163" t="str">
        <f t="shared" si="2"/>
        <v>ADMINISTRAÇÃO DA OBRA</v>
      </c>
      <c r="F23" s="164" t="str" cm="1">
        <f t="array" aca="1" ref="F23" ca="1">IF(RegimeExecucao="Global","",ORÇAMENTO.Unidade)</f>
        <v/>
      </c>
      <c r="G23" s="122" t="str" cm="1">
        <f t="array" aca="1" ref="G23" ca="1">IF(RegimeExecucao="Global","",ORÇAMENTO!T23)</f>
        <v/>
      </c>
      <c r="H23" s="122" t="str" cm="1">
        <f t="array" aca="1" ref="H23" ca="1">IF(RegimeExecucao="Global","",ORÇAMENTO!W23)</f>
        <v/>
      </c>
      <c r="I23" s="125">
        <f ca="1">ORÇAMENTO!X23</f>
        <v>0</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x14ac:dyDescent="0.2">
      <c r="A24" t="str">
        <f ca="1">ORÇAMENTO!C24</f>
        <v>S</v>
      </c>
      <c r="B24">
        <f ca="1">ORÇAMENTO!D24</f>
        <v>0</v>
      </c>
      <c r="C24" s="114" t="str">
        <f t="shared" ca="1" si="1"/>
        <v/>
      </c>
      <c r="D24" s="117" t="str">
        <f ca="1">ORÇAMENTO!O24</f>
        <v>-</v>
      </c>
      <c r="E24" s="163" t="str">
        <f t="shared" ca="1" si="2"/>
        <v>(Código não identificado nas referências)</v>
      </c>
      <c r="F24" s="164" t="str" cm="1">
        <f t="array" aca="1" ref="F24" ca="1">IF(RegimeExecucao="Global","",ORÇAMENTO.Unidade)</f>
        <v/>
      </c>
      <c r="G24" s="122" t="str" cm="1">
        <f t="array" aca="1" ref="G24" ca="1">IF(RegimeExecucao="Global","",ORÇAMENTO!T24)</f>
        <v/>
      </c>
      <c r="H24" s="122" t="str" cm="1">
        <f t="array" aca="1" ref="H24" ca="1">IF(RegimeExecucao="Global","",ORÇAMENTO!W24)</f>
        <v/>
      </c>
      <c r="I24" s="125">
        <f ca="1">ORÇAMENTO!X24</f>
        <v>0</v>
      </c>
      <c r="J24" s="333" cm="1">
        <f t="array" aca="1" ref="J24" ca="1">IF($A24="S",IF(CAIXA.Modo,BM.AFAnterior,BM.MEDAnterior),IF(AND(RegimeExecucao="Global",$I24&gt;0,COUNTIF($AB$13:$AM$13,BM.medicao-1)&gt;0),M24/$I24*100,0))</f>
        <v>0</v>
      </c>
      <c r="K24" s="122">
        <f t="shared" ca="1" si="3"/>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4"/>
        <v>0</v>
      </c>
      <c r="O24" s="125" cm="1">
        <f t="array" aca="1" ref="O24" ca="1">IF($A24="S",VTOTALBM,IF($A24=0,0,ROUND(SomaAgrupBM,15-13*ORÇAMENTO!$AF$11)))</f>
        <v>0</v>
      </c>
      <c r="Q24" s="337"/>
      <c r="R24" s="338"/>
      <c r="T24" s="117" t="str">
        <f t="shared" ca="1" si="5"/>
        <v/>
      </c>
      <c r="U24" s="163" t="str">
        <f t="shared" ca="1" si="6"/>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x14ac:dyDescent="0.2">
      <c r="A25">
        <f ca="1">ORÇAMENTO!C25</f>
        <v>1</v>
      </c>
      <c r="B25">
        <f ca="1">ORÇAMENTO!D25</f>
        <v>24</v>
      </c>
      <c r="C25" s="114" t="str">
        <f t="shared" ca="1" si="1"/>
        <v>F</v>
      </c>
      <c r="D25" s="117" t="str">
        <f ca="1">ORÇAMENTO!O25</f>
        <v>3.</v>
      </c>
      <c r="E25" s="163" t="str">
        <f t="shared" si="2"/>
        <v>FUNDAÇÕES</v>
      </c>
      <c r="F25" s="164" t="str" cm="1">
        <f t="array" aca="1" ref="F25" ca="1">IF(RegimeExecucao="Global","",ORÇAMENTO.Unidade)</f>
        <v/>
      </c>
      <c r="G25" s="122" t="str" cm="1">
        <f t="array" aca="1" ref="G25" ca="1">IF(RegimeExecucao="Global","",ORÇAMENTO!T25)</f>
        <v/>
      </c>
      <c r="H25" s="122" t="str" cm="1">
        <f t="array" aca="1" ref="H25" ca="1">IF(RegimeExecucao="Global","",ORÇAMENTO!W25)</f>
        <v/>
      </c>
      <c r="I25" s="125">
        <f ca="1">ORÇAMENTO!X25</f>
        <v>0</v>
      </c>
      <c r="J25" s="333" cm="1">
        <f t="array" aca="1" ref="J25" ca="1">IF($A25="S",IF(CAIXA.Modo,BM.AFAnterior,BM.MEDAnterior),IF(AND(RegimeExecucao="Global",$I25&gt;0,COUNTIF($AB$13:$AM$13,BM.medicao-1)&gt;0),M25/$I25*100,0))</f>
        <v>0</v>
      </c>
      <c r="K25" s="122">
        <f t="shared" ca="1" si="3"/>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4"/>
        <v>0</v>
      </c>
      <c r="O25" s="125" cm="1">
        <f t="array" aca="1" ref="O25" ca="1">IF($A25="S",VTOTALBM,IF($A25=0,0,ROUND(SomaAgrupBM,15-13*ORÇAMENTO!$AF$11)))</f>
        <v>0</v>
      </c>
      <c r="Q25" s="337"/>
      <c r="R25" s="338"/>
      <c r="T25" s="117" t="str">
        <f t="shared" ca="1" si="5"/>
        <v/>
      </c>
      <c r="U25" s="163" t="str">
        <f t="shared" ca="1" si="6"/>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x14ac:dyDescent="0.2">
      <c r="A26">
        <f ca="1">ORÇAMENTO!C26</f>
        <v>2</v>
      </c>
      <c r="B26">
        <f ca="1">ORÇAMENTO!D26</f>
        <v>10</v>
      </c>
      <c r="C26" s="114" t="str">
        <f t="shared" ca="1" si="1"/>
        <v>F</v>
      </c>
      <c r="D26" s="117" t="str">
        <f ca="1">ORÇAMENTO!O26</f>
        <v>3.1.</v>
      </c>
      <c r="E26" s="163" t="str">
        <f t="shared" si="2"/>
        <v>SAPATA</v>
      </c>
      <c r="F26" s="164" t="str" cm="1">
        <f t="array" aca="1" ref="F26" ca="1">IF(RegimeExecucao="Global","",ORÇAMENTO.Unidade)</f>
        <v/>
      </c>
      <c r="G26" s="122" t="str" cm="1">
        <f t="array" aca="1" ref="G26" ca="1">IF(RegimeExecucao="Global","",ORÇAMENTO!T26)</f>
        <v/>
      </c>
      <c r="H26" s="122" t="str" cm="1">
        <f t="array" aca="1" ref="H26" ca="1">IF(RegimeExecucao="Global","",ORÇAMENTO!W26)</f>
        <v/>
      </c>
      <c r="I26" s="125">
        <f ca="1">ORÇAMENTO!X26</f>
        <v>0</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ht="38.25" x14ac:dyDescent="0.2">
      <c r="A27" t="str">
        <f ca="1">ORÇAMENTO!C27</f>
        <v>S</v>
      </c>
      <c r="B27">
        <f ca="1">ORÇAMENTO!D27</f>
        <v>0</v>
      </c>
      <c r="C27" s="114" t="str">
        <f t="shared" ca="1" si="1"/>
        <v/>
      </c>
      <c r="D27" s="117" t="str">
        <f ca="1">ORÇAMENTO!O27</f>
        <v>-</v>
      </c>
      <c r="E27" s="163" t="str">
        <f t="shared" ca="1" si="2"/>
        <v>(Código não identificado nas referências)</v>
      </c>
      <c r="F27" s="164" t="str" cm="1">
        <f t="array" aca="1" ref="F27" ca="1">IF(RegimeExecucao="Global","",ORÇAMENTO.Unidade)</f>
        <v/>
      </c>
      <c r="G27" s="122" t="str" cm="1">
        <f t="array" aca="1" ref="G27" ca="1">IF(RegimeExecucao="Global","",ORÇAMENTO!T27)</f>
        <v/>
      </c>
      <c r="H27" s="122" t="str" cm="1">
        <f t="array" aca="1" ref="H27" ca="1">IF(RegimeExecucao="Global","",ORÇAMENTO!W27)</f>
        <v/>
      </c>
      <c r="I27" s="125">
        <f ca="1">ORÇAMENTO!X27</f>
        <v>0</v>
      </c>
      <c r="J27" s="333" cm="1">
        <f t="array" aca="1" ref="J27" ca="1">IF($A27="S",IF(CAIXA.Modo,BM.AFAnterior,BM.MEDAnterior),IF(AND(RegimeExecucao="Global",$I27&gt;0,COUNTIF($AB$13:$AM$13,BM.medicao-1)&gt;0),M27/$I27*100,0))</f>
        <v>0</v>
      </c>
      <c r="K27" s="122">
        <f t="shared" ca="1" si="3"/>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t="shared" ca="1" si="4"/>
        <v>0</v>
      </c>
      <c r="O27" s="125" cm="1">
        <f t="array" aca="1" ref="O27" ca="1">IF($A27="S",VTOTALBM,IF($A27=0,0,ROUND(SomaAgrupBM,15-13*ORÇAMENTO!$AF$11)))</f>
        <v>0</v>
      </c>
      <c r="Q27" s="337"/>
      <c r="R27" s="338"/>
      <c r="T27" s="117" t="str">
        <f t="shared" ca="1" si="5"/>
        <v/>
      </c>
      <c r="U27" s="163" t="str">
        <f t="shared" ca="1" si="6"/>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ht="25.5" x14ac:dyDescent="0.2">
      <c r="A28" t="str">
        <f ca="1">ORÇAMENTO!C28</f>
        <v>S</v>
      </c>
      <c r="B28">
        <f ca="1">ORÇAMENTO!D28</f>
        <v>0</v>
      </c>
      <c r="C28" s="114" t="str">
        <f t="shared" ca="1" si="1"/>
        <v/>
      </c>
      <c r="D28" s="117" t="str">
        <f ca="1">ORÇAMENTO!O28</f>
        <v>-</v>
      </c>
      <c r="E28" s="163" t="str">
        <f t="shared" ca="1" si="2"/>
        <v>(Código não identificado nas referências)</v>
      </c>
      <c r="F28" s="164" t="str" cm="1">
        <f t="array" aca="1" ref="F28" ca="1">IF(RegimeExecucao="Global","",ORÇAMENTO.Unidade)</f>
        <v/>
      </c>
      <c r="G28" s="122" t="str" cm="1">
        <f t="array" aca="1" ref="G28" ca="1">IF(RegimeExecucao="Global","",ORÇAMENTO!T28)</f>
        <v/>
      </c>
      <c r="H28" s="122" t="str" cm="1">
        <f t="array" aca="1" ref="H28" ca="1">IF(RegimeExecucao="Global","",ORÇAMENTO!W28)</f>
        <v/>
      </c>
      <c r="I28" s="125">
        <f ca="1">ORÇAMENTO!X28</f>
        <v>0</v>
      </c>
      <c r="J28" s="333" cm="1">
        <f t="array" aca="1" ref="J28" ca="1">IF($A28="S",IF(CAIXA.Modo,BM.AFAnterior,BM.MEDAnterior),IF(AND(RegimeExecucao="Global",$I28&gt;0,COUNTIF($AB$13:$AM$13,BM.medicao-1)&gt;0),M28/$I28*100,0))</f>
        <v>0</v>
      </c>
      <c r="K28" s="122">
        <f t="shared" ca="1" si="3"/>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ca="1" si="4"/>
        <v>0</v>
      </c>
      <c r="O28" s="125" cm="1">
        <f t="array" aca="1" ref="O28" ca="1">IF($A28="S",VTOTALBM,IF($A28=0,0,ROUND(SomaAgrupBM,15-13*ORÇAMENTO!$AF$11)))</f>
        <v>0</v>
      </c>
      <c r="Q28" s="337"/>
      <c r="R28" s="338"/>
      <c r="T28" s="117" t="str">
        <f t="shared" ca="1" si="5"/>
        <v/>
      </c>
      <c r="U28" s="163" t="str">
        <f t="shared" ca="1" si="6"/>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ht="25.5" x14ac:dyDescent="0.2">
      <c r="A29" t="str">
        <f ca="1">ORÇAMENTO!C29</f>
        <v>S</v>
      </c>
      <c r="B29">
        <f ca="1">ORÇAMENTO!D29</f>
        <v>0</v>
      </c>
      <c r="C29" s="114" t="str">
        <f t="shared" ca="1" si="1"/>
        <v/>
      </c>
      <c r="D29" s="117" t="str">
        <f ca="1">ORÇAMENTO!O29</f>
        <v>-</v>
      </c>
      <c r="E29" s="163" t="str">
        <f t="shared" ca="1" si="2"/>
        <v>(Código não identificado nas referências)</v>
      </c>
      <c r="F29" s="164" t="str" cm="1">
        <f t="array" aca="1" ref="F29" ca="1">IF(RegimeExecucao="Global","",ORÇAMENTO.Unidade)</f>
        <v/>
      </c>
      <c r="G29" s="122" t="str" cm="1">
        <f t="array" aca="1" ref="G29" ca="1">IF(RegimeExecucao="Global","",ORÇAMENTO!T29)</f>
        <v/>
      </c>
      <c r="H29" s="122" t="str" cm="1">
        <f t="array" aca="1" ref="H29" ca="1">IF(RegimeExecucao="Global","",ORÇAMENTO!W29)</f>
        <v/>
      </c>
      <c r="I29" s="125">
        <f ca="1">ORÇAMENTO!X29</f>
        <v>0</v>
      </c>
      <c r="J29" s="333" cm="1">
        <f t="array" aca="1" ref="J29" ca="1">IF($A29="S",IF(CAIXA.Modo,BM.AFAnterior,BM.MEDAnterior),IF(AND(RegimeExecucao="Global",$I29&gt;0,COUNTIF($AB$13:$AM$13,BM.medicao-1)&gt;0),M29/$I29*100,0))</f>
        <v>0</v>
      </c>
      <c r="K29" s="122">
        <f t="shared" ca="1" si="3"/>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ca="1" si="4"/>
        <v>0</v>
      </c>
      <c r="O29" s="125" cm="1">
        <f t="array" aca="1" ref="O29" ca="1">IF($A29="S",VTOTALBM,IF($A29=0,0,ROUND(SomaAgrupBM,15-13*ORÇAMENTO!$AF$11)))</f>
        <v>0</v>
      </c>
      <c r="Q29" s="337"/>
      <c r="R29" s="338"/>
      <c r="T29" s="117" t="str">
        <f t="shared" ca="1" si="5"/>
        <v/>
      </c>
      <c r="U29" s="163" t="str">
        <f t="shared" ca="1" si="6"/>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ht="38.25" x14ac:dyDescent="0.2">
      <c r="A30" t="str">
        <f ca="1">ORÇAMENTO!C30</f>
        <v>S</v>
      </c>
      <c r="B30">
        <f ca="1">ORÇAMENTO!D30</f>
        <v>0</v>
      </c>
      <c r="C30" s="114" t="str">
        <f t="shared" ca="1" si="1"/>
        <v/>
      </c>
      <c r="D30" s="117" t="str">
        <f ca="1">ORÇAMENTO!O30</f>
        <v>-</v>
      </c>
      <c r="E30" s="163" t="str">
        <f t="shared" ca="1" si="2"/>
        <v>(Código não identificado nas referências)</v>
      </c>
      <c r="F30" s="164" t="str" cm="1">
        <f t="array" aca="1" ref="F30" ca="1">IF(RegimeExecucao="Global","",ORÇAMENTO.Unidade)</f>
        <v/>
      </c>
      <c r="G30" s="122" t="str" cm="1">
        <f t="array" aca="1" ref="G30" ca="1">IF(RegimeExecucao="Global","",ORÇAMENTO!T30)</f>
        <v/>
      </c>
      <c r="H30" s="122" t="str" cm="1">
        <f t="array" aca="1" ref="H30" ca="1">IF(RegimeExecucao="Global","",ORÇAMENTO!W30)</f>
        <v/>
      </c>
      <c r="I30" s="125">
        <f ca="1">ORÇAMENTO!X30</f>
        <v>0</v>
      </c>
      <c r="J30" s="333" cm="1">
        <f t="array" aca="1" ref="J30" ca="1">IF($A30="S",IF(CAIXA.Modo,BM.AFAnterior,BM.MEDAnterior),IF(AND(RegimeExecucao="Global",$I30&gt;0,COUNTIF($AB$13:$AM$13,BM.medicao-1)&gt;0),M30/$I30*100,0))</f>
        <v>0</v>
      </c>
      <c r="K30" s="122">
        <f t="shared" ca="1" si="3"/>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t="shared" ca="1" si="4"/>
        <v>0</v>
      </c>
      <c r="O30" s="125" cm="1">
        <f t="array" aca="1" ref="O30" ca="1">IF($A30="S",VTOTALBM,IF($A30=0,0,ROUND(SomaAgrupBM,15-13*ORÇAMENTO!$AF$11)))</f>
        <v>0</v>
      </c>
      <c r="Q30" s="337"/>
      <c r="R30" s="338"/>
      <c r="T30" s="117" t="str">
        <f t="shared" ca="1" si="5"/>
        <v/>
      </c>
      <c r="U30" s="163" t="str">
        <f t="shared" ca="1" si="6"/>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t="shared" ca="1" si="7"/>
        <v>0</v>
      </c>
      <c r="Z30" s="473"/>
      <c r="AB30" s="337"/>
      <c r="AC30" s="437"/>
      <c r="AD30" s="437"/>
      <c r="AE30" s="437"/>
      <c r="AF30" s="437"/>
      <c r="AG30" s="437"/>
      <c r="AH30" s="437"/>
      <c r="AI30" s="437"/>
      <c r="AJ30" s="437"/>
      <c r="AK30" s="437"/>
      <c r="AL30" s="437"/>
      <c r="AM30" s="338"/>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ht="38.25" x14ac:dyDescent="0.2">
      <c r="A31" t="str">
        <f ca="1">ORÇAMENTO!C31</f>
        <v>S</v>
      </c>
      <c r="B31">
        <f ca="1">ORÇAMENTO!D31</f>
        <v>0</v>
      </c>
      <c r="C31" s="114" t="str">
        <f t="shared" ca="1" si="1"/>
        <v/>
      </c>
      <c r="D31" s="117" t="str">
        <f ca="1">ORÇAMENTO!O31</f>
        <v>-</v>
      </c>
      <c r="E31" s="163" t="str">
        <f t="shared" ca="1" si="2"/>
        <v>(Código não identificado nas referências)</v>
      </c>
      <c r="F31" s="164" t="str" cm="1">
        <f t="array" aca="1" ref="F31" ca="1">IF(RegimeExecucao="Global","",ORÇAMENTO.Unidade)</f>
        <v/>
      </c>
      <c r="G31" s="122" t="str" cm="1">
        <f t="array" aca="1" ref="G31" ca="1">IF(RegimeExecucao="Global","",ORÇAMENTO!T31)</f>
        <v/>
      </c>
      <c r="H31" s="122" t="str" cm="1">
        <f t="array" aca="1" ref="H31" ca="1">IF(RegimeExecucao="Global","",ORÇAMENTO!W31)</f>
        <v/>
      </c>
      <c r="I31" s="125">
        <f ca="1">ORÇAMENTO!X31</f>
        <v>0</v>
      </c>
      <c r="J31" s="333" cm="1">
        <f t="array" aca="1" ref="J31" ca="1">IF($A31="S",IF(CAIXA.Modo,BM.AFAnterior,BM.MEDAnterior),IF(AND(RegimeExecucao="Global",$I31&gt;0,COUNTIF($AB$13:$AM$13,BM.medicao-1)&gt;0),M31/$I31*100,0))</f>
        <v>0</v>
      </c>
      <c r="K31" s="122">
        <f t="shared" ca="1" si="3"/>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4"/>
        <v>0</v>
      </c>
      <c r="O31" s="125" cm="1">
        <f t="array" aca="1" ref="O31" ca="1">IF($A31="S",VTOTALBM,IF($A31=0,0,ROUND(SomaAgrupBM,15-13*ORÇAMENTO!$AF$11)))</f>
        <v>0</v>
      </c>
      <c r="Q31" s="337"/>
      <c r="R31" s="338"/>
      <c r="T31" s="117" t="str">
        <f t="shared" ca="1" si="5"/>
        <v/>
      </c>
      <c r="U31" s="163" t="str">
        <f t="shared" ca="1" si="6"/>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ht="38.25" x14ac:dyDescent="0.2">
      <c r="A32" t="str">
        <f ca="1">ORÇAMENTO!C32</f>
        <v>S</v>
      </c>
      <c r="B32">
        <f ca="1">ORÇAMENTO!D32</f>
        <v>0</v>
      </c>
      <c r="C32" s="114" t="str">
        <f t="shared" ca="1" si="1"/>
        <v/>
      </c>
      <c r="D32" s="117" t="str">
        <f ca="1">ORÇAMENTO!O32</f>
        <v>-</v>
      </c>
      <c r="E32" s="163" t="str">
        <f t="shared" ca="1" si="2"/>
        <v>(Código não identificado nas referências)</v>
      </c>
      <c r="F32" s="164" t="str" cm="1">
        <f t="array" aca="1" ref="F32" ca="1">IF(RegimeExecucao="Global","",ORÇAMENTO.Unidade)</f>
        <v/>
      </c>
      <c r="G32" s="122" t="str" cm="1">
        <f t="array" aca="1" ref="G32" ca="1">IF(RegimeExecucao="Global","",ORÇAMENTO!T32)</f>
        <v/>
      </c>
      <c r="H32" s="122" t="str" cm="1">
        <f t="array" aca="1" ref="H32" ca="1">IF(RegimeExecucao="Global","",ORÇAMENTO!W32)</f>
        <v/>
      </c>
      <c r="I32" s="125">
        <f ca="1">ORÇAMENTO!X32</f>
        <v>0</v>
      </c>
      <c r="J32" s="333" cm="1">
        <f t="array" aca="1" ref="J32" ca="1">IF($A32="S",IF(CAIXA.Modo,BM.AFAnterior,BM.MEDAnterior),IF(AND(RegimeExecucao="Global",$I32&gt;0,COUNTIF($AB$13:$AM$13,BM.medicao-1)&gt;0),M32/$I32*100,0))</f>
        <v>0</v>
      </c>
      <c r="K32" s="122">
        <f t="shared" ca="1" si="3"/>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4"/>
        <v>0</v>
      </c>
      <c r="O32" s="125" cm="1">
        <f t="array" aca="1" ref="O32" ca="1">IF($A32="S",VTOTALBM,IF($A32=0,0,ROUND(SomaAgrupBM,15-13*ORÇAMENTO!$AF$11)))</f>
        <v>0</v>
      </c>
      <c r="Q32" s="337"/>
      <c r="R32" s="338"/>
      <c r="T32" s="117" t="str">
        <f t="shared" ca="1" si="5"/>
        <v/>
      </c>
      <c r="U32" s="163" t="str">
        <f t="shared" ca="1" si="6"/>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ht="25.5" x14ac:dyDescent="0.2">
      <c r="A33" t="str">
        <f ca="1">ORÇAMENTO!C33</f>
        <v>S</v>
      </c>
      <c r="B33">
        <f ca="1">ORÇAMENTO!D33</f>
        <v>0</v>
      </c>
      <c r="C33" s="114" t="str">
        <f t="shared" ca="1" si="1"/>
        <v/>
      </c>
      <c r="D33" s="117" t="str">
        <f ca="1">ORÇAMENTO!O33</f>
        <v>-</v>
      </c>
      <c r="E33" s="163" t="str">
        <f t="shared" ca="1" si="2"/>
        <v>(Código não identificado nas referências)</v>
      </c>
      <c r="F33" s="164" t="str" cm="1">
        <f t="array" aca="1" ref="F33" ca="1">IF(RegimeExecucao="Global","",ORÇAMENTO.Unidade)</f>
        <v/>
      </c>
      <c r="G33" s="122" t="str" cm="1">
        <f t="array" aca="1" ref="G33" ca="1">IF(RegimeExecucao="Global","",ORÇAMENTO!T33)</f>
        <v/>
      </c>
      <c r="H33" s="122" t="str" cm="1">
        <f t="array" aca="1" ref="H33" ca="1">IF(RegimeExecucao="Global","",ORÇAMENTO!W33)</f>
        <v/>
      </c>
      <c r="I33" s="125">
        <f ca="1">ORÇAMENTO!X33</f>
        <v>0</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ht="25.5" x14ac:dyDescent="0.2">
      <c r="A34" t="str">
        <f ca="1">ORÇAMENTO!C34</f>
        <v>S</v>
      </c>
      <c r="B34">
        <f ca="1">ORÇAMENTO!D34</f>
        <v>0</v>
      </c>
      <c r="C34" s="114" t="str">
        <f t="shared" ca="1" si="1"/>
        <v/>
      </c>
      <c r="D34" s="117" t="str">
        <f ca="1">ORÇAMENTO!O34</f>
        <v>-</v>
      </c>
      <c r="E34" s="163" t="str">
        <f t="shared" ca="1" si="2"/>
        <v>(Código não identificado nas referências)</v>
      </c>
      <c r="F34" s="164" t="str" cm="1">
        <f t="array" aca="1" ref="F34" ca="1">IF(RegimeExecucao="Global","",ORÇAMENTO.Unidade)</f>
        <v/>
      </c>
      <c r="G34" s="122" t="str" cm="1">
        <f t="array" aca="1" ref="G34" ca="1">IF(RegimeExecucao="Global","",ORÇAMENTO!T34)</f>
        <v/>
      </c>
      <c r="H34" s="122" t="str" cm="1">
        <f t="array" aca="1" ref="H34" ca="1">IF(RegimeExecucao="Global","",ORÇAMENTO!W34)</f>
        <v/>
      </c>
      <c r="I34" s="125">
        <f ca="1">ORÇAMENTO!X34</f>
        <v>0</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ht="25.5" x14ac:dyDescent="0.2">
      <c r="A35" t="str">
        <f ca="1">ORÇAMENTO!C35</f>
        <v>S</v>
      </c>
      <c r="B35">
        <f ca="1">ORÇAMENTO!D35</f>
        <v>0</v>
      </c>
      <c r="C35" s="114" t="str">
        <f t="shared" ca="1" si="1"/>
        <v/>
      </c>
      <c r="D35" s="117" t="str">
        <f ca="1">ORÇAMENTO!O35</f>
        <v>-</v>
      </c>
      <c r="E35" s="163" t="str">
        <f t="shared" ca="1" si="2"/>
        <v>(Código não identificado nas referências)</v>
      </c>
      <c r="F35" s="164" t="str" cm="1">
        <f t="array" aca="1" ref="F35" ca="1">IF(RegimeExecucao="Global","",ORÇAMENTO.Unidade)</f>
        <v/>
      </c>
      <c r="G35" s="122" t="str" cm="1">
        <f t="array" aca="1" ref="G35" ca="1">IF(RegimeExecucao="Global","",ORÇAMENTO!T35)</f>
        <v/>
      </c>
      <c r="H35" s="122" t="str" cm="1">
        <f t="array" aca="1" ref="H35" ca="1">IF(RegimeExecucao="Global","",ORÇAMENTO!W35)</f>
        <v/>
      </c>
      <c r="I35" s="125">
        <f ca="1">ORÇAMENTO!X35</f>
        <v>0</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x14ac:dyDescent="0.2">
      <c r="A36">
        <f ca="1">ORÇAMENTO!C36</f>
        <v>2</v>
      </c>
      <c r="B36">
        <f ca="1">ORÇAMENTO!D36</f>
        <v>9</v>
      </c>
      <c r="C36" s="114" t="str">
        <f t="shared" ca="1" si="1"/>
        <v>F</v>
      </c>
      <c r="D36" s="117" t="str">
        <f ca="1">ORÇAMENTO!O36</f>
        <v>3.2.</v>
      </c>
      <c r="E36" s="163" t="str">
        <f t="shared" si="2"/>
        <v>BALDRAMES</v>
      </c>
      <c r="F36" s="164" t="str" cm="1">
        <f t="array" aca="1" ref="F36" ca="1">IF(RegimeExecucao="Global","",ORÇAMENTO.Unidade)</f>
        <v/>
      </c>
      <c r="G36" s="122" t="str" cm="1">
        <f t="array" aca="1" ref="G36" ca="1">IF(RegimeExecucao="Global","",ORÇAMENTO!T36)</f>
        <v/>
      </c>
      <c r="H36" s="122" t="str" cm="1">
        <f t="array" aca="1" ref="H36" ca="1">IF(RegimeExecucao="Global","",ORÇAMENTO!W36)</f>
        <v/>
      </c>
      <c r="I36" s="125">
        <f ca="1">ORÇAMENTO!X36</f>
        <v>0</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ht="38.25" x14ac:dyDescent="0.2">
      <c r="A37" t="str">
        <f ca="1">ORÇAMENTO!C37</f>
        <v>S</v>
      </c>
      <c r="B37">
        <f ca="1">ORÇAMENTO!D37</f>
        <v>0</v>
      </c>
      <c r="C37" s="114" t="str">
        <f t="shared" ca="1" si="1"/>
        <v/>
      </c>
      <c r="D37" s="117" t="str">
        <f ca="1">ORÇAMENTO!O37</f>
        <v>-</v>
      </c>
      <c r="E37" s="163" t="str">
        <f t="shared" ca="1" si="2"/>
        <v>(Código não identificado nas referências)</v>
      </c>
      <c r="F37" s="164" t="str" cm="1">
        <f t="array" aca="1" ref="F37" ca="1">IF(RegimeExecucao="Global","",ORÇAMENTO.Unidade)</f>
        <v/>
      </c>
      <c r="G37" s="122" t="str" cm="1">
        <f t="array" aca="1" ref="G37" ca="1">IF(RegimeExecucao="Global","",ORÇAMENTO!T37)</f>
        <v/>
      </c>
      <c r="H37" s="122" t="str" cm="1">
        <f t="array" aca="1" ref="H37" ca="1">IF(RegimeExecucao="Global","",ORÇAMENTO!W37)</f>
        <v/>
      </c>
      <c r="I37" s="125">
        <f ca="1">ORÇAMENTO!X37</f>
        <v>0</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ht="25.5" x14ac:dyDescent="0.2">
      <c r="A38" t="str">
        <f ca="1">ORÇAMENTO!C38</f>
        <v>S</v>
      </c>
      <c r="B38">
        <f ca="1">ORÇAMENTO!D38</f>
        <v>0</v>
      </c>
      <c r="C38" s="114" t="str">
        <f t="shared" ca="1" si="1"/>
        <v/>
      </c>
      <c r="D38" s="117" t="str">
        <f ca="1">ORÇAMENTO!O38</f>
        <v>-</v>
      </c>
      <c r="E38" s="163" t="str">
        <f t="shared" ca="1" si="2"/>
        <v>(Código não identificado nas referências)</v>
      </c>
      <c r="F38" s="164" t="str" cm="1">
        <f t="array" aca="1" ref="F38" ca="1">IF(RegimeExecucao="Global","",ORÇAMENTO.Unidade)</f>
        <v/>
      </c>
      <c r="G38" s="122" t="str" cm="1">
        <f t="array" aca="1" ref="G38" ca="1">IF(RegimeExecucao="Global","",ORÇAMENTO!T38)</f>
        <v/>
      </c>
      <c r="H38" s="122" t="str" cm="1">
        <f t="array" aca="1" ref="H38" ca="1">IF(RegimeExecucao="Global","",ORÇAMENTO!W38)</f>
        <v/>
      </c>
      <c r="I38" s="125">
        <f ca="1">ORÇAMENTO!X38</f>
        <v>0</v>
      </c>
      <c r="J38" s="333" cm="1">
        <f t="array" aca="1" ref="J38" ca="1">IF($A38="S",IF(CAIXA.Modo,BM.AFAnterior,BM.MEDAnterior),IF(AND(RegimeExecucao="Global",$I38&gt;0,COUNTIF($AB$13:$AM$13,BM.medicao-1)&gt;0),M38/$I38*100,0))</f>
        <v>0</v>
      </c>
      <c r="K38" s="122">
        <f t="shared" ca="1" si="3"/>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4"/>
        <v>0</v>
      </c>
      <c r="O38" s="125" cm="1">
        <f t="array" aca="1" ref="O38" ca="1">IF($A38="S",VTOTALBM,IF($A38=0,0,ROUND(SomaAgrupBM,15-13*ORÇAMENTO!$AF$11)))</f>
        <v>0</v>
      </c>
      <c r="Q38" s="337"/>
      <c r="R38" s="338"/>
      <c r="T38" s="117" t="str">
        <f t="shared" ca="1" si="5"/>
        <v/>
      </c>
      <c r="U38" s="163" t="str">
        <f t="shared" ca="1" si="6"/>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ht="38.25" x14ac:dyDescent="0.2">
      <c r="A39" t="str">
        <f ca="1">ORÇAMENTO!C39</f>
        <v>S</v>
      </c>
      <c r="B39">
        <f ca="1">ORÇAMENTO!D39</f>
        <v>0</v>
      </c>
      <c r="C39" s="114" t="str">
        <f t="shared" ca="1" si="1"/>
        <v/>
      </c>
      <c r="D39" s="117" t="str">
        <f ca="1">ORÇAMENTO!O39</f>
        <v>-</v>
      </c>
      <c r="E39" s="163" t="str">
        <f t="shared" ca="1" si="2"/>
        <v>(Código não identificado nas referências)</v>
      </c>
      <c r="F39" s="164" t="str" cm="1">
        <f t="array" aca="1" ref="F39" ca="1">IF(RegimeExecucao="Global","",ORÇAMENTO.Unidade)</f>
        <v/>
      </c>
      <c r="G39" s="122" t="str" cm="1">
        <f t="array" aca="1" ref="G39" ca="1">IF(RegimeExecucao="Global","",ORÇAMENTO!T39)</f>
        <v/>
      </c>
      <c r="H39" s="122" t="str" cm="1">
        <f t="array" aca="1" ref="H39" ca="1">IF(RegimeExecucao="Global","",ORÇAMENTO!W39)</f>
        <v/>
      </c>
      <c r="I39" s="125">
        <f ca="1">ORÇAMENTO!X39</f>
        <v>0</v>
      </c>
      <c r="J39" s="333" cm="1">
        <f t="array" aca="1" ref="J39" ca="1">IF($A39="S",IF(CAIXA.Modo,BM.AFAnterior,BM.MEDAnterior),IF(AND(RegimeExecucao="Global",$I39&gt;0,COUNTIF($AB$13:$AM$13,BM.medicao-1)&gt;0),M39/$I39*100,0))</f>
        <v>0</v>
      </c>
      <c r="K39" s="122">
        <f t="shared" ca="1" si="3"/>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4"/>
        <v>0</v>
      </c>
      <c r="O39" s="125" cm="1">
        <f t="array" aca="1" ref="O39" ca="1">IF($A39="S",VTOTALBM,IF($A39=0,0,ROUND(SomaAgrupBM,15-13*ORÇAMENTO!$AF$11)))</f>
        <v>0</v>
      </c>
      <c r="Q39" s="337"/>
      <c r="R39" s="338"/>
      <c r="T39" s="117" t="str">
        <f t="shared" ca="1" si="5"/>
        <v/>
      </c>
      <c r="U39" s="163" t="str">
        <f t="shared" ca="1" si="6"/>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ht="25.5" x14ac:dyDescent="0.2">
      <c r="A40" t="str">
        <f ca="1">ORÇAMENTO!C40</f>
        <v>S</v>
      </c>
      <c r="B40">
        <f ca="1">ORÇAMENTO!D40</f>
        <v>0</v>
      </c>
      <c r="C40" s="114" t="str">
        <f t="shared" ca="1" si="1"/>
        <v/>
      </c>
      <c r="D40" s="117" t="str">
        <f ca="1">ORÇAMENTO!O40</f>
        <v>-</v>
      </c>
      <c r="E40" s="163" t="str">
        <f t="shared" ca="1" si="2"/>
        <v>(Código não identificado nas referências)</v>
      </c>
      <c r="F40" s="164" t="str" cm="1">
        <f t="array" aca="1" ref="F40" ca="1">IF(RegimeExecucao="Global","",ORÇAMENTO.Unidade)</f>
        <v/>
      </c>
      <c r="G40" s="122" t="str" cm="1">
        <f t="array" aca="1" ref="G40" ca="1">IF(RegimeExecucao="Global","",ORÇAMENTO!T40)</f>
        <v/>
      </c>
      <c r="H40" s="122" t="str" cm="1">
        <f t="array" aca="1" ref="H40" ca="1">IF(RegimeExecucao="Global","",ORÇAMENTO!W40)</f>
        <v/>
      </c>
      <c r="I40" s="125">
        <f ca="1">ORÇAMENTO!X40</f>
        <v>0</v>
      </c>
      <c r="J40" s="333" cm="1">
        <f t="array" aca="1" ref="J40" ca="1">IF($A40="S",IF(CAIXA.Modo,BM.AFAnterior,BM.MEDAnterior),IF(AND(RegimeExecucao="Global",$I40&gt;0,COUNTIF($AB$13:$AM$13,BM.medicao-1)&gt;0),M40/$I40*100,0))</f>
        <v>0</v>
      </c>
      <c r="K40" s="122">
        <f t="shared" ca="1" si="3"/>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ca="1" si="4"/>
        <v>0</v>
      </c>
      <c r="O40" s="125" cm="1">
        <f t="array" aca="1" ref="O40" ca="1">IF($A40="S",VTOTALBM,IF($A40=0,0,ROUND(SomaAgrupBM,15-13*ORÇAMENTO!$AF$11)))</f>
        <v>0</v>
      </c>
      <c r="Q40" s="337"/>
      <c r="R40" s="338"/>
      <c r="T40" s="117" t="str">
        <f t="shared" ca="1" si="5"/>
        <v/>
      </c>
      <c r="U40" s="163" t="str">
        <f t="shared" ca="1" si="6"/>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ht="38.25" x14ac:dyDescent="0.2">
      <c r="A41" t="str">
        <f ca="1">ORÇAMENTO!C41</f>
        <v>S</v>
      </c>
      <c r="B41">
        <f ca="1">ORÇAMENTO!D41</f>
        <v>0</v>
      </c>
      <c r="C41" s="114" t="str">
        <f t="shared" ca="1" si="1"/>
        <v/>
      </c>
      <c r="D41" s="117" t="str">
        <f ca="1">ORÇAMENTO!O41</f>
        <v>-</v>
      </c>
      <c r="E41" s="163" t="str">
        <f t="shared" ca="1" si="2"/>
        <v>(Código não identificado nas referências)</v>
      </c>
      <c r="F41" s="164" t="str" cm="1">
        <f t="array" aca="1" ref="F41" ca="1">IF(RegimeExecucao="Global","",ORÇAMENTO.Unidade)</f>
        <v/>
      </c>
      <c r="G41" s="122" t="str" cm="1">
        <f t="array" aca="1" ref="G41" ca="1">IF(RegimeExecucao="Global","",ORÇAMENTO!T41)</f>
        <v/>
      </c>
      <c r="H41" s="122" t="str" cm="1">
        <f t="array" aca="1" ref="H41" ca="1">IF(RegimeExecucao="Global","",ORÇAMENTO!W41)</f>
        <v/>
      </c>
      <c r="I41" s="125">
        <f ca="1">ORÇAMENTO!X41</f>
        <v>0</v>
      </c>
      <c r="J41" s="333" cm="1">
        <f t="array" aca="1" ref="J41" ca="1">IF($A41="S",IF(CAIXA.Modo,BM.AFAnterior,BM.MEDAnterior),IF(AND(RegimeExecucao="Global",$I41&gt;0,COUNTIF($AB$13:$AM$13,BM.medicao-1)&gt;0),M41/$I41*100,0))</f>
        <v>0</v>
      </c>
      <c r="K41" s="122">
        <f t="shared" ca="1" si="3"/>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ca="1" si="4"/>
        <v>0</v>
      </c>
      <c r="O41" s="125" cm="1">
        <f t="array" aca="1" ref="O41" ca="1">IF($A41="S",VTOTALBM,IF($A41=0,0,ROUND(SomaAgrupBM,15-13*ORÇAMENTO!$AF$11)))</f>
        <v>0</v>
      </c>
      <c r="Q41" s="337"/>
      <c r="R41" s="338"/>
      <c r="T41" s="117" t="str">
        <f t="shared" ca="1" si="5"/>
        <v/>
      </c>
      <c r="U41" s="163" t="str">
        <f t="shared" ca="1" si="6"/>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ht="25.5" x14ac:dyDescent="0.2">
      <c r="A42" t="str">
        <f ca="1">ORÇAMENTO!C42</f>
        <v>S</v>
      </c>
      <c r="B42">
        <f ca="1">ORÇAMENTO!D42</f>
        <v>0</v>
      </c>
      <c r="C42" s="114" t="str">
        <f t="shared" ca="1" si="1"/>
        <v/>
      </c>
      <c r="D42" s="117" t="str">
        <f ca="1">ORÇAMENTO!O42</f>
        <v>-</v>
      </c>
      <c r="E42" s="163" t="str">
        <f t="shared" ca="1" si="2"/>
        <v>(Código não identificado nas referências)</v>
      </c>
      <c r="F42" s="164" t="str" cm="1">
        <f t="array" aca="1" ref="F42" ca="1">IF(RegimeExecucao="Global","",ORÇAMENTO.Unidade)</f>
        <v/>
      </c>
      <c r="G42" s="122" t="str" cm="1">
        <f t="array" aca="1" ref="G42" ca="1">IF(RegimeExecucao="Global","",ORÇAMENTO!T42)</f>
        <v/>
      </c>
      <c r="H42" s="122" t="str" cm="1">
        <f t="array" aca="1" ref="H42" ca="1">IF(RegimeExecucao="Global","",ORÇAMENTO!W42)</f>
        <v/>
      </c>
      <c r="I42" s="125">
        <f ca="1">ORÇAMENTO!X42</f>
        <v>0</v>
      </c>
      <c r="J42" s="333" cm="1">
        <f t="array" aca="1" ref="J42" ca="1">IF($A42="S",IF(CAIXA.Modo,BM.AFAnterior,BM.MEDAnterior),IF(AND(RegimeExecucao="Global",$I42&gt;0,COUNTIF($AB$13:$AM$13,BM.medicao-1)&gt;0),M42/$I42*100,0))</f>
        <v>0</v>
      </c>
      <c r="K42" s="122">
        <f t="shared" ca="1" si="3"/>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t="shared" ca="1" si="4"/>
        <v>0</v>
      </c>
      <c r="O42" s="125" cm="1">
        <f t="array" aca="1" ref="O42" ca="1">IF($A42="S",VTOTALBM,IF($A42=0,0,ROUND(SomaAgrupBM,15-13*ORÇAMENTO!$AF$11)))</f>
        <v>0</v>
      </c>
      <c r="Q42" s="337"/>
      <c r="R42" s="338"/>
      <c r="T42" s="117" t="str">
        <f t="shared" ca="1" si="5"/>
        <v/>
      </c>
      <c r="U42" s="163" t="str">
        <f t="shared" ca="1" si="6"/>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ht="38.25" x14ac:dyDescent="0.2">
      <c r="A43" t="str">
        <f ca="1">ORÇAMENTO!C43</f>
        <v>S</v>
      </c>
      <c r="B43">
        <f ca="1">ORÇAMENTO!D43</f>
        <v>0</v>
      </c>
      <c r="C43" s="114" t="str">
        <f t="shared" ca="1" si="1"/>
        <v/>
      </c>
      <c r="D43" s="117" t="str">
        <f ca="1">ORÇAMENTO!O43</f>
        <v>-</v>
      </c>
      <c r="E43" s="163" t="str">
        <f t="shared" ca="1" si="2"/>
        <v>(Código não identificado nas referências)</v>
      </c>
      <c r="F43" s="164" t="str" cm="1">
        <f t="array" aca="1" ref="F43" ca="1">IF(RegimeExecucao="Global","",ORÇAMENTO.Unidade)</f>
        <v/>
      </c>
      <c r="G43" s="122" t="str" cm="1">
        <f t="array" aca="1" ref="G43" ca="1">IF(RegimeExecucao="Global","",ORÇAMENTO!T43)</f>
        <v/>
      </c>
      <c r="H43" s="122" t="str" cm="1">
        <f t="array" aca="1" ref="H43" ca="1">IF(RegimeExecucao="Global","",ORÇAMENTO!W43)</f>
        <v/>
      </c>
      <c r="I43" s="125">
        <f ca="1">ORÇAMENTO!X43</f>
        <v>0</v>
      </c>
      <c r="J43" s="333" cm="1">
        <f t="array" aca="1" ref="J43" ca="1">IF($A43="S",IF(CAIXA.Modo,BM.AFAnterior,BM.MEDAnterior),IF(AND(RegimeExecucao="Global",$I43&gt;0,COUNTIF($AB$13:$AM$13,BM.medicao-1)&gt;0),M43/$I43*100,0))</f>
        <v>0</v>
      </c>
      <c r="K43" s="122">
        <f t="shared" ca="1" si="3"/>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4"/>
        <v>0</v>
      </c>
      <c r="O43" s="125" cm="1">
        <f t="array" aca="1" ref="O43" ca="1">IF($A43="S",VTOTALBM,IF($A43=0,0,ROUND(SomaAgrupBM,15-13*ORÇAMENTO!$AF$11)))</f>
        <v>0</v>
      </c>
      <c r="Q43" s="337"/>
      <c r="R43" s="338"/>
      <c r="T43" s="117" t="str">
        <f t="shared" ca="1" si="5"/>
        <v/>
      </c>
      <c r="U43" s="163" t="str">
        <f t="shared" ca="1" si="6"/>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ht="25.5" x14ac:dyDescent="0.2">
      <c r="A44" t="str">
        <f ca="1">ORÇAMENTO!C44</f>
        <v>S</v>
      </c>
      <c r="B44">
        <f ca="1">ORÇAMENTO!D44</f>
        <v>0</v>
      </c>
      <c r="C44" s="114" t="str">
        <f t="shared" ca="1" si="1"/>
        <v/>
      </c>
      <c r="D44" s="117" t="str">
        <f ca="1">ORÇAMENTO!O44</f>
        <v>-</v>
      </c>
      <c r="E44" s="163" t="str">
        <f t="shared" ca="1" si="2"/>
        <v>(Código não identificado nas referências)</v>
      </c>
      <c r="F44" s="164" t="str" cm="1">
        <f t="array" aca="1" ref="F44" ca="1">IF(RegimeExecucao="Global","",ORÇAMENTO.Unidade)</f>
        <v/>
      </c>
      <c r="G44" s="122" t="str" cm="1">
        <f t="array" aca="1" ref="G44" ca="1">IF(RegimeExecucao="Global","",ORÇAMENTO!T44)</f>
        <v/>
      </c>
      <c r="H44" s="122" t="str" cm="1">
        <f t="array" aca="1" ref="H44" ca="1">IF(RegimeExecucao="Global","",ORÇAMENTO!W44)</f>
        <v/>
      </c>
      <c r="I44" s="125">
        <f ca="1">ORÇAMENTO!X44</f>
        <v>0</v>
      </c>
      <c r="J44" s="333" cm="1">
        <f t="array" aca="1" ref="J44" ca="1">IF($A44="S",IF(CAIXA.Modo,BM.AFAnterior,BM.MEDAnterior),IF(AND(RegimeExecucao="Global",$I44&gt;0,COUNTIF($AB$13:$AM$13,BM.medicao-1)&gt;0),M44/$I44*100,0))</f>
        <v>0</v>
      </c>
      <c r="K44" s="122">
        <f t="shared" ca="1" si="3"/>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4"/>
        <v>0</v>
      </c>
      <c r="O44" s="125" cm="1">
        <f t="array" aca="1" ref="O44" ca="1">IF($A44="S",VTOTALBM,IF($A44=0,0,ROUND(SomaAgrupBM,15-13*ORÇAMENTO!$AF$11)))</f>
        <v>0</v>
      </c>
      <c r="Q44" s="337"/>
      <c r="R44" s="338"/>
      <c r="T44" s="117" t="str">
        <f t="shared" ca="1" si="5"/>
        <v/>
      </c>
      <c r="U44" s="163" t="str">
        <f t="shared" ca="1" si="6"/>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x14ac:dyDescent="0.2">
      <c r="A45">
        <f ca="1">ORÇAMENTO!C45</f>
        <v>2</v>
      </c>
      <c r="B45">
        <f ca="1">ORÇAMENTO!D45</f>
        <v>4</v>
      </c>
      <c r="C45" s="114" t="str">
        <f t="shared" ca="1" si="1"/>
        <v>F</v>
      </c>
      <c r="D45" s="117" t="str">
        <f ca="1">ORÇAMENTO!O45</f>
        <v>3.3.</v>
      </c>
      <c r="E45" s="163" t="str">
        <f t="shared" si="2"/>
        <v>IMPERMEABILIZAÇÃO</v>
      </c>
      <c r="F45" s="164" t="str" cm="1">
        <f t="array" aca="1" ref="F45" ca="1">IF(RegimeExecucao="Global","",ORÇAMENTO.Unidade)</f>
        <v/>
      </c>
      <c r="G45" s="122" t="str" cm="1">
        <f t="array" aca="1" ref="G45" ca="1">IF(RegimeExecucao="Global","",ORÇAMENTO!T45)</f>
        <v/>
      </c>
      <c r="H45" s="122" t="str" cm="1">
        <f t="array" aca="1" ref="H45" ca="1">IF(RegimeExecucao="Global","",ORÇAMENTO!W45)</f>
        <v/>
      </c>
      <c r="I45" s="125">
        <f ca="1">ORÇAMENTO!X45</f>
        <v>0</v>
      </c>
      <c r="J45" s="333" cm="1">
        <f t="array" aca="1" ref="J45" ca="1">IF($A45="S",IF(CAIXA.Modo,BM.AFAnterior,BM.MEDAnterior),IF(AND(RegimeExecucao="Global",$I45&gt;0,COUNTIF($AB$13:$AM$13,BM.medicao-1)&gt;0),M45/$I45*100,0))</f>
        <v>0</v>
      </c>
      <c r="K45" s="122">
        <f t="shared" ca="1" si="3"/>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4"/>
        <v>0</v>
      </c>
      <c r="O45" s="125" cm="1">
        <f t="array" aca="1" ref="O45" ca="1">IF($A45="S",VTOTALBM,IF($A45=0,0,ROUND(SomaAgrupBM,15-13*ORÇAMENTO!$AF$11)))</f>
        <v>0</v>
      </c>
      <c r="Q45" s="337"/>
      <c r="R45" s="338"/>
      <c r="T45" s="117" t="str">
        <f t="shared" ca="1" si="5"/>
        <v/>
      </c>
      <c r="U45" s="163" t="str">
        <f t="shared" ca="1" si="6"/>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ht="38.25" x14ac:dyDescent="0.2">
      <c r="A46" t="str">
        <f ca="1">ORÇAMENTO!C46</f>
        <v>S</v>
      </c>
      <c r="B46">
        <f ca="1">ORÇAMENTO!D46</f>
        <v>0</v>
      </c>
      <c r="C46" s="114" t="str">
        <f t="shared" ca="1" si="1"/>
        <v/>
      </c>
      <c r="D46" s="117" t="str">
        <f ca="1">ORÇAMENTO!O46</f>
        <v>-</v>
      </c>
      <c r="E46" s="163" t="str">
        <f t="shared" ca="1" si="2"/>
        <v>(Código não identificado nas referências)</v>
      </c>
      <c r="F46" s="164" t="str" cm="1">
        <f t="array" aca="1" ref="F46" ca="1">IF(RegimeExecucao="Global","",ORÇAMENTO.Unidade)</f>
        <v/>
      </c>
      <c r="G46" s="122" t="str" cm="1">
        <f t="array" aca="1" ref="G46" ca="1">IF(RegimeExecucao="Global","",ORÇAMENTO!T46)</f>
        <v/>
      </c>
      <c r="H46" s="122" t="str" cm="1">
        <f t="array" aca="1" ref="H46" ca="1">IF(RegimeExecucao="Global","",ORÇAMENTO!W46)</f>
        <v/>
      </c>
      <c r="I46" s="125">
        <f ca="1">ORÇAMENTO!X46</f>
        <v>0</v>
      </c>
      <c r="J46" s="333" cm="1">
        <f t="array" aca="1" ref="J46" ca="1">IF($A46="S",IF(CAIXA.Modo,BM.AFAnterior,BM.MEDAnterior),IF(AND(RegimeExecucao="Global",$I46&gt;0,COUNTIF($AB$13:$AM$13,BM.medicao-1)&gt;0),M46/$I46*100,0))</f>
        <v>0</v>
      </c>
      <c r="K46" s="122">
        <f t="shared" ca="1" si="3"/>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t="shared" ca="1" si="4"/>
        <v>0</v>
      </c>
      <c r="O46" s="125" cm="1">
        <f t="array" aca="1" ref="O46" ca="1">IF($A46="S",VTOTALBM,IF($A46=0,0,ROUND(SomaAgrupBM,15-13*ORÇAMENTO!$AF$11)))</f>
        <v>0</v>
      </c>
      <c r="Q46" s="337"/>
      <c r="R46" s="338"/>
      <c r="T46" s="117" t="str">
        <f t="shared" ca="1" si="5"/>
        <v/>
      </c>
      <c r="U46" s="163" t="str">
        <f t="shared" ca="1" si="6"/>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ht="38.25" x14ac:dyDescent="0.2">
      <c r="A47" t="str">
        <f ca="1">ORÇAMENTO!C47</f>
        <v>S</v>
      </c>
      <c r="B47">
        <f ca="1">ORÇAMENTO!D47</f>
        <v>0</v>
      </c>
      <c r="C47" s="114" t="str">
        <f t="shared" ca="1" si="1"/>
        <v/>
      </c>
      <c r="D47" s="117" t="str">
        <f ca="1">ORÇAMENTO!O47</f>
        <v>-</v>
      </c>
      <c r="E47" s="163" t="str">
        <f t="shared" ca="1" si="2"/>
        <v>(Código não identificado nas referências)</v>
      </c>
      <c r="F47" s="164" t="str" cm="1">
        <f t="array" aca="1" ref="F47" ca="1">IF(RegimeExecucao="Global","",ORÇAMENTO.Unidade)</f>
        <v/>
      </c>
      <c r="G47" s="122" t="str" cm="1">
        <f t="array" aca="1" ref="G47" ca="1">IF(RegimeExecucao="Global","",ORÇAMENTO!T47)</f>
        <v/>
      </c>
      <c r="H47" s="122" t="str" cm="1">
        <f t="array" aca="1" ref="H47" ca="1">IF(RegimeExecucao="Global","",ORÇAMENTO!W47)</f>
        <v/>
      </c>
      <c r="I47" s="125">
        <f ca="1">ORÇAMENTO!X47</f>
        <v>0</v>
      </c>
      <c r="J47" s="333" cm="1">
        <f t="array" aca="1" ref="J47" ca="1">IF($A47="S",IF(CAIXA.Modo,BM.AFAnterior,BM.MEDAnterior),IF(AND(RegimeExecucao="Global",$I47&gt;0,COUNTIF($AB$13:$AM$13,BM.medicao-1)&gt;0),M47/$I47*100,0))</f>
        <v>0</v>
      </c>
      <c r="K47" s="122">
        <f t="shared" ca="1" si="3"/>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t="shared" ca="1" si="4"/>
        <v>0</v>
      </c>
      <c r="O47" s="125" cm="1">
        <f t="array" aca="1" ref="O47" ca="1">IF($A47="S",VTOTALBM,IF($A47=0,0,ROUND(SomaAgrupBM,15-13*ORÇAMENTO!$AF$11)))</f>
        <v>0</v>
      </c>
      <c r="Q47" s="337"/>
      <c r="R47" s="338"/>
      <c r="T47" s="117" t="str">
        <f t="shared" ca="1" si="5"/>
        <v/>
      </c>
      <c r="U47" s="163" t="str">
        <f t="shared" ca="1" si="6"/>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ht="25.5" x14ac:dyDescent="0.2">
      <c r="A48" t="str">
        <f ca="1">ORÇAMENTO!C48</f>
        <v>S</v>
      </c>
      <c r="B48">
        <f ca="1">ORÇAMENTO!D48</f>
        <v>0</v>
      </c>
      <c r="C48" s="114" t="str">
        <f t="shared" ca="1" si="1"/>
        <v/>
      </c>
      <c r="D48" s="117" t="str">
        <f ca="1">ORÇAMENTO!O48</f>
        <v>-</v>
      </c>
      <c r="E48" s="163" t="str">
        <f t="shared" ca="1" si="2"/>
        <v>(Código não identificado nas referências)</v>
      </c>
      <c r="F48" s="164" t="str" cm="1">
        <f t="array" aca="1" ref="F48" ca="1">IF(RegimeExecucao="Global","",ORÇAMENTO.Unidade)</f>
        <v/>
      </c>
      <c r="G48" s="122" t="str" cm="1">
        <f t="array" aca="1" ref="G48" ca="1">IF(RegimeExecucao="Global","",ORÇAMENTO!T48)</f>
        <v/>
      </c>
      <c r="H48" s="122" t="str" cm="1">
        <f t="array" aca="1" ref="H48" ca="1">IF(RegimeExecucao="Global","",ORÇAMENTO!W48)</f>
        <v/>
      </c>
      <c r="I48" s="125">
        <f ca="1">ORÇAMENTO!X48</f>
        <v>0</v>
      </c>
      <c r="J48" s="333" cm="1">
        <f t="array" aca="1" ref="J48" ca="1">IF($A48="S",IF(CAIXA.Modo,BM.AFAnterior,BM.MEDAnterior),IF(AND(RegimeExecucao="Global",$I48&gt;0,COUNTIF($AB$13:$AM$13,BM.medicao-1)&gt;0),M48/$I48*100,0))</f>
        <v>0</v>
      </c>
      <c r="K48" s="122">
        <f t="shared" ca="1" si="3"/>
        <v>0</v>
      </c>
      <c r="L48" s="334" cm="1">
        <f t="array" aca="1" ref="L48" ca="1">IF($A48="S",IF(CAIXA.Modo,BM.AFAcumulado,BM.MEDAcumulado),IF(AND(RegimeExecucao="Global",$I48&gt;0,COUNTIF($AB$13:$AM$13,BM.medicao)&gt;0),O48/$I48*100,0))</f>
        <v>0</v>
      </c>
      <c r="M48" s="335" cm="1">
        <f t="array" aca="1" ref="M48" ca="1">IF($A48="S",VTOTALBM,IF($A48=0,0,ROUND(SomaAgrupBM,15-13*ORÇAMENTO!$AF$11)))</f>
        <v>0</v>
      </c>
      <c r="N48" s="336">
        <f t="shared" ca="1" si="4"/>
        <v>0</v>
      </c>
      <c r="O48" s="125" cm="1">
        <f t="array" aca="1" ref="O48" ca="1">IF($A48="S",VTOTALBM,IF($A48=0,0,ROUND(SomaAgrupBM,15-13*ORÇAMENTO!$AF$11)))</f>
        <v>0</v>
      </c>
      <c r="Q48" s="337"/>
      <c r="R48" s="338"/>
      <c r="T48" s="117" t="str">
        <f t="shared" ca="1" si="5"/>
        <v/>
      </c>
      <c r="U48" s="163" t="str">
        <f t="shared" ca="1" si="6"/>
        <v/>
      </c>
      <c r="V48" s="164" t="str" cm="1">
        <f t="array" aca="1" ref="V48" ca="1">IF(AND($W48&gt;0,RegimeExecucao="Unitário"),$F48,"")</f>
        <v/>
      </c>
      <c r="W48" s="454" cm="1">
        <f t="array" aca="1" ref="W48" ca="1">IF($Y48&gt;0,CHOOSE(MATCH(RegimeExecucao,{"Unitário","Global"},0),IF($A48="S",$Y48/$X48,""),($Y48/$X48)*100),0)</f>
        <v>0</v>
      </c>
      <c r="X48" s="339" t="str" cm="1">
        <f t="array" aca="1" ref="X48" ca="1">IF($Y48&gt;0,CHOOSE(MATCH(RegimeExecucao,{"Unitário","Global"},0),IF($A48="S",ROUND($H48,ORÇAMENTO!$AF$10),""),ROUND($I48,ORÇAMENTO!$AF$11)),"")</f>
        <v/>
      </c>
      <c r="Y48" s="339">
        <f t="shared" ca="1" si="7"/>
        <v>0</v>
      </c>
      <c r="Z48" s="473"/>
      <c r="AB48" s="337"/>
      <c r="AC48" s="437"/>
      <c r="AD48" s="437"/>
      <c r="AE48" s="437"/>
      <c r="AF48" s="437"/>
      <c r="AG48" s="437"/>
      <c r="AH48" s="437"/>
      <c r="AI48" s="437"/>
      <c r="AJ48" s="437"/>
      <c r="AK48" s="437"/>
      <c r="AL48" s="437"/>
      <c r="AM48" s="338"/>
      <c r="AO48"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x14ac:dyDescent="0.2">
      <c r="A49">
        <f ca="1">ORÇAMENTO!C49</f>
        <v>1</v>
      </c>
      <c r="B49">
        <f ca="1">ORÇAMENTO!D49</f>
        <v>12</v>
      </c>
      <c r="C49" s="114" t="str">
        <f t="shared" ca="1" si="1"/>
        <v>F</v>
      </c>
      <c r="D49" s="117" t="str">
        <f ca="1">ORÇAMENTO!O49</f>
        <v>4.</v>
      </c>
      <c r="E49" s="163" t="str">
        <f t="shared" si="2"/>
        <v>SUPRAESTRUTURA</v>
      </c>
      <c r="F49" s="164" t="str" cm="1">
        <f t="array" aca="1" ref="F49" ca="1">IF(RegimeExecucao="Global","",ORÇAMENTO.Unidade)</f>
        <v/>
      </c>
      <c r="G49" s="122" t="str" cm="1">
        <f t="array" aca="1" ref="G49" ca="1">IF(RegimeExecucao="Global","",ORÇAMENTO!T49)</f>
        <v/>
      </c>
      <c r="H49" s="122" t="str" cm="1">
        <f t="array" aca="1" ref="H49" ca="1">IF(RegimeExecucao="Global","",ORÇAMENTO!W49)</f>
        <v/>
      </c>
      <c r="I49" s="125">
        <f ca="1">ORÇAMENTO!X49</f>
        <v>0</v>
      </c>
      <c r="J49" s="333" cm="1">
        <f t="array" aca="1" ref="J49" ca="1">IF($A49="S",IF(CAIXA.Modo,BM.AFAnterior,BM.MEDAnterior),IF(AND(RegimeExecucao="Global",$I49&gt;0,COUNTIF($AB$13:$AM$13,BM.medicao-1)&gt;0),M49/$I49*100,0))</f>
        <v>0</v>
      </c>
      <c r="K49" s="122">
        <f t="shared" ca="1" si="3"/>
        <v>0</v>
      </c>
      <c r="L49" s="334" cm="1">
        <f t="array" aca="1" ref="L49" ca="1">IF($A49="S",IF(CAIXA.Modo,BM.AFAcumulado,BM.MEDAcumulado),IF(AND(RegimeExecucao="Global",$I49&gt;0,COUNTIF($AB$13:$AM$13,BM.medicao)&gt;0),O49/$I49*100,0))</f>
        <v>0</v>
      </c>
      <c r="M49" s="335" cm="1">
        <f t="array" aca="1" ref="M49" ca="1">IF($A49="S",VTOTALBM,IF($A49=0,0,ROUND(SomaAgrupBM,15-13*ORÇAMENTO!$AF$11)))</f>
        <v>0</v>
      </c>
      <c r="N49" s="336">
        <f t="shared" ca="1" si="4"/>
        <v>0</v>
      </c>
      <c r="O49" s="125" cm="1">
        <f t="array" aca="1" ref="O49" ca="1">IF($A49="S",VTOTALBM,IF($A49=0,0,ROUND(SomaAgrupBM,15-13*ORÇAMENTO!$AF$11)))</f>
        <v>0</v>
      </c>
      <c r="Q49" s="337"/>
      <c r="R49" s="338"/>
      <c r="T49" s="117" t="str">
        <f t="shared" ca="1" si="5"/>
        <v/>
      </c>
      <c r="U49" s="163" t="str">
        <f t="shared" ca="1" si="6"/>
        <v/>
      </c>
      <c r="V49" s="164" t="str" cm="1">
        <f t="array" aca="1" ref="V49" ca="1">IF(AND($W49&gt;0,RegimeExecucao="Unitário"),$F49,"")</f>
        <v/>
      </c>
      <c r="W49" s="454" cm="1">
        <f t="array" aca="1" ref="W49" ca="1">IF($Y49&gt;0,CHOOSE(MATCH(RegimeExecucao,{"Unitário","Global"},0),IF($A49="S",$Y49/$X49,""),($Y49/$X49)*100),0)</f>
        <v>0</v>
      </c>
      <c r="X49" s="339" t="str" cm="1">
        <f t="array" aca="1" ref="X49" ca="1">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x14ac:dyDescent="0.2">
      <c r="A50">
        <f ca="1">ORÇAMENTO!C50</f>
        <v>2</v>
      </c>
      <c r="B50">
        <f ca="1">ORÇAMENTO!D50</f>
        <v>11</v>
      </c>
      <c r="C50" s="114" t="str">
        <f t="shared" ca="1" si="1"/>
        <v>F</v>
      </c>
      <c r="D50" s="117" t="str">
        <f ca="1">ORÇAMENTO!O50</f>
        <v>4.1.</v>
      </c>
      <c r="E50" s="163" t="str">
        <f t="shared" si="2"/>
        <v>PILARES, VIGAS E LAJES</v>
      </c>
      <c r="F50" s="164" t="str" cm="1">
        <f t="array" aca="1" ref="F50" ca="1">IF(RegimeExecucao="Global","",ORÇAMENTO.Unidade)</f>
        <v/>
      </c>
      <c r="G50" s="122" t="str" cm="1">
        <f t="array" aca="1" ref="G50" ca="1">IF(RegimeExecucao="Global","",ORÇAMENTO!T50)</f>
        <v/>
      </c>
      <c r="H50" s="122" t="str" cm="1">
        <f t="array" aca="1" ref="H50" ca="1">IF(RegimeExecucao="Global","",ORÇAMENTO!W50)</f>
        <v/>
      </c>
      <c r="I50" s="125">
        <f ca="1">ORÇAMENTO!X50</f>
        <v>0</v>
      </c>
      <c r="J50" s="333" cm="1">
        <f t="array" aca="1" ref="J50" ca="1">IF($A50="S",IF(CAIXA.Modo,BM.AFAnterior,BM.MEDAnterior),IF(AND(RegimeExecucao="Global",$I50&gt;0,COUNTIF($AB$13:$AM$13,BM.medicao-1)&gt;0),M50/$I50*100,0))</f>
        <v>0</v>
      </c>
      <c r="K50" s="122">
        <f t="shared" ca="1" si="3"/>
        <v>0</v>
      </c>
      <c r="L50" s="334" cm="1">
        <f t="array" aca="1" ref="L50" ca="1">IF($A50="S",IF(CAIXA.Modo,BM.AFAcumulado,BM.MEDAcumulado),IF(AND(RegimeExecucao="Global",$I50&gt;0,COUNTIF($AB$13:$AM$13,BM.medicao)&gt;0),O50/$I50*100,0))</f>
        <v>0</v>
      </c>
      <c r="M50" s="335" cm="1">
        <f t="array" aca="1" ref="M50" ca="1">IF($A50="S",VTOTALBM,IF($A50=0,0,ROUND(SomaAgrupBM,15-13*ORÇAMENTO!$AF$11)))</f>
        <v>0</v>
      </c>
      <c r="N50" s="336">
        <f t="shared" ca="1" si="4"/>
        <v>0</v>
      </c>
      <c r="O50" s="125" cm="1">
        <f t="array" aca="1" ref="O50" ca="1">IF($A50="S",VTOTALBM,IF($A50=0,0,ROUND(SomaAgrupBM,15-13*ORÇAMENTO!$AF$11)))</f>
        <v>0</v>
      </c>
      <c r="Q50" s="337"/>
      <c r="R50" s="338"/>
      <c r="T50" s="117" t="str">
        <f t="shared" ca="1" si="5"/>
        <v/>
      </c>
      <c r="U50" s="163" t="str">
        <f t="shared" ca="1" si="6"/>
        <v/>
      </c>
      <c r="V50" s="164" t="str" cm="1">
        <f t="array" aca="1" ref="V50" ca="1">IF(AND($W50&gt;0,RegimeExecucao="Unitário"),$F50,"")</f>
        <v/>
      </c>
      <c r="W50" s="454" cm="1">
        <f t="array" aca="1" ref="W50" ca="1">IF($Y50&gt;0,CHOOSE(MATCH(RegimeExecucao,{"Unitário","Global"},0),IF($A50="S",$Y50/$X50,""),($Y50/$X50)*100),0)</f>
        <v>0</v>
      </c>
      <c r="X50" s="339" t="str" cm="1">
        <f t="array" aca="1" ref="X50" ca="1">IF($Y50&gt;0,CHOOSE(MATCH(RegimeExecucao,{"Unitário","Global"},0),IF($A50="S",ROUND($H50,ORÇAMENTO!$AF$10),""),ROUND($I50,ORÇAMENTO!$AF$11)),"")</f>
        <v/>
      </c>
      <c r="Y50" s="339">
        <f t="shared" ca="1" si="7"/>
        <v>0</v>
      </c>
      <c r="Z50" s="473"/>
      <c r="AB50" s="337"/>
      <c r="AC50" s="437"/>
      <c r="AD50" s="437"/>
      <c r="AE50" s="437"/>
      <c r="AF50" s="437"/>
      <c r="AG50" s="437"/>
      <c r="AH50" s="437"/>
      <c r="AI50" s="437"/>
      <c r="AJ50" s="437"/>
      <c r="AK50" s="437"/>
      <c r="AL50" s="437"/>
      <c r="AM50" s="338"/>
      <c r="AO50"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ht="51" x14ac:dyDescent="0.2">
      <c r="A51" t="str">
        <f ca="1">ORÇAMENTO!C51</f>
        <v>S</v>
      </c>
      <c r="B51">
        <f ca="1">ORÇAMENTO!D51</f>
        <v>0</v>
      </c>
      <c r="C51" s="114" t="str">
        <f t="shared" ca="1" si="1"/>
        <v/>
      </c>
      <c r="D51" s="117" t="str">
        <f ca="1">ORÇAMENTO!O51</f>
        <v>-</v>
      </c>
      <c r="E51" s="163" t="str">
        <f t="shared" ca="1" si="2"/>
        <v>(Código não identificado nas referências)</v>
      </c>
      <c r="F51" s="164" t="str" cm="1">
        <f t="array" aca="1" ref="F51" ca="1">IF(RegimeExecucao="Global","",ORÇAMENTO.Unidade)</f>
        <v/>
      </c>
      <c r="G51" s="122" t="str" cm="1">
        <f t="array" aca="1" ref="G51" ca="1">IF(RegimeExecucao="Global","",ORÇAMENTO!T51)</f>
        <v/>
      </c>
      <c r="H51" s="122" t="str" cm="1">
        <f t="array" aca="1" ref="H51" ca="1">IF(RegimeExecucao="Global","",ORÇAMENTO!W51)</f>
        <v/>
      </c>
      <c r="I51" s="125">
        <f ca="1">ORÇAMENTO!X51</f>
        <v>0</v>
      </c>
      <c r="J51" s="333" cm="1">
        <f t="array" aca="1" ref="J51" ca="1">IF($A51="S",IF(CAIXA.Modo,BM.AFAnterior,BM.MEDAnterior),IF(AND(RegimeExecucao="Global",$I51&gt;0,COUNTIF($AB$13:$AM$13,BM.medicao-1)&gt;0),M51/$I51*100,0))</f>
        <v>0</v>
      </c>
      <c r="K51" s="122">
        <f t="shared" ca="1" si="3"/>
        <v>0</v>
      </c>
      <c r="L51" s="334" cm="1">
        <f t="array" aca="1" ref="L51" ca="1">IF($A51="S",IF(CAIXA.Modo,BM.AFAcumulado,BM.MEDAcumulado),IF(AND(RegimeExecucao="Global",$I51&gt;0,COUNTIF($AB$13:$AM$13,BM.medicao)&gt;0),O51/$I51*100,0))</f>
        <v>0</v>
      </c>
      <c r="M51" s="335" cm="1">
        <f t="array" aca="1" ref="M51" ca="1">IF($A51="S",VTOTALBM,IF($A51=0,0,ROUND(SomaAgrupBM,15-13*ORÇAMENTO!$AF$11)))</f>
        <v>0</v>
      </c>
      <c r="N51" s="336">
        <f t="shared" ca="1" si="4"/>
        <v>0</v>
      </c>
      <c r="O51" s="125" cm="1">
        <f t="array" aca="1" ref="O51" ca="1">IF($A51="S",VTOTALBM,IF($A51=0,0,ROUND(SomaAgrupBM,15-13*ORÇAMENTO!$AF$11)))</f>
        <v>0</v>
      </c>
      <c r="Q51" s="337"/>
      <c r="R51" s="338"/>
      <c r="T51" s="117" t="str">
        <f t="shared" ca="1" si="5"/>
        <v/>
      </c>
      <c r="U51" s="163" t="str">
        <f t="shared" ca="1" si="6"/>
        <v/>
      </c>
      <c r="V51" s="164" t="str" cm="1">
        <f t="array" aca="1" ref="V51" ca="1">IF(AND($W51&gt;0,RegimeExecucao="Unitário"),$F51,"")</f>
        <v/>
      </c>
      <c r="W51" s="454" cm="1">
        <f t="array" aca="1" ref="W51" ca="1">IF($Y51&gt;0,CHOOSE(MATCH(RegimeExecucao,{"Unitário","Global"},0),IF($A51="S",$Y51/$X51,""),($Y51/$X51)*100),0)</f>
        <v>0</v>
      </c>
      <c r="X51" s="339" t="str" cm="1">
        <f t="array" aca="1" ref="X51" ca="1">IF($Y51&gt;0,CHOOSE(MATCH(RegimeExecucao,{"Unitário","Global"},0),IF($A51="S",ROUND($H51,ORÇAMENTO!$AF$10),""),ROUND($I51,ORÇAMENTO!$AF$11)),"")</f>
        <v/>
      </c>
      <c r="Y51" s="339">
        <f t="shared" ca="1" si="7"/>
        <v>0</v>
      </c>
      <c r="Z51" s="473"/>
      <c r="AB51" s="337"/>
      <c r="AC51" s="437"/>
      <c r="AD51" s="437"/>
      <c r="AE51" s="437"/>
      <c r="AF51" s="437"/>
      <c r="AG51" s="437"/>
      <c r="AH51" s="437"/>
      <c r="AI51" s="437"/>
      <c r="AJ51" s="437"/>
      <c r="AK51" s="437"/>
      <c r="AL51" s="437"/>
      <c r="AM51" s="338"/>
      <c r="AO51"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ht="38.25" x14ac:dyDescent="0.2">
      <c r="A52" t="str">
        <f ca="1">ORÇAMENTO!C52</f>
        <v>S</v>
      </c>
      <c r="B52">
        <f ca="1">ORÇAMENTO!D52</f>
        <v>0</v>
      </c>
      <c r="C52" s="114" t="str">
        <f t="shared" ca="1" si="1"/>
        <v/>
      </c>
      <c r="D52" s="117" t="str">
        <f ca="1">ORÇAMENTO!O52</f>
        <v>-</v>
      </c>
      <c r="E52" s="163" t="str">
        <f t="shared" ca="1" si="2"/>
        <v>(Código não identificado nas referências)</v>
      </c>
      <c r="F52" s="164" t="str" cm="1">
        <f t="array" aca="1" ref="F52" ca="1">IF(RegimeExecucao="Global","",ORÇAMENTO.Unidade)</f>
        <v/>
      </c>
      <c r="G52" s="122" t="str" cm="1">
        <f t="array" aca="1" ref="G52" ca="1">IF(RegimeExecucao="Global","",ORÇAMENTO!T52)</f>
        <v/>
      </c>
      <c r="H52" s="122" t="str" cm="1">
        <f t="array" aca="1" ref="H52" ca="1">IF(RegimeExecucao="Global","",ORÇAMENTO!W52)</f>
        <v/>
      </c>
      <c r="I52" s="125">
        <f ca="1">ORÇAMENTO!X52</f>
        <v>0</v>
      </c>
      <c r="J52" s="333" cm="1">
        <f t="array" aca="1" ref="J52" ca="1">IF($A52="S",IF(CAIXA.Modo,BM.AFAnterior,BM.MEDAnterior),IF(AND(RegimeExecucao="Global",$I52&gt;0,COUNTIF($AB$13:$AM$13,BM.medicao-1)&gt;0),M52/$I52*100,0))</f>
        <v>0</v>
      </c>
      <c r="K52" s="122">
        <f t="shared" ca="1" si="3"/>
        <v>0</v>
      </c>
      <c r="L52" s="334" cm="1">
        <f t="array" aca="1" ref="L52" ca="1">IF($A52="S",IF(CAIXA.Modo,BM.AFAcumulado,BM.MEDAcumulado),IF(AND(RegimeExecucao="Global",$I52&gt;0,COUNTIF($AB$13:$AM$13,BM.medicao)&gt;0),O52/$I52*100,0))</f>
        <v>0</v>
      </c>
      <c r="M52" s="335" cm="1">
        <f t="array" aca="1" ref="M52" ca="1">IF($A52="S",VTOTALBM,IF($A52=0,0,ROUND(SomaAgrupBM,15-13*ORÇAMENTO!$AF$11)))</f>
        <v>0</v>
      </c>
      <c r="N52" s="336">
        <f t="shared" ca="1" si="4"/>
        <v>0</v>
      </c>
      <c r="O52" s="125" cm="1">
        <f t="array" aca="1" ref="O52" ca="1">IF($A52="S",VTOTALBM,IF($A52=0,0,ROUND(SomaAgrupBM,15-13*ORÇAMENTO!$AF$11)))</f>
        <v>0</v>
      </c>
      <c r="Q52" s="337"/>
      <c r="R52" s="338"/>
      <c r="T52" s="117" t="str">
        <f t="shared" ca="1" si="5"/>
        <v/>
      </c>
      <c r="U52" s="163" t="str">
        <f t="shared" ca="1" si="6"/>
        <v/>
      </c>
      <c r="V52" s="164" t="str" cm="1">
        <f t="array" aca="1" ref="V52" ca="1">IF(AND($W52&gt;0,RegimeExecucao="Unitário"),$F52,"")</f>
        <v/>
      </c>
      <c r="W52" s="454" cm="1">
        <f t="array" aca="1" ref="W52" ca="1">IF($Y52&gt;0,CHOOSE(MATCH(RegimeExecucao,{"Unitário","Global"},0),IF($A52="S",$Y52/$X52,""),($Y52/$X52)*100),0)</f>
        <v>0</v>
      </c>
      <c r="X52" s="339" t="str" cm="1">
        <f t="array" aca="1" ref="X52" ca="1">IF($Y52&gt;0,CHOOSE(MATCH(RegimeExecucao,{"Unitário","Global"},0),IF($A52="S",ROUND($H52,ORÇAMENTO!$AF$10),""),ROUND($I52,ORÇAMENTO!$AF$11)),"")</f>
        <v/>
      </c>
      <c r="Y52" s="339">
        <f t="shared" ca="1" si="7"/>
        <v>0</v>
      </c>
      <c r="Z52" s="473"/>
      <c r="AB52" s="337"/>
      <c r="AC52" s="437"/>
      <c r="AD52" s="437"/>
      <c r="AE52" s="437"/>
      <c r="AF52" s="437"/>
      <c r="AG52" s="437"/>
      <c r="AH52" s="437"/>
      <c r="AI52" s="437"/>
      <c r="AJ52" s="437"/>
      <c r="AK52" s="437"/>
      <c r="AL52" s="437"/>
      <c r="AM52" s="338"/>
      <c r="AO52"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ht="38.25" x14ac:dyDescent="0.2">
      <c r="A53" t="str">
        <f ca="1">ORÇAMENTO!C53</f>
        <v>S</v>
      </c>
      <c r="B53">
        <f ca="1">ORÇAMENTO!D53</f>
        <v>0</v>
      </c>
      <c r="C53" s="114" t="str">
        <f t="shared" ca="1" si="1"/>
        <v/>
      </c>
      <c r="D53" s="117" t="str">
        <f ca="1">ORÇAMENTO!O53</f>
        <v>-</v>
      </c>
      <c r="E53" s="163" t="str">
        <f t="shared" ca="1" si="2"/>
        <v>(Código não identificado nas referências)</v>
      </c>
      <c r="F53" s="164" t="str" cm="1">
        <f t="array" aca="1" ref="F53" ca="1">IF(RegimeExecucao="Global","",ORÇAMENTO.Unidade)</f>
        <v/>
      </c>
      <c r="G53" s="122" t="str" cm="1">
        <f t="array" aca="1" ref="G53" ca="1">IF(RegimeExecucao="Global","",ORÇAMENTO!T53)</f>
        <v/>
      </c>
      <c r="H53" s="122" t="str" cm="1">
        <f t="array" aca="1" ref="H53" ca="1">IF(RegimeExecucao="Global","",ORÇAMENTO!W53)</f>
        <v/>
      </c>
      <c r="I53" s="125">
        <f ca="1">ORÇAMENTO!X53</f>
        <v>0</v>
      </c>
      <c r="J53" s="333" cm="1">
        <f t="array" aca="1" ref="J53" ca="1">IF($A53="S",IF(CAIXA.Modo,BM.AFAnterior,BM.MEDAnterior),IF(AND(RegimeExecucao="Global",$I53&gt;0,COUNTIF($AB$13:$AM$13,BM.medicao-1)&gt;0),M53/$I53*100,0))</f>
        <v>0</v>
      </c>
      <c r="K53" s="122">
        <f t="shared" ca="1" si="3"/>
        <v>0</v>
      </c>
      <c r="L53" s="334" cm="1">
        <f t="array" aca="1" ref="L53" ca="1">IF($A53="S",IF(CAIXA.Modo,BM.AFAcumulado,BM.MEDAcumulado),IF(AND(RegimeExecucao="Global",$I53&gt;0,COUNTIF($AB$13:$AM$13,BM.medicao)&gt;0),O53/$I53*100,0))</f>
        <v>0</v>
      </c>
      <c r="M53" s="335" cm="1">
        <f t="array" aca="1" ref="M53" ca="1">IF($A53="S",VTOTALBM,IF($A53=0,0,ROUND(SomaAgrupBM,15-13*ORÇAMENTO!$AF$11)))</f>
        <v>0</v>
      </c>
      <c r="N53" s="336">
        <f t="shared" ca="1" si="4"/>
        <v>0</v>
      </c>
      <c r="O53" s="125" cm="1">
        <f t="array" aca="1" ref="O53" ca="1">IF($A53="S",VTOTALBM,IF($A53=0,0,ROUND(SomaAgrupBM,15-13*ORÇAMENTO!$AF$11)))</f>
        <v>0</v>
      </c>
      <c r="Q53" s="337"/>
      <c r="R53" s="338"/>
      <c r="T53" s="117" t="str">
        <f t="shared" ca="1" si="5"/>
        <v/>
      </c>
      <c r="U53" s="163" t="str">
        <f t="shared" ca="1" si="6"/>
        <v/>
      </c>
      <c r="V53" s="164" t="str" cm="1">
        <f t="array" aca="1" ref="V53" ca="1">IF(AND($W53&gt;0,RegimeExecucao="Unitário"),$F53,"")</f>
        <v/>
      </c>
      <c r="W53" s="454" cm="1">
        <f t="array" aca="1" ref="W53" ca="1">IF($Y53&gt;0,CHOOSE(MATCH(RegimeExecucao,{"Unitário","Global"},0),IF($A53="S",$Y53/$X53,""),($Y53/$X53)*100),0)</f>
        <v>0</v>
      </c>
      <c r="X53" s="339" t="str" cm="1">
        <f t="array" aca="1" ref="X53" ca="1">IF($Y53&gt;0,CHOOSE(MATCH(RegimeExecucao,{"Unitário","Global"},0),IF($A53="S",ROUND($H53,ORÇAMENTO!$AF$10),""),ROUND($I53,ORÇAMENTO!$AF$11)),"")</f>
        <v/>
      </c>
      <c r="Y53" s="339">
        <f t="shared" ca="1" si="7"/>
        <v>0</v>
      </c>
      <c r="Z53" s="473"/>
      <c r="AB53" s="337"/>
      <c r="AC53" s="437"/>
      <c r="AD53" s="437"/>
      <c r="AE53" s="437"/>
      <c r="AF53" s="437"/>
      <c r="AG53" s="437"/>
      <c r="AH53" s="437"/>
      <c r="AI53" s="437"/>
      <c r="AJ53" s="437"/>
      <c r="AK53" s="437"/>
      <c r="AL53" s="437"/>
      <c r="AM53" s="338"/>
      <c r="AO53"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ht="38.25" x14ac:dyDescent="0.2">
      <c r="A54" t="str">
        <f ca="1">ORÇAMENTO!C54</f>
        <v>S</v>
      </c>
      <c r="B54">
        <f ca="1">ORÇAMENTO!D54</f>
        <v>0</v>
      </c>
      <c r="C54" s="114" t="str">
        <f t="shared" ca="1" si="1"/>
        <v/>
      </c>
      <c r="D54" s="117" t="str">
        <f ca="1">ORÇAMENTO!O54</f>
        <v>-</v>
      </c>
      <c r="E54" s="163" t="str">
        <f t="shared" ca="1" si="2"/>
        <v>(Código não identificado nas referências)</v>
      </c>
      <c r="F54" s="164" t="str" cm="1">
        <f t="array" aca="1" ref="F54" ca="1">IF(RegimeExecucao="Global","",ORÇAMENTO.Unidade)</f>
        <v/>
      </c>
      <c r="G54" s="122" t="str" cm="1">
        <f t="array" aca="1" ref="G54" ca="1">IF(RegimeExecucao="Global","",ORÇAMENTO!T54)</f>
        <v/>
      </c>
      <c r="H54" s="122" t="str" cm="1">
        <f t="array" aca="1" ref="H54" ca="1">IF(RegimeExecucao="Global","",ORÇAMENTO!W54)</f>
        <v/>
      </c>
      <c r="I54" s="125">
        <f ca="1">ORÇAMENTO!X54</f>
        <v>0</v>
      </c>
      <c r="J54" s="333" cm="1">
        <f t="array" aca="1" ref="J54" ca="1">IF($A54="S",IF(CAIXA.Modo,BM.AFAnterior,BM.MEDAnterior),IF(AND(RegimeExecucao="Global",$I54&gt;0,COUNTIF($AB$13:$AM$13,BM.medicao-1)&gt;0),M54/$I54*100,0))</f>
        <v>0</v>
      </c>
      <c r="K54" s="122">
        <f t="shared" ca="1" si="3"/>
        <v>0</v>
      </c>
      <c r="L54" s="334" cm="1">
        <f t="array" aca="1" ref="L54" ca="1">IF($A54="S",IF(CAIXA.Modo,BM.AFAcumulado,BM.MEDAcumulado),IF(AND(RegimeExecucao="Global",$I54&gt;0,COUNTIF($AB$13:$AM$13,BM.medicao)&gt;0),O54/$I54*100,0))</f>
        <v>0</v>
      </c>
      <c r="M54" s="335" cm="1">
        <f t="array" aca="1" ref="M54" ca="1">IF($A54="S",VTOTALBM,IF($A54=0,0,ROUND(SomaAgrupBM,15-13*ORÇAMENTO!$AF$11)))</f>
        <v>0</v>
      </c>
      <c r="N54" s="336">
        <f t="shared" ca="1" si="4"/>
        <v>0</v>
      </c>
      <c r="O54" s="125" cm="1">
        <f t="array" aca="1" ref="O54" ca="1">IF($A54="S",VTOTALBM,IF($A54=0,0,ROUND(SomaAgrupBM,15-13*ORÇAMENTO!$AF$11)))</f>
        <v>0</v>
      </c>
      <c r="Q54" s="337"/>
      <c r="R54" s="338"/>
      <c r="T54" s="117" t="str">
        <f t="shared" ca="1" si="5"/>
        <v/>
      </c>
      <c r="U54" s="163" t="str">
        <f t="shared" ca="1" si="6"/>
        <v/>
      </c>
      <c r="V54" s="164" t="str" cm="1">
        <f t="array" aca="1" ref="V54" ca="1">IF(AND($W54&gt;0,RegimeExecucao="Unitário"),$F54,"")</f>
        <v/>
      </c>
      <c r="W54" s="454" cm="1">
        <f t="array" aca="1" ref="W54" ca="1">IF($Y54&gt;0,CHOOSE(MATCH(RegimeExecucao,{"Unitário","Global"},0),IF($A54="S",$Y54/$X54,""),($Y54/$X54)*100),0)</f>
        <v>0</v>
      </c>
      <c r="X54" s="339" t="str" cm="1">
        <f t="array" aca="1" ref="X54" ca="1">IF($Y54&gt;0,CHOOSE(MATCH(RegimeExecucao,{"Unitário","Global"},0),IF($A54="S",ROUND($H54,ORÇAMENTO!$AF$10),""),ROUND($I54,ORÇAMENTO!$AF$11)),"")</f>
        <v/>
      </c>
      <c r="Y54" s="339">
        <f t="shared" ca="1" si="7"/>
        <v>0</v>
      </c>
      <c r="Z54" s="473"/>
      <c r="AB54" s="337"/>
      <c r="AC54" s="437"/>
      <c r="AD54" s="437"/>
      <c r="AE54" s="437"/>
      <c r="AF54" s="437"/>
      <c r="AG54" s="437"/>
      <c r="AH54" s="437"/>
      <c r="AI54" s="437"/>
      <c r="AJ54" s="437"/>
      <c r="AK54" s="437"/>
      <c r="AL54" s="437"/>
      <c r="AM54" s="338"/>
      <c r="AO54"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ht="38.25" x14ac:dyDescent="0.2">
      <c r="A55" t="str">
        <f ca="1">ORÇAMENTO!C55</f>
        <v>S</v>
      </c>
      <c r="B55">
        <f ca="1">ORÇAMENTO!D55</f>
        <v>0</v>
      </c>
      <c r="C55" s="114" t="str">
        <f t="shared" ca="1" si="1"/>
        <v/>
      </c>
      <c r="D55" s="117" t="str">
        <f ca="1">ORÇAMENTO!O55</f>
        <v>-</v>
      </c>
      <c r="E55" s="163" t="str">
        <f t="shared" ca="1" si="2"/>
        <v>(Código não identificado nas referências)</v>
      </c>
      <c r="F55" s="164" t="str" cm="1">
        <f t="array" aca="1" ref="F55" ca="1">IF(RegimeExecucao="Global","",ORÇAMENTO.Unidade)</f>
        <v/>
      </c>
      <c r="G55" s="122" t="str" cm="1">
        <f t="array" aca="1" ref="G55" ca="1">IF(RegimeExecucao="Global","",ORÇAMENTO!T55)</f>
        <v/>
      </c>
      <c r="H55" s="122" t="str" cm="1">
        <f t="array" aca="1" ref="H55" ca="1">IF(RegimeExecucao="Global","",ORÇAMENTO!W55)</f>
        <v/>
      </c>
      <c r="I55" s="125">
        <f ca="1">ORÇAMENTO!X55</f>
        <v>0</v>
      </c>
      <c r="J55" s="333" cm="1">
        <f t="array" aca="1" ref="J55" ca="1">IF($A55="S",IF(CAIXA.Modo,BM.AFAnterior,BM.MEDAnterior),IF(AND(RegimeExecucao="Global",$I55&gt;0,COUNTIF($AB$13:$AM$13,BM.medicao-1)&gt;0),M55/$I55*100,0))</f>
        <v>0</v>
      </c>
      <c r="K55" s="122">
        <f t="shared" ca="1" si="3"/>
        <v>0</v>
      </c>
      <c r="L55" s="334" cm="1">
        <f t="array" aca="1" ref="L55" ca="1">IF($A55="S",IF(CAIXA.Modo,BM.AFAcumulado,BM.MEDAcumulado),IF(AND(RegimeExecucao="Global",$I55&gt;0,COUNTIF($AB$13:$AM$13,BM.medicao)&gt;0),O55/$I55*100,0))</f>
        <v>0</v>
      </c>
      <c r="M55" s="335" cm="1">
        <f t="array" aca="1" ref="M55" ca="1">IF($A55="S",VTOTALBM,IF($A55=0,0,ROUND(SomaAgrupBM,15-13*ORÇAMENTO!$AF$11)))</f>
        <v>0</v>
      </c>
      <c r="N55" s="336">
        <f t="shared" ca="1" si="4"/>
        <v>0</v>
      </c>
      <c r="O55" s="125" cm="1">
        <f t="array" aca="1" ref="O55" ca="1">IF($A55="S",VTOTALBM,IF($A55=0,0,ROUND(SomaAgrupBM,15-13*ORÇAMENTO!$AF$11)))</f>
        <v>0</v>
      </c>
      <c r="Q55" s="337"/>
      <c r="R55" s="338"/>
      <c r="T55" s="117" t="str">
        <f t="shared" ca="1" si="5"/>
        <v/>
      </c>
      <c r="U55" s="163" t="str">
        <f t="shared" ca="1" si="6"/>
        <v/>
      </c>
      <c r="V55" s="164" t="str" cm="1">
        <f t="array" aca="1" ref="V55" ca="1">IF(AND($W55&gt;0,RegimeExecucao="Unitário"),$F55,"")</f>
        <v/>
      </c>
      <c r="W55" s="454" cm="1">
        <f t="array" aca="1" ref="W55" ca="1">IF($Y55&gt;0,CHOOSE(MATCH(RegimeExecucao,{"Unitário","Global"},0),IF($A55="S",$Y55/$X55,""),($Y55/$X55)*100),0)</f>
        <v>0</v>
      </c>
      <c r="X55" s="339" t="str" cm="1">
        <f t="array" aca="1" ref="X55" ca="1">IF($Y55&gt;0,CHOOSE(MATCH(RegimeExecucao,{"Unitário","Global"},0),IF($A55="S",ROUND($H55,ORÇAMENTO!$AF$10),""),ROUND($I55,ORÇAMENTO!$AF$11)),"")</f>
        <v/>
      </c>
      <c r="Y55" s="339">
        <f t="shared" ca="1" si="7"/>
        <v>0</v>
      </c>
      <c r="Z55" s="473"/>
      <c r="AB55" s="337"/>
      <c r="AC55" s="437"/>
      <c r="AD55" s="437"/>
      <c r="AE55" s="437"/>
      <c r="AF55" s="437"/>
      <c r="AG55" s="437"/>
      <c r="AH55" s="437"/>
      <c r="AI55" s="437"/>
      <c r="AJ55" s="437"/>
      <c r="AK55" s="437"/>
      <c r="AL55" s="437"/>
      <c r="AM55" s="338"/>
      <c r="AO55"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ht="38.25" x14ac:dyDescent="0.2">
      <c r="A56" t="str">
        <f ca="1">ORÇAMENTO!C56</f>
        <v>S</v>
      </c>
      <c r="B56">
        <f ca="1">ORÇAMENTO!D56</f>
        <v>0</v>
      </c>
      <c r="C56" s="114" t="str">
        <f t="shared" ca="1" si="1"/>
        <v/>
      </c>
      <c r="D56" s="117" t="str">
        <f ca="1">ORÇAMENTO!O56</f>
        <v>-</v>
      </c>
      <c r="E56" s="163" t="str">
        <f t="shared" ca="1" si="2"/>
        <v>(Código não identificado nas referências)</v>
      </c>
      <c r="F56" s="164" t="str" cm="1">
        <f t="array" aca="1" ref="F56" ca="1">IF(RegimeExecucao="Global","",ORÇAMENTO.Unidade)</f>
        <v/>
      </c>
      <c r="G56" s="122" t="str" cm="1">
        <f t="array" aca="1" ref="G56" ca="1">IF(RegimeExecucao="Global","",ORÇAMENTO!T56)</f>
        <v/>
      </c>
      <c r="H56" s="122" t="str" cm="1">
        <f t="array" aca="1" ref="H56" ca="1">IF(RegimeExecucao="Global","",ORÇAMENTO!W56)</f>
        <v/>
      </c>
      <c r="I56" s="125">
        <f ca="1">ORÇAMENTO!X56</f>
        <v>0</v>
      </c>
      <c r="J56" s="333" cm="1">
        <f t="array" aca="1" ref="J56" ca="1">IF($A56="S",IF(CAIXA.Modo,BM.AFAnterior,BM.MEDAnterior),IF(AND(RegimeExecucao="Global",$I56&gt;0,COUNTIF($AB$13:$AM$13,BM.medicao-1)&gt;0),M56/$I56*100,0))</f>
        <v>0</v>
      </c>
      <c r="K56" s="122">
        <f t="shared" ca="1" si="3"/>
        <v>0</v>
      </c>
      <c r="L56" s="334" cm="1">
        <f t="array" aca="1" ref="L56" ca="1">IF($A56="S",IF(CAIXA.Modo,BM.AFAcumulado,BM.MEDAcumulado),IF(AND(RegimeExecucao="Global",$I56&gt;0,COUNTIF($AB$13:$AM$13,BM.medicao)&gt;0),O56/$I56*100,0))</f>
        <v>0</v>
      </c>
      <c r="M56" s="335" cm="1">
        <f t="array" aca="1" ref="M56" ca="1">IF($A56="S",VTOTALBM,IF($A56=0,0,ROUND(SomaAgrupBM,15-13*ORÇAMENTO!$AF$11)))</f>
        <v>0</v>
      </c>
      <c r="N56" s="336">
        <f t="shared" ca="1" si="4"/>
        <v>0</v>
      </c>
      <c r="O56" s="125" cm="1">
        <f t="array" aca="1" ref="O56" ca="1">IF($A56="S",VTOTALBM,IF($A56=0,0,ROUND(SomaAgrupBM,15-13*ORÇAMENTO!$AF$11)))</f>
        <v>0</v>
      </c>
      <c r="Q56" s="337"/>
      <c r="R56" s="338"/>
      <c r="T56" s="117" t="str">
        <f t="shared" ca="1" si="5"/>
        <v/>
      </c>
      <c r="U56" s="163" t="str">
        <f t="shared" ca="1" si="6"/>
        <v/>
      </c>
      <c r="V56" s="164" t="str" cm="1">
        <f t="array" aca="1" ref="V56" ca="1">IF(AND($W56&gt;0,RegimeExecucao="Unitário"),$F56,"")</f>
        <v/>
      </c>
      <c r="W56" s="454" cm="1">
        <f t="array" aca="1" ref="W56" ca="1">IF($Y56&gt;0,CHOOSE(MATCH(RegimeExecucao,{"Unitário","Global"},0),IF($A56="S",$Y56/$X56,""),($Y56/$X56)*100),0)</f>
        <v>0</v>
      </c>
      <c r="X56" s="339" t="str" cm="1">
        <f t="array" aca="1" ref="X56" ca="1">IF($Y56&gt;0,CHOOSE(MATCH(RegimeExecucao,{"Unitário","Global"},0),IF($A56="S",ROUND($H56,ORÇAMENTO!$AF$10),""),ROUND($I56,ORÇAMENTO!$AF$11)),"")</f>
        <v/>
      </c>
      <c r="Y56" s="339">
        <f t="shared" ca="1" si="7"/>
        <v>0</v>
      </c>
      <c r="Z56" s="473"/>
      <c r="AB56" s="337"/>
      <c r="AC56" s="437"/>
      <c r="AD56" s="437"/>
      <c r="AE56" s="437"/>
      <c r="AF56" s="437"/>
      <c r="AG56" s="437"/>
      <c r="AH56" s="437"/>
      <c r="AI56" s="437"/>
      <c r="AJ56" s="437"/>
      <c r="AK56" s="437"/>
      <c r="AL56" s="437"/>
      <c r="AM56" s="338"/>
      <c r="AO56" cm="1">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ht="38.25" x14ac:dyDescent="0.2">
      <c r="A57" t="str">
        <f ca="1">ORÇAMENTO!C57</f>
        <v>S</v>
      </c>
      <c r="B57">
        <f ca="1">ORÇAMENTO!D57</f>
        <v>0</v>
      </c>
      <c r="C57" s="114" t="str">
        <f t="shared" ca="1" si="1"/>
        <v/>
      </c>
      <c r="D57" s="117" t="str">
        <f ca="1">ORÇAMENTO!O57</f>
        <v>-</v>
      </c>
      <c r="E57" s="163" t="str">
        <f t="shared" ca="1" si="2"/>
        <v>(Código não identificado nas referências)</v>
      </c>
      <c r="F57" s="164" t="str" cm="1">
        <f t="array" aca="1" ref="F57" ca="1">IF(RegimeExecucao="Global","",ORÇAMENTO.Unidade)</f>
        <v/>
      </c>
      <c r="G57" s="122" t="str" cm="1">
        <f t="array" aca="1" ref="G57" ca="1">IF(RegimeExecucao="Global","",ORÇAMENTO!T57)</f>
        <v/>
      </c>
      <c r="H57" s="122" t="str" cm="1">
        <f t="array" aca="1" ref="H57" ca="1">IF(RegimeExecucao="Global","",ORÇAMENTO!W57)</f>
        <v/>
      </c>
      <c r="I57" s="125">
        <f ca="1">ORÇAMENTO!X57</f>
        <v>0</v>
      </c>
      <c r="J57" s="333" cm="1">
        <f t="array" aca="1" ref="J57" ca="1">IF($A57="S",IF(CAIXA.Modo,BM.AFAnterior,BM.MEDAnterior),IF(AND(RegimeExecucao="Global",$I57&gt;0,COUNTIF($AB$13:$AM$13,BM.medicao-1)&gt;0),M57/$I57*100,0))</f>
        <v>0</v>
      </c>
      <c r="K57" s="122">
        <f t="shared" ca="1" si="3"/>
        <v>0</v>
      </c>
      <c r="L57" s="334" cm="1">
        <f t="array" aca="1" ref="L57" ca="1">IF($A57="S",IF(CAIXA.Modo,BM.AFAcumulado,BM.MEDAcumulado),IF(AND(RegimeExecucao="Global",$I57&gt;0,COUNTIF($AB$13:$AM$13,BM.medicao)&gt;0),O57/$I57*100,0))</f>
        <v>0</v>
      </c>
      <c r="M57" s="335" cm="1">
        <f t="array" aca="1" ref="M57" ca="1">IF($A57="S",VTOTALBM,IF($A57=0,0,ROUND(SomaAgrupBM,15-13*ORÇAMENTO!$AF$11)))</f>
        <v>0</v>
      </c>
      <c r="N57" s="336">
        <f t="shared" ca="1" si="4"/>
        <v>0</v>
      </c>
      <c r="O57" s="125" cm="1">
        <f t="array" aca="1" ref="O57" ca="1">IF($A57="S",VTOTALBM,IF($A57=0,0,ROUND(SomaAgrupBM,15-13*ORÇAMENTO!$AF$11)))</f>
        <v>0</v>
      </c>
      <c r="Q57" s="337"/>
      <c r="R57" s="338"/>
      <c r="T57" s="117" t="str">
        <f t="shared" ca="1" si="5"/>
        <v/>
      </c>
      <c r="U57" s="163" t="str">
        <f t="shared" ca="1" si="6"/>
        <v/>
      </c>
      <c r="V57" s="164" t="str" cm="1">
        <f t="array" aca="1" ref="V57" ca="1">IF(AND($W57&gt;0,RegimeExecucao="Unitário"),$F57,"")</f>
        <v/>
      </c>
      <c r="W57" s="454" cm="1">
        <f t="array" aca="1" ref="W57" ca="1">IF($Y57&gt;0,CHOOSE(MATCH(RegimeExecucao,{"Unitário","Global"},0),IF($A57="S",$Y57/$X57,""),($Y57/$X57)*100),0)</f>
        <v>0</v>
      </c>
      <c r="X57" s="339" t="str" cm="1">
        <f t="array" aca="1" ref="X57" ca="1">IF($Y57&gt;0,CHOOSE(MATCH(RegimeExecucao,{"Unitário","Global"},0),IF($A57="S",ROUND($H57,ORÇAMENTO!$AF$10),""),ROUND($I57,ORÇAMENTO!$AF$11)),"")</f>
        <v/>
      </c>
      <c r="Y57" s="339">
        <f t="shared" ca="1" si="7"/>
        <v>0</v>
      </c>
      <c r="Z57" s="473"/>
      <c r="AB57" s="337"/>
      <c r="AC57" s="437"/>
      <c r="AD57" s="437"/>
      <c r="AE57" s="437"/>
      <c r="AF57" s="437"/>
      <c r="AG57" s="437"/>
      <c r="AH57" s="437"/>
      <c r="AI57" s="437"/>
      <c r="AJ57" s="437"/>
      <c r="AK57" s="437"/>
      <c r="AL57" s="437"/>
      <c r="AM57" s="338"/>
      <c r="AO57" cm="1">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ht="38.25" x14ac:dyDescent="0.2">
      <c r="A58" t="str">
        <f ca="1">ORÇAMENTO!C58</f>
        <v>S</v>
      </c>
      <c r="B58">
        <f ca="1">ORÇAMENTO!D58</f>
        <v>0</v>
      </c>
      <c r="C58" s="114" t="str">
        <f t="shared" ca="1" si="1"/>
        <v/>
      </c>
      <c r="D58" s="117" t="str">
        <f ca="1">ORÇAMENTO!O58</f>
        <v>-</v>
      </c>
      <c r="E58" s="163" t="str">
        <f t="shared" ca="1" si="2"/>
        <v>(Código não identificado nas referências)</v>
      </c>
      <c r="F58" s="164" t="str" cm="1">
        <f t="array" aca="1" ref="F58" ca="1">IF(RegimeExecucao="Global","",ORÇAMENTO.Unidade)</f>
        <v/>
      </c>
      <c r="G58" s="122" t="str" cm="1">
        <f t="array" aca="1" ref="G58" ca="1">IF(RegimeExecucao="Global","",ORÇAMENTO!T58)</f>
        <v/>
      </c>
      <c r="H58" s="122" t="str" cm="1">
        <f t="array" aca="1" ref="H58" ca="1">IF(RegimeExecucao="Global","",ORÇAMENTO!W58)</f>
        <v/>
      </c>
      <c r="I58" s="125">
        <f ca="1">ORÇAMENTO!X58</f>
        <v>0</v>
      </c>
      <c r="J58" s="333" cm="1">
        <f t="array" aca="1" ref="J58" ca="1">IF($A58="S",IF(CAIXA.Modo,BM.AFAnterior,BM.MEDAnterior),IF(AND(RegimeExecucao="Global",$I58&gt;0,COUNTIF($AB$13:$AM$13,BM.medicao-1)&gt;0),M58/$I58*100,0))</f>
        <v>0</v>
      </c>
      <c r="K58" s="122">
        <f t="shared" ca="1" si="3"/>
        <v>0</v>
      </c>
      <c r="L58" s="334" cm="1">
        <f t="array" aca="1" ref="L58" ca="1">IF($A58="S",IF(CAIXA.Modo,BM.AFAcumulado,BM.MEDAcumulado),IF(AND(RegimeExecucao="Global",$I58&gt;0,COUNTIF($AB$13:$AM$13,BM.medicao)&gt;0),O58/$I58*100,0))</f>
        <v>0</v>
      </c>
      <c r="M58" s="335" cm="1">
        <f t="array" aca="1" ref="M58" ca="1">IF($A58="S",VTOTALBM,IF($A58=0,0,ROUND(SomaAgrupBM,15-13*ORÇAMENTO!$AF$11)))</f>
        <v>0</v>
      </c>
      <c r="N58" s="336">
        <f t="shared" ca="1" si="4"/>
        <v>0</v>
      </c>
      <c r="O58" s="125" cm="1">
        <f t="array" aca="1" ref="O58" ca="1">IF($A58="S",VTOTALBM,IF($A58=0,0,ROUND(SomaAgrupBM,15-13*ORÇAMENTO!$AF$11)))</f>
        <v>0</v>
      </c>
      <c r="Q58" s="337"/>
      <c r="R58" s="338"/>
      <c r="T58" s="117" t="str">
        <f t="shared" ca="1" si="5"/>
        <v/>
      </c>
      <c r="U58" s="163" t="str">
        <f t="shared" ca="1" si="6"/>
        <v/>
      </c>
      <c r="V58" s="164" t="str" cm="1">
        <f t="array" aca="1" ref="V58" ca="1">IF(AND($W58&gt;0,RegimeExecucao="Unitário"),$F58,"")</f>
        <v/>
      </c>
      <c r="W58" s="454" cm="1">
        <f t="array" aca="1" ref="W58" ca="1">IF($Y58&gt;0,CHOOSE(MATCH(RegimeExecucao,{"Unitário","Global"},0),IF($A58="S",$Y58/$X58,""),($Y58/$X58)*100),0)</f>
        <v>0</v>
      </c>
      <c r="X58" s="339" t="str" cm="1">
        <f t="array" aca="1" ref="X58" ca="1">IF($Y58&gt;0,CHOOSE(MATCH(RegimeExecucao,{"Unitário","Global"},0),IF($A58="S",ROUND($H58,ORÇAMENTO!$AF$10),""),ROUND($I58,ORÇAMENTO!$AF$11)),"")</f>
        <v/>
      </c>
      <c r="Y58" s="339">
        <f t="shared" ca="1" si="7"/>
        <v>0</v>
      </c>
      <c r="Z58" s="473"/>
      <c r="AB58" s="337"/>
      <c r="AC58" s="437"/>
      <c r="AD58" s="437"/>
      <c r="AE58" s="437"/>
      <c r="AF58" s="437"/>
      <c r="AG58" s="437"/>
      <c r="AH58" s="437"/>
      <c r="AI58" s="437"/>
      <c r="AJ58" s="437"/>
      <c r="AK58" s="437"/>
      <c r="AL58" s="437"/>
      <c r="AM58" s="338"/>
      <c r="AO58" cm="1">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ht="25.5" x14ac:dyDescent="0.2">
      <c r="A59" t="str">
        <f ca="1">ORÇAMENTO!C59</f>
        <v>S</v>
      </c>
      <c r="B59">
        <f ca="1">ORÇAMENTO!D59</f>
        <v>0</v>
      </c>
      <c r="C59" s="114" t="str">
        <f t="shared" ca="1" si="1"/>
        <v/>
      </c>
      <c r="D59" s="117" t="str">
        <f ca="1">ORÇAMENTO!O59</f>
        <v>-</v>
      </c>
      <c r="E59" s="163" t="str">
        <f t="shared" ca="1" si="2"/>
        <v>(Código não identificado nas referências)</v>
      </c>
      <c r="F59" s="164" t="str" cm="1">
        <f t="array" aca="1" ref="F59" ca="1">IF(RegimeExecucao="Global","",ORÇAMENTO.Unidade)</f>
        <v/>
      </c>
      <c r="G59" s="122" t="str" cm="1">
        <f t="array" aca="1" ref="G59" ca="1">IF(RegimeExecucao="Global","",ORÇAMENTO!T59)</f>
        <v/>
      </c>
      <c r="H59" s="122" t="str" cm="1">
        <f t="array" aca="1" ref="H59" ca="1">IF(RegimeExecucao="Global","",ORÇAMENTO!W59)</f>
        <v/>
      </c>
      <c r="I59" s="125">
        <f ca="1">ORÇAMENTO!X59</f>
        <v>0</v>
      </c>
      <c r="J59" s="333" cm="1">
        <f t="array" aca="1" ref="J59" ca="1">IF($A59="S",IF(CAIXA.Modo,BM.AFAnterior,BM.MEDAnterior),IF(AND(RegimeExecucao="Global",$I59&gt;0,COUNTIF($AB$13:$AM$13,BM.medicao-1)&gt;0),M59/$I59*100,0))</f>
        <v>0</v>
      </c>
      <c r="K59" s="122">
        <f t="shared" ca="1" si="3"/>
        <v>0</v>
      </c>
      <c r="L59" s="334" cm="1">
        <f t="array" aca="1" ref="L59" ca="1">IF($A59="S",IF(CAIXA.Modo,BM.AFAcumulado,BM.MEDAcumulado),IF(AND(RegimeExecucao="Global",$I59&gt;0,COUNTIF($AB$13:$AM$13,BM.medicao)&gt;0),O59/$I59*100,0))</f>
        <v>0</v>
      </c>
      <c r="M59" s="335" cm="1">
        <f t="array" aca="1" ref="M59" ca="1">IF($A59="S",VTOTALBM,IF($A59=0,0,ROUND(SomaAgrupBM,15-13*ORÇAMENTO!$AF$11)))</f>
        <v>0</v>
      </c>
      <c r="N59" s="336">
        <f t="shared" ca="1" si="4"/>
        <v>0</v>
      </c>
      <c r="O59" s="125" cm="1">
        <f t="array" aca="1" ref="O59" ca="1">IF($A59="S",VTOTALBM,IF($A59=0,0,ROUND(SomaAgrupBM,15-13*ORÇAMENTO!$AF$11)))</f>
        <v>0</v>
      </c>
      <c r="Q59" s="337"/>
      <c r="R59" s="338"/>
      <c r="T59" s="117" t="str">
        <f t="shared" ca="1" si="5"/>
        <v/>
      </c>
      <c r="U59" s="163" t="str">
        <f t="shared" ca="1" si="6"/>
        <v/>
      </c>
      <c r="V59" s="164" t="str" cm="1">
        <f t="array" aca="1" ref="V59" ca="1">IF(AND($W59&gt;0,RegimeExecucao="Unitário"),$F59,"")</f>
        <v/>
      </c>
      <c r="W59" s="454" cm="1">
        <f t="array" aca="1" ref="W59" ca="1">IF($Y59&gt;0,CHOOSE(MATCH(RegimeExecucao,{"Unitário","Global"},0),IF($A59="S",$Y59/$X59,""),($Y59/$X59)*100),0)</f>
        <v>0</v>
      </c>
      <c r="X59" s="339" t="str" cm="1">
        <f t="array" aca="1" ref="X59" ca="1">IF($Y59&gt;0,CHOOSE(MATCH(RegimeExecucao,{"Unitário","Global"},0),IF($A59="S",ROUND($H59,ORÇAMENTO!$AF$10),""),ROUND($I59,ORÇAMENTO!$AF$11)),"")</f>
        <v/>
      </c>
      <c r="Y59" s="339">
        <f t="shared" ca="1" si="7"/>
        <v>0</v>
      </c>
      <c r="Z59" s="473"/>
      <c r="AB59" s="337"/>
      <c r="AC59" s="437"/>
      <c r="AD59" s="437"/>
      <c r="AE59" s="437"/>
      <c r="AF59" s="437"/>
      <c r="AG59" s="437"/>
      <c r="AH59" s="437"/>
      <c r="AI59" s="437"/>
      <c r="AJ59" s="437"/>
      <c r="AK59" s="437"/>
      <c r="AL59" s="437"/>
      <c r="AM59" s="338"/>
      <c r="AO59" cm="1">
        <f t="array" aca="1" ref="AO59" ca="1">IF($A59="S",IF(BM!$I59=0,0,CHOOSE(MATCH(RegimeExecucao,{"Global","Unitário"},0),ROUND(ROUND(BM.MEDAcumulado,15-13*BM!$A$9)/100*BM!$I59,15-13*ORÇAMENTO!$AF$11),ROUND(ROUND(BM.MEDAcumulado,15-13*BM!$A$9)*ROUND(BM!$H59,15-13*ORÇAMENTO!$AF$10),15-13*ORÇAMENTO!$AF$11))),IF($A59=0,0,ROUND(SomaAgrupBM,15-13*ORÇAMENTO!$AF$11)))</f>
        <v>0</v>
      </c>
    </row>
    <row r="60" spans="1:41" ht="38.25" x14ac:dyDescent="0.2">
      <c r="A60" t="str">
        <f ca="1">ORÇAMENTO!C60</f>
        <v>S</v>
      </c>
      <c r="B60">
        <f ca="1">ORÇAMENTO!D60</f>
        <v>0</v>
      </c>
      <c r="C60" s="114" t="str">
        <f t="shared" ca="1" si="1"/>
        <v/>
      </c>
      <c r="D60" s="117" t="str">
        <f ca="1">ORÇAMENTO!O60</f>
        <v>-</v>
      </c>
      <c r="E60" s="163" t="str">
        <f t="shared" ca="1" si="2"/>
        <v>(Código não identificado nas referências)</v>
      </c>
      <c r="F60" s="164" t="str" cm="1">
        <f t="array" aca="1" ref="F60" ca="1">IF(RegimeExecucao="Global","",ORÇAMENTO.Unidade)</f>
        <v/>
      </c>
      <c r="G60" s="122" t="str" cm="1">
        <f t="array" aca="1" ref="G60" ca="1">IF(RegimeExecucao="Global","",ORÇAMENTO!T60)</f>
        <v/>
      </c>
      <c r="H60" s="122" t="str" cm="1">
        <f t="array" aca="1" ref="H60" ca="1">IF(RegimeExecucao="Global","",ORÇAMENTO!W60)</f>
        <v/>
      </c>
      <c r="I60" s="125">
        <f ca="1">ORÇAMENTO!X60</f>
        <v>0</v>
      </c>
      <c r="J60" s="333" cm="1">
        <f t="array" aca="1" ref="J60" ca="1">IF($A60="S",IF(CAIXA.Modo,BM.AFAnterior,BM.MEDAnterior),IF(AND(RegimeExecucao="Global",$I60&gt;0,COUNTIF($AB$13:$AM$13,BM.medicao-1)&gt;0),M60/$I60*100,0))</f>
        <v>0</v>
      </c>
      <c r="K60" s="122">
        <f t="shared" ca="1" si="3"/>
        <v>0</v>
      </c>
      <c r="L60" s="334" cm="1">
        <f t="array" aca="1" ref="L60" ca="1">IF($A60="S",IF(CAIXA.Modo,BM.AFAcumulado,BM.MEDAcumulado),IF(AND(RegimeExecucao="Global",$I60&gt;0,COUNTIF($AB$13:$AM$13,BM.medicao)&gt;0),O60/$I60*100,0))</f>
        <v>0</v>
      </c>
      <c r="M60" s="335" cm="1">
        <f t="array" aca="1" ref="M60" ca="1">IF($A60="S",VTOTALBM,IF($A60=0,0,ROUND(SomaAgrupBM,15-13*ORÇAMENTO!$AF$11)))</f>
        <v>0</v>
      </c>
      <c r="N60" s="336">
        <f t="shared" ca="1" si="4"/>
        <v>0</v>
      </c>
      <c r="O60" s="125" cm="1">
        <f t="array" aca="1" ref="O60" ca="1">IF($A60="S",VTOTALBM,IF($A60=0,0,ROUND(SomaAgrupBM,15-13*ORÇAMENTO!$AF$11)))</f>
        <v>0</v>
      </c>
      <c r="Q60" s="337"/>
      <c r="R60" s="338"/>
      <c r="T60" s="117" t="str">
        <f t="shared" ca="1" si="5"/>
        <v/>
      </c>
      <c r="U60" s="163" t="str">
        <f t="shared" ca="1" si="6"/>
        <v/>
      </c>
      <c r="V60" s="164" t="str" cm="1">
        <f t="array" aca="1" ref="V60" ca="1">IF(AND($W60&gt;0,RegimeExecucao="Unitário"),$F60,"")</f>
        <v/>
      </c>
      <c r="W60" s="454" cm="1">
        <f t="array" aca="1" ref="W60" ca="1">IF($Y60&gt;0,CHOOSE(MATCH(RegimeExecucao,{"Unitário","Global"},0),IF($A60="S",$Y60/$X60,""),($Y60/$X60)*100),0)</f>
        <v>0</v>
      </c>
      <c r="X60" s="339" t="str" cm="1">
        <f t="array" aca="1" ref="X60" ca="1">IF($Y60&gt;0,CHOOSE(MATCH(RegimeExecucao,{"Unitário","Global"},0),IF($A60="S",ROUND($H60,ORÇAMENTO!$AF$10),""),ROUND($I60,ORÇAMENTO!$AF$11)),"")</f>
        <v/>
      </c>
      <c r="Y60" s="339">
        <f t="shared" ca="1" si="7"/>
        <v>0</v>
      </c>
      <c r="Z60" s="473"/>
      <c r="AB60" s="337"/>
      <c r="AC60" s="437"/>
      <c r="AD60" s="437"/>
      <c r="AE60" s="437"/>
      <c r="AF60" s="437"/>
      <c r="AG60" s="437"/>
      <c r="AH60" s="437"/>
      <c r="AI60" s="437"/>
      <c r="AJ60" s="437"/>
      <c r="AK60" s="437"/>
      <c r="AL60" s="437"/>
      <c r="AM60" s="338"/>
      <c r="AO60" cm="1">
        <f t="array" aca="1" ref="AO60" ca="1">IF($A60="S",IF(BM!$I60=0,0,CHOOSE(MATCH(RegimeExecucao,{"Global","Unitário"},0),ROUND(ROUND(BM.MEDAcumulado,15-13*BM!$A$9)/100*BM!$I60,15-13*ORÇAMENTO!$AF$11),ROUND(ROUND(BM.MEDAcumulado,15-13*BM!$A$9)*ROUND(BM!$H60,15-13*ORÇAMENTO!$AF$10),15-13*ORÇAMENTO!$AF$11))),IF($A60=0,0,ROUND(SomaAgrupBM,15-13*ORÇAMENTO!$AF$11)))</f>
        <v>0</v>
      </c>
    </row>
    <row r="61" spans="1:41" x14ac:dyDescent="0.2">
      <c r="A61">
        <f ca="1">ORÇAMENTO!C61</f>
        <v>1</v>
      </c>
      <c r="B61">
        <f ca="1">ORÇAMENTO!D61</f>
        <v>14</v>
      </c>
      <c r="C61" s="114" t="str">
        <f t="shared" ca="1" si="1"/>
        <v>F</v>
      </c>
      <c r="D61" s="117" t="str">
        <f ca="1">ORÇAMENTO!O61</f>
        <v>5.</v>
      </c>
      <c r="E61" s="163" t="str">
        <f t="shared" si="2"/>
        <v>PAREDES E PAINÉIS</v>
      </c>
      <c r="F61" s="164" t="str" cm="1">
        <f t="array" aca="1" ref="F61" ca="1">IF(RegimeExecucao="Global","",ORÇAMENTO.Unidade)</f>
        <v/>
      </c>
      <c r="G61" s="122" t="str" cm="1">
        <f t="array" aca="1" ref="G61" ca="1">IF(RegimeExecucao="Global","",ORÇAMENTO!T61)</f>
        <v/>
      </c>
      <c r="H61" s="122" t="str" cm="1">
        <f t="array" aca="1" ref="H61" ca="1">IF(RegimeExecucao="Global","",ORÇAMENTO!W61)</f>
        <v/>
      </c>
      <c r="I61" s="125">
        <f ca="1">ORÇAMENTO!X61</f>
        <v>0</v>
      </c>
      <c r="J61" s="333" cm="1">
        <f t="array" aca="1" ref="J61" ca="1">IF($A61="S",IF(CAIXA.Modo,BM.AFAnterior,BM.MEDAnterior),IF(AND(RegimeExecucao="Global",$I61&gt;0,COUNTIF($AB$13:$AM$13,BM.medicao-1)&gt;0),M61/$I61*100,0))</f>
        <v>0</v>
      </c>
      <c r="K61" s="122">
        <f t="shared" ca="1" si="3"/>
        <v>0</v>
      </c>
      <c r="L61" s="334" cm="1">
        <f t="array" aca="1" ref="L61" ca="1">IF($A61="S",IF(CAIXA.Modo,BM.AFAcumulado,BM.MEDAcumulado),IF(AND(RegimeExecucao="Global",$I61&gt;0,COUNTIF($AB$13:$AM$13,BM.medicao)&gt;0),O61/$I61*100,0))</f>
        <v>0</v>
      </c>
      <c r="M61" s="335" cm="1">
        <f t="array" aca="1" ref="M61" ca="1">IF($A61="S",VTOTALBM,IF($A61=0,0,ROUND(SomaAgrupBM,15-13*ORÇAMENTO!$AF$11)))</f>
        <v>0</v>
      </c>
      <c r="N61" s="336">
        <f t="shared" ca="1" si="4"/>
        <v>0</v>
      </c>
      <c r="O61" s="125" cm="1">
        <f t="array" aca="1" ref="O61" ca="1">IF($A61="S",VTOTALBM,IF($A61=0,0,ROUND(SomaAgrupBM,15-13*ORÇAMENTO!$AF$11)))</f>
        <v>0</v>
      </c>
      <c r="Q61" s="337"/>
      <c r="R61" s="338"/>
      <c r="T61" s="117" t="str">
        <f t="shared" ca="1" si="5"/>
        <v/>
      </c>
      <c r="U61" s="163" t="str">
        <f t="shared" ca="1" si="6"/>
        <v/>
      </c>
      <c r="V61" s="164" t="str" cm="1">
        <f t="array" aca="1" ref="V61" ca="1">IF(AND($W61&gt;0,RegimeExecucao="Unitário"),$F61,"")</f>
        <v/>
      </c>
      <c r="W61" s="454" cm="1">
        <f t="array" aca="1" ref="W61" ca="1">IF($Y61&gt;0,CHOOSE(MATCH(RegimeExecucao,{"Unitário","Global"},0),IF($A61="S",$Y61/$X61,""),($Y61/$X61)*100),0)</f>
        <v>0</v>
      </c>
      <c r="X61" s="339" t="str" cm="1">
        <f t="array" aca="1" ref="X61" ca="1">IF($Y61&gt;0,CHOOSE(MATCH(RegimeExecucao,{"Unitário","Global"},0),IF($A61="S",ROUND($H61,ORÇAMENTO!$AF$10),""),ROUND($I61,ORÇAMENTO!$AF$11)),"")</f>
        <v/>
      </c>
      <c r="Y61" s="339">
        <f t="shared" ca="1" si="7"/>
        <v>0</v>
      </c>
      <c r="Z61" s="473"/>
      <c r="AB61" s="337"/>
      <c r="AC61" s="437"/>
      <c r="AD61" s="437"/>
      <c r="AE61" s="437"/>
      <c r="AF61" s="437"/>
      <c r="AG61" s="437"/>
      <c r="AH61" s="437"/>
      <c r="AI61" s="437"/>
      <c r="AJ61" s="437"/>
      <c r="AK61" s="437"/>
      <c r="AL61" s="437"/>
      <c r="AM61" s="338"/>
      <c r="AO61" cm="1">
        <f t="array" aca="1" ref="AO61" ca="1">IF($A61="S",IF(BM!$I61=0,0,CHOOSE(MATCH(RegimeExecucao,{"Global","Unitário"},0),ROUND(ROUND(BM.MEDAcumulado,15-13*BM!$A$9)/100*BM!$I61,15-13*ORÇAMENTO!$AF$11),ROUND(ROUND(BM.MEDAcumulado,15-13*BM!$A$9)*ROUND(BM!$H61,15-13*ORÇAMENTO!$AF$10),15-13*ORÇAMENTO!$AF$11))),IF($A61=0,0,ROUND(SomaAgrupBM,15-13*ORÇAMENTO!$AF$11)))</f>
        <v>0</v>
      </c>
    </row>
    <row r="62" spans="1:41" x14ac:dyDescent="0.2">
      <c r="A62">
        <f ca="1">ORÇAMENTO!C62</f>
        <v>2</v>
      </c>
      <c r="B62">
        <f ca="1">ORÇAMENTO!D62</f>
        <v>4</v>
      </c>
      <c r="C62" s="114" t="str">
        <f t="shared" ca="1" si="1"/>
        <v>F</v>
      </c>
      <c r="D62" s="117" t="str">
        <f ca="1">ORÇAMENTO!O62</f>
        <v>5.1.</v>
      </c>
      <c r="E62" s="163" t="str">
        <f t="shared" si="2"/>
        <v>ALVENARIA/FECHAMENTOS</v>
      </c>
      <c r="F62" s="164" t="str" cm="1">
        <f t="array" aca="1" ref="F62" ca="1">IF(RegimeExecucao="Global","",ORÇAMENTO.Unidade)</f>
        <v/>
      </c>
      <c r="G62" s="122" t="str" cm="1">
        <f t="array" aca="1" ref="G62" ca="1">IF(RegimeExecucao="Global","",ORÇAMENTO!T62)</f>
        <v/>
      </c>
      <c r="H62" s="122" t="str" cm="1">
        <f t="array" aca="1" ref="H62" ca="1">IF(RegimeExecucao="Global","",ORÇAMENTO!W62)</f>
        <v/>
      </c>
      <c r="I62" s="125">
        <f ca="1">ORÇAMENTO!X62</f>
        <v>0</v>
      </c>
      <c r="J62" s="333" cm="1">
        <f t="array" aca="1" ref="J62" ca="1">IF($A62="S",IF(CAIXA.Modo,BM.AFAnterior,BM.MEDAnterior),IF(AND(RegimeExecucao="Global",$I62&gt;0,COUNTIF($AB$13:$AM$13,BM.medicao-1)&gt;0),M62/$I62*100,0))</f>
        <v>0</v>
      </c>
      <c r="K62" s="122">
        <f t="shared" ca="1" si="3"/>
        <v>0</v>
      </c>
      <c r="L62" s="334" cm="1">
        <f t="array" aca="1" ref="L62" ca="1">IF($A62="S",IF(CAIXA.Modo,BM.AFAcumulado,BM.MEDAcumulado),IF(AND(RegimeExecucao="Global",$I62&gt;0,COUNTIF($AB$13:$AM$13,BM.medicao)&gt;0),O62/$I62*100,0))</f>
        <v>0</v>
      </c>
      <c r="M62" s="335" cm="1">
        <f t="array" aca="1" ref="M62" ca="1">IF($A62="S",VTOTALBM,IF($A62=0,0,ROUND(SomaAgrupBM,15-13*ORÇAMENTO!$AF$11)))</f>
        <v>0</v>
      </c>
      <c r="N62" s="336">
        <f t="shared" ca="1" si="4"/>
        <v>0</v>
      </c>
      <c r="O62" s="125" cm="1">
        <f t="array" aca="1" ref="O62" ca="1">IF($A62="S",VTOTALBM,IF($A62=0,0,ROUND(SomaAgrupBM,15-13*ORÇAMENTO!$AF$11)))</f>
        <v>0</v>
      </c>
      <c r="Q62" s="337"/>
      <c r="R62" s="338"/>
      <c r="T62" s="117" t="str">
        <f t="shared" ca="1" si="5"/>
        <v/>
      </c>
      <c r="U62" s="163" t="str">
        <f t="shared" ca="1" si="6"/>
        <v/>
      </c>
      <c r="V62" s="164" t="str" cm="1">
        <f t="array" aca="1" ref="V62" ca="1">IF(AND($W62&gt;0,RegimeExecucao="Unitário"),$F62,"")</f>
        <v/>
      </c>
      <c r="W62" s="454" cm="1">
        <f t="array" aca="1" ref="W62" ca="1">IF($Y62&gt;0,CHOOSE(MATCH(RegimeExecucao,{"Unitário","Global"},0),IF($A62="S",$Y62/$X62,""),($Y62/$X62)*100),0)</f>
        <v>0</v>
      </c>
      <c r="X62" s="339" t="str" cm="1">
        <f t="array" aca="1" ref="X62" ca="1">IF($Y62&gt;0,CHOOSE(MATCH(RegimeExecucao,{"Unitário","Global"},0),IF($A62="S",ROUND($H62,ORÇAMENTO!$AF$10),""),ROUND($I62,ORÇAMENTO!$AF$11)),"")</f>
        <v/>
      </c>
      <c r="Y62" s="339">
        <f t="shared" ca="1" si="7"/>
        <v>0</v>
      </c>
      <c r="Z62" s="473"/>
      <c r="AB62" s="337"/>
      <c r="AC62" s="437"/>
      <c r="AD62" s="437"/>
      <c r="AE62" s="437"/>
      <c r="AF62" s="437"/>
      <c r="AG62" s="437"/>
      <c r="AH62" s="437"/>
      <c r="AI62" s="437"/>
      <c r="AJ62" s="437"/>
      <c r="AK62" s="437"/>
      <c r="AL62" s="437"/>
      <c r="AM62" s="338"/>
      <c r="AO62" cm="1">
        <f t="array" aca="1" ref="AO62" ca="1">IF($A62="S",IF(BM!$I62=0,0,CHOOSE(MATCH(RegimeExecucao,{"Global","Unitário"},0),ROUND(ROUND(BM.MEDAcumulado,15-13*BM!$A$9)/100*BM!$I62,15-13*ORÇAMENTO!$AF$11),ROUND(ROUND(BM.MEDAcumulado,15-13*BM!$A$9)*ROUND(BM!$H62,15-13*ORÇAMENTO!$AF$10),15-13*ORÇAMENTO!$AF$11))),IF($A62=0,0,ROUND(SomaAgrupBM,15-13*ORÇAMENTO!$AF$11)))</f>
        <v>0</v>
      </c>
    </row>
    <row r="63" spans="1:41" ht="38.25" x14ac:dyDescent="0.2">
      <c r="A63" t="str">
        <f ca="1">ORÇAMENTO!C63</f>
        <v>S</v>
      </c>
      <c r="B63">
        <f ca="1">ORÇAMENTO!D63</f>
        <v>0</v>
      </c>
      <c r="C63" s="114" t="str">
        <f t="shared" ca="1" si="1"/>
        <v/>
      </c>
      <c r="D63" s="117" t="str">
        <f ca="1">ORÇAMENTO!O63</f>
        <v>-</v>
      </c>
      <c r="E63" s="163" t="str">
        <f t="shared" ca="1" si="2"/>
        <v>(Código não identificado nas referências)</v>
      </c>
      <c r="F63" s="164" t="str" cm="1">
        <f t="array" aca="1" ref="F63" ca="1">IF(RegimeExecucao="Global","",ORÇAMENTO.Unidade)</f>
        <v/>
      </c>
      <c r="G63" s="122" t="str" cm="1">
        <f t="array" aca="1" ref="G63" ca="1">IF(RegimeExecucao="Global","",ORÇAMENTO!T63)</f>
        <v/>
      </c>
      <c r="H63" s="122" t="str" cm="1">
        <f t="array" aca="1" ref="H63" ca="1">IF(RegimeExecucao="Global","",ORÇAMENTO!W63)</f>
        <v/>
      </c>
      <c r="I63" s="125">
        <f ca="1">ORÇAMENTO!X63</f>
        <v>0</v>
      </c>
      <c r="J63" s="333" cm="1">
        <f t="array" aca="1" ref="J63" ca="1">IF($A63="S",IF(CAIXA.Modo,BM.AFAnterior,BM.MEDAnterior),IF(AND(RegimeExecucao="Global",$I63&gt;0,COUNTIF($AB$13:$AM$13,BM.medicao-1)&gt;0),M63/$I63*100,0))</f>
        <v>0</v>
      </c>
      <c r="K63" s="122">
        <f t="shared" ca="1" si="3"/>
        <v>0</v>
      </c>
      <c r="L63" s="334" cm="1">
        <f t="array" aca="1" ref="L63" ca="1">IF($A63="S",IF(CAIXA.Modo,BM.AFAcumulado,BM.MEDAcumulado),IF(AND(RegimeExecucao="Global",$I63&gt;0,COUNTIF($AB$13:$AM$13,BM.medicao)&gt;0),O63/$I63*100,0))</f>
        <v>0</v>
      </c>
      <c r="M63" s="335" cm="1">
        <f t="array" aca="1" ref="M63" ca="1">IF($A63="S",VTOTALBM,IF($A63=0,0,ROUND(SomaAgrupBM,15-13*ORÇAMENTO!$AF$11)))</f>
        <v>0</v>
      </c>
      <c r="N63" s="336">
        <f t="shared" ca="1" si="4"/>
        <v>0</v>
      </c>
      <c r="O63" s="125" cm="1">
        <f t="array" aca="1" ref="O63" ca="1">IF($A63="S",VTOTALBM,IF($A63=0,0,ROUND(SomaAgrupBM,15-13*ORÇAMENTO!$AF$11)))</f>
        <v>0</v>
      </c>
      <c r="Q63" s="337"/>
      <c r="R63" s="338"/>
      <c r="T63" s="117" t="str">
        <f t="shared" ca="1" si="5"/>
        <v/>
      </c>
      <c r="U63" s="163" t="str">
        <f t="shared" ca="1" si="6"/>
        <v/>
      </c>
      <c r="V63" s="164" t="str" cm="1">
        <f t="array" aca="1" ref="V63" ca="1">IF(AND($W63&gt;0,RegimeExecucao="Unitário"),$F63,"")</f>
        <v/>
      </c>
      <c r="W63" s="454" cm="1">
        <f t="array" aca="1" ref="W63" ca="1">IF($Y63&gt;0,CHOOSE(MATCH(RegimeExecucao,{"Unitário","Global"},0),IF($A63="S",$Y63/$X63,""),($Y63/$X63)*100),0)</f>
        <v>0</v>
      </c>
      <c r="X63" s="339" t="str" cm="1">
        <f t="array" aca="1" ref="X63" ca="1">IF($Y63&gt;0,CHOOSE(MATCH(RegimeExecucao,{"Unitário","Global"},0),IF($A63="S",ROUND($H63,ORÇAMENTO!$AF$10),""),ROUND($I63,ORÇAMENTO!$AF$11)),"")</f>
        <v/>
      </c>
      <c r="Y63" s="339">
        <f t="shared" ca="1" si="7"/>
        <v>0</v>
      </c>
      <c r="Z63" s="473"/>
      <c r="AB63" s="337"/>
      <c r="AC63" s="437"/>
      <c r="AD63" s="437"/>
      <c r="AE63" s="437"/>
      <c r="AF63" s="437"/>
      <c r="AG63" s="437"/>
      <c r="AH63" s="437"/>
      <c r="AI63" s="437"/>
      <c r="AJ63" s="437"/>
      <c r="AK63" s="437"/>
      <c r="AL63" s="437"/>
      <c r="AM63" s="338"/>
      <c r="AO63" cm="1">
        <f t="array" aca="1" ref="AO63" ca="1">IF($A63="S",IF(BM!$I63=0,0,CHOOSE(MATCH(RegimeExecucao,{"Global","Unitário"},0),ROUND(ROUND(BM.MEDAcumulado,15-13*BM!$A$9)/100*BM!$I63,15-13*ORÇAMENTO!$AF$11),ROUND(ROUND(BM.MEDAcumulado,15-13*BM!$A$9)*ROUND(BM!$H63,15-13*ORÇAMENTO!$AF$10),15-13*ORÇAMENTO!$AF$11))),IF($A63=0,0,ROUND(SomaAgrupBM,15-13*ORÇAMENTO!$AF$11)))</f>
        <v>0</v>
      </c>
    </row>
    <row r="64" spans="1:41" ht="25.5" x14ac:dyDescent="0.2">
      <c r="A64" t="str">
        <f ca="1">ORÇAMENTO!C64</f>
        <v>S</v>
      </c>
      <c r="B64">
        <f ca="1">ORÇAMENTO!D64</f>
        <v>0</v>
      </c>
      <c r="C64" s="114" t="str">
        <f t="shared" ca="1" si="1"/>
        <v/>
      </c>
      <c r="D64" s="117" t="str">
        <f ca="1">ORÇAMENTO!O64</f>
        <v>-</v>
      </c>
      <c r="E64" s="163" t="str">
        <f t="shared" ca="1" si="2"/>
        <v>(Código não identificado nas referências)</v>
      </c>
      <c r="F64" s="164" t="str" cm="1">
        <f t="array" aca="1" ref="F64" ca="1">IF(RegimeExecucao="Global","",ORÇAMENTO.Unidade)</f>
        <v/>
      </c>
      <c r="G64" s="122" t="str" cm="1">
        <f t="array" aca="1" ref="G64" ca="1">IF(RegimeExecucao="Global","",ORÇAMENTO!T64)</f>
        <v/>
      </c>
      <c r="H64" s="122" t="str" cm="1">
        <f t="array" aca="1" ref="H64" ca="1">IF(RegimeExecucao="Global","",ORÇAMENTO!W64)</f>
        <v/>
      </c>
      <c r="I64" s="125">
        <f ca="1">ORÇAMENTO!X64</f>
        <v>0</v>
      </c>
      <c r="J64" s="333" cm="1">
        <f t="array" aca="1" ref="J64" ca="1">IF($A64="S",IF(CAIXA.Modo,BM.AFAnterior,BM.MEDAnterior),IF(AND(RegimeExecucao="Global",$I64&gt;0,COUNTIF($AB$13:$AM$13,BM.medicao-1)&gt;0),M64/$I64*100,0))</f>
        <v>0</v>
      </c>
      <c r="K64" s="122">
        <f t="shared" ca="1" si="3"/>
        <v>0</v>
      </c>
      <c r="L64" s="334" cm="1">
        <f t="array" aca="1" ref="L64" ca="1">IF($A64="S",IF(CAIXA.Modo,BM.AFAcumulado,BM.MEDAcumulado),IF(AND(RegimeExecucao="Global",$I64&gt;0,COUNTIF($AB$13:$AM$13,BM.medicao)&gt;0),O64/$I64*100,0))</f>
        <v>0</v>
      </c>
      <c r="M64" s="335" cm="1">
        <f t="array" aca="1" ref="M64" ca="1">IF($A64="S",VTOTALBM,IF($A64=0,0,ROUND(SomaAgrupBM,15-13*ORÇAMENTO!$AF$11)))</f>
        <v>0</v>
      </c>
      <c r="N64" s="336">
        <f t="shared" ca="1" si="4"/>
        <v>0</v>
      </c>
      <c r="O64" s="125" cm="1">
        <f t="array" aca="1" ref="O64" ca="1">IF($A64="S",VTOTALBM,IF($A64=0,0,ROUND(SomaAgrupBM,15-13*ORÇAMENTO!$AF$11)))</f>
        <v>0</v>
      </c>
      <c r="Q64" s="337"/>
      <c r="R64" s="338"/>
      <c r="T64" s="117" t="str">
        <f t="shared" ca="1" si="5"/>
        <v/>
      </c>
      <c r="U64" s="163" t="str">
        <f t="shared" ca="1" si="6"/>
        <v/>
      </c>
      <c r="V64" s="164" t="str" cm="1">
        <f t="array" aca="1" ref="V64" ca="1">IF(AND($W64&gt;0,RegimeExecucao="Unitário"),$F64,"")</f>
        <v/>
      </c>
      <c r="W64" s="454" cm="1">
        <f t="array" aca="1" ref="W64" ca="1">IF($Y64&gt;0,CHOOSE(MATCH(RegimeExecucao,{"Unitário","Global"},0),IF($A64="S",$Y64/$X64,""),($Y64/$X64)*100),0)</f>
        <v>0</v>
      </c>
      <c r="X64" s="339" t="str" cm="1">
        <f t="array" aca="1" ref="X64" ca="1">IF($Y64&gt;0,CHOOSE(MATCH(RegimeExecucao,{"Unitário","Global"},0),IF($A64="S",ROUND($H64,ORÇAMENTO!$AF$10),""),ROUND($I64,ORÇAMENTO!$AF$11)),"")</f>
        <v/>
      </c>
      <c r="Y64" s="339">
        <f t="shared" ca="1" si="7"/>
        <v>0</v>
      </c>
      <c r="Z64" s="473"/>
      <c r="AB64" s="337"/>
      <c r="AC64" s="437"/>
      <c r="AD64" s="437"/>
      <c r="AE64" s="437"/>
      <c r="AF64" s="437"/>
      <c r="AG64" s="437"/>
      <c r="AH64" s="437"/>
      <c r="AI64" s="437"/>
      <c r="AJ64" s="437"/>
      <c r="AK64" s="437"/>
      <c r="AL64" s="437"/>
      <c r="AM64" s="338"/>
      <c r="AO64" cm="1">
        <f t="array" aca="1" ref="AO64" ca="1">IF($A64="S",IF(BM!$I64=0,0,CHOOSE(MATCH(RegimeExecucao,{"Global","Unitário"},0),ROUND(ROUND(BM.MEDAcumulado,15-13*BM!$A$9)/100*BM!$I64,15-13*ORÇAMENTO!$AF$11),ROUND(ROUND(BM.MEDAcumulado,15-13*BM!$A$9)*ROUND(BM!$H64,15-13*ORÇAMENTO!$AF$10),15-13*ORÇAMENTO!$AF$11))),IF($A64=0,0,ROUND(SomaAgrupBM,15-13*ORÇAMENTO!$AF$11)))</f>
        <v>0</v>
      </c>
    </row>
    <row r="65" spans="1:41" x14ac:dyDescent="0.2">
      <c r="A65" t="str">
        <f ca="1">ORÇAMENTO!C65</f>
        <v>S</v>
      </c>
      <c r="B65">
        <f ca="1">ORÇAMENTO!D65</f>
        <v>0</v>
      </c>
      <c r="C65" s="114" t="str">
        <f t="shared" ca="1" si="1"/>
        <v/>
      </c>
      <c r="D65" s="117" t="str">
        <f ca="1">ORÇAMENTO!O65</f>
        <v>-</v>
      </c>
      <c r="E65" s="163" t="str">
        <f t="shared" ca="1" si="2"/>
        <v>(Código não identificado nas referências)</v>
      </c>
      <c r="F65" s="164" t="str" cm="1">
        <f t="array" aca="1" ref="F65" ca="1">IF(RegimeExecucao="Global","",ORÇAMENTO.Unidade)</f>
        <v/>
      </c>
      <c r="G65" s="122" t="str" cm="1">
        <f t="array" aca="1" ref="G65" ca="1">IF(RegimeExecucao="Global","",ORÇAMENTO!T65)</f>
        <v/>
      </c>
      <c r="H65" s="122" t="str" cm="1">
        <f t="array" aca="1" ref="H65" ca="1">IF(RegimeExecucao="Global","",ORÇAMENTO!W65)</f>
        <v/>
      </c>
      <c r="I65" s="125">
        <f ca="1">ORÇAMENTO!X65</f>
        <v>0</v>
      </c>
      <c r="J65" s="333" cm="1">
        <f t="array" aca="1" ref="J65" ca="1">IF($A65="S",IF(CAIXA.Modo,BM.AFAnterior,BM.MEDAnterior),IF(AND(RegimeExecucao="Global",$I65&gt;0,COUNTIF($AB$13:$AM$13,BM.medicao-1)&gt;0),M65/$I65*100,0))</f>
        <v>0</v>
      </c>
      <c r="K65" s="122">
        <f t="shared" ca="1" si="3"/>
        <v>0</v>
      </c>
      <c r="L65" s="334" cm="1">
        <f t="array" aca="1" ref="L65" ca="1">IF($A65="S",IF(CAIXA.Modo,BM.AFAcumulado,BM.MEDAcumulado),IF(AND(RegimeExecucao="Global",$I65&gt;0,COUNTIF($AB$13:$AM$13,BM.medicao)&gt;0),O65/$I65*100,0))</f>
        <v>0</v>
      </c>
      <c r="M65" s="335" cm="1">
        <f t="array" aca="1" ref="M65" ca="1">IF($A65="S",VTOTALBM,IF($A65=0,0,ROUND(SomaAgrupBM,15-13*ORÇAMENTO!$AF$11)))</f>
        <v>0</v>
      </c>
      <c r="N65" s="336">
        <f t="shared" ca="1" si="4"/>
        <v>0</v>
      </c>
      <c r="O65" s="125" cm="1">
        <f t="array" aca="1" ref="O65" ca="1">IF($A65="S",VTOTALBM,IF($A65=0,0,ROUND(SomaAgrupBM,15-13*ORÇAMENTO!$AF$11)))</f>
        <v>0</v>
      </c>
      <c r="Q65" s="337"/>
      <c r="R65" s="338"/>
      <c r="T65" s="117" t="str">
        <f t="shared" ca="1" si="5"/>
        <v/>
      </c>
      <c r="U65" s="163" t="str">
        <f t="shared" ca="1" si="6"/>
        <v/>
      </c>
      <c r="V65" s="164" t="str" cm="1">
        <f t="array" aca="1" ref="V65" ca="1">IF(AND($W65&gt;0,RegimeExecucao="Unitário"),$F65,"")</f>
        <v/>
      </c>
      <c r="W65" s="454" cm="1">
        <f t="array" aca="1" ref="W65" ca="1">IF($Y65&gt;0,CHOOSE(MATCH(RegimeExecucao,{"Unitário","Global"},0),IF($A65="S",$Y65/$X65,""),($Y65/$X65)*100),0)</f>
        <v>0</v>
      </c>
      <c r="X65" s="339" t="str" cm="1">
        <f t="array" aca="1" ref="X65" ca="1">IF($Y65&gt;0,CHOOSE(MATCH(RegimeExecucao,{"Unitário","Global"},0),IF($A65="S",ROUND($H65,ORÇAMENTO!$AF$10),""),ROUND($I65,ORÇAMENTO!$AF$11)),"")</f>
        <v/>
      </c>
      <c r="Y65" s="339">
        <f t="shared" ca="1" si="7"/>
        <v>0</v>
      </c>
      <c r="Z65" s="473"/>
      <c r="AB65" s="337"/>
      <c r="AC65" s="437"/>
      <c r="AD65" s="437"/>
      <c r="AE65" s="437"/>
      <c r="AF65" s="437"/>
      <c r="AG65" s="437"/>
      <c r="AH65" s="437"/>
      <c r="AI65" s="437"/>
      <c r="AJ65" s="437"/>
      <c r="AK65" s="437"/>
      <c r="AL65" s="437"/>
      <c r="AM65" s="338"/>
      <c r="AO65" cm="1">
        <f t="array" aca="1" ref="AO65" ca="1">IF($A65="S",IF(BM!$I65=0,0,CHOOSE(MATCH(RegimeExecucao,{"Global","Unitário"},0),ROUND(ROUND(BM.MEDAcumulado,15-13*BM!$A$9)/100*BM!$I65,15-13*ORÇAMENTO!$AF$11),ROUND(ROUND(BM.MEDAcumulado,15-13*BM!$A$9)*ROUND(BM!$H65,15-13*ORÇAMENTO!$AF$10),15-13*ORÇAMENTO!$AF$11))),IF($A65=0,0,ROUND(SomaAgrupBM,15-13*ORÇAMENTO!$AF$11)))</f>
        <v>0</v>
      </c>
    </row>
    <row r="66" spans="1:41" x14ac:dyDescent="0.2">
      <c r="A66">
        <f ca="1">ORÇAMENTO!C66</f>
        <v>2</v>
      </c>
      <c r="B66">
        <f ca="1">ORÇAMENTO!D66</f>
        <v>7</v>
      </c>
      <c r="C66" s="114" t="str">
        <f t="shared" ca="1" si="1"/>
        <v>F</v>
      </c>
      <c r="D66" s="117" t="str">
        <f ca="1">ORÇAMENTO!O66</f>
        <v>5.2.</v>
      </c>
      <c r="E66" s="163" t="str">
        <f t="shared" si="2"/>
        <v>ESQUADRIAS METÁLICAS</v>
      </c>
      <c r="F66" s="164" t="str" cm="1">
        <f t="array" aca="1" ref="F66" ca="1">IF(RegimeExecucao="Global","",ORÇAMENTO.Unidade)</f>
        <v/>
      </c>
      <c r="G66" s="122" t="str" cm="1">
        <f t="array" aca="1" ref="G66" ca="1">IF(RegimeExecucao="Global","",ORÇAMENTO!T66)</f>
        <v/>
      </c>
      <c r="H66" s="122" t="str" cm="1">
        <f t="array" aca="1" ref="H66" ca="1">IF(RegimeExecucao="Global","",ORÇAMENTO!W66)</f>
        <v/>
      </c>
      <c r="I66" s="125">
        <f ca="1">ORÇAMENTO!X66</f>
        <v>0</v>
      </c>
      <c r="J66" s="333" cm="1">
        <f t="array" aca="1" ref="J66" ca="1">IF($A66="S",IF(CAIXA.Modo,BM.AFAnterior,BM.MEDAnterior),IF(AND(RegimeExecucao="Global",$I66&gt;0,COUNTIF($AB$13:$AM$13,BM.medicao-1)&gt;0),M66/$I66*100,0))</f>
        <v>0</v>
      </c>
      <c r="K66" s="122">
        <f t="shared" ca="1" si="3"/>
        <v>0</v>
      </c>
      <c r="L66" s="334" cm="1">
        <f t="array" aca="1" ref="L66" ca="1">IF($A66="S",IF(CAIXA.Modo,BM.AFAcumulado,BM.MEDAcumulado),IF(AND(RegimeExecucao="Global",$I66&gt;0,COUNTIF($AB$13:$AM$13,BM.medicao)&gt;0),O66/$I66*100,0))</f>
        <v>0</v>
      </c>
      <c r="M66" s="335" cm="1">
        <f t="array" aca="1" ref="M66" ca="1">IF($A66="S",VTOTALBM,IF($A66=0,0,ROUND(SomaAgrupBM,15-13*ORÇAMENTO!$AF$11)))</f>
        <v>0</v>
      </c>
      <c r="N66" s="336">
        <f t="shared" ca="1" si="4"/>
        <v>0</v>
      </c>
      <c r="O66" s="125" cm="1">
        <f t="array" aca="1" ref="O66" ca="1">IF($A66="S",VTOTALBM,IF($A66=0,0,ROUND(SomaAgrupBM,15-13*ORÇAMENTO!$AF$11)))</f>
        <v>0</v>
      </c>
      <c r="Q66" s="337"/>
      <c r="R66" s="338"/>
      <c r="T66" s="117" t="str">
        <f t="shared" ca="1" si="5"/>
        <v/>
      </c>
      <c r="U66" s="163" t="str">
        <f t="shared" ca="1" si="6"/>
        <v/>
      </c>
      <c r="V66" s="164" t="str" cm="1">
        <f t="array" aca="1" ref="V66" ca="1">IF(AND($W66&gt;0,RegimeExecucao="Unitário"),$F66,"")</f>
        <v/>
      </c>
      <c r="W66" s="454" cm="1">
        <f t="array" aca="1" ref="W66" ca="1">IF($Y66&gt;0,CHOOSE(MATCH(RegimeExecucao,{"Unitário","Global"},0),IF($A66="S",$Y66/$X66,""),($Y66/$X66)*100),0)</f>
        <v>0</v>
      </c>
      <c r="X66" s="339" t="str" cm="1">
        <f t="array" aca="1" ref="X66" ca="1">IF($Y66&gt;0,CHOOSE(MATCH(RegimeExecucao,{"Unitário","Global"},0),IF($A66="S",ROUND($H66,ORÇAMENTO!$AF$10),""),ROUND($I66,ORÇAMENTO!$AF$11)),"")</f>
        <v/>
      </c>
      <c r="Y66" s="339">
        <f t="shared" ca="1" si="7"/>
        <v>0</v>
      </c>
      <c r="Z66" s="473"/>
      <c r="AB66" s="337"/>
      <c r="AC66" s="437"/>
      <c r="AD66" s="437"/>
      <c r="AE66" s="437"/>
      <c r="AF66" s="437"/>
      <c r="AG66" s="437"/>
      <c r="AH66" s="437"/>
      <c r="AI66" s="437"/>
      <c r="AJ66" s="437"/>
      <c r="AK66" s="437"/>
      <c r="AL66" s="437"/>
      <c r="AM66" s="338"/>
      <c r="AO66" cm="1">
        <f t="array" aca="1" ref="AO66" ca="1">IF($A66="S",IF(BM!$I66=0,0,CHOOSE(MATCH(RegimeExecucao,{"Global","Unitário"},0),ROUND(ROUND(BM.MEDAcumulado,15-13*BM!$A$9)/100*BM!$I66,15-13*ORÇAMENTO!$AF$11),ROUND(ROUND(BM.MEDAcumulado,15-13*BM!$A$9)*ROUND(BM!$H66,15-13*ORÇAMENTO!$AF$10),15-13*ORÇAMENTO!$AF$11))),IF($A66=0,0,ROUND(SomaAgrupBM,15-13*ORÇAMENTO!$AF$11)))</f>
        <v>0</v>
      </c>
    </row>
    <row r="67" spans="1:41" ht="38.25" x14ac:dyDescent="0.2">
      <c r="A67" t="str">
        <f ca="1">ORÇAMENTO!C67</f>
        <v>S</v>
      </c>
      <c r="B67">
        <f ca="1">ORÇAMENTO!D67</f>
        <v>0</v>
      </c>
      <c r="C67" s="114" t="str">
        <f t="shared" ca="1" si="1"/>
        <v/>
      </c>
      <c r="D67" s="117" t="str">
        <f ca="1">ORÇAMENTO!O67</f>
        <v>-</v>
      </c>
      <c r="E67" s="163" t="str">
        <f t="shared" ca="1" si="2"/>
        <v>(Código não identificado nas referências)</v>
      </c>
      <c r="F67" s="164" t="str" cm="1">
        <f t="array" aca="1" ref="F67" ca="1">IF(RegimeExecucao="Global","",ORÇAMENTO.Unidade)</f>
        <v/>
      </c>
      <c r="G67" s="122" t="str" cm="1">
        <f t="array" aca="1" ref="G67" ca="1">IF(RegimeExecucao="Global","",ORÇAMENTO!T67)</f>
        <v/>
      </c>
      <c r="H67" s="122" t="str" cm="1">
        <f t="array" aca="1" ref="H67" ca="1">IF(RegimeExecucao="Global","",ORÇAMENTO!W67)</f>
        <v/>
      </c>
      <c r="I67" s="125">
        <f ca="1">ORÇAMENTO!X67</f>
        <v>0</v>
      </c>
      <c r="J67" s="333" cm="1">
        <f t="array" aca="1" ref="J67" ca="1">IF($A67="S",IF(CAIXA.Modo,BM.AFAnterior,BM.MEDAnterior),IF(AND(RegimeExecucao="Global",$I67&gt;0,COUNTIF($AB$13:$AM$13,BM.medicao-1)&gt;0),M67/$I67*100,0))</f>
        <v>0</v>
      </c>
      <c r="K67" s="122">
        <f t="shared" ca="1" si="3"/>
        <v>0</v>
      </c>
      <c r="L67" s="334" cm="1">
        <f t="array" aca="1" ref="L67" ca="1">IF($A67="S",IF(CAIXA.Modo,BM.AFAcumulado,BM.MEDAcumulado),IF(AND(RegimeExecucao="Global",$I67&gt;0,COUNTIF($AB$13:$AM$13,BM.medicao)&gt;0),O67/$I67*100,0))</f>
        <v>0</v>
      </c>
      <c r="M67" s="335" cm="1">
        <f t="array" aca="1" ref="M67" ca="1">IF($A67="S",VTOTALBM,IF($A67=0,0,ROUND(SomaAgrupBM,15-13*ORÇAMENTO!$AF$11)))</f>
        <v>0</v>
      </c>
      <c r="N67" s="336">
        <f t="shared" ca="1" si="4"/>
        <v>0</v>
      </c>
      <c r="O67" s="125" cm="1">
        <f t="array" aca="1" ref="O67" ca="1">IF($A67="S",VTOTALBM,IF($A67=0,0,ROUND(SomaAgrupBM,15-13*ORÇAMENTO!$AF$11)))</f>
        <v>0</v>
      </c>
      <c r="Q67" s="337"/>
      <c r="R67" s="338"/>
      <c r="T67" s="117" t="str">
        <f t="shared" ca="1" si="5"/>
        <v/>
      </c>
      <c r="U67" s="163" t="str">
        <f t="shared" ca="1" si="6"/>
        <v/>
      </c>
      <c r="V67" s="164" t="str" cm="1">
        <f t="array" aca="1" ref="V67" ca="1">IF(AND($W67&gt;0,RegimeExecucao="Unitário"),$F67,"")</f>
        <v/>
      </c>
      <c r="W67" s="454" cm="1">
        <f t="array" aca="1" ref="W67" ca="1">IF($Y67&gt;0,CHOOSE(MATCH(RegimeExecucao,{"Unitário","Global"},0),IF($A67="S",$Y67/$X67,""),($Y67/$X67)*100),0)</f>
        <v>0</v>
      </c>
      <c r="X67" s="339" t="str" cm="1">
        <f t="array" aca="1" ref="X67" ca="1">IF($Y67&gt;0,CHOOSE(MATCH(RegimeExecucao,{"Unitário","Global"},0),IF($A67="S",ROUND($H67,ORÇAMENTO!$AF$10),""),ROUND($I67,ORÇAMENTO!$AF$11)),"")</f>
        <v/>
      </c>
      <c r="Y67" s="339">
        <f t="shared" ca="1" si="7"/>
        <v>0</v>
      </c>
      <c r="Z67" s="473"/>
      <c r="AB67" s="337"/>
      <c r="AC67" s="437"/>
      <c r="AD67" s="437"/>
      <c r="AE67" s="437"/>
      <c r="AF67" s="437"/>
      <c r="AG67" s="437"/>
      <c r="AH67" s="437"/>
      <c r="AI67" s="437"/>
      <c r="AJ67" s="437"/>
      <c r="AK67" s="437"/>
      <c r="AL67" s="437"/>
      <c r="AM67" s="338"/>
      <c r="AO67" cm="1">
        <f t="array" aca="1" ref="AO67" ca="1">IF($A67="S",IF(BM!$I67=0,0,CHOOSE(MATCH(RegimeExecucao,{"Global","Unitário"},0),ROUND(ROUND(BM.MEDAcumulado,15-13*BM!$A$9)/100*BM!$I67,15-13*ORÇAMENTO!$AF$11),ROUND(ROUND(BM.MEDAcumulado,15-13*BM!$A$9)*ROUND(BM!$H67,15-13*ORÇAMENTO!$AF$10),15-13*ORÇAMENTO!$AF$11))),IF($A67=0,0,ROUND(SomaAgrupBM,15-13*ORÇAMENTO!$AF$11)))</f>
        <v>0</v>
      </c>
    </row>
    <row r="68" spans="1:41" ht="76.5" x14ac:dyDescent="0.2">
      <c r="A68" t="str">
        <f ca="1">ORÇAMENTO!C68</f>
        <v>S</v>
      </c>
      <c r="B68">
        <f ca="1">ORÇAMENTO!D68</f>
        <v>0</v>
      </c>
      <c r="C68" s="114" t="str">
        <f t="shared" ca="1" si="1"/>
        <v/>
      </c>
      <c r="D68" s="117" t="str">
        <f ca="1">ORÇAMENTO!O68</f>
        <v>-</v>
      </c>
      <c r="E68" s="163" t="str">
        <f t="shared" ca="1" si="2"/>
        <v>(Código não identificado nas referências)</v>
      </c>
      <c r="F68" s="164" t="str" cm="1">
        <f t="array" aca="1" ref="F68" ca="1">IF(RegimeExecucao="Global","",ORÇAMENTO.Unidade)</f>
        <v/>
      </c>
      <c r="G68" s="122" t="str" cm="1">
        <f t="array" aca="1" ref="G68" ca="1">IF(RegimeExecucao="Global","",ORÇAMENTO!T68)</f>
        <v/>
      </c>
      <c r="H68" s="122" t="str" cm="1">
        <f t="array" aca="1" ref="H68" ca="1">IF(RegimeExecucao="Global","",ORÇAMENTO!W68)</f>
        <v/>
      </c>
      <c r="I68" s="125">
        <f ca="1">ORÇAMENTO!X68</f>
        <v>0</v>
      </c>
      <c r="J68" s="333" cm="1">
        <f t="array" aca="1" ref="J68" ca="1">IF($A68="S",IF(CAIXA.Modo,BM.AFAnterior,BM.MEDAnterior),IF(AND(RegimeExecucao="Global",$I68&gt;0,COUNTIF($AB$13:$AM$13,BM.medicao-1)&gt;0),M68/$I68*100,0))</f>
        <v>0</v>
      </c>
      <c r="K68" s="122">
        <f t="shared" ca="1" si="3"/>
        <v>0</v>
      </c>
      <c r="L68" s="334" cm="1">
        <f t="array" aca="1" ref="L68" ca="1">IF($A68="S",IF(CAIXA.Modo,BM.AFAcumulado,BM.MEDAcumulado),IF(AND(RegimeExecucao="Global",$I68&gt;0,COUNTIF($AB$13:$AM$13,BM.medicao)&gt;0),O68/$I68*100,0))</f>
        <v>0</v>
      </c>
      <c r="M68" s="335" cm="1">
        <f t="array" aca="1" ref="M68" ca="1">IF($A68="S",VTOTALBM,IF($A68=0,0,ROUND(SomaAgrupBM,15-13*ORÇAMENTO!$AF$11)))</f>
        <v>0</v>
      </c>
      <c r="N68" s="336">
        <f t="shared" ca="1" si="4"/>
        <v>0</v>
      </c>
      <c r="O68" s="125" cm="1">
        <f t="array" aca="1" ref="O68" ca="1">IF($A68="S",VTOTALBM,IF($A68=0,0,ROUND(SomaAgrupBM,15-13*ORÇAMENTO!$AF$11)))</f>
        <v>0</v>
      </c>
      <c r="Q68" s="337"/>
      <c r="R68" s="338"/>
      <c r="T68" s="117" t="str">
        <f t="shared" ca="1" si="5"/>
        <v/>
      </c>
      <c r="U68" s="163" t="str">
        <f t="shared" ca="1" si="6"/>
        <v/>
      </c>
      <c r="V68" s="164" t="str" cm="1">
        <f t="array" aca="1" ref="V68" ca="1">IF(AND($W68&gt;0,RegimeExecucao="Unitário"),$F68,"")</f>
        <v/>
      </c>
      <c r="W68" s="454" cm="1">
        <f t="array" aca="1" ref="W68" ca="1">IF($Y68&gt;0,CHOOSE(MATCH(RegimeExecucao,{"Unitário","Global"},0),IF($A68="S",$Y68/$X68,""),($Y68/$X68)*100),0)</f>
        <v>0</v>
      </c>
      <c r="X68" s="339" t="str" cm="1">
        <f t="array" aca="1" ref="X68" ca="1">IF($Y68&gt;0,CHOOSE(MATCH(RegimeExecucao,{"Unitário","Global"},0),IF($A68="S",ROUND($H68,ORÇAMENTO!$AF$10),""),ROUND($I68,ORÇAMENTO!$AF$11)),"")</f>
        <v/>
      </c>
      <c r="Y68" s="339">
        <f t="shared" ca="1" si="7"/>
        <v>0</v>
      </c>
      <c r="Z68" s="473"/>
      <c r="AB68" s="337"/>
      <c r="AC68" s="437"/>
      <c r="AD68" s="437"/>
      <c r="AE68" s="437"/>
      <c r="AF68" s="437"/>
      <c r="AG68" s="437"/>
      <c r="AH68" s="437"/>
      <c r="AI68" s="437"/>
      <c r="AJ68" s="437"/>
      <c r="AK68" s="437"/>
      <c r="AL68" s="437"/>
      <c r="AM68" s="338"/>
      <c r="AO68" cm="1">
        <f t="array" aca="1" ref="AO68" ca="1">IF($A68="S",IF(BM!$I68=0,0,CHOOSE(MATCH(RegimeExecucao,{"Global","Unitário"},0),ROUND(ROUND(BM.MEDAcumulado,15-13*BM!$A$9)/100*BM!$I68,15-13*ORÇAMENTO!$AF$11),ROUND(ROUND(BM.MEDAcumulado,15-13*BM!$A$9)*ROUND(BM!$H68,15-13*ORÇAMENTO!$AF$10),15-13*ORÇAMENTO!$AF$11))),IF($A68=0,0,ROUND(SomaAgrupBM,15-13*ORÇAMENTO!$AF$11)))</f>
        <v>0</v>
      </c>
    </row>
    <row r="69" spans="1:41" ht="76.5" x14ac:dyDescent="0.2">
      <c r="A69" t="str">
        <f ca="1">ORÇAMENTO!C69</f>
        <v>S</v>
      </c>
      <c r="B69">
        <f ca="1">ORÇAMENTO!D69</f>
        <v>0</v>
      </c>
      <c r="C69" s="114" t="str">
        <f t="shared" ca="1" si="1"/>
        <v/>
      </c>
      <c r="D69" s="117" t="str">
        <f ca="1">ORÇAMENTO!O69</f>
        <v>-</v>
      </c>
      <c r="E69" s="163" t="str">
        <f t="shared" ca="1" si="2"/>
        <v>(Código não identificado nas referências)</v>
      </c>
      <c r="F69" s="164" t="str" cm="1">
        <f t="array" aca="1" ref="F69" ca="1">IF(RegimeExecucao="Global","",ORÇAMENTO.Unidade)</f>
        <v/>
      </c>
      <c r="G69" s="122" t="str" cm="1">
        <f t="array" aca="1" ref="G69" ca="1">IF(RegimeExecucao="Global","",ORÇAMENTO!T69)</f>
        <v/>
      </c>
      <c r="H69" s="122" t="str" cm="1">
        <f t="array" aca="1" ref="H69" ca="1">IF(RegimeExecucao="Global","",ORÇAMENTO!W69)</f>
        <v/>
      </c>
      <c r="I69" s="125">
        <f ca="1">ORÇAMENTO!X69</f>
        <v>0</v>
      </c>
      <c r="J69" s="333" cm="1">
        <f t="array" aca="1" ref="J69" ca="1">IF($A69="S",IF(CAIXA.Modo,BM.AFAnterior,BM.MEDAnterior),IF(AND(RegimeExecucao="Global",$I69&gt;0,COUNTIF($AB$13:$AM$13,BM.medicao-1)&gt;0),M69/$I69*100,0))</f>
        <v>0</v>
      </c>
      <c r="K69" s="122">
        <f t="shared" ca="1" si="3"/>
        <v>0</v>
      </c>
      <c r="L69" s="334" cm="1">
        <f t="array" aca="1" ref="L69" ca="1">IF($A69="S",IF(CAIXA.Modo,BM.AFAcumulado,BM.MEDAcumulado),IF(AND(RegimeExecucao="Global",$I69&gt;0,COUNTIF($AB$13:$AM$13,BM.medicao)&gt;0),O69/$I69*100,0))</f>
        <v>0</v>
      </c>
      <c r="M69" s="335" cm="1">
        <f t="array" aca="1" ref="M69" ca="1">IF($A69="S",VTOTALBM,IF($A69=0,0,ROUND(SomaAgrupBM,15-13*ORÇAMENTO!$AF$11)))</f>
        <v>0</v>
      </c>
      <c r="N69" s="336">
        <f t="shared" ca="1" si="4"/>
        <v>0</v>
      </c>
      <c r="O69" s="125" cm="1">
        <f t="array" aca="1" ref="O69" ca="1">IF($A69="S",VTOTALBM,IF($A69=0,0,ROUND(SomaAgrupBM,15-13*ORÇAMENTO!$AF$11)))</f>
        <v>0</v>
      </c>
      <c r="Q69" s="337"/>
      <c r="R69" s="338"/>
      <c r="T69" s="117" t="str">
        <f t="shared" ca="1" si="5"/>
        <v/>
      </c>
      <c r="U69" s="163" t="str">
        <f t="shared" ca="1" si="6"/>
        <v/>
      </c>
      <c r="V69" s="164" t="str" cm="1">
        <f t="array" aca="1" ref="V69" ca="1">IF(AND($W69&gt;0,RegimeExecucao="Unitário"),$F69,"")</f>
        <v/>
      </c>
      <c r="W69" s="454" cm="1">
        <f t="array" aca="1" ref="W69" ca="1">IF($Y69&gt;0,CHOOSE(MATCH(RegimeExecucao,{"Unitário","Global"},0),IF($A69="S",$Y69/$X69,""),($Y69/$X69)*100),0)</f>
        <v>0</v>
      </c>
      <c r="X69" s="339" t="str" cm="1">
        <f t="array" aca="1" ref="X69" ca="1">IF($Y69&gt;0,CHOOSE(MATCH(RegimeExecucao,{"Unitário","Global"},0),IF($A69="S",ROUND($H69,ORÇAMENTO!$AF$10),""),ROUND($I69,ORÇAMENTO!$AF$11)),"")</f>
        <v/>
      </c>
      <c r="Y69" s="339">
        <f t="shared" ca="1" si="7"/>
        <v>0</v>
      </c>
      <c r="Z69" s="473"/>
      <c r="AB69" s="337"/>
      <c r="AC69" s="437"/>
      <c r="AD69" s="437"/>
      <c r="AE69" s="437"/>
      <c r="AF69" s="437"/>
      <c r="AG69" s="437"/>
      <c r="AH69" s="437"/>
      <c r="AI69" s="437"/>
      <c r="AJ69" s="437"/>
      <c r="AK69" s="437"/>
      <c r="AL69" s="437"/>
      <c r="AM69" s="338"/>
      <c r="AO69" cm="1">
        <f t="array" aca="1" ref="AO69" ca="1">IF($A69="S",IF(BM!$I69=0,0,CHOOSE(MATCH(RegimeExecucao,{"Global","Unitário"},0),ROUND(ROUND(BM.MEDAcumulado,15-13*BM!$A$9)/100*BM!$I69,15-13*ORÇAMENTO!$AF$11),ROUND(ROUND(BM.MEDAcumulado,15-13*BM!$A$9)*ROUND(BM!$H69,15-13*ORÇAMENTO!$AF$10),15-13*ORÇAMENTO!$AF$11))),IF($A69=0,0,ROUND(SomaAgrupBM,15-13*ORÇAMENTO!$AF$11)))</f>
        <v>0</v>
      </c>
    </row>
    <row r="70" spans="1:41" ht="63.75" x14ac:dyDescent="0.2">
      <c r="A70" t="str">
        <f ca="1">ORÇAMENTO!C70</f>
        <v>S</v>
      </c>
      <c r="B70">
        <f ca="1">ORÇAMENTO!D70</f>
        <v>0</v>
      </c>
      <c r="C70" s="114" t="str">
        <f t="shared" ca="1" si="1"/>
        <v/>
      </c>
      <c r="D70" s="117" t="str">
        <f ca="1">ORÇAMENTO!O70</f>
        <v>-</v>
      </c>
      <c r="E70" s="163" t="str">
        <f t="shared" ca="1" si="2"/>
        <v>(Código não identificado nas referências)</v>
      </c>
      <c r="F70" s="164" t="str" cm="1">
        <f t="array" aca="1" ref="F70" ca="1">IF(RegimeExecucao="Global","",ORÇAMENTO.Unidade)</f>
        <v/>
      </c>
      <c r="G70" s="122" t="str" cm="1">
        <f t="array" aca="1" ref="G70" ca="1">IF(RegimeExecucao="Global","",ORÇAMENTO!T70)</f>
        <v/>
      </c>
      <c r="H70" s="122" t="str" cm="1">
        <f t="array" aca="1" ref="H70" ca="1">IF(RegimeExecucao="Global","",ORÇAMENTO!W70)</f>
        <v/>
      </c>
      <c r="I70" s="125">
        <f ca="1">ORÇAMENTO!X70</f>
        <v>0</v>
      </c>
      <c r="J70" s="333" cm="1">
        <f t="array" aca="1" ref="J70" ca="1">IF($A70="S",IF(CAIXA.Modo,BM.AFAnterior,BM.MEDAnterior),IF(AND(RegimeExecucao="Global",$I70&gt;0,COUNTIF($AB$13:$AM$13,BM.medicao-1)&gt;0),M70/$I70*100,0))</f>
        <v>0</v>
      </c>
      <c r="K70" s="122">
        <f t="shared" ca="1" si="3"/>
        <v>0</v>
      </c>
      <c r="L70" s="334" cm="1">
        <f t="array" aca="1" ref="L70" ca="1">IF($A70="S",IF(CAIXA.Modo,BM.AFAcumulado,BM.MEDAcumulado),IF(AND(RegimeExecucao="Global",$I70&gt;0,COUNTIF($AB$13:$AM$13,BM.medicao)&gt;0),O70/$I70*100,0))</f>
        <v>0</v>
      </c>
      <c r="M70" s="335" cm="1">
        <f t="array" aca="1" ref="M70" ca="1">IF($A70="S",VTOTALBM,IF($A70=0,0,ROUND(SomaAgrupBM,15-13*ORÇAMENTO!$AF$11)))</f>
        <v>0</v>
      </c>
      <c r="N70" s="336">
        <f t="shared" ca="1" si="4"/>
        <v>0</v>
      </c>
      <c r="O70" s="125" cm="1">
        <f t="array" aca="1" ref="O70" ca="1">IF($A70="S",VTOTALBM,IF($A70=0,0,ROUND(SomaAgrupBM,15-13*ORÇAMENTO!$AF$11)))</f>
        <v>0</v>
      </c>
      <c r="Q70" s="337"/>
      <c r="R70" s="338"/>
      <c r="T70" s="117" t="str">
        <f t="shared" ca="1" si="5"/>
        <v/>
      </c>
      <c r="U70" s="163" t="str">
        <f t="shared" ca="1" si="6"/>
        <v/>
      </c>
      <c r="V70" s="164" t="str" cm="1">
        <f t="array" aca="1" ref="V70" ca="1">IF(AND($W70&gt;0,RegimeExecucao="Unitário"),$F70,"")</f>
        <v/>
      </c>
      <c r="W70" s="454" cm="1">
        <f t="array" aca="1" ref="W70" ca="1">IF($Y70&gt;0,CHOOSE(MATCH(RegimeExecucao,{"Unitário","Global"},0),IF($A70="S",$Y70/$X70,""),($Y70/$X70)*100),0)</f>
        <v>0</v>
      </c>
      <c r="X70" s="339" t="str" cm="1">
        <f t="array" aca="1" ref="X70" ca="1">IF($Y70&gt;0,CHOOSE(MATCH(RegimeExecucao,{"Unitário","Global"},0),IF($A70="S",ROUND($H70,ORÇAMENTO!$AF$10),""),ROUND($I70,ORÇAMENTO!$AF$11)),"")</f>
        <v/>
      </c>
      <c r="Y70" s="339">
        <f t="shared" ca="1" si="7"/>
        <v>0</v>
      </c>
      <c r="Z70" s="473"/>
      <c r="AB70" s="337"/>
      <c r="AC70" s="437"/>
      <c r="AD70" s="437"/>
      <c r="AE70" s="437"/>
      <c r="AF70" s="437"/>
      <c r="AG70" s="437"/>
      <c r="AH70" s="437"/>
      <c r="AI70" s="437"/>
      <c r="AJ70" s="437"/>
      <c r="AK70" s="437"/>
      <c r="AL70" s="437"/>
      <c r="AM70" s="338"/>
      <c r="AO70" cm="1">
        <f t="array" aca="1" ref="AO70" ca="1">IF($A70="S",IF(BM!$I70=0,0,CHOOSE(MATCH(RegimeExecucao,{"Global","Unitário"},0),ROUND(ROUND(BM.MEDAcumulado,15-13*BM!$A$9)/100*BM!$I70,15-13*ORÇAMENTO!$AF$11),ROUND(ROUND(BM.MEDAcumulado,15-13*BM!$A$9)*ROUND(BM!$H70,15-13*ORÇAMENTO!$AF$10),15-13*ORÇAMENTO!$AF$11))),IF($A70=0,0,ROUND(SomaAgrupBM,15-13*ORÇAMENTO!$AF$11)))</f>
        <v>0</v>
      </c>
    </row>
    <row r="71" spans="1:41" ht="25.5" x14ac:dyDescent="0.2">
      <c r="A71" t="str">
        <f ca="1">ORÇAMENTO!C71</f>
        <v>S</v>
      </c>
      <c r="B71">
        <f ca="1">ORÇAMENTO!D71</f>
        <v>0</v>
      </c>
      <c r="C71" s="114" t="str">
        <f t="shared" ca="1" si="1"/>
        <v/>
      </c>
      <c r="D71" s="117" t="str">
        <f ca="1">ORÇAMENTO!O71</f>
        <v>-</v>
      </c>
      <c r="E71" s="163" t="str">
        <f t="shared" ca="1" si="2"/>
        <v>(Código não identificado nas referências)</v>
      </c>
      <c r="F71" s="164" t="str" cm="1">
        <f t="array" aca="1" ref="F71" ca="1">IF(RegimeExecucao="Global","",ORÇAMENTO.Unidade)</f>
        <v/>
      </c>
      <c r="G71" s="122" t="str" cm="1">
        <f t="array" aca="1" ref="G71" ca="1">IF(RegimeExecucao="Global","",ORÇAMENTO!T71)</f>
        <v/>
      </c>
      <c r="H71" s="122" t="str" cm="1">
        <f t="array" aca="1" ref="H71" ca="1">IF(RegimeExecucao="Global","",ORÇAMENTO!W71)</f>
        <v/>
      </c>
      <c r="I71" s="125">
        <f ca="1">ORÇAMENTO!X71</f>
        <v>0</v>
      </c>
      <c r="J71" s="333" cm="1">
        <f t="array" aca="1" ref="J71" ca="1">IF($A71="S",IF(CAIXA.Modo,BM.AFAnterior,BM.MEDAnterior),IF(AND(RegimeExecucao="Global",$I71&gt;0,COUNTIF($AB$13:$AM$13,BM.medicao-1)&gt;0),M71/$I71*100,0))</f>
        <v>0</v>
      </c>
      <c r="K71" s="122">
        <f t="shared" ca="1" si="3"/>
        <v>0</v>
      </c>
      <c r="L71" s="334" cm="1">
        <f t="array" aca="1" ref="L71" ca="1">IF($A71="S",IF(CAIXA.Modo,BM.AFAcumulado,BM.MEDAcumulado),IF(AND(RegimeExecucao="Global",$I71&gt;0,COUNTIF($AB$13:$AM$13,BM.medicao)&gt;0),O71/$I71*100,0))</f>
        <v>0</v>
      </c>
      <c r="M71" s="335" cm="1">
        <f t="array" aca="1" ref="M71" ca="1">IF($A71="S",VTOTALBM,IF($A71=0,0,ROUND(SomaAgrupBM,15-13*ORÇAMENTO!$AF$11)))</f>
        <v>0</v>
      </c>
      <c r="N71" s="336">
        <f t="shared" ca="1" si="4"/>
        <v>0</v>
      </c>
      <c r="O71" s="125" cm="1">
        <f t="array" aca="1" ref="O71" ca="1">IF($A71="S",VTOTALBM,IF($A71=0,0,ROUND(SomaAgrupBM,15-13*ORÇAMENTO!$AF$11)))</f>
        <v>0</v>
      </c>
      <c r="Q71" s="337"/>
      <c r="R71" s="338"/>
      <c r="T71" s="117" t="str">
        <f t="shared" ca="1" si="5"/>
        <v/>
      </c>
      <c r="U71" s="163" t="str">
        <f t="shared" ca="1" si="6"/>
        <v/>
      </c>
      <c r="V71" s="164" t="str" cm="1">
        <f t="array" aca="1" ref="V71" ca="1">IF(AND($W71&gt;0,RegimeExecucao="Unitário"),$F71,"")</f>
        <v/>
      </c>
      <c r="W71" s="454" cm="1">
        <f t="array" aca="1" ref="W71" ca="1">IF($Y71&gt;0,CHOOSE(MATCH(RegimeExecucao,{"Unitário","Global"},0),IF($A71="S",$Y71/$X71,""),($Y71/$X71)*100),0)</f>
        <v>0</v>
      </c>
      <c r="X71" s="339" t="str" cm="1">
        <f t="array" aca="1" ref="X71" ca="1">IF($Y71&gt;0,CHOOSE(MATCH(RegimeExecucao,{"Unitário","Global"},0),IF($A71="S",ROUND($H71,ORÇAMENTO!$AF$10),""),ROUND($I71,ORÇAMENTO!$AF$11)),"")</f>
        <v/>
      </c>
      <c r="Y71" s="339">
        <f t="shared" ca="1" si="7"/>
        <v>0</v>
      </c>
      <c r="Z71" s="473"/>
      <c r="AB71" s="337"/>
      <c r="AC71" s="437"/>
      <c r="AD71" s="437"/>
      <c r="AE71" s="437"/>
      <c r="AF71" s="437"/>
      <c r="AG71" s="437"/>
      <c r="AH71" s="437"/>
      <c r="AI71" s="437"/>
      <c r="AJ71" s="437"/>
      <c r="AK71" s="437"/>
      <c r="AL71" s="437"/>
      <c r="AM71" s="338"/>
      <c r="AO71" cm="1">
        <f t="array" aca="1" ref="AO71" ca="1">IF($A71="S",IF(BM!$I71=0,0,CHOOSE(MATCH(RegimeExecucao,{"Global","Unitário"},0),ROUND(ROUND(BM.MEDAcumulado,15-13*BM!$A$9)/100*BM!$I71,15-13*ORÇAMENTO!$AF$11),ROUND(ROUND(BM.MEDAcumulado,15-13*BM!$A$9)*ROUND(BM!$H71,15-13*ORÇAMENTO!$AF$10),15-13*ORÇAMENTO!$AF$11))),IF($A71=0,0,ROUND(SomaAgrupBM,15-13*ORÇAMENTO!$AF$11)))</f>
        <v>0</v>
      </c>
    </row>
    <row r="72" spans="1:41" x14ac:dyDescent="0.2">
      <c r="A72" t="str">
        <f ca="1">ORÇAMENTO!C72</f>
        <v>S</v>
      </c>
      <c r="B72">
        <f ca="1">ORÇAMENTO!D72</f>
        <v>0</v>
      </c>
      <c r="C72" s="114" t="str">
        <f t="shared" ca="1" si="1"/>
        <v/>
      </c>
      <c r="D72" s="117" t="str">
        <f ca="1">ORÇAMENTO!O72</f>
        <v>-</v>
      </c>
      <c r="E72" s="163" t="str">
        <f t="shared" ca="1" si="2"/>
        <v>(Código não identificado nas referências)</v>
      </c>
      <c r="F72" s="164" t="str" cm="1">
        <f t="array" aca="1" ref="F72" ca="1">IF(RegimeExecucao="Global","",ORÇAMENTO.Unidade)</f>
        <v/>
      </c>
      <c r="G72" s="122" t="str" cm="1">
        <f t="array" aca="1" ref="G72" ca="1">IF(RegimeExecucao="Global","",ORÇAMENTO!T72)</f>
        <v/>
      </c>
      <c r="H72" s="122" t="str" cm="1">
        <f t="array" aca="1" ref="H72" ca="1">IF(RegimeExecucao="Global","",ORÇAMENTO!W72)</f>
        <v/>
      </c>
      <c r="I72" s="125">
        <f ca="1">ORÇAMENTO!X72</f>
        <v>0</v>
      </c>
      <c r="J72" s="333" cm="1">
        <f t="array" aca="1" ref="J72" ca="1">IF($A72="S",IF(CAIXA.Modo,BM.AFAnterior,BM.MEDAnterior),IF(AND(RegimeExecucao="Global",$I72&gt;0,COUNTIF($AB$13:$AM$13,BM.medicao-1)&gt;0),M72/$I72*100,0))</f>
        <v>0</v>
      </c>
      <c r="K72" s="122">
        <f t="shared" ca="1" si="3"/>
        <v>0</v>
      </c>
      <c r="L72" s="334" cm="1">
        <f t="array" aca="1" ref="L72" ca="1">IF($A72="S",IF(CAIXA.Modo,BM.AFAcumulado,BM.MEDAcumulado),IF(AND(RegimeExecucao="Global",$I72&gt;0,COUNTIF($AB$13:$AM$13,BM.medicao)&gt;0),O72/$I72*100,0))</f>
        <v>0</v>
      </c>
      <c r="M72" s="335" cm="1">
        <f t="array" aca="1" ref="M72" ca="1">IF($A72="S",VTOTALBM,IF($A72=0,0,ROUND(SomaAgrupBM,15-13*ORÇAMENTO!$AF$11)))</f>
        <v>0</v>
      </c>
      <c r="N72" s="336">
        <f t="shared" ca="1" si="4"/>
        <v>0</v>
      </c>
      <c r="O72" s="125" cm="1">
        <f t="array" aca="1" ref="O72" ca="1">IF($A72="S",VTOTALBM,IF($A72=0,0,ROUND(SomaAgrupBM,15-13*ORÇAMENTO!$AF$11)))</f>
        <v>0</v>
      </c>
      <c r="Q72" s="337"/>
      <c r="R72" s="338"/>
      <c r="T72" s="117" t="str">
        <f t="shared" ca="1" si="5"/>
        <v/>
      </c>
      <c r="U72" s="163" t="str">
        <f t="shared" ca="1" si="6"/>
        <v/>
      </c>
      <c r="V72" s="164" t="str" cm="1">
        <f t="array" aca="1" ref="V72" ca="1">IF(AND($W72&gt;0,RegimeExecucao="Unitário"),$F72,"")</f>
        <v/>
      </c>
      <c r="W72" s="454" cm="1">
        <f t="array" aca="1" ref="W72" ca="1">IF($Y72&gt;0,CHOOSE(MATCH(RegimeExecucao,{"Unitário","Global"},0),IF($A72="S",$Y72/$X72,""),($Y72/$X72)*100),0)</f>
        <v>0</v>
      </c>
      <c r="X72" s="339" t="str" cm="1">
        <f t="array" aca="1" ref="X72" ca="1">IF($Y72&gt;0,CHOOSE(MATCH(RegimeExecucao,{"Unitário","Global"},0),IF($A72="S",ROUND($H72,ORÇAMENTO!$AF$10),""),ROUND($I72,ORÇAMENTO!$AF$11)),"")</f>
        <v/>
      </c>
      <c r="Y72" s="339">
        <f t="shared" ca="1" si="7"/>
        <v>0</v>
      </c>
      <c r="Z72" s="473"/>
      <c r="AB72" s="337"/>
      <c r="AC72" s="437"/>
      <c r="AD72" s="437"/>
      <c r="AE72" s="437"/>
      <c r="AF72" s="437"/>
      <c r="AG72" s="437"/>
      <c r="AH72" s="437"/>
      <c r="AI72" s="437"/>
      <c r="AJ72" s="437"/>
      <c r="AK72" s="437"/>
      <c r="AL72" s="437"/>
      <c r="AM72" s="338"/>
      <c r="AO72" cm="1">
        <f t="array" aca="1" ref="AO72" ca="1">IF($A72="S",IF(BM!$I72=0,0,CHOOSE(MATCH(RegimeExecucao,{"Global","Unitário"},0),ROUND(ROUND(BM.MEDAcumulado,15-13*BM!$A$9)/100*BM!$I72,15-13*ORÇAMENTO!$AF$11),ROUND(ROUND(BM.MEDAcumulado,15-13*BM!$A$9)*ROUND(BM!$H72,15-13*ORÇAMENTO!$AF$10),15-13*ORÇAMENTO!$AF$11))),IF($A72=0,0,ROUND(SomaAgrupBM,15-13*ORÇAMENTO!$AF$11)))</f>
        <v>0</v>
      </c>
    </row>
    <row r="73" spans="1:41" x14ac:dyDescent="0.2">
      <c r="A73">
        <f ca="1">ORÇAMENTO!C73</f>
        <v>2</v>
      </c>
      <c r="B73">
        <f ca="1">ORÇAMENTO!D73</f>
        <v>2</v>
      </c>
      <c r="C73" s="114" t="str">
        <f t="shared" ca="1" si="1"/>
        <v>F</v>
      </c>
      <c r="D73" s="117" t="str">
        <f ca="1">ORÇAMENTO!O73</f>
        <v>5.3.</v>
      </c>
      <c r="E73" s="163" t="str">
        <f t="shared" si="2"/>
        <v>ESQUADRIAS DE MADEIRAS</v>
      </c>
      <c r="F73" s="164" t="str" cm="1">
        <f t="array" aca="1" ref="F73" ca="1">IF(RegimeExecucao="Global","",ORÇAMENTO.Unidade)</f>
        <v/>
      </c>
      <c r="G73" s="122" t="str" cm="1">
        <f t="array" aca="1" ref="G73" ca="1">IF(RegimeExecucao="Global","",ORÇAMENTO!T73)</f>
        <v/>
      </c>
      <c r="H73" s="122" t="str" cm="1">
        <f t="array" aca="1" ref="H73" ca="1">IF(RegimeExecucao="Global","",ORÇAMENTO!W73)</f>
        <v/>
      </c>
      <c r="I73" s="125">
        <f ca="1">ORÇAMENTO!X73</f>
        <v>0</v>
      </c>
      <c r="J73" s="333" cm="1">
        <f t="array" aca="1" ref="J73" ca="1">IF($A73="S",IF(CAIXA.Modo,BM.AFAnterior,BM.MEDAnterior),IF(AND(RegimeExecucao="Global",$I73&gt;0,COUNTIF($AB$13:$AM$13,BM.medicao-1)&gt;0),M73/$I73*100,0))</f>
        <v>0</v>
      </c>
      <c r="K73" s="122">
        <f t="shared" ca="1" si="3"/>
        <v>0</v>
      </c>
      <c r="L73" s="334" cm="1">
        <f t="array" aca="1" ref="L73" ca="1">IF($A73="S",IF(CAIXA.Modo,BM.AFAcumulado,BM.MEDAcumulado),IF(AND(RegimeExecucao="Global",$I73&gt;0,COUNTIF($AB$13:$AM$13,BM.medicao)&gt;0),O73/$I73*100,0))</f>
        <v>0</v>
      </c>
      <c r="M73" s="335" cm="1">
        <f t="array" aca="1" ref="M73" ca="1">IF($A73="S",VTOTALBM,IF($A73=0,0,ROUND(SomaAgrupBM,15-13*ORÇAMENTO!$AF$11)))</f>
        <v>0</v>
      </c>
      <c r="N73" s="336">
        <f t="shared" ca="1" si="4"/>
        <v>0</v>
      </c>
      <c r="O73" s="125" cm="1">
        <f t="array" aca="1" ref="O73" ca="1">IF($A73="S",VTOTALBM,IF($A73=0,0,ROUND(SomaAgrupBM,15-13*ORÇAMENTO!$AF$11)))</f>
        <v>0</v>
      </c>
      <c r="Q73" s="337"/>
      <c r="R73" s="338"/>
      <c r="T73" s="117" t="str">
        <f t="shared" ca="1" si="5"/>
        <v/>
      </c>
      <c r="U73" s="163" t="str">
        <f t="shared" ca="1" si="6"/>
        <v/>
      </c>
      <c r="V73" s="164" t="str" cm="1">
        <f t="array" aca="1" ref="V73" ca="1">IF(AND($W73&gt;0,RegimeExecucao="Unitário"),$F73,"")</f>
        <v/>
      </c>
      <c r="W73" s="454" cm="1">
        <f t="array" aca="1" ref="W73" ca="1">IF($Y73&gt;0,CHOOSE(MATCH(RegimeExecucao,{"Unitário","Global"},0),IF($A73="S",$Y73/$X73,""),($Y73/$X73)*100),0)</f>
        <v>0</v>
      </c>
      <c r="X73" s="339" t="str" cm="1">
        <f t="array" aca="1" ref="X73" ca="1">IF($Y73&gt;0,CHOOSE(MATCH(RegimeExecucao,{"Unitário","Global"},0),IF($A73="S",ROUND($H73,ORÇAMENTO!$AF$10),""),ROUND($I73,ORÇAMENTO!$AF$11)),"")</f>
        <v/>
      </c>
      <c r="Y73" s="339">
        <f t="shared" ca="1" si="7"/>
        <v>0</v>
      </c>
      <c r="Z73" s="473"/>
      <c r="AB73" s="337"/>
      <c r="AC73" s="437"/>
      <c r="AD73" s="437"/>
      <c r="AE73" s="437"/>
      <c r="AF73" s="437"/>
      <c r="AG73" s="437"/>
      <c r="AH73" s="437"/>
      <c r="AI73" s="437"/>
      <c r="AJ73" s="437"/>
      <c r="AK73" s="437"/>
      <c r="AL73" s="437"/>
      <c r="AM73" s="338"/>
      <c r="AO73" cm="1">
        <f t="array" aca="1" ref="AO73" ca="1">IF($A73="S",IF(BM!$I73=0,0,CHOOSE(MATCH(RegimeExecucao,{"Global","Unitário"},0),ROUND(ROUND(BM.MEDAcumulado,15-13*BM!$A$9)/100*BM!$I73,15-13*ORÇAMENTO!$AF$11),ROUND(ROUND(BM.MEDAcumulado,15-13*BM!$A$9)*ROUND(BM!$H73,15-13*ORÇAMENTO!$AF$10),15-13*ORÇAMENTO!$AF$11))),IF($A73=0,0,ROUND(SomaAgrupBM,15-13*ORÇAMENTO!$AF$11)))</f>
        <v>0</v>
      </c>
    </row>
    <row r="74" spans="1:41" ht="63.75" x14ac:dyDescent="0.2">
      <c r="A74" t="str">
        <f ca="1">ORÇAMENTO!C74</f>
        <v>S</v>
      </c>
      <c r="B74">
        <f ca="1">ORÇAMENTO!D74</f>
        <v>0</v>
      </c>
      <c r="C74" s="114" t="str">
        <f t="shared" ca="1" si="1"/>
        <v/>
      </c>
      <c r="D74" s="117" t="str">
        <f ca="1">ORÇAMENTO!O74</f>
        <v>-</v>
      </c>
      <c r="E74" s="163" t="str">
        <f t="shared" ca="1" si="2"/>
        <v>(Código não identificado nas referências)</v>
      </c>
      <c r="F74" s="164" t="str" cm="1">
        <f t="array" aca="1" ref="F74" ca="1">IF(RegimeExecucao="Global","",ORÇAMENTO.Unidade)</f>
        <v/>
      </c>
      <c r="G74" s="122" t="str" cm="1">
        <f t="array" aca="1" ref="G74" ca="1">IF(RegimeExecucao="Global","",ORÇAMENTO!T74)</f>
        <v/>
      </c>
      <c r="H74" s="122" t="str" cm="1">
        <f t="array" aca="1" ref="H74" ca="1">IF(RegimeExecucao="Global","",ORÇAMENTO!W74)</f>
        <v/>
      </c>
      <c r="I74" s="125">
        <f ca="1">ORÇAMENTO!X74</f>
        <v>0</v>
      </c>
      <c r="J74" s="333" cm="1">
        <f t="array" aca="1" ref="J74" ca="1">IF($A74="S",IF(CAIXA.Modo,BM.AFAnterior,BM.MEDAnterior),IF(AND(RegimeExecucao="Global",$I74&gt;0,COUNTIF($AB$13:$AM$13,BM.medicao-1)&gt;0),M74/$I74*100,0))</f>
        <v>0</v>
      </c>
      <c r="K74" s="122">
        <f t="shared" ca="1" si="3"/>
        <v>0</v>
      </c>
      <c r="L74" s="334" cm="1">
        <f t="array" aca="1" ref="L74" ca="1">IF($A74="S",IF(CAIXA.Modo,BM.AFAcumulado,BM.MEDAcumulado),IF(AND(RegimeExecucao="Global",$I74&gt;0,COUNTIF($AB$13:$AM$13,BM.medicao)&gt;0),O74/$I74*100,0))</f>
        <v>0</v>
      </c>
      <c r="M74" s="335" cm="1">
        <f t="array" aca="1" ref="M74" ca="1">IF($A74="S",VTOTALBM,IF($A74=0,0,ROUND(SomaAgrupBM,15-13*ORÇAMENTO!$AF$11)))</f>
        <v>0</v>
      </c>
      <c r="N74" s="336">
        <f t="shared" ca="1" si="4"/>
        <v>0</v>
      </c>
      <c r="O74" s="125" cm="1">
        <f t="array" aca="1" ref="O74" ca="1">IF($A74="S",VTOTALBM,IF($A74=0,0,ROUND(SomaAgrupBM,15-13*ORÇAMENTO!$AF$11)))</f>
        <v>0</v>
      </c>
      <c r="Q74" s="337"/>
      <c r="R74" s="338"/>
      <c r="T74" s="117" t="str">
        <f t="shared" ca="1" si="5"/>
        <v/>
      </c>
      <c r="U74" s="163" t="str">
        <f t="shared" ca="1" si="6"/>
        <v/>
      </c>
      <c r="V74" s="164" t="str" cm="1">
        <f t="array" aca="1" ref="V74" ca="1">IF(AND($W74&gt;0,RegimeExecucao="Unitário"),$F74,"")</f>
        <v/>
      </c>
      <c r="W74" s="454" cm="1">
        <f t="array" aca="1" ref="W74" ca="1">IF($Y74&gt;0,CHOOSE(MATCH(RegimeExecucao,{"Unitário","Global"},0),IF($A74="S",$Y74/$X74,""),($Y74/$X74)*100),0)</f>
        <v>0</v>
      </c>
      <c r="X74" s="339" t="str" cm="1">
        <f t="array" aca="1" ref="X74" ca="1">IF($Y74&gt;0,CHOOSE(MATCH(RegimeExecucao,{"Unitário","Global"},0),IF($A74="S",ROUND($H74,ORÇAMENTO!$AF$10),""),ROUND($I74,ORÇAMENTO!$AF$11)),"")</f>
        <v/>
      </c>
      <c r="Y74" s="339">
        <f t="shared" ca="1" si="7"/>
        <v>0</v>
      </c>
      <c r="Z74" s="473"/>
      <c r="AB74" s="337"/>
      <c r="AC74" s="437"/>
      <c r="AD74" s="437"/>
      <c r="AE74" s="437"/>
      <c r="AF74" s="437"/>
      <c r="AG74" s="437"/>
      <c r="AH74" s="437"/>
      <c r="AI74" s="437"/>
      <c r="AJ74" s="437"/>
      <c r="AK74" s="437"/>
      <c r="AL74" s="437"/>
      <c r="AM74" s="338"/>
      <c r="AO74" cm="1">
        <f t="array" aca="1" ref="AO74" ca="1">IF($A74="S",IF(BM!$I74=0,0,CHOOSE(MATCH(RegimeExecucao,{"Global","Unitário"},0),ROUND(ROUND(BM.MEDAcumulado,15-13*BM!$A$9)/100*BM!$I74,15-13*ORÇAMENTO!$AF$11),ROUND(ROUND(BM.MEDAcumulado,15-13*BM!$A$9)*ROUND(BM!$H74,15-13*ORÇAMENTO!$AF$10),15-13*ORÇAMENTO!$AF$11))),IF($A74=0,0,ROUND(SomaAgrupBM,15-13*ORÇAMENTO!$AF$11)))</f>
        <v>0</v>
      </c>
    </row>
    <row r="75" spans="1:41" x14ac:dyDescent="0.2">
      <c r="A75">
        <f ca="1">ORÇAMENTO!C75</f>
        <v>1</v>
      </c>
      <c r="B75">
        <f ca="1">ORÇAMENTO!D75</f>
        <v>8</v>
      </c>
      <c r="C75" s="114" t="str">
        <f t="shared" ca="1" si="1"/>
        <v>F</v>
      </c>
      <c r="D75" s="117" t="str">
        <f ca="1">ORÇAMENTO!O75</f>
        <v>6.</v>
      </c>
      <c r="E75" s="163" t="str">
        <f t="shared" si="2"/>
        <v>COBERTURA E PROTEÇÕES</v>
      </c>
      <c r="F75" s="164" t="str" cm="1">
        <f t="array" aca="1" ref="F75" ca="1">IF(RegimeExecucao="Global","",ORÇAMENTO.Unidade)</f>
        <v/>
      </c>
      <c r="G75" s="122" t="str" cm="1">
        <f t="array" aca="1" ref="G75" ca="1">IF(RegimeExecucao="Global","",ORÇAMENTO!T75)</f>
        <v/>
      </c>
      <c r="H75" s="122" t="str" cm="1">
        <f t="array" aca="1" ref="H75" ca="1">IF(RegimeExecucao="Global","",ORÇAMENTO!W75)</f>
        <v/>
      </c>
      <c r="I75" s="125">
        <f ca="1">ORÇAMENTO!X75</f>
        <v>0</v>
      </c>
      <c r="J75" s="333" cm="1">
        <f t="array" aca="1" ref="J75" ca="1">IF($A75="S",IF(CAIXA.Modo,BM.AFAnterior,BM.MEDAnterior),IF(AND(RegimeExecucao="Global",$I75&gt;0,COUNTIF($AB$13:$AM$13,BM.medicao-1)&gt;0),M75/$I75*100,0))</f>
        <v>0</v>
      </c>
      <c r="K75" s="122">
        <f t="shared" ca="1" si="3"/>
        <v>0</v>
      </c>
      <c r="L75" s="334" cm="1">
        <f t="array" aca="1" ref="L75" ca="1">IF($A75="S",IF(CAIXA.Modo,BM.AFAcumulado,BM.MEDAcumulado),IF(AND(RegimeExecucao="Global",$I75&gt;0,COUNTIF($AB$13:$AM$13,BM.medicao)&gt;0),O75/$I75*100,0))</f>
        <v>0</v>
      </c>
      <c r="M75" s="335" cm="1">
        <f t="array" aca="1" ref="M75" ca="1">IF($A75="S",VTOTALBM,IF($A75=0,0,ROUND(SomaAgrupBM,15-13*ORÇAMENTO!$AF$11)))</f>
        <v>0</v>
      </c>
      <c r="N75" s="336">
        <f t="shared" ca="1" si="4"/>
        <v>0</v>
      </c>
      <c r="O75" s="125" cm="1">
        <f t="array" aca="1" ref="O75" ca="1">IF($A75="S",VTOTALBM,IF($A75=0,0,ROUND(SomaAgrupBM,15-13*ORÇAMENTO!$AF$11)))</f>
        <v>0</v>
      </c>
      <c r="Q75" s="337"/>
      <c r="R75" s="338"/>
      <c r="T75" s="117" t="str">
        <f t="shared" ca="1" si="5"/>
        <v/>
      </c>
      <c r="U75" s="163" t="str">
        <f t="shared" ca="1" si="6"/>
        <v/>
      </c>
      <c r="V75" s="164" t="str" cm="1">
        <f t="array" aca="1" ref="V75" ca="1">IF(AND($W75&gt;0,RegimeExecucao="Unitário"),$F75,"")</f>
        <v/>
      </c>
      <c r="W75" s="454" cm="1">
        <f t="array" aca="1" ref="W75" ca="1">IF($Y75&gt;0,CHOOSE(MATCH(RegimeExecucao,{"Unitário","Global"},0),IF($A75="S",$Y75/$X75,""),($Y75/$X75)*100),0)</f>
        <v>0</v>
      </c>
      <c r="X75" s="339" t="str" cm="1">
        <f t="array" aca="1" ref="X75" ca="1">IF($Y75&gt;0,CHOOSE(MATCH(RegimeExecucao,{"Unitário","Global"},0),IF($A75="S",ROUND($H75,ORÇAMENTO!$AF$10),""),ROUND($I75,ORÇAMENTO!$AF$11)),"")</f>
        <v/>
      </c>
      <c r="Y75" s="339">
        <f t="shared" ca="1" si="7"/>
        <v>0</v>
      </c>
      <c r="Z75" s="473"/>
      <c r="AB75" s="337"/>
      <c r="AC75" s="437"/>
      <c r="AD75" s="437"/>
      <c r="AE75" s="437"/>
      <c r="AF75" s="437"/>
      <c r="AG75" s="437"/>
      <c r="AH75" s="437"/>
      <c r="AI75" s="437"/>
      <c r="AJ75" s="437"/>
      <c r="AK75" s="437"/>
      <c r="AL75" s="437"/>
      <c r="AM75" s="338"/>
      <c r="AO75" cm="1">
        <f t="array" aca="1" ref="AO75" ca="1">IF($A75="S",IF(BM!$I75=0,0,CHOOSE(MATCH(RegimeExecucao,{"Global","Unitário"},0),ROUND(ROUND(BM.MEDAcumulado,15-13*BM!$A$9)/100*BM!$I75,15-13*ORÇAMENTO!$AF$11),ROUND(ROUND(BM.MEDAcumulado,15-13*BM!$A$9)*ROUND(BM!$H75,15-13*ORÇAMENTO!$AF$10),15-13*ORÇAMENTO!$AF$11))),IF($A75=0,0,ROUND(SomaAgrupBM,15-13*ORÇAMENTO!$AF$11)))</f>
        <v>0</v>
      </c>
    </row>
    <row r="76" spans="1:41" x14ac:dyDescent="0.2">
      <c r="A76">
        <f ca="1">ORÇAMENTO!C76</f>
        <v>2</v>
      </c>
      <c r="B76">
        <f ca="1">ORÇAMENTO!D76</f>
        <v>7</v>
      </c>
      <c r="C76" s="114" t="str">
        <f t="shared" ca="1" si="1"/>
        <v>F</v>
      </c>
      <c r="D76" s="117" t="str">
        <f ca="1">ORÇAMENTO!O76</f>
        <v>6.1.</v>
      </c>
      <c r="E76" s="163" t="str">
        <f t="shared" si="2"/>
        <v>TELHADOS</v>
      </c>
      <c r="F76" s="164" t="str" cm="1">
        <f t="array" aca="1" ref="F76" ca="1">IF(RegimeExecucao="Global","",ORÇAMENTO.Unidade)</f>
        <v/>
      </c>
      <c r="G76" s="122" t="str" cm="1">
        <f t="array" aca="1" ref="G76" ca="1">IF(RegimeExecucao="Global","",ORÇAMENTO!T76)</f>
        <v/>
      </c>
      <c r="H76" s="122" t="str" cm="1">
        <f t="array" aca="1" ref="H76" ca="1">IF(RegimeExecucao="Global","",ORÇAMENTO!W76)</f>
        <v/>
      </c>
      <c r="I76" s="125">
        <f ca="1">ORÇAMENTO!X76</f>
        <v>0</v>
      </c>
      <c r="J76" s="333" cm="1">
        <f t="array" aca="1" ref="J76" ca="1">IF($A76="S",IF(CAIXA.Modo,BM.AFAnterior,BM.MEDAnterior),IF(AND(RegimeExecucao="Global",$I76&gt;0,COUNTIF($AB$13:$AM$13,BM.medicao-1)&gt;0),M76/$I76*100,0))</f>
        <v>0</v>
      </c>
      <c r="K76" s="122">
        <f t="shared" ca="1" si="3"/>
        <v>0</v>
      </c>
      <c r="L76" s="334" cm="1">
        <f t="array" aca="1" ref="L76" ca="1">IF($A76="S",IF(CAIXA.Modo,BM.AFAcumulado,BM.MEDAcumulado),IF(AND(RegimeExecucao="Global",$I76&gt;0,COUNTIF($AB$13:$AM$13,BM.medicao)&gt;0),O76/$I76*100,0))</f>
        <v>0</v>
      </c>
      <c r="M76" s="335" cm="1">
        <f t="array" aca="1" ref="M76" ca="1">IF($A76="S",VTOTALBM,IF($A76=0,0,ROUND(SomaAgrupBM,15-13*ORÇAMENTO!$AF$11)))</f>
        <v>0</v>
      </c>
      <c r="N76" s="336">
        <f t="shared" ca="1" si="4"/>
        <v>0</v>
      </c>
      <c r="O76" s="125" cm="1">
        <f t="array" aca="1" ref="O76" ca="1">IF($A76="S",VTOTALBM,IF($A76=0,0,ROUND(SomaAgrupBM,15-13*ORÇAMENTO!$AF$11)))</f>
        <v>0</v>
      </c>
      <c r="Q76" s="337"/>
      <c r="R76" s="338"/>
      <c r="T76" s="117" t="str">
        <f t="shared" ca="1" si="5"/>
        <v/>
      </c>
      <c r="U76" s="163" t="str">
        <f t="shared" ca="1" si="6"/>
        <v/>
      </c>
      <c r="V76" s="164" t="str" cm="1">
        <f t="array" aca="1" ref="V76" ca="1">IF(AND($W76&gt;0,RegimeExecucao="Unitário"),$F76,"")</f>
        <v/>
      </c>
      <c r="W76" s="454" cm="1">
        <f t="array" aca="1" ref="W76" ca="1">IF($Y76&gt;0,CHOOSE(MATCH(RegimeExecucao,{"Unitário","Global"},0),IF($A76="S",$Y76/$X76,""),($Y76/$X76)*100),0)</f>
        <v>0</v>
      </c>
      <c r="X76" s="339" t="str" cm="1">
        <f t="array" aca="1" ref="X76" ca="1">IF($Y76&gt;0,CHOOSE(MATCH(RegimeExecucao,{"Unitário","Global"},0),IF($A76="S",ROUND($H76,ORÇAMENTO!$AF$10),""),ROUND($I76,ORÇAMENTO!$AF$11)),"")</f>
        <v/>
      </c>
      <c r="Y76" s="339">
        <f t="shared" ca="1" si="7"/>
        <v>0</v>
      </c>
      <c r="Z76" s="473"/>
      <c r="AB76" s="337"/>
      <c r="AC76" s="437"/>
      <c r="AD76" s="437"/>
      <c r="AE76" s="437"/>
      <c r="AF76" s="437"/>
      <c r="AG76" s="437"/>
      <c r="AH76" s="437"/>
      <c r="AI76" s="437"/>
      <c r="AJ76" s="437"/>
      <c r="AK76" s="437"/>
      <c r="AL76" s="437"/>
      <c r="AM76" s="338"/>
      <c r="AO76" cm="1">
        <f t="array" aca="1" ref="AO76" ca="1">IF($A76="S",IF(BM!$I76=0,0,CHOOSE(MATCH(RegimeExecucao,{"Global","Unitário"},0),ROUND(ROUND(BM.MEDAcumulado,15-13*BM!$A$9)/100*BM!$I76,15-13*ORÇAMENTO!$AF$11),ROUND(ROUND(BM.MEDAcumulado,15-13*BM!$A$9)*ROUND(BM!$H76,15-13*ORÇAMENTO!$AF$10),15-13*ORÇAMENTO!$AF$11))),IF($A76=0,0,ROUND(SomaAgrupBM,15-13*ORÇAMENTO!$AF$11)))</f>
        <v>0</v>
      </c>
    </row>
    <row r="77" spans="1:41" ht="38.25" x14ac:dyDescent="0.2">
      <c r="A77" t="str">
        <f ca="1">ORÇAMENTO!C77</f>
        <v>S</v>
      </c>
      <c r="B77">
        <f ca="1">ORÇAMENTO!D77</f>
        <v>0</v>
      </c>
      <c r="C77" s="114" t="str">
        <f t="shared" ca="1" si="1"/>
        <v/>
      </c>
      <c r="D77" s="117" t="str">
        <f ca="1">ORÇAMENTO!O77</f>
        <v>-</v>
      </c>
      <c r="E77" s="163" t="str">
        <f t="shared" ca="1" si="2"/>
        <v>(Código não identificado nas referências)</v>
      </c>
      <c r="F77" s="164" t="str" cm="1">
        <f t="array" aca="1" ref="F77" ca="1">IF(RegimeExecucao="Global","",ORÇAMENTO.Unidade)</f>
        <v/>
      </c>
      <c r="G77" s="122" t="str" cm="1">
        <f t="array" aca="1" ref="G77" ca="1">IF(RegimeExecucao="Global","",ORÇAMENTO!T77)</f>
        <v/>
      </c>
      <c r="H77" s="122" t="str" cm="1">
        <f t="array" aca="1" ref="H77" ca="1">IF(RegimeExecucao="Global","",ORÇAMENTO!W77)</f>
        <v/>
      </c>
      <c r="I77" s="125">
        <f ca="1">ORÇAMENTO!X77</f>
        <v>0</v>
      </c>
      <c r="J77" s="333" cm="1">
        <f t="array" aca="1" ref="J77" ca="1">IF($A77="S",IF(CAIXA.Modo,BM.AFAnterior,BM.MEDAnterior),IF(AND(RegimeExecucao="Global",$I77&gt;0,COUNTIF($AB$13:$AM$13,BM.medicao-1)&gt;0),M77/$I77*100,0))</f>
        <v>0</v>
      </c>
      <c r="K77" s="122">
        <f t="shared" ca="1" si="3"/>
        <v>0</v>
      </c>
      <c r="L77" s="334" cm="1">
        <f t="array" aca="1" ref="L77" ca="1">IF($A77="S",IF(CAIXA.Modo,BM.AFAcumulado,BM.MEDAcumulado),IF(AND(RegimeExecucao="Global",$I77&gt;0,COUNTIF($AB$13:$AM$13,BM.medicao)&gt;0),O77/$I77*100,0))</f>
        <v>0</v>
      </c>
      <c r="M77" s="335" cm="1">
        <f t="array" aca="1" ref="M77" ca="1">IF($A77="S",VTOTALBM,IF($A77=0,0,ROUND(SomaAgrupBM,15-13*ORÇAMENTO!$AF$11)))</f>
        <v>0</v>
      </c>
      <c r="N77" s="336">
        <f t="shared" ca="1" si="4"/>
        <v>0</v>
      </c>
      <c r="O77" s="125" cm="1">
        <f t="array" aca="1" ref="O77" ca="1">IF($A77="S",VTOTALBM,IF($A77=0,0,ROUND(SomaAgrupBM,15-13*ORÇAMENTO!$AF$11)))</f>
        <v>0</v>
      </c>
      <c r="Q77" s="337"/>
      <c r="R77" s="338"/>
      <c r="T77" s="117" t="str">
        <f t="shared" ca="1" si="5"/>
        <v/>
      </c>
      <c r="U77" s="163" t="str">
        <f t="shared" ca="1" si="6"/>
        <v/>
      </c>
      <c r="V77" s="164" t="str" cm="1">
        <f t="array" aca="1" ref="V77" ca="1">IF(AND($W77&gt;0,RegimeExecucao="Unitário"),$F77,"")</f>
        <v/>
      </c>
      <c r="W77" s="454" cm="1">
        <f t="array" aca="1" ref="W77" ca="1">IF($Y77&gt;0,CHOOSE(MATCH(RegimeExecucao,{"Unitário","Global"},0),IF($A77="S",$Y77/$X77,""),($Y77/$X77)*100),0)</f>
        <v>0</v>
      </c>
      <c r="X77" s="339" t="str" cm="1">
        <f t="array" aca="1" ref="X77" ca="1">IF($Y77&gt;0,CHOOSE(MATCH(RegimeExecucao,{"Unitário","Global"},0),IF($A77="S",ROUND($H77,ORÇAMENTO!$AF$10),""),ROUND($I77,ORÇAMENTO!$AF$11)),"")</f>
        <v/>
      </c>
      <c r="Y77" s="339">
        <f t="shared" ca="1" si="7"/>
        <v>0</v>
      </c>
      <c r="Z77" s="473"/>
      <c r="AB77" s="337"/>
      <c r="AC77" s="437"/>
      <c r="AD77" s="437"/>
      <c r="AE77" s="437"/>
      <c r="AF77" s="437"/>
      <c r="AG77" s="437"/>
      <c r="AH77" s="437"/>
      <c r="AI77" s="437"/>
      <c r="AJ77" s="437"/>
      <c r="AK77" s="437"/>
      <c r="AL77" s="437"/>
      <c r="AM77" s="338"/>
      <c r="AO77" cm="1">
        <f t="array" aca="1" ref="AO77" ca="1">IF($A77="S",IF(BM!$I77=0,0,CHOOSE(MATCH(RegimeExecucao,{"Global","Unitário"},0),ROUND(ROUND(BM.MEDAcumulado,15-13*BM!$A$9)/100*BM!$I77,15-13*ORÇAMENTO!$AF$11),ROUND(ROUND(BM.MEDAcumulado,15-13*BM!$A$9)*ROUND(BM!$H77,15-13*ORÇAMENTO!$AF$10),15-13*ORÇAMENTO!$AF$11))),IF($A77=0,0,ROUND(SomaAgrupBM,15-13*ORÇAMENTO!$AF$11)))</f>
        <v>0</v>
      </c>
    </row>
    <row r="78" spans="1:41" ht="38.25" x14ac:dyDescent="0.2">
      <c r="A78" t="str">
        <f ca="1">ORÇAMENTO!C78</f>
        <v>S</v>
      </c>
      <c r="B78">
        <f ca="1">ORÇAMENTO!D78</f>
        <v>0</v>
      </c>
      <c r="C78" s="114" t="str">
        <f t="shared" ca="1" si="1"/>
        <v/>
      </c>
      <c r="D78" s="117" t="str">
        <f ca="1">ORÇAMENTO!O78</f>
        <v>-</v>
      </c>
      <c r="E78" s="163" t="str">
        <f t="shared" ca="1" si="2"/>
        <v>(Código não identificado nas referências)</v>
      </c>
      <c r="F78" s="164" t="str" cm="1">
        <f t="array" aca="1" ref="F78" ca="1">IF(RegimeExecucao="Global","",ORÇAMENTO.Unidade)</f>
        <v/>
      </c>
      <c r="G78" s="122" t="str" cm="1">
        <f t="array" aca="1" ref="G78" ca="1">IF(RegimeExecucao="Global","",ORÇAMENTO!T78)</f>
        <v/>
      </c>
      <c r="H78" s="122" t="str" cm="1">
        <f t="array" aca="1" ref="H78" ca="1">IF(RegimeExecucao="Global","",ORÇAMENTO!W78)</f>
        <v/>
      </c>
      <c r="I78" s="125">
        <f ca="1">ORÇAMENTO!X78</f>
        <v>0</v>
      </c>
      <c r="J78" s="333" cm="1">
        <f t="array" aca="1" ref="J78" ca="1">IF($A78="S",IF(CAIXA.Modo,BM.AFAnterior,BM.MEDAnterior),IF(AND(RegimeExecucao="Global",$I78&gt;0,COUNTIF($AB$13:$AM$13,BM.medicao-1)&gt;0),M78/$I78*100,0))</f>
        <v>0</v>
      </c>
      <c r="K78" s="122">
        <f t="shared" ca="1" si="3"/>
        <v>0</v>
      </c>
      <c r="L78" s="334" cm="1">
        <f t="array" aca="1" ref="L78" ca="1">IF($A78="S",IF(CAIXA.Modo,BM.AFAcumulado,BM.MEDAcumulado),IF(AND(RegimeExecucao="Global",$I78&gt;0,COUNTIF($AB$13:$AM$13,BM.medicao)&gt;0),O78/$I78*100,0))</f>
        <v>0</v>
      </c>
      <c r="M78" s="335" cm="1">
        <f t="array" aca="1" ref="M78" ca="1">IF($A78="S",VTOTALBM,IF($A78=0,0,ROUND(SomaAgrupBM,15-13*ORÇAMENTO!$AF$11)))</f>
        <v>0</v>
      </c>
      <c r="N78" s="336">
        <f t="shared" ca="1" si="4"/>
        <v>0</v>
      </c>
      <c r="O78" s="125" cm="1">
        <f t="array" aca="1" ref="O78" ca="1">IF($A78="S",VTOTALBM,IF($A78=0,0,ROUND(SomaAgrupBM,15-13*ORÇAMENTO!$AF$11)))</f>
        <v>0</v>
      </c>
      <c r="Q78" s="337"/>
      <c r="R78" s="338"/>
      <c r="T78" s="117" t="str">
        <f t="shared" ca="1" si="5"/>
        <v/>
      </c>
      <c r="U78" s="163" t="str">
        <f t="shared" ca="1" si="6"/>
        <v/>
      </c>
      <c r="V78" s="164" t="str" cm="1">
        <f t="array" aca="1" ref="V78" ca="1">IF(AND($W78&gt;0,RegimeExecucao="Unitário"),$F78,"")</f>
        <v/>
      </c>
      <c r="W78" s="454" cm="1">
        <f t="array" aca="1" ref="W78" ca="1">IF($Y78&gt;0,CHOOSE(MATCH(RegimeExecucao,{"Unitário","Global"},0),IF($A78="S",$Y78/$X78,""),($Y78/$X78)*100),0)</f>
        <v>0</v>
      </c>
      <c r="X78" s="339" t="str" cm="1">
        <f t="array" aca="1" ref="X78" ca="1">IF($Y78&gt;0,CHOOSE(MATCH(RegimeExecucao,{"Unitário","Global"},0),IF($A78="S",ROUND($H78,ORÇAMENTO!$AF$10),""),ROUND($I78,ORÇAMENTO!$AF$11)),"")</f>
        <v/>
      </c>
      <c r="Y78" s="339">
        <f t="shared" ca="1" si="7"/>
        <v>0</v>
      </c>
      <c r="Z78" s="473"/>
      <c r="AB78" s="337"/>
      <c r="AC78" s="437"/>
      <c r="AD78" s="437"/>
      <c r="AE78" s="437"/>
      <c r="AF78" s="437"/>
      <c r="AG78" s="437"/>
      <c r="AH78" s="437"/>
      <c r="AI78" s="437"/>
      <c r="AJ78" s="437"/>
      <c r="AK78" s="437"/>
      <c r="AL78" s="437"/>
      <c r="AM78" s="338"/>
      <c r="AO78" cm="1">
        <f t="array" aca="1" ref="AO78" ca="1">IF($A78="S",IF(BM!$I78=0,0,CHOOSE(MATCH(RegimeExecucao,{"Global","Unitário"},0),ROUND(ROUND(BM.MEDAcumulado,15-13*BM!$A$9)/100*BM!$I78,15-13*ORÇAMENTO!$AF$11),ROUND(ROUND(BM.MEDAcumulado,15-13*BM!$A$9)*ROUND(BM!$H78,15-13*ORÇAMENTO!$AF$10),15-13*ORÇAMENTO!$AF$11))),IF($A78=0,0,ROUND(SomaAgrupBM,15-13*ORÇAMENTO!$AF$11)))</f>
        <v>0</v>
      </c>
    </row>
    <row r="79" spans="1:41" x14ac:dyDescent="0.2">
      <c r="A79" t="str">
        <f ca="1">ORÇAMENTO!C79</f>
        <v>S</v>
      </c>
      <c r="B79">
        <f ca="1">ORÇAMENTO!D79</f>
        <v>0</v>
      </c>
      <c r="C79" s="114" t="str">
        <f t="shared" ca="1" si="1"/>
        <v/>
      </c>
      <c r="D79" s="117" t="str">
        <f ca="1">ORÇAMENTO!O79</f>
        <v>-</v>
      </c>
      <c r="E79" s="163" t="str">
        <f t="shared" ca="1" si="2"/>
        <v>(Código não identificado nas referências)</v>
      </c>
      <c r="F79" s="164" t="str" cm="1">
        <f t="array" aca="1" ref="F79" ca="1">IF(RegimeExecucao="Global","",ORÇAMENTO.Unidade)</f>
        <v/>
      </c>
      <c r="G79" s="122" t="str" cm="1">
        <f t="array" aca="1" ref="G79" ca="1">IF(RegimeExecucao="Global","",ORÇAMENTO!T79)</f>
        <v/>
      </c>
      <c r="H79" s="122" t="str" cm="1">
        <f t="array" aca="1" ref="H79" ca="1">IF(RegimeExecucao="Global","",ORÇAMENTO!W79)</f>
        <v/>
      </c>
      <c r="I79" s="125">
        <f ca="1">ORÇAMENTO!X79</f>
        <v>0</v>
      </c>
      <c r="J79" s="333" cm="1">
        <f t="array" aca="1" ref="J79" ca="1">IF($A79="S",IF(CAIXA.Modo,BM.AFAnterior,BM.MEDAnterior),IF(AND(RegimeExecucao="Global",$I79&gt;0,COUNTIF($AB$13:$AM$13,BM.medicao-1)&gt;0),M79/$I79*100,0))</f>
        <v>0</v>
      </c>
      <c r="K79" s="122">
        <f t="shared" ca="1" si="3"/>
        <v>0</v>
      </c>
      <c r="L79" s="334" cm="1">
        <f t="array" aca="1" ref="L79" ca="1">IF($A79="S",IF(CAIXA.Modo,BM.AFAcumulado,BM.MEDAcumulado),IF(AND(RegimeExecucao="Global",$I79&gt;0,COUNTIF($AB$13:$AM$13,BM.medicao)&gt;0),O79/$I79*100,0))</f>
        <v>0</v>
      </c>
      <c r="M79" s="335" cm="1">
        <f t="array" aca="1" ref="M79" ca="1">IF($A79="S",VTOTALBM,IF($A79=0,0,ROUND(SomaAgrupBM,15-13*ORÇAMENTO!$AF$11)))</f>
        <v>0</v>
      </c>
      <c r="N79" s="336">
        <f t="shared" ca="1" si="4"/>
        <v>0</v>
      </c>
      <c r="O79" s="125" cm="1">
        <f t="array" aca="1" ref="O79" ca="1">IF($A79="S",VTOTALBM,IF($A79=0,0,ROUND(SomaAgrupBM,15-13*ORÇAMENTO!$AF$11)))</f>
        <v>0</v>
      </c>
      <c r="Q79" s="337"/>
      <c r="R79" s="338"/>
      <c r="T79" s="117" t="str">
        <f t="shared" ca="1" si="5"/>
        <v/>
      </c>
      <c r="U79" s="163" t="str">
        <f t="shared" ca="1" si="6"/>
        <v/>
      </c>
      <c r="V79" s="164" t="str" cm="1">
        <f t="array" aca="1" ref="V79" ca="1">IF(AND($W79&gt;0,RegimeExecucao="Unitário"),$F79,"")</f>
        <v/>
      </c>
      <c r="W79" s="454" cm="1">
        <f t="array" aca="1" ref="W79" ca="1">IF($Y79&gt;0,CHOOSE(MATCH(RegimeExecucao,{"Unitário","Global"},0),IF($A79="S",$Y79/$X79,""),($Y79/$X79)*100),0)</f>
        <v>0</v>
      </c>
      <c r="X79" s="339" t="str" cm="1">
        <f t="array" aca="1" ref="X79" ca="1">IF($Y79&gt;0,CHOOSE(MATCH(RegimeExecucao,{"Unitário","Global"},0),IF($A79="S",ROUND($H79,ORÇAMENTO!$AF$10),""),ROUND($I79,ORÇAMENTO!$AF$11)),"")</f>
        <v/>
      </c>
      <c r="Y79" s="339">
        <f t="shared" ca="1" si="7"/>
        <v>0</v>
      </c>
      <c r="Z79" s="473"/>
      <c r="AB79" s="337"/>
      <c r="AC79" s="437"/>
      <c r="AD79" s="437"/>
      <c r="AE79" s="437"/>
      <c r="AF79" s="437"/>
      <c r="AG79" s="437"/>
      <c r="AH79" s="437"/>
      <c r="AI79" s="437"/>
      <c r="AJ79" s="437"/>
      <c r="AK79" s="437"/>
      <c r="AL79" s="437"/>
      <c r="AM79" s="338"/>
      <c r="AO79" cm="1">
        <f t="array" aca="1" ref="AO79" ca="1">IF($A79="S",IF(BM!$I79=0,0,CHOOSE(MATCH(RegimeExecucao,{"Global","Unitário"},0),ROUND(ROUND(BM.MEDAcumulado,15-13*BM!$A$9)/100*BM!$I79,15-13*ORÇAMENTO!$AF$11),ROUND(ROUND(BM.MEDAcumulado,15-13*BM!$A$9)*ROUND(BM!$H79,15-13*ORÇAMENTO!$AF$10),15-13*ORÇAMENTO!$AF$11))),IF($A79=0,0,ROUND(SomaAgrupBM,15-13*ORÇAMENTO!$AF$11)))</f>
        <v>0</v>
      </c>
    </row>
    <row r="80" spans="1:41" x14ac:dyDescent="0.2">
      <c r="A80" t="str">
        <f ca="1">ORÇAMENTO!C80</f>
        <v>S</v>
      </c>
      <c r="B80">
        <f ca="1">ORÇAMENTO!D80</f>
        <v>0</v>
      </c>
      <c r="C80" s="114" t="str">
        <f t="shared" ca="1" si="1"/>
        <v/>
      </c>
      <c r="D80" s="117" t="str">
        <f ca="1">ORÇAMENTO!O80</f>
        <v>-</v>
      </c>
      <c r="E80" s="163" t="str">
        <f t="shared" ca="1" si="2"/>
        <v>(Código não identificado nas referências)</v>
      </c>
      <c r="F80" s="164" t="str" cm="1">
        <f t="array" aca="1" ref="F80" ca="1">IF(RegimeExecucao="Global","",ORÇAMENTO.Unidade)</f>
        <v/>
      </c>
      <c r="G80" s="122" t="str" cm="1">
        <f t="array" aca="1" ref="G80" ca="1">IF(RegimeExecucao="Global","",ORÇAMENTO!T80)</f>
        <v/>
      </c>
      <c r="H80" s="122" t="str" cm="1">
        <f t="array" aca="1" ref="H80" ca="1">IF(RegimeExecucao="Global","",ORÇAMENTO!W80)</f>
        <v/>
      </c>
      <c r="I80" s="125">
        <f ca="1">ORÇAMENTO!X80</f>
        <v>0</v>
      </c>
      <c r="J80" s="333" cm="1">
        <f t="array" aca="1" ref="J80" ca="1">IF($A80="S",IF(CAIXA.Modo,BM.AFAnterior,BM.MEDAnterior),IF(AND(RegimeExecucao="Global",$I80&gt;0,COUNTIF($AB$13:$AM$13,BM.medicao-1)&gt;0),M80/$I80*100,0))</f>
        <v>0</v>
      </c>
      <c r="K80" s="122">
        <f t="shared" ca="1" si="3"/>
        <v>0</v>
      </c>
      <c r="L80" s="334" cm="1">
        <f t="array" aca="1" ref="L80" ca="1">IF($A80="S",IF(CAIXA.Modo,BM.AFAcumulado,BM.MEDAcumulado),IF(AND(RegimeExecucao="Global",$I80&gt;0,COUNTIF($AB$13:$AM$13,BM.medicao)&gt;0),O80/$I80*100,0))</f>
        <v>0</v>
      </c>
      <c r="M80" s="335" cm="1">
        <f t="array" aca="1" ref="M80" ca="1">IF($A80="S",VTOTALBM,IF($A80=0,0,ROUND(SomaAgrupBM,15-13*ORÇAMENTO!$AF$11)))</f>
        <v>0</v>
      </c>
      <c r="N80" s="336">
        <f t="shared" ca="1" si="4"/>
        <v>0</v>
      </c>
      <c r="O80" s="125" cm="1">
        <f t="array" aca="1" ref="O80" ca="1">IF($A80="S",VTOTALBM,IF($A80=0,0,ROUND(SomaAgrupBM,15-13*ORÇAMENTO!$AF$11)))</f>
        <v>0</v>
      </c>
      <c r="Q80" s="337"/>
      <c r="R80" s="338"/>
      <c r="T80" s="117" t="str">
        <f t="shared" ca="1" si="5"/>
        <v/>
      </c>
      <c r="U80" s="163" t="str">
        <f t="shared" ca="1" si="6"/>
        <v/>
      </c>
      <c r="V80" s="164" t="str" cm="1">
        <f t="array" aca="1" ref="V80" ca="1">IF(AND($W80&gt;0,RegimeExecucao="Unitário"),$F80,"")</f>
        <v/>
      </c>
      <c r="W80" s="454" cm="1">
        <f t="array" aca="1" ref="W80" ca="1">IF($Y80&gt;0,CHOOSE(MATCH(RegimeExecucao,{"Unitário","Global"},0),IF($A80="S",$Y80/$X80,""),($Y80/$X80)*100),0)</f>
        <v>0</v>
      </c>
      <c r="X80" s="339" t="str" cm="1">
        <f t="array" aca="1" ref="X80" ca="1">IF($Y80&gt;0,CHOOSE(MATCH(RegimeExecucao,{"Unitário","Global"},0),IF($A80="S",ROUND($H80,ORÇAMENTO!$AF$10),""),ROUND($I80,ORÇAMENTO!$AF$11)),"")</f>
        <v/>
      </c>
      <c r="Y80" s="339">
        <f t="shared" ca="1" si="7"/>
        <v>0</v>
      </c>
      <c r="Z80" s="473"/>
      <c r="AB80" s="337"/>
      <c r="AC80" s="437"/>
      <c r="AD80" s="437"/>
      <c r="AE80" s="437"/>
      <c r="AF80" s="437"/>
      <c r="AG80" s="437"/>
      <c r="AH80" s="437"/>
      <c r="AI80" s="437"/>
      <c r="AJ80" s="437"/>
      <c r="AK80" s="437"/>
      <c r="AL80" s="437"/>
      <c r="AM80" s="338"/>
      <c r="AO80" cm="1">
        <f t="array" aca="1" ref="AO80" ca="1">IF($A80="S",IF(BM!$I80=0,0,CHOOSE(MATCH(RegimeExecucao,{"Global","Unitário"},0),ROUND(ROUND(BM.MEDAcumulado,15-13*BM!$A$9)/100*BM!$I80,15-13*ORÇAMENTO!$AF$11),ROUND(ROUND(BM.MEDAcumulado,15-13*BM!$A$9)*ROUND(BM!$H80,15-13*ORÇAMENTO!$AF$10),15-13*ORÇAMENTO!$AF$11))),IF($A80=0,0,ROUND(SomaAgrupBM,15-13*ORÇAMENTO!$AF$11)))</f>
        <v>0</v>
      </c>
    </row>
    <row r="81" spans="1:41" ht="38.25" x14ac:dyDescent="0.2">
      <c r="A81" t="str">
        <f ca="1">ORÇAMENTO!C81</f>
        <v>S</v>
      </c>
      <c r="B81">
        <f ca="1">ORÇAMENTO!D81</f>
        <v>0</v>
      </c>
      <c r="C81" s="114" t="str">
        <f t="shared" ca="1" si="1"/>
        <v/>
      </c>
      <c r="D81" s="117" t="str">
        <f ca="1">ORÇAMENTO!O81</f>
        <v>-</v>
      </c>
      <c r="E81" s="163" t="str">
        <f t="shared" ca="1" si="2"/>
        <v>(Código não identificado nas referências)</v>
      </c>
      <c r="F81" s="164" t="str" cm="1">
        <f t="array" aca="1" ref="F81" ca="1">IF(RegimeExecucao="Global","",ORÇAMENTO.Unidade)</f>
        <v/>
      </c>
      <c r="G81" s="122" t="str" cm="1">
        <f t="array" aca="1" ref="G81" ca="1">IF(RegimeExecucao="Global","",ORÇAMENTO!T81)</f>
        <v/>
      </c>
      <c r="H81" s="122" t="str" cm="1">
        <f t="array" aca="1" ref="H81" ca="1">IF(RegimeExecucao="Global","",ORÇAMENTO!W81)</f>
        <v/>
      </c>
      <c r="I81" s="125">
        <f ca="1">ORÇAMENTO!X81</f>
        <v>0</v>
      </c>
      <c r="J81" s="333" cm="1">
        <f t="array" aca="1" ref="J81" ca="1">IF($A81="S",IF(CAIXA.Modo,BM.AFAnterior,BM.MEDAnterior),IF(AND(RegimeExecucao="Global",$I81&gt;0,COUNTIF($AB$13:$AM$13,BM.medicao-1)&gt;0),M81/$I81*100,0))</f>
        <v>0</v>
      </c>
      <c r="K81" s="122">
        <f t="shared" ca="1" si="3"/>
        <v>0</v>
      </c>
      <c r="L81" s="334" cm="1">
        <f t="array" aca="1" ref="L81" ca="1">IF($A81="S",IF(CAIXA.Modo,BM.AFAcumulado,BM.MEDAcumulado),IF(AND(RegimeExecucao="Global",$I81&gt;0,COUNTIF($AB$13:$AM$13,BM.medicao)&gt;0),O81/$I81*100,0))</f>
        <v>0</v>
      </c>
      <c r="M81" s="335" cm="1">
        <f t="array" aca="1" ref="M81" ca="1">IF($A81="S",VTOTALBM,IF($A81=0,0,ROUND(SomaAgrupBM,15-13*ORÇAMENTO!$AF$11)))</f>
        <v>0</v>
      </c>
      <c r="N81" s="336">
        <f t="shared" ca="1" si="4"/>
        <v>0</v>
      </c>
      <c r="O81" s="125" cm="1">
        <f t="array" aca="1" ref="O81" ca="1">IF($A81="S",VTOTALBM,IF($A81=0,0,ROUND(SomaAgrupBM,15-13*ORÇAMENTO!$AF$11)))</f>
        <v>0</v>
      </c>
      <c r="Q81" s="337"/>
      <c r="R81" s="338"/>
      <c r="T81" s="117" t="str">
        <f t="shared" ca="1" si="5"/>
        <v/>
      </c>
      <c r="U81" s="163" t="str">
        <f t="shared" ca="1" si="6"/>
        <v/>
      </c>
      <c r="V81" s="164" t="str" cm="1">
        <f t="array" aca="1" ref="V81" ca="1">IF(AND($W81&gt;0,RegimeExecucao="Unitário"),$F81,"")</f>
        <v/>
      </c>
      <c r="W81" s="454" cm="1">
        <f t="array" aca="1" ref="W81" ca="1">IF($Y81&gt;0,CHOOSE(MATCH(RegimeExecucao,{"Unitário","Global"},0),IF($A81="S",$Y81/$X81,""),($Y81/$X81)*100),0)</f>
        <v>0</v>
      </c>
      <c r="X81" s="339" t="str" cm="1">
        <f t="array" aca="1" ref="X81" ca="1">IF($Y81&gt;0,CHOOSE(MATCH(RegimeExecucao,{"Unitário","Global"},0),IF($A81="S",ROUND($H81,ORÇAMENTO!$AF$10),""),ROUND($I81,ORÇAMENTO!$AF$11)),"")</f>
        <v/>
      </c>
      <c r="Y81" s="339">
        <f t="shared" ca="1" si="7"/>
        <v>0</v>
      </c>
      <c r="Z81" s="473"/>
      <c r="AB81" s="337"/>
      <c r="AC81" s="437"/>
      <c r="AD81" s="437"/>
      <c r="AE81" s="437"/>
      <c r="AF81" s="437"/>
      <c r="AG81" s="437"/>
      <c r="AH81" s="437"/>
      <c r="AI81" s="437"/>
      <c r="AJ81" s="437"/>
      <c r="AK81" s="437"/>
      <c r="AL81" s="437"/>
      <c r="AM81" s="338"/>
      <c r="AO81" cm="1">
        <f t="array" aca="1" ref="AO81" ca="1">IF($A81="S",IF(BM!$I81=0,0,CHOOSE(MATCH(RegimeExecucao,{"Global","Unitário"},0),ROUND(ROUND(BM.MEDAcumulado,15-13*BM!$A$9)/100*BM!$I81,15-13*ORÇAMENTO!$AF$11),ROUND(ROUND(BM.MEDAcumulado,15-13*BM!$A$9)*ROUND(BM!$H81,15-13*ORÇAMENTO!$AF$10),15-13*ORÇAMENTO!$AF$11))),IF($A81=0,0,ROUND(SomaAgrupBM,15-13*ORÇAMENTO!$AF$11)))</f>
        <v>0</v>
      </c>
    </row>
    <row r="82" spans="1:41" ht="38.25" x14ac:dyDescent="0.2">
      <c r="A82" t="str">
        <f ca="1">ORÇAMENTO!C82</f>
        <v>S</v>
      </c>
      <c r="B82">
        <f ca="1">ORÇAMENTO!D82</f>
        <v>0</v>
      </c>
      <c r="C82" s="114" t="str">
        <f t="shared" ca="1" si="1"/>
        <v/>
      </c>
      <c r="D82" s="117" t="str">
        <f ca="1">ORÇAMENTO!O82</f>
        <v>-</v>
      </c>
      <c r="E82" s="163" t="str">
        <f t="shared" ca="1" si="2"/>
        <v>(Código não identificado nas referências)</v>
      </c>
      <c r="F82" s="164" t="str" cm="1">
        <f t="array" aca="1" ref="F82" ca="1">IF(RegimeExecucao="Global","",ORÇAMENTO.Unidade)</f>
        <v/>
      </c>
      <c r="G82" s="122" t="str" cm="1">
        <f t="array" aca="1" ref="G82" ca="1">IF(RegimeExecucao="Global","",ORÇAMENTO!T82)</f>
        <v/>
      </c>
      <c r="H82" s="122" t="str" cm="1">
        <f t="array" aca="1" ref="H82" ca="1">IF(RegimeExecucao="Global","",ORÇAMENTO!W82)</f>
        <v/>
      </c>
      <c r="I82" s="125">
        <f ca="1">ORÇAMENTO!X82</f>
        <v>0</v>
      </c>
      <c r="J82" s="333" cm="1">
        <f t="array" aca="1" ref="J82" ca="1">IF($A82="S",IF(CAIXA.Modo,BM.AFAnterior,BM.MEDAnterior),IF(AND(RegimeExecucao="Global",$I82&gt;0,COUNTIF($AB$13:$AM$13,BM.medicao-1)&gt;0),M82/$I82*100,0))</f>
        <v>0</v>
      </c>
      <c r="K82" s="122">
        <f t="shared" ca="1" si="3"/>
        <v>0</v>
      </c>
      <c r="L82" s="334" cm="1">
        <f t="array" aca="1" ref="L82" ca="1">IF($A82="S",IF(CAIXA.Modo,BM.AFAcumulado,BM.MEDAcumulado),IF(AND(RegimeExecucao="Global",$I82&gt;0,COUNTIF($AB$13:$AM$13,BM.medicao)&gt;0),O82/$I82*100,0))</f>
        <v>0</v>
      </c>
      <c r="M82" s="335" cm="1">
        <f t="array" aca="1" ref="M82" ca="1">IF($A82="S",VTOTALBM,IF($A82=0,0,ROUND(SomaAgrupBM,15-13*ORÇAMENTO!$AF$11)))</f>
        <v>0</v>
      </c>
      <c r="N82" s="336">
        <f t="shared" ca="1" si="4"/>
        <v>0</v>
      </c>
      <c r="O82" s="125" cm="1">
        <f t="array" aca="1" ref="O82" ca="1">IF($A82="S",VTOTALBM,IF($A82=0,0,ROUND(SomaAgrupBM,15-13*ORÇAMENTO!$AF$11)))</f>
        <v>0</v>
      </c>
      <c r="Q82" s="337"/>
      <c r="R82" s="338"/>
      <c r="T82" s="117" t="str">
        <f t="shared" ca="1" si="5"/>
        <v/>
      </c>
      <c r="U82" s="163" t="str">
        <f t="shared" ca="1" si="6"/>
        <v/>
      </c>
      <c r="V82" s="164" t="str" cm="1">
        <f t="array" aca="1" ref="V82" ca="1">IF(AND($W82&gt;0,RegimeExecucao="Unitário"),$F82,"")</f>
        <v/>
      </c>
      <c r="W82" s="454" cm="1">
        <f t="array" aca="1" ref="W82" ca="1">IF($Y82&gt;0,CHOOSE(MATCH(RegimeExecucao,{"Unitário","Global"},0),IF($A82="S",$Y82/$X82,""),($Y82/$X82)*100),0)</f>
        <v>0</v>
      </c>
      <c r="X82" s="339" t="str" cm="1">
        <f t="array" aca="1" ref="X82" ca="1">IF($Y82&gt;0,CHOOSE(MATCH(RegimeExecucao,{"Unitário","Global"},0),IF($A82="S",ROUND($H82,ORÇAMENTO!$AF$10),""),ROUND($I82,ORÇAMENTO!$AF$11)),"")</f>
        <v/>
      </c>
      <c r="Y82" s="339">
        <f t="shared" ca="1" si="7"/>
        <v>0</v>
      </c>
      <c r="Z82" s="473"/>
      <c r="AB82" s="337"/>
      <c r="AC82" s="437"/>
      <c r="AD82" s="437"/>
      <c r="AE82" s="437"/>
      <c r="AF82" s="437"/>
      <c r="AG82" s="437"/>
      <c r="AH82" s="437"/>
      <c r="AI82" s="437"/>
      <c r="AJ82" s="437"/>
      <c r="AK82" s="437"/>
      <c r="AL82" s="437"/>
      <c r="AM82" s="338"/>
      <c r="AO82" cm="1">
        <f t="array" aca="1" ref="AO82" ca="1">IF($A82="S",IF(BM!$I82=0,0,CHOOSE(MATCH(RegimeExecucao,{"Global","Unitário"},0),ROUND(ROUND(BM.MEDAcumulado,15-13*BM!$A$9)/100*BM!$I82,15-13*ORÇAMENTO!$AF$11),ROUND(ROUND(BM.MEDAcumulado,15-13*BM!$A$9)*ROUND(BM!$H82,15-13*ORÇAMENTO!$AF$10),15-13*ORÇAMENTO!$AF$11))),IF($A82=0,0,ROUND(SomaAgrupBM,15-13*ORÇAMENTO!$AF$11)))</f>
        <v>0</v>
      </c>
    </row>
    <row r="83" spans="1:41" x14ac:dyDescent="0.2">
      <c r="A83">
        <f ca="1">ORÇAMENTO!C83</f>
        <v>1</v>
      </c>
      <c r="B83">
        <f ca="1">ORÇAMENTO!D83</f>
        <v>31</v>
      </c>
      <c r="C83" s="114" t="str">
        <f t="shared" ca="1" si="1"/>
        <v>F</v>
      </c>
      <c r="D83" s="117" t="str">
        <f ca="1">ORÇAMENTO!O83</f>
        <v>7.</v>
      </c>
      <c r="E83" s="163" t="str">
        <f t="shared" si="2"/>
        <v>REVESTIMENTOS</v>
      </c>
      <c r="F83" s="164" t="str" cm="1">
        <f t="array" aca="1" ref="F83" ca="1">IF(RegimeExecucao="Global","",ORÇAMENTO.Unidade)</f>
        <v/>
      </c>
      <c r="G83" s="122" t="str" cm="1">
        <f t="array" aca="1" ref="G83" ca="1">IF(RegimeExecucao="Global","",ORÇAMENTO!T83)</f>
        <v/>
      </c>
      <c r="H83" s="122" t="str" cm="1">
        <f t="array" aca="1" ref="H83" ca="1">IF(RegimeExecucao="Global","",ORÇAMENTO!W83)</f>
        <v/>
      </c>
      <c r="I83" s="125">
        <f ca="1">ORÇAMENTO!X83</f>
        <v>0</v>
      </c>
      <c r="J83" s="333" cm="1">
        <f t="array" aca="1" ref="J83" ca="1">IF($A83="S",IF(CAIXA.Modo,BM.AFAnterior,BM.MEDAnterior),IF(AND(RegimeExecucao="Global",$I83&gt;0,COUNTIF($AB$13:$AM$13,BM.medicao-1)&gt;0),M83/$I83*100,0))</f>
        <v>0</v>
      </c>
      <c r="K83" s="122">
        <f t="shared" ca="1" si="3"/>
        <v>0</v>
      </c>
      <c r="L83" s="334" cm="1">
        <f t="array" aca="1" ref="L83" ca="1">IF($A83="S",IF(CAIXA.Modo,BM.AFAcumulado,BM.MEDAcumulado),IF(AND(RegimeExecucao="Global",$I83&gt;0,COUNTIF($AB$13:$AM$13,BM.medicao)&gt;0),O83/$I83*100,0))</f>
        <v>0</v>
      </c>
      <c r="M83" s="335" cm="1">
        <f t="array" aca="1" ref="M83" ca="1">IF($A83="S",VTOTALBM,IF($A83=0,0,ROUND(SomaAgrupBM,15-13*ORÇAMENTO!$AF$11)))</f>
        <v>0</v>
      </c>
      <c r="N83" s="336">
        <f t="shared" ca="1" si="4"/>
        <v>0</v>
      </c>
      <c r="O83" s="125" cm="1">
        <f t="array" aca="1" ref="O83" ca="1">IF($A83="S",VTOTALBM,IF($A83=0,0,ROUND(SomaAgrupBM,15-13*ORÇAMENTO!$AF$11)))</f>
        <v>0</v>
      </c>
      <c r="Q83" s="337"/>
      <c r="R83" s="338"/>
      <c r="T83" s="117" t="str">
        <f t="shared" ca="1" si="5"/>
        <v/>
      </c>
      <c r="U83" s="163" t="str">
        <f t="shared" ca="1" si="6"/>
        <v/>
      </c>
      <c r="V83" s="164" t="str" cm="1">
        <f t="array" aca="1" ref="V83" ca="1">IF(AND($W83&gt;0,RegimeExecucao="Unitário"),$F83,"")</f>
        <v/>
      </c>
      <c r="W83" s="454" cm="1">
        <f t="array" aca="1" ref="W83" ca="1">IF($Y83&gt;0,CHOOSE(MATCH(RegimeExecucao,{"Unitário","Global"},0),IF($A83="S",$Y83/$X83,""),($Y83/$X83)*100),0)</f>
        <v>0</v>
      </c>
      <c r="X83" s="339" t="str" cm="1">
        <f t="array" aca="1" ref="X83" ca="1">IF($Y83&gt;0,CHOOSE(MATCH(RegimeExecucao,{"Unitário","Global"},0),IF($A83="S",ROUND($H83,ORÇAMENTO!$AF$10),""),ROUND($I83,ORÇAMENTO!$AF$11)),"")</f>
        <v/>
      </c>
      <c r="Y83" s="339">
        <f t="shared" ca="1" si="7"/>
        <v>0</v>
      </c>
      <c r="Z83" s="473"/>
      <c r="AB83" s="337"/>
      <c r="AC83" s="437"/>
      <c r="AD83" s="437"/>
      <c r="AE83" s="437"/>
      <c r="AF83" s="437"/>
      <c r="AG83" s="437"/>
      <c r="AH83" s="437"/>
      <c r="AI83" s="437"/>
      <c r="AJ83" s="437"/>
      <c r="AK83" s="437"/>
      <c r="AL83" s="437"/>
      <c r="AM83" s="338"/>
      <c r="AO83" cm="1">
        <f t="array" aca="1" ref="AO83" ca="1">IF($A83="S",IF(BM!$I83=0,0,CHOOSE(MATCH(RegimeExecucao,{"Global","Unitário"},0),ROUND(ROUND(BM.MEDAcumulado,15-13*BM!$A$9)/100*BM!$I83,15-13*ORÇAMENTO!$AF$11),ROUND(ROUND(BM.MEDAcumulado,15-13*BM!$A$9)*ROUND(BM!$H83,15-13*ORÇAMENTO!$AF$10),15-13*ORÇAMENTO!$AF$11))),IF($A83=0,0,ROUND(SomaAgrupBM,15-13*ORÇAMENTO!$AF$11)))</f>
        <v>0</v>
      </c>
    </row>
    <row r="84" spans="1:41" x14ac:dyDescent="0.2">
      <c r="A84">
        <f ca="1">ORÇAMENTO!C84</f>
        <v>2</v>
      </c>
      <c r="B84">
        <f ca="1">ORÇAMENTO!D84</f>
        <v>7</v>
      </c>
      <c r="C84" s="114" t="str">
        <f t="shared" ca="1" si="1"/>
        <v>F</v>
      </c>
      <c r="D84" s="117" t="str">
        <f ca="1">ORÇAMENTO!O84</f>
        <v>7.1.</v>
      </c>
      <c r="E84" s="163" t="str">
        <f t="shared" si="2"/>
        <v>REVESTIMENTOS INTERNOS</v>
      </c>
      <c r="F84" s="164" t="str" cm="1">
        <f t="array" aca="1" ref="F84" ca="1">IF(RegimeExecucao="Global","",ORÇAMENTO.Unidade)</f>
        <v/>
      </c>
      <c r="G84" s="122" t="str" cm="1">
        <f t="array" aca="1" ref="G84" ca="1">IF(RegimeExecucao="Global","",ORÇAMENTO!T84)</f>
        <v/>
      </c>
      <c r="H84" s="122" t="str" cm="1">
        <f t="array" aca="1" ref="H84" ca="1">IF(RegimeExecucao="Global","",ORÇAMENTO!W84)</f>
        <v/>
      </c>
      <c r="I84" s="125">
        <f ca="1">ORÇAMENTO!X84</f>
        <v>0</v>
      </c>
      <c r="J84" s="333" cm="1">
        <f t="array" aca="1" ref="J84" ca="1">IF($A84="S",IF(CAIXA.Modo,BM.AFAnterior,BM.MEDAnterior),IF(AND(RegimeExecucao="Global",$I84&gt;0,COUNTIF($AB$13:$AM$13,BM.medicao-1)&gt;0),M84/$I84*100,0))</f>
        <v>0</v>
      </c>
      <c r="K84" s="122">
        <f t="shared" ca="1" si="3"/>
        <v>0</v>
      </c>
      <c r="L84" s="334" cm="1">
        <f t="array" aca="1" ref="L84" ca="1">IF($A84="S",IF(CAIXA.Modo,BM.AFAcumulado,BM.MEDAcumulado),IF(AND(RegimeExecucao="Global",$I84&gt;0,COUNTIF($AB$13:$AM$13,BM.medicao)&gt;0),O84/$I84*100,0))</f>
        <v>0</v>
      </c>
      <c r="M84" s="335" cm="1">
        <f t="array" aca="1" ref="M84" ca="1">IF($A84="S",VTOTALBM,IF($A84=0,0,ROUND(SomaAgrupBM,15-13*ORÇAMENTO!$AF$11)))</f>
        <v>0</v>
      </c>
      <c r="N84" s="336">
        <f t="shared" ca="1" si="4"/>
        <v>0</v>
      </c>
      <c r="O84" s="125" cm="1">
        <f t="array" aca="1" ref="O84" ca="1">IF($A84="S",VTOTALBM,IF($A84=0,0,ROUND(SomaAgrupBM,15-13*ORÇAMENTO!$AF$11)))</f>
        <v>0</v>
      </c>
      <c r="Q84" s="337"/>
      <c r="R84" s="338"/>
      <c r="T84" s="117" t="str">
        <f t="shared" ca="1" si="5"/>
        <v/>
      </c>
      <c r="U84" s="163" t="str">
        <f t="shared" ca="1" si="6"/>
        <v/>
      </c>
      <c r="V84" s="164" t="str" cm="1">
        <f t="array" aca="1" ref="V84" ca="1">IF(AND($W84&gt;0,RegimeExecucao="Unitário"),$F84,"")</f>
        <v/>
      </c>
      <c r="W84" s="454" cm="1">
        <f t="array" aca="1" ref="W84" ca="1">IF($Y84&gt;0,CHOOSE(MATCH(RegimeExecucao,{"Unitário","Global"},0),IF($A84="S",$Y84/$X84,""),($Y84/$X84)*100),0)</f>
        <v>0</v>
      </c>
      <c r="X84" s="339" t="str" cm="1">
        <f t="array" aca="1" ref="X84" ca="1">IF($Y84&gt;0,CHOOSE(MATCH(RegimeExecucao,{"Unitário","Global"},0),IF($A84="S",ROUND($H84,ORÇAMENTO!$AF$10),""),ROUND($I84,ORÇAMENTO!$AF$11)),"")</f>
        <v/>
      </c>
      <c r="Y84" s="339">
        <f t="shared" ca="1" si="7"/>
        <v>0</v>
      </c>
      <c r="Z84" s="473"/>
      <c r="AB84" s="337"/>
      <c r="AC84" s="437"/>
      <c r="AD84" s="437"/>
      <c r="AE84" s="437"/>
      <c r="AF84" s="437"/>
      <c r="AG84" s="437"/>
      <c r="AH84" s="437"/>
      <c r="AI84" s="437"/>
      <c r="AJ84" s="437"/>
      <c r="AK84" s="437"/>
      <c r="AL84" s="437"/>
      <c r="AM84" s="338"/>
      <c r="AO84" cm="1">
        <f t="array" aca="1" ref="AO84" ca="1">IF($A84="S",IF(BM!$I84=0,0,CHOOSE(MATCH(RegimeExecucao,{"Global","Unitário"},0),ROUND(ROUND(BM.MEDAcumulado,15-13*BM!$A$9)/100*BM!$I84,15-13*ORÇAMENTO!$AF$11),ROUND(ROUND(BM.MEDAcumulado,15-13*BM!$A$9)*ROUND(BM!$H84,15-13*ORÇAMENTO!$AF$10),15-13*ORÇAMENTO!$AF$11))),IF($A84=0,0,ROUND(SomaAgrupBM,15-13*ORÇAMENTO!$AF$11)))</f>
        <v>0</v>
      </c>
    </row>
    <row r="85" spans="1:41" ht="38.25" x14ac:dyDescent="0.2">
      <c r="A85" t="str">
        <f ca="1">ORÇAMENTO!C85</f>
        <v>S</v>
      </c>
      <c r="B85">
        <f ca="1">ORÇAMENTO!D85</f>
        <v>0</v>
      </c>
      <c r="C85" s="114" t="str">
        <f t="shared" ref="C85:C148" ca="1" si="8">IF(OR($I85&gt;0,$A85=1,$A85=2,$A85=3,$A85=4),"F","")</f>
        <v/>
      </c>
      <c r="D85" s="117" t="str">
        <f ca="1">ORÇAMENTO!O85</f>
        <v>-</v>
      </c>
      <c r="E85" s="163" t="str">
        <f t="shared" ref="E85:E116" ca="1" si="9">ORÇAMENTO.Descricao</f>
        <v>(Código não identificado nas referências)</v>
      </c>
      <c r="F85" s="164" t="str" cm="1">
        <f t="array" aca="1" ref="F85" ca="1">IF(RegimeExecucao="Global","",ORÇAMENTO.Unidade)</f>
        <v/>
      </c>
      <c r="G85" s="122" t="str" cm="1">
        <f t="array" aca="1" ref="G85" ca="1">IF(RegimeExecucao="Global","",ORÇAMENTO!T85)</f>
        <v/>
      </c>
      <c r="H85" s="122" t="str" cm="1">
        <f t="array" aca="1" ref="H85" ca="1">IF(RegimeExecucao="Global","",ORÇAMENTO!W85)</f>
        <v/>
      </c>
      <c r="I85" s="125">
        <f ca="1">ORÇAMENTO!X85</f>
        <v>0</v>
      </c>
      <c r="J85" s="333" cm="1">
        <f t="array" aca="1" ref="J85" ca="1">IF($A85="S",IF(CAIXA.Modo,BM.AFAnterior,BM.MEDAnterior),IF(AND(RegimeExecucao="Global",$I85&gt;0,COUNTIF($AB$13:$AM$13,BM.medicao-1)&gt;0),M85/$I85*100,0))</f>
        <v>0</v>
      </c>
      <c r="K85" s="122">
        <f t="shared" ref="K85:K148" ca="1" si="10">L85-J85</f>
        <v>0</v>
      </c>
      <c r="L85" s="334" cm="1">
        <f t="array" aca="1" ref="L85" ca="1">IF($A85="S",IF(CAIXA.Modo,BM.AFAcumulado,BM.MEDAcumulado),IF(AND(RegimeExecucao="Global",$I85&gt;0,COUNTIF($AB$13:$AM$13,BM.medicao)&gt;0),O85/$I85*100,0))</f>
        <v>0</v>
      </c>
      <c r="M85" s="335" cm="1">
        <f t="array" aca="1" ref="M85" ca="1">IF($A85="S",VTOTALBM,IF($A85=0,0,ROUND(SomaAgrupBM,15-13*ORÇAMENTO!$AF$11)))</f>
        <v>0</v>
      </c>
      <c r="N85" s="336">
        <f t="shared" ref="N85:N148" ca="1" si="11">O85-M85</f>
        <v>0</v>
      </c>
      <c r="O85" s="125" cm="1">
        <f t="array" aca="1" ref="O85" ca="1">IF($A85="S",VTOTALBM,IF($A85=0,0,ROUND(SomaAgrupBM,15-13*ORÇAMENTO!$AF$11)))</f>
        <v>0</v>
      </c>
      <c r="Q85" s="337"/>
      <c r="R85" s="338"/>
      <c r="T85" s="117" t="str">
        <f t="shared" ref="T85:T148" ca="1" si="12">IF($W85&gt;0,$D85,"")</f>
        <v/>
      </c>
      <c r="U85" s="163" t="str">
        <f t="shared" ref="U85:U148" ca="1" si="13">IF($W85&gt;0,$E85,"")</f>
        <v/>
      </c>
      <c r="V85" s="164" t="str" cm="1">
        <f t="array" aca="1" ref="V85" ca="1">IF(AND($W85&gt;0,RegimeExecucao="Unitário"),$F85,"")</f>
        <v/>
      </c>
      <c r="W85" s="454" cm="1">
        <f t="array" aca="1" ref="W85" ca="1">IF($Y85&gt;0,CHOOSE(MATCH(RegimeExecucao,{"Unitário","Global"},0),IF($A85="S",$Y85/$X85,""),($Y85/$X85)*100),0)</f>
        <v>0</v>
      </c>
      <c r="X85" s="339" t="str" cm="1">
        <f t="array" aca="1" ref="X85" ca="1">IF($Y85&gt;0,CHOOSE(MATCH(RegimeExecucao,{"Unitário","Global"},0),IF($A85="S",ROUND($H85,ORÇAMENTO!$AF$10),""),ROUND($I85,ORÇAMENTO!$AF$11)),"")</f>
        <v/>
      </c>
      <c r="Y85" s="339">
        <f t="shared" ref="Y85:Y148" ca="1" si="14">AO85-O85</f>
        <v>0</v>
      </c>
      <c r="Z85" s="473"/>
      <c r="AB85" s="337"/>
      <c r="AC85" s="437"/>
      <c r="AD85" s="437"/>
      <c r="AE85" s="437"/>
      <c r="AF85" s="437"/>
      <c r="AG85" s="437"/>
      <c r="AH85" s="437"/>
      <c r="AI85" s="437"/>
      <c r="AJ85" s="437"/>
      <c r="AK85" s="437"/>
      <c r="AL85" s="437"/>
      <c r="AM85" s="338"/>
      <c r="AO85" cm="1">
        <f t="array" aca="1" ref="AO85" ca="1">IF($A85="S",IF(BM!$I85=0,0,CHOOSE(MATCH(RegimeExecucao,{"Global","Unitário"},0),ROUND(ROUND(BM.MEDAcumulado,15-13*BM!$A$9)/100*BM!$I85,15-13*ORÇAMENTO!$AF$11),ROUND(ROUND(BM.MEDAcumulado,15-13*BM!$A$9)*ROUND(BM!$H85,15-13*ORÇAMENTO!$AF$10),15-13*ORÇAMENTO!$AF$11))),IF($A85=0,0,ROUND(SomaAgrupBM,15-13*ORÇAMENTO!$AF$11)))</f>
        <v>0</v>
      </c>
    </row>
    <row r="86" spans="1:41" ht="51" x14ac:dyDescent="0.2">
      <c r="A86" t="str">
        <f ca="1">ORÇAMENTO!C86</f>
        <v>S</v>
      </c>
      <c r="B86">
        <f ca="1">ORÇAMENTO!D86</f>
        <v>0</v>
      </c>
      <c r="C86" s="114" t="str">
        <f t="shared" ca="1" si="8"/>
        <v/>
      </c>
      <c r="D86" s="117" t="str">
        <f ca="1">ORÇAMENTO!O86</f>
        <v>-</v>
      </c>
      <c r="E86" s="163" t="str">
        <f t="shared" ca="1" si="9"/>
        <v>(Código não identificado nas referências)</v>
      </c>
      <c r="F86" s="164" t="str" cm="1">
        <f t="array" aca="1" ref="F86" ca="1">IF(RegimeExecucao="Global","",ORÇAMENTO.Unidade)</f>
        <v/>
      </c>
      <c r="G86" s="122" t="str" cm="1">
        <f t="array" aca="1" ref="G86" ca="1">IF(RegimeExecucao="Global","",ORÇAMENTO!T86)</f>
        <v/>
      </c>
      <c r="H86" s="122" t="str" cm="1">
        <f t="array" aca="1" ref="H86" ca="1">IF(RegimeExecucao="Global","",ORÇAMENTO!W86)</f>
        <v/>
      </c>
      <c r="I86" s="125">
        <f ca="1">ORÇAMENTO!X86</f>
        <v>0</v>
      </c>
      <c r="J86" s="333" cm="1">
        <f t="array" aca="1" ref="J86" ca="1">IF($A86="S",IF(CAIXA.Modo,BM.AFAnterior,BM.MEDAnterior),IF(AND(RegimeExecucao="Global",$I86&gt;0,COUNTIF($AB$13:$AM$13,BM.medicao-1)&gt;0),M86/$I86*100,0))</f>
        <v>0</v>
      </c>
      <c r="K86" s="122">
        <f t="shared" ca="1" si="10"/>
        <v>0</v>
      </c>
      <c r="L86" s="334" cm="1">
        <f t="array" aca="1" ref="L86" ca="1">IF($A86="S",IF(CAIXA.Modo,BM.AFAcumulado,BM.MEDAcumulado),IF(AND(RegimeExecucao="Global",$I86&gt;0,COUNTIF($AB$13:$AM$13,BM.medicao)&gt;0),O86/$I86*100,0))</f>
        <v>0</v>
      </c>
      <c r="M86" s="335" cm="1">
        <f t="array" aca="1" ref="M86" ca="1">IF($A86="S",VTOTALBM,IF($A86=0,0,ROUND(SomaAgrupBM,15-13*ORÇAMENTO!$AF$11)))</f>
        <v>0</v>
      </c>
      <c r="N86" s="336">
        <f t="shared" ca="1" si="11"/>
        <v>0</v>
      </c>
      <c r="O86" s="125" cm="1">
        <f t="array" aca="1" ref="O86" ca="1">IF($A86="S",VTOTALBM,IF($A86=0,0,ROUND(SomaAgrupBM,15-13*ORÇAMENTO!$AF$11)))</f>
        <v>0</v>
      </c>
      <c r="Q86" s="337"/>
      <c r="R86" s="338"/>
      <c r="T86" s="117" t="str">
        <f t="shared" ca="1" si="12"/>
        <v/>
      </c>
      <c r="U86" s="163" t="str">
        <f t="shared" ca="1" si="13"/>
        <v/>
      </c>
      <c r="V86" s="164" t="str" cm="1">
        <f t="array" aca="1" ref="V86" ca="1">IF(AND($W86&gt;0,RegimeExecucao="Unitário"),$F86,"")</f>
        <v/>
      </c>
      <c r="W86" s="454" cm="1">
        <f t="array" aca="1" ref="W86" ca="1">IF($Y86&gt;0,CHOOSE(MATCH(RegimeExecucao,{"Unitário","Global"},0),IF($A86="S",$Y86/$X86,""),($Y86/$X86)*100),0)</f>
        <v>0</v>
      </c>
      <c r="X86" s="339" t="str" cm="1">
        <f t="array" aca="1" ref="X86" ca="1">IF($Y86&gt;0,CHOOSE(MATCH(RegimeExecucao,{"Unitário","Global"},0),IF($A86="S",ROUND($H86,ORÇAMENTO!$AF$10),""),ROUND($I86,ORÇAMENTO!$AF$11)),"")</f>
        <v/>
      </c>
      <c r="Y86" s="339">
        <f t="shared" ca="1" si="14"/>
        <v>0</v>
      </c>
      <c r="Z86" s="473"/>
      <c r="AB86" s="337"/>
      <c r="AC86" s="437"/>
      <c r="AD86" s="437"/>
      <c r="AE86" s="437"/>
      <c r="AF86" s="437"/>
      <c r="AG86" s="437"/>
      <c r="AH86" s="437"/>
      <c r="AI86" s="437"/>
      <c r="AJ86" s="437"/>
      <c r="AK86" s="437"/>
      <c r="AL86" s="437"/>
      <c r="AM86" s="338"/>
      <c r="AO86" cm="1">
        <f t="array" aca="1" ref="AO86" ca="1">IF($A86="S",IF(BM!$I86=0,0,CHOOSE(MATCH(RegimeExecucao,{"Global","Unitário"},0),ROUND(ROUND(BM.MEDAcumulado,15-13*BM!$A$9)/100*BM!$I86,15-13*ORÇAMENTO!$AF$11),ROUND(ROUND(BM.MEDAcumulado,15-13*BM!$A$9)*ROUND(BM!$H86,15-13*ORÇAMENTO!$AF$10),15-13*ORÇAMENTO!$AF$11))),IF($A86=0,0,ROUND(SomaAgrupBM,15-13*ORÇAMENTO!$AF$11)))</f>
        <v>0</v>
      </c>
    </row>
    <row r="87" spans="1:41" ht="51" x14ac:dyDescent="0.2">
      <c r="A87" t="str">
        <f ca="1">ORÇAMENTO!C87</f>
        <v>S</v>
      </c>
      <c r="B87">
        <f ca="1">ORÇAMENTO!D87</f>
        <v>0</v>
      </c>
      <c r="C87" s="114" t="str">
        <f t="shared" ca="1" si="8"/>
        <v/>
      </c>
      <c r="D87" s="117" t="str">
        <f ca="1">ORÇAMENTO!O87</f>
        <v>-</v>
      </c>
      <c r="E87" s="163" t="str">
        <f t="shared" ca="1" si="9"/>
        <v>(Código não identificado nas referências)</v>
      </c>
      <c r="F87" s="164" t="str" cm="1">
        <f t="array" aca="1" ref="F87" ca="1">IF(RegimeExecucao="Global","",ORÇAMENTO.Unidade)</f>
        <v/>
      </c>
      <c r="G87" s="122" t="str" cm="1">
        <f t="array" aca="1" ref="G87" ca="1">IF(RegimeExecucao="Global","",ORÇAMENTO!T87)</f>
        <v/>
      </c>
      <c r="H87" s="122" t="str" cm="1">
        <f t="array" aca="1" ref="H87" ca="1">IF(RegimeExecucao="Global","",ORÇAMENTO!W87)</f>
        <v/>
      </c>
      <c r="I87" s="125">
        <f ca="1">ORÇAMENTO!X87</f>
        <v>0</v>
      </c>
      <c r="J87" s="333" cm="1">
        <f t="array" aca="1" ref="J87" ca="1">IF($A87="S",IF(CAIXA.Modo,BM.AFAnterior,BM.MEDAnterior),IF(AND(RegimeExecucao="Global",$I87&gt;0,COUNTIF($AB$13:$AM$13,BM.medicao-1)&gt;0),M87/$I87*100,0))</f>
        <v>0</v>
      </c>
      <c r="K87" s="122">
        <f t="shared" ca="1" si="10"/>
        <v>0</v>
      </c>
      <c r="L87" s="334" cm="1">
        <f t="array" aca="1" ref="L87" ca="1">IF($A87="S",IF(CAIXA.Modo,BM.AFAcumulado,BM.MEDAcumulado),IF(AND(RegimeExecucao="Global",$I87&gt;0,COUNTIF($AB$13:$AM$13,BM.medicao)&gt;0),O87/$I87*100,0))</f>
        <v>0</v>
      </c>
      <c r="M87" s="335" cm="1">
        <f t="array" aca="1" ref="M87" ca="1">IF($A87="S",VTOTALBM,IF($A87=0,0,ROUND(SomaAgrupBM,15-13*ORÇAMENTO!$AF$11)))</f>
        <v>0</v>
      </c>
      <c r="N87" s="336">
        <f t="shared" ca="1" si="11"/>
        <v>0</v>
      </c>
      <c r="O87" s="125" cm="1">
        <f t="array" aca="1" ref="O87" ca="1">IF($A87="S",VTOTALBM,IF($A87=0,0,ROUND(SomaAgrupBM,15-13*ORÇAMENTO!$AF$11)))</f>
        <v>0</v>
      </c>
      <c r="Q87" s="337"/>
      <c r="R87" s="338"/>
      <c r="T87" s="117" t="str">
        <f t="shared" ca="1" si="12"/>
        <v/>
      </c>
      <c r="U87" s="163" t="str">
        <f t="shared" ca="1" si="13"/>
        <v/>
      </c>
      <c r="V87" s="164" t="str" cm="1">
        <f t="array" aca="1" ref="V87" ca="1">IF(AND($W87&gt;0,RegimeExecucao="Unitário"),$F87,"")</f>
        <v/>
      </c>
      <c r="W87" s="454" cm="1">
        <f t="array" aca="1" ref="W87" ca="1">IF($Y87&gt;0,CHOOSE(MATCH(RegimeExecucao,{"Unitário","Global"},0),IF($A87="S",$Y87/$X87,""),($Y87/$X87)*100),0)</f>
        <v>0</v>
      </c>
      <c r="X87" s="339" t="str" cm="1">
        <f t="array" aca="1" ref="X87" ca="1">IF($Y87&gt;0,CHOOSE(MATCH(RegimeExecucao,{"Unitário","Global"},0),IF($A87="S",ROUND($H87,ORÇAMENTO!$AF$10),""),ROUND($I87,ORÇAMENTO!$AF$11)),"")</f>
        <v/>
      </c>
      <c r="Y87" s="339">
        <f t="shared" ca="1" si="14"/>
        <v>0</v>
      </c>
      <c r="Z87" s="473"/>
      <c r="AB87" s="337"/>
      <c r="AC87" s="437"/>
      <c r="AD87" s="437"/>
      <c r="AE87" s="437"/>
      <c r="AF87" s="437"/>
      <c r="AG87" s="437"/>
      <c r="AH87" s="437"/>
      <c r="AI87" s="437"/>
      <c r="AJ87" s="437"/>
      <c r="AK87" s="437"/>
      <c r="AL87" s="437"/>
      <c r="AM87" s="338"/>
      <c r="AO87" cm="1">
        <f t="array" aca="1" ref="AO87" ca="1">IF($A87="S",IF(BM!$I87=0,0,CHOOSE(MATCH(RegimeExecucao,{"Global","Unitário"},0),ROUND(ROUND(BM.MEDAcumulado,15-13*BM!$A$9)/100*BM!$I87,15-13*ORÇAMENTO!$AF$11),ROUND(ROUND(BM.MEDAcumulado,15-13*BM!$A$9)*ROUND(BM!$H87,15-13*ORÇAMENTO!$AF$10),15-13*ORÇAMENTO!$AF$11))),IF($A87=0,0,ROUND(SomaAgrupBM,15-13*ORÇAMENTO!$AF$11)))</f>
        <v>0</v>
      </c>
    </row>
    <row r="88" spans="1:41" ht="38.25" x14ac:dyDescent="0.2">
      <c r="A88" t="str">
        <f ca="1">ORÇAMENTO!C88</f>
        <v>S</v>
      </c>
      <c r="B88">
        <f ca="1">ORÇAMENTO!D88</f>
        <v>0</v>
      </c>
      <c r="C88" s="114" t="str">
        <f t="shared" ca="1" si="8"/>
        <v/>
      </c>
      <c r="D88" s="117" t="str">
        <f ca="1">ORÇAMENTO!O88</f>
        <v>-</v>
      </c>
      <c r="E88" s="163" t="str">
        <f t="shared" ca="1" si="9"/>
        <v>(Código não identificado nas referências)</v>
      </c>
      <c r="F88" s="164" t="str" cm="1">
        <f t="array" aca="1" ref="F88" ca="1">IF(RegimeExecucao="Global","",ORÇAMENTO.Unidade)</f>
        <v/>
      </c>
      <c r="G88" s="122" t="str" cm="1">
        <f t="array" aca="1" ref="G88" ca="1">IF(RegimeExecucao="Global","",ORÇAMENTO!T88)</f>
        <v/>
      </c>
      <c r="H88" s="122" t="str" cm="1">
        <f t="array" aca="1" ref="H88" ca="1">IF(RegimeExecucao="Global","",ORÇAMENTO!W88)</f>
        <v/>
      </c>
      <c r="I88" s="125">
        <f ca="1">ORÇAMENTO!X88</f>
        <v>0</v>
      </c>
      <c r="J88" s="333" cm="1">
        <f t="array" aca="1" ref="J88" ca="1">IF($A88="S",IF(CAIXA.Modo,BM.AFAnterior,BM.MEDAnterior),IF(AND(RegimeExecucao="Global",$I88&gt;0,COUNTIF($AB$13:$AM$13,BM.medicao-1)&gt;0),M88/$I88*100,0))</f>
        <v>0</v>
      </c>
      <c r="K88" s="122">
        <f t="shared" ca="1" si="10"/>
        <v>0</v>
      </c>
      <c r="L88" s="334" cm="1">
        <f t="array" aca="1" ref="L88" ca="1">IF($A88="S",IF(CAIXA.Modo,BM.AFAcumulado,BM.MEDAcumulado),IF(AND(RegimeExecucao="Global",$I88&gt;0,COUNTIF($AB$13:$AM$13,BM.medicao)&gt;0),O88/$I88*100,0))</f>
        <v>0</v>
      </c>
      <c r="M88" s="335" cm="1">
        <f t="array" aca="1" ref="M88" ca="1">IF($A88="S",VTOTALBM,IF($A88=0,0,ROUND(SomaAgrupBM,15-13*ORÇAMENTO!$AF$11)))</f>
        <v>0</v>
      </c>
      <c r="N88" s="336">
        <f t="shared" ca="1" si="11"/>
        <v>0</v>
      </c>
      <c r="O88" s="125" cm="1">
        <f t="array" aca="1" ref="O88" ca="1">IF($A88="S",VTOTALBM,IF($A88=0,0,ROUND(SomaAgrupBM,15-13*ORÇAMENTO!$AF$11)))</f>
        <v>0</v>
      </c>
      <c r="Q88" s="337"/>
      <c r="R88" s="338"/>
      <c r="T88" s="117" t="str">
        <f t="shared" ca="1" si="12"/>
        <v/>
      </c>
      <c r="U88" s="163" t="str">
        <f t="shared" ca="1" si="13"/>
        <v/>
      </c>
      <c r="V88" s="164" t="str" cm="1">
        <f t="array" aca="1" ref="V88" ca="1">IF(AND($W88&gt;0,RegimeExecucao="Unitário"),$F88,"")</f>
        <v/>
      </c>
      <c r="W88" s="454" cm="1">
        <f t="array" aca="1" ref="W88" ca="1">IF($Y88&gt;0,CHOOSE(MATCH(RegimeExecucao,{"Unitário","Global"},0),IF($A88="S",$Y88/$X88,""),($Y88/$X88)*100),0)</f>
        <v>0</v>
      </c>
      <c r="X88" s="339" t="str" cm="1">
        <f t="array" aca="1" ref="X88" ca="1">IF($Y88&gt;0,CHOOSE(MATCH(RegimeExecucao,{"Unitário","Global"},0),IF($A88="S",ROUND($H88,ORÇAMENTO!$AF$10),""),ROUND($I88,ORÇAMENTO!$AF$11)),"")</f>
        <v/>
      </c>
      <c r="Y88" s="339">
        <f t="shared" ca="1" si="14"/>
        <v>0</v>
      </c>
      <c r="Z88" s="473"/>
      <c r="AB88" s="337"/>
      <c r="AC88" s="437"/>
      <c r="AD88" s="437"/>
      <c r="AE88" s="437"/>
      <c r="AF88" s="437"/>
      <c r="AG88" s="437"/>
      <c r="AH88" s="437"/>
      <c r="AI88" s="437"/>
      <c r="AJ88" s="437"/>
      <c r="AK88" s="437"/>
      <c r="AL88" s="437"/>
      <c r="AM88" s="338"/>
      <c r="AO88" cm="1">
        <f t="array" aca="1" ref="AO88" ca="1">IF($A88="S",IF(BM!$I88=0,0,CHOOSE(MATCH(RegimeExecucao,{"Global","Unitário"},0),ROUND(ROUND(BM.MEDAcumulado,15-13*BM!$A$9)/100*BM!$I88,15-13*ORÇAMENTO!$AF$11),ROUND(ROUND(BM.MEDAcumulado,15-13*BM!$A$9)*ROUND(BM!$H88,15-13*ORÇAMENTO!$AF$10),15-13*ORÇAMENTO!$AF$11))),IF($A88=0,0,ROUND(SomaAgrupBM,15-13*ORÇAMENTO!$AF$11)))</f>
        <v>0</v>
      </c>
    </row>
    <row r="89" spans="1:41" ht="38.25" x14ac:dyDescent="0.2">
      <c r="A89" t="str">
        <f ca="1">ORÇAMENTO!C89</f>
        <v>S</v>
      </c>
      <c r="B89">
        <f ca="1">ORÇAMENTO!D89</f>
        <v>0</v>
      </c>
      <c r="C89" s="114" t="str">
        <f t="shared" ca="1" si="8"/>
        <v/>
      </c>
      <c r="D89" s="117" t="str">
        <f ca="1">ORÇAMENTO!O89</f>
        <v>-</v>
      </c>
      <c r="E89" s="163" t="str">
        <f t="shared" ca="1" si="9"/>
        <v>(Código não identificado nas referências)</v>
      </c>
      <c r="F89" s="164" t="str" cm="1">
        <f t="array" aca="1" ref="F89" ca="1">IF(RegimeExecucao="Global","",ORÇAMENTO.Unidade)</f>
        <v/>
      </c>
      <c r="G89" s="122" t="str" cm="1">
        <f t="array" aca="1" ref="G89" ca="1">IF(RegimeExecucao="Global","",ORÇAMENTO!T89)</f>
        <v/>
      </c>
      <c r="H89" s="122" t="str" cm="1">
        <f t="array" aca="1" ref="H89" ca="1">IF(RegimeExecucao="Global","",ORÇAMENTO!W89)</f>
        <v/>
      </c>
      <c r="I89" s="125">
        <f ca="1">ORÇAMENTO!X89</f>
        <v>0</v>
      </c>
      <c r="J89" s="333" cm="1">
        <f t="array" aca="1" ref="J89" ca="1">IF($A89="S",IF(CAIXA.Modo,BM.AFAnterior,BM.MEDAnterior),IF(AND(RegimeExecucao="Global",$I89&gt;0,COUNTIF($AB$13:$AM$13,BM.medicao-1)&gt;0),M89/$I89*100,0))</f>
        <v>0</v>
      </c>
      <c r="K89" s="122">
        <f t="shared" ca="1" si="10"/>
        <v>0</v>
      </c>
      <c r="L89" s="334" cm="1">
        <f t="array" aca="1" ref="L89" ca="1">IF($A89="S",IF(CAIXA.Modo,BM.AFAcumulado,BM.MEDAcumulado),IF(AND(RegimeExecucao="Global",$I89&gt;0,COUNTIF($AB$13:$AM$13,BM.medicao)&gt;0),O89/$I89*100,0))</f>
        <v>0</v>
      </c>
      <c r="M89" s="335" cm="1">
        <f t="array" aca="1" ref="M89" ca="1">IF($A89="S",VTOTALBM,IF($A89=0,0,ROUND(SomaAgrupBM,15-13*ORÇAMENTO!$AF$11)))</f>
        <v>0</v>
      </c>
      <c r="N89" s="336">
        <f t="shared" ca="1" si="11"/>
        <v>0</v>
      </c>
      <c r="O89" s="125" cm="1">
        <f t="array" aca="1" ref="O89" ca="1">IF($A89="S",VTOTALBM,IF($A89=0,0,ROUND(SomaAgrupBM,15-13*ORÇAMENTO!$AF$11)))</f>
        <v>0</v>
      </c>
      <c r="Q89" s="337"/>
      <c r="R89" s="338"/>
      <c r="T89" s="117" t="str">
        <f t="shared" ca="1" si="12"/>
        <v/>
      </c>
      <c r="U89" s="163" t="str">
        <f t="shared" ca="1" si="13"/>
        <v/>
      </c>
      <c r="V89" s="164" t="str" cm="1">
        <f t="array" aca="1" ref="V89" ca="1">IF(AND($W89&gt;0,RegimeExecucao="Unitário"),$F89,"")</f>
        <v/>
      </c>
      <c r="W89" s="454" cm="1">
        <f t="array" aca="1" ref="W89" ca="1">IF($Y89&gt;0,CHOOSE(MATCH(RegimeExecucao,{"Unitário","Global"},0),IF($A89="S",$Y89/$X89,""),($Y89/$X89)*100),0)</f>
        <v>0</v>
      </c>
      <c r="X89" s="339" t="str" cm="1">
        <f t="array" aca="1" ref="X89" ca="1">IF($Y89&gt;0,CHOOSE(MATCH(RegimeExecucao,{"Unitário","Global"},0),IF($A89="S",ROUND($H89,ORÇAMENTO!$AF$10),""),ROUND($I89,ORÇAMENTO!$AF$11)),"")</f>
        <v/>
      </c>
      <c r="Y89" s="339">
        <f t="shared" ca="1" si="14"/>
        <v>0</v>
      </c>
      <c r="Z89" s="473"/>
      <c r="AB89" s="337"/>
      <c r="AC89" s="437"/>
      <c r="AD89" s="437"/>
      <c r="AE89" s="437"/>
      <c r="AF89" s="437"/>
      <c r="AG89" s="437"/>
      <c r="AH89" s="437"/>
      <c r="AI89" s="437"/>
      <c r="AJ89" s="437"/>
      <c r="AK89" s="437"/>
      <c r="AL89" s="437"/>
      <c r="AM89" s="338"/>
      <c r="AO89" cm="1">
        <f t="array" aca="1" ref="AO89" ca="1">IF($A89="S",IF(BM!$I89=0,0,CHOOSE(MATCH(RegimeExecucao,{"Global","Unitário"},0),ROUND(ROUND(BM.MEDAcumulado,15-13*BM!$A$9)/100*BM!$I89,15-13*ORÇAMENTO!$AF$11),ROUND(ROUND(BM.MEDAcumulado,15-13*BM!$A$9)*ROUND(BM!$H89,15-13*ORÇAMENTO!$AF$10),15-13*ORÇAMENTO!$AF$11))),IF($A89=0,0,ROUND(SomaAgrupBM,15-13*ORÇAMENTO!$AF$11)))</f>
        <v>0</v>
      </c>
    </row>
    <row r="90" spans="1:41" ht="38.25" x14ac:dyDescent="0.2">
      <c r="A90" t="str">
        <f ca="1">ORÇAMENTO!C90</f>
        <v>S</v>
      </c>
      <c r="B90">
        <f ca="1">ORÇAMENTO!D90</f>
        <v>0</v>
      </c>
      <c r="C90" s="114" t="str">
        <f t="shared" ca="1" si="8"/>
        <v/>
      </c>
      <c r="D90" s="117" t="str">
        <f ca="1">ORÇAMENTO!O90</f>
        <v>-</v>
      </c>
      <c r="E90" s="163" t="str">
        <f t="shared" ca="1" si="9"/>
        <v>(Código não identificado nas referências)</v>
      </c>
      <c r="F90" s="164" t="str" cm="1">
        <f t="array" aca="1" ref="F90" ca="1">IF(RegimeExecucao="Global","",ORÇAMENTO.Unidade)</f>
        <v/>
      </c>
      <c r="G90" s="122" t="str" cm="1">
        <f t="array" aca="1" ref="G90" ca="1">IF(RegimeExecucao="Global","",ORÇAMENTO!T90)</f>
        <v/>
      </c>
      <c r="H90" s="122" t="str" cm="1">
        <f t="array" aca="1" ref="H90" ca="1">IF(RegimeExecucao="Global","",ORÇAMENTO!W90)</f>
        <v/>
      </c>
      <c r="I90" s="125">
        <f ca="1">ORÇAMENTO!X90</f>
        <v>0</v>
      </c>
      <c r="J90" s="333" cm="1">
        <f t="array" aca="1" ref="J90" ca="1">IF($A90="S",IF(CAIXA.Modo,BM.AFAnterior,BM.MEDAnterior),IF(AND(RegimeExecucao="Global",$I90&gt;0,COUNTIF($AB$13:$AM$13,BM.medicao-1)&gt;0),M90/$I90*100,0))</f>
        <v>0</v>
      </c>
      <c r="K90" s="122">
        <f t="shared" ca="1" si="10"/>
        <v>0</v>
      </c>
      <c r="L90" s="334" cm="1">
        <f t="array" aca="1" ref="L90" ca="1">IF($A90="S",IF(CAIXA.Modo,BM.AFAcumulado,BM.MEDAcumulado),IF(AND(RegimeExecucao="Global",$I90&gt;0,COUNTIF($AB$13:$AM$13,BM.medicao)&gt;0),O90/$I90*100,0))</f>
        <v>0</v>
      </c>
      <c r="M90" s="335" cm="1">
        <f t="array" aca="1" ref="M90" ca="1">IF($A90="S",VTOTALBM,IF($A90=0,0,ROUND(SomaAgrupBM,15-13*ORÇAMENTO!$AF$11)))</f>
        <v>0</v>
      </c>
      <c r="N90" s="336">
        <f t="shared" ca="1" si="11"/>
        <v>0</v>
      </c>
      <c r="O90" s="125" cm="1">
        <f t="array" aca="1" ref="O90" ca="1">IF($A90="S",VTOTALBM,IF($A90=0,0,ROUND(SomaAgrupBM,15-13*ORÇAMENTO!$AF$11)))</f>
        <v>0</v>
      </c>
      <c r="Q90" s="337"/>
      <c r="R90" s="338"/>
      <c r="T90" s="117" t="str">
        <f t="shared" ca="1" si="12"/>
        <v/>
      </c>
      <c r="U90" s="163" t="str">
        <f t="shared" ca="1" si="13"/>
        <v/>
      </c>
      <c r="V90" s="164" t="str" cm="1">
        <f t="array" aca="1" ref="V90" ca="1">IF(AND($W90&gt;0,RegimeExecucao="Unitário"),$F90,"")</f>
        <v/>
      </c>
      <c r="W90" s="454" cm="1">
        <f t="array" aca="1" ref="W90" ca="1">IF($Y90&gt;0,CHOOSE(MATCH(RegimeExecucao,{"Unitário","Global"},0),IF($A90="S",$Y90/$X90,""),($Y90/$X90)*100),0)</f>
        <v>0</v>
      </c>
      <c r="X90" s="339" t="str" cm="1">
        <f t="array" aca="1" ref="X90" ca="1">IF($Y90&gt;0,CHOOSE(MATCH(RegimeExecucao,{"Unitário","Global"},0),IF($A90="S",ROUND($H90,ORÇAMENTO!$AF$10),""),ROUND($I90,ORÇAMENTO!$AF$11)),"")</f>
        <v/>
      </c>
      <c r="Y90" s="339">
        <f t="shared" ca="1" si="14"/>
        <v>0</v>
      </c>
      <c r="Z90" s="473"/>
      <c r="AB90" s="337"/>
      <c r="AC90" s="437"/>
      <c r="AD90" s="437"/>
      <c r="AE90" s="437"/>
      <c r="AF90" s="437"/>
      <c r="AG90" s="437"/>
      <c r="AH90" s="437"/>
      <c r="AI90" s="437"/>
      <c r="AJ90" s="437"/>
      <c r="AK90" s="437"/>
      <c r="AL90" s="437"/>
      <c r="AM90" s="338"/>
      <c r="AO90" cm="1">
        <f t="array" aca="1" ref="AO90" ca="1">IF($A90="S",IF(BM!$I90=0,0,CHOOSE(MATCH(RegimeExecucao,{"Global","Unitário"},0),ROUND(ROUND(BM.MEDAcumulado,15-13*BM!$A$9)/100*BM!$I90,15-13*ORÇAMENTO!$AF$11),ROUND(ROUND(BM.MEDAcumulado,15-13*BM!$A$9)*ROUND(BM!$H90,15-13*ORÇAMENTO!$AF$10),15-13*ORÇAMENTO!$AF$11))),IF($A90=0,0,ROUND(SomaAgrupBM,15-13*ORÇAMENTO!$AF$11)))</f>
        <v>0</v>
      </c>
    </row>
    <row r="91" spans="1:41" x14ac:dyDescent="0.2">
      <c r="A91">
        <f ca="1">ORÇAMENTO!C91</f>
        <v>2</v>
      </c>
      <c r="B91">
        <f ca="1">ORÇAMENTO!D91</f>
        <v>3</v>
      </c>
      <c r="C91" s="114" t="str">
        <f t="shared" ca="1" si="8"/>
        <v>F</v>
      </c>
      <c r="D91" s="117" t="str">
        <f ca="1">ORÇAMENTO!O91</f>
        <v>7.2.</v>
      </c>
      <c r="E91" s="163" t="str">
        <f t="shared" si="9"/>
        <v>REVESTIMENTOS CERÂMICOS</v>
      </c>
      <c r="F91" s="164" t="str" cm="1">
        <f t="array" aca="1" ref="F91" ca="1">IF(RegimeExecucao="Global","",ORÇAMENTO.Unidade)</f>
        <v/>
      </c>
      <c r="G91" s="122" t="str" cm="1">
        <f t="array" aca="1" ref="G91" ca="1">IF(RegimeExecucao="Global","",ORÇAMENTO!T91)</f>
        <v/>
      </c>
      <c r="H91" s="122" t="str" cm="1">
        <f t="array" aca="1" ref="H91" ca="1">IF(RegimeExecucao="Global","",ORÇAMENTO!W91)</f>
        <v/>
      </c>
      <c r="I91" s="125">
        <f ca="1">ORÇAMENTO!X91</f>
        <v>0</v>
      </c>
      <c r="J91" s="333" cm="1">
        <f t="array" aca="1" ref="J91" ca="1">IF($A91="S",IF(CAIXA.Modo,BM.AFAnterior,BM.MEDAnterior),IF(AND(RegimeExecucao="Global",$I91&gt;0,COUNTIF($AB$13:$AM$13,BM.medicao-1)&gt;0),M91/$I91*100,0))</f>
        <v>0</v>
      </c>
      <c r="K91" s="122">
        <f t="shared" ca="1" si="10"/>
        <v>0</v>
      </c>
      <c r="L91" s="334" cm="1">
        <f t="array" aca="1" ref="L91" ca="1">IF($A91="S",IF(CAIXA.Modo,BM.AFAcumulado,BM.MEDAcumulado),IF(AND(RegimeExecucao="Global",$I91&gt;0,COUNTIF($AB$13:$AM$13,BM.medicao)&gt;0),O91/$I91*100,0))</f>
        <v>0</v>
      </c>
      <c r="M91" s="335" cm="1">
        <f t="array" aca="1" ref="M91" ca="1">IF($A91="S",VTOTALBM,IF($A91=0,0,ROUND(SomaAgrupBM,15-13*ORÇAMENTO!$AF$11)))</f>
        <v>0</v>
      </c>
      <c r="N91" s="336">
        <f t="shared" ca="1" si="11"/>
        <v>0</v>
      </c>
      <c r="O91" s="125" cm="1">
        <f t="array" aca="1" ref="O91" ca="1">IF($A91="S",VTOTALBM,IF($A91=0,0,ROUND(SomaAgrupBM,15-13*ORÇAMENTO!$AF$11)))</f>
        <v>0</v>
      </c>
      <c r="Q91" s="337"/>
      <c r="R91" s="338"/>
      <c r="T91" s="117" t="str">
        <f t="shared" ca="1" si="12"/>
        <v/>
      </c>
      <c r="U91" s="163" t="str">
        <f t="shared" ca="1" si="13"/>
        <v/>
      </c>
      <c r="V91" s="164" t="str" cm="1">
        <f t="array" aca="1" ref="V91" ca="1">IF(AND($W91&gt;0,RegimeExecucao="Unitário"),$F91,"")</f>
        <v/>
      </c>
      <c r="W91" s="454" cm="1">
        <f t="array" aca="1" ref="W91" ca="1">IF($Y91&gt;0,CHOOSE(MATCH(RegimeExecucao,{"Unitário","Global"},0),IF($A91="S",$Y91/$X91,""),($Y91/$X91)*100),0)</f>
        <v>0</v>
      </c>
      <c r="X91" s="339" t="str" cm="1">
        <f t="array" aca="1" ref="X91" ca="1">IF($Y91&gt;0,CHOOSE(MATCH(RegimeExecucao,{"Unitário","Global"},0),IF($A91="S",ROUND($H91,ORÇAMENTO!$AF$10),""),ROUND($I91,ORÇAMENTO!$AF$11)),"")</f>
        <v/>
      </c>
      <c r="Y91" s="339">
        <f t="shared" ca="1" si="14"/>
        <v>0</v>
      </c>
      <c r="Z91" s="473"/>
      <c r="AB91" s="337"/>
      <c r="AC91" s="437"/>
      <c r="AD91" s="437"/>
      <c r="AE91" s="437"/>
      <c r="AF91" s="437"/>
      <c r="AG91" s="437"/>
      <c r="AH91" s="437"/>
      <c r="AI91" s="437"/>
      <c r="AJ91" s="437"/>
      <c r="AK91" s="437"/>
      <c r="AL91" s="437"/>
      <c r="AM91" s="338"/>
      <c r="AO91" cm="1">
        <f t="array" aca="1" ref="AO91" ca="1">IF($A91="S",IF(BM!$I91=0,0,CHOOSE(MATCH(RegimeExecucao,{"Global","Unitário"},0),ROUND(ROUND(BM.MEDAcumulado,15-13*BM!$A$9)/100*BM!$I91,15-13*ORÇAMENTO!$AF$11),ROUND(ROUND(BM.MEDAcumulado,15-13*BM!$A$9)*ROUND(BM!$H91,15-13*ORÇAMENTO!$AF$10),15-13*ORÇAMENTO!$AF$11))),IF($A91=0,0,ROUND(SomaAgrupBM,15-13*ORÇAMENTO!$AF$11)))</f>
        <v>0</v>
      </c>
    </row>
    <row r="92" spans="1:41" ht="38.25" x14ac:dyDescent="0.2">
      <c r="A92" t="str">
        <f ca="1">ORÇAMENTO!C92</f>
        <v>S</v>
      </c>
      <c r="B92">
        <f ca="1">ORÇAMENTO!D92</f>
        <v>0</v>
      </c>
      <c r="C92" s="114" t="str">
        <f t="shared" ca="1" si="8"/>
        <v/>
      </c>
      <c r="D92" s="117" t="str">
        <f ca="1">ORÇAMENTO!O92</f>
        <v>-</v>
      </c>
      <c r="E92" s="163" t="str">
        <f t="shared" ca="1" si="9"/>
        <v>(Código não identificado nas referências)</v>
      </c>
      <c r="F92" s="164" t="str" cm="1">
        <f t="array" aca="1" ref="F92" ca="1">IF(RegimeExecucao="Global","",ORÇAMENTO.Unidade)</f>
        <v/>
      </c>
      <c r="G92" s="122" t="str" cm="1">
        <f t="array" aca="1" ref="G92" ca="1">IF(RegimeExecucao="Global","",ORÇAMENTO!T92)</f>
        <v/>
      </c>
      <c r="H92" s="122" t="str" cm="1">
        <f t="array" aca="1" ref="H92" ca="1">IF(RegimeExecucao="Global","",ORÇAMENTO!W92)</f>
        <v/>
      </c>
      <c r="I92" s="125">
        <f ca="1">ORÇAMENTO!X92</f>
        <v>0</v>
      </c>
      <c r="J92" s="333" cm="1">
        <f t="array" aca="1" ref="J92" ca="1">IF($A92="S",IF(CAIXA.Modo,BM.AFAnterior,BM.MEDAnterior),IF(AND(RegimeExecucao="Global",$I92&gt;0,COUNTIF($AB$13:$AM$13,BM.medicao-1)&gt;0),M92/$I92*100,0))</f>
        <v>0</v>
      </c>
      <c r="K92" s="122">
        <f t="shared" ca="1" si="10"/>
        <v>0</v>
      </c>
      <c r="L92" s="334" cm="1">
        <f t="array" aca="1" ref="L92" ca="1">IF($A92="S",IF(CAIXA.Modo,BM.AFAcumulado,BM.MEDAcumulado),IF(AND(RegimeExecucao="Global",$I92&gt;0,COUNTIF($AB$13:$AM$13,BM.medicao)&gt;0),O92/$I92*100,0))</f>
        <v>0</v>
      </c>
      <c r="M92" s="335" cm="1">
        <f t="array" aca="1" ref="M92" ca="1">IF($A92="S",VTOTALBM,IF($A92=0,0,ROUND(SomaAgrupBM,15-13*ORÇAMENTO!$AF$11)))</f>
        <v>0</v>
      </c>
      <c r="N92" s="336">
        <f t="shared" ca="1" si="11"/>
        <v>0</v>
      </c>
      <c r="O92" s="125" cm="1">
        <f t="array" aca="1" ref="O92" ca="1">IF($A92="S",VTOTALBM,IF($A92=0,0,ROUND(SomaAgrupBM,15-13*ORÇAMENTO!$AF$11)))</f>
        <v>0</v>
      </c>
      <c r="Q92" s="337"/>
      <c r="R92" s="338"/>
      <c r="T92" s="117" t="str">
        <f t="shared" ca="1" si="12"/>
        <v/>
      </c>
      <c r="U92" s="163" t="str">
        <f t="shared" ca="1" si="13"/>
        <v/>
      </c>
      <c r="V92" s="164" t="str" cm="1">
        <f t="array" aca="1" ref="V92" ca="1">IF(AND($W92&gt;0,RegimeExecucao="Unitário"),$F92,"")</f>
        <v/>
      </c>
      <c r="W92" s="454" cm="1">
        <f t="array" aca="1" ref="W92" ca="1">IF($Y92&gt;0,CHOOSE(MATCH(RegimeExecucao,{"Unitário","Global"},0),IF($A92="S",$Y92/$X92,""),($Y92/$X92)*100),0)</f>
        <v>0</v>
      </c>
      <c r="X92" s="339" t="str" cm="1">
        <f t="array" aca="1" ref="X92" ca="1">IF($Y92&gt;0,CHOOSE(MATCH(RegimeExecucao,{"Unitário","Global"},0),IF($A92="S",ROUND($H92,ORÇAMENTO!$AF$10),""),ROUND($I92,ORÇAMENTO!$AF$11)),"")</f>
        <v/>
      </c>
      <c r="Y92" s="339">
        <f t="shared" ca="1" si="14"/>
        <v>0</v>
      </c>
      <c r="Z92" s="473"/>
      <c r="AB92" s="337"/>
      <c r="AC92" s="437"/>
      <c r="AD92" s="437"/>
      <c r="AE92" s="437"/>
      <c r="AF92" s="437"/>
      <c r="AG92" s="437"/>
      <c r="AH92" s="437"/>
      <c r="AI92" s="437"/>
      <c r="AJ92" s="437"/>
      <c r="AK92" s="437"/>
      <c r="AL92" s="437"/>
      <c r="AM92" s="338"/>
      <c r="AO92" cm="1">
        <f t="array" aca="1" ref="AO92" ca="1">IF($A92="S",IF(BM!$I92=0,0,CHOOSE(MATCH(RegimeExecucao,{"Global","Unitário"},0),ROUND(ROUND(BM.MEDAcumulado,15-13*BM!$A$9)/100*BM!$I92,15-13*ORÇAMENTO!$AF$11),ROUND(ROUND(BM.MEDAcumulado,15-13*BM!$A$9)*ROUND(BM!$H92,15-13*ORÇAMENTO!$AF$10),15-13*ORÇAMENTO!$AF$11))),IF($A92=0,0,ROUND(SomaAgrupBM,15-13*ORÇAMENTO!$AF$11)))</f>
        <v>0</v>
      </c>
    </row>
    <row r="93" spans="1:41" ht="38.25" x14ac:dyDescent="0.2">
      <c r="A93" t="str">
        <f ca="1">ORÇAMENTO!C93</f>
        <v>S</v>
      </c>
      <c r="B93">
        <f ca="1">ORÇAMENTO!D93</f>
        <v>0</v>
      </c>
      <c r="C93" s="114" t="str">
        <f t="shared" ca="1" si="8"/>
        <v/>
      </c>
      <c r="D93" s="117" t="str">
        <f ca="1">ORÇAMENTO!O93</f>
        <v>-</v>
      </c>
      <c r="E93" s="163" t="str">
        <f t="shared" ca="1" si="9"/>
        <v>(Código não identificado nas referências)</v>
      </c>
      <c r="F93" s="164" t="str" cm="1">
        <f t="array" aca="1" ref="F93" ca="1">IF(RegimeExecucao="Global","",ORÇAMENTO.Unidade)</f>
        <v/>
      </c>
      <c r="G93" s="122" t="str" cm="1">
        <f t="array" aca="1" ref="G93" ca="1">IF(RegimeExecucao="Global","",ORÇAMENTO!T93)</f>
        <v/>
      </c>
      <c r="H93" s="122" t="str" cm="1">
        <f t="array" aca="1" ref="H93" ca="1">IF(RegimeExecucao="Global","",ORÇAMENTO!W93)</f>
        <v/>
      </c>
      <c r="I93" s="125">
        <f ca="1">ORÇAMENTO!X93</f>
        <v>0</v>
      </c>
      <c r="J93" s="333" cm="1">
        <f t="array" aca="1" ref="J93" ca="1">IF($A93="S",IF(CAIXA.Modo,BM.AFAnterior,BM.MEDAnterior),IF(AND(RegimeExecucao="Global",$I93&gt;0,COUNTIF($AB$13:$AM$13,BM.medicao-1)&gt;0),M93/$I93*100,0))</f>
        <v>0</v>
      </c>
      <c r="K93" s="122">
        <f t="shared" ca="1" si="10"/>
        <v>0</v>
      </c>
      <c r="L93" s="334" cm="1">
        <f t="array" aca="1" ref="L93" ca="1">IF($A93="S",IF(CAIXA.Modo,BM.AFAcumulado,BM.MEDAcumulado),IF(AND(RegimeExecucao="Global",$I93&gt;0,COUNTIF($AB$13:$AM$13,BM.medicao)&gt;0),O93/$I93*100,0))</f>
        <v>0</v>
      </c>
      <c r="M93" s="335" cm="1">
        <f t="array" aca="1" ref="M93" ca="1">IF($A93="S",VTOTALBM,IF($A93=0,0,ROUND(SomaAgrupBM,15-13*ORÇAMENTO!$AF$11)))</f>
        <v>0</v>
      </c>
      <c r="N93" s="336">
        <f t="shared" ca="1" si="11"/>
        <v>0</v>
      </c>
      <c r="O93" s="125" cm="1">
        <f t="array" aca="1" ref="O93" ca="1">IF($A93="S",VTOTALBM,IF($A93=0,0,ROUND(SomaAgrupBM,15-13*ORÇAMENTO!$AF$11)))</f>
        <v>0</v>
      </c>
      <c r="Q93" s="337"/>
      <c r="R93" s="338"/>
      <c r="T93" s="117" t="str">
        <f t="shared" ca="1" si="12"/>
        <v/>
      </c>
      <c r="U93" s="163" t="str">
        <f t="shared" ca="1" si="13"/>
        <v/>
      </c>
      <c r="V93" s="164" t="str" cm="1">
        <f t="array" aca="1" ref="V93" ca="1">IF(AND($W93&gt;0,RegimeExecucao="Unitário"),$F93,"")</f>
        <v/>
      </c>
      <c r="W93" s="454" cm="1">
        <f t="array" aca="1" ref="W93" ca="1">IF($Y93&gt;0,CHOOSE(MATCH(RegimeExecucao,{"Unitário","Global"},0),IF($A93="S",$Y93/$X93,""),($Y93/$X93)*100),0)</f>
        <v>0</v>
      </c>
      <c r="X93" s="339" t="str" cm="1">
        <f t="array" aca="1" ref="X93" ca="1">IF($Y93&gt;0,CHOOSE(MATCH(RegimeExecucao,{"Unitário","Global"},0),IF($A93="S",ROUND($H93,ORÇAMENTO!$AF$10),""),ROUND($I93,ORÇAMENTO!$AF$11)),"")</f>
        <v/>
      </c>
      <c r="Y93" s="339">
        <f t="shared" ca="1" si="14"/>
        <v>0</v>
      </c>
      <c r="Z93" s="473"/>
      <c r="AB93" s="337"/>
      <c r="AC93" s="437"/>
      <c r="AD93" s="437"/>
      <c r="AE93" s="437"/>
      <c r="AF93" s="437"/>
      <c r="AG93" s="437"/>
      <c r="AH93" s="437"/>
      <c r="AI93" s="437"/>
      <c r="AJ93" s="437"/>
      <c r="AK93" s="437"/>
      <c r="AL93" s="437"/>
      <c r="AM93" s="338"/>
      <c r="AO93" cm="1">
        <f t="array" aca="1" ref="AO93" ca="1">IF($A93="S",IF(BM!$I93=0,0,CHOOSE(MATCH(RegimeExecucao,{"Global","Unitário"},0),ROUND(ROUND(BM.MEDAcumulado,15-13*BM!$A$9)/100*BM!$I93,15-13*ORÇAMENTO!$AF$11),ROUND(ROUND(BM.MEDAcumulado,15-13*BM!$A$9)*ROUND(BM!$H93,15-13*ORÇAMENTO!$AF$10),15-13*ORÇAMENTO!$AF$11))),IF($A93=0,0,ROUND(SomaAgrupBM,15-13*ORÇAMENTO!$AF$11)))</f>
        <v>0</v>
      </c>
    </row>
    <row r="94" spans="1:41" x14ac:dyDescent="0.2">
      <c r="A94">
        <f ca="1">ORÇAMENTO!C94</f>
        <v>2</v>
      </c>
      <c r="B94">
        <f ca="1">ORÇAMENTO!D94</f>
        <v>5</v>
      </c>
      <c r="C94" s="114" t="str">
        <f t="shared" ca="1" si="8"/>
        <v>F</v>
      </c>
      <c r="D94" s="117" t="str">
        <f ca="1">ORÇAMENTO!O94</f>
        <v>7.3.</v>
      </c>
      <c r="E94" s="163" t="str">
        <f t="shared" si="9"/>
        <v>REVESTIMENTOS EXTERNOS</v>
      </c>
      <c r="F94" s="164" t="str" cm="1">
        <f t="array" aca="1" ref="F94" ca="1">IF(RegimeExecucao="Global","",ORÇAMENTO.Unidade)</f>
        <v/>
      </c>
      <c r="G94" s="122" t="str" cm="1">
        <f t="array" aca="1" ref="G94" ca="1">IF(RegimeExecucao="Global","",ORÇAMENTO!T94)</f>
        <v/>
      </c>
      <c r="H94" s="122" t="str" cm="1">
        <f t="array" aca="1" ref="H94" ca="1">IF(RegimeExecucao="Global","",ORÇAMENTO!W94)</f>
        <v/>
      </c>
      <c r="I94" s="125">
        <f ca="1">ORÇAMENTO!X94</f>
        <v>0</v>
      </c>
      <c r="J94" s="333" cm="1">
        <f t="array" aca="1" ref="J94" ca="1">IF($A94="S",IF(CAIXA.Modo,BM.AFAnterior,BM.MEDAnterior),IF(AND(RegimeExecucao="Global",$I94&gt;0,COUNTIF($AB$13:$AM$13,BM.medicao-1)&gt;0),M94/$I94*100,0))</f>
        <v>0</v>
      </c>
      <c r="K94" s="122">
        <f t="shared" ca="1" si="10"/>
        <v>0</v>
      </c>
      <c r="L94" s="334" cm="1">
        <f t="array" aca="1" ref="L94" ca="1">IF($A94="S",IF(CAIXA.Modo,BM.AFAcumulado,BM.MEDAcumulado),IF(AND(RegimeExecucao="Global",$I94&gt;0,COUNTIF($AB$13:$AM$13,BM.medicao)&gt;0),O94/$I94*100,0))</f>
        <v>0</v>
      </c>
      <c r="M94" s="335" cm="1">
        <f t="array" aca="1" ref="M94" ca="1">IF($A94="S",VTOTALBM,IF($A94=0,0,ROUND(SomaAgrupBM,15-13*ORÇAMENTO!$AF$11)))</f>
        <v>0</v>
      </c>
      <c r="N94" s="336">
        <f t="shared" ca="1" si="11"/>
        <v>0</v>
      </c>
      <c r="O94" s="125" cm="1">
        <f t="array" aca="1" ref="O94" ca="1">IF($A94="S",VTOTALBM,IF($A94=0,0,ROUND(SomaAgrupBM,15-13*ORÇAMENTO!$AF$11)))</f>
        <v>0</v>
      </c>
      <c r="Q94" s="337"/>
      <c r="R94" s="338"/>
      <c r="T94" s="117" t="str">
        <f t="shared" ca="1" si="12"/>
        <v/>
      </c>
      <c r="U94" s="163" t="str">
        <f t="shared" ca="1" si="13"/>
        <v/>
      </c>
      <c r="V94" s="164" t="str" cm="1">
        <f t="array" aca="1" ref="V94" ca="1">IF(AND($W94&gt;0,RegimeExecucao="Unitário"),$F94,"")</f>
        <v/>
      </c>
      <c r="W94" s="454" cm="1">
        <f t="array" aca="1" ref="W94" ca="1">IF($Y94&gt;0,CHOOSE(MATCH(RegimeExecucao,{"Unitário","Global"},0),IF($A94="S",$Y94/$X94,""),($Y94/$X94)*100),0)</f>
        <v>0</v>
      </c>
      <c r="X94" s="339" t="str" cm="1">
        <f t="array" aca="1" ref="X94" ca="1">IF($Y94&gt;0,CHOOSE(MATCH(RegimeExecucao,{"Unitário","Global"},0),IF($A94="S",ROUND($H94,ORÇAMENTO!$AF$10),""),ROUND($I94,ORÇAMENTO!$AF$11)),"")</f>
        <v/>
      </c>
      <c r="Y94" s="339">
        <f t="shared" ca="1" si="14"/>
        <v>0</v>
      </c>
      <c r="Z94" s="473"/>
      <c r="AB94" s="337"/>
      <c r="AC94" s="437"/>
      <c r="AD94" s="437"/>
      <c r="AE94" s="437"/>
      <c r="AF94" s="437"/>
      <c r="AG94" s="437"/>
      <c r="AH94" s="437"/>
      <c r="AI94" s="437"/>
      <c r="AJ94" s="437"/>
      <c r="AK94" s="437"/>
      <c r="AL94" s="437"/>
      <c r="AM94" s="338"/>
      <c r="AO94" cm="1">
        <f t="array" aca="1" ref="AO94" ca="1">IF($A94="S",IF(BM!$I94=0,0,CHOOSE(MATCH(RegimeExecucao,{"Global","Unitário"},0),ROUND(ROUND(BM.MEDAcumulado,15-13*BM!$A$9)/100*BM!$I94,15-13*ORÇAMENTO!$AF$11),ROUND(ROUND(BM.MEDAcumulado,15-13*BM!$A$9)*ROUND(BM!$H94,15-13*ORÇAMENTO!$AF$10),15-13*ORÇAMENTO!$AF$11))),IF($A94=0,0,ROUND(SomaAgrupBM,15-13*ORÇAMENTO!$AF$11)))</f>
        <v>0</v>
      </c>
    </row>
    <row r="95" spans="1:41" ht="51" x14ac:dyDescent="0.2">
      <c r="A95" t="str">
        <f ca="1">ORÇAMENTO!C95</f>
        <v>S</v>
      </c>
      <c r="B95">
        <f ca="1">ORÇAMENTO!D95</f>
        <v>0</v>
      </c>
      <c r="C95" s="114" t="str">
        <f t="shared" ca="1" si="8"/>
        <v/>
      </c>
      <c r="D95" s="117" t="str">
        <f ca="1">ORÇAMENTO!O95</f>
        <v>-</v>
      </c>
      <c r="E95" s="163" t="str">
        <f t="shared" ca="1" si="9"/>
        <v>(Código não identificado nas referências)</v>
      </c>
      <c r="F95" s="164" t="str" cm="1">
        <f t="array" aca="1" ref="F95" ca="1">IF(RegimeExecucao="Global","",ORÇAMENTO.Unidade)</f>
        <v/>
      </c>
      <c r="G95" s="122" t="str" cm="1">
        <f t="array" aca="1" ref="G95" ca="1">IF(RegimeExecucao="Global","",ORÇAMENTO!T95)</f>
        <v/>
      </c>
      <c r="H95" s="122" t="str" cm="1">
        <f t="array" aca="1" ref="H95" ca="1">IF(RegimeExecucao="Global","",ORÇAMENTO!W95)</f>
        <v/>
      </c>
      <c r="I95" s="125">
        <f ca="1">ORÇAMENTO!X95</f>
        <v>0</v>
      </c>
      <c r="J95" s="333" cm="1">
        <f t="array" aca="1" ref="J95" ca="1">IF($A95="S",IF(CAIXA.Modo,BM.AFAnterior,BM.MEDAnterior),IF(AND(RegimeExecucao="Global",$I95&gt;0,COUNTIF($AB$13:$AM$13,BM.medicao-1)&gt;0),M95/$I95*100,0))</f>
        <v>0</v>
      </c>
      <c r="K95" s="122">
        <f t="shared" ca="1" si="10"/>
        <v>0</v>
      </c>
      <c r="L95" s="334" cm="1">
        <f t="array" aca="1" ref="L95" ca="1">IF($A95="S",IF(CAIXA.Modo,BM.AFAcumulado,BM.MEDAcumulado),IF(AND(RegimeExecucao="Global",$I95&gt;0,COUNTIF($AB$13:$AM$13,BM.medicao)&gt;0),O95/$I95*100,0))</f>
        <v>0</v>
      </c>
      <c r="M95" s="335" cm="1">
        <f t="array" aca="1" ref="M95" ca="1">IF($A95="S",VTOTALBM,IF($A95=0,0,ROUND(SomaAgrupBM,15-13*ORÇAMENTO!$AF$11)))</f>
        <v>0</v>
      </c>
      <c r="N95" s="336">
        <f t="shared" ca="1" si="11"/>
        <v>0</v>
      </c>
      <c r="O95" s="125" cm="1">
        <f t="array" aca="1" ref="O95" ca="1">IF($A95="S",VTOTALBM,IF($A95=0,0,ROUND(SomaAgrupBM,15-13*ORÇAMENTO!$AF$11)))</f>
        <v>0</v>
      </c>
      <c r="Q95" s="337"/>
      <c r="R95" s="338"/>
      <c r="T95" s="117" t="str">
        <f t="shared" ca="1" si="12"/>
        <v/>
      </c>
      <c r="U95" s="163" t="str">
        <f t="shared" ca="1" si="13"/>
        <v/>
      </c>
      <c r="V95" s="164" t="str" cm="1">
        <f t="array" aca="1" ref="V95" ca="1">IF(AND($W95&gt;0,RegimeExecucao="Unitário"),$F95,"")</f>
        <v/>
      </c>
      <c r="W95" s="454" cm="1">
        <f t="array" aca="1" ref="W95" ca="1">IF($Y95&gt;0,CHOOSE(MATCH(RegimeExecucao,{"Unitário","Global"},0),IF($A95="S",$Y95/$X95,""),($Y95/$X95)*100),0)</f>
        <v>0</v>
      </c>
      <c r="X95" s="339" t="str" cm="1">
        <f t="array" aca="1" ref="X95" ca="1">IF($Y95&gt;0,CHOOSE(MATCH(RegimeExecucao,{"Unitário","Global"},0),IF($A95="S",ROUND($H95,ORÇAMENTO!$AF$10),""),ROUND($I95,ORÇAMENTO!$AF$11)),"")</f>
        <v/>
      </c>
      <c r="Y95" s="339">
        <f t="shared" ca="1" si="14"/>
        <v>0</v>
      </c>
      <c r="Z95" s="473"/>
      <c r="AB95" s="337"/>
      <c r="AC95" s="437"/>
      <c r="AD95" s="437"/>
      <c r="AE95" s="437"/>
      <c r="AF95" s="437"/>
      <c r="AG95" s="437"/>
      <c r="AH95" s="437"/>
      <c r="AI95" s="437"/>
      <c r="AJ95" s="437"/>
      <c r="AK95" s="437"/>
      <c r="AL95" s="437"/>
      <c r="AM95" s="338"/>
      <c r="AO95" cm="1">
        <f t="array" aca="1" ref="AO95" ca="1">IF($A95="S",IF(BM!$I95=0,0,CHOOSE(MATCH(RegimeExecucao,{"Global","Unitário"},0),ROUND(ROUND(BM.MEDAcumulado,15-13*BM!$A$9)/100*BM!$I95,15-13*ORÇAMENTO!$AF$11),ROUND(ROUND(BM.MEDAcumulado,15-13*BM!$A$9)*ROUND(BM!$H95,15-13*ORÇAMENTO!$AF$10),15-13*ORÇAMENTO!$AF$11))),IF($A95=0,0,ROUND(SomaAgrupBM,15-13*ORÇAMENTO!$AF$11)))</f>
        <v>0</v>
      </c>
    </row>
    <row r="96" spans="1:41" ht="51" x14ac:dyDescent="0.2">
      <c r="A96" t="str">
        <f ca="1">ORÇAMENTO!C96</f>
        <v>S</v>
      </c>
      <c r="B96">
        <f ca="1">ORÇAMENTO!D96</f>
        <v>0</v>
      </c>
      <c r="C96" s="114" t="str">
        <f t="shared" ca="1" si="8"/>
        <v/>
      </c>
      <c r="D96" s="117" t="str">
        <f ca="1">ORÇAMENTO!O96</f>
        <v>-</v>
      </c>
      <c r="E96" s="163" t="str">
        <f t="shared" ca="1" si="9"/>
        <v>(Código não identificado nas referências)</v>
      </c>
      <c r="F96" s="164" t="str" cm="1">
        <f t="array" aca="1" ref="F96" ca="1">IF(RegimeExecucao="Global","",ORÇAMENTO.Unidade)</f>
        <v/>
      </c>
      <c r="G96" s="122" t="str" cm="1">
        <f t="array" aca="1" ref="G96" ca="1">IF(RegimeExecucao="Global","",ORÇAMENTO!T96)</f>
        <v/>
      </c>
      <c r="H96" s="122" t="str" cm="1">
        <f t="array" aca="1" ref="H96" ca="1">IF(RegimeExecucao="Global","",ORÇAMENTO!W96)</f>
        <v/>
      </c>
      <c r="I96" s="125">
        <f ca="1">ORÇAMENTO!X96</f>
        <v>0</v>
      </c>
      <c r="J96" s="333" cm="1">
        <f t="array" aca="1" ref="J96" ca="1">IF($A96="S",IF(CAIXA.Modo,BM.AFAnterior,BM.MEDAnterior),IF(AND(RegimeExecucao="Global",$I96&gt;0,COUNTIF($AB$13:$AM$13,BM.medicao-1)&gt;0),M96/$I96*100,0))</f>
        <v>0</v>
      </c>
      <c r="K96" s="122">
        <f t="shared" ca="1" si="10"/>
        <v>0</v>
      </c>
      <c r="L96" s="334" cm="1">
        <f t="array" aca="1" ref="L96" ca="1">IF($A96="S",IF(CAIXA.Modo,BM.AFAcumulado,BM.MEDAcumulado),IF(AND(RegimeExecucao="Global",$I96&gt;0,COUNTIF($AB$13:$AM$13,BM.medicao)&gt;0),O96/$I96*100,0))</f>
        <v>0</v>
      </c>
      <c r="M96" s="335" cm="1">
        <f t="array" aca="1" ref="M96" ca="1">IF($A96="S",VTOTALBM,IF($A96=0,0,ROUND(SomaAgrupBM,15-13*ORÇAMENTO!$AF$11)))</f>
        <v>0</v>
      </c>
      <c r="N96" s="336">
        <f t="shared" ca="1" si="11"/>
        <v>0</v>
      </c>
      <c r="O96" s="125" cm="1">
        <f t="array" aca="1" ref="O96" ca="1">IF($A96="S",VTOTALBM,IF($A96=0,0,ROUND(SomaAgrupBM,15-13*ORÇAMENTO!$AF$11)))</f>
        <v>0</v>
      </c>
      <c r="Q96" s="337"/>
      <c r="R96" s="338"/>
      <c r="T96" s="117" t="str">
        <f t="shared" ca="1" si="12"/>
        <v/>
      </c>
      <c r="U96" s="163" t="str">
        <f t="shared" ca="1" si="13"/>
        <v/>
      </c>
      <c r="V96" s="164" t="str" cm="1">
        <f t="array" aca="1" ref="V96" ca="1">IF(AND($W96&gt;0,RegimeExecucao="Unitário"),$F96,"")</f>
        <v/>
      </c>
      <c r="W96" s="454" cm="1">
        <f t="array" aca="1" ref="W96" ca="1">IF($Y96&gt;0,CHOOSE(MATCH(RegimeExecucao,{"Unitário","Global"},0),IF($A96="S",$Y96/$X96,""),($Y96/$X96)*100),0)</f>
        <v>0</v>
      </c>
      <c r="X96" s="339" t="str" cm="1">
        <f t="array" aca="1" ref="X96" ca="1">IF($Y96&gt;0,CHOOSE(MATCH(RegimeExecucao,{"Unitário","Global"},0),IF($A96="S",ROUND($H96,ORÇAMENTO!$AF$10),""),ROUND($I96,ORÇAMENTO!$AF$11)),"")</f>
        <v/>
      </c>
      <c r="Y96" s="339">
        <f t="shared" ca="1" si="14"/>
        <v>0</v>
      </c>
      <c r="Z96" s="473"/>
      <c r="AB96" s="337"/>
      <c r="AC96" s="437"/>
      <c r="AD96" s="437"/>
      <c r="AE96" s="437"/>
      <c r="AF96" s="437"/>
      <c r="AG96" s="437"/>
      <c r="AH96" s="437"/>
      <c r="AI96" s="437"/>
      <c r="AJ96" s="437"/>
      <c r="AK96" s="437"/>
      <c r="AL96" s="437"/>
      <c r="AM96" s="338"/>
      <c r="AO96" cm="1">
        <f t="array" aca="1" ref="AO96" ca="1">IF($A96="S",IF(BM!$I96=0,0,CHOOSE(MATCH(RegimeExecucao,{"Global","Unitário"},0),ROUND(ROUND(BM.MEDAcumulado,15-13*BM!$A$9)/100*BM!$I96,15-13*ORÇAMENTO!$AF$11),ROUND(ROUND(BM.MEDAcumulado,15-13*BM!$A$9)*ROUND(BM!$H96,15-13*ORÇAMENTO!$AF$10),15-13*ORÇAMENTO!$AF$11))),IF($A96=0,0,ROUND(SomaAgrupBM,15-13*ORÇAMENTO!$AF$11)))</f>
        <v>0</v>
      </c>
    </row>
    <row r="97" spans="1:41" ht="51" x14ac:dyDescent="0.2">
      <c r="A97" t="str">
        <f ca="1">ORÇAMENTO!C97</f>
        <v>S</v>
      </c>
      <c r="B97">
        <f ca="1">ORÇAMENTO!D97</f>
        <v>0</v>
      </c>
      <c r="C97" s="114" t="str">
        <f t="shared" ca="1" si="8"/>
        <v/>
      </c>
      <c r="D97" s="117" t="str">
        <f ca="1">ORÇAMENTO!O97</f>
        <v>-</v>
      </c>
      <c r="E97" s="163" t="str">
        <f t="shared" ca="1" si="9"/>
        <v>(Código não identificado nas referências)</v>
      </c>
      <c r="F97" s="164" t="str" cm="1">
        <f t="array" aca="1" ref="F97" ca="1">IF(RegimeExecucao="Global","",ORÇAMENTO.Unidade)</f>
        <v/>
      </c>
      <c r="G97" s="122" t="str" cm="1">
        <f t="array" aca="1" ref="G97" ca="1">IF(RegimeExecucao="Global","",ORÇAMENTO!T97)</f>
        <v/>
      </c>
      <c r="H97" s="122" t="str" cm="1">
        <f t="array" aca="1" ref="H97" ca="1">IF(RegimeExecucao="Global","",ORÇAMENTO!W97)</f>
        <v/>
      </c>
      <c r="I97" s="125">
        <f ca="1">ORÇAMENTO!X97</f>
        <v>0</v>
      </c>
      <c r="J97" s="333" cm="1">
        <f t="array" aca="1" ref="J97" ca="1">IF($A97="S",IF(CAIXA.Modo,BM.AFAnterior,BM.MEDAnterior),IF(AND(RegimeExecucao="Global",$I97&gt;0,COUNTIF($AB$13:$AM$13,BM.medicao-1)&gt;0),M97/$I97*100,0))</f>
        <v>0</v>
      </c>
      <c r="K97" s="122">
        <f t="shared" ca="1" si="10"/>
        <v>0</v>
      </c>
      <c r="L97" s="334" cm="1">
        <f t="array" aca="1" ref="L97" ca="1">IF($A97="S",IF(CAIXA.Modo,BM.AFAcumulado,BM.MEDAcumulado),IF(AND(RegimeExecucao="Global",$I97&gt;0,COUNTIF($AB$13:$AM$13,BM.medicao)&gt;0),O97/$I97*100,0))</f>
        <v>0</v>
      </c>
      <c r="M97" s="335" cm="1">
        <f t="array" aca="1" ref="M97" ca="1">IF($A97="S",VTOTALBM,IF($A97=0,0,ROUND(SomaAgrupBM,15-13*ORÇAMENTO!$AF$11)))</f>
        <v>0</v>
      </c>
      <c r="N97" s="336">
        <f t="shared" ca="1" si="11"/>
        <v>0</v>
      </c>
      <c r="O97" s="125" cm="1">
        <f t="array" aca="1" ref="O97" ca="1">IF($A97="S",VTOTALBM,IF($A97=0,0,ROUND(SomaAgrupBM,15-13*ORÇAMENTO!$AF$11)))</f>
        <v>0</v>
      </c>
      <c r="Q97" s="337"/>
      <c r="R97" s="338"/>
      <c r="T97" s="117" t="str">
        <f t="shared" ca="1" si="12"/>
        <v/>
      </c>
      <c r="U97" s="163" t="str">
        <f t="shared" ca="1" si="13"/>
        <v/>
      </c>
      <c r="V97" s="164" t="str" cm="1">
        <f t="array" aca="1" ref="V97" ca="1">IF(AND($W97&gt;0,RegimeExecucao="Unitário"),$F97,"")</f>
        <v/>
      </c>
      <c r="W97" s="454" cm="1">
        <f t="array" aca="1" ref="W97" ca="1">IF($Y97&gt;0,CHOOSE(MATCH(RegimeExecucao,{"Unitário","Global"},0),IF($A97="S",$Y97/$X97,""),($Y97/$X97)*100),0)</f>
        <v>0</v>
      </c>
      <c r="X97" s="339" t="str" cm="1">
        <f t="array" aca="1" ref="X97" ca="1">IF($Y97&gt;0,CHOOSE(MATCH(RegimeExecucao,{"Unitário","Global"},0),IF($A97="S",ROUND($H97,ORÇAMENTO!$AF$10),""),ROUND($I97,ORÇAMENTO!$AF$11)),"")</f>
        <v/>
      </c>
      <c r="Y97" s="339">
        <f t="shared" ca="1" si="14"/>
        <v>0</v>
      </c>
      <c r="Z97" s="473"/>
      <c r="AB97" s="337"/>
      <c r="AC97" s="437"/>
      <c r="AD97" s="437"/>
      <c r="AE97" s="437"/>
      <c r="AF97" s="437"/>
      <c r="AG97" s="437"/>
      <c r="AH97" s="437"/>
      <c r="AI97" s="437"/>
      <c r="AJ97" s="437"/>
      <c r="AK97" s="437"/>
      <c r="AL97" s="437"/>
      <c r="AM97" s="338"/>
      <c r="AO97" cm="1">
        <f t="array" aca="1" ref="AO97" ca="1">IF($A97="S",IF(BM!$I97=0,0,CHOOSE(MATCH(RegimeExecucao,{"Global","Unitário"},0),ROUND(ROUND(BM.MEDAcumulado,15-13*BM!$A$9)/100*BM!$I97,15-13*ORÇAMENTO!$AF$11),ROUND(ROUND(BM.MEDAcumulado,15-13*BM!$A$9)*ROUND(BM!$H97,15-13*ORÇAMENTO!$AF$10),15-13*ORÇAMENTO!$AF$11))),IF($A97=0,0,ROUND(SomaAgrupBM,15-13*ORÇAMENTO!$AF$11)))</f>
        <v>0</v>
      </c>
    </row>
    <row r="98" spans="1:41" ht="51" x14ac:dyDescent="0.2">
      <c r="A98" t="str">
        <f ca="1">ORÇAMENTO!C98</f>
        <v>S</v>
      </c>
      <c r="B98">
        <f ca="1">ORÇAMENTO!D98</f>
        <v>0</v>
      </c>
      <c r="C98" s="114" t="str">
        <f t="shared" ca="1" si="8"/>
        <v/>
      </c>
      <c r="D98" s="117" t="str">
        <f ca="1">ORÇAMENTO!O98</f>
        <v>-</v>
      </c>
      <c r="E98" s="163" t="str">
        <f t="shared" ca="1" si="9"/>
        <v>(Código não identificado nas referências)</v>
      </c>
      <c r="F98" s="164" t="str" cm="1">
        <f t="array" aca="1" ref="F98" ca="1">IF(RegimeExecucao="Global","",ORÇAMENTO.Unidade)</f>
        <v/>
      </c>
      <c r="G98" s="122" t="str" cm="1">
        <f t="array" aca="1" ref="G98" ca="1">IF(RegimeExecucao="Global","",ORÇAMENTO!T98)</f>
        <v/>
      </c>
      <c r="H98" s="122" t="str" cm="1">
        <f t="array" aca="1" ref="H98" ca="1">IF(RegimeExecucao="Global","",ORÇAMENTO!W98)</f>
        <v/>
      </c>
      <c r="I98" s="125">
        <f ca="1">ORÇAMENTO!X98</f>
        <v>0</v>
      </c>
      <c r="J98" s="333" cm="1">
        <f t="array" aca="1" ref="J98" ca="1">IF($A98="S",IF(CAIXA.Modo,BM.AFAnterior,BM.MEDAnterior),IF(AND(RegimeExecucao="Global",$I98&gt;0,COUNTIF($AB$13:$AM$13,BM.medicao-1)&gt;0),M98/$I98*100,0))</f>
        <v>0</v>
      </c>
      <c r="K98" s="122">
        <f t="shared" ca="1" si="10"/>
        <v>0</v>
      </c>
      <c r="L98" s="334" cm="1">
        <f t="array" aca="1" ref="L98" ca="1">IF($A98="S",IF(CAIXA.Modo,BM.AFAcumulado,BM.MEDAcumulado),IF(AND(RegimeExecucao="Global",$I98&gt;0,COUNTIF($AB$13:$AM$13,BM.medicao)&gt;0),O98/$I98*100,0))</f>
        <v>0</v>
      </c>
      <c r="M98" s="335" cm="1">
        <f t="array" aca="1" ref="M98" ca="1">IF($A98="S",VTOTALBM,IF($A98=0,0,ROUND(SomaAgrupBM,15-13*ORÇAMENTO!$AF$11)))</f>
        <v>0</v>
      </c>
      <c r="N98" s="336">
        <f t="shared" ca="1" si="11"/>
        <v>0</v>
      </c>
      <c r="O98" s="125" cm="1">
        <f t="array" aca="1" ref="O98" ca="1">IF($A98="S",VTOTALBM,IF($A98=0,0,ROUND(SomaAgrupBM,15-13*ORÇAMENTO!$AF$11)))</f>
        <v>0</v>
      </c>
      <c r="Q98" s="337"/>
      <c r="R98" s="338"/>
      <c r="T98" s="117" t="str">
        <f t="shared" ca="1" si="12"/>
        <v/>
      </c>
      <c r="U98" s="163" t="str">
        <f t="shared" ca="1" si="13"/>
        <v/>
      </c>
      <c r="V98" s="164" t="str" cm="1">
        <f t="array" aca="1" ref="V98" ca="1">IF(AND($W98&gt;0,RegimeExecucao="Unitário"),$F98,"")</f>
        <v/>
      </c>
      <c r="W98" s="454" cm="1">
        <f t="array" aca="1" ref="W98" ca="1">IF($Y98&gt;0,CHOOSE(MATCH(RegimeExecucao,{"Unitário","Global"},0),IF($A98="S",$Y98/$X98,""),($Y98/$X98)*100),0)</f>
        <v>0</v>
      </c>
      <c r="X98" s="339" t="str" cm="1">
        <f t="array" aca="1" ref="X98" ca="1">IF($Y98&gt;0,CHOOSE(MATCH(RegimeExecucao,{"Unitário","Global"},0),IF($A98="S",ROUND($H98,ORÇAMENTO!$AF$10),""),ROUND($I98,ORÇAMENTO!$AF$11)),"")</f>
        <v/>
      </c>
      <c r="Y98" s="339">
        <f t="shared" ca="1" si="14"/>
        <v>0</v>
      </c>
      <c r="Z98" s="473"/>
      <c r="AB98" s="337"/>
      <c r="AC98" s="437"/>
      <c r="AD98" s="437"/>
      <c r="AE98" s="437"/>
      <c r="AF98" s="437"/>
      <c r="AG98" s="437"/>
      <c r="AH98" s="437"/>
      <c r="AI98" s="437"/>
      <c r="AJ98" s="437"/>
      <c r="AK98" s="437"/>
      <c r="AL98" s="437"/>
      <c r="AM98" s="338"/>
      <c r="AO98" cm="1">
        <f t="array" aca="1" ref="AO98" ca="1">IF($A98="S",IF(BM!$I98=0,0,CHOOSE(MATCH(RegimeExecucao,{"Global","Unitário"},0),ROUND(ROUND(BM.MEDAcumulado,15-13*BM!$A$9)/100*BM!$I98,15-13*ORÇAMENTO!$AF$11),ROUND(ROUND(BM.MEDAcumulado,15-13*BM!$A$9)*ROUND(BM!$H98,15-13*ORÇAMENTO!$AF$10),15-13*ORÇAMENTO!$AF$11))),IF($A98=0,0,ROUND(SomaAgrupBM,15-13*ORÇAMENTO!$AF$11)))</f>
        <v>0</v>
      </c>
    </row>
    <row r="99" spans="1:41" x14ac:dyDescent="0.2">
      <c r="A99">
        <f ca="1">ORÇAMENTO!C99</f>
        <v>2</v>
      </c>
      <c r="B99">
        <f ca="1">ORÇAMENTO!D99</f>
        <v>2</v>
      </c>
      <c r="C99" s="114" t="str">
        <f t="shared" ca="1" si="8"/>
        <v>F</v>
      </c>
      <c r="D99" s="117" t="str">
        <f ca="1">ORÇAMENTO!O99</f>
        <v>7.4.</v>
      </c>
      <c r="E99" s="163" t="str">
        <f t="shared" si="9"/>
        <v>FORROS</v>
      </c>
      <c r="F99" s="164" t="str" cm="1">
        <f t="array" aca="1" ref="F99" ca="1">IF(RegimeExecucao="Global","",ORÇAMENTO.Unidade)</f>
        <v/>
      </c>
      <c r="G99" s="122" t="str" cm="1">
        <f t="array" aca="1" ref="G99" ca="1">IF(RegimeExecucao="Global","",ORÇAMENTO!T99)</f>
        <v/>
      </c>
      <c r="H99" s="122" t="str" cm="1">
        <f t="array" aca="1" ref="H99" ca="1">IF(RegimeExecucao="Global","",ORÇAMENTO!W99)</f>
        <v/>
      </c>
      <c r="I99" s="125">
        <f ca="1">ORÇAMENTO!X99</f>
        <v>0</v>
      </c>
      <c r="J99" s="333" cm="1">
        <f t="array" aca="1" ref="J99" ca="1">IF($A99="S",IF(CAIXA.Modo,BM.AFAnterior,BM.MEDAnterior),IF(AND(RegimeExecucao="Global",$I99&gt;0,COUNTIF($AB$13:$AM$13,BM.medicao-1)&gt;0),M99/$I99*100,0))</f>
        <v>0</v>
      </c>
      <c r="K99" s="122">
        <f t="shared" ca="1" si="10"/>
        <v>0</v>
      </c>
      <c r="L99" s="334" cm="1">
        <f t="array" aca="1" ref="L99" ca="1">IF($A99="S",IF(CAIXA.Modo,BM.AFAcumulado,BM.MEDAcumulado),IF(AND(RegimeExecucao="Global",$I99&gt;0,COUNTIF($AB$13:$AM$13,BM.medicao)&gt;0),O99/$I99*100,0))</f>
        <v>0</v>
      </c>
      <c r="M99" s="335" cm="1">
        <f t="array" aca="1" ref="M99" ca="1">IF($A99="S",VTOTALBM,IF($A99=0,0,ROUND(SomaAgrupBM,15-13*ORÇAMENTO!$AF$11)))</f>
        <v>0</v>
      </c>
      <c r="N99" s="336">
        <f t="shared" ca="1" si="11"/>
        <v>0</v>
      </c>
      <c r="O99" s="125" cm="1">
        <f t="array" aca="1" ref="O99" ca="1">IF($A99="S",VTOTALBM,IF($A99=0,0,ROUND(SomaAgrupBM,15-13*ORÇAMENTO!$AF$11)))</f>
        <v>0</v>
      </c>
      <c r="Q99" s="337"/>
      <c r="R99" s="338"/>
      <c r="T99" s="117" t="str">
        <f t="shared" ca="1" si="12"/>
        <v/>
      </c>
      <c r="U99" s="163" t="str">
        <f t="shared" ca="1" si="13"/>
        <v/>
      </c>
      <c r="V99" s="164" t="str" cm="1">
        <f t="array" aca="1" ref="V99" ca="1">IF(AND($W99&gt;0,RegimeExecucao="Unitário"),$F99,"")</f>
        <v/>
      </c>
      <c r="W99" s="454" cm="1">
        <f t="array" aca="1" ref="W99" ca="1">IF($Y99&gt;0,CHOOSE(MATCH(RegimeExecucao,{"Unitário","Global"},0),IF($A99="S",$Y99/$X99,""),($Y99/$X99)*100),0)</f>
        <v>0</v>
      </c>
      <c r="X99" s="339" t="str" cm="1">
        <f t="array" aca="1" ref="X99" ca="1">IF($Y99&gt;0,CHOOSE(MATCH(RegimeExecucao,{"Unitário","Global"},0),IF($A99="S",ROUND($H99,ORÇAMENTO!$AF$10),""),ROUND($I99,ORÇAMENTO!$AF$11)),"")</f>
        <v/>
      </c>
      <c r="Y99" s="339">
        <f t="shared" ca="1" si="14"/>
        <v>0</v>
      </c>
      <c r="Z99" s="473"/>
      <c r="AB99" s="337"/>
      <c r="AC99" s="437"/>
      <c r="AD99" s="437"/>
      <c r="AE99" s="437"/>
      <c r="AF99" s="437"/>
      <c r="AG99" s="437"/>
      <c r="AH99" s="437"/>
      <c r="AI99" s="437"/>
      <c r="AJ99" s="437"/>
      <c r="AK99" s="437"/>
      <c r="AL99" s="437"/>
      <c r="AM99" s="338"/>
      <c r="AO99" cm="1">
        <f t="array" aca="1" ref="AO99" ca="1">IF($A99="S",IF(BM!$I99=0,0,CHOOSE(MATCH(RegimeExecucao,{"Global","Unitário"},0),ROUND(ROUND(BM.MEDAcumulado,15-13*BM!$A$9)/100*BM!$I99,15-13*ORÇAMENTO!$AF$11),ROUND(ROUND(BM.MEDAcumulado,15-13*BM!$A$9)*ROUND(BM!$H99,15-13*ORÇAMENTO!$AF$10),15-13*ORÇAMENTO!$AF$11))),IF($A99=0,0,ROUND(SomaAgrupBM,15-13*ORÇAMENTO!$AF$11)))</f>
        <v>0</v>
      </c>
    </row>
    <row r="100" spans="1:41" ht="38.25" x14ac:dyDescent="0.2">
      <c r="A100" t="str">
        <f ca="1">ORÇAMENTO!C100</f>
        <v>S</v>
      </c>
      <c r="B100">
        <f ca="1">ORÇAMENTO!D100</f>
        <v>0</v>
      </c>
      <c r="C100" s="114" t="str">
        <f t="shared" ca="1" si="8"/>
        <v/>
      </c>
      <c r="D100" s="117" t="str">
        <f ca="1">ORÇAMENTO!O100</f>
        <v>-</v>
      </c>
      <c r="E100" s="163" t="str">
        <f t="shared" ca="1" si="9"/>
        <v>(Código não identificado nas referências)</v>
      </c>
      <c r="F100" s="164" t="str" cm="1">
        <f t="array" aca="1" ref="F100" ca="1">IF(RegimeExecucao="Global","",ORÇAMENTO.Unidade)</f>
        <v/>
      </c>
      <c r="G100" s="122" t="str" cm="1">
        <f t="array" aca="1" ref="G100" ca="1">IF(RegimeExecucao="Global","",ORÇAMENTO!T100)</f>
        <v/>
      </c>
      <c r="H100" s="122" t="str" cm="1">
        <f t="array" aca="1" ref="H100" ca="1">IF(RegimeExecucao="Global","",ORÇAMENTO!W100)</f>
        <v/>
      </c>
      <c r="I100" s="125">
        <f ca="1">ORÇAMENTO!X100</f>
        <v>0</v>
      </c>
      <c r="J100" s="333" cm="1">
        <f t="array" aca="1" ref="J100" ca="1">IF($A100="S",IF(CAIXA.Modo,BM.AFAnterior,BM.MEDAnterior),IF(AND(RegimeExecucao="Global",$I100&gt;0,COUNTIF($AB$13:$AM$13,BM.medicao-1)&gt;0),M100/$I100*100,0))</f>
        <v>0</v>
      </c>
      <c r="K100" s="122">
        <f t="shared" ca="1" si="10"/>
        <v>0</v>
      </c>
      <c r="L100" s="334" cm="1">
        <f t="array" aca="1" ref="L100" ca="1">IF($A100="S",IF(CAIXA.Modo,BM.AFAcumulado,BM.MEDAcumulado),IF(AND(RegimeExecucao="Global",$I100&gt;0,COUNTIF($AB$13:$AM$13,BM.medicao)&gt;0),O100/$I100*100,0))</f>
        <v>0</v>
      </c>
      <c r="M100" s="335" cm="1">
        <f t="array" aca="1" ref="M100" ca="1">IF($A100="S",VTOTALBM,IF($A100=0,0,ROUND(SomaAgrupBM,15-13*ORÇAMENTO!$AF$11)))</f>
        <v>0</v>
      </c>
      <c r="N100" s="336">
        <f t="shared" ca="1" si="11"/>
        <v>0</v>
      </c>
      <c r="O100" s="125" cm="1">
        <f t="array" aca="1" ref="O100" ca="1">IF($A100="S",VTOTALBM,IF($A100=0,0,ROUND(SomaAgrupBM,15-13*ORÇAMENTO!$AF$11)))</f>
        <v>0</v>
      </c>
      <c r="Q100" s="337"/>
      <c r="R100" s="338"/>
      <c r="T100" s="117" t="str">
        <f t="shared" ca="1" si="12"/>
        <v/>
      </c>
      <c r="U100" s="163" t="str">
        <f t="shared" ca="1" si="13"/>
        <v/>
      </c>
      <c r="V100" s="164" t="str" cm="1">
        <f t="array" aca="1" ref="V100" ca="1">IF(AND($W100&gt;0,RegimeExecucao="Unitário"),$F100,"")</f>
        <v/>
      </c>
      <c r="W100" s="454" cm="1">
        <f t="array" aca="1" ref="W100" ca="1">IF($Y100&gt;0,CHOOSE(MATCH(RegimeExecucao,{"Unitário","Global"},0),IF($A100="S",$Y100/$X100,""),($Y100/$X100)*100),0)</f>
        <v>0</v>
      </c>
      <c r="X100" s="339" t="str" cm="1">
        <f t="array" aca="1" ref="X100" ca="1">IF($Y100&gt;0,CHOOSE(MATCH(RegimeExecucao,{"Unitário","Global"},0),IF($A100="S",ROUND($H100,ORÇAMENTO!$AF$10),""),ROUND($I100,ORÇAMENTO!$AF$11)),"")</f>
        <v/>
      </c>
      <c r="Y100" s="339">
        <f t="shared" ca="1" si="14"/>
        <v>0</v>
      </c>
      <c r="Z100" s="473"/>
      <c r="AB100" s="337"/>
      <c r="AC100" s="437"/>
      <c r="AD100" s="437"/>
      <c r="AE100" s="437"/>
      <c r="AF100" s="437"/>
      <c r="AG100" s="437"/>
      <c r="AH100" s="437"/>
      <c r="AI100" s="437"/>
      <c r="AJ100" s="437"/>
      <c r="AK100" s="437"/>
      <c r="AL100" s="437"/>
      <c r="AM100" s="338"/>
      <c r="AO100" cm="1">
        <f t="array" aca="1" ref="AO100" ca="1">IF($A100="S",IF(BM!$I100=0,0,CHOOSE(MATCH(RegimeExecucao,{"Global","Unitário"},0),ROUND(ROUND(BM.MEDAcumulado,15-13*BM!$A$9)/100*BM!$I100,15-13*ORÇAMENTO!$AF$11),ROUND(ROUND(BM.MEDAcumulado,15-13*BM!$A$9)*ROUND(BM!$H100,15-13*ORÇAMENTO!$AF$10),15-13*ORÇAMENTO!$AF$11))),IF($A100=0,0,ROUND(SomaAgrupBM,15-13*ORÇAMENTO!$AF$11)))</f>
        <v>0</v>
      </c>
    </row>
    <row r="101" spans="1:41" x14ac:dyDescent="0.2">
      <c r="A101">
        <f ca="1">ORÇAMENTO!C101</f>
        <v>2</v>
      </c>
      <c r="B101">
        <f ca="1">ORÇAMENTO!D101</f>
        <v>13</v>
      </c>
      <c r="C101" s="114" t="str">
        <f t="shared" ca="1" si="8"/>
        <v>F</v>
      </c>
      <c r="D101" s="117" t="str">
        <f ca="1">ORÇAMENTO!O101</f>
        <v>7.5.</v>
      </c>
      <c r="E101" s="163" t="str">
        <f t="shared" si="9"/>
        <v>PINTURA</v>
      </c>
      <c r="F101" s="164" t="str" cm="1">
        <f t="array" aca="1" ref="F101" ca="1">IF(RegimeExecucao="Global","",ORÇAMENTO.Unidade)</f>
        <v/>
      </c>
      <c r="G101" s="122" t="str" cm="1">
        <f t="array" aca="1" ref="G101" ca="1">IF(RegimeExecucao="Global","",ORÇAMENTO!T101)</f>
        <v/>
      </c>
      <c r="H101" s="122" t="str" cm="1">
        <f t="array" aca="1" ref="H101" ca="1">IF(RegimeExecucao="Global","",ORÇAMENTO!W101)</f>
        <v/>
      </c>
      <c r="I101" s="125">
        <f ca="1">ORÇAMENTO!X101</f>
        <v>0</v>
      </c>
      <c r="J101" s="333" cm="1">
        <f t="array" aca="1" ref="J101" ca="1">IF($A101="S",IF(CAIXA.Modo,BM.AFAnterior,BM.MEDAnterior),IF(AND(RegimeExecucao="Global",$I101&gt;0,COUNTIF($AB$13:$AM$13,BM.medicao-1)&gt;0),M101/$I101*100,0))</f>
        <v>0</v>
      </c>
      <c r="K101" s="122">
        <f t="shared" ca="1" si="10"/>
        <v>0</v>
      </c>
      <c r="L101" s="334" cm="1">
        <f t="array" aca="1" ref="L101" ca="1">IF($A101="S",IF(CAIXA.Modo,BM.AFAcumulado,BM.MEDAcumulado),IF(AND(RegimeExecucao="Global",$I101&gt;0,COUNTIF($AB$13:$AM$13,BM.medicao)&gt;0),O101/$I101*100,0))</f>
        <v>0</v>
      </c>
      <c r="M101" s="335" cm="1">
        <f t="array" aca="1" ref="M101" ca="1">IF($A101="S",VTOTALBM,IF($A101=0,0,ROUND(SomaAgrupBM,15-13*ORÇAMENTO!$AF$11)))</f>
        <v>0</v>
      </c>
      <c r="N101" s="336">
        <f t="shared" ca="1" si="11"/>
        <v>0</v>
      </c>
      <c r="O101" s="125" cm="1">
        <f t="array" aca="1" ref="O101" ca="1">IF($A101="S",VTOTALBM,IF($A101=0,0,ROUND(SomaAgrupBM,15-13*ORÇAMENTO!$AF$11)))</f>
        <v>0</v>
      </c>
      <c r="Q101" s="337"/>
      <c r="R101" s="338"/>
      <c r="T101" s="117" t="str">
        <f t="shared" ca="1" si="12"/>
        <v/>
      </c>
      <c r="U101" s="163" t="str">
        <f t="shared" ca="1" si="13"/>
        <v/>
      </c>
      <c r="V101" s="164" t="str" cm="1">
        <f t="array" aca="1" ref="V101" ca="1">IF(AND($W101&gt;0,RegimeExecucao="Unitário"),$F101,"")</f>
        <v/>
      </c>
      <c r="W101" s="454" cm="1">
        <f t="array" aca="1" ref="W101" ca="1">IF($Y101&gt;0,CHOOSE(MATCH(RegimeExecucao,{"Unitário","Global"},0),IF($A101="S",$Y101/$X101,""),($Y101/$X101)*100),0)</f>
        <v>0</v>
      </c>
      <c r="X101" s="339" t="str" cm="1">
        <f t="array" aca="1" ref="X101" ca="1">IF($Y101&gt;0,CHOOSE(MATCH(RegimeExecucao,{"Unitário","Global"},0),IF($A101="S",ROUND($H101,ORÇAMENTO!$AF$10),""),ROUND($I101,ORÇAMENTO!$AF$11)),"")</f>
        <v/>
      </c>
      <c r="Y101" s="339">
        <f t="shared" ca="1" si="14"/>
        <v>0</v>
      </c>
      <c r="Z101" s="473"/>
      <c r="AB101" s="337"/>
      <c r="AC101" s="437"/>
      <c r="AD101" s="437"/>
      <c r="AE101" s="437"/>
      <c r="AF101" s="437"/>
      <c r="AG101" s="437"/>
      <c r="AH101" s="437"/>
      <c r="AI101" s="437"/>
      <c r="AJ101" s="437"/>
      <c r="AK101" s="437"/>
      <c r="AL101" s="437"/>
      <c r="AM101" s="338"/>
      <c r="AO101" cm="1">
        <f t="array" aca="1" ref="AO101" ca="1">IF($A101="S",IF(BM!$I101=0,0,CHOOSE(MATCH(RegimeExecucao,{"Global","Unitário"},0),ROUND(ROUND(BM.MEDAcumulado,15-13*BM!$A$9)/100*BM!$I101,15-13*ORÇAMENTO!$AF$11),ROUND(ROUND(BM.MEDAcumulado,15-13*BM!$A$9)*ROUND(BM!$H101,15-13*ORÇAMENTO!$AF$10),15-13*ORÇAMENTO!$AF$11))),IF($A101=0,0,ROUND(SomaAgrupBM,15-13*ORÇAMENTO!$AF$11)))</f>
        <v>0</v>
      </c>
    </row>
    <row r="102" spans="1:41" x14ac:dyDescent="0.2">
      <c r="A102">
        <f ca="1">ORÇAMENTO!C102</f>
        <v>3</v>
      </c>
      <c r="B102">
        <f ca="1">ORÇAMENTO!D102</f>
        <v>5</v>
      </c>
      <c r="C102" s="114" t="str">
        <f t="shared" ca="1" si="8"/>
        <v>F</v>
      </c>
      <c r="D102" s="117" t="str">
        <f ca="1">ORÇAMENTO!O102</f>
        <v>7.5.1.</v>
      </c>
      <c r="E102" s="163" t="str">
        <f t="shared" si="9"/>
        <v>PINTURAS INTERNAS</v>
      </c>
      <c r="F102" s="164" t="str" cm="1">
        <f t="array" aca="1" ref="F102" ca="1">IF(RegimeExecucao="Global","",ORÇAMENTO.Unidade)</f>
        <v/>
      </c>
      <c r="G102" s="122" t="str" cm="1">
        <f t="array" aca="1" ref="G102" ca="1">IF(RegimeExecucao="Global","",ORÇAMENTO!T102)</f>
        <v/>
      </c>
      <c r="H102" s="122" t="str" cm="1">
        <f t="array" aca="1" ref="H102" ca="1">IF(RegimeExecucao="Global","",ORÇAMENTO!W102)</f>
        <v/>
      </c>
      <c r="I102" s="125">
        <f ca="1">ORÇAMENTO!X102</f>
        <v>0</v>
      </c>
      <c r="J102" s="333" cm="1">
        <f t="array" aca="1" ref="J102" ca="1">IF($A102="S",IF(CAIXA.Modo,BM.AFAnterior,BM.MEDAnterior),IF(AND(RegimeExecucao="Global",$I102&gt;0,COUNTIF($AB$13:$AM$13,BM.medicao-1)&gt;0),M102/$I102*100,0))</f>
        <v>0</v>
      </c>
      <c r="K102" s="122">
        <f t="shared" ca="1" si="10"/>
        <v>0</v>
      </c>
      <c r="L102" s="334" cm="1">
        <f t="array" aca="1" ref="L102" ca="1">IF($A102="S",IF(CAIXA.Modo,BM.AFAcumulado,BM.MEDAcumulado),IF(AND(RegimeExecucao="Global",$I102&gt;0,COUNTIF($AB$13:$AM$13,BM.medicao)&gt;0),O102/$I102*100,0))</f>
        <v>0</v>
      </c>
      <c r="M102" s="335" cm="1">
        <f t="array" aca="1" ref="M102" ca="1">IF($A102="S",VTOTALBM,IF($A102=0,0,ROUND(SomaAgrupBM,15-13*ORÇAMENTO!$AF$11)))</f>
        <v>0</v>
      </c>
      <c r="N102" s="336">
        <f t="shared" ca="1" si="11"/>
        <v>0</v>
      </c>
      <c r="O102" s="125" cm="1">
        <f t="array" aca="1" ref="O102" ca="1">IF($A102="S",VTOTALBM,IF($A102=0,0,ROUND(SomaAgrupBM,15-13*ORÇAMENTO!$AF$11)))</f>
        <v>0</v>
      </c>
      <c r="Q102" s="337"/>
      <c r="R102" s="338"/>
      <c r="T102" s="117" t="str">
        <f t="shared" ca="1" si="12"/>
        <v/>
      </c>
      <c r="U102" s="163" t="str">
        <f t="shared" ca="1" si="13"/>
        <v/>
      </c>
      <c r="V102" s="164" t="str" cm="1">
        <f t="array" aca="1" ref="V102" ca="1">IF(AND($W102&gt;0,RegimeExecucao="Unitário"),$F102,"")</f>
        <v/>
      </c>
      <c r="W102" s="454" cm="1">
        <f t="array" aca="1" ref="W102" ca="1">IF($Y102&gt;0,CHOOSE(MATCH(RegimeExecucao,{"Unitário","Global"},0),IF($A102="S",$Y102/$X102,""),($Y102/$X102)*100),0)</f>
        <v>0</v>
      </c>
      <c r="X102" s="339" t="str" cm="1">
        <f t="array" aca="1" ref="X102" ca="1">IF($Y102&gt;0,CHOOSE(MATCH(RegimeExecucao,{"Unitário","Global"},0),IF($A102="S",ROUND($H102,ORÇAMENTO!$AF$10),""),ROUND($I102,ORÇAMENTO!$AF$11)),"")</f>
        <v/>
      </c>
      <c r="Y102" s="339">
        <f t="shared" ca="1" si="14"/>
        <v>0</v>
      </c>
      <c r="Z102" s="473"/>
      <c r="AB102" s="337"/>
      <c r="AC102" s="437"/>
      <c r="AD102" s="437"/>
      <c r="AE102" s="437"/>
      <c r="AF102" s="437"/>
      <c r="AG102" s="437"/>
      <c r="AH102" s="437"/>
      <c r="AI102" s="437"/>
      <c r="AJ102" s="437"/>
      <c r="AK102" s="437"/>
      <c r="AL102" s="437"/>
      <c r="AM102" s="338"/>
      <c r="AO102" cm="1">
        <f t="array" aca="1" ref="AO102" ca="1">IF($A102="S",IF(BM!$I102=0,0,CHOOSE(MATCH(RegimeExecucao,{"Global","Unitário"},0),ROUND(ROUND(BM.MEDAcumulado,15-13*BM!$A$9)/100*BM!$I102,15-13*ORÇAMENTO!$AF$11),ROUND(ROUND(BM.MEDAcumulado,15-13*BM!$A$9)*ROUND(BM!$H102,15-13*ORÇAMENTO!$AF$10),15-13*ORÇAMENTO!$AF$11))),IF($A102=0,0,ROUND(SomaAgrupBM,15-13*ORÇAMENTO!$AF$11)))</f>
        <v>0</v>
      </c>
    </row>
    <row r="103" spans="1:41" ht="25.5" x14ac:dyDescent="0.2">
      <c r="A103" t="str">
        <f ca="1">ORÇAMENTO!C103</f>
        <v>S</v>
      </c>
      <c r="B103">
        <f ca="1">ORÇAMENTO!D103</f>
        <v>0</v>
      </c>
      <c r="C103" s="114" t="str">
        <f t="shared" ca="1" si="8"/>
        <v/>
      </c>
      <c r="D103" s="117" t="str">
        <f ca="1">ORÇAMENTO!O103</f>
        <v>-</v>
      </c>
      <c r="E103" s="163" t="str">
        <f t="shared" ca="1" si="9"/>
        <v>(Código não identificado nas referências)</v>
      </c>
      <c r="F103" s="164" t="str" cm="1">
        <f t="array" aca="1" ref="F103" ca="1">IF(RegimeExecucao="Global","",ORÇAMENTO.Unidade)</f>
        <v/>
      </c>
      <c r="G103" s="122" t="str" cm="1">
        <f t="array" aca="1" ref="G103" ca="1">IF(RegimeExecucao="Global","",ORÇAMENTO!T103)</f>
        <v/>
      </c>
      <c r="H103" s="122" t="str" cm="1">
        <f t="array" aca="1" ref="H103" ca="1">IF(RegimeExecucao="Global","",ORÇAMENTO!W103)</f>
        <v/>
      </c>
      <c r="I103" s="125">
        <f ca="1">ORÇAMENTO!X103</f>
        <v>0</v>
      </c>
      <c r="J103" s="333" cm="1">
        <f t="array" aca="1" ref="J103" ca="1">IF($A103="S",IF(CAIXA.Modo,BM.AFAnterior,BM.MEDAnterior),IF(AND(RegimeExecucao="Global",$I103&gt;0,COUNTIF($AB$13:$AM$13,BM.medicao-1)&gt;0),M103/$I103*100,0))</f>
        <v>0</v>
      </c>
      <c r="K103" s="122">
        <f t="shared" ca="1" si="10"/>
        <v>0</v>
      </c>
      <c r="L103" s="334" cm="1">
        <f t="array" aca="1" ref="L103" ca="1">IF($A103="S",IF(CAIXA.Modo,BM.AFAcumulado,BM.MEDAcumulado),IF(AND(RegimeExecucao="Global",$I103&gt;0,COUNTIF($AB$13:$AM$13,BM.medicao)&gt;0),O103/$I103*100,0))</f>
        <v>0</v>
      </c>
      <c r="M103" s="335" cm="1">
        <f t="array" aca="1" ref="M103" ca="1">IF($A103="S",VTOTALBM,IF($A103=0,0,ROUND(SomaAgrupBM,15-13*ORÇAMENTO!$AF$11)))</f>
        <v>0</v>
      </c>
      <c r="N103" s="336">
        <f t="shared" ca="1" si="11"/>
        <v>0</v>
      </c>
      <c r="O103" s="125" cm="1">
        <f t="array" aca="1" ref="O103" ca="1">IF($A103="S",VTOTALBM,IF($A103=0,0,ROUND(SomaAgrupBM,15-13*ORÇAMENTO!$AF$11)))</f>
        <v>0</v>
      </c>
      <c r="Q103" s="337"/>
      <c r="R103" s="338"/>
      <c r="T103" s="117" t="str">
        <f t="shared" ca="1" si="12"/>
        <v/>
      </c>
      <c r="U103" s="163" t="str">
        <f t="shared" ca="1" si="13"/>
        <v/>
      </c>
      <c r="V103" s="164" t="str" cm="1">
        <f t="array" aca="1" ref="V103" ca="1">IF(AND($W103&gt;0,RegimeExecucao="Unitário"),$F103,"")</f>
        <v/>
      </c>
      <c r="W103" s="454" cm="1">
        <f t="array" aca="1" ref="W103" ca="1">IF($Y103&gt;0,CHOOSE(MATCH(RegimeExecucao,{"Unitário","Global"},0),IF($A103="S",$Y103/$X103,""),($Y103/$X103)*100),0)</f>
        <v>0</v>
      </c>
      <c r="X103" s="339" t="str" cm="1">
        <f t="array" aca="1" ref="X103" ca="1">IF($Y103&gt;0,CHOOSE(MATCH(RegimeExecucao,{"Unitário","Global"},0),IF($A103="S",ROUND($H103,ORÇAMENTO!$AF$10),""),ROUND($I103,ORÇAMENTO!$AF$11)),"")</f>
        <v/>
      </c>
      <c r="Y103" s="339">
        <f t="shared" ca="1" si="14"/>
        <v>0</v>
      </c>
      <c r="Z103" s="473"/>
      <c r="AB103" s="337"/>
      <c r="AC103" s="437"/>
      <c r="AD103" s="437"/>
      <c r="AE103" s="437"/>
      <c r="AF103" s="437"/>
      <c r="AG103" s="437"/>
      <c r="AH103" s="437"/>
      <c r="AI103" s="437"/>
      <c r="AJ103" s="437"/>
      <c r="AK103" s="437"/>
      <c r="AL103" s="437"/>
      <c r="AM103" s="338"/>
      <c r="AO103" cm="1">
        <f t="array" aca="1" ref="AO103" ca="1">IF($A103="S",IF(BM!$I103=0,0,CHOOSE(MATCH(RegimeExecucao,{"Global","Unitário"},0),ROUND(ROUND(BM.MEDAcumulado,15-13*BM!$A$9)/100*BM!$I103,15-13*ORÇAMENTO!$AF$11),ROUND(ROUND(BM.MEDAcumulado,15-13*BM!$A$9)*ROUND(BM!$H103,15-13*ORÇAMENTO!$AF$10),15-13*ORÇAMENTO!$AF$11))),IF($A103=0,0,ROUND(SomaAgrupBM,15-13*ORÇAMENTO!$AF$11)))</f>
        <v>0</v>
      </c>
    </row>
    <row r="104" spans="1:41" ht="25.5" x14ac:dyDescent="0.2">
      <c r="A104" t="str">
        <f ca="1">ORÇAMENTO!C104</f>
        <v>S</v>
      </c>
      <c r="B104">
        <f ca="1">ORÇAMENTO!D104</f>
        <v>0</v>
      </c>
      <c r="C104" s="114" t="str">
        <f t="shared" ca="1" si="8"/>
        <v/>
      </c>
      <c r="D104" s="117" t="str">
        <f ca="1">ORÇAMENTO!O104</f>
        <v>-</v>
      </c>
      <c r="E104" s="163" t="str">
        <f t="shared" ca="1" si="9"/>
        <v>(Código não identificado nas referências)</v>
      </c>
      <c r="F104" s="164" t="str" cm="1">
        <f t="array" aca="1" ref="F104" ca="1">IF(RegimeExecucao="Global","",ORÇAMENTO.Unidade)</f>
        <v/>
      </c>
      <c r="G104" s="122" t="str" cm="1">
        <f t="array" aca="1" ref="G104" ca="1">IF(RegimeExecucao="Global","",ORÇAMENTO!T104)</f>
        <v/>
      </c>
      <c r="H104" s="122" t="str" cm="1">
        <f t="array" aca="1" ref="H104" ca="1">IF(RegimeExecucao="Global","",ORÇAMENTO!W104)</f>
        <v/>
      </c>
      <c r="I104" s="125">
        <f ca="1">ORÇAMENTO!X104</f>
        <v>0</v>
      </c>
      <c r="J104" s="333" cm="1">
        <f t="array" aca="1" ref="J104" ca="1">IF($A104="S",IF(CAIXA.Modo,BM.AFAnterior,BM.MEDAnterior),IF(AND(RegimeExecucao="Global",$I104&gt;0,COUNTIF($AB$13:$AM$13,BM.medicao-1)&gt;0),M104/$I104*100,0))</f>
        <v>0</v>
      </c>
      <c r="K104" s="122">
        <f t="shared" ca="1" si="10"/>
        <v>0</v>
      </c>
      <c r="L104" s="334" cm="1">
        <f t="array" aca="1" ref="L104" ca="1">IF($A104="S",IF(CAIXA.Modo,BM.AFAcumulado,BM.MEDAcumulado),IF(AND(RegimeExecucao="Global",$I104&gt;0,COUNTIF($AB$13:$AM$13,BM.medicao)&gt;0),O104/$I104*100,0))</f>
        <v>0</v>
      </c>
      <c r="M104" s="335" cm="1">
        <f t="array" aca="1" ref="M104" ca="1">IF($A104="S",VTOTALBM,IF($A104=0,0,ROUND(SomaAgrupBM,15-13*ORÇAMENTO!$AF$11)))</f>
        <v>0</v>
      </c>
      <c r="N104" s="336">
        <f t="shared" ca="1" si="11"/>
        <v>0</v>
      </c>
      <c r="O104" s="125" cm="1">
        <f t="array" aca="1" ref="O104" ca="1">IF($A104="S",VTOTALBM,IF($A104=0,0,ROUND(SomaAgrupBM,15-13*ORÇAMENTO!$AF$11)))</f>
        <v>0</v>
      </c>
      <c r="Q104" s="337"/>
      <c r="R104" s="338"/>
      <c r="T104" s="117" t="str">
        <f t="shared" ca="1" si="12"/>
        <v/>
      </c>
      <c r="U104" s="163" t="str">
        <f t="shared" ca="1" si="13"/>
        <v/>
      </c>
      <c r="V104" s="164" t="str" cm="1">
        <f t="array" aca="1" ref="V104" ca="1">IF(AND($W104&gt;0,RegimeExecucao="Unitário"),$F104,"")</f>
        <v/>
      </c>
      <c r="W104" s="454" cm="1">
        <f t="array" aca="1" ref="W104" ca="1">IF($Y104&gt;0,CHOOSE(MATCH(RegimeExecucao,{"Unitário","Global"},0),IF($A104="S",$Y104/$X104,""),($Y104/$X104)*100),0)</f>
        <v>0</v>
      </c>
      <c r="X104" s="339" t="str" cm="1">
        <f t="array" aca="1" ref="X104" ca="1">IF($Y104&gt;0,CHOOSE(MATCH(RegimeExecucao,{"Unitário","Global"},0),IF($A104="S",ROUND($H104,ORÇAMENTO!$AF$10),""),ROUND($I104,ORÇAMENTO!$AF$11)),"")</f>
        <v/>
      </c>
      <c r="Y104" s="339">
        <f t="shared" ca="1" si="14"/>
        <v>0</v>
      </c>
      <c r="Z104" s="473"/>
      <c r="AB104" s="337"/>
      <c r="AC104" s="437"/>
      <c r="AD104" s="437"/>
      <c r="AE104" s="437"/>
      <c r="AF104" s="437"/>
      <c r="AG104" s="437"/>
      <c r="AH104" s="437"/>
      <c r="AI104" s="437"/>
      <c r="AJ104" s="437"/>
      <c r="AK104" s="437"/>
      <c r="AL104" s="437"/>
      <c r="AM104" s="338"/>
      <c r="AO104" cm="1">
        <f t="array" aca="1" ref="AO104" ca="1">IF($A104="S",IF(BM!$I104=0,0,CHOOSE(MATCH(RegimeExecucao,{"Global","Unitário"},0),ROUND(ROUND(BM.MEDAcumulado,15-13*BM!$A$9)/100*BM!$I104,15-13*ORÇAMENTO!$AF$11),ROUND(ROUND(BM.MEDAcumulado,15-13*BM!$A$9)*ROUND(BM!$H104,15-13*ORÇAMENTO!$AF$10),15-13*ORÇAMENTO!$AF$11))),IF($A104=0,0,ROUND(SomaAgrupBM,15-13*ORÇAMENTO!$AF$11)))</f>
        <v>0</v>
      </c>
    </row>
    <row r="105" spans="1:41" ht="25.5" x14ac:dyDescent="0.2">
      <c r="A105" t="str">
        <f ca="1">ORÇAMENTO!C105</f>
        <v>S</v>
      </c>
      <c r="B105">
        <f ca="1">ORÇAMENTO!D105</f>
        <v>0</v>
      </c>
      <c r="C105" s="114" t="str">
        <f t="shared" ca="1" si="8"/>
        <v/>
      </c>
      <c r="D105" s="117" t="str">
        <f ca="1">ORÇAMENTO!O105</f>
        <v>-</v>
      </c>
      <c r="E105" s="163" t="str">
        <f t="shared" ca="1" si="9"/>
        <v>(Código não identificado nas referências)</v>
      </c>
      <c r="F105" s="164" t="str" cm="1">
        <f t="array" aca="1" ref="F105" ca="1">IF(RegimeExecucao="Global","",ORÇAMENTO.Unidade)</f>
        <v/>
      </c>
      <c r="G105" s="122" t="str" cm="1">
        <f t="array" aca="1" ref="G105" ca="1">IF(RegimeExecucao="Global","",ORÇAMENTO!T105)</f>
        <v/>
      </c>
      <c r="H105" s="122" t="str" cm="1">
        <f t="array" aca="1" ref="H105" ca="1">IF(RegimeExecucao="Global","",ORÇAMENTO!W105)</f>
        <v/>
      </c>
      <c r="I105" s="125">
        <f ca="1">ORÇAMENTO!X105</f>
        <v>0</v>
      </c>
      <c r="J105" s="333" cm="1">
        <f t="array" aca="1" ref="J105" ca="1">IF($A105="S",IF(CAIXA.Modo,BM.AFAnterior,BM.MEDAnterior),IF(AND(RegimeExecucao="Global",$I105&gt;0,COUNTIF($AB$13:$AM$13,BM.medicao-1)&gt;0),M105/$I105*100,0))</f>
        <v>0</v>
      </c>
      <c r="K105" s="122">
        <f t="shared" ca="1" si="10"/>
        <v>0</v>
      </c>
      <c r="L105" s="334" cm="1">
        <f t="array" aca="1" ref="L105" ca="1">IF($A105="S",IF(CAIXA.Modo,BM.AFAcumulado,BM.MEDAcumulado),IF(AND(RegimeExecucao="Global",$I105&gt;0,COUNTIF($AB$13:$AM$13,BM.medicao)&gt;0),O105/$I105*100,0))</f>
        <v>0</v>
      </c>
      <c r="M105" s="335" cm="1">
        <f t="array" aca="1" ref="M105" ca="1">IF($A105="S",VTOTALBM,IF($A105=0,0,ROUND(SomaAgrupBM,15-13*ORÇAMENTO!$AF$11)))</f>
        <v>0</v>
      </c>
      <c r="N105" s="336">
        <f t="shared" ca="1" si="11"/>
        <v>0</v>
      </c>
      <c r="O105" s="125" cm="1">
        <f t="array" aca="1" ref="O105" ca="1">IF($A105="S",VTOTALBM,IF($A105=0,0,ROUND(SomaAgrupBM,15-13*ORÇAMENTO!$AF$11)))</f>
        <v>0</v>
      </c>
      <c r="Q105" s="337"/>
      <c r="R105" s="338"/>
      <c r="T105" s="117" t="str">
        <f t="shared" ca="1" si="12"/>
        <v/>
      </c>
      <c r="U105" s="163" t="str">
        <f t="shared" ca="1" si="13"/>
        <v/>
      </c>
      <c r="V105" s="164" t="str" cm="1">
        <f t="array" aca="1" ref="V105" ca="1">IF(AND($W105&gt;0,RegimeExecucao="Unitário"),$F105,"")</f>
        <v/>
      </c>
      <c r="W105" s="454" cm="1">
        <f t="array" aca="1" ref="W105" ca="1">IF($Y105&gt;0,CHOOSE(MATCH(RegimeExecucao,{"Unitário","Global"},0),IF($A105="S",$Y105/$X105,""),($Y105/$X105)*100),0)</f>
        <v>0</v>
      </c>
      <c r="X105" s="339" t="str" cm="1">
        <f t="array" aca="1" ref="X105" ca="1">IF($Y105&gt;0,CHOOSE(MATCH(RegimeExecucao,{"Unitário","Global"},0),IF($A105="S",ROUND($H105,ORÇAMENTO!$AF$10),""),ROUND($I105,ORÇAMENTO!$AF$11)),"")</f>
        <v/>
      </c>
      <c r="Y105" s="339">
        <f t="shared" ca="1" si="14"/>
        <v>0</v>
      </c>
      <c r="Z105" s="473"/>
      <c r="AB105" s="337"/>
      <c r="AC105" s="437"/>
      <c r="AD105" s="437"/>
      <c r="AE105" s="437"/>
      <c r="AF105" s="437"/>
      <c r="AG105" s="437"/>
      <c r="AH105" s="437"/>
      <c r="AI105" s="437"/>
      <c r="AJ105" s="437"/>
      <c r="AK105" s="437"/>
      <c r="AL105" s="437"/>
      <c r="AM105" s="338"/>
      <c r="AO105" cm="1">
        <f t="array" aca="1" ref="AO105" ca="1">IF($A105="S",IF(BM!$I105=0,0,CHOOSE(MATCH(RegimeExecucao,{"Global","Unitário"},0),ROUND(ROUND(BM.MEDAcumulado,15-13*BM!$A$9)/100*BM!$I105,15-13*ORÇAMENTO!$AF$11),ROUND(ROUND(BM.MEDAcumulado,15-13*BM!$A$9)*ROUND(BM!$H105,15-13*ORÇAMENTO!$AF$10),15-13*ORÇAMENTO!$AF$11))),IF($A105=0,0,ROUND(SomaAgrupBM,15-13*ORÇAMENTO!$AF$11)))</f>
        <v>0</v>
      </c>
    </row>
    <row r="106" spans="1:41" ht="25.5" x14ac:dyDescent="0.2">
      <c r="A106" t="str">
        <f ca="1">ORÇAMENTO!C106</f>
        <v>S</v>
      </c>
      <c r="B106">
        <f ca="1">ORÇAMENTO!D106</f>
        <v>0</v>
      </c>
      <c r="C106" s="114" t="str">
        <f t="shared" ca="1" si="8"/>
        <v/>
      </c>
      <c r="D106" s="117" t="str">
        <f ca="1">ORÇAMENTO!O106</f>
        <v>-</v>
      </c>
      <c r="E106" s="163" t="str">
        <f t="shared" ca="1" si="9"/>
        <v>(Código não identificado nas referências)</v>
      </c>
      <c r="F106" s="164" t="str" cm="1">
        <f t="array" aca="1" ref="F106" ca="1">IF(RegimeExecucao="Global","",ORÇAMENTO.Unidade)</f>
        <v/>
      </c>
      <c r="G106" s="122" t="str" cm="1">
        <f t="array" aca="1" ref="G106" ca="1">IF(RegimeExecucao="Global","",ORÇAMENTO!T106)</f>
        <v/>
      </c>
      <c r="H106" s="122" t="str" cm="1">
        <f t="array" aca="1" ref="H106" ca="1">IF(RegimeExecucao="Global","",ORÇAMENTO!W106)</f>
        <v/>
      </c>
      <c r="I106" s="125">
        <f ca="1">ORÇAMENTO!X106</f>
        <v>0</v>
      </c>
      <c r="J106" s="333" cm="1">
        <f t="array" aca="1" ref="J106" ca="1">IF($A106="S",IF(CAIXA.Modo,BM.AFAnterior,BM.MEDAnterior),IF(AND(RegimeExecucao="Global",$I106&gt;0,COUNTIF($AB$13:$AM$13,BM.medicao-1)&gt;0),M106/$I106*100,0))</f>
        <v>0</v>
      </c>
      <c r="K106" s="122">
        <f t="shared" ca="1" si="10"/>
        <v>0</v>
      </c>
      <c r="L106" s="334" cm="1">
        <f t="array" aca="1" ref="L106" ca="1">IF($A106="S",IF(CAIXA.Modo,BM.AFAcumulado,BM.MEDAcumulado),IF(AND(RegimeExecucao="Global",$I106&gt;0,COUNTIF($AB$13:$AM$13,BM.medicao)&gt;0),O106/$I106*100,0))</f>
        <v>0</v>
      </c>
      <c r="M106" s="335" cm="1">
        <f t="array" aca="1" ref="M106" ca="1">IF($A106="S",VTOTALBM,IF($A106=0,0,ROUND(SomaAgrupBM,15-13*ORÇAMENTO!$AF$11)))</f>
        <v>0</v>
      </c>
      <c r="N106" s="336">
        <f t="shared" ca="1" si="11"/>
        <v>0</v>
      </c>
      <c r="O106" s="125" cm="1">
        <f t="array" aca="1" ref="O106" ca="1">IF($A106="S",VTOTALBM,IF($A106=0,0,ROUND(SomaAgrupBM,15-13*ORÇAMENTO!$AF$11)))</f>
        <v>0</v>
      </c>
      <c r="Q106" s="337"/>
      <c r="R106" s="338"/>
      <c r="T106" s="117" t="str">
        <f t="shared" ca="1" si="12"/>
        <v/>
      </c>
      <c r="U106" s="163" t="str">
        <f t="shared" ca="1" si="13"/>
        <v/>
      </c>
      <c r="V106" s="164" t="str" cm="1">
        <f t="array" aca="1" ref="V106" ca="1">IF(AND($W106&gt;0,RegimeExecucao="Unitário"),$F106,"")</f>
        <v/>
      </c>
      <c r="W106" s="454" cm="1">
        <f t="array" aca="1" ref="W106" ca="1">IF($Y106&gt;0,CHOOSE(MATCH(RegimeExecucao,{"Unitário","Global"},0),IF($A106="S",$Y106/$X106,""),($Y106/$X106)*100),0)</f>
        <v>0</v>
      </c>
      <c r="X106" s="339" t="str" cm="1">
        <f t="array" aca="1" ref="X106" ca="1">IF($Y106&gt;0,CHOOSE(MATCH(RegimeExecucao,{"Unitário","Global"},0),IF($A106="S",ROUND($H106,ORÇAMENTO!$AF$10),""),ROUND($I106,ORÇAMENTO!$AF$11)),"")</f>
        <v/>
      </c>
      <c r="Y106" s="339">
        <f t="shared" ca="1" si="14"/>
        <v>0</v>
      </c>
      <c r="Z106" s="473"/>
      <c r="AB106" s="337"/>
      <c r="AC106" s="437"/>
      <c r="AD106" s="437"/>
      <c r="AE106" s="437"/>
      <c r="AF106" s="437"/>
      <c r="AG106" s="437"/>
      <c r="AH106" s="437"/>
      <c r="AI106" s="437"/>
      <c r="AJ106" s="437"/>
      <c r="AK106" s="437"/>
      <c r="AL106" s="437"/>
      <c r="AM106" s="338"/>
      <c r="AO106" cm="1">
        <f t="array" aca="1" ref="AO106" ca="1">IF($A106="S",IF(BM!$I106=0,0,CHOOSE(MATCH(RegimeExecucao,{"Global","Unitário"},0),ROUND(ROUND(BM.MEDAcumulado,15-13*BM!$A$9)/100*BM!$I106,15-13*ORÇAMENTO!$AF$11),ROUND(ROUND(BM.MEDAcumulado,15-13*BM!$A$9)*ROUND(BM!$H106,15-13*ORÇAMENTO!$AF$10),15-13*ORÇAMENTO!$AF$11))),IF($A106=0,0,ROUND(SomaAgrupBM,15-13*ORÇAMENTO!$AF$11)))</f>
        <v>0</v>
      </c>
    </row>
    <row r="107" spans="1:41" x14ac:dyDescent="0.2">
      <c r="A107">
        <f ca="1">ORÇAMENTO!C107</f>
        <v>3</v>
      </c>
      <c r="B107">
        <f ca="1">ORÇAMENTO!D107</f>
        <v>3</v>
      </c>
      <c r="C107" s="114" t="str">
        <f t="shared" ca="1" si="8"/>
        <v>F</v>
      </c>
      <c r="D107" s="117" t="str">
        <f ca="1">ORÇAMENTO!O107</f>
        <v>7.5.2.</v>
      </c>
      <c r="E107" s="163" t="str">
        <f t="shared" si="9"/>
        <v>PINTURAS EXTERNAS</v>
      </c>
      <c r="F107" s="164" t="str" cm="1">
        <f t="array" aca="1" ref="F107" ca="1">IF(RegimeExecucao="Global","",ORÇAMENTO.Unidade)</f>
        <v/>
      </c>
      <c r="G107" s="122" t="str" cm="1">
        <f t="array" aca="1" ref="G107" ca="1">IF(RegimeExecucao="Global","",ORÇAMENTO!T107)</f>
        <v/>
      </c>
      <c r="H107" s="122" t="str" cm="1">
        <f t="array" aca="1" ref="H107" ca="1">IF(RegimeExecucao="Global","",ORÇAMENTO!W107)</f>
        <v/>
      </c>
      <c r="I107" s="125">
        <f ca="1">ORÇAMENTO!X107</f>
        <v>0</v>
      </c>
      <c r="J107" s="333" cm="1">
        <f t="array" aca="1" ref="J107" ca="1">IF($A107="S",IF(CAIXA.Modo,BM.AFAnterior,BM.MEDAnterior),IF(AND(RegimeExecucao="Global",$I107&gt;0,COUNTIF($AB$13:$AM$13,BM.medicao-1)&gt;0),M107/$I107*100,0))</f>
        <v>0</v>
      </c>
      <c r="K107" s="122">
        <f t="shared" ca="1" si="10"/>
        <v>0</v>
      </c>
      <c r="L107" s="334" cm="1">
        <f t="array" aca="1" ref="L107" ca="1">IF($A107="S",IF(CAIXA.Modo,BM.AFAcumulado,BM.MEDAcumulado),IF(AND(RegimeExecucao="Global",$I107&gt;0,COUNTIF($AB$13:$AM$13,BM.medicao)&gt;0),O107/$I107*100,0))</f>
        <v>0</v>
      </c>
      <c r="M107" s="335" cm="1">
        <f t="array" aca="1" ref="M107" ca="1">IF($A107="S",VTOTALBM,IF($A107=0,0,ROUND(SomaAgrupBM,15-13*ORÇAMENTO!$AF$11)))</f>
        <v>0</v>
      </c>
      <c r="N107" s="336">
        <f t="shared" ca="1" si="11"/>
        <v>0</v>
      </c>
      <c r="O107" s="125" cm="1">
        <f t="array" aca="1" ref="O107" ca="1">IF($A107="S",VTOTALBM,IF($A107=0,0,ROUND(SomaAgrupBM,15-13*ORÇAMENTO!$AF$11)))</f>
        <v>0</v>
      </c>
      <c r="Q107" s="337"/>
      <c r="R107" s="338"/>
      <c r="T107" s="117" t="str">
        <f t="shared" ca="1" si="12"/>
        <v/>
      </c>
      <c r="U107" s="163" t="str">
        <f t="shared" ca="1" si="13"/>
        <v/>
      </c>
      <c r="V107" s="164" t="str" cm="1">
        <f t="array" aca="1" ref="V107" ca="1">IF(AND($W107&gt;0,RegimeExecucao="Unitário"),$F107,"")</f>
        <v/>
      </c>
      <c r="W107" s="454" cm="1">
        <f t="array" aca="1" ref="W107" ca="1">IF($Y107&gt;0,CHOOSE(MATCH(RegimeExecucao,{"Unitário","Global"},0),IF($A107="S",$Y107/$X107,""),($Y107/$X107)*100),0)</f>
        <v>0</v>
      </c>
      <c r="X107" s="339" t="str" cm="1">
        <f t="array" aca="1" ref="X107" ca="1">IF($Y107&gt;0,CHOOSE(MATCH(RegimeExecucao,{"Unitário","Global"},0),IF($A107="S",ROUND($H107,ORÇAMENTO!$AF$10),""),ROUND($I107,ORÇAMENTO!$AF$11)),"")</f>
        <v/>
      </c>
      <c r="Y107" s="339">
        <f t="shared" ca="1" si="14"/>
        <v>0</v>
      </c>
      <c r="Z107" s="473"/>
      <c r="AB107" s="337"/>
      <c r="AC107" s="437"/>
      <c r="AD107" s="437"/>
      <c r="AE107" s="437"/>
      <c r="AF107" s="437"/>
      <c r="AG107" s="437"/>
      <c r="AH107" s="437"/>
      <c r="AI107" s="437"/>
      <c r="AJ107" s="437"/>
      <c r="AK107" s="437"/>
      <c r="AL107" s="437"/>
      <c r="AM107" s="338"/>
      <c r="AO107" cm="1">
        <f t="array" aca="1" ref="AO107" ca="1">IF($A107="S",IF(BM!$I107=0,0,CHOOSE(MATCH(RegimeExecucao,{"Global","Unitário"},0),ROUND(ROUND(BM.MEDAcumulado,15-13*BM!$A$9)/100*BM!$I107,15-13*ORÇAMENTO!$AF$11),ROUND(ROUND(BM.MEDAcumulado,15-13*BM!$A$9)*ROUND(BM!$H107,15-13*ORÇAMENTO!$AF$10),15-13*ORÇAMENTO!$AF$11))),IF($A107=0,0,ROUND(SomaAgrupBM,15-13*ORÇAMENTO!$AF$11)))</f>
        <v>0</v>
      </c>
    </row>
    <row r="108" spans="1:41" ht="25.5" x14ac:dyDescent="0.2">
      <c r="A108" t="str">
        <f ca="1">ORÇAMENTO!C108</f>
        <v>S</v>
      </c>
      <c r="B108">
        <f ca="1">ORÇAMENTO!D108</f>
        <v>0</v>
      </c>
      <c r="C108" s="114" t="str">
        <f t="shared" ca="1" si="8"/>
        <v/>
      </c>
      <c r="D108" s="117" t="str">
        <f ca="1">ORÇAMENTO!O108</f>
        <v>-</v>
      </c>
      <c r="E108" s="163" t="str">
        <f t="shared" ca="1" si="9"/>
        <v>(Código não identificado nas referências)</v>
      </c>
      <c r="F108" s="164" t="str" cm="1">
        <f t="array" aca="1" ref="F108" ca="1">IF(RegimeExecucao="Global","",ORÇAMENTO.Unidade)</f>
        <v/>
      </c>
      <c r="G108" s="122" t="str" cm="1">
        <f t="array" aca="1" ref="G108" ca="1">IF(RegimeExecucao="Global","",ORÇAMENTO!T108)</f>
        <v/>
      </c>
      <c r="H108" s="122" t="str" cm="1">
        <f t="array" aca="1" ref="H108" ca="1">IF(RegimeExecucao="Global","",ORÇAMENTO!W108)</f>
        <v/>
      </c>
      <c r="I108" s="125">
        <f ca="1">ORÇAMENTO!X108</f>
        <v>0</v>
      </c>
      <c r="J108" s="333" cm="1">
        <f t="array" aca="1" ref="J108" ca="1">IF($A108="S",IF(CAIXA.Modo,BM.AFAnterior,BM.MEDAnterior),IF(AND(RegimeExecucao="Global",$I108&gt;0,COUNTIF($AB$13:$AM$13,BM.medicao-1)&gt;0),M108/$I108*100,0))</f>
        <v>0</v>
      </c>
      <c r="K108" s="122">
        <f t="shared" ca="1" si="10"/>
        <v>0</v>
      </c>
      <c r="L108" s="334" cm="1">
        <f t="array" aca="1" ref="L108" ca="1">IF($A108="S",IF(CAIXA.Modo,BM.AFAcumulado,BM.MEDAcumulado),IF(AND(RegimeExecucao="Global",$I108&gt;0,COUNTIF($AB$13:$AM$13,BM.medicao)&gt;0),O108/$I108*100,0))</f>
        <v>0</v>
      </c>
      <c r="M108" s="335" cm="1">
        <f t="array" aca="1" ref="M108" ca="1">IF($A108="S",VTOTALBM,IF($A108=0,0,ROUND(SomaAgrupBM,15-13*ORÇAMENTO!$AF$11)))</f>
        <v>0</v>
      </c>
      <c r="N108" s="336">
        <f t="shared" ca="1" si="11"/>
        <v>0</v>
      </c>
      <c r="O108" s="125" cm="1">
        <f t="array" aca="1" ref="O108" ca="1">IF($A108="S",VTOTALBM,IF($A108=0,0,ROUND(SomaAgrupBM,15-13*ORÇAMENTO!$AF$11)))</f>
        <v>0</v>
      </c>
      <c r="Q108" s="337"/>
      <c r="R108" s="338"/>
      <c r="T108" s="117" t="str">
        <f t="shared" ca="1" si="12"/>
        <v/>
      </c>
      <c r="U108" s="163" t="str">
        <f t="shared" ca="1" si="13"/>
        <v/>
      </c>
      <c r="V108" s="164" t="str" cm="1">
        <f t="array" aca="1" ref="V108" ca="1">IF(AND($W108&gt;0,RegimeExecucao="Unitário"),$F108,"")</f>
        <v/>
      </c>
      <c r="W108" s="454" cm="1">
        <f t="array" aca="1" ref="W108" ca="1">IF($Y108&gt;0,CHOOSE(MATCH(RegimeExecucao,{"Unitário","Global"},0),IF($A108="S",$Y108/$X108,""),($Y108/$X108)*100),0)</f>
        <v>0</v>
      </c>
      <c r="X108" s="339" t="str" cm="1">
        <f t="array" aca="1" ref="X108" ca="1">IF($Y108&gt;0,CHOOSE(MATCH(RegimeExecucao,{"Unitário","Global"},0),IF($A108="S",ROUND($H108,ORÇAMENTO!$AF$10),""),ROUND($I108,ORÇAMENTO!$AF$11)),"")</f>
        <v/>
      </c>
      <c r="Y108" s="339">
        <f t="shared" ca="1" si="14"/>
        <v>0</v>
      </c>
      <c r="Z108" s="473"/>
      <c r="AB108" s="337"/>
      <c r="AC108" s="437"/>
      <c r="AD108" s="437"/>
      <c r="AE108" s="437"/>
      <c r="AF108" s="437"/>
      <c r="AG108" s="437"/>
      <c r="AH108" s="437"/>
      <c r="AI108" s="437"/>
      <c r="AJ108" s="437"/>
      <c r="AK108" s="437"/>
      <c r="AL108" s="437"/>
      <c r="AM108" s="338"/>
      <c r="AO108" cm="1">
        <f t="array" aca="1" ref="AO108" ca="1">IF($A108="S",IF(BM!$I108=0,0,CHOOSE(MATCH(RegimeExecucao,{"Global","Unitário"},0),ROUND(ROUND(BM.MEDAcumulado,15-13*BM!$A$9)/100*BM!$I108,15-13*ORÇAMENTO!$AF$11),ROUND(ROUND(BM.MEDAcumulado,15-13*BM!$A$9)*ROUND(BM!$H108,15-13*ORÇAMENTO!$AF$10),15-13*ORÇAMENTO!$AF$11))),IF($A108=0,0,ROUND(SomaAgrupBM,15-13*ORÇAMENTO!$AF$11)))</f>
        <v>0</v>
      </c>
    </row>
    <row r="109" spans="1:41" ht="25.5" x14ac:dyDescent="0.2">
      <c r="A109" t="str">
        <f ca="1">ORÇAMENTO!C109</f>
        <v>S</v>
      </c>
      <c r="B109">
        <f ca="1">ORÇAMENTO!D109</f>
        <v>0</v>
      </c>
      <c r="C109" s="114" t="str">
        <f t="shared" ca="1" si="8"/>
        <v/>
      </c>
      <c r="D109" s="117" t="str">
        <f ca="1">ORÇAMENTO!O109</f>
        <v>-</v>
      </c>
      <c r="E109" s="163" t="str">
        <f t="shared" ca="1" si="9"/>
        <v>(Código não identificado nas referências)</v>
      </c>
      <c r="F109" s="164" t="str" cm="1">
        <f t="array" aca="1" ref="F109" ca="1">IF(RegimeExecucao="Global","",ORÇAMENTO.Unidade)</f>
        <v/>
      </c>
      <c r="G109" s="122" t="str" cm="1">
        <f t="array" aca="1" ref="G109" ca="1">IF(RegimeExecucao="Global","",ORÇAMENTO!T109)</f>
        <v/>
      </c>
      <c r="H109" s="122" t="str" cm="1">
        <f t="array" aca="1" ref="H109" ca="1">IF(RegimeExecucao="Global","",ORÇAMENTO!W109)</f>
        <v/>
      </c>
      <c r="I109" s="125">
        <f ca="1">ORÇAMENTO!X109</f>
        <v>0</v>
      </c>
      <c r="J109" s="333" cm="1">
        <f t="array" aca="1" ref="J109" ca="1">IF($A109="S",IF(CAIXA.Modo,BM.AFAnterior,BM.MEDAnterior),IF(AND(RegimeExecucao="Global",$I109&gt;0,COUNTIF($AB$13:$AM$13,BM.medicao-1)&gt;0),M109/$I109*100,0))</f>
        <v>0</v>
      </c>
      <c r="K109" s="122">
        <f t="shared" ca="1" si="10"/>
        <v>0</v>
      </c>
      <c r="L109" s="334" cm="1">
        <f t="array" aca="1" ref="L109" ca="1">IF($A109="S",IF(CAIXA.Modo,BM.AFAcumulado,BM.MEDAcumulado),IF(AND(RegimeExecucao="Global",$I109&gt;0,COUNTIF($AB$13:$AM$13,BM.medicao)&gt;0),O109/$I109*100,0))</f>
        <v>0</v>
      </c>
      <c r="M109" s="335" cm="1">
        <f t="array" aca="1" ref="M109" ca="1">IF($A109="S",VTOTALBM,IF($A109=0,0,ROUND(SomaAgrupBM,15-13*ORÇAMENTO!$AF$11)))</f>
        <v>0</v>
      </c>
      <c r="N109" s="336">
        <f t="shared" ca="1" si="11"/>
        <v>0</v>
      </c>
      <c r="O109" s="125" cm="1">
        <f t="array" aca="1" ref="O109" ca="1">IF($A109="S",VTOTALBM,IF($A109=0,0,ROUND(SomaAgrupBM,15-13*ORÇAMENTO!$AF$11)))</f>
        <v>0</v>
      </c>
      <c r="Q109" s="337"/>
      <c r="R109" s="338"/>
      <c r="T109" s="117" t="str">
        <f t="shared" ca="1" si="12"/>
        <v/>
      </c>
      <c r="U109" s="163" t="str">
        <f t="shared" ca="1" si="13"/>
        <v/>
      </c>
      <c r="V109" s="164" t="str" cm="1">
        <f t="array" aca="1" ref="V109" ca="1">IF(AND($W109&gt;0,RegimeExecucao="Unitário"),$F109,"")</f>
        <v/>
      </c>
      <c r="W109" s="454" cm="1">
        <f t="array" aca="1" ref="W109" ca="1">IF($Y109&gt;0,CHOOSE(MATCH(RegimeExecucao,{"Unitário","Global"},0),IF($A109="S",$Y109/$X109,""),($Y109/$X109)*100),0)</f>
        <v>0</v>
      </c>
      <c r="X109" s="339" t="str" cm="1">
        <f t="array" aca="1" ref="X109" ca="1">IF($Y109&gt;0,CHOOSE(MATCH(RegimeExecucao,{"Unitário","Global"},0),IF($A109="S",ROUND($H109,ORÇAMENTO!$AF$10),""),ROUND($I109,ORÇAMENTO!$AF$11)),"")</f>
        <v/>
      </c>
      <c r="Y109" s="339">
        <f t="shared" ca="1" si="14"/>
        <v>0</v>
      </c>
      <c r="Z109" s="473"/>
      <c r="AB109" s="337"/>
      <c r="AC109" s="437"/>
      <c r="AD109" s="437"/>
      <c r="AE109" s="437"/>
      <c r="AF109" s="437"/>
      <c r="AG109" s="437"/>
      <c r="AH109" s="437"/>
      <c r="AI109" s="437"/>
      <c r="AJ109" s="437"/>
      <c r="AK109" s="437"/>
      <c r="AL109" s="437"/>
      <c r="AM109" s="338"/>
      <c r="AO109" cm="1">
        <f t="array" aca="1" ref="AO109" ca="1">IF($A109="S",IF(BM!$I109=0,0,CHOOSE(MATCH(RegimeExecucao,{"Global","Unitário"},0),ROUND(ROUND(BM.MEDAcumulado,15-13*BM!$A$9)/100*BM!$I109,15-13*ORÇAMENTO!$AF$11),ROUND(ROUND(BM.MEDAcumulado,15-13*BM!$A$9)*ROUND(BM!$H109,15-13*ORÇAMENTO!$AF$10),15-13*ORÇAMENTO!$AF$11))),IF($A109=0,0,ROUND(SomaAgrupBM,15-13*ORÇAMENTO!$AF$11)))</f>
        <v>0</v>
      </c>
    </row>
    <row r="110" spans="1:41" x14ac:dyDescent="0.2">
      <c r="A110">
        <f ca="1">ORÇAMENTO!C110</f>
        <v>3</v>
      </c>
      <c r="B110">
        <f ca="1">ORÇAMENTO!D110</f>
        <v>4</v>
      </c>
      <c r="C110" s="114" t="str">
        <f t="shared" ca="1" si="8"/>
        <v>F</v>
      </c>
      <c r="D110" s="117" t="str">
        <f ca="1">ORÇAMENTO!O110</f>
        <v>7.5.3.</v>
      </c>
      <c r="E110" s="163" t="str">
        <f t="shared" si="9"/>
        <v>PINTURA ESQUADRIAS</v>
      </c>
      <c r="F110" s="164" t="str" cm="1">
        <f t="array" aca="1" ref="F110" ca="1">IF(RegimeExecucao="Global","",ORÇAMENTO.Unidade)</f>
        <v/>
      </c>
      <c r="G110" s="122" t="str" cm="1">
        <f t="array" aca="1" ref="G110" ca="1">IF(RegimeExecucao="Global","",ORÇAMENTO!T110)</f>
        <v/>
      </c>
      <c r="H110" s="122" t="str" cm="1">
        <f t="array" aca="1" ref="H110" ca="1">IF(RegimeExecucao="Global","",ORÇAMENTO!W110)</f>
        <v/>
      </c>
      <c r="I110" s="125">
        <f ca="1">ORÇAMENTO!X110</f>
        <v>0</v>
      </c>
      <c r="J110" s="333" cm="1">
        <f t="array" aca="1" ref="J110" ca="1">IF($A110="S",IF(CAIXA.Modo,BM.AFAnterior,BM.MEDAnterior),IF(AND(RegimeExecucao="Global",$I110&gt;0,COUNTIF($AB$13:$AM$13,BM.medicao-1)&gt;0),M110/$I110*100,0))</f>
        <v>0</v>
      </c>
      <c r="K110" s="122">
        <f t="shared" ca="1" si="10"/>
        <v>0</v>
      </c>
      <c r="L110" s="334" cm="1">
        <f t="array" aca="1" ref="L110" ca="1">IF($A110="S",IF(CAIXA.Modo,BM.AFAcumulado,BM.MEDAcumulado),IF(AND(RegimeExecucao="Global",$I110&gt;0,COUNTIF($AB$13:$AM$13,BM.medicao)&gt;0),O110/$I110*100,0))</f>
        <v>0</v>
      </c>
      <c r="M110" s="335" cm="1">
        <f t="array" aca="1" ref="M110" ca="1">IF($A110="S",VTOTALBM,IF($A110=0,0,ROUND(SomaAgrupBM,15-13*ORÇAMENTO!$AF$11)))</f>
        <v>0</v>
      </c>
      <c r="N110" s="336">
        <f t="shared" ca="1" si="11"/>
        <v>0</v>
      </c>
      <c r="O110" s="125" cm="1">
        <f t="array" aca="1" ref="O110" ca="1">IF($A110="S",VTOTALBM,IF($A110=0,0,ROUND(SomaAgrupBM,15-13*ORÇAMENTO!$AF$11)))</f>
        <v>0</v>
      </c>
      <c r="Q110" s="337"/>
      <c r="R110" s="338"/>
      <c r="T110" s="117" t="str">
        <f t="shared" ca="1" si="12"/>
        <v/>
      </c>
      <c r="U110" s="163" t="str">
        <f t="shared" ca="1" si="13"/>
        <v/>
      </c>
      <c r="V110" s="164" t="str" cm="1">
        <f t="array" aca="1" ref="V110" ca="1">IF(AND($W110&gt;0,RegimeExecucao="Unitário"),$F110,"")</f>
        <v/>
      </c>
      <c r="W110" s="454" cm="1">
        <f t="array" aca="1" ref="W110" ca="1">IF($Y110&gt;0,CHOOSE(MATCH(RegimeExecucao,{"Unitário","Global"},0),IF($A110="S",$Y110/$X110,""),($Y110/$X110)*100),0)</f>
        <v>0</v>
      </c>
      <c r="X110" s="339" t="str" cm="1">
        <f t="array" aca="1" ref="X110" ca="1">IF($Y110&gt;0,CHOOSE(MATCH(RegimeExecucao,{"Unitário","Global"},0),IF($A110="S",ROUND($H110,ORÇAMENTO!$AF$10),""),ROUND($I110,ORÇAMENTO!$AF$11)),"")</f>
        <v/>
      </c>
      <c r="Y110" s="339">
        <f t="shared" ca="1" si="14"/>
        <v>0</v>
      </c>
      <c r="Z110" s="473"/>
      <c r="AB110" s="337"/>
      <c r="AC110" s="437"/>
      <c r="AD110" s="437"/>
      <c r="AE110" s="437"/>
      <c r="AF110" s="437"/>
      <c r="AG110" s="437"/>
      <c r="AH110" s="437"/>
      <c r="AI110" s="437"/>
      <c r="AJ110" s="437"/>
      <c r="AK110" s="437"/>
      <c r="AL110" s="437"/>
      <c r="AM110" s="338"/>
      <c r="AO110" cm="1">
        <f t="array" aca="1" ref="AO110" ca="1">IF($A110="S",IF(BM!$I110=0,0,CHOOSE(MATCH(RegimeExecucao,{"Global","Unitário"},0),ROUND(ROUND(BM.MEDAcumulado,15-13*BM!$A$9)/100*BM!$I110,15-13*ORÇAMENTO!$AF$11),ROUND(ROUND(BM.MEDAcumulado,15-13*BM!$A$9)*ROUND(BM!$H110,15-13*ORÇAMENTO!$AF$10),15-13*ORÇAMENTO!$AF$11))),IF($A110=0,0,ROUND(SomaAgrupBM,15-13*ORÇAMENTO!$AF$11)))</f>
        <v>0</v>
      </c>
    </row>
    <row r="111" spans="1:41" ht="25.5" x14ac:dyDescent="0.2">
      <c r="A111" t="str">
        <f ca="1">ORÇAMENTO!C111</f>
        <v>S</v>
      </c>
      <c r="B111">
        <f ca="1">ORÇAMENTO!D111</f>
        <v>0</v>
      </c>
      <c r="C111" s="114" t="str">
        <f t="shared" ca="1" si="8"/>
        <v/>
      </c>
      <c r="D111" s="117" t="str">
        <f ca="1">ORÇAMENTO!O111</f>
        <v>-</v>
      </c>
      <c r="E111" s="163" t="str">
        <f t="shared" ca="1" si="9"/>
        <v>(Código não identificado nas referências)</v>
      </c>
      <c r="F111" s="164" t="str" cm="1">
        <f t="array" aca="1" ref="F111" ca="1">IF(RegimeExecucao="Global","",ORÇAMENTO.Unidade)</f>
        <v/>
      </c>
      <c r="G111" s="122" t="str" cm="1">
        <f t="array" aca="1" ref="G111" ca="1">IF(RegimeExecucao="Global","",ORÇAMENTO!T111)</f>
        <v/>
      </c>
      <c r="H111" s="122" t="str" cm="1">
        <f t="array" aca="1" ref="H111" ca="1">IF(RegimeExecucao="Global","",ORÇAMENTO!W111)</f>
        <v/>
      </c>
      <c r="I111" s="125">
        <f ca="1">ORÇAMENTO!X111</f>
        <v>0</v>
      </c>
      <c r="J111" s="333" cm="1">
        <f t="array" aca="1" ref="J111" ca="1">IF($A111="S",IF(CAIXA.Modo,BM.AFAnterior,BM.MEDAnterior),IF(AND(RegimeExecucao="Global",$I111&gt;0,COUNTIF($AB$13:$AM$13,BM.medicao-1)&gt;0),M111/$I111*100,0))</f>
        <v>0</v>
      </c>
      <c r="K111" s="122">
        <f t="shared" ca="1" si="10"/>
        <v>0</v>
      </c>
      <c r="L111" s="334" cm="1">
        <f t="array" aca="1" ref="L111" ca="1">IF($A111="S",IF(CAIXA.Modo,BM.AFAcumulado,BM.MEDAcumulado),IF(AND(RegimeExecucao="Global",$I111&gt;0,COUNTIF($AB$13:$AM$13,BM.medicao)&gt;0),O111/$I111*100,0))</f>
        <v>0</v>
      </c>
      <c r="M111" s="335" cm="1">
        <f t="array" aca="1" ref="M111" ca="1">IF($A111="S",VTOTALBM,IF($A111=0,0,ROUND(SomaAgrupBM,15-13*ORÇAMENTO!$AF$11)))</f>
        <v>0</v>
      </c>
      <c r="N111" s="336">
        <f t="shared" ca="1" si="11"/>
        <v>0</v>
      </c>
      <c r="O111" s="125" cm="1">
        <f t="array" aca="1" ref="O111" ca="1">IF($A111="S",VTOTALBM,IF($A111=0,0,ROUND(SomaAgrupBM,15-13*ORÇAMENTO!$AF$11)))</f>
        <v>0</v>
      </c>
      <c r="Q111" s="337"/>
      <c r="R111" s="338"/>
      <c r="T111" s="117" t="str">
        <f t="shared" ca="1" si="12"/>
        <v/>
      </c>
      <c r="U111" s="163" t="str">
        <f t="shared" ca="1" si="13"/>
        <v/>
      </c>
      <c r="V111" s="164" t="str" cm="1">
        <f t="array" aca="1" ref="V111" ca="1">IF(AND($W111&gt;0,RegimeExecucao="Unitário"),$F111,"")</f>
        <v/>
      </c>
      <c r="W111" s="454" cm="1">
        <f t="array" aca="1" ref="W111" ca="1">IF($Y111&gt;0,CHOOSE(MATCH(RegimeExecucao,{"Unitário","Global"},0),IF($A111="S",$Y111/$X111,""),($Y111/$X111)*100),0)</f>
        <v>0</v>
      </c>
      <c r="X111" s="339" t="str" cm="1">
        <f t="array" aca="1" ref="X111" ca="1">IF($Y111&gt;0,CHOOSE(MATCH(RegimeExecucao,{"Unitário","Global"},0),IF($A111="S",ROUND($H111,ORÇAMENTO!$AF$10),""),ROUND($I111,ORÇAMENTO!$AF$11)),"")</f>
        <v/>
      </c>
      <c r="Y111" s="339">
        <f t="shared" ca="1" si="14"/>
        <v>0</v>
      </c>
      <c r="Z111" s="473"/>
      <c r="AB111" s="337"/>
      <c r="AC111" s="437"/>
      <c r="AD111" s="437"/>
      <c r="AE111" s="437"/>
      <c r="AF111" s="437"/>
      <c r="AG111" s="437"/>
      <c r="AH111" s="437"/>
      <c r="AI111" s="437"/>
      <c r="AJ111" s="437"/>
      <c r="AK111" s="437"/>
      <c r="AL111" s="437"/>
      <c r="AM111" s="338"/>
      <c r="AO111" cm="1">
        <f t="array" aca="1" ref="AO111" ca="1">IF($A111="S",IF(BM!$I111=0,0,CHOOSE(MATCH(RegimeExecucao,{"Global","Unitário"},0),ROUND(ROUND(BM.MEDAcumulado,15-13*BM!$A$9)/100*BM!$I111,15-13*ORÇAMENTO!$AF$11),ROUND(ROUND(BM.MEDAcumulado,15-13*BM!$A$9)*ROUND(BM!$H111,15-13*ORÇAMENTO!$AF$10),15-13*ORÇAMENTO!$AF$11))),IF($A111=0,0,ROUND(SomaAgrupBM,15-13*ORÇAMENTO!$AF$11)))</f>
        <v>0</v>
      </c>
    </row>
    <row r="112" spans="1:41" ht="25.5" x14ac:dyDescent="0.2">
      <c r="A112" t="str">
        <f ca="1">ORÇAMENTO!C112</f>
        <v>S</v>
      </c>
      <c r="B112">
        <f ca="1">ORÇAMENTO!D112</f>
        <v>0</v>
      </c>
      <c r="C112" s="114" t="str">
        <f t="shared" ca="1" si="8"/>
        <v/>
      </c>
      <c r="D112" s="117" t="str">
        <f ca="1">ORÇAMENTO!O112</f>
        <v>-</v>
      </c>
      <c r="E112" s="163" t="str">
        <f t="shared" ca="1" si="9"/>
        <v>(Código não identificado nas referências)</v>
      </c>
      <c r="F112" s="164" t="str" cm="1">
        <f t="array" aca="1" ref="F112" ca="1">IF(RegimeExecucao="Global","",ORÇAMENTO.Unidade)</f>
        <v/>
      </c>
      <c r="G112" s="122" t="str" cm="1">
        <f t="array" aca="1" ref="G112" ca="1">IF(RegimeExecucao="Global","",ORÇAMENTO!T112)</f>
        <v/>
      </c>
      <c r="H112" s="122" t="str" cm="1">
        <f t="array" aca="1" ref="H112" ca="1">IF(RegimeExecucao="Global","",ORÇAMENTO!W112)</f>
        <v/>
      </c>
      <c r="I112" s="125">
        <f ca="1">ORÇAMENTO!X112</f>
        <v>0</v>
      </c>
      <c r="J112" s="333" cm="1">
        <f t="array" aca="1" ref="J112" ca="1">IF($A112="S",IF(CAIXA.Modo,BM.AFAnterior,BM.MEDAnterior),IF(AND(RegimeExecucao="Global",$I112&gt;0,COUNTIF($AB$13:$AM$13,BM.medicao-1)&gt;0),M112/$I112*100,0))</f>
        <v>0</v>
      </c>
      <c r="K112" s="122">
        <f t="shared" ca="1" si="10"/>
        <v>0</v>
      </c>
      <c r="L112" s="334" cm="1">
        <f t="array" aca="1" ref="L112" ca="1">IF($A112="S",IF(CAIXA.Modo,BM.AFAcumulado,BM.MEDAcumulado),IF(AND(RegimeExecucao="Global",$I112&gt;0,COUNTIF($AB$13:$AM$13,BM.medicao)&gt;0),O112/$I112*100,0))</f>
        <v>0</v>
      </c>
      <c r="M112" s="335" cm="1">
        <f t="array" aca="1" ref="M112" ca="1">IF($A112="S",VTOTALBM,IF($A112=0,0,ROUND(SomaAgrupBM,15-13*ORÇAMENTO!$AF$11)))</f>
        <v>0</v>
      </c>
      <c r="N112" s="336">
        <f t="shared" ca="1" si="11"/>
        <v>0</v>
      </c>
      <c r="O112" s="125" cm="1">
        <f t="array" aca="1" ref="O112" ca="1">IF($A112="S",VTOTALBM,IF($A112=0,0,ROUND(SomaAgrupBM,15-13*ORÇAMENTO!$AF$11)))</f>
        <v>0</v>
      </c>
      <c r="Q112" s="337"/>
      <c r="R112" s="338"/>
      <c r="T112" s="117" t="str">
        <f t="shared" ca="1" si="12"/>
        <v/>
      </c>
      <c r="U112" s="163" t="str">
        <f t="shared" ca="1" si="13"/>
        <v/>
      </c>
      <c r="V112" s="164" t="str" cm="1">
        <f t="array" aca="1" ref="V112" ca="1">IF(AND($W112&gt;0,RegimeExecucao="Unitário"),$F112,"")</f>
        <v/>
      </c>
      <c r="W112" s="454" cm="1">
        <f t="array" aca="1" ref="W112" ca="1">IF($Y112&gt;0,CHOOSE(MATCH(RegimeExecucao,{"Unitário","Global"},0),IF($A112="S",$Y112/$X112,""),($Y112/$X112)*100),0)</f>
        <v>0</v>
      </c>
      <c r="X112" s="339" t="str" cm="1">
        <f t="array" aca="1" ref="X112" ca="1">IF($Y112&gt;0,CHOOSE(MATCH(RegimeExecucao,{"Unitário","Global"},0),IF($A112="S",ROUND($H112,ORÇAMENTO!$AF$10),""),ROUND($I112,ORÇAMENTO!$AF$11)),"")</f>
        <v/>
      </c>
      <c r="Y112" s="339">
        <f t="shared" ca="1" si="14"/>
        <v>0</v>
      </c>
      <c r="Z112" s="473"/>
      <c r="AB112" s="337"/>
      <c r="AC112" s="437"/>
      <c r="AD112" s="437"/>
      <c r="AE112" s="437"/>
      <c r="AF112" s="437"/>
      <c r="AG112" s="437"/>
      <c r="AH112" s="437"/>
      <c r="AI112" s="437"/>
      <c r="AJ112" s="437"/>
      <c r="AK112" s="437"/>
      <c r="AL112" s="437"/>
      <c r="AM112" s="338"/>
      <c r="AO112" cm="1">
        <f t="array" aca="1" ref="AO112" ca="1">IF($A112="S",IF(BM!$I112=0,0,CHOOSE(MATCH(RegimeExecucao,{"Global","Unitário"},0),ROUND(ROUND(BM.MEDAcumulado,15-13*BM!$A$9)/100*BM!$I112,15-13*ORÇAMENTO!$AF$11),ROUND(ROUND(BM.MEDAcumulado,15-13*BM!$A$9)*ROUND(BM!$H112,15-13*ORÇAMENTO!$AF$10),15-13*ORÇAMENTO!$AF$11))),IF($A112=0,0,ROUND(SomaAgrupBM,15-13*ORÇAMENTO!$AF$11)))</f>
        <v>0</v>
      </c>
    </row>
    <row r="113" spans="1:41" ht="25.5" x14ac:dyDescent="0.2">
      <c r="A113" t="str">
        <f ca="1">ORÇAMENTO!C113</f>
        <v>S</v>
      </c>
      <c r="B113">
        <f ca="1">ORÇAMENTO!D113</f>
        <v>0</v>
      </c>
      <c r="C113" s="114" t="str">
        <f t="shared" ca="1" si="8"/>
        <v/>
      </c>
      <c r="D113" s="117" t="str">
        <f ca="1">ORÇAMENTO!O113</f>
        <v>-</v>
      </c>
      <c r="E113" s="163" t="str">
        <f t="shared" ca="1" si="9"/>
        <v>(Código não identificado nas referências)</v>
      </c>
      <c r="F113" s="164" t="str" cm="1">
        <f t="array" aca="1" ref="F113" ca="1">IF(RegimeExecucao="Global","",ORÇAMENTO.Unidade)</f>
        <v/>
      </c>
      <c r="G113" s="122" t="str" cm="1">
        <f t="array" aca="1" ref="G113" ca="1">IF(RegimeExecucao="Global","",ORÇAMENTO!T113)</f>
        <v/>
      </c>
      <c r="H113" s="122" t="str" cm="1">
        <f t="array" aca="1" ref="H113" ca="1">IF(RegimeExecucao="Global","",ORÇAMENTO!W113)</f>
        <v/>
      </c>
      <c r="I113" s="125">
        <f ca="1">ORÇAMENTO!X113</f>
        <v>0</v>
      </c>
      <c r="J113" s="333" cm="1">
        <f t="array" aca="1" ref="J113" ca="1">IF($A113="S",IF(CAIXA.Modo,BM.AFAnterior,BM.MEDAnterior),IF(AND(RegimeExecucao="Global",$I113&gt;0,COUNTIF($AB$13:$AM$13,BM.medicao-1)&gt;0),M113/$I113*100,0))</f>
        <v>0</v>
      </c>
      <c r="K113" s="122">
        <f t="shared" ca="1" si="10"/>
        <v>0</v>
      </c>
      <c r="L113" s="334" cm="1">
        <f t="array" aca="1" ref="L113" ca="1">IF($A113="S",IF(CAIXA.Modo,BM.AFAcumulado,BM.MEDAcumulado),IF(AND(RegimeExecucao="Global",$I113&gt;0,COUNTIF($AB$13:$AM$13,BM.medicao)&gt;0),O113/$I113*100,0))</f>
        <v>0</v>
      </c>
      <c r="M113" s="335" cm="1">
        <f t="array" aca="1" ref="M113" ca="1">IF($A113="S",VTOTALBM,IF($A113=0,0,ROUND(SomaAgrupBM,15-13*ORÇAMENTO!$AF$11)))</f>
        <v>0</v>
      </c>
      <c r="N113" s="336">
        <f t="shared" ca="1" si="11"/>
        <v>0</v>
      </c>
      <c r="O113" s="125" cm="1">
        <f t="array" aca="1" ref="O113" ca="1">IF($A113="S",VTOTALBM,IF($A113=0,0,ROUND(SomaAgrupBM,15-13*ORÇAMENTO!$AF$11)))</f>
        <v>0</v>
      </c>
      <c r="Q113" s="337"/>
      <c r="R113" s="338"/>
      <c r="T113" s="117" t="str">
        <f t="shared" ca="1" si="12"/>
        <v/>
      </c>
      <c r="U113" s="163" t="str">
        <f t="shared" ca="1" si="13"/>
        <v/>
      </c>
      <c r="V113" s="164" t="str" cm="1">
        <f t="array" aca="1" ref="V113" ca="1">IF(AND($W113&gt;0,RegimeExecucao="Unitário"),$F113,"")</f>
        <v/>
      </c>
      <c r="W113" s="454" cm="1">
        <f t="array" aca="1" ref="W113" ca="1">IF($Y113&gt;0,CHOOSE(MATCH(RegimeExecucao,{"Unitário","Global"},0),IF($A113="S",$Y113/$X113,""),($Y113/$X113)*100),0)</f>
        <v>0</v>
      </c>
      <c r="X113" s="339" t="str" cm="1">
        <f t="array" aca="1" ref="X113" ca="1">IF($Y113&gt;0,CHOOSE(MATCH(RegimeExecucao,{"Unitário","Global"},0),IF($A113="S",ROUND($H113,ORÇAMENTO!$AF$10),""),ROUND($I113,ORÇAMENTO!$AF$11)),"")</f>
        <v/>
      </c>
      <c r="Y113" s="339">
        <f t="shared" ca="1" si="14"/>
        <v>0</v>
      </c>
      <c r="Z113" s="473"/>
      <c r="AB113" s="337"/>
      <c r="AC113" s="437"/>
      <c r="AD113" s="437"/>
      <c r="AE113" s="437"/>
      <c r="AF113" s="437"/>
      <c r="AG113" s="437"/>
      <c r="AH113" s="437"/>
      <c r="AI113" s="437"/>
      <c r="AJ113" s="437"/>
      <c r="AK113" s="437"/>
      <c r="AL113" s="437"/>
      <c r="AM113" s="338"/>
      <c r="AO113" cm="1">
        <f t="array" aca="1" ref="AO113" ca="1">IF($A113="S",IF(BM!$I113=0,0,CHOOSE(MATCH(RegimeExecucao,{"Global","Unitário"},0),ROUND(ROUND(BM.MEDAcumulado,15-13*BM!$A$9)/100*BM!$I113,15-13*ORÇAMENTO!$AF$11),ROUND(ROUND(BM.MEDAcumulado,15-13*BM!$A$9)*ROUND(BM!$H113,15-13*ORÇAMENTO!$AF$10),15-13*ORÇAMENTO!$AF$11))),IF($A113=0,0,ROUND(SomaAgrupBM,15-13*ORÇAMENTO!$AF$11)))</f>
        <v>0</v>
      </c>
    </row>
    <row r="114" spans="1:41" x14ac:dyDescent="0.2">
      <c r="A114">
        <f ca="1">ORÇAMENTO!C114</f>
        <v>1</v>
      </c>
      <c r="B114">
        <f ca="1">ORÇAMENTO!D114</f>
        <v>18</v>
      </c>
      <c r="C114" s="114" t="str">
        <f t="shared" ca="1" si="8"/>
        <v>F</v>
      </c>
      <c r="D114" s="117" t="str">
        <f ca="1">ORÇAMENTO!O114</f>
        <v>8.</v>
      </c>
      <c r="E114" s="163" t="str">
        <f t="shared" si="9"/>
        <v>PAVIMENTAÇÕES</v>
      </c>
      <c r="F114" s="164" t="str" cm="1">
        <f t="array" aca="1" ref="F114" ca="1">IF(RegimeExecucao="Global","",ORÇAMENTO.Unidade)</f>
        <v/>
      </c>
      <c r="G114" s="122" t="str" cm="1">
        <f t="array" aca="1" ref="G114" ca="1">IF(RegimeExecucao="Global","",ORÇAMENTO!T114)</f>
        <v/>
      </c>
      <c r="H114" s="122" t="str" cm="1">
        <f t="array" aca="1" ref="H114" ca="1">IF(RegimeExecucao="Global","",ORÇAMENTO!W114)</f>
        <v/>
      </c>
      <c r="I114" s="125">
        <f ca="1">ORÇAMENTO!X114</f>
        <v>0</v>
      </c>
      <c r="J114" s="333" cm="1">
        <f t="array" aca="1" ref="J114" ca="1">IF($A114="S",IF(CAIXA.Modo,BM.AFAnterior,BM.MEDAnterior),IF(AND(RegimeExecucao="Global",$I114&gt;0,COUNTIF($AB$13:$AM$13,BM.medicao-1)&gt;0),M114/$I114*100,0))</f>
        <v>0</v>
      </c>
      <c r="K114" s="122">
        <f t="shared" ca="1" si="10"/>
        <v>0</v>
      </c>
      <c r="L114" s="334" cm="1">
        <f t="array" aca="1" ref="L114" ca="1">IF($A114="S",IF(CAIXA.Modo,BM.AFAcumulado,BM.MEDAcumulado),IF(AND(RegimeExecucao="Global",$I114&gt;0,COUNTIF($AB$13:$AM$13,BM.medicao)&gt;0),O114/$I114*100,0))</f>
        <v>0</v>
      </c>
      <c r="M114" s="335" cm="1">
        <f t="array" aca="1" ref="M114" ca="1">IF($A114="S",VTOTALBM,IF($A114=0,0,ROUND(SomaAgrupBM,15-13*ORÇAMENTO!$AF$11)))</f>
        <v>0</v>
      </c>
      <c r="N114" s="336">
        <f t="shared" ca="1" si="11"/>
        <v>0</v>
      </c>
      <c r="O114" s="125" cm="1">
        <f t="array" aca="1" ref="O114" ca="1">IF($A114="S",VTOTALBM,IF($A114=0,0,ROUND(SomaAgrupBM,15-13*ORÇAMENTO!$AF$11)))</f>
        <v>0</v>
      </c>
      <c r="Q114" s="337"/>
      <c r="R114" s="338"/>
      <c r="T114" s="117" t="str">
        <f t="shared" ca="1" si="12"/>
        <v/>
      </c>
      <c r="U114" s="163" t="str">
        <f t="shared" ca="1" si="13"/>
        <v/>
      </c>
      <c r="V114" s="164" t="str" cm="1">
        <f t="array" aca="1" ref="V114" ca="1">IF(AND($W114&gt;0,RegimeExecucao="Unitário"),$F114,"")</f>
        <v/>
      </c>
      <c r="W114" s="454" cm="1">
        <f t="array" aca="1" ref="W114" ca="1">IF($Y114&gt;0,CHOOSE(MATCH(RegimeExecucao,{"Unitário","Global"},0),IF($A114="S",$Y114/$X114,""),($Y114/$X114)*100),0)</f>
        <v>0</v>
      </c>
      <c r="X114" s="339" t="str" cm="1">
        <f t="array" aca="1" ref="X114" ca="1">IF($Y114&gt;0,CHOOSE(MATCH(RegimeExecucao,{"Unitário","Global"},0),IF($A114="S",ROUND($H114,ORÇAMENTO!$AF$10),""),ROUND($I114,ORÇAMENTO!$AF$11)),"")</f>
        <v/>
      </c>
      <c r="Y114" s="339">
        <f t="shared" ca="1" si="14"/>
        <v>0</v>
      </c>
      <c r="Z114" s="473"/>
      <c r="AB114" s="337"/>
      <c r="AC114" s="437"/>
      <c r="AD114" s="437"/>
      <c r="AE114" s="437"/>
      <c r="AF114" s="437"/>
      <c r="AG114" s="437"/>
      <c r="AH114" s="437"/>
      <c r="AI114" s="437"/>
      <c r="AJ114" s="437"/>
      <c r="AK114" s="437"/>
      <c r="AL114" s="437"/>
      <c r="AM114" s="338"/>
      <c r="AO114" cm="1">
        <f t="array" aca="1" ref="AO114" ca="1">IF($A114="S",IF(BM!$I114=0,0,CHOOSE(MATCH(RegimeExecucao,{"Global","Unitário"},0),ROUND(ROUND(BM.MEDAcumulado,15-13*BM!$A$9)/100*BM!$I114,15-13*ORÇAMENTO!$AF$11),ROUND(ROUND(BM.MEDAcumulado,15-13*BM!$A$9)*ROUND(BM!$H114,15-13*ORÇAMENTO!$AF$10),15-13*ORÇAMENTO!$AF$11))),IF($A114=0,0,ROUND(SomaAgrupBM,15-13*ORÇAMENTO!$AF$11)))</f>
        <v>0</v>
      </c>
    </row>
    <row r="115" spans="1:41" x14ac:dyDescent="0.2">
      <c r="A115">
        <f ca="1">ORÇAMENTO!C115</f>
        <v>2</v>
      </c>
      <c r="B115">
        <f ca="1">ORÇAMENTO!D115</f>
        <v>10</v>
      </c>
      <c r="C115" s="114" t="str">
        <f t="shared" ca="1" si="8"/>
        <v>F</v>
      </c>
      <c r="D115" s="117" t="str">
        <f ca="1">ORÇAMENTO!O115</f>
        <v>8.1.</v>
      </c>
      <c r="E115" s="163" t="str">
        <f t="shared" si="9"/>
        <v>PISO CERÂMICO</v>
      </c>
      <c r="F115" s="164" t="str" cm="1">
        <f t="array" aca="1" ref="F115" ca="1">IF(RegimeExecucao="Global","",ORÇAMENTO.Unidade)</f>
        <v/>
      </c>
      <c r="G115" s="122" t="str" cm="1">
        <f t="array" aca="1" ref="G115" ca="1">IF(RegimeExecucao="Global","",ORÇAMENTO!T115)</f>
        <v/>
      </c>
      <c r="H115" s="122" t="str" cm="1">
        <f t="array" aca="1" ref="H115" ca="1">IF(RegimeExecucao="Global","",ORÇAMENTO!W115)</f>
        <v/>
      </c>
      <c r="I115" s="125">
        <f ca="1">ORÇAMENTO!X115</f>
        <v>0</v>
      </c>
      <c r="J115" s="333" cm="1">
        <f t="array" aca="1" ref="J115" ca="1">IF($A115="S",IF(CAIXA.Modo,BM.AFAnterior,BM.MEDAnterior),IF(AND(RegimeExecucao="Global",$I115&gt;0,COUNTIF($AB$13:$AM$13,BM.medicao-1)&gt;0),M115/$I115*100,0))</f>
        <v>0</v>
      </c>
      <c r="K115" s="122">
        <f t="shared" ca="1" si="10"/>
        <v>0</v>
      </c>
      <c r="L115" s="334" cm="1">
        <f t="array" aca="1" ref="L115" ca="1">IF($A115="S",IF(CAIXA.Modo,BM.AFAcumulado,BM.MEDAcumulado),IF(AND(RegimeExecucao="Global",$I115&gt;0,COUNTIF($AB$13:$AM$13,BM.medicao)&gt;0),O115/$I115*100,0))</f>
        <v>0</v>
      </c>
      <c r="M115" s="335" cm="1">
        <f t="array" aca="1" ref="M115" ca="1">IF($A115="S",VTOTALBM,IF($A115=0,0,ROUND(SomaAgrupBM,15-13*ORÇAMENTO!$AF$11)))</f>
        <v>0</v>
      </c>
      <c r="N115" s="336">
        <f t="shared" ca="1" si="11"/>
        <v>0</v>
      </c>
      <c r="O115" s="125" cm="1">
        <f t="array" aca="1" ref="O115" ca="1">IF($A115="S",VTOTALBM,IF($A115=0,0,ROUND(SomaAgrupBM,15-13*ORÇAMENTO!$AF$11)))</f>
        <v>0</v>
      </c>
      <c r="Q115" s="337"/>
      <c r="R115" s="338"/>
      <c r="T115" s="117" t="str">
        <f t="shared" ca="1" si="12"/>
        <v/>
      </c>
      <c r="U115" s="163" t="str">
        <f t="shared" ca="1" si="13"/>
        <v/>
      </c>
      <c r="V115" s="164" t="str" cm="1">
        <f t="array" aca="1" ref="V115" ca="1">IF(AND($W115&gt;0,RegimeExecucao="Unitário"),$F115,"")</f>
        <v/>
      </c>
      <c r="W115" s="454" cm="1">
        <f t="array" aca="1" ref="W115" ca="1">IF($Y115&gt;0,CHOOSE(MATCH(RegimeExecucao,{"Unitário","Global"},0),IF($A115="S",$Y115/$X115,""),($Y115/$X115)*100),0)</f>
        <v>0</v>
      </c>
      <c r="X115" s="339" t="str" cm="1">
        <f t="array" aca="1" ref="X115" ca="1">IF($Y115&gt;0,CHOOSE(MATCH(RegimeExecucao,{"Unitário","Global"},0),IF($A115="S",ROUND($H115,ORÇAMENTO!$AF$10),""),ROUND($I115,ORÇAMENTO!$AF$11)),"")</f>
        <v/>
      </c>
      <c r="Y115" s="339">
        <f t="shared" ca="1" si="14"/>
        <v>0</v>
      </c>
      <c r="Z115" s="473"/>
      <c r="AB115" s="337"/>
      <c r="AC115" s="437"/>
      <c r="AD115" s="437"/>
      <c r="AE115" s="437"/>
      <c r="AF115" s="437"/>
      <c r="AG115" s="437"/>
      <c r="AH115" s="437"/>
      <c r="AI115" s="437"/>
      <c r="AJ115" s="437"/>
      <c r="AK115" s="437"/>
      <c r="AL115" s="437"/>
      <c r="AM115" s="338"/>
      <c r="AO115" cm="1">
        <f t="array" aca="1" ref="AO115" ca="1">IF($A115="S",IF(BM!$I115=0,0,CHOOSE(MATCH(RegimeExecucao,{"Global","Unitário"},0),ROUND(ROUND(BM.MEDAcumulado,15-13*BM!$A$9)/100*BM!$I115,15-13*ORÇAMENTO!$AF$11),ROUND(ROUND(BM.MEDAcumulado,15-13*BM!$A$9)*ROUND(BM!$H115,15-13*ORÇAMENTO!$AF$10),15-13*ORÇAMENTO!$AF$11))),IF($A115=0,0,ROUND(SomaAgrupBM,15-13*ORÇAMENTO!$AF$11)))</f>
        <v>0</v>
      </c>
    </row>
    <row r="116" spans="1:41" ht="38.25" x14ac:dyDescent="0.2">
      <c r="A116" t="str">
        <f ca="1">ORÇAMENTO!C116</f>
        <v>S</v>
      </c>
      <c r="B116">
        <f ca="1">ORÇAMENTO!D116</f>
        <v>0</v>
      </c>
      <c r="C116" s="114" t="str">
        <f t="shared" ca="1" si="8"/>
        <v/>
      </c>
      <c r="D116" s="117" t="str">
        <f ca="1">ORÇAMENTO!O116</f>
        <v>-</v>
      </c>
      <c r="E116" s="163" t="str">
        <f t="shared" ca="1" si="9"/>
        <v>(Código não identificado nas referências)</v>
      </c>
      <c r="F116" s="164" t="str" cm="1">
        <f t="array" aca="1" ref="F116" ca="1">IF(RegimeExecucao="Global","",ORÇAMENTO.Unidade)</f>
        <v/>
      </c>
      <c r="G116" s="122" t="str" cm="1">
        <f t="array" aca="1" ref="G116" ca="1">IF(RegimeExecucao="Global","",ORÇAMENTO!T116)</f>
        <v/>
      </c>
      <c r="H116" s="122" t="str" cm="1">
        <f t="array" aca="1" ref="H116" ca="1">IF(RegimeExecucao="Global","",ORÇAMENTO!W116)</f>
        <v/>
      </c>
      <c r="I116" s="125">
        <f ca="1">ORÇAMENTO!X116</f>
        <v>0</v>
      </c>
      <c r="J116" s="333" cm="1">
        <f t="array" aca="1" ref="J116" ca="1">IF($A116="S",IF(CAIXA.Modo,BM.AFAnterior,BM.MEDAnterior),IF(AND(RegimeExecucao="Global",$I116&gt;0,COUNTIF($AB$13:$AM$13,BM.medicao-1)&gt;0),M116/$I116*100,0))</f>
        <v>0</v>
      </c>
      <c r="K116" s="122">
        <f t="shared" ca="1" si="10"/>
        <v>0</v>
      </c>
      <c r="L116" s="334" cm="1">
        <f t="array" aca="1" ref="L116" ca="1">IF($A116="S",IF(CAIXA.Modo,BM.AFAcumulado,BM.MEDAcumulado),IF(AND(RegimeExecucao="Global",$I116&gt;0,COUNTIF($AB$13:$AM$13,BM.medicao)&gt;0),O116/$I116*100,0))</f>
        <v>0</v>
      </c>
      <c r="M116" s="335" cm="1">
        <f t="array" aca="1" ref="M116" ca="1">IF($A116="S",VTOTALBM,IF($A116=0,0,ROUND(SomaAgrupBM,15-13*ORÇAMENTO!$AF$11)))</f>
        <v>0</v>
      </c>
      <c r="N116" s="336">
        <f t="shared" ca="1" si="11"/>
        <v>0</v>
      </c>
      <c r="O116" s="125" cm="1">
        <f t="array" aca="1" ref="O116" ca="1">IF($A116="S",VTOTALBM,IF($A116=0,0,ROUND(SomaAgrupBM,15-13*ORÇAMENTO!$AF$11)))</f>
        <v>0</v>
      </c>
      <c r="Q116" s="337"/>
      <c r="R116" s="338"/>
      <c r="T116" s="117" t="str">
        <f t="shared" ca="1" si="12"/>
        <v/>
      </c>
      <c r="U116" s="163" t="str">
        <f t="shared" ca="1" si="13"/>
        <v/>
      </c>
      <c r="V116" s="164" t="str" cm="1">
        <f t="array" aca="1" ref="V116" ca="1">IF(AND($W116&gt;0,RegimeExecucao="Unitário"),$F116,"")</f>
        <v/>
      </c>
      <c r="W116" s="454" cm="1">
        <f t="array" aca="1" ref="W116" ca="1">IF($Y116&gt;0,CHOOSE(MATCH(RegimeExecucao,{"Unitário","Global"},0),IF($A116="S",$Y116/$X116,""),($Y116/$X116)*100),0)</f>
        <v>0</v>
      </c>
      <c r="X116" s="339" t="str" cm="1">
        <f t="array" aca="1" ref="X116" ca="1">IF($Y116&gt;0,CHOOSE(MATCH(RegimeExecucao,{"Unitário","Global"},0),IF($A116="S",ROUND($H116,ORÇAMENTO!$AF$10),""),ROUND($I116,ORÇAMENTO!$AF$11)),"")</f>
        <v/>
      </c>
      <c r="Y116" s="339">
        <f t="shared" ca="1" si="14"/>
        <v>0</v>
      </c>
      <c r="Z116" s="473"/>
      <c r="AB116" s="337"/>
      <c r="AC116" s="437"/>
      <c r="AD116" s="437"/>
      <c r="AE116" s="437"/>
      <c r="AF116" s="437"/>
      <c r="AG116" s="437"/>
      <c r="AH116" s="437"/>
      <c r="AI116" s="437"/>
      <c r="AJ116" s="437"/>
      <c r="AK116" s="437"/>
      <c r="AL116" s="437"/>
      <c r="AM116" s="338"/>
      <c r="AO116" cm="1">
        <f t="array" aca="1" ref="AO116" ca="1">IF($A116="S",IF(BM!$I116=0,0,CHOOSE(MATCH(RegimeExecucao,{"Global","Unitário"},0),ROUND(ROUND(BM.MEDAcumulado,15-13*BM!$A$9)/100*BM!$I116,15-13*ORÇAMENTO!$AF$11),ROUND(ROUND(BM.MEDAcumulado,15-13*BM!$A$9)*ROUND(BM!$H116,15-13*ORÇAMENTO!$AF$10),15-13*ORÇAMENTO!$AF$11))),IF($A116=0,0,ROUND(SomaAgrupBM,15-13*ORÇAMENTO!$AF$11)))</f>
        <v>0</v>
      </c>
    </row>
    <row r="117" spans="1:41" ht="38.25" x14ac:dyDescent="0.2">
      <c r="A117" t="str">
        <f ca="1">ORÇAMENTO!C117</f>
        <v>S</v>
      </c>
      <c r="B117">
        <f ca="1">ORÇAMENTO!D117</f>
        <v>0</v>
      </c>
      <c r="C117" s="114" t="str">
        <f t="shared" ca="1" si="8"/>
        <v/>
      </c>
      <c r="D117" s="117" t="str">
        <f ca="1">ORÇAMENTO!O117</f>
        <v>-</v>
      </c>
      <c r="E117" s="163" t="str">
        <f t="shared" ref="E117:E148" ca="1" si="15">ORÇAMENTO.Descricao</f>
        <v>(Código não identificado nas referências)</v>
      </c>
      <c r="F117" s="164" t="str" cm="1">
        <f t="array" aca="1" ref="F117" ca="1">IF(RegimeExecucao="Global","",ORÇAMENTO.Unidade)</f>
        <v/>
      </c>
      <c r="G117" s="122" t="str" cm="1">
        <f t="array" aca="1" ref="G117" ca="1">IF(RegimeExecucao="Global","",ORÇAMENTO!T117)</f>
        <v/>
      </c>
      <c r="H117" s="122" t="str" cm="1">
        <f t="array" aca="1" ref="H117" ca="1">IF(RegimeExecucao="Global","",ORÇAMENTO!W117)</f>
        <v/>
      </c>
      <c r="I117" s="125">
        <f ca="1">ORÇAMENTO!X117</f>
        <v>0</v>
      </c>
      <c r="J117" s="333" cm="1">
        <f t="array" aca="1" ref="J117" ca="1">IF($A117="S",IF(CAIXA.Modo,BM.AFAnterior,BM.MEDAnterior),IF(AND(RegimeExecucao="Global",$I117&gt;0,COUNTIF($AB$13:$AM$13,BM.medicao-1)&gt;0),M117/$I117*100,0))</f>
        <v>0</v>
      </c>
      <c r="K117" s="122">
        <f t="shared" ca="1" si="10"/>
        <v>0</v>
      </c>
      <c r="L117" s="334" cm="1">
        <f t="array" aca="1" ref="L117" ca="1">IF($A117="S",IF(CAIXA.Modo,BM.AFAcumulado,BM.MEDAcumulado),IF(AND(RegimeExecucao="Global",$I117&gt;0,COUNTIF($AB$13:$AM$13,BM.medicao)&gt;0),O117/$I117*100,0))</f>
        <v>0</v>
      </c>
      <c r="M117" s="335" cm="1">
        <f t="array" aca="1" ref="M117" ca="1">IF($A117="S",VTOTALBM,IF($A117=0,0,ROUND(SomaAgrupBM,15-13*ORÇAMENTO!$AF$11)))</f>
        <v>0</v>
      </c>
      <c r="N117" s="336">
        <f t="shared" ca="1" si="11"/>
        <v>0</v>
      </c>
      <c r="O117" s="125" cm="1">
        <f t="array" aca="1" ref="O117" ca="1">IF($A117="S",VTOTALBM,IF($A117=0,0,ROUND(SomaAgrupBM,15-13*ORÇAMENTO!$AF$11)))</f>
        <v>0</v>
      </c>
      <c r="Q117" s="337"/>
      <c r="R117" s="338"/>
      <c r="T117" s="117" t="str">
        <f t="shared" ca="1" si="12"/>
        <v/>
      </c>
      <c r="U117" s="163" t="str">
        <f t="shared" ca="1" si="13"/>
        <v/>
      </c>
      <c r="V117" s="164" t="str" cm="1">
        <f t="array" aca="1" ref="V117" ca="1">IF(AND($W117&gt;0,RegimeExecucao="Unitário"),$F117,"")</f>
        <v/>
      </c>
      <c r="W117" s="454" cm="1">
        <f t="array" aca="1" ref="W117" ca="1">IF($Y117&gt;0,CHOOSE(MATCH(RegimeExecucao,{"Unitário","Global"},0),IF($A117="S",$Y117/$X117,""),($Y117/$X117)*100),0)</f>
        <v>0</v>
      </c>
      <c r="X117" s="339" t="str" cm="1">
        <f t="array" aca="1" ref="X117" ca="1">IF($Y117&gt;0,CHOOSE(MATCH(RegimeExecucao,{"Unitário","Global"},0),IF($A117="S",ROUND($H117,ORÇAMENTO!$AF$10),""),ROUND($I117,ORÇAMENTO!$AF$11)),"")</f>
        <v/>
      </c>
      <c r="Y117" s="339">
        <f t="shared" ca="1" si="14"/>
        <v>0</v>
      </c>
      <c r="Z117" s="473"/>
      <c r="AB117" s="337"/>
      <c r="AC117" s="437"/>
      <c r="AD117" s="437"/>
      <c r="AE117" s="437"/>
      <c r="AF117" s="437"/>
      <c r="AG117" s="437"/>
      <c r="AH117" s="437"/>
      <c r="AI117" s="437"/>
      <c r="AJ117" s="437"/>
      <c r="AK117" s="437"/>
      <c r="AL117" s="437"/>
      <c r="AM117" s="338"/>
      <c r="AO117" cm="1">
        <f t="array" aca="1" ref="AO117" ca="1">IF($A117="S",IF(BM!$I117=0,0,CHOOSE(MATCH(RegimeExecucao,{"Global","Unitário"},0),ROUND(ROUND(BM.MEDAcumulado,15-13*BM!$A$9)/100*BM!$I117,15-13*ORÇAMENTO!$AF$11),ROUND(ROUND(BM.MEDAcumulado,15-13*BM!$A$9)*ROUND(BM!$H117,15-13*ORÇAMENTO!$AF$10),15-13*ORÇAMENTO!$AF$11))),IF($A117=0,0,ROUND(SomaAgrupBM,15-13*ORÇAMENTO!$AF$11)))</f>
        <v>0</v>
      </c>
    </row>
    <row r="118" spans="1:41" ht="25.5" x14ac:dyDescent="0.2">
      <c r="A118" t="str">
        <f ca="1">ORÇAMENTO!C118</f>
        <v>S</v>
      </c>
      <c r="B118">
        <f ca="1">ORÇAMENTO!D118</f>
        <v>0</v>
      </c>
      <c r="C118" s="114" t="str">
        <f t="shared" ca="1" si="8"/>
        <v/>
      </c>
      <c r="D118" s="117" t="str">
        <f ca="1">ORÇAMENTO!O118</f>
        <v>-</v>
      </c>
      <c r="E118" s="163" t="str">
        <f t="shared" ca="1" si="15"/>
        <v>(Código não identificado nas referências)</v>
      </c>
      <c r="F118" s="164" t="str" cm="1">
        <f t="array" aca="1" ref="F118" ca="1">IF(RegimeExecucao="Global","",ORÇAMENTO.Unidade)</f>
        <v/>
      </c>
      <c r="G118" s="122" t="str" cm="1">
        <f t="array" aca="1" ref="G118" ca="1">IF(RegimeExecucao="Global","",ORÇAMENTO!T118)</f>
        <v/>
      </c>
      <c r="H118" s="122" t="str" cm="1">
        <f t="array" aca="1" ref="H118" ca="1">IF(RegimeExecucao="Global","",ORÇAMENTO!W118)</f>
        <v/>
      </c>
      <c r="I118" s="125">
        <f ca="1">ORÇAMENTO!X118</f>
        <v>0</v>
      </c>
      <c r="J118" s="333" cm="1">
        <f t="array" aca="1" ref="J118" ca="1">IF($A118="S",IF(CAIXA.Modo,BM.AFAnterior,BM.MEDAnterior),IF(AND(RegimeExecucao="Global",$I118&gt;0,COUNTIF($AB$13:$AM$13,BM.medicao-1)&gt;0),M118/$I118*100,0))</f>
        <v>0</v>
      </c>
      <c r="K118" s="122">
        <f t="shared" ca="1" si="10"/>
        <v>0</v>
      </c>
      <c r="L118" s="334" cm="1">
        <f t="array" aca="1" ref="L118" ca="1">IF($A118="S",IF(CAIXA.Modo,BM.AFAcumulado,BM.MEDAcumulado),IF(AND(RegimeExecucao="Global",$I118&gt;0,COUNTIF($AB$13:$AM$13,BM.medicao)&gt;0),O118/$I118*100,0))</f>
        <v>0</v>
      </c>
      <c r="M118" s="335" cm="1">
        <f t="array" aca="1" ref="M118" ca="1">IF($A118="S",VTOTALBM,IF($A118=0,0,ROUND(SomaAgrupBM,15-13*ORÇAMENTO!$AF$11)))</f>
        <v>0</v>
      </c>
      <c r="N118" s="336">
        <f t="shared" ca="1" si="11"/>
        <v>0</v>
      </c>
      <c r="O118" s="125" cm="1">
        <f t="array" aca="1" ref="O118" ca="1">IF($A118="S",VTOTALBM,IF($A118=0,0,ROUND(SomaAgrupBM,15-13*ORÇAMENTO!$AF$11)))</f>
        <v>0</v>
      </c>
      <c r="Q118" s="337"/>
      <c r="R118" s="338"/>
      <c r="T118" s="117" t="str">
        <f t="shared" ca="1" si="12"/>
        <v/>
      </c>
      <c r="U118" s="163" t="str">
        <f t="shared" ca="1" si="13"/>
        <v/>
      </c>
      <c r="V118" s="164" t="str" cm="1">
        <f t="array" aca="1" ref="V118" ca="1">IF(AND($W118&gt;0,RegimeExecucao="Unitário"),$F118,"")</f>
        <v/>
      </c>
      <c r="W118" s="454" cm="1">
        <f t="array" aca="1" ref="W118" ca="1">IF($Y118&gt;0,CHOOSE(MATCH(RegimeExecucao,{"Unitário","Global"},0),IF($A118="S",$Y118/$X118,""),($Y118/$X118)*100),0)</f>
        <v>0</v>
      </c>
      <c r="X118" s="339" t="str" cm="1">
        <f t="array" aca="1" ref="X118" ca="1">IF($Y118&gt;0,CHOOSE(MATCH(RegimeExecucao,{"Unitário","Global"},0),IF($A118="S",ROUND($H118,ORÇAMENTO!$AF$10),""),ROUND($I118,ORÇAMENTO!$AF$11)),"")</f>
        <v/>
      </c>
      <c r="Y118" s="339">
        <f t="shared" ca="1" si="14"/>
        <v>0</v>
      </c>
      <c r="Z118" s="473"/>
      <c r="AB118" s="337"/>
      <c r="AC118" s="437"/>
      <c r="AD118" s="437"/>
      <c r="AE118" s="437"/>
      <c r="AF118" s="437"/>
      <c r="AG118" s="437"/>
      <c r="AH118" s="437"/>
      <c r="AI118" s="437"/>
      <c r="AJ118" s="437"/>
      <c r="AK118" s="437"/>
      <c r="AL118" s="437"/>
      <c r="AM118" s="338"/>
      <c r="AO118" cm="1">
        <f t="array" aca="1" ref="AO118" ca="1">IF($A118="S",IF(BM!$I118=0,0,CHOOSE(MATCH(RegimeExecucao,{"Global","Unitário"},0),ROUND(ROUND(BM.MEDAcumulado,15-13*BM!$A$9)/100*BM!$I118,15-13*ORÇAMENTO!$AF$11),ROUND(ROUND(BM.MEDAcumulado,15-13*BM!$A$9)*ROUND(BM!$H118,15-13*ORÇAMENTO!$AF$10),15-13*ORÇAMENTO!$AF$11))),IF($A118=0,0,ROUND(SomaAgrupBM,15-13*ORÇAMENTO!$AF$11)))</f>
        <v>0</v>
      </c>
    </row>
    <row r="119" spans="1:41" ht="25.5" x14ac:dyDescent="0.2">
      <c r="A119" t="str">
        <f ca="1">ORÇAMENTO!C119</f>
        <v>S</v>
      </c>
      <c r="B119">
        <f ca="1">ORÇAMENTO!D119</f>
        <v>0</v>
      </c>
      <c r="C119" s="114" t="str">
        <f t="shared" ca="1" si="8"/>
        <v/>
      </c>
      <c r="D119" s="117" t="str">
        <f ca="1">ORÇAMENTO!O119</f>
        <v>-</v>
      </c>
      <c r="E119" s="163" t="str">
        <f t="shared" ca="1" si="15"/>
        <v>(Código não identificado nas referências)</v>
      </c>
      <c r="F119" s="164" t="str" cm="1">
        <f t="array" aca="1" ref="F119" ca="1">IF(RegimeExecucao="Global","",ORÇAMENTO.Unidade)</f>
        <v/>
      </c>
      <c r="G119" s="122" t="str" cm="1">
        <f t="array" aca="1" ref="G119" ca="1">IF(RegimeExecucao="Global","",ORÇAMENTO!T119)</f>
        <v/>
      </c>
      <c r="H119" s="122" t="str" cm="1">
        <f t="array" aca="1" ref="H119" ca="1">IF(RegimeExecucao="Global","",ORÇAMENTO!W119)</f>
        <v/>
      </c>
      <c r="I119" s="125">
        <f ca="1">ORÇAMENTO!X119</f>
        <v>0</v>
      </c>
      <c r="J119" s="333" cm="1">
        <f t="array" aca="1" ref="J119" ca="1">IF($A119="S",IF(CAIXA.Modo,BM.AFAnterior,BM.MEDAnterior),IF(AND(RegimeExecucao="Global",$I119&gt;0,COUNTIF($AB$13:$AM$13,BM.medicao-1)&gt;0),M119/$I119*100,0))</f>
        <v>0</v>
      </c>
      <c r="K119" s="122">
        <f t="shared" ca="1" si="10"/>
        <v>0</v>
      </c>
      <c r="L119" s="334" cm="1">
        <f t="array" aca="1" ref="L119" ca="1">IF($A119="S",IF(CAIXA.Modo,BM.AFAcumulado,BM.MEDAcumulado),IF(AND(RegimeExecucao="Global",$I119&gt;0,COUNTIF($AB$13:$AM$13,BM.medicao)&gt;0),O119/$I119*100,0))</f>
        <v>0</v>
      </c>
      <c r="M119" s="335" cm="1">
        <f t="array" aca="1" ref="M119" ca="1">IF($A119="S",VTOTALBM,IF($A119=0,0,ROUND(SomaAgrupBM,15-13*ORÇAMENTO!$AF$11)))</f>
        <v>0</v>
      </c>
      <c r="N119" s="336">
        <f t="shared" ca="1" si="11"/>
        <v>0</v>
      </c>
      <c r="O119" s="125" cm="1">
        <f t="array" aca="1" ref="O119" ca="1">IF($A119="S",VTOTALBM,IF($A119=0,0,ROUND(SomaAgrupBM,15-13*ORÇAMENTO!$AF$11)))</f>
        <v>0</v>
      </c>
      <c r="Q119" s="337"/>
      <c r="R119" s="338"/>
      <c r="T119" s="117" t="str">
        <f t="shared" ca="1" si="12"/>
        <v/>
      </c>
      <c r="U119" s="163" t="str">
        <f t="shared" ca="1" si="13"/>
        <v/>
      </c>
      <c r="V119" s="164" t="str" cm="1">
        <f t="array" aca="1" ref="V119" ca="1">IF(AND($W119&gt;0,RegimeExecucao="Unitário"),$F119,"")</f>
        <v/>
      </c>
      <c r="W119" s="454" cm="1">
        <f t="array" aca="1" ref="W119" ca="1">IF($Y119&gt;0,CHOOSE(MATCH(RegimeExecucao,{"Unitário","Global"},0),IF($A119="S",$Y119/$X119,""),($Y119/$X119)*100),0)</f>
        <v>0</v>
      </c>
      <c r="X119" s="339" t="str" cm="1">
        <f t="array" aca="1" ref="X119" ca="1">IF($Y119&gt;0,CHOOSE(MATCH(RegimeExecucao,{"Unitário","Global"},0),IF($A119="S",ROUND($H119,ORÇAMENTO!$AF$10),""),ROUND($I119,ORÇAMENTO!$AF$11)),"")</f>
        <v/>
      </c>
      <c r="Y119" s="339">
        <f t="shared" ca="1" si="14"/>
        <v>0</v>
      </c>
      <c r="Z119" s="473"/>
      <c r="AB119" s="337"/>
      <c r="AC119" s="437"/>
      <c r="AD119" s="437"/>
      <c r="AE119" s="437"/>
      <c r="AF119" s="437"/>
      <c r="AG119" s="437"/>
      <c r="AH119" s="437"/>
      <c r="AI119" s="437"/>
      <c r="AJ119" s="437"/>
      <c r="AK119" s="437"/>
      <c r="AL119" s="437"/>
      <c r="AM119" s="338"/>
      <c r="AO119" cm="1">
        <f t="array" aca="1" ref="AO119" ca="1">IF($A119="S",IF(BM!$I119=0,0,CHOOSE(MATCH(RegimeExecucao,{"Global","Unitário"},0),ROUND(ROUND(BM.MEDAcumulado,15-13*BM!$A$9)/100*BM!$I119,15-13*ORÇAMENTO!$AF$11),ROUND(ROUND(BM.MEDAcumulado,15-13*BM!$A$9)*ROUND(BM!$H119,15-13*ORÇAMENTO!$AF$10),15-13*ORÇAMENTO!$AF$11))),IF($A119=0,0,ROUND(SomaAgrupBM,15-13*ORÇAMENTO!$AF$11)))</f>
        <v>0</v>
      </c>
    </row>
    <row r="120" spans="1:41" ht="51" x14ac:dyDescent="0.2">
      <c r="A120" t="str">
        <f ca="1">ORÇAMENTO!C120</f>
        <v>S</v>
      </c>
      <c r="B120">
        <f ca="1">ORÇAMENTO!D120</f>
        <v>0</v>
      </c>
      <c r="C120" s="114" t="str">
        <f t="shared" ca="1" si="8"/>
        <v/>
      </c>
      <c r="D120" s="117" t="str">
        <f ca="1">ORÇAMENTO!O120</f>
        <v>-</v>
      </c>
      <c r="E120" s="163" t="str">
        <f t="shared" ca="1" si="15"/>
        <v>(Código não identificado nas referências)</v>
      </c>
      <c r="F120" s="164" t="str" cm="1">
        <f t="array" aca="1" ref="F120" ca="1">IF(RegimeExecucao="Global","",ORÇAMENTO.Unidade)</f>
        <v/>
      </c>
      <c r="G120" s="122" t="str" cm="1">
        <f t="array" aca="1" ref="G120" ca="1">IF(RegimeExecucao="Global","",ORÇAMENTO!T120)</f>
        <v/>
      </c>
      <c r="H120" s="122" t="str" cm="1">
        <f t="array" aca="1" ref="H120" ca="1">IF(RegimeExecucao="Global","",ORÇAMENTO!W120)</f>
        <v/>
      </c>
      <c r="I120" s="125">
        <f ca="1">ORÇAMENTO!X120</f>
        <v>0</v>
      </c>
      <c r="J120" s="333" cm="1">
        <f t="array" aca="1" ref="J120" ca="1">IF($A120="S",IF(CAIXA.Modo,BM.AFAnterior,BM.MEDAnterior),IF(AND(RegimeExecucao="Global",$I120&gt;0,COUNTIF($AB$13:$AM$13,BM.medicao-1)&gt;0),M120/$I120*100,0))</f>
        <v>0</v>
      </c>
      <c r="K120" s="122">
        <f t="shared" ca="1" si="10"/>
        <v>0</v>
      </c>
      <c r="L120" s="334" cm="1">
        <f t="array" aca="1" ref="L120" ca="1">IF($A120="S",IF(CAIXA.Modo,BM.AFAcumulado,BM.MEDAcumulado),IF(AND(RegimeExecucao="Global",$I120&gt;0,COUNTIF($AB$13:$AM$13,BM.medicao)&gt;0),O120/$I120*100,0))</f>
        <v>0</v>
      </c>
      <c r="M120" s="335" cm="1">
        <f t="array" aca="1" ref="M120" ca="1">IF($A120="S",VTOTALBM,IF($A120=0,0,ROUND(SomaAgrupBM,15-13*ORÇAMENTO!$AF$11)))</f>
        <v>0</v>
      </c>
      <c r="N120" s="336">
        <f t="shared" ca="1" si="11"/>
        <v>0</v>
      </c>
      <c r="O120" s="125" cm="1">
        <f t="array" aca="1" ref="O120" ca="1">IF($A120="S",VTOTALBM,IF($A120=0,0,ROUND(SomaAgrupBM,15-13*ORÇAMENTO!$AF$11)))</f>
        <v>0</v>
      </c>
      <c r="Q120" s="337"/>
      <c r="R120" s="338"/>
      <c r="T120" s="117" t="str">
        <f t="shared" ca="1" si="12"/>
        <v/>
      </c>
      <c r="U120" s="163" t="str">
        <f t="shared" ca="1" si="13"/>
        <v/>
      </c>
      <c r="V120" s="164" t="str" cm="1">
        <f t="array" aca="1" ref="V120" ca="1">IF(AND($W120&gt;0,RegimeExecucao="Unitário"),$F120,"")</f>
        <v/>
      </c>
      <c r="W120" s="454" cm="1">
        <f t="array" aca="1" ref="W120" ca="1">IF($Y120&gt;0,CHOOSE(MATCH(RegimeExecucao,{"Unitário","Global"},0),IF($A120="S",$Y120/$X120,""),($Y120/$X120)*100),0)</f>
        <v>0</v>
      </c>
      <c r="X120" s="339" t="str" cm="1">
        <f t="array" aca="1" ref="X120" ca="1">IF($Y120&gt;0,CHOOSE(MATCH(RegimeExecucao,{"Unitário","Global"},0),IF($A120="S",ROUND($H120,ORÇAMENTO!$AF$10),""),ROUND($I120,ORÇAMENTO!$AF$11)),"")</f>
        <v/>
      </c>
      <c r="Y120" s="339">
        <f t="shared" ca="1" si="14"/>
        <v>0</v>
      </c>
      <c r="Z120" s="473"/>
      <c r="AB120" s="337"/>
      <c r="AC120" s="437"/>
      <c r="AD120" s="437"/>
      <c r="AE120" s="437"/>
      <c r="AF120" s="437"/>
      <c r="AG120" s="437"/>
      <c r="AH120" s="437"/>
      <c r="AI120" s="437"/>
      <c r="AJ120" s="437"/>
      <c r="AK120" s="437"/>
      <c r="AL120" s="437"/>
      <c r="AM120" s="338"/>
      <c r="AO120" cm="1">
        <f t="array" aca="1" ref="AO120" ca="1">IF($A120="S",IF(BM!$I120=0,0,CHOOSE(MATCH(RegimeExecucao,{"Global","Unitário"},0),ROUND(ROUND(BM.MEDAcumulado,15-13*BM!$A$9)/100*BM!$I120,15-13*ORÇAMENTO!$AF$11),ROUND(ROUND(BM.MEDAcumulado,15-13*BM!$A$9)*ROUND(BM!$H120,15-13*ORÇAMENTO!$AF$10),15-13*ORÇAMENTO!$AF$11))),IF($A120=0,0,ROUND(SomaAgrupBM,15-13*ORÇAMENTO!$AF$11)))</f>
        <v>0</v>
      </c>
    </row>
    <row r="121" spans="1:41" ht="51" x14ac:dyDescent="0.2">
      <c r="A121" t="str">
        <f ca="1">ORÇAMENTO!C121</f>
        <v>S</v>
      </c>
      <c r="B121">
        <f ca="1">ORÇAMENTO!D121</f>
        <v>0</v>
      </c>
      <c r="C121" s="114" t="str">
        <f t="shared" ca="1" si="8"/>
        <v/>
      </c>
      <c r="D121" s="117" t="str">
        <f ca="1">ORÇAMENTO!O121</f>
        <v>-</v>
      </c>
      <c r="E121" s="163" t="str">
        <f t="shared" ca="1" si="15"/>
        <v>(Código não identificado nas referências)</v>
      </c>
      <c r="F121" s="164" t="str" cm="1">
        <f t="array" aca="1" ref="F121" ca="1">IF(RegimeExecucao="Global","",ORÇAMENTO.Unidade)</f>
        <v/>
      </c>
      <c r="G121" s="122" t="str" cm="1">
        <f t="array" aca="1" ref="G121" ca="1">IF(RegimeExecucao="Global","",ORÇAMENTO!T121)</f>
        <v/>
      </c>
      <c r="H121" s="122" t="str" cm="1">
        <f t="array" aca="1" ref="H121" ca="1">IF(RegimeExecucao="Global","",ORÇAMENTO!W121)</f>
        <v/>
      </c>
      <c r="I121" s="125">
        <f ca="1">ORÇAMENTO!X121</f>
        <v>0</v>
      </c>
      <c r="J121" s="333" cm="1">
        <f t="array" aca="1" ref="J121" ca="1">IF($A121="S",IF(CAIXA.Modo,BM.AFAnterior,BM.MEDAnterior),IF(AND(RegimeExecucao="Global",$I121&gt;0,COUNTIF($AB$13:$AM$13,BM.medicao-1)&gt;0),M121/$I121*100,0))</f>
        <v>0</v>
      </c>
      <c r="K121" s="122">
        <f t="shared" ca="1" si="10"/>
        <v>0</v>
      </c>
      <c r="L121" s="334" cm="1">
        <f t="array" aca="1" ref="L121" ca="1">IF($A121="S",IF(CAIXA.Modo,BM.AFAcumulado,BM.MEDAcumulado),IF(AND(RegimeExecucao="Global",$I121&gt;0,COUNTIF($AB$13:$AM$13,BM.medicao)&gt;0),O121/$I121*100,0))</f>
        <v>0</v>
      </c>
      <c r="M121" s="335" cm="1">
        <f t="array" aca="1" ref="M121" ca="1">IF($A121="S",VTOTALBM,IF($A121=0,0,ROUND(SomaAgrupBM,15-13*ORÇAMENTO!$AF$11)))</f>
        <v>0</v>
      </c>
      <c r="N121" s="336">
        <f t="shared" ca="1" si="11"/>
        <v>0</v>
      </c>
      <c r="O121" s="125" cm="1">
        <f t="array" aca="1" ref="O121" ca="1">IF($A121="S",VTOTALBM,IF($A121=0,0,ROUND(SomaAgrupBM,15-13*ORÇAMENTO!$AF$11)))</f>
        <v>0</v>
      </c>
      <c r="Q121" s="337"/>
      <c r="R121" s="338"/>
      <c r="T121" s="117" t="str">
        <f t="shared" ca="1" si="12"/>
        <v/>
      </c>
      <c r="U121" s="163" t="str">
        <f t="shared" ca="1" si="13"/>
        <v/>
      </c>
      <c r="V121" s="164" t="str" cm="1">
        <f t="array" aca="1" ref="V121" ca="1">IF(AND($W121&gt;0,RegimeExecucao="Unitário"),$F121,"")</f>
        <v/>
      </c>
      <c r="W121" s="454" cm="1">
        <f t="array" aca="1" ref="W121" ca="1">IF($Y121&gt;0,CHOOSE(MATCH(RegimeExecucao,{"Unitário","Global"},0),IF($A121="S",$Y121/$X121,""),($Y121/$X121)*100),0)</f>
        <v>0</v>
      </c>
      <c r="X121" s="339" t="str" cm="1">
        <f t="array" aca="1" ref="X121" ca="1">IF($Y121&gt;0,CHOOSE(MATCH(RegimeExecucao,{"Unitário","Global"},0),IF($A121="S",ROUND($H121,ORÇAMENTO!$AF$10),""),ROUND($I121,ORÇAMENTO!$AF$11)),"")</f>
        <v/>
      </c>
      <c r="Y121" s="339">
        <f t="shared" ca="1" si="14"/>
        <v>0</v>
      </c>
      <c r="Z121" s="473"/>
      <c r="AB121" s="337"/>
      <c r="AC121" s="437"/>
      <c r="AD121" s="437"/>
      <c r="AE121" s="437"/>
      <c r="AF121" s="437"/>
      <c r="AG121" s="437"/>
      <c r="AH121" s="437"/>
      <c r="AI121" s="437"/>
      <c r="AJ121" s="437"/>
      <c r="AK121" s="437"/>
      <c r="AL121" s="437"/>
      <c r="AM121" s="338"/>
      <c r="AO121" cm="1">
        <f t="array" aca="1" ref="AO121" ca="1">IF($A121="S",IF(BM!$I121=0,0,CHOOSE(MATCH(RegimeExecucao,{"Global","Unitário"},0),ROUND(ROUND(BM.MEDAcumulado,15-13*BM!$A$9)/100*BM!$I121,15-13*ORÇAMENTO!$AF$11),ROUND(ROUND(BM.MEDAcumulado,15-13*BM!$A$9)*ROUND(BM!$H121,15-13*ORÇAMENTO!$AF$10),15-13*ORÇAMENTO!$AF$11))),IF($A121=0,0,ROUND(SomaAgrupBM,15-13*ORÇAMENTO!$AF$11)))</f>
        <v>0</v>
      </c>
    </row>
    <row r="122" spans="1:41" ht="38.25" x14ac:dyDescent="0.2">
      <c r="A122" t="str">
        <f ca="1">ORÇAMENTO!C122</f>
        <v>S</v>
      </c>
      <c r="B122">
        <f ca="1">ORÇAMENTO!D122</f>
        <v>0</v>
      </c>
      <c r="C122" s="114" t="str">
        <f t="shared" ca="1" si="8"/>
        <v/>
      </c>
      <c r="D122" s="117" t="str">
        <f ca="1">ORÇAMENTO!O122</f>
        <v>-</v>
      </c>
      <c r="E122" s="163" t="str">
        <f t="shared" ca="1" si="15"/>
        <v>(Código não identificado nas referências)</v>
      </c>
      <c r="F122" s="164" t="str" cm="1">
        <f t="array" aca="1" ref="F122" ca="1">IF(RegimeExecucao="Global","",ORÇAMENTO.Unidade)</f>
        <v/>
      </c>
      <c r="G122" s="122" t="str" cm="1">
        <f t="array" aca="1" ref="G122" ca="1">IF(RegimeExecucao="Global","",ORÇAMENTO!T122)</f>
        <v/>
      </c>
      <c r="H122" s="122" t="str" cm="1">
        <f t="array" aca="1" ref="H122" ca="1">IF(RegimeExecucao="Global","",ORÇAMENTO!W122)</f>
        <v/>
      </c>
      <c r="I122" s="125">
        <f ca="1">ORÇAMENTO!X122</f>
        <v>0</v>
      </c>
      <c r="J122" s="333" cm="1">
        <f t="array" aca="1" ref="J122" ca="1">IF($A122="S",IF(CAIXA.Modo,BM.AFAnterior,BM.MEDAnterior),IF(AND(RegimeExecucao="Global",$I122&gt;0,COUNTIF($AB$13:$AM$13,BM.medicao-1)&gt;0),M122/$I122*100,0))</f>
        <v>0</v>
      </c>
      <c r="K122" s="122">
        <f t="shared" ca="1" si="10"/>
        <v>0</v>
      </c>
      <c r="L122" s="334" cm="1">
        <f t="array" aca="1" ref="L122" ca="1">IF($A122="S",IF(CAIXA.Modo,BM.AFAcumulado,BM.MEDAcumulado),IF(AND(RegimeExecucao="Global",$I122&gt;0,COUNTIF($AB$13:$AM$13,BM.medicao)&gt;0),O122/$I122*100,0))</f>
        <v>0</v>
      </c>
      <c r="M122" s="335" cm="1">
        <f t="array" aca="1" ref="M122" ca="1">IF($A122="S",VTOTALBM,IF($A122=0,0,ROUND(SomaAgrupBM,15-13*ORÇAMENTO!$AF$11)))</f>
        <v>0</v>
      </c>
      <c r="N122" s="336">
        <f t="shared" ca="1" si="11"/>
        <v>0</v>
      </c>
      <c r="O122" s="125" cm="1">
        <f t="array" aca="1" ref="O122" ca="1">IF($A122="S",VTOTALBM,IF($A122=0,0,ROUND(SomaAgrupBM,15-13*ORÇAMENTO!$AF$11)))</f>
        <v>0</v>
      </c>
      <c r="Q122" s="337"/>
      <c r="R122" s="338"/>
      <c r="T122" s="117" t="str">
        <f t="shared" ca="1" si="12"/>
        <v/>
      </c>
      <c r="U122" s="163" t="str">
        <f t="shared" ca="1" si="13"/>
        <v/>
      </c>
      <c r="V122" s="164" t="str" cm="1">
        <f t="array" aca="1" ref="V122" ca="1">IF(AND($W122&gt;0,RegimeExecucao="Unitário"),$F122,"")</f>
        <v/>
      </c>
      <c r="W122" s="454" cm="1">
        <f t="array" aca="1" ref="W122" ca="1">IF($Y122&gt;0,CHOOSE(MATCH(RegimeExecucao,{"Unitário","Global"},0),IF($A122="S",$Y122/$X122,""),($Y122/$X122)*100),0)</f>
        <v>0</v>
      </c>
      <c r="X122" s="339" t="str" cm="1">
        <f t="array" aca="1" ref="X122" ca="1">IF($Y122&gt;0,CHOOSE(MATCH(RegimeExecucao,{"Unitário","Global"},0),IF($A122="S",ROUND($H122,ORÇAMENTO!$AF$10),""),ROUND($I122,ORÇAMENTO!$AF$11)),"")</f>
        <v/>
      </c>
      <c r="Y122" s="339">
        <f t="shared" ca="1" si="14"/>
        <v>0</v>
      </c>
      <c r="Z122" s="473"/>
      <c r="AB122" s="337"/>
      <c r="AC122" s="437"/>
      <c r="AD122" s="437"/>
      <c r="AE122" s="437"/>
      <c r="AF122" s="437"/>
      <c r="AG122" s="437"/>
      <c r="AH122" s="437"/>
      <c r="AI122" s="437"/>
      <c r="AJ122" s="437"/>
      <c r="AK122" s="437"/>
      <c r="AL122" s="437"/>
      <c r="AM122" s="338"/>
      <c r="AO122" cm="1">
        <f t="array" aca="1" ref="AO122" ca="1">IF($A122="S",IF(BM!$I122=0,0,CHOOSE(MATCH(RegimeExecucao,{"Global","Unitário"},0),ROUND(ROUND(BM.MEDAcumulado,15-13*BM!$A$9)/100*BM!$I122,15-13*ORÇAMENTO!$AF$11),ROUND(ROUND(BM.MEDAcumulado,15-13*BM!$A$9)*ROUND(BM!$H122,15-13*ORÇAMENTO!$AF$10),15-13*ORÇAMENTO!$AF$11))),IF($A122=0,0,ROUND(SomaAgrupBM,15-13*ORÇAMENTO!$AF$11)))</f>
        <v>0</v>
      </c>
    </row>
    <row r="123" spans="1:41" ht="38.25" x14ac:dyDescent="0.2">
      <c r="A123" t="str">
        <f ca="1">ORÇAMENTO!C123</f>
        <v>S</v>
      </c>
      <c r="B123">
        <f ca="1">ORÇAMENTO!D123</f>
        <v>0</v>
      </c>
      <c r="C123" s="114" t="str">
        <f t="shared" ca="1" si="8"/>
        <v/>
      </c>
      <c r="D123" s="117" t="str">
        <f ca="1">ORÇAMENTO!O123</f>
        <v>-</v>
      </c>
      <c r="E123" s="163" t="str">
        <f t="shared" ca="1" si="15"/>
        <v>(Código não identificado nas referências)</v>
      </c>
      <c r="F123" s="164" t="str" cm="1">
        <f t="array" aca="1" ref="F123" ca="1">IF(RegimeExecucao="Global","",ORÇAMENTO.Unidade)</f>
        <v/>
      </c>
      <c r="G123" s="122" t="str" cm="1">
        <f t="array" aca="1" ref="G123" ca="1">IF(RegimeExecucao="Global","",ORÇAMENTO!T123)</f>
        <v/>
      </c>
      <c r="H123" s="122" t="str" cm="1">
        <f t="array" aca="1" ref="H123" ca="1">IF(RegimeExecucao="Global","",ORÇAMENTO!W123)</f>
        <v/>
      </c>
      <c r="I123" s="125">
        <f ca="1">ORÇAMENTO!X123</f>
        <v>0</v>
      </c>
      <c r="J123" s="333" cm="1">
        <f t="array" aca="1" ref="J123" ca="1">IF($A123="S",IF(CAIXA.Modo,BM.AFAnterior,BM.MEDAnterior),IF(AND(RegimeExecucao="Global",$I123&gt;0,COUNTIF($AB$13:$AM$13,BM.medicao-1)&gt;0),M123/$I123*100,0))</f>
        <v>0</v>
      </c>
      <c r="K123" s="122">
        <f t="shared" ca="1" si="10"/>
        <v>0</v>
      </c>
      <c r="L123" s="334" cm="1">
        <f t="array" aca="1" ref="L123" ca="1">IF($A123="S",IF(CAIXA.Modo,BM.AFAcumulado,BM.MEDAcumulado),IF(AND(RegimeExecucao="Global",$I123&gt;0,COUNTIF($AB$13:$AM$13,BM.medicao)&gt;0),O123/$I123*100,0))</f>
        <v>0</v>
      </c>
      <c r="M123" s="335" cm="1">
        <f t="array" aca="1" ref="M123" ca="1">IF($A123="S",VTOTALBM,IF($A123=0,0,ROUND(SomaAgrupBM,15-13*ORÇAMENTO!$AF$11)))</f>
        <v>0</v>
      </c>
      <c r="N123" s="336">
        <f t="shared" ca="1" si="11"/>
        <v>0</v>
      </c>
      <c r="O123" s="125" cm="1">
        <f t="array" aca="1" ref="O123" ca="1">IF($A123="S",VTOTALBM,IF($A123=0,0,ROUND(SomaAgrupBM,15-13*ORÇAMENTO!$AF$11)))</f>
        <v>0</v>
      </c>
      <c r="Q123" s="337"/>
      <c r="R123" s="338"/>
      <c r="T123" s="117" t="str">
        <f t="shared" ca="1" si="12"/>
        <v/>
      </c>
      <c r="U123" s="163" t="str">
        <f t="shared" ca="1" si="13"/>
        <v/>
      </c>
      <c r="V123" s="164" t="str" cm="1">
        <f t="array" aca="1" ref="V123" ca="1">IF(AND($W123&gt;0,RegimeExecucao="Unitário"),$F123,"")</f>
        <v/>
      </c>
      <c r="W123" s="454" cm="1">
        <f t="array" aca="1" ref="W123" ca="1">IF($Y123&gt;0,CHOOSE(MATCH(RegimeExecucao,{"Unitário","Global"},0),IF($A123="S",$Y123/$X123,""),($Y123/$X123)*100),0)</f>
        <v>0</v>
      </c>
      <c r="X123" s="339" t="str" cm="1">
        <f t="array" aca="1" ref="X123" ca="1">IF($Y123&gt;0,CHOOSE(MATCH(RegimeExecucao,{"Unitário","Global"},0),IF($A123="S",ROUND($H123,ORÇAMENTO!$AF$10),""),ROUND($I123,ORÇAMENTO!$AF$11)),"")</f>
        <v/>
      </c>
      <c r="Y123" s="339">
        <f t="shared" ca="1" si="14"/>
        <v>0</v>
      </c>
      <c r="Z123" s="473"/>
      <c r="AB123" s="337"/>
      <c r="AC123" s="437"/>
      <c r="AD123" s="437"/>
      <c r="AE123" s="437"/>
      <c r="AF123" s="437"/>
      <c r="AG123" s="437"/>
      <c r="AH123" s="437"/>
      <c r="AI123" s="437"/>
      <c r="AJ123" s="437"/>
      <c r="AK123" s="437"/>
      <c r="AL123" s="437"/>
      <c r="AM123" s="338"/>
      <c r="AO123" cm="1">
        <f t="array" aca="1" ref="AO123" ca="1">IF($A123="S",IF(BM!$I123=0,0,CHOOSE(MATCH(RegimeExecucao,{"Global","Unitário"},0),ROUND(ROUND(BM.MEDAcumulado,15-13*BM!$A$9)/100*BM!$I123,15-13*ORÇAMENTO!$AF$11),ROUND(ROUND(BM.MEDAcumulado,15-13*BM!$A$9)*ROUND(BM!$H123,15-13*ORÇAMENTO!$AF$10),15-13*ORÇAMENTO!$AF$11))),IF($A123=0,0,ROUND(SomaAgrupBM,15-13*ORÇAMENTO!$AF$11)))</f>
        <v>0</v>
      </c>
    </row>
    <row r="124" spans="1:41" ht="38.25" x14ac:dyDescent="0.2">
      <c r="A124" t="str">
        <f ca="1">ORÇAMENTO!C124</f>
        <v>S</v>
      </c>
      <c r="B124">
        <f ca="1">ORÇAMENTO!D124</f>
        <v>0</v>
      </c>
      <c r="C124" s="114" t="str">
        <f t="shared" ca="1" si="8"/>
        <v/>
      </c>
      <c r="D124" s="117" t="str">
        <f ca="1">ORÇAMENTO!O124</f>
        <v>-</v>
      </c>
      <c r="E124" s="163" t="str">
        <f t="shared" ca="1" si="15"/>
        <v>(Código não identificado nas referências)</v>
      </c>
      <c r="F124" s="164" t="str" cm="1">
        <f t="array" aca="1" ref="F124" ca="1">IF(RegimeExecucao="Global","",ORÇAMENTO.Unidade)</f>
        <v/>
      </c>
      <c r="G124" s="122" t="str" cm="1">
        <f t="array" aca="1" ref="G124" ca="1">IF(RegimeExecucao="Global","",ORÇAMENTO!T124)</f>
        <v/>
      </c>
      <c r="H124" s="122" t="str" cm="1">
        <f t="array" aca="1" ref="H124" ca="1">IF(RegimeExecucao="Global","",ORÇAMENTO!W124)</f>
        <v/>
      </c>
      <c r="I124" s="125">
        <f ca="1">ORÇAMENTO!X124</f>
        <v>0</v>
      </c>
      <c r="J124" s="333" cm="1">
        <f t="array" aca="1" ref="J124" ca="1">IF($A124="S",IF(CAIXA.Modo,BM.AFAnterior,BM.MEDAnterior),IF(AND(RegimeExecucao="Global",$I124&gt;0,COUNTIF($AB$13:$AM$13,BM.medicao-1)&gt;0),M124/$I124*100,0))</f>
        <v>0</v>
      </c>
      <c r="K124" s="122">
        <f t="shared" ca="1" si="10"/>
        <v>0</v>
      </c>
      <c r="L124" s="334" cm="1">
        <f t="array" aca="1" ref="L124" ca="1">IF($A124="S",IF(CAIXA.Modo,BM.AFAcumulado,BM.MEDAcumulado),IF(AND(RegimeExecucao="Global",$I124&gt;0,COUNTIF($AB$13:$AM$13,BM.medicao)&gt;0),O124/$I124*100,0))</f>
        <v>0</v>
      </c>
      <c r="M124" s="335" cm="1">
        <f t="array" aca="1" ref="M124" ca="1">IF($A124="S",VTOTALBM,IF($A124=0,0,ROUND(SomaAgrupBM,15-13*ORÇAMENTO!$AF$11)))</f>
        <v>0</v>
      </c>
      <c r="N124" s="336">
        <f t="shared" ca="1" si="11"/>
        <v>0</v>
      </c>
      <c r="O124" s="125" cm="1">
        <f t="array" aca="1" ref="O124" ca="1">IF($A124="S",VTOTALBM,IF($A124=0,0,ROUND(SomaAgrupBM,15-13*ORÇAMENTO!$AF$11)))</f>
        <v>0</v>
      </c>
      <c r="Q124" s="337"/>
      <c r="R124" s="338"/>
      <c r="T124" s="117" t="str">
        <f t="shared" ca="1" si="12"/>
        <v/>
      </c>
      <c r="U124" s="163" t="str">
        <f t="shared" ca="1" si="13"/>
        <v/>
      </c>
      <c r="V124" s="164" t="str" cm="1">
        <f t="array" aca="1" ref="V124" ca="1">IF(AND($W124&gt;0,RegimeExecucao="Unitário"),$F124,"")</f>
        <v/>
      </c>
      <c r="W124" s="454" cm="1">
        <f t="array" aca="1" ref="W124" ca="1">IF($Y124&gt;0,CHOOSE(MATCH(RegimeExecucao,{"Unitário","Global"},0),IF($A124="S",$Y124/$X124,""),($Y124/$X124)*100),0)</f>
        <v>0</v>
      </c>
      <c r="X124" s="339" t="str" cm="1">
        <f t="array" aca="1" ref="X124" ca="1">IF($Y124&gt;0,CHOOSE(MATCH(RegimeExecucao,{"Unitário","Global"},0),IF($A124="S",ROUND($H124,ORÇAMENTO!$AF$10),""),ROUND($I124,ORÇAMENTO!$AF$11)),"")</f>
        <v/>
      </c>
      <c r="Y124" s="339">
        <f t="shared" ca="1" si="14"/>
        <v>0</v>
      </c>
      <c r="Z124" s="473"/>
      <c r="AB124" s="337"/>
      <c r="AC124" s="437"/>
      <c r="AD124" s="437"/>
      <c r="AE124" s="437"/>
      <c r="AF124" s="437"/>
      <c r="AG124" s="437"/>
      <c r="AH124" s="437"/>
      <c r="AI124" s="437"/>
      <c r="AJ124" s="437"/>
      <c r="AK124" s="437"/>
      <c r="AL124" s="437"/>
      <c r="AM124" s="338"/>
      <c r="AO124" cm="1">
        <f t="array" aca="1" ref="AO124" ca="1">IF($A124="S",IF(BM!$I124=0,0,CHOOSE(MATCH(RegimeExecucao,{"Global","Unitário"},0),ROUND(ROUND(BM.MEDAcumulado,15-13*BM!$A$9)/100*BM!$I124,15-13*ORÇAMENTO!$AF$11),ROUND(ROUND(BM.MEDAcumulado,15-13*BM!$A$9)*ROUND(BM!$H124,15-13*ORÇAMENTO!$AF$10),15-13*ORÇAMENTO!$AF$11))),IF($A124=0,0,ROUND(SomaAgrupBM,15-13*ORÇAMENTO!$AF$11)))</f>
        <v>0</v>
      </c>
    </row>
    <row r="125" spans="1:41" x14ac:dyDescent="0.2">
      <c r="A125">
        <f ca="1">ORÇAMENTO!C125</f>
        <v>2</v>
      </c>
      <c r="B125">
        <f ca="1">ORÇAMENTO!D125</f>
        <v>3</v>
      </c>
      <c r="C125" s="114" t="str">
        <f t="shared" ca="1" si="8"/>
        <v>F</v>
      </c>
      <c r="D125" s="117" t="str">
        <f ca="1">ORÇAMENTO!O125</f>
        <v>8.2.</v>
      </c>
      <c r="E125" s="163" t="str">
        <f t="shared" si="15"/>
        <v>PISO CIMENTADO</v>
      </c>
      <c r="F125" s="164" t="str" cm="1">
        <f t="array" aca="1" ref="F125" ca="1">IF(RegimeExecucao="Global","",ORÇAMENTO.Unidade)</f>
        <v/>
      </c>
      <c r="G125" s="122" t="str" cm="1">
        <f t="array" aca="1" ref="G125" ca="1">IF(RegimeExecucao="Global","",ORÇAMENTO!T125)</f>
        <v/>
      </c>
      <c r="H125" s="122" t="str" cm="1">
        <f t="array" aca="1" ref="H125" ca="1">IF(RegimeExecucao="Global","",ORÇAMENTO!W125)</f>
        <v/>
      </c>
      <c r="I125" s="125">
        <f ca="1">ORÇAMENTO!X125</f>
        <v>0</v>
      </c>
      <c r="J125" s="333" cm="1">
        <f t="array" aca="1" ref="J125" ca="1">IF($A125="S",IF(CAIXA.Modo,BM.AFAnterior,BM.MEDAnterior),IF(AND(RegimeExecucao="Global",$I125&gt;0,COUNTIF($AB$13:$AM$13,BM.medicao-1)&gt;0),M125/$I125*100,0))</f>
        <v>0</v>
      </c>
      <c r="K125" s="122">
        <f t="shared" ca="1" si="10"/>
        <v>0</v>
      </c>
      <c r="L125" s="334" cm="1">
        <f t="array" aca="1" ref="L125" ca="1">IF($A125="S",IF(CAIXA.Modo,BM.AFAcumulado,BM.MEDAcumulado),IF(AND(RegimeExecucao="Global",$I125&gt;0,COUNTIF($AB$13:$AM$13,BM.medicao)&gt;0),O125/$I125*100,0))</f>
        <v>0</v>
      </c>
      <c r="M125" s="335" cm="1">
        <f t="array" aca="1" ref="M125" ca="1">IF($A125="S",VTOTALBM,IF($A125=0,0,ROUND(SomaAgrupBM,15-13*ORÇAMENTO!$AF$11)))</f>
        <v>0</v>
      </c>
      <c r="N125" s="336">
        <f t="shared" ca="1" si="11"/>
        <v>0</v>
      </c>
      <c r="O125" s="125" cm="1">
        <f t="array" aca="1" ref="O125" ca="1">IF($A125="S",VTOTALBM,IF($A125=0,0,ROUND(SomaAgrupBM,15-13*ORÇAMENTO!$AF$11)))</f>
        <v>0</v>
      </c>
      <c r="Q125" s="337"/>
      <c r="R125" s="338"/>
      <c r="T125" s="117" t="str">
        <f t="shared" ca="1" si="12"/>
        <v/>
      </c>
      <c r="U125" s="163" t="str">
        <f t="shared" ca="1" si="13"/>
        <v/>
      </c>
      <c r="V125" s="164" t="str" cm="1">
        <f t="array" aca="1" ref="V125" ca="1">IF(AND($W125&gt;0,RegimeExecucao="Unitário"),$F125,"")</f>
        <v/>
      </c>
      <c r="W125" s="454" cm="1">
        <f t="array" aca="1" ref="W125" ca="1">IF($Y125&gt;0,CHOOSE(MATCH(RegimeExecucao,{"Unitário","Global"},0),IF($A125="S",$Y125/$X125,""),($Y125/$X125)*100),0)</f>
        <v>0</v>
      </c>
      <c r="X125" s="339" t="str" cm="1">
        <f t="array" aca="1" ref="X125" ca="1">IF($Y125&gt;0,CHOOSE(MATCH(RegimeExecucao,{"Unitário","Global"},0),IF($A125="S",ROUND($H125,ORÇAMENTO!$AF$10),""),ROUND($I125,ORÇAMENTO!$AF$11)),"")</f>
        <v/>
      </c>
      <c r="Y125" s="339">
        <f t="shared" ca="1" si="14"/>
        <v>0</v>
      </c>
      <c r="Z125" s="473"/>
      <c r="AB125" s="337"/>
      <c r="AC125" s="437"/>
      <c r="AD125" s="437"/>
      <c r="AE125" s="437"/>
      <c r="AF125" s="437"/>
      <c r="AG125" s="437"/>
      <c r="AH125" s="437"/>
      <c r="AI125" s="437"/>
      <c r="AJ125" s="437"/>
      <c r="AK125" s="437"/>
      <c r="AL125" s="437"/>
      <c r="AM125" s="338"/>
      <c r="AO125" cm="1">
        <f t="array" aca="1" ref="AO125" ca="1">IF($A125="S",IF(BM!$I125=0,0,CHOOSE(MATCH(RegimeExecucao,{"Global","Unitário"},0),ROUND(ROUND(BM.MEDAcumulado,15-13*BM!$A$9)/100*BM!$I125,15-13*ORÇAMENTO!$AF$11),ROUND(ROUND(BM.MEDAcumulado,15-13*BM!$A$9)*ROUND(BM!$H125,15-13*ORÇAMENTO!$AF$10),15-13*ORÇAMENTO!$AF$11))),IF($A125=0,0,ROUND(SomaAgrupBM,15-13*ORÇAMENTO!$AF$11)))</f>
        <v>0</v>
      </c>
    </row>
    <row r="126" spans="1:41" ht="38.25" x14ac:dyDescent="0.2">
      <c r="A126" t="str">
        <f ca="1">ORÇAMENTO!C126</f>
        <v>S</v>
      </c>
      <c r="B126">
        <f ca="1">ORÇAMENTO!D126</f>
        <v>0</v>
      </c>
      <c r="C126" s="114" t="str">
        <f t="shared" ca="1" si="8"/>
        <v/>
      </c>
      <c r="D126" s="117" t="str">
        <f ca="1">ORÇAMENTO!O126</f>
        <v>-</v>
      </c>
      <c r="E126" s="163" t="str">
        <f t="shared" ca="1" si="15"/>
        <v>(Código não identificado nas referências)</v>
      </c>
      <c r="F126" s="164" t="str" cm="1">
        <f t="array" aca="1" ref="F126" ca="1">IF(RegimeExecucao="Global","",ORÇAMENTO.Unidade)</f>
        <v/>
      </c>
      <c r="G126" s="122" t="str" cm="1">
        <f t="array" aca="1" ref="G126" ca="1">IF(RegimeExecucao="Global","",ORÇAMENTO!T126)</f>
        <v/>
      </c>
      <c r="H126" s="122" t="str" cm="1">
        <f t="array" aca="1" ref="H126" ca="1">IF(RegimeExecucao="Global","",ORÇAMENTO!W126)</f>
        <v/>
      </c>
      <c r="I126" s="125">
        <f ca="1">ORÇAMENTO!X126</f>
        <v>0</v>
      </c>
      <c r="J126" s="333" cm="1">
        <f t="array" aca="1" ref="J126" ca="1">IF($A126="S",IF(CAIXA.Modo,BM.AFAnterior,BM.MEDAnterior),IF(AND(RegimeExecucao="Global",$I126&gt;0,COUNTIF($AB$13:$AM$13,BM.medicao-1)&gt;0),M126/$I126*100,0))</f>
        <v>0</v>
      </c>
      <c r="K126" s="122">
        <f t="shared" ca="1" si="10"/>
        <v>0</v>
      </c>
      <c r="L126" s="334" cm="1">
        <f t="array" aca="1" ref="L126" ca="1">IF($A126="S",IF(CAIXA.Modo,BM.AFAcumulado,BM.MEDAcumulado),IF(AND(RegimeExecucao="Global",$I126&gt;0,COUNTIF($AB$13:$AM$13,BM.medicao)&gt;0),O126/$I126*100,0))</f>
        <v>0</v>
      </c>
      <c r="M126" s="335" cm="1">
        <f t="array" aca="1" ref="M126" ca="1">IF($A126="S",VTOTALBM,IF($A126=0,0,ROUND(SomaAgrupBM,15-13*ORÇAMENTO!$AF$11)))</f>
        <v>0</v>
      </c>
      <c r="N126" s="336">
        <f t="shared" ca="1" si="11"/>
        <v>0</v>
      </c>
      <c r="O126" s="125" cm="1">
        <f t="array" aca="1" ref="O126" ca="1">IF($A126="S",VTOTALBM,IF($A126=0,0,ROUND(SomaAgrupBM,15-13*ORÇAMENTO!$AF$11)))</f>
        <v>0</v>
      </c>
      <c r="Q126" s="337"/>
      <c r="R126" s="338"/>
      <c r="T126" s="117" t="str">
        <f t="shared" ca="1" si="12"/>
        <v/>
      </c>
      <c r="U126" s="163" t="str">
        <f t="shared" ca="1" si="13"/>
        <v/>
      </c>
      <c r="V126" s="164" t="str" cm="1">
        <f t="array" aca="1" ref="V126" ca="1">IF(AND($W126&gt;0,RegimeExecucao="Unitário"),$F126,"")</f>
        <v/>
      </c>
      <c r="W126" s="454" cm="1">
        <f t="array" aca="1" ref="W126" ca="1">IF($Y126&gt;0,CHOOSE(MATCH(RegimeExecucao,{"Unitário","Global"},0),IF($A126="S",$Y126/$X126,""),($Y126/$X126)*100),0)</f>
        <v>0</v>
      </c>
      <c r="X126" s="339" t="str" cm="1">
        <f t="array" aca="1" ref="X126" ca="1">IF($Y126&gt;0,CHOOSE(MATCH(RegimeExecucao,{"Unitário","Global"},0),IF($A126="S",ROUND($H126,ORÇAMENTO!$AF$10),""),ROUND($I126,ORÇAMENTO!$AF$11)),"")</f>
        <v/>
      </c>
      <c r="Y126" s="339">
        <f t="shared" ca="1" si="14"/>
        <v>0</v>
      </c>
      <c r="Z126" s="473"/>
      <c r="AB126" s="337"/>
      <c r="AC126" s="437"/>
      <c r="AD126" s="437"/>
      <c r="AE126" s="437"/>
      <c r="AF126" s="437"/>
      <c r="AG126" s="437"/>
      <c r="AH126" s="437"/>
      <c r="AI126" s="437"/>
      <c r="AJ126" s="437"/>
      <c r="AK126" s="437"/>
      <c r="AL126" s="437"/>
      <c r="AM126" s="338"/>
      <c r="AO126" cm="1">
        <f t="array" aca="1" ref="AO126" ca="1">IF($A126="S",IF(BM!$I126=0,0,CHOOSE(MATCH(RegimeExecucao,{"Global","Unitário"},0),ROUND(ROUND(BM.MEDAcumulado,15-13*BM!$A$9)/100*BM!$I126,15-13*ORÇAMENTO!$AF$11),ROUND(ROUND(BM.MEDAcumulado,15-13*BM!$A$9)*ROUND(BM!$H126,15-13*ORÇAMENTO!$AF$10),15-13*ORÇAMENTO!$AF$11))),IF($A126=0,0,ROUND(SomaAgrupBM,15-13*ORÇAMENTO!$AF$11)))</f>
        <v>0</v>
      </c>
    </row>
    <row r="127" spans="1:41" ht="38.25" x14ac:dyDescent="0.2">
      <c r="A127" t="str">
        <f ca="1">ORÇAMENTO!C127</f>
        <v>S</v>
      </c>
      <c r="B127">
        <f ca="1">ORÇAMENTO!D127</f>
        <v>0</v>
      </c>
      <c r="C127" s="114" t="str">
        <f t="shared" ca="1" si="8"/>
        <v/>
      </c>
      <c r="D127" s="117" t="str">
        <f ca="1">ORÇAMENTO!O127</f>
        <v>-</v>
      </c>
      <c r="E127" s="163" t="str">
        <f t="shared" ca="1" si="15"/>
        <v>(Código não identificado nas referências)</v>
      </c>
      <c r="F127" s="164" t="str" cm="1">
        <f t="array" aca="1" ref="F127" ca="1">IF(RegimeExecucao="Global","",ORÇAMENTO.Unidade)</f>
        <v/>
      </c>
      <c r="G127" s="122" t="str" cm="1">
        <f t="array" aca="1" ref="G127" ca="1">IF(RegimeExecucao="Global","",ORÇAMENTO!T127)</f>
        <v/>
      </c>
      <c r="H127" s="122" t="str" cm="1">
        <f t="array" aca="1" ref="H127" ca="1">IF(RegimeExecucao="Global","",ORÇAMENTO!W127)</f>
        <v/>
      </c>
      <c r="I127" s="125">
        <f ca="1">ORÇAMENTO!X127</f>
        <v>0</v>
      </c>
      <c r="J127" s="333" cm="1">
        <f t="array" aca="1" ref="J127" ca="1">IF($A127="S",IF(CAIXA.Modo,BM.AFAnterior,BM.MEDAnterior),IF(AND(RegimeExecucao="Global",$I127&gt;0,COUNTIF($AB$13:$AM$13,BM.medicao-1)&gt;0),M127/$I127*100,0))</f>
        <v>0</v>
      </c>
      <c r="K127" s="122">
        <f t="shared" ca="1" si="10"/>
        <v>0</v>
      </c>
      <c r="L127" s="334" cm="1">
        <f t="array" aca="1" ref="L127" ca="1">IF($A127="S",IF(CAIXA.Modo,BM.AFAcumulado,BM.MEDAcumulado),IF(AND(RegimeExecucao="Global",$I127&gt;0,COUNTIF($AB$13:$AM$13,BM.medicao)&gt;0),O127/$I127*100,0))</f>
        <v>0</v>
      </c>
      <c r="M127" s="335" cm="1">
        <f t="array" aca="1" ref="M127" ca="1">IF($A127="S",VTOTALBM,IF($A127=0,0,ROUND(SomaAgrupBM,15-13*ORÇAMENTO!$AF$11)))</f>
        <v>0</v>
      </c>
      <c r="N127" s="336">
        <f t="shared" ca="1" si="11"/>
        <v>0</v>
      </c>
      <c r="O127" s="125" cm="1">
        <f t="array" aca="1" ref="O127" ca="1">IF($A127="S",VTOTALBM,IF($A127=0,0,ROUND(SomaAgrupBM,15-13*ORÇAMENTO!$AF$11)))</f>
        <v>0</v>
      </c>
      <c r="Q127" s="337"/>
      <c r="R127" s="338"/>
      <c r="T127" s="117" t="str">
        <f t="shared" ca="1" si="12"/>
        <v/>
      </c>
      <c r="U127" s="163" t="str">
        <f t="shared" ca="1" si="13"/>
        <v/>
      </c>
      <c r="V127" s="164" t="str" cm="1">
        <f t="array" aca="1" ref="V127" ca="1">IF(AND($W127&gt;0,RegimeExecucao="Unitário"),$F127,"")</f>
        <v/>
      </c>
      <c r="W127" s="454" cm="1">
        <f t="array" aca="1" ref="W127" ca="1">IF($Y127&gt;0,CHOOSE(MATCH(RegimeExecucao,{"Unitário","Global"},0),IF($A127="S",$Y127/$X127,""),($Y127/$X127)*100),0)</f>
        <v>0</v>
      </c>
      <c r="X127" s="339" t="str" cm="1">
        <f t="array" aca="1" ref="X127" ca="1">IF($Y127&gt;0,CHOOSE(MATCH(RegimeExecucao,{"Unitário","Global"},0),IF($A127="S",ROUND($H127,ORÇAMENTO!$AF$10),""),ROUND($I127,ORÇAMENTO!$AF$11)),"")</f>
        <v/>
      </c>
      <c r="Y127" s="339">
        <f t="shared" ca="1" si="14"/>
        <v>0</v>
      </c>
      <c r="Z127" s="473"/>
      <c r="AB127" s="337"/>
      <c r="AC127" s="437"/>
      <c r="AD127" s="437"/>
      <c r="AE127" s="437"/>
      <c r="AF127" s="437"/>
      <c r="AG127" s="437"/>
      <c r="AH127" s="437"/>
      <c r="AI127" s="437"/>
      <c r="AJ127" s="437"/>
      <c r="AK127" s="437"/>
      <c r="AL127" s="437"/>
      <c r="AM127" s="338"/>
      <c r="AO127" cm="1">
        <f t="array" aca="1" ref="AO127" ca="1">IF($A127="S",IF(BM!$I127=0,0,CHOOSE(MATCH(RegimeExecucao,{"Global","Unitário"},0),ROUND(ROUND(BM.MEDAcumulado,15-13*BM!$A$9)/100*BM!$I127,15-13*ORÇAMENTO!$AF$11),ROUND(ROUND(BM.MEDAcumulado,15-13*BM!$A$9)*ROUND(BM!$H127,15-13*ORÇAMENTO!$AF$10),15-13*ORÇAMENTO!$AF$11))),IF($A127=0,0,ROUND(SomaAgrupBM,15-13*ORÇAMENTO!$AF$11)))</f>
        <v>0</v>
      </c>
    </row>
    <row r="128" spans="1:41" x14ac:dyDescent="0.2">
      <c r="A128">
        <f ca="1">ORÇAMENTO!C128</f>
        <v>2</v>
      </c>
      <c r="B128">
        <f ca="1">ORÇAMENTO!D128</f>
        <v>4</v>
      </c>
      <c r="C128" s="114" t="str">
        <f t="shared" ca="1" si="8"/>
        <v>F</v>
      </c>
      <c r="D128" s="117" t="str">
        <f ca="1">ORÇAMENTO!O128</f>
        <v>8.3.</v>
      </c>
      <c r="E128" s="163" t="str">
        <f t="shared" si="15"/>
        <v>RODAPÉS, SOLEIRAS E PEITORIS</v>
      </c>
      <c r="F128" s="164" t="str" cm="1">
        <f t="array" aca="1" ref="F128" ca="1">IF(RegimeExecucao="Global","",ORÇAMENTO.Unidade)</f>
        <v/>
      </c>
      <c r="G128" s="122" t="str" cm="1">
        <f t="array" aca="1" ref="G128" ca="1">IF(RegimeExecucao="Global","",ORÇAMENTO!T128)</f>
        <v/>
      </c>
      <c r="H128" s="122" t="str" cm="1">
        <f t="array" aca="1" ref="H128" ca="1">IF(RegimeExecucao="Global","",ORÇAMENTO!W128)</f>
        <v/>
      </c>
      <c r="I128" s="125">
        <f ca="1">ORÇAMENTO!X128</f>
        <v>0</v>
      </c>
      <c r="J128" s="333" cm="1">
        <f t="array" aca="1" ref="J128" ca="1">IF($A128="S",IF(CAIXA.Modo,BM.AFAnterior,BM.MEDAnterior),IF(AND(RegimeExecucao="Global",$I128&gt;0,COUNTIF($AB$13:$AM$13,BM.medicao-1)&gt;0),M128/$I128*100,0))</f>
        <v>0</v>
      </c>
      <c r="K128" s="122">
        <f t="shared" ca="1" si="10"/>
        <v>0</v>
      </c>
      <c r="L128" s="334" cm="1">
        <f t="array" aca="1" ref="L128" ca="1">IF($A128="S",IF(CAIXA.Modo,BM.AFAcumulado,BM.MEDAcumulado),IF(AND(RegimeExecucao="Global",$I128&gt;0,COUNTIF($AB$13:$AM$13,BM.medicao)&gt;0),O128/$I128*100,0))</f>
        <v>0</v>
      </c>
      <c r="M128" s="335" cm="1">
        <f t="array" aca="1" ref="M128" ca="1">IF($A128="S",VTOTALBM,IF($A128=0,0,ROUND(SomaAgrupBM,15-13*ORÇAMENTO!$AF$11)))</f>
        <v>0</v>
      </c>
      <c r="N128" s="336">
        <f t="shared" ca="1" si="11"/>
        <v>0</v>
      </c>
      <c r="O128" s="125" cm="1">
        <f t="array" aca="1" ref="O128" ca="1">IF($A128="S",VTOTALBM,IF($A128=0,0,ROUND(SomaAgrupBM,15-13*ORÇAMENTO!$AF$11)))</f>
        <v>0</v>
      </c>
      <c r="Q128" s="337"/>
      <c r="R128" s="338"/>
      <c r="T128" s="117" t="str">
        <f t="shared" ca="1" si="12"/>
        <v/>
      </c>
      <c r="U128" s="163" t="str">
        <f t="shared" ca="1" si="13"/>
        <v/>
      </c>
      <c r="V128" s="164" t="str" cm="1">
        <f t="array" aca="1" ref="V128" ca="1">IF(AND($W128&gt;0,RegimeExecucao="Unitário"),$F128,"")</f>
        <v/>
      </c>
      <c r="W128" s="454" cm="1">
        <f t="array" aca="1" ref="W128" ca="1">IF($Y128&gt;0,CHOOSE(MATCH(RegimeExecucao,{"Unitário","Global"},0),IF($A128="S",$Y128/$X128,""),($Y128/$X128)*100),0)</f>
        <v>0</v>
      </c>
      <c r="X128" s="339" t="str" cm="1">
        <f t="array" aca="1" ref="X128" ca="1">IF($Y128&gt;0,CHOOSE(MATCH(RegimeExecucao,{"Unitário","Global"},0),IF($A128="S",ROUND($H128,ORÇAMENTO!$AF$10),""),ROUND($I128,ORÇAMENTO!$AF$11)),"")</f>
        <v/>
      </c>
      <c r="Y128" s="339">
        <f t="shared" ca="1" si="14"/>
        <v>0</v>
      </c>
      <c r="Z128" s="473"/>
      <c r="AB128" s="337"/>
      <c r="AC128" s="437"/>
      <c r="AD128" s="437"/>
      <c r="AE128" s="437"/>
      <c r="AF128" s="437"/>
      <c r="AG128" s="437"/>
      <c r="AH128" s="437"/>
      <c r="AI128" s="437"/>
      <c r="AJ128" s="437"/>
      <c r="AK128" s="437"/>
      <c r="AL128" s="437"/>
      <c r="AM128" s="338"/>
      <c r="AO128" cm="1">
        <f t="array" aca="1" ref="AO128" ca="1">IF($A128="S",IF(BM!$I128=0,0,CHOOSE(MATCH(RegimeExecucao,{"Global","Unitário"},0),ROUND(ROUND(BM.MEDAcumulado,15-13*BM!$A$9)/100*BM!$I128,15-13*ORÇAMENTO!$AF$11),ROUND(ROUND(BM.MEDAcumulado,15-13*BM!$A$9)*ROUND(BM!$H128,15-13*ORÇAMENTO!$AF$10),15-13*ORÇAMENTO!$AF$11))),IF($A128=0,0,ROUND(SomaAgrupBM,15-13*ORÇAMENTO!$AF$11)))</f>
        <v>0</v>
      </c>
    </row>
    <row r="129" spans="1:41" ht="25.5" x14ac:dyDescent="0.2">
      <c r="A129" t="str">
        <f ca="1">ORÇAMENTO!C129</f>
        <v>S</v>
      </c>
      <c r="B129">
        <f ca="1">ORÇAMENTO!D129</f>
        <v>0</v>
      </c>
      <c r="C129" s="114" t="str">
        <f t="shared" ca="1" si="8"/>
        <v/>
      </c>
      <c r="D129" s="117" t="str">
        <f ca="1">ORÇAMENTO!O129</f>
        <v>-</v>
      </c>
      <c r="E129" s="163" t="str">
        <f t="shared" ca="1" si="15"/>
        <v>(Código não identificado nas referências)</v>
      </c>
      <c r="F129" s="164" t="str" cm="1">
        <f t="array" aca="1" ref="F129" ca="1">IF(RegimeExecucao="Global","",ORÇAMENTO.Unidade)</f>
        <v/>
      </c>
      <c r="G129" s="122" t="str" cm="1">
        <f t="array" aca="1" ref="G129" ca="1">IF(RegimeExecucao="Global","",ORÇAMENTO!T129)</f>
        <v/>
      </c>
      <c r="H129" s="122" t="str" cm="1">
        <f t="array" aca="1" ref="H129" ca="1">IF(RegimeExecucao="Global","",ORÇAMENTO!W129)</f>
        <v/>
      </c>
      <c r="I129" s="125">
        <f ca="1">ORÇAMENTO!X129</f>
        <v>0</v>
      </c>
      <c r="J129" s="333" cm="1">
        <f t="array" aca="1" ref="J129" ca="1">IF($A129="S",IF(CAIXA.Modo,BM.AFAnterior,BM.MEDAnterior),IF(AND(RegimeExecucao="Global",$I129&gt;0,COUNTIF($AB$13:$AM$13,BM.medicao-1)&gt;0),M129/$I129*100,0))</f>
        <v>0</v>
      </c>
      <c r="K129" s="122">
        <f t="shared" ca="1" si="10"/>
        <v>0</v>
      </c>
      <c r="L129" s="334" cm="1">
        <f t="array" aca="1" ref="L129" ca="1">IF($A129="S",IF(CAIXA.Modo,BM.AFAcumulado,BM.MEDAcumulado),IF(AND(RegimeExecucao="Global",$I129&gt;0,COUNTIF($AB$13:$AM$13,BM.medicao)&gt;0),O129/$I129*100,0))</f>
        <v>0</v>
      </c>
      <c r="M129" s="335" cm="1">
        <f t="array" aca="1" ref="M129" ca="1">IF($A129="S",VTOTALBM,IF($A129=0,0,ROUND(SomaAgrupBM,15-13*ORÇAMENTO!$AF$11)))</f>
        <v>0</v>
      </c>
      <c r="N129" s="336">
        <f t="shared" ca="1" si="11"/>
        <v>0</v>
      </c>
      <c r="O129" s="125" cm="1">
        <f t="array" aca="1" ref="O129" ca="1">IF($A129="S",VTOTALBM,IF($A129=0,0,ROUND(SomaAgrupBM,15-13*ORÇAMENTO!$AF$11)))</f>
        <v>0</v>
      </c>
      <c r="Q129" s="337"/>
      <c r="R129" s="338"/>
      <c r="T129" s="117" t="str">
        <f t="shared" ca="1" si="12"/>
        <v/>
      </c>
      <c r="U129" s="163" t="str">
        <f t="shared" ca="1" si="13"/>
        <v/>
      </c>
      <c r="V129" s="164" t="str" cm="1">
        <f t="array" aca="1" ref="V129" ca="1">IF(AND($W129&gt;0,RegimeExecucao="Unitário"),$F129,"")</f>
        <v/>
      </c>
      <c r="W129" s="454" cm="1">
        <f t="array" aca="1" ref="W129" ca="1">IF($Y129&gt;0,CHOOSE(MATCH(RegimeExecucao,{"Unitário","Global"},0),IF($A129="S",$Y129/$X129,""),($Y129/$X129)*100),0)</f>
        <v>0</v>
      </c>
      <c r="X129" s="339" t="str" cm="1">
        <f t="array" aca="1" ref="X129" ca="1">IF($Y129&gt;0,CHOOSE(MATCH(RegimeExecucao,{"Unitário","Global"},0),IF($A129="S",ROUND($H129,ORÇAMENTO!$AF$10),""),ROUND($I129,ORÇAMENTO!$AF$11)),"")</f>
        <v/>
      </c>
      <c r="Y129" s="339">
        <f t="shared" ca="1" si="14"/>
        <v>0</v>
      </c>
      <c r="Z129" s="473"/>
      <c r="AB129" s="337"/>
      <c r="AC129" s="437"/>
      <c r="AD129" s="437"/>
      <c r="AE129" s="437"/>
      <c r="AF129" s="437"/>
      <c r="AG129" s="437"/>
      <c r="AH129" s="437"/>
      <c r="AI129" s="437"/>
      <c r="AJ129" s="437"/>
      <c r="AK129" s="437"/>
      <c r="AL129" s="437"/>
      <c r="AM129" s="338"/>
      <c r="AO129" cm="1">
        <f t="array" aca="1" ref="AO129" ca="1">IF($A129="S",IF(BM!$I129=0,0,CHOOSE(MATCH(RegimeExecucao,{"Global","Unitário"},0),ROUND(ROUND(BM.MEDAcumulado,15-13*BM!$A$9)/100*BM!$I129,15-13*ORÇAMENTO!$AF$11),ROUND(ROUND(BM.MEDAcumulado,15-13*BM!$A$9)*ROUND(BM!$H129,15-13*ORÇAMENTO!$AF$10),15-13*ORÇAMENTO!$AF$11))),IF($A129=0,0,ROUND(SomaAgrupBM,15-13*ORÇAMENTO!$AF$11)))</f>
        <v>0</v>
      </c>
    </row>
    <row r="130" spans="1:41" ht="25.5" x14ac:dyDescent="0.2">
      <c r="A130" t="str">
        <f ca="1">ORÇAMENTO!C130</f>
        <v>S</v>
      </c>
      <c r="B130">
        <f ca="1">ORÇAMENTO!D130</f>
        <v>0</v>
      </c>
      <c r="C130" s="114" t="str">
        <f t="shared" ca="1" si="8"/>
        <v/>
      </c>
      <c r="D130" s="117" t="str">
        <f ca="1">ORÇAMENTO!O130</f>
        <v>-</v>
      </c>
      <c r="E130" s="163" t="str">
        <f t="shared" ca="1" si="15"/>
        <v>(Código não identificado nas referências)</v>
      </c>
      <c r="F130" s="164" t="str" cm="1">
        <f t="array" aca="1" ref="F130" ca="1">IF(RegimeExecucao="Global","",ORÇAMENTO.Unidade)</f>
        <v/>
      </c>
      <c r="G130" s="122" t="str" cm="1">
        <f t="array" aca="1" ref="G130" ca="1">IF(RegimeExecucao="Global","",ORÇAMENTO!T130)</f>
        <v/>
      </c>
      <c r="H130" s="122" t="str" cm="1">
        <f t="array" aca="1" ref="H130" ca="1">IF(RegimeExecucao="Global","",ORÇAMENTO!W130)</f>
        <v/>
      </c>
      <c r="I130" s="125">
        <f ca="1">ORÇAMENTO!X130</f>
        <v>0</v>
      </c>
      <c r="J130" s="333" cm="1">
        <f t="array" aca="1" ref="J130" ca="1">IF($A130="S",IF(CAIXA.Modo,BM.AFAnterior,BM.MEDAnterior),IF(AND(RegimeExecucao="Global",$I130&gt;0,COUNTIF($AB$13:$AM$13,BM.medicao-1)&gt;0),M130/$I130*100,0))</f>
        <v>0</v>
      </c>
      <c r="K130" s="122">
        <f t="shared" ca="1" si="10"/>
        <v>0</v>
      </c>
      <c r="L130" s="334" cm="1">
        <f t="array" aca="1" ref="L130" ca="1">IF($A130="S",IF(CAIXA.Modo,BM.AFAcumulado,BM.MEDAcumulado),IF(AND(RegimeExecucao="Global",$I130&gt;0,COUNTIF($AB$13:$AM$13,BM.medicao)&gt;0),O130/$I130*100,0))</f>
        <v>0</v>
      </c>
      <c r="M130" s="335" cm="1">
        <f t="array" aca="1" ref="M130" ca="1">IF($A130="S",VTOTALBM,IF($A130=0,0,ROUND(SomaAgrupBM,15-13*ORÇAMENTO!$AF$11)))</f>
        <v>0</v>
      </c>
      <c r="N130" s="336">
        <f t="shared" ca="1" si="11"/>
        <v>0</v>
      </c>
      <c r="O130" s="125" cm="1">
        <f t="array" aca="1" ref="O130" ca="1">IF($A130="S",VTOTALBM,IF($A130=0,0,ROUND(SomaAgrupBM,15-13*ORÇAMENTO!$AF$11)))</f>
        <v>0</v>
      </c>
      <c r="Q130" s="337"/>
      <c r="R130" s="338"/>
      <c r="T130" s="117" t="str">
        <f t="shared" ca="1" si="12"/>
        <v/>
      </c>
      <c r="U130" s="163" t="str">
        <f t="shared" ca="1" si="13"/>
        <v/>
      </c>
      <c r="V130" s="164" t="str" cm="1">
        <f t="array" aca="1" ref="V130" ca="1">IF(AND($W130&gt;0,RegimeExecucao="Unitário"),$F130,"")</f>
        <v/>
      </c>
      <c r="W130" s="454" cm="1">
        <f t="array" aca="1" ref="W130" ca="1">IF($Y130&gt;0,CHOOSE(MATCH(RegimeExecucao,{"Unitário","Global"},0),IF($A130="S",$Y130/$X130,""),($Y130/$X130)*100),0)</f>
        <v>0</v>
      </c>
      <c r="X130" s="339" t="str" cm="1">
        <f t="array" aca="1" ref="X130" ca="1">IF($Y130&gt;0,CHOOSE(MATCH(RegimeExecucao,{"Unitário","Global"},0),IF($A130="S",ROUND($H130,ORÇAMENTO!$AF$10),""),ROUND($I130,ORÇAMENTO!$AF$11)),"")</f>
        <v/>
      </c>
      <c r="Y130" s="339">
        <f t="shared" ca="1" si="14"/>
        <v>0</v>
      </c>
      <c r="Z130" s="473"/>
      <c r="AB130" s="337"/>
      <c r="AC130" s="437"/>
      <c r="AD130" s="437"/>
      <c r="AE130" s="437"/>
      <c r="AF130" s="437"/>
      <c r="AG130" s="437"/>
      <c r="AH130" s="437"/>
      <c r="AI130" s="437"/>
      <c r="AJ130" s="437"/>
      <c r="AK130" s="437"/>
      <c r="AL130" s="437"/>
      <c r="AM130" s="338"/>
      <c r="AO130" cm="1">
        <f t="array" aca="1" ref="AO130" ca="1">IF($A130="S",IF(BM!$I130=0,0,CHOOSE(MATCH(RegimeExecucao,{"Global","Unitário"},0),ROUND(ROUND(BM.MEDAcumulado,15-13*BM!$A$9)/100*BM!$I130,15-13*ORÇAMENTO!$AF$11),ROUND(ROUND(BM.MEDAcumulado,15-13*BM!$A$9)*ROUND(BM!$H130,15-13*ORÇAMENTO!$AF$10),15-13*ORÇAMENTO!$AF$11))),IF($A130=0,0,ROUND(SomaAgrupBM,15-13*ORÇAMENTO!$AF$11)))</f>
        <v>0</v>
      </c>
    </row>
    <row r="131" spans="1:41" ht="25.5" x14ac:dyDescent="0.2">
      <c r="A131" t="str">
        <f ca="1">ORÇAMENTO!C131</f>
        <v>S</v>
      </c>
      <c r="B131">
        <f ca="1">ORÇAMENTO!D131</f>
        <v>0</v>
      </c>
      <c r="C131" s="114" t="str">
        <f t="shared" ca="1" si="8"/>
        <v/>
      </c>
      <c r="D131" s="117" t="str">
        <f ca="1">ORÇAMENTO!O131</f>
        <v>-</v>
      </c>
      <c r="E131" s="163" t="str">
        <f t="shared" ca="1" si="15"/>
        <v>(Código não identificado nas referências)</v>
      </c>
      <c r="F131" s="164" t="str" cm="1">
        <f t="array" aca="1" ref="F131" ca="1">IF(RegimeExecucao="Global","",ORÇAMENTO.Unidade)</f>
        <v/>
      </c>
      <c r="G131" s="122" t="str" cm="1">
        <f t="array" aca="1" ref="G131" ca="1">IF(RegimeExecucao="Global","",ORÇAMENTO!T131)</f>
        <v/>
      </c>
      <c r="H131" s="122" t="str" cm="1">
        <f t="array" aca="1" ref="H131" ca="1">IF(RegimeExecucao="Global","",ORÇAMENTO!W131)</f>
        <v/>
      </c>
      <c r="I131" s="125">
        <f ca="1">ORÇAMENTO!X131</f>
        <v>0</v>
      </c>
      <c r="J131" s="333" cm="1">
        <f t="array" aca="1" ref="J131" ca="1">IF($A131="S",IF(CAIXA.Modo,BM.AFAnterior,BM.MEDAnterior),IF(AND(RegimeExecucao="Global",$I131&gt;0,COUNTIF($AB$13:$AM$13,BM.medicao-1)&gt;0),M131/$I131*100,0))</f>
        <v>0</v>
      </c>
      <c r="K131" s="122">
        <f t="shared" ca="1" si="10"/>
        <v>0</v>
      </c>
      <c r="L131" s="334" cm="1">
        <f t="array" aca="1" ref="L131" ca="1">IF($A131="S",IF(CAIXA.Modo,BM.AFAcumulado,BM.MEDAcumulado),IF(AND(RegimeExecucao="Global",$I131&gt;0,COUNTIF($AB$13:$AM$13,BM.medicao)&gt;0),O131/$I131*100,0))</f>
        <v>0</v>
      </c>
      <c r="M131" s="335" cm="1">
        <f t="array" aca="1" ref="M131" ca="1">IF($A131="S",VTOTALBM,IF($A131=0,0,ROUND(SomaAgrupBM,15-13*ORÇAMENTO!$AF$11)))</f>
        <v>0</v>
      </c>
      <c r="N131" s="336">
        <f t="shared" ca="1" si="11"/>
        <v>0</v>
      </c>
      <c r="O131" s="125" cm="1">
        <f t="array" aca="1" ref="O131" ca="1">IF($A131="S",VTOTALBM,IF($A131=0,0,ROUND(SomaAgrupBM,15-13*ORÇAMENTO!$AF$11)))</f>
        <v>0</v>
      </c>
      <c r="Q131" s="337"/>
      <c r="R131" s="338"/>
      <c r="T131" s="117" t="str">
        <f t="shared" ca="1" si="12"/>
        <v/>
      </c>
      <c r="U131" s="163" t="str">
        <f t="shared" ca="1" si="13"/>
        <v/>
      </c>
      <c r="V131" s="164" t="str" cm="1">
        <f t="array" aca="1" ref="V131" ca="1">IF(AND($W131&gt;0,RegimeExecucao="Unitário"),$F131,"")</f>
        <v/>
      </c>
      <c r="W131" s="454" cm="1">
        <f t="array" aca="1" ref="W131" ca="1">IF($Y131&gt;0,CHOOSE(MATCH(RegimeExecucao,{"Unitário","Global"},0),IF($A131="S",$Y131/$X131,""),($Y131/$X131)*100),0)</f>
        <v>0</v>
      </c>
      <c r="X131" s="339" t="str" cm="1">
        <f t="array" aca="1" ref="X131" ca="1">IF($Y131&gt;0,CHOOSE(MATCH(RegimeExecucao,{"Unitário","Global"},0),IF($A131="S",ROUND($H131,ORÇAMENTO!$AF$10),""),ROUND($I131,ORÇAMENTO!$AF$11)),"")</f>
        <v/>
      </c>
      <c r="Y131" s="339">
        <f t="shared" ca="1" si="14"/>
        <v>0</v>
      </c>
      <c r="Z131" s="473"/>
      <c r="AB131" s="337"/>
      <c r="AC131" s="437"/>
      <c r="AD131" s="437"/>
      <c r="AE131" s="437"/>
      <c r="AF131" s="437"/>
      <c r="AG131" s="437"/>
      <c r="AH131" s="437"/>
      <c r="AI131" s="437"/>
      <c r="AJ131" s="437"/>
      <c r="AK131" s="437"/>
      <c r="AL131" s="437"/>
      <c r="AM131" s="338"/>
      <c r="AO131" cm="1">
        <f t="array" aca="1" ref="AO131" ca="1">IF($A131="S",IF(BM!$I131=0,0,CHOOSE(MATCH(RegimeExecucao,{"Global","Unitário"},0),ROUND(ROUND(BM.MEDAcumulado,15-13*BM!$A$9)/100*BM!$I131,15-13*ORÇAMENTO!$AF$11),ROUND(ROUND(BM.MEDAcumulado,15-13*BM!$A$9)*ROUND(BM!$H131,15-13*ORÇAMENTO!$AF$10),15-13*ORÇAMENTO!$AF$11))),IF($A131=0,0,ROUND(SomaAgrupBM,15-13*ORÇAMENTO!$AF$11)))</f>
        <v>0</v>
      </c>
    </row>
    <row r="132" spans="1:41" x14ac:dyDescent="0.2">
      <c r="A132">
        <f ca="1">ORÇAMENTO!C132</f>
        <v>1</v>
      </c>
      <c r="B132">
        <f ca="1">ORÇAMENTO!D132</f>
        <v>101</v>
      </c>
      <c r="C132" s="114" t="str">
        <f t="shared" ca="1" si="8"/>
        <v>F</v>
      </c>
      <c r="D132" s="117" t="str">
        <f ca="1">ORÇAMENTO!O132</f>
        <v>9.</v>
      </c>
      <c r="E132" s="163" t="str">
        <f t="shared" si="15"/>
        <v>INSTALAÇÕES</v>
      </c>
      <c r="F132" s="164" t="str" cm="1">
        <f t="array" aca="1" ref="F132" ca="1">IF(RegimeExecucao="Global","",ORÇAMENTO.Unidade)</f>
        <v/>
      </c>
      <c r="G132" s="122" t="str" cm="1">
        <f t="array" aca="1" ref="G132" ca="1">IF(RegimeExecucao="Global","",ORÇAMENTO!T132)</f>
        <v/>
      </c>
      <c r="H132" s="122" t="str" cm="1">
        <f t="array" aca="1" ref="H132" ca="1">IF(RegimeExecucao="Global","",ORÇAMENTO!W132)</f>
        <v/>
      </c>
      <c r="I132" s="125">
        <f ca="1">ORÇAMENTO!X132</f>
        <v>0</v>
      </c>
      <c r="J132" s="333" cm="1">
        <f t="array" aca="1" ref="J132" ca="1">IF($A132="S",IF(CAIXA.Modo,BM.AFAnterior,BM.MEDAnterior),IF(AND(RegimeExecucao="Global",$I132&gt;0,COUNTIF($AB$13:$AM$13,BM.medicao-1)&gt;0),M132/$I132*100,0))</f>
        <v>0</v>
      </c>
      <c r="K132" s="122">
        <f t="shared" ca="1" si="10"/>
        <v>0</v>
      </c>
      <c r="L132" s="334" cm="1">
        <f t="array" aca="1" ref="L132" ca="1">IF($A132="S",IF(CAIXA.Modo,BM.AFAcumulado,BM.MEDAcumulado),IF(AND(RegimeExecucao="Global",$I132&gt;0,COUNTIF($AB$13:$AM$13,BM.medicao)&gt;0),O132/$I132*100,0))</f>
        <v>0</v>
      </c>
      <c r="M132" s="335" cm="1">
        <f t="array" aca="1" ref="M132" ca="1">IF($A132="S",VTOTALBM,IF($A132=0,0,ROUND(SomaAgrupBM,15-13*ORÇAMENTO!$AF$11)))</f>
        <v>0</v>
      </c>
      <c r="N132" s="336">
        <f t="shared" ca="1" si="11"/>
        <v>0</v>
      </c>
      <c r="O132" s="125" cm="1">
        <f t="array" aca="1" ref="O132" ca="1">IF($A132="S",VTOTALBM,IF($A132=0,0,ROUND(SomaAgrupBM,15-13*ORÇAMENTO!$AF$11)))</f>
        <v>0</v>
      </c>
      <c r="Q132" s="337"/>
      <c r="R132" s="338"/>
      <c r="T132" s="117" t="str">
        <f t="shared" ca="1" si="12"/>
        <v/>
      </c>
      <c r="U132" s="163" t="str">
        <f t="shared" ca="1" si="13"/>
        <v/>
      </c>
      <c r="V132" s="164" t="str" cm="1">
        <f t="array" aca="1" ref="V132" ca="1">IF(AND($W132&gt;0,RegimeExecucao="Unitário"),$F132,"")</f>
        <v/>
      </c>
      <c r="W132" s="454" cm="1">
        <f t="array" aca="1" ref="W132" ca="1">IF($Y132&gt;0,CHOOSE(MATCH(RegimeExecucao,{"Unitário","Global"},0),IF($A132="S",$Y132/$X132,""),($Y132/$X132)*100),0)</f>
        <v>0</v>
      </c>
      <c r="X132" s="339" t="str" cm="1">
        <f t="array" aca="1" ref="X132" ca="1">IF($Y132&gt;0,CHOOSE(MATCH(RegimeExecucao,{"Unitário","Global"},0),IF($A132="S",ROUND($H132,ORÇAMENTO!$AF$10),""),ROUND($I132,ORÇAMENTO!$AF$11)),"")</f>
        <v/>
      </c>
      <c r="Y132" s="339">
        <f t="shared" ca="1" si="14"/>
        <v>0</v>
      </c>
      <c r="Z132" s="473"/>
      <c r="AB132" s="337"/>
      <c r="AC132" s="437"/>
      <c r="AD132" s="437"/>
      <c r="AE132" s="437"/>
      <c r="AF132" s="437"/>
      <c r="AG132" s="437"/>
      <c r="AH132" s="437"/>
      <c r="AI132" s="437"/>
      <c r="AJ132" s="437"/>
      <c r="AK132" s="437"/>
      <c r="AL132" s="437"/>
      <c r="AM132" s="338"/>
      <c r="AO132" cm="1">
        <f t="array" aca="1" ref="AO132" ca="1">IF($A132="S",IF(BM!$I132=0,0,CHOOSE(MATCH(RegimeExecucao,{"Global","Unitário"},0),ROUND(ROUND(BM.MEDAcumulado,15-13*BM!$A$9)/100*BM!$I132,15-13*ORÇAMENTO!$AF$11),ROUND(ROUND(BM.MEDAcumulado,15-13*BM!$A$9)*ROUND(BM!$H132,15-13*ORÇAMENTO!$AF$10),15-13*ORÇAMENTO!$AF$11))),IF($A132=0,0,ROUND(SomaAgrupBM,15-13*ORÇAMENTO!$AF$11)))</f>
        <v>0</v>
      </c>
    </row>
    <row r="133" spans="1:41" x14ac:dyDescent="0.2">
      <c r="A133">
        <f ca="1">ORÇAMENTO!C133</f>
        <v>2</v>
      </c>
      <c r="B133">
        <f ca="1">ORÇAMENTO!D133</f>
        <v>33</v>
      </c>
      <c r="C133" s="114" t="str">
        <f t="shared" ca="1" si="8"/>
        <v>F</v>
      </c>
      <c r="D133" s="117" t="str">
        <f ca="1">ORÇAMENTO!O133</f>
        <v>9.1.</v>
      </c>
      <c r="E133" s="163" t="str">
        <f t="shared" si="15"/>
        <v>ELÉTRICAS / TELEFÔNICAS</v>
      </c>
      <c r="F133" s="164" t="str" cm="1">
        <f t="array" aca="1" ref="F133" ca="1">IF(RegimeExecucao="Global","",ORÇAMENTO.Unidade)</f>
        <v/>
      </c>
      <c r="G133" s="122" t="str" cm="1">
        <f t="array" aca="1" ref="G133" ca="1">IF(RegimeExecucao="Global","",ORÇAMENTO!T133)</f>
        <v/>
      </c>
      <c r="H133" s="122" t="str" cm="1">
        <f t="array" aca="1" ref="H133" ca="1">IF(RegimeExecucao="Global","",ORÇAMENTO!W133)</f>
        <v/>
      </c>
      <c r="I133" s="125">
        <f ca="1">ORÇAMENTO!X133</f>
        <v>0</v>
      </c>
      <c r="J133" s="333" cm="1">
        <f t="array" aca="1" ref="J133" ca="1">IF($A133="S",IF(CAIXA.Modo,BM.AFAnterior,BM.MEDAnterior),IF(AND(RegimeExecucao="Global",$I133&gt;0,COUNTIF($AB$13:$AM$13,BM.medicao-1)&gt;0),M133/$I133*100,0))</f>
        <v>0</v>
      </c>
      <c r="K133" s="122">
        <f t="shared" ca="1" si="10"/>
        <v>0</v>
      </c>
      <c r="L133" s="334" cm="1">
        <f t="array" aca="1" ref="L133" ca="1">IF($A133="S",IF(CAIXA.Modo,BM.AFAcumulado,BM.MEDAcumulado),IF(AND(RegimeExecucao="Global",$I133&gt;0,COUNTIF($AB$13:$AM$13,BM.medicao)&gt;0),O133/$I133*100,0))</f>
        <v>0</v>
      </c>
      <c r="M133" s="335" cm="1">
        <f t="array" aca="1" ref="M133" ca="1">IF($A133="S",VTOTALBM,IF($A133=0,0,ROUND(SomaAgrupBM,15-13*ORÇAMENTO!$AF$11)))</f>
        <v>0</v>
      </c>
      <c r="N133" s="336">
        <f t="shared" ca="1" si="11"/>
        <v>0</v>
      </c>
      <c r="O133" s="125" cm="1">
        <f t="array" aca="1" ref="O133" ca="1">IF($A133="S",VTOTALBM,IF($A133=0,0,ROUND(SomaAgrupBM,15-13*ORÇAMENTO!$AF$11)))</f>
        <v>0</v>
      </c>
      <c r="Q133" s="337"/>
      <c r="R133" s="338"/>
      <c r="T133" s="117" t="str">
        <f t="shared" ca="1" si="12"/>
        <v/>
      </c>
      <c r="U133" s="163" t="str">
        <f t="shared" ca="1" si="13"/>
        <v/>
      </c>
      <c r="V133" s="164" t="str" cm="1">
        <f t="array" aca="1" ref="V133" ca="1">IF(AND($W133&gt;0,RegimeExecucao="Unitário"),$F133,"")</f>
        <v/>
      </c>
      <c r="W133" s="454" cm="1">
        <f t="array" aca="1" ref="W133" ca="1">IF($Y133&gt;0,CHOOSE(MATCH(RegimeExecucao,{"Unitário","Global"},0),IF($A133="S",$Y133/$X133,""),($Y133/$X133)*100),0)</f>
        <v>0</v>
      </c>
      <c r="X133" s="339" t="str" cm="1">
        <f t="array" aca="1" ref="X133" ca="1">IF($Y133&gt;0,CHOOSE(MATCH(RegimeExecucao,{"Unitário","Global"},0),IF($A133="S",ROUND($H133,ORÇAMENTO!$AF$10),""),ROUND($I133,ORÇAMENTO!$AF$11)),"")</f>
        <v/>
      </c>
      <c r="Y133" s="339">
        <f t="shared" ca="1" si="14"/>
        <v>0</v>
      </c>
      <c r="Z133" s="473"/>
      <c r="AB133" s="337"/>
      <c r="AC133" s="437"/>
      <c r="AD133" s="437"/>
      <c r="AE133" s="437"/>
      <c r="AF133" s="437"/>
      <c r="AG133" s="437"/>
      <c r="AH133" s="437"/>
      <c r="AI133" s="437"/>
      <c r="AJ133" s="437"/>
      <c r="AK133" s="437"/>
      <c r="AL133" s="437"/>
      <c r="AM133" s="338"/>
      <c r="AO133" cm="1">
        <f t="array" aca="1" ref="AO133" ca="1">IF($A133="S",IF(BM!$I133=0,0,CHOOSE(MATCH(RegimeExecucao,{"Global","Unitário"},0),ROUND(ROUND(BM.MEDAcumulado,15-13*BM!$A$9)/100*BM!$I133,15-13*ORÇAMENTO!$AF$11),ROUND(ROUND(BM.MEDAcumulado,15-13*BM!$A$9)*ROUND(BM!$H133,15-13*ORÇAMENTO!$AF$10),15-13*ORÇAMENTO!$AF$11))),IF($A133=0,0,ROUND(SomaAgrupBM,15-13*ORÇAMENTO!$AF$11)))</f>
        <v>0</v>
      </c>
    </row>
    <row r="134" spans="1:41" x14ac:dyDescent="0.2">
      <c r="A134">
        <f ca="1">ORÇAMENTO!C134</f>
        <v>3</v>
      </c>
      <c r="B134">
        <f ca="1">ORÇAMENTO!D134</f>
        <v>8</v>
      </c>
      <c r="C134" s="114" t="str">
        <f t="shared" ca="1" si="8"/>
        <v>F</v>
      </c>
      <c r="D134" s="117" t="str">
        <f ca="1">ORÇAMENTO!O134</f>
        <v>9.1.1.</v>
      </c>
      <c r="E134" s="163" t="str">
        <f t="shared" si="15"/>
        <v>CENTRO DE DISTRIBUIÇÃO ELÉTRICA</v>
      </c>
      <c r="F134" s="164" t="str" cm="1">
        <f t="array" aca="1" ref="F134" ca="1">IF(RegimeExecucao="Global","",ORÇAMENTO.Unidade)</f>
        <v/>
      </c>
      <c r="G134" s="122" t="str" cm="1">
        <f t="array" aca="1" ref="G134" ca="1">IF(RegimeExecucao="Global","",ORÇAMENTO!T134)</f>
        <v/>
      </c>
      <c r="H134" s="122" t="str" cm="1">
        <f t="array" aca="1" ref="H134" ca="1">IF(RegimeExecucao="Global","",ORÇAMENTO!W134)</f>
        <v/>
      </c>
      <c r="I134" s="125">
        <f ca="1">ORÇAMENTO!X134</f>
        <v>0</v>
      </c>
      <c r="J134" s="333" cm="1">
        <f t="array" aca="1" ref="J134" ca="1">IF($A134="S",IF(CAIXA.Modo,BM.AFAnterior,BM.MEDAnterior),IF(AND(RegimeExecucao="Global",$I134&gt;0,COUNTIF($AB$13:$AM$13,BM.medicao-1)&gt;0),M134/$I134*100,0))</f>
        <v>0</v>
      </c>
      <c r="K134" s="122">
        <f t="shared" ca="1" si="10"/>
        <v>0</v>
      </c>
      <c r="L134" s="334" cm="1">
        <f t="array" aca="1" ref="L134" ca="1">IF($A134="S",IF(CAIXA.Modo,BM.AFAcumulado,BM.MEDAcumulado),IF(AND(RegimeExecucao="Global",$I134&gt;0,COUNTIF($AB$13:$AM$13,BM.medicao)&gt;0),O134/$I134*100,0))</f>
        <v>0</v>
      </c>
      <c r="M134" s="335" cm="1">
        <f t="array" aca="1" ref="M134" ca="1">IF($A134="S",VTOTALBM,IF($A134=0,0,ROUND(SomaAgrupBM,15-13*ORÇAMENTO!$AF$11)))</f>
        <v>0</v>
      </c>
      <c r="N134" s="336">
        <f t="shared" ca="1" si="11"/>
        <v>0</v>
      </c>
      <c r="O134" s="125" cm="1">
        <f t="array" aca="1" ref="O134" ca="1">IF($A134="S",VTOTALBM,IF($A134=0,0,ROUND(SomaAgrupBM,15-13*ORÇAMENTO!$AF$11)))</f>
        <v>0</v>
      </c>
      <c r="Q134" s="337"/>
      <c r="R134" s="338"/>
      <c r="T134" s="117" t="str">
        <f t="shared" ca="1" si="12"/>
        <v/>
      </c>
      <c r="U134" s="163" t="str">
        <f t="shared" ca="1" si="13"/>
        <v/>
      </c>
      <c r="V134" s="164" t="str" cm="1">
        <f t="array" aca="1" ref="V134" ca="1">IF(AND($W134&gt;0,RegimeExecucao="Unitário"),$F134,"")</f>
        <v/>
      </c>
      <c r="W134" s="454" cm="1">
        <f t="array" aca="1" ref="W134" ca="1">IF($Y134&gt;0,CHOOSE(MATCH(RegimeExecucao,{"Unitário","Global"},0),IF($A134="S",$Y134/$X134,""),($Y134/$X134)*100),0)</f>
        <v>0</v>
      </c>
      <c r="X134" s="339" t="str" cm="1">
        <f t="array" aca="1" ref="X134" ca="1">IF($Y134&gt;0,CHOOSE(MATCH(RegimeExecucao,{"Unitário","Global"},0),IF($A134="S",ROUND($H134,ORÇAMENTO!$AF$10),""),ROUND($I134,ORÇAMENTO!$AF$11)),"")</f>
        <v/>
      </c>
      <c r="Y134" s="339">
        <f t="shared" ca="1" si="14"/>
        <v>0</v>
      </c>
      <c r="Z134" s="473"/>
      <c r="AB134" s="337"/>
      <c r="AC134" s="437"/>
      <c r="AD134" s="437"/>
      <c r="AE134" s="437"/>
      <c r="AF134" s="437"/>
      <c r="AG134" s="437"/>
      <c r="AH134" s="437"/>
      <c r="AI134" s="437"/>
      <c r="AJ134" s="437"/>
      <c r="AK134" s="437"/>
      <c r="AL134" s="437"/>
      <c r="AM134" s="338"/>
      <c r="AO134" cm="1">
        <f t="array" aca="1" ref="AO134" ca="1">IF($A134="S",IF(BM!$I134=0,0,CHOOSE(MATCH(RegimeExecucao,{"Global","Unitário"},0),ROUND(ROUND(BM.MEDAcumulado,15-13*BM!$A$9)/100*BM!$I134,15-13*ORÇAMENTO!$AF$11),ROUND(ROUND(BM.MEDAcumulado,15-13*BM!$A$9)*ROUND(BM!$H134,15-13*ORÇAMENTO!$AF$10),15-13*ORÇAMENTO!$AF$11))),IF($A134=0,0,ROUND(SomaAgrupBM,15-13*ORÇAMENTO!$AF$11)))</f>
        <v>0</v>
      </c>
    </row>
    <row r="135" spans="1:41" ht="25.5" x14ac:dyDescent="0.2">
      <c r="A135" t="str">
        <f ca="1">ORÇAMENTO!C135</f>
        <v>S</v>
      </c>
      <c r="B135">
        <f ca="1">ORÇAMENTO!D135</f>
        <v>0</v>
      </c>
      <c r="C135" s="114" t="str">
        <f t="shared" ca="1" si="8"/>
        <v/>
      </c>
      <c r="D135" s="117" t="str">
        <f ca="1">ORÇAMENTO!O135</f>
        <v>-</v>
      </c>
      <c r="E135" s="163" t="str">
        <f t="shared" ca="1" si="15"/>
        <v>(Código não identificado nas referências)</v>
      </c>
      <c r="F135" s="164" t="str" cm="1">
        <f t="array" aca="1" ref="F135" ca="1">IF(RegimeExecucao="Global","",ORÇAMENTO.Unidade)</f>
        <v/>
      </c>
      <c r="G135" s="122" t="str" cm="1">
        <f t="array" aca="1" ref="G135" ca="1">IF(RegimeExecucao="Global","",ORÇAMENTO!T135)</f>
        <v/>
      </c>
      <c r="H135" s="122" t="str" cm="1">
        <f t="array" aca="1" ref="H135" ca="1">IF(RegimeExecucao="Global","",ORÇAMENTO!W135)</f>
        <v/>
      </c>
      <c r="I135" s="125">
        <f ca="1">ORÇAMENTO!X135</f>
        <v>0</v>
      </c>
      <c r="J135" s="333" cm="1">
        <f t="array" aca="1" ref="J135" ca="1">IF($A135="S",IF(CAIXA.Modo,BM.AFAnterior,BM.MEDAnterior),IF(AND(RegimeExecucao="Global",$I135&gt;0,COUNTIF($AB$13:$AM$13,BM.medicao-1)&gt;0),M135/$I135*100,0))</f>
        <v>0</v>
      </c>
      <c r="K135" s="122">
        <f t="shared" ca="1" si="10"/>
        <v>0</v>
      </c>
      <c r="L135" s="334" cm="1">
        <f t="array" aca="1" ref="L135" ca="1">IF($A135="S",IF(CAIXA.Modo,BM.AFAcumulado,BM.MEDAcumulado),IF(AND(RegimeExecucao="Global",$I135&gt;0,COUNTIF($AB$13:$AM$13,BM.medicao)&gt;0),O135/$I135*100,0))</f>
        <v>0</v>
      </c>
      <c r="M135" s="335" cm="1">
        <f t="array" aca="1" ref="M135" ca="1">IF($A135="S",VTOTALBM,IF($A135=0,0,ROUND(SomaAgrupBM,15-13*ORÇAMENTO!$AF$11)))</f>
        <v>0</v>
      </c>
      <c r="N135" s="336">
        <f t="shared" ca="1" si="11"/>
        <v>0</v>
      </c>
      <c r="O135" s="125" cm="1">
        <f t="array" aca="1" ref="O135" ca="1">IF($A135="S",VTOTALBM,IF($A135=0,0,ROUND(SomaAgrupBM,15-13*ORÇAMENTO!$AF$11)))</f>
        <v>0</v>
      </c>
      <c r="Q135" s="337"/>
      <c r="R135" s="338"/>
      <c r="T135" s="117" t="str">
        <f t="shared" ca="1" si="12"/>
        <v/>
      </c>
      <c r="U135" s="163" t="str">
        <f t="shared" ca="1" si="13"/>
        <v/>
      </c>
      <c r="V135" s="164" t="str" cm="1">
        <f t="array" aca="1" ref="V135" ca="1">IF(AND($W135&gt;0,RegimeExecucao="Unitário"),$F135,"")</f>
        <v/>
      </c>
      <c r="W135" s="454" cm="1">
        <f t="array" aca="1" ref="W135" ca="1">IF($Y135&gt;0,CHOOSE(MATCH(RegimeExecucao,{"Unitário","Global"},0),IF($A135="S",$Y135/$X135,""),($Y135/$X135)*100),0)</f>
        <v>0</v>
      </c>
      <c r="X135" s="339" t="str" cm="1">
        <f t="array" aca="1" ref="X135" ca="1">IF($Y135&gt;0,CHOOSE(MATCH(RegimeExecucao,{"Unitário","Global"},0),IF($A135="S",ROUND($H135,ORÇAMENTO!$AF$10),""),ROUND($I135,ORÇAMENTO!$AF$11)),"")</f>
        <v/>
      </c>
      <c r="Y135" s="339">
        <f t="shared" ca="1" si="14"/>
        <v>0</v>
      </c>
      <c r="Z135" s="473"/>
      <c r="AB135" s="337"/>
      <c r="AC135" s="437"/>
      <c r="AD135" s="437"/>
      <c r="AE135" s="437"/>
      <c r="AF135" s="437"/>
      <c r="AG135" s="437"/>
      <c r="AH135" s="437"/>
      <c r="AI135" s="437"/>
      <c r="AJ135" s="437"/>
      <c r="AK135" s="437"/>
      <c r="AL135" s="437"/>
      <c r="AM135" s="338"/>
      <c r="AO135" cm="1">
        <f t="array" aca="1" ref="AO135" ca="1">IF($A135="S",IF(BM!$I135=0,0,CHOOSE(MATCH(RegimeExecucao,{"Global","Unitário"},0),ROUND(ROUND(BM.MEDAcumulado,15-13*BM!$A$9)/100*BM!$I135,15-13*ORÇAMENTO!$AF$11),ROUND(ROUND(BM.MEDAcumulado,15-13*BM!$A$9)*ROUND(BM!$H135,15-13*ORÇAMENTO!$AF$10),15-13*ORÇAMENTO!$AF$11))),IF($A135=0,0,ROUND(SomaAgrupBM,15-13*ORÇAMENTO!$AF$11)))</f>
        <v>0</v>
      </c>
    </row>
    <row r="136" spans="1:41" ht="25.5" x14ac:dyDescent="0.2">
      <c r="A136" t="str">
        <f ca="1">ORÇAMENTO!C136</f>
        <v>S</v>
      </c>
      <c r="B136">
        <f ca="1">ORÇAMENTO!D136</f>
        <v>0</v>
      </c>
      <c r="C136" s="114" t="str">
        <f t="shared" ca="1" si="8"/>
        <v/>
      </c>
      <c r="D136" s="117" t="str">
        <f ca="1">ORÇAMENTO!O136</f>
        <v>-</v>
      </c>
      <c r="E136" s="163" t="str">
        <f t="shared" ca="1" si="15"/>
        <v>(Código não identificado nas referências)</v>
      </c>
      <c r="F136" s="164" t="str" cm="1">
        <f t="array" aca="1" ref="F136" ca="1">IF(RegimeExecucao="Global","",ORÇAMENTO.Unidade)</f>
        <v/>
      </c>
      <c r="G136" s="122" t="str" cm="1">
        <f t="array" aca="1" ref="G136" ca="1">IF(RegimeExecucao="Global","",ORÇAMENTO!T136)</f>
        <v/>
      </c>
      <c r="H136" s="122" t="str" cm="1">
        <f t="array" aca="1" ref="H136" ca="1">IF(RegimeExecucao="Global","",ORÇAMENTO!W136)</f>
        <v/>
      </c>
      <c r="I136" s="125">
        <f ca="1">ORÇAMENTO!X136</f>
        <v>0</v>
      </c>
      <c r="J136" s="333" cm="1">
        <f t="array" aca="1" ref="J136" ca="1">IF($A136="S",IF(CAIXA.Modo,BM.AFAnterior,BM.MEDAnterior),IF(AND(RegimeExecucao="Global",$I136&gt;0,COUNTIF($AB$13:$AM$13,BM.medicao-1)&gt;0),M136/$I136*100,0))</f>
        <v>0</v>
      </c>
      <c r="K136" s="122">
        <f t="shared" ca="1" si="10"/>
        <v>0</v>
      </c>
      <c r="L136" s="334" cm="1">
        <f t="array" aca="1" ref="L136" ca="1">IF($A136="S",IF(CAIXA.Modo,BM.AFAcumulado,BM.MEDAcumulado),IF(AND(RegimeExecucao="Global",$I136&gt;0,COUNTIF($AB$13:$AM$13,BM.medicao)&gt;0),O136/$I136*100,0))</f>
        <v>0</v>
      </c>
      <c r="M136" s="335" cm="1">
        <f t="array" aca="1" ref="M136" ca="1">IF($A136="S",VTOTALBM,IF($A136=0,0,ROUND(SomaAgrupBM,15-13*ORÇAMENTO!$AF$11)))</f>
        <v>0</v>
      </c>
      <c r="N136" s="336">
        <f t="shared" ca="1" si="11"/>
        <v>0</v>
      </c>
      <c r="O136" s="125" cm="1">
        <f t="array" aca="1" ref="O136" ca="1">IF($A136="S",VTOTALBM,IF($A136=0,0,ROUND(SomaAgrupBM,15-13*ORÇAMENTO!$AF$11)))</f>
        <v>0</v>
      </c>
      <c r="Q136" s="337"/>
      <c r="R136" s="338"/>
      <c r="T136" s="117" t="str">
        <f t="shared" ca="1" si="12"/>
        <v/>
      </c>
      <c r="U136" s="163" t="str">
        <f t="shared" ca="1" si="13"/>
        <v/>
      </c>
      <c r="V136" s="164" t="str" cm="1">
        <f t="array" aca="1" ref="V136" ca="1">IF(AND($W136&gt;0,RegimeExecucao="Unitário"),$F136,"")</f>
        <v/>
      </c>
      <c r="W136" s="454" cm="1">
        <f t="array" aca="1" ref="W136" ca="1">IF($Y136&gt;0,CHOOSE(MATCH(RegimeExecucao,{"Unitário","Global"},0),IF($A136="S",$Y136/$X136,""),($Y136/$X136)*100),0)</f>
        <v>0</v>
      </c>
      <c r="X136" s="339" t="str" cm="1">
        <f t="array" aca="1" ref="X136" ca="1">IF($Y136&gt;0,CHOOSE(MATCH(RegimeExecucao,{"Unitário","Global"},0),IF($A136="S",ROUND($H136,ORÇAMENTO!$AF$10),""),ROUND($I136,ORÇAMENTO!$AF$11)),"")</f>
        <v/>
      </c>
      <c r="Y136" s="339">
        <f t="shared" ca="1" si="14"/>
        <v>0</v>
      </c>
      <c r="Z136" s="473"/>
      <c r="AB136" s="337"/>
      <c r="AC136" s="437"/>
      <c r="AD136" s="437"/>
      <c r="AE136" s="437"/>
      <c r="AF136" s="437"/>
      <c r="AG136" s="437"/>
      <c r="AH136" s="437"/>
      <c r="AI136" s="437"/>
      <c r="AJ136" s="437"/>
      <c r="AK136" s="437"/>
      <c r="AL136" s="437"/>
      <c r="AM136" s="338"/>
      <c r="AO136" cm="1">
        <f t="array" aca="1" ref="AO136" ca="1">IF($A136="S",IF(BM!$I136=0,0,CHOOSE(MATCH(RegimeExecucao,{"Global","Unitário"},0),ROUND(ROUND(BM.MEDAcumulado,15-13*BM!$A$9)/100*BM!$I136,15-13*ORÇAMENTO!$AF$11),ROUND(ROUND(BM.MEDAcumulado,15-13*BM!$A$9)*ROUND(BM!$H136,15-13*ORÇAMENTO!$AF$10),15-13*ORÇAMENTO!$AF$11))),IF($A136=0,0,ROUND(SomaAgrupBM,15-13*ORÇAMENTO!$AF$11)))</f>
        <v>0</v>
      </c>
    </row>
    <row r="137" spans="1:41" ht="25.5" x14ac:dyDescent="0.2">
      <c r="A137" t="str">
        <f ca="1">ORÇAMENTO!C137</f>
        <v>S</v>
      </c>
      <c r="B137">
        <f ca="1">ORÇAMENTO!D137</f>
        <v>0</v>
      </c>
      <c r="C137" s="114" t="str">
        <f t="shared" ca="1" si="8"/>
        <v/>
      </c>
      <c r="D137" s="117" t="str">
        <f ca="1">ORÇAMENTO!O137</f>
        <v>-</v>
      </c>
      <c r="E137" s="163" t="str">
        <f t="shared" ca="1" si="15"/>
        <v>(Código não identificado nas referências)</v>
      </c>
      <c r="F137" s="164" t="str" cm="1">
        <f t="array" aca="1" ref="F137" ca="1">IF(RegimeExecucao="Global","",ORÇAMENTO.Unidade)</f>
        <v/>
      </c>
      <c r="G137" s="122" t="str" cm="1">
        <f t="array" aca="1" ref="G137" ca="1">IF(RegimeExecucao="Global","",ORÇAMENTO!T137)</f>
        <v/>
      </c>
      <c r="H137" s="122" t="str" cm="1">
        <f t="array" aca="1" ref="H137" ca="1">IF(RegimeExecucao="Global","",ORÇAMENTO!W137)</f>
        <v/>
      </c>
      <c r="I137" s="125">
        <f ca="1">ORÇAMENTO!X137</f>
        <v>0</v>
      </c>
      <c r="J137" s="333" cm="1">
        <f t="array" aca="1" ref="J137" ca="1">IF($A137="S",IF(CAIXA.Modo,BM.AFAnterior,BM.MEDAnterior),IF(AND(RegimeExecucao="Global",$I137&gt;0,COUNTIF($AB$13:$AM$13,BM.medicao-1)&gt;0),M137/$I137*100,0))</f>
        <v>0</v>
      </c>
      <c r="K137" s="122">
        <f t="shared" ca="1" si="10"/>
        <v>0</v>
      </c>
      <c r="L137" s="334" cm="1">
        <f t="array" aca="1" ref="L137" ca="1">IF($A137="S",IF(CAIXA.Modo,BM.AFAcumulado,BM.MEDAcumulado),IF(AND(RegimeExecucao="Global",$I137&gt;0,COUNTIF($AB$13:$AM$13,BM.medicao)&gt;0),O137/$I137*100,0))</f>
        <v>0</v>
      </c>
      <c r="M137" s="335" cm="1">
        <f t="array" aca="1" ref="M137" ca="1">IF($A137="S",VTOTALBM,IF($A137=0,0,ROUND(SomaAgrupBM,15-13*ORÇAMENTO!$AF$11)))</f>
        <v>0</v>
      </c>
      <c r="N137" s="336">
        <f t="shared" ca="1" si="11"/>
        <v>0</v>
      </c>
      <c r="O137" s="125" cm="1">
        <f t="array" aca="1" ref="O137" ca="1">IF($A137="S",VTOTALBM,IF($A137=0,0,ROUND(SomaAgrupBM,15-13*ORÇAMENTO!$AF$11)))</f>
        <v>0</v>
      </c>
      <c r="Q137" s="337"/>
      <c r="R137" s="338"/>
      <c r="T137" s="117" t="str">
        <f t="shared" ca="1" si="12"/>
        <v/>
      </c>
      <c r="U137" s="163" t="str">
        <f t="shared" ca="1" si="13"/>
        <v/>
      </c>
      <c r="V137" s="164" t="str" cm="1">
        <f t="array" aca="1" ref="V137" ca="1">IF(AND($W137&gt;0,RegimeExecucao="Unitário"),$F137,"")</f>
        <v/>
      </c>
      <c r="W137" s="454" cm="1">
        <f t="array" aca="1" ref="W137" ca="1">IF($Y137&gt;0,CHOOSE(MATCH(RegimeExecucao,{"Unitário","Global"},0),IF($A137="S",$Y137/$X137,""),($Y137/$X137)*100),0)</f>
        <v>0</v>
      </c>
      <c r="X137" s="339" t="str" cm="1">
        <f t="array" aca="1" ref="X137" ca="1">IF($Y137&gt;0,CHOOSE(MATCH(RegimeExecucao,{"Unitário","Global"},0),IF($A137="S",ROUND($H137,ORÇAMENTO!$AF$10),""),ROUND($I137,ORÇAMENTO!$AF$11)),"")</f>
        <v/>
      </c>
      <c r="Y137" s="339">
        <f t="shared" ca="1" si="14"/>
        <v>0</v>
      </c>
      <c r="Z137" s="473"/>
      <c r="AB137" s="337"/>
      <c r="AC137" s="437"/>
      <c r="AD137" s="437"/>
      <c r="AE137" s="437"/>
      <c r="AF137" s="437"/>
      <c r="AG137" s="437"/>
      <c r="AH137" s="437"/>
      <c r="AI137" s="437"/>
      <c r="AJ137" s="437"/>
      <c r="AK137" s="437"/>
      <c r="AL137" s="437"/>
      <c r="AM137" s="338"/>
      <c r="AO137" cm="1">
        <f t="array" aca="1" ref="AO137" ca="1">IF($A137="S",IF(BM!$I137=0,0,CHOOSE(MATCH(RegimeExecucao,{"Global","Unitário"},0),ROUND(ROUND(BM.MEDAcumulado,15-13*BM!$A$9)/100*BM!$I137,15-13*ORÇAMENTO!$AF$11),ROUND(ROUND(BM.MEDAcumulado,15-13*BM!$A$9)*ROUND(BM!$H137,15-13*ORÇAMENTO!$AF$10),15-13*ORÇAMENTO!$AF$11))),IF($A137=0,0,ROUND(SomaAgrupBM,15-13*ORÇAMENTO!$AF$11)))</f>
        <v>0</v>
      </c>
    </row>
    <row r="138" spans="1:41" ht="25.5" x14ac:dyDescent="0.2">
      <c r="A138" t="str">
        <f ca="1">ORÇAMENTO!C138</f>
        <v>S</v>
      </c>
      <c r="B138">
        <f ca="1">ORÇAMENTO!D138</f>
        <v>0</v>
      </c>
      <c r="C138" s="114" t="str">
        <f t="shared" ca="1" si="8"/>
        <v/>
      </c>
      <c r="D138" s="117" t="str">
        <f ca="1">ORÇAMENTO!O138</f>
        <v>-</v>
      </c>
      <c r="E138" s="163" t="str">
        <f t="shared" ca="1" si="15"/>
        <v>(Código não identificado nas referências)</v>
      </c>
      <c r="F138" s="164" t="str" cm="1">
        <f t="array" aca="1" ref="F138" ca="1">IF(RegimeExecucao="Global","",ORÇAMENTO.Unidade)</f>
        <v/>
      </c>
      <c r="G138" s="122" t="str" cm="1">
        <f t="array" aca="1" ref="G138" ca="1">IF(RegimeExecucao="Global","",ORÇAMENTO!T138)</f>
        <v/>
      </c>
      <c r="H138" s="122" t="str" cm="1">
        <f t="array" aca="1" ref="H138" ca="1">IF(RegimeExecucao="Global","",ORÇAMENTO!W138)</f>
        <v/>
      </c>
      <c r="I138" s="125">
        <f ca="1">ORÇAMENTO!X138</f>
        <v>0</v>
      </c>
      <c r="J138" s="333" cm="1">
        <f t="array" aca="1" ref="J138" ca="1">IF($A138="S",IF(CAIXA.Modo,BM.AFAnterior,BM.MEDAnterior),IF(AND(RegimeExecucao="Global",$I138&gt;0,COUNTIF($AB$13:$AM$13,BM.medicao-1)&gt;0),M138/$I138*100,0))</f>
        <v>0</v>
      </c>
      <c r="K138" s="122">
        <f t="shared" ca="1" si="10"/>
        <v>0</v>
      </c>
      <c r="L138" s="334" cm="1">
        <f t="array" aca="1" ref="L138" ca="1">IF($A138="S",IF(CAIXA.Modo,BM.AFAcumulado,BM.MEDAcumulado),IF(AND(RegimeExecucao="Global",$I138&gt;0,COUNTIF($AB$13:$AM$13,BM.medicao)&gt;0),O138/$I138*100,0))</f>
        <v>0</v>
      </c>
      <c r="M138" s="335" cm="1">
        <f t="array" aca="1" ref="M138" ca="1">IF($A138="S",VTOTALBM,IF($A138=0,0,ROUND(SomaAgrupBM,15-13*ORÇAMENTO!$AF$11)))</f>
        <v>0</v>
      </c>
      <c r="N138" s="336">
        <f t="shared" ca="1" si="11"/>
        <v>0</v>
      </c>
      <c r="O138" s="125" cm="1">
        <f t="array" aca="1" ref="O138" ca="1">IF($A138="S",VTOTALBM,IF($A138=0,0,ROUND(SomaAgrupBM,15-13*ORÇAMENTO!$AF$11)))</f>
        <v>0</v>
      </c>
      <c r="Q138" s="337"/>
      <c r="R138" s="338"/>
      <c r="T138" s="117" t="str">
        <f t="shared" ca="1" si="12"/>
        <v/>
      </c>
      <c r="U138" s="163" t="str">
        <f t="shared" ca="1" si="13"/>
        <v/>
      </c>
      <c r="V138" s="164" t="str" cm="1">
        <f t="array" aca="1" ref="V138" ca="1">IF(AND($W138&gt;0,RegimeExecucao="Unitário"),$F138,"")</f>
        <v/>
      </c>
      <c r="W138" s="454" cm="1">
        <f t="array" aca="1" ref="W138" ca="1">IF($Y138&gt;0,CHOOSE(MATCH(RegimeExecucao,{"Unitário","Global"},0),IF($A138="S",$Y138/$X138,""),($Y138/$X138)*100),0)</f>
        <v>0</v>
      </c>
      <c r="X138" s="339" t="str" cm="1">
        <f t="array" aca="1" ref="X138" ca="1">IF($Y138&gt;0,CHOOSE(MATCH(RegimeExecucao,{"Unitário","Global"},0),IF($A138="S",ROUND($H138,ORÇAMENTO!$AF$10),""),ROUND($I138,ORÇAMENTO!$AF$11)),"")</f>
        <v/>
      </c>
      <c r="Y138" s="339">
        <f t="shared" ca="1" si="14"/>
        <v>0</v>
      </c>
      <c r="Z138" s="473"/>
      <c r="AB138" s="337"/>
      <c r="AC138" s="437"/>
      <c r="AD138" s="437"/>
      <c r="AE138" s="437"/>
      <c r="AF138" s="437"/>
      <c r="AG138" s="437"/>
      <c r="AH138" s="437"/>
      <c r="AI138" s="437"/>
      <c r="AJ138" s="437"/>
      <c r="AK138" s="437"/>
      <c r="AL138" s="437"/>
      <c r="AM138" s="338"/>
      <c r="AO138" cm="1">
        <f t="array" aca="1" ref="AO138" ca="1">IF($A138="S",IF(BM!$I138=0,0,CHOOSE(MATCH(RegimeExecucao,{"Global","Unitário"},0),ROUND(ROUND(BM.MEDAcumulado,15-13*BM!$A$9)/100*BM!$I138,15-13*ORÇAMENTO!$AF$11),ROUND(ROUND(BM.MEDAcumulado,15-13*BM!$A$9)*ROUND(BM!$H138,15-13*ORÇAMENTO!$AF$10),15-13*ORÇAMENTO!$AF$11))),IF($A138=0,0,ROUND(SomaAgrupBM,15-13*ORÇAMENTO!$AF$11)))</f>
        <v>0</v>
      </c>
    </row>
    <row r="139" spans="1:41" ht="25.5" x14ac:dyDescent="0.2">
      <c r="A139" t="str">
        <f ca="1">ORÇAMENTO!C139</f>
        <v>S</v>
      </c>
      <c r="B139">
        <f ca="1">ORÇAMENTO!D139</f>
        <v>0</v>
      </c>
      <c r="C139" s="114" t="str">
        <f t="shared" ca="1" si="8"/>
        <v/>
      </c>
      <c r="D139" s="117" t="str">
        <f ca="1">ORÇAMENTO!O139</f>
        <v>-</v>
      </c>
      <c r="E139" s="163" t="str">
        <f t="shared" ca="1" si="15"/>
        <v>(Código não identificado nas referências)</v>
      </c>
      <c r="F139" s="164" t="str" cm="1">
        <f t="array" aca="1" ref="F139" ca="1">IF(RegimeExecucao="Global","",ORÇAMENTO.Unidade)</f>
        <v/>
      </c>
      <c r="G139" s="122" t="str" cm="1">
        <f t="array" aca="1" ref="G139" ca="1">IF(RegimeExecucao="Global","",ORÇAMENTO!T139)</f>
        <v/>
      </c>
      <c r="H139" s="122" t="str" cm="1">
        <f t="array" aca="1" ref="H139" ca="1">IF(RegimeExecucao="Global","",ORÇAMENTO!W139)</f>
        <v/>
      </c>
      <c r="I139" s="125">
        <f ca="1">ORÇAMENTO!X139</f>
        <v>0</v>
      </c>
      <c r="J139" s="333" cm="1">
        <f t="array" aca="1" ref="J139" ca="1">IF($A139="S",IF(CAIXA.Modo,BM.AFAnterior,BM.MEDAnterior),IF(AND(RegimeExecucao="Global",$I139&gt;0,COUNTIF($AB$13:$AM$13,BM.medicao-1)&gt;0),M139/$I139*100,0))</f>
        <v>0</v>
      </c>
      <c r="K139" s="122">
        <f t="shared" ca="1" si="10"/>
        <v>0</v>
      </c>
      <c r="L139" s="334" cm="1">
        <f t="array" aca="1" ref="L139" ca="1">IF($A139="S",IF(CAIXA.Modo,BM.AFAcumulado,BM.MEDAcumulado),IF(AND(RegimeExecucao="Global",$I139&gt;0,COUNTIF($AB$13:$AM$13,BM.medicao)&gt;0),O139/$I139*100,0))</f>
        <v>0</v>
      </c>
      <c r="M139" s="335" cm="1">
        <f t="array" aca="1" ref="M139" ca="1">IF($A139="S",VTOTALBM,IF($A139=0,0,ROUND(SomaAgrupBM,15-13*ORÇAMENTO!$AF$11)))</f>
        <v>0</v>
      </c>
      <c r="N139" s="336">
        <f t="shared" ca="1" si="11"/>
        <v>0</v>
      </c>
      <c r="O139" s="125" cm="1">
        <f t="array" aca="1" ref="O139" ca="1">IF($A139="S",VTOTALBM,IF($A139=0,0,ROUND(SomaAgrupBM,15-13*ORÇAMENTO!$AF$11)))</f>
        <v>0</v>
      </c>
      <c r="Q139" s="337"/>
      <c r="R139" s="338"/>
      <c r="T139" s="117" t="str">
        <f t="shared" ca="1" si="12"/>
        <v/>
      </c>
      <c r="U139" s="163" t="str">
        <f t="shared" ca="1" si="13"/>
        <v/>
      </c>
      <c r="V139" s="164" t="str" cm="1">
        <f t="array" aca="1" ref="V139" ca="1">IF(AND($W139&gt;0,RegimeExecucao="Unitário"),$F139,"")</f>
        <v/>
      </c>
      <c r="W139" s="454" cm="1">
        <f t="array" aca="1" ref="W139" ca="1">IF($Y139&gt;0,CHOOSE(MATCH(RegimeExecucao,{"Unitário","Global"},0),IF($A139="S",$Y139/$X139,""),($Y139/$X139)*100),0)</f>
        <v>0</v>
      </c>
      <c r="X139" s="339" t="str" cm="1">
        <f t="array" aca="1" ref="X139" ca="1">IF($Y139&gt;0,CHOOSE(MATCH(RegimeExecucao,{"Unitário","Global"},0),IF($A139="S",ROUND($H139,ORÇAMENTO!$AF$10),""),ROUND($I139,ORÇAMENTO!$AF$11)),"")</f>
        <v/>
      </c>
      <c r="Y139" s="339">
        <f t="shared" ca="1" si="14"/>
        <v>0</v>
      </c>
      <c r="Z139" s="473"/>
      <c r="AB139" s="337"/>
      <c r="AC139" s="437"/>
      <c r="AD139" s="437"/>
      <c r="AE139" s="437"/>
      <c r="AF139" s="437"/>
      <c r="AG139" s="437"/>
      <c r="AH139" s="437"/>
      <c r="AI139" s="437"/>
      <c r="AJ139" s="437"/>
      <c r="AK139" s="437"/>
      <c r="AL139" s="437"/>
      <c r="AM139" s="338"/>
      <c r="AO139" cm="1">
        <f t="array" aca="1" ref="AO139" ca="1">IF($A139="S",IF(BM!$I139=0,0,CHOOSE(MATCH(RegimeExecucao,{"Global","Unitário"},0),ROUND(ROUND(BM.MEDAcumulado,15-13*BM!$A$9)/100*BM!$I139,15-13*ORÇAMENTO!$AF$11),ROUND(ROUND(BM.MEDAcumulado,15-13*BM!$A$9)*ROUND(BM!$H139,15-13*ORÇAMENTO!$AF$10),15-13*ORÇAMENTO!$AF$11))),IF($A139=0,0,ROUND(SomaAgrupBM,15-13*ORÇAMENTO!$AF$11)))</f>
        <v>0</v>
      </c>
    </row>
    <row r="140" spans="1:41" ht="38.25" x14ac:dyDescent="0.2">
      <c r="A140" t="str">
        <f ca="1">ORÇAMENTO!C140</f>
        <v>S</v>
      </c>
      <c r="B140">
        <f ca="1">ORÇAMENTO!D140</f>
        <v>0</v>
      </c>
      <c r="C140" s="114" t="str">
        <f t="shared" ca="1" si="8"/>
        <v/>
      </c>
      <c r="D140" s="117" t="str">
        <f ca="1">ORÇAMENTO!O140</f>
        <v>-</v>
      </c>
      <c r="E140" s="163" t="str">
        <f t="shared" ca="1" si="15"/>
        <v>(Código não identificado nas referências)</v>
      </c>
      <c r="F140" s="164" t="str" cm="1">
        <f t="array" aca="1" ref="F140" ca="1">IF(RegimeExecucao="Global","",ORÇAMENTO.Unidade)</f>
        <v/>
      </c>
      <c r="G140" s="122" t="str" cm="1">
        <f t="array" aca="1" ref="G140" ca="1">IF(RegimeExecucao="Global","",ORÇAMENTO!T140)</f>
        <v/>
      </c>
      <c r="H140" s="122" t="str" cm="1">
        <f t="array" aca="1" ref="H140" ca="1">IF(RegimeExecucao="Global","",ORÇAMENTO!W140)</f>
        <v/>
      </c>
      <c r="I140" s="125">
        <f ca="1">ORÇAMENTO!X140</f>
        <v>0</v>
      </c>
      <c r="J140" s="333" cm="1">
        <f t="array" aca="1" ref="J140" ca="1">IF($A140="S",IF(CAIXA.Modo,BM.AFAnterior,BM.MEDAnterior),IF(AND(RegimeExecucao="Global",$I140&gt;0,COUNTIF($AB$13:$AM$13,BM.medicao-1)&gt;0),M140/$I140*100,0))</f>
        <v>0</v>
      </c>
      <c r="K140" s="122">
        <f t="shared" ca="1" si="10"/>
        <v>0</v>
      </c>
      <c r="L140" s="334" cm="1">
        <f t="array" aca="1" ref="L140" ca="1">IF($A140="S",IF(CAIXA.Modo,BM.AFAcumulado,BM.MEDAcumulado),IF(AND(RegimeExecucao="Global",$I140&gt;0,COUNTIF($AB$13:$AM$13,BM.medicao)&gt;0),O140/$I140*100,0))</f>
        <v>0</v>
      </c>
      <c r="M140" s="335" cm="1">
        <f t="array" aca="1" ref="M140" ca="1">IF($A140="S",VTOTALBM,IF($A140=0,0,ROUND(SomaAgrupBM,15-13*ORÇAMENTO!$AF$11)))</f>
        <v>0</v>
      </c>
      <c r="N140" s="336">
        <f t="shared" ca="1" si="11"/>
        <v>0</v>
      </c>
      <c r="O140" s="125" cm="1">
        <f t="array" aca="1" ref="O140" ca="1">IF($A140="S",VTOTALBM,IF($A140=0,0,ROUND(SomaAgrupBM,15-13*ORÇAMENTO!$AF$11)))</f>
        <v>0</v>
      </c>
      <c r="Q140" s="337"/>
      <c r="R140" s="338"/>
      <c r="T140" s="117" t="str">
        <f t="shared" ca="1" si="12"/>
        <v/>
      </c>
      <c r="U140" s="163" t="str">
        <f t="shared" ca="1" si="13"/>
        <v/>
      </c>
      <c r="V140" s="164" t="str" cm="1">
        <f t="array" aca="1" ref="V140" ca="1">IF(AND($W140&gt;0,RegimeExecucao="Unitário"),$F140,"")</f>
        <v/>
      </c>
      <c r="W140" s="454" cm="1">
        <f t="array" aca="1" ref="W140" ca="1">IF($Y140&gt;0,CHOOSE(MATCH(RegimeExecucao,{"Unitário","Global"},0),IF($A140="S",$Y140/$X140,""),($Y140/$X140)*100),0)</f>
        <v>0</v>
      </c>
      <c r="X140" s="339" t="str" cm="1">
        <f t="array" aca="1" ref="X140" ca="1">IF($Y140&gt;0,CHOOSE(MATCH(RegimeExecucao,{"Unitário","Global"},0),IF($A140="S",ROUND($H140,ORÇAMENTO!$AF$10),""),ROUND($I140,ORÇAMENTO!$AF$11)),"")</f>
        <v/>
      </c>
      <c r="Y140" s="339">
        <f t="shared" ca="1" si="14"/>
        <v>0</v>
      </c>
      <c r="Z140" s="473"/>
      <c r="AB140" s="337"/>
      <c r="AC140" s="437"/>
      <c r="AD140" s="437"/>
      <c r="AE140" s="437"/>
      <c r="AF140" s="437"/>
      <c r="AG140" s="437"/>
      <c r="AH140" s="437"/>
      <c r="AI140" s="437"/>
      <c r="AJ140" s="437"/>
      <c r="AK140" s="437"/>
      <c r="AL140" s="437"/>
      <c r="AM140" s="338"/>
      <c r="AO140" cm="1">
        <f t="array" aca="1" ref="AO140" ca="1">IF($A140="S",IF(BM!$I140=0,0,CHOOSE(MATCH(RegimeExecucao,{"Global","Unitário"},0),ROUND(ROUND(BM.MEDAcumulado,15-13*BM!$A$9)/100*BM!$I140,15-13*ORÇAMENTO!$AF$11),ROUND(ROUND(BM.MEDAcumulado,15-13*BM!$A$9)*ROUND(BM!$H140,15-13*ORÇAMENTO!$AF$10),15-13*ORÇAMENTO!$AF$11))),IF($A140=0,0,ROUND(SomaAgrupBM,15-13*ORÇAMENTO!$AF$11)))</f>
        <v>0</v>
      </c>
    </row>
    <row r="141" spans="1:41" ht="25.5" x14ac:dyDescent="0.2">
      <c r="A141" t="str">
        <f ca="1">ORÇAMENTO!C141</f>
        <v>S</v>
      </c>
      <c r="B141">
        <f ca="1">ORÇAMENTO!D141</f>
        <v>0</v>
      </c>
      <c r="C141" s="114" t="str">
        <f t="shared" ca="1" si="8"/>
        <v/>
      </c>
      <c r="D141" s="117" t="str">
        <f ca="1">ORÇAMENTO!O141</f>
        <v>-</v>
      </c>
      <c r="E141" s="163" t="str">
        <f t="shared" ca="1" si="15"/>
        <v>(Código não identificado nas referências)</v>
      </c>
      <c r="F141" s="164" t="str" cm="1">
        <f t="array" aca="1" ref="F141" ca="1">IF(RegimeExecucao="Global","",ORÇAMENTO.Unidade)</f>
        <v/>
      </c>
      <c r="G141" s="122" t="str" cm="1">
        <f t="array" aca="1" ref="G141" ca="1">IF(RegimeExecucao="Global","",ORÇAMENTO!T141)</f>
        <v/>
      </c>
      <c r="H141" s="122" t="str" cm="1">
        <f t="array" aca="1" ref="H141" ca="1">IF(RegimeExecucao="Global","",ORÇAMENTO!W141)</f>
        <v/>
      </c>
      <c r="I141" s="125">
        <f ca="1">ORÇAMENTO!X141</f>
        <v>0</v>
      </c>
      <c r="J141" s="333" cm="1">
        <f t="array" aca="1" ref="J141" ca="1">IF($A141="S",IF(CAIXA.Modo,BM.AFAnterior,BM.MEDAnterior),IF(AND(RegimeExecucao="Global",$I141&gt;0,COUNTIF($AB$13:$AM$13,BM.medicao-1)&gt;0),M141/$I141*100,0))</f>
        <v>0</v>
      </c>
      <c r="K141" s="122">
        <f t="shared" ca="1" si="10"/>
        <v>0</v>
      </c>
      <c r="L141" s="334" cm="1">
        <f t="array" aca="1" ref="L141" ca="1">IF($A141="S",IF(CAIXA.Modo,BM.AFAcumulado,BM.MEDAcumulado),IF(AND(RegimeExecucao="Global",$I141&gt;0,COUNTIF($AB$13:$AM$13,BM.medicao)&gt;0),O141/$I141*100,0))</f>
        <v>0</v>
      </c>
      <c r="M141" s="335" cm="1">
        <f t="array" aca="1" ref="M141" ca="1">IF($A141="S",VTOTALBM,IF($A141=0,0,ROUND(SomaAgrupBM,15-13*ORÇAMENTO!$AF$11)))</f>
        <v>0</v>
      </c>
      <c r="N141" s="336">
        <f t="shared" ca="1" si="11"/>
        <v>0</v>
      </c>
      <c r="O141" s="125" cm="1">
        <f t="array" aca="1" ref="O141" ca="1">IF($A141="S",VTOTALBM,IF($A141=0,0,ROUND(SomaAgrupBM,15-13*ORÇAMENTO!$AF$11)))</f>
        <v>0</v>
      </c>
      <c r="Q141" s="337"/>
      <c r="R141" s="338"/>
      <c r="T141" s="117" t="str">
        <f t="shared" ca="1" si="12"/>
        <v/>
      </c>
      <c r="U141" s="163" t="str">
        <f t="shared" ca="1" si="13"/>
        <v/>
      </c>
      <c r="V141" s="164" t="str" cm="1">
        <f t="array" aca="1" ref="V141" ca="1">IF(AND($W141&gt;0,RegimeExecucao="Unitário"),$F141,"")</f>
        <v/>
      </c>
      <c r="W141" s="454" cm="1">
        <f t="array" aca="1" ref="W141" ca="1">IF($Y141&gt;0,CHOOSE(MATCH(RegimeExecucao,{"Unitário","Global"},0),IF($A141="S",$Y141/$X141,""),($Y141/$X141)*100),0)</f>
        <v>0</v>
      </c>
      <c r="X141" s="339" t="str" cm="1">
        <f t="array" aca="1" ref="X141" ca="1">IF($Y141&gt;0,CHOOSE(MATCH(RegimeExecucao,{"Unitário","Global"},0),IF($A141="S",ROUND($H141,ORÇAMENTO!$AF$10),""),ROUND($I141,ORÇAMENTO!$AF$11)),"")</f>
        <v/>
      </c>
      <c r="Y141" s="339">
        <f t="shared" ca="1" si="14"/>
        <v>0</v>
      </c>
      <c r="Z141" s="473"/>
      <c r="AB141" s="337"/>
      <c r="AC141" s="437"/>
      <c r="AD141" s="437"/>
      <c r="AE141" s="437"/>
      <c r="AF141" s="437"/>
      <c r="AG141" s="437"/>
      <c r="AH141" s="437"/>
      <c r="AI141" s="437"/>
      <c r="AJ141" s="437"/>
      <c r="AK141" s="437"/>
      <c r="AL141" s="437"/>
      <c r="AM141" s="338"/>
      <c r="AO141" cm="1">
        <f t="array" aca="1" ref="AO141" ca="1">IF($A141="S",IF(BM!$I141=0,0,CHOOSE(MATCH(RegimeExecucao,{"Global","Unitário"},0),ROUND(ROUND(BM.MEDAcumulado,15-13*BM!$A$9)/100*BM!$I141,15-13*ORÇAMENTO!$AF$11),ROUND(ROUND(BM.MEDAcumulado,15-13*BM!$A$9)*ROUND(BM!$H141,15-13*ORÇAMENTO!$AF$10),15-13*ORÇAMENTO!$AF$11))),IF($A141=0,0,ROUND(SomaAgrupBM,15-13*ORÇAMENTO!$AF$11)))</f>
        <v>0</v>
      </c>
    </row>
    <row r="142" spans="1:41" x14ac:dyDescent="0.2">
      <c r="A142">
        <f ca="1">ORÇAMENTO!C142</f>
        <v>3</v>
      </c>
      <c r="B142">
        <f ca="1">ORÇAMENTO!D142</f>
        <v>14</v>
      </c>
      <c r="C142" s="114" t="str">
        <f t="shared" ca="1" si="8"/>
        <v>F</v>
      </c>
      <c r="D142" s="117" t="str">
        <f ca="1">ORÇAMENTO!O142</f>
        <v>9.1.2.</v>
      </c>
      <c r="E142" s="163" t="str">
        <f t="shared" si="15"/>
        <v>ILUMINAÇÃO, TOMADAS E INTERRUPTORES</v>
      </c>
      <c r="F142" s="164" t="str" cm="1">
        <f t="array" aca="1" ref="F142" ca="1">IF(RegimeExecucao="Global","",ORÇAMENTO.Unidade)</f>
        <v/>
      </c>
      <c r="G142" s="122" t="str" cm="1">
        <f t="array" aca="1" ref="G142" ca="1">IF(RegimeExecucao="Global","",ORÇAMENTO!T142)</f>
        <v/>
      </c>
      <c r="H142" s="122" t="str" cm="1">
        <f t="array" aca="1" ref="H142" ca="1">IF(RegimeExecucao="Global","",ORÇAMENTO!W142)</f>
        <v/>
      </c>
      <c r="I142" s="125">
        <f ca="1">ORÇAMENTO!X142</f>
        <v>0</v>
      </c>
      <c r="J142" s="333" cm="1">
        <f t="array" aca="1" ref="J142" ca="1">IF($A142="S",IF(CAIXA.Modo,BM.AFAnterior,BM.MEDAnterior),IF(AND(RegimeExecucao="Global",$I142&gt;0,COUNTIF($AB$13:$AM$13,BM.medicao-1)&gt;0),M142/$I142*100,0))</f>
        <v>0</v>
      </c>
      <c r="K142" s="122">
        <f t="shared" ca="1" si="10"/>
        <v>0</v>
      </c>
      <c r="L142" s="334" cm="1">
        <f t="array" aca="1" ref="L142" ca="1">IF($A142="S",IF(CAIXA.Modo,BM.AFAcumulado,BM.MEDAcumulado),IF(AND(RegimeExecucao="Global",$I142&gt;0,COUNTIF($AB$13:$AM$13,BM.medicao)&gt;0),O142/$I142*100,0))</f>
        <v>0</v>
      </c>
      <c r="M142" s="335" cm="1">
        <f t="array" aca="1" ref="M142" ca="1">IF($A142="S",VTOTALBM,IF($A142=0,0,ROUND(SomaAgrupBM,15-13*ORÇAMENTO!$AF$11)))</f>
        <v>0</v>
      </c>
      <c r="N142" s="336">
        <f t="shared" ca="1" si="11"/>
        <v>0</v>
      </c>
      <c r="O142" s="125" cm="1">
        <f t="array" aca="1" ref="O142" ca="1">IF($A142="S",VTOTALBM,IF($A142=0,0,ROUND(SomaAgrupBM,15-13*ORÇAMENTO!$AF$11)))</f>
        <v>0</v>
      </c>
      <c r="Q142" s="337"/>
      <c r="R142" s="338"/>
      <c r="T142" s="117" t="str">
        <f t="shared" ca="1" si="12"/>
        <v/>
      </c>
      <c r="U142" s="163" t="str">
        <f t="shared" ca="1" si="13"/>
        <v/>
      </c>
      <c r="V142" s="164" t="str" cm="1">
        <f t="array" aca="1" ref="V142" ca="1">IF(AND($W142&gt;0,RegimeExecucao="Unitário"),$F142,"")</f>
        <v/>
      </c>
      <c r="W142" s="454" cm="1">
        <f t="array" aca="1" ref="W142" ca="1">IF($Y142&gt;0,CHOOSE(MATCH(RegimeExecucao,{"Unitário","Global"},0),IF($A142="S",$Y142/$X142,""),($Y142/$X142)*100),0)</f>
        <v>0</v>
      </c>
      <c r="X142" s="339" t="str" cm="1">
        <f t="array" aca="1" ref="X142" ca="1">IF($Y142&gt;0,CHOOSE(MATCH(RegimeExecucao,{"Unitário","Global"},0),IF($A142="S",ROUND($H142,ORÇAMENTO!$AF$10),""),ROUND($I142,ORÇAMENTO!$AF$11)),"")</f>
        <v/>
      </c>
      <c r="Y142" s="339">
        <f t="shared" ca="1" si="14"/>
        <v>0</v>
      </c>
      <c r="Z142" s="473"/>
      <c r="AB142" s="337"/>
      <c r="AC142" s="437"/>
      <c r="AD142" s="437"/>
      <c r="AE142" s="437"/>
      <c r="AF142" s="437"/>
      <c r="AG142" s="437"/>
      <c r="AH142" s="437"/>
      <c r="AI142" s="437"/>
      <c r="AJ142" s="437"/>
      <c r="AK142" s="437"/>
      <c r="AL142" s="437"/>
      <c r="AM142" s="338"/>
      <c r="AO142" cm="1">
        <f t="array" aca="1" ref="AO142" ca="1">IF($A142="S",IF(BM!$I142=0,0,CHOOSE(MATCH(RegimeExecucao,{"Global","Unitário"},0),ROUND(ROUND(BM.MEDAcumulado,15-13*BM!$A$9)/100*BM!$I142,15-13*ORÇAMENTO!$AF$11),ROUND(ROUND(BM.MEDAcumulado,15-13*BM!$A$9)*ROUND(BM!$H142,15-13*ORÇAMENTO!$AF$10),15-13*ORÇAMENTO!$AF$11))),IF($A142=0,0,ROUND(SomaAgrupBM,15-13*ORÇAMENTO!$AF$11)))</f>
        <v>0</v>
      </c>
    </row>
    <row r="143" spans="1:41" ht="25.5" x14ac:dyDescent="0.2">
      <c r="A143" t="str">
        <f ca="1">ORÇAMENTO!C143</f>
        <v>S</v>
      </c>
      <c r="B143">
        <f ca="1">ORÇAMENTO!D143</f>
        <v>0</v>
      </c>
      <c r="C143" s="114" t="str">
        <f t="shared" ca="1" si="8"/>
        <v/>
      </c>
      <c r="D143" s="117" t="str">
        <f ca="1">ORÇAMENTO!O143</f>
        <v>-</v>
      </c>
      <c r="E143" s="163" t="str">
        <f t="shared" ca="1" si="15"/>
        <v>(Código não identificado nas referências)</v>
      </c>
      <c r="F143" s="164" t="str" cm="1">
        <f t="array" aca="1" ref="F143" ca="1">IF(RegimeExecucao="Global","",ORÇAMENTO.Unidade)</f>
        <v/>
      </c>
      <c r="G143" s="122" t="str" cm="1">
        <f t="array" aca="1" ref="G143" ca="1">IF(RegimeExecucao="Global","",ORÇAMENTO!T143)</f>
        <v/>
      </c>
      <c r="H143" s="122" t="str" cm="1">
        <f t="array" aca="1" ref="H143" ca="1">IF(RegimeExecucao="Global","",ORÇAMENTO!W143)</f>
        <v/>
      </c>
      <c r="I143" s="125">
        <f ca="1">ORÇAMENTO!X143</f>
        <v>0</v>
      </c>
      <c r="J143" s="333" cm="1">
        <f t="array" aca="1" ref="J143" ca="1">IF($A143="S",IF(CAIXA.Modo,BM.AFAnterior,BM.MEDAnterior),IF(AND(RegimeExecucao="Global",$I143&gt;0,COUNTIF($AB$13:$AM$13,BM.medicao-1)&gt;0),M143/$I143*100,0))</f>
        <v>0</v>
      </c>
      <c r="K143" s="122">
        <f t="shared" ca="1" si="10"/>
        <v>0</v>
      </c>
      <c r="L143" s="334" cm="1">
        <f t="array" aca="1" ref="L143" ca="1">IF($A143="S",IF(CAIXA.Modo,BM.AFAcumulado,BM.MEDAcumulado),IF(AND(RegimeExecucao="Global",$I143&gt;0,COUNTIF($AB$13:$AM$13,BM.medicao)&gt;0),O143/$I143*100,0))</f>
        <v>0</v>
      </c>
      <c r="M143" s="335" cm="1">
        <f t="array" aca="1" ref="M143" ca="1">IF($A143="S",VTOTALBM,IF($A143=0,0,ROUND(SomaAgrupBM,15-13*ORÇAMENTO!$AF$11)))</f>
        <v>0</v>
      </c>
      <c r="N143" s="336">
        <f t="shared" ca="1" si="11"/>
        <v>0</v>
      </c>
      <c r="O143" s="125" cm="1">
        <f t="array" aca="1" ref="O143" ca="1">IF($A143="S",VTOTALBM,IF($A143=0,0,ROUND(SomaAgrupBM,15-13*ORÇAMENTO!$AF$11)))</f>
        <v>0</v>
      </c>
      <c r="Q143" s="337"/>
      <c r="R143" s="338"/>
      <c r="T143" s="117" t="str">
        <f t="shared" ca="1" si="12"/>
        <v/>
      </c>
      <c r="U143" s="163" t="str">
        <f t="shared" ca="1" si="13"/>
        <v/>
      </c>
      <c r="V143" s="164" t="str" cm="1">
        <f t="array" aca="1" ref="V143" ca="1">IF(AND($W143&gt;0,RegimeExecucao="Unitário"),$F143,"")</f>
        <v/>
      </c>
      <c r="W143" s="454" cm="1">
        <f t="array" aca="1" ref="W143" ca="1">IF($Y143&gt;0,CHOOSE(MATCH(RegimeExecucao,{"Unitário","Global"},0),IF($A143="S",$Y143/$X143,""),($Y143/$X143)*100),0)</f>
        <v>0</v>
      </c>
      <c r="X143" s="339" t="str" cm="1">
        <f t="array" aca="1" ref="X143" ca="1">IF($Y143&gt;0,CHOOSE(MATCH(RegimeExecucao,{"Unitário","Global"},0),IF($A143="S",ROUND($H143,ORÇAMENTO!$AF$10),""),ROUND($I143,ORÇAMENTO!$AF$11)),"")</f>
        <v/>
      </c>
      <c r="Y143" s="339">
        <f t="shared" ca="1" si="14"/>
        <v>0</v>
      </c>
      <c r="Z143" s="473"/>
      <c r="AB143" s="337"/>
      <c r="AC143" s="437"/>
      <c r="AD143" s="437"/>
      <c r="AE143" s="437"/>
      <c r="AF143" s="437"/>
      <c r="AG143" s="437"/>
      <c r="AH143" s="437"/>
      <c r="AI143" s="437"/>
      <c r="AJ143" s="437"/>
      <c r="AK143" s="437"/>
      <c r="AL143" s="437"/>
      <c r="AM143" s="338"/>
      <c r="AO143" cm="1">
        <f t="array" aca="1" ref="AO143" ca="1">IF($A143="S",IF(BM!$I143=0,0,CHOOSE(MATCH(RegimeExecucao,{"Global","Unitário"},0),ROUND(ROUND(BM.MEDAcumulado,15-13*BM!$A$9)/100*BM!$I143,15-13*ORÇAMENTO!$AF$11),ROUND(ROUND(BM.MEDAcumulado,15-13*BM!$A$9)*ROUND(BM!$H143,15-13*ORÇAMENTO!$AF$10),15-13*ORÇAMENTO!$AF$11))),IF($A143=0,0,ROUND(SomaAgrupBM,15-13*ORÇAMENTO!$AF$11)))</f>
        <v>0</v>
      </c>
    </row>
    <row r="144" spans="1:41" ht="25.5" x14ac:dyDescent="0.2">
      <c r="A144" t="str">
        <f ca="1">ORÇAMENTO!C144</f>
        <v>S</v>
      </c>
      <c r="B144">
        <f ca="1">ORÇAMENTO!D144</f>
        <v>0</v>
      </c>
      <c r="C144" s="114" t="str">
        <f t="shared" ca="1" si="8"/>
        <v/>
      </c>
      <c r="D144" s="117" t="str">
        <f ca="1">ORÇAMENTO!O144</f>
        <v>-</v>
      </c>
      <c r="E144" s="163" t="str">
        <f t="shared" ca="1" si="15"/>
        <v>(Código não identificado nas referências)</v>
      </c>
      <c r="F144" s="164" t="str" cm="1">
        <f t="array" aca="1" ref="F144" ca="1">IF(RegimeExecucao="Global","",ORÇAMENTO.Unidade)</f>
        <v/>
      </c>
      <c r="G144" s="122" t="str" cm="1">
        <f t="array" aca="1" ref="G144" ca="1">IF(RegimeExecucao="Global","",ORÇAMENTO!T144)</f>
        <v/>
      </c>
      <c r="H144" s="122" t="str" cm="1">
        <f t="array" aca="1" ref="H144" ca="1">IF(RegimeExecucao="Global","",ORÇAMENTO!W144)</f>
        <v/>
      </c>
      <c r="I144" s="125">
        <f ca="1">ORÇAMENTO!X144</f>
        <v>0</v>
      </c>
      <c r="J144" s="333" cm="1">
        <f t="array" aca="1" ref="J144" ca="1">IF($A144="S",IF(CAIXA.Modo,BM.AFAnterior,BM.MEDAnterior),IF(AND(RegimeExecucao="Global",$I144&gt;0,COUNTIF($AB$13:$AM$13,BM.medicao-1)&gt;0),M144/$I144*100,0))</f>
        <v>0</v>
      </c>
      <c r="K144" s="122">
        <f t="shared" ca="1" si="10"/>
        <v>0</v>
      </c>
      <c r="L144" s="334" cm="1">
        <f t="array" aca="1" ref="L144" ca="1">IF($A144="S",IF(CAIXA.Modo,BM.AFAcumulado,BM.MEDAcumulado),IF(AND(RegimeExecucao="Global",$I144&gt;0,COUNTIF($AB$13:$AM$13,BM.medicao)&gt;0),O144/$I144*100,0))</f>
        <v>0</v>
      </c>
      <c r="M144" s="335" cm="1">
        <f t="array" aca="1" ref="M144" ca="1">IF($A144="S",VTOTALBM,IF($A144=0,0,ROUND(SomaAgrupBM,15-13*ORÇAMENTO!$AF$11)))</f>
        <v>0</v>
      </c>
      <c r="N144" s="336">
        <f t="shared" ca="1" si="11"/>
        <v>0</v>
      </c>
      <c r="O144" s="125" cm="1">
        <f t="array" aca="1" ref="O144" ca="1">IF($A144="S",VTOTALBM,IF($A144=0,0,ROUND(SomaAgrupBM,15-13*ORÇAMENTO!$AF$11)))</f>
        <v>0</v>
      </c>
      <c r="Q144" s="337"/>
      <c r="R144" s="338"/>
      <c r="T144" s="117" t="str">
        <f t="shared" ca="1" si="12"/>
        <v/>
      </c>
      <c r="U144" s="163" t="str">
        <f t="shared" ca="1" si="13"/>
        <v/>
      </c>
      <c r="V144" s="164" t="str" cm="1">
        <f t="array" aca="1" ref="V144" ca="1">IF(AND($W144&gt;0,RegimeExecucao="Unitário"),$F144,"")</f>
        <v/>
      </c>
      <c r="W144" s="454" cm="1">
        <f t="array" aca="1" ref="W144" ca="1">IF($Y144&gt;0,CHOOSE(MATCH(RegimeExecucao,{"Unitário","Global"},0),IF($A144="S",$Y144/$X144,""),($Y144/$X144)*100),0)</f>
        <v>0</v>
      </c>
      <c r="X144" s="339" t="str" cm="1">
        <f t="array" aca="1" ref="X144" ca="1">IF($Y144&gt;0,CHOOSE(MATCH(RegimeExecucao,{"Unitário","Global"},0),IF($A144="S",ROUND($H144,ORÇAMENTO!$AF$10),""),ROUND($I144,ORÇAMENTO!$AF$11)),"")</f>
        <v/>
      </c>
      <c r="Y144" s="339">
        <f t="shared" ca="1" si="14"/>
        <v>0</v>
      </c>
      <c r="Z144" s="473"/>
      <c r="AB144" s="337"/>
      <c r="AC144" s="437"/>
      <c r="AD144" s="437"/>
      <c r="AE144" s="437"/>
      <c r="AF144" s="437"/>
      <c r="AG144" s="437"/>
      <c r="AH144" s="437"/>
      <c r="AI144" s="437"/>
      <c r="AJ144" s="437"/>
      <c r="AK144" s="437"/>
      <c r="AL144" s="437"/>
      <c r="AM144" s="338"/>
      <c r="AO144" cm="1">
        <f t="array" aca="1" ref="AO144" ca="1">IF($A144="S",IF(BM!$I144=0,0,CHOOSE(MATCH(RegimeExecucao,{"Global","Unitário"},0),ROUND(ROUND(BM.MEDAcumulado,15-13*BM!$A$9)/100*BM!$I144,15-13*ORÇAMENTO!$AF$11),ROUND(ROUND(BM.MEDAcumulado,15-13*BM!$A$9)*ROUND(BM!$H144,15-13*ORÇAMENTO!$AF$10),15-13*ORÇAMENTO!$AF$11))),IF($A144=0,0,ROUND(SomaAgrupBM,15-13*ORÇAMENTO!$AF$11)))</f>
        <v>0</v>
      </c>
    </row>
    <row r="145" spans="1:41" ht="25.5" x14ac:dyDescent="0.2">
      <c r="A145" t="str">
        <f ca="1">ORÇAMENTO!C145</f>
        <v>S</v>
      </c>
      <c r="B145">
        <f ca="1">ORÇAMENTO!D145</f>
        <v>0</v>
      </c>
      <c r="C145" s="114" t="str">
        <f t="shared" ca="1" si="8"/>
        <v/>
      </c>
      <c r="D145" s="117" t="str">
        <f ca="1">ORÇAMENTO!O145</f>
        <v>-</v>
      </c>
      <c r="E145" s="163" t="str">
        <f t="shared" ca="1" si="15"/>
        <v>(Código não identificado nas referências)</v>
      </c>
      <c r="F145" s="164" t="str" cm="1">
        <f t="array" aca="1" ref="F145" ca="1">IF(RegimeExecucao="Global","",ORÇAMENTO.Unidade)</f>
        <v/>
      </c>
      <c r="G145" s="122" t="str" cm="1">
        <f t="array" aca="1" ref="G145" ca="1">IF(RegimeExecucao="Global","",ORÇAMENTO!T145)</f>
        <v/>
      </c>
      <c r="H145" s="122" t="str" cm="1">
        <f t="array" aca="1" ref="H145" ca="1">IF(RegimeExecucao="Global","",ORÇAMENTO!W145)</f>
        <v/>
      </c>
      <c r="I145" s="125">
        <f ca="1">ORÇAMENTO!X145</f>
        <v>0</v>
      </c>
      <c r="J145" s="333" cm="1">
        <f t="array" aca="1" ref="J145" ca="1">IF($A145="S",IF(CAIXA.Modo,BM.AFAnterior,BM.MEDAnterior),IF(AND(RegimeExecucao="Global",$I145&gt;0,COUNTIF($AB$13:$AM$13,BM.medicao-1)&gt;0),M145/$I145*100,0))</f>
        <v>0</v>
      </c>
      <c r="K145" s="122">
        <f t="shared" ca="1" si="10"/>
        <v>0</v>
      </c>
      <c r="L145" s="334" cm="1">
        <f t="array" aca="1" ref="L145" ca="1">IF($A145="S",IF(CAIXA.Modo,BM.AFAcumulado,BM.MEDAcumulado),IF(AND(RegimeExecucao="Global",$I145&gt;0,COUNTIF($AB$13:$AM$13,BM.medicao)&gt;0),O145/$I145*100,0))</f>
        <v>0</v>
      </c>
      <c r="M145" s="335" cm="1">
        <f t="array" aca="1" ref="M145" ca="1">IF($A145="S",VTOTALBM,IF($A145=0,0,ROUND(SomaAgrupBM,15-13*ORÇAMENTO!$AF$11)))</f>
        <v>0</v>
      </c>
      <c r="N145" s="336">
        <f t="shared" ca="1" si="11"/>
        <v>0</v>
      </c>
      <c r="O145" s="125" cm="1">
        <f t="array" aca="1" ref="O145" ca="1">IF($A145="S",VTOTALBM,IF($A145=0,0,ROUND(SomaAgrupBM,15-13*ORÇAMENTO!$AF$11)))</f>
        <v>0</v>
      </c>
      <c r="Q145" s="337"/>
      <c r="R145" s="338"/>
      <c r="T145" s="117" t="str">
        <f t="shared" ca="1" si="12"/>
        <v/>
      </c>
      <c r="U145" s="163" t="str">
        <f t="shared" ca="1" si="13"/>
        <v/>
      </c>
      <c r="V145" s="164" t="str" cm="1">
        <f t="array" aca="1" ref="V145" ca="1">IF(AND($W145&gt;0,RegimeExecucao="Unitário"),$F145,"")</f>
        <v/>
      </c>
      <c r="W145" s="454" cm="1">
        <f t="array" aca="1" ref="W145" ca="1">IF($Y145&gt;0,CHOOSE(MATCH(RegimeExecucao,{"Unitário","Global"},0),IF($A145="S",$Y145/$X145,""),($Y145/$X145)*100),0)</f>
        <v>0</v>
      </c>
      <c r="X145" s="339" t="str" cm="1">
        <f t="array" aca="1" ref="X145" ca="1">IF($Y145&gt;0,CHOOSE(MATCH(RegimeExecucao,{"Unitário","Global"},0),IF($A145="S",ROUND($H145,ORÇAMENTO!$AF$10),""),ROUND($I145,ORÇAMENTO!$AF$11)),"")</f>
        <v/>
      </c>
      <c r="Y145" s="339">
        <f t="shared" ca="1" si="14"/>
        <v>0</v>
      </c>
      <c r="Z145" s="473"/>
      <c r="AB145" s="337"/>
      <c r="AC145" s="437"/>
      <c r="AD145" s="437"/>
      <c r="AE145" s="437"/>
      <c r="AF145" s="437"/>
      <c r="AG145" s="437"/>
      <c r="AH145" s="437"/>
      <c r="AI145" s="437"/>
      <c r="AJ145" s="437"/>
      <c r="AK145" s="437"/>
      <c r="AL145" s="437"/>
      <c r="AM145" s="338"/>
      <c r="AO145" cm="1">
        <f t="array" aca="1" ref="AO145" ca="1">IF($A145="S",IF(BM!$I145=0,0,CHOOSE(MATCH(RegimeExecucao,{"Global","Unitário"},0),ROUND(ROUND(BM.MEDAcumulado,15-13*BM!$A$9)/100*BM!$I145,15-13*ORÇAMENTO!$AF$11),ROUND(ROUND(BM.MEDAcumulado,15-13*BM!$A$9)*ROUND(BM!$H145,15-13*ORÇAMENTO!$AF$10),15-13*ORÇAMENTO!$AF$11))),IF($A145=0,0,ROUND(SomaAgrupBM,15-13*ORÇAMENTO!$AF$11)))</f>
        <v>0</v>
      </c>
    </row>
    <row r="146" spans="1:41" ht="25.5" x14ac:dyDescent="0.2">
      <c r="A146" t="str">
        <f ca="1">ORÇAMENTO!C146</f>
        <v>S</v>
      </c>
      <c r="B146">
        <f ca="1">ORÇAMENTO!D146</f>
        <v>0</v>
      </c>
      <c r="C146" s="114" t="str">
        <f t="shared" ca="1" si="8"/>
        <v/>
      </c>
      <c r="D146" s="117" t="str">
        <f ca="1">ORÇAMENTO!O146</f>
        <v>-</v>
      </c>
      <c r="E146" s="163" t="str">
        <f t="shared" ca="1" si="15"/>
        <v>(Código não identificado nas referências)</v>
      </c>
      <c r="F146" s="164" t="str" cm="1">
        <f t="array" aca="1" ref="F146" ca="1">IF(RegimeExecucao="Global","",ORÇAMENTO.Unidade)</f>
        <v/>
      </c>
      <c r="G146" s="122" t="str" cm="1">
        <f t="array" aca="1" ref="G146" ca="1">IF(RegimeExecucao="Global","",ORÇAMENTO!T146)</f>
        <v/>
      </c>
      <c r="H146" s="122" t="str" cm="1">
        <f t="array" aca="1" ref="H146" ca="1">IF(RegimeExecucao="Global","",ORÇAMENTO!W146)</f>
        <v/>
      </c>
      <c r="I146" s="125">
        <f ca="1">ORÇAMENTO!X146</f>
        <v>0</v>
      </c>
      <c r="J146" s="333" cm="1">
        <f t="array" aca="1" ref="J146" ca="1">IF($A146="S",IF(CAIXA.Modo,BM.AFAnterior,BM.MEDAnterior),IF(AND(RegimeExecucao="Global",$I146&gt;0,COUNTIF($AB$13:$AM$13,BM.medicao-1)&gt;0),M146/$I146*100,0))</f>
        <v>0</v>
      </c>
      <c r="K146" s="122">
        <f t="shared" ca="1" si="10"/>
        <v>0</v>
      </c>
      <c r="L146" s="334" cm="1">
        <f t="array" aca="1" ref="L146" ca="1">IF($A146="S",IF(CAIXA.Modo,BM.AFAcumulado,BM.MEDAcumulado),IF(AND(RegimeExecucao="Global",$I146&gt;0,COUNTIF($AB$13:$AM$13,BM.medicao)&gt;0),O146/$I146*100,0))</f>
        <v>0</v>
      </c>
      <c r="M146" s="335" cm="1">
        <f t="array" aca="1" ref="M146" ca="1">IF($A146="S",VTOTALBM,IF($A146=0,0,ROUND(SomaAgrupBM,15-13*ORÇAMENTO!$AF$11)))</f>
        <v>0</v>
      </c>
      <c r="N146" s="336">
        <f t="shared" ca="1" si="11"/>
        <v>0</v>
      </c>
      <c r="O146" s="125" cm="1">
        <f t="array" aca="1" ref="O146" ca="1">IF($A146="S",VTOTALBM,IF($A146=0,0,ROUND(SomaAgrupBM,15-13*ORÇAMENTO!$AF$11)))</f>
        <v>0</v>
      </c>
      <c r="Q146" s="337"/>
      <c r="R146" s="338"/>
      <c r="T146" s="117" t="str">
        <f t="shared" ca="1" si="12"/>
        <v/>
      </c>
      <c r="U146" s="163" t="str">
        <f t="shared" ca="1" si="13"/>
        <v/>
      </c>
      <c r="V146" s="164" t="str" cm="1">
        <f t="array" aca="1" ref="V146" ca="1">IF(AND($W146&gt;0,RegimeExecucao="Unitário"),$F146,"")</f>
        <v/>
      </c>
      <c r="W146" s="454" cm="1">
        <f t="array" aca="1" ref="W146" ca="1">IF($Y146&gt;0,CHOOSE(MATCH(RegimeExecucao,{"Unitário","Global"},0),IF($A146="S",$Y146/$X146,""),($Y146/$X146)*100),0)</f>
        <v>0</v>
      </c>
      <c r="X146" s="339" t="str" cm="1">
        <f t="array" aca="1" ref="X146" ca="1">IF($Y146&gt;0,CHOOSE(MATCH(RegimeExecucao,{"Unitário","Global"},0),IF($A146="S",ROUND($H146,ORÇAMENTO!$AF$10),""),ROUND($I146,ORÇAMENTO!$AF$11)),"")</f>
        <v/>
      </c>
      <c r="Y146" s="339">
        <f t="shared" ca="1" si="14"/>
        <v>0</v>
      </c>
      <c r="Z146" s="473"/>
      <c r="AB146" s="337"/>
      <c r="AC146" s="437"/>
      <c r="AD146" s="437"/>
      <c r="AE146" s="437"/>
      <c r="AF146" s="437"/>
      <c r="AG146" s="437"/>
      <c r="AH146" s="437"/>
      <c r="AI146" s="437"/>
      <c r="AJ146" s="437"/>
      <c r="AK146" s="437"/>
      <c r="AL146" s="437"/>
      <c r="AM146" s="338"/>
      <c r="AO146" cm="1">
        <f t="array" aca="1" ref="AO146" ca="1">IF($A146="S",IF(BM!$I146=0,0,CHOOSE(MATCH(RegimeExecucao,{"Global","Unitário"},0),ROUND(ROUND(BM.MEDAcumulado,15-13*BM!$A$9)/100*BM!$I146,15-13*ORÇAMENTO!$AF$11),ROUND(ROUND(BM.MEDAcumulado,15-13*BM!$A$9)*ROUND(BM!$H146,15-13*ORÇAMENTO!$AF$10),15-13*ORÇAMENTO!$AF$11))),IF($A146=0,0,ROUND(SomaAgrupBM,15-13*ORÇAMENTO!$AF$11)))</f>
        <v>0</v>
      </c>
    </row>
    <row r="147" spans="1:41" ht="25.5" x14ac:dyDescent="0.2">
      <c r="A147" t="str">
        <f ca="1">ORÇAMENTO!C147</f>
        <v>S</v>
      </c>
      <c r="B147">
        <f ca="1">ORÇAMENTO!D147</f>
        <v>0</v>
      </c>
      <c r="C147" s="114" t="str">
        <f t="shared" ca="1" si="8"/>
        <v/>
      </c>
      <c r="D147" s="117" t="str">
        <f ca="1">ORÇAMENTO!O147</f>
        <v>-</v>
      </c>
      <c r="E147" s="163" t="str">
        <f t="shared" ca="1" si="15"/>
        <v>(Código não identificado nas referências)</v>
      </c>
      <c r="F147" s="164" t="str" cm="1">
        <f t="array" aca="1" ref="F147" ca="1">IF(RegimeExecucao="Global","",ORÇAMENTO.Unidade)</f>
        <v/>
      </c>
      <c r="G147" s="122" t="str" cm="1">
        <f t="array" aca="1" ref="G147" ca="1">IF(RegimeExecucao="Global","",ORÇAMENTO!T147)</f>
        <v/>
      </c>
      <c r="H147" s="122" t="str" cm="1">
        <f t="array" aca="1" ref="H147" ca="1">IF(RegimeExecucao="Global","",ORÇAMENTO!W147)</f>
        <v/>
      </c>
      <c r="I147" s="125">
        <f ca="1">ORÇAMENTO!X147</f>
        <v>0</v>
      </c>
      <c r="J147" s="333" cm="1">
        <f t="array" aca="1" ref="J147" ca="1">IF($A147="S",IF(CAIXA.Modo,BM.AFAnterior,BM.MEDAnterior),IF(AND(RegimeExecucao="Global",$I147&gt;0,COUNTIF($AB$13:$AM$13,BM.medicao-1)&gt;0),M147/$I147*100,0))</f>
        <v>0</v>
      </c>
      <c r="K147" s="122">
        <f t="shared" ca="1" si="10"/>
        <v>0</v>
      </c>
      <c r="L147" s="334" cm="1">
        <f t="array" aca="1" ref="L147" ca="1">IF($A147="S",IF(CAIXA.Modo,BM.AFAcumulado,BM.MEDAcumulado),IF(AND(RegimeExecucao="Global",$I147&gt;0,COUNTIF($AB$13:$AM$13,BM.medicao)&gt;0),O147/$I147*100,0))</f>
        <v>0</v>
      </c>
      <c r="M147" s="335" cm="1">
        <f t="array" aca="1" ref="M147" ca="1">IF($A147="S",VTOTALBM,IF($A147=0,0,ROUND(SomaAgrupBM,15-13*ORÇAMENTO!$AF$11)))</f>
        <v>0</v>
      </c>
      <c r="N147" s="336">
        <f t="shared" ca="1" si="11"/>
        <v>0</v>
      </c>
      <c r="O147" s="125" cm="1">
        <f t="array" aca="1" ref="O147" ca="1">IF($A147="S",VTOTALBM,IF($A147=0,0,ROUND(SomaAgrupBM,15-13*ORÇAMENTO!$AF$11)))</f>
        <v>0</v>
      </c>
      <c r="Q147" s="337"/>
      <c r="R147" s="338"/>
      <c r="T147" s="117" t="str">
        <f t="shared" ca="1" si="12"/>
        <v/>
      </c>
      <c r="U147" s="163" t="str">
        <f t="shared" ca="1" si="13"/>
        <v/>
      </c>
      <c r="V147" s="164" t="str" cm="1">
        <f t="array" aca="1" ref="V147" ca="1">IF(AND($W147&gt;0,RegimeExecucao="Unitário"),$F147,"")</f>
        <v/>
      </c>
      <c r="W147" s="454" cm="1">
        <f t="array" aca="1" ref="W147" ca="1">IF($Y147&gt;0,CHOOSE(MATCH(RegimeExecucao,{"Unitário","Global"},0),IF($A147="S",$Y147/$X147,""),($Y147/$X147)*100),0)</f>
        <v>0</v>
      </c>
      <c r="X147" s="339" t="str" cm="1">
        <f t="array" aca="1" ref="X147" ca="1">IF($Y147&gt;0,CHOOSE(MATCH(RegimeExecucao,{"Unitário","Global"},0),IF($A147="S",ROUND($H147,ORÇAMENTO!$AF$10),""),ROUND($I147,ORÇAMENTO!$AF$11)),"")</f>
        <v/>
      </c>
      <c r="Y147" s="339">
        <f t="shared" ca="1" si="14"/>
        <v>0</v>
      </c>
      <c r="Z147" s="473"/>
      <c r="AB147" s="337"/>
      <c r="AC147" s="437"/>
      <c r="AD147" s="437"/>
      <c r="AE147" s="437"/>
      <c r="AF147" s="437"/>
      <c r="AG147" s="437"/>
      <c r="AH147" s="437"/>
      <c r="AI147" s="437"/>
      <c r="AJ147" s="437"/>
      <c r="AK147" s="437"/>
      <c r="AL147" s="437"/>
      <c r="AM147" s="338"/>
      <c r="AO147" cm="1">
        <f t="array" aca="1" ref="AO147" ca="1">IF($A147="S",IF(BM!$I147=0,0,CHOOSE(MATCH(RegimeExecucao,{"Global","Unitário"},0),ROUND(ROUND(BM.MEDAcumulado,15-13*BM!$A$9)/100*BM!$I147,15-13*ORÇAMENTO!$AF$11),ROUND(ROUND(BM.MEDAcumulado,15-13*BM!$A$9)*ROUND(BM!$H147,15-13*ORÇAMENTO!$AF$10),15-13*ORÇAMENTO!$AF$11))),IF($A147=0,0,ROUND(SomaAgrupBM,15-13*ORÇAMENTO!$AF$11)))</f>
        <v>0</v>
      </c>
    </row>
    <row r="148" spans="1:41" ht="25.5" x14ac:dyDescent="0.2">
      <c r="A148" t="str">
        <f ca="1">ORÇAMENTO!C148</f>
        <v>S</v>
      </c>
      <c r="B148">
        <f ca="1">ORÇAMENTO!D148</f>
        <v>0</v>
      </c>
      <c r="C148" s="114" t="str">
        <f t="shared" ca="1" si="8"/>
        <v/>
      </c>
      <c r="D148" s="117" t="str">
        <f ca="1">ORÇAMENTO!O148</f>
        <v>-</v>
      </c>
      <c r="E148" s="163" t="str">
        <f t="shared" ca="1" si="15"/>
        <v>(Código não identificado nas referências)</v>
      </c>
      <c r="F148" s="164" t="str" cm="1">
        <f t="array" aca="1" ref="F148" ca="1">IF(RegimeExecucao="Global","",ORÇAMENTO.Unidade)</f>
        <v/>
      </c>
      <c r="G148" s="122" t="str" cm="1">
        <f t="array" aca="1" ref="G148" ca="1">IF(RegimeExecucao="Global","",ORÇAMENTO!T148)</f>
        <v/>
      </c>
      <c r="H148" s="122" t="str" cm="1">
        <f t="array" aca="1" ref="H148" ca="1">IF(RegimeExecucao="Global","",ORÇAMENTO!W148)</f>
        <v/>
      </c>
      <c r="I148" s="125">
        <f ca="1">ORÇAMENTO!X148</f>
        <v>0</v>
      </c>
      <c r="J148" s="333" cm="1">
        <f t="array" aca="1" ref="J148" ca="1">IF($A148="S",IF(CAIXA.Modo,BM.AFAnterior,BM.MEDAnterior),IF(AND(RegimeExecucao="Global",$I148&gt;0,COUNTIF($AB$13:$AM$13,BM.medicao-1)&gt;0),M148/$I148*100,0))</f>
        <v>0</v>
      </c>
      <c r="K148" s="122">
        <f t="shared" ca="1" si="10"/>
        <v>0</v>
      </c>
      <c r="L148" s="334" cm="1">
        <f t="array" aca="1" ref="L148" ca="1">IF($A148="S",IF(CAIXA.Modo,BM.AFAcumulado,BM.MEDAcumulado),IF(AND(RegimeExecucao="Global",$I148&gt;0,COUNTIF($AB$13:$AM$13,BM.medicao)&gt;0),O148/$I148*100,0))</f>
        <v>0</v>
      </c>
      <c r="M148" s="335" cm="1">
        <f t="array" aca="1" ref="M148" ca="1">IF($A148="S",VTOTALBM,IF($A148=0,0,ROUND(SomaAgrupBM,15-13*ORÇAMENTO!$AF$11)))</f>
        <v>0</v>
      </c>
      <c r="N148" s="336">
        <f t="shared" ca="1" si="11"/>
        <v>0</v>
      </c>
      <c r="O148" s="125" cm="1">
        <f t="array" aca="1" ref="O148" ca="1">IF($A148="S",VTOTALBM,IF($A148=0,0,ROUND(SomaAgrupBM,15-13*ORÇAMENTO!$AF$11)))</f>
        <v>0</v>
      </c>
      <c r="Q148" s="337"/>
      <c r="R148" s="338"/>
      <c r="T148" s="117" t="str">
        <f t="shared" ca="1" si="12"/>
        <v/>
      </c>
      <c r="U148" s="163" t="str">
        <f t="shared" ca="1" si="13"/>
        <v/>
      </c>
      <c r="V148" s="164" t="str" cm="1">
        <f t="array" aca="1" ref="V148" ca="1">IF(AND($W148&gt;0,RegimeExecucao="Unitário"),$F148,"")</f>
        <v/>
      </c>
      <c r="W148" s="454" cm="1">
        <f t="array" aca="1" ref="W148" ca="1">IF($Y148&gt;0,CHOOSE(MATCH(RegimeExecucao,{"Unitário","Global"},0),IF($A148="S",$Y148/$X148,""),($Y148/$X148)*100),0)</f>
        <v>0</v>
      </c>
      <c r="X148" s="339" t="str" cm="1">
        <f t="array" aca="1" ref="X148" ca="1">IF($Y148&gt;0,CHOOSE(MATCH(RegimeExecucao,{"Unitário","Global"},0),IF($A148="S",ROUND($H148,ORÇAMENTO!$AF$10),""),ROUND($I148,ORÇAMENTO!$AF$11)),"")</f>
        <v/>
      </c>
      <c r="Y148" s="339">
        <f t="shared" ca="1" si="14"/>
        <v>0</v>
      </c>
      <c r="Z148" s="473"/>
      <c r="AB148" s="337"/>
      <c r="AC148" s="437"/>
      <c r="AD148" s="437"/>
      <c r="AE148" s="437"/>
      <c r="AF148" s="437"/>
      <c r="AG148" s="437"/>
      <c r="AH148" s="437"/>
      <c r="AI148" s="437"/>
      <c r="AJ148" s="437"/>
      <c r="AK148" s="437"/>
      <c r="AL148" s="437"/>
      <c r="AM148" s="338"/>
      <c r="AO148" cm="1">
        <f t="array" aca="1" ref="AO148" ca="1">IF($A148="S",IF(BM!$I148=0,0,CHOOSE(MATCH(RegimeExecucao,{"Global","Unitário"},0),ROUND(ROUND(BM.MEDAcumulado,15-13*BM!$A$9)/100*BM!$I148,15-13*ORÇAMENTO!$AF$11),ROUND(ROUND(BM.MEDAcumulado,15-13*BM!$A$9)*ROUND(BM!$H148,15-13*ORÇAMENTO!$AF$10),15-13*ORÇAMENTO!$AF$11))),IF($A148=0,0,ROUND(SomaAgrupBM,15-13*ORÇAMENTO!$AF$11)))</f>
        <v>0</v>
      </c>
    </row>
    <row r="149" spans="1:41" ht="38.25" x14ac:dyDescent="0.2">
      <c r="A149" t="str">
        <f ca="1">ORÇAMENTO!C149</f>
        <v>S</v>
      </c>
      <c r="B149">
        <f ca="1">ORÇAMENTO!D149</f>
        <v>0</v>
      </c>
      <c r="C149" s="114" t="str">
        <f t="shared" ref="C149:C212" ca="1" si="16">IF(OR($I149&gt;0,$A149=1,$A149=2,$A149=3,$A149=4),"F","")</f>
        <v/>
      </c>
      <c r="D149" s="117" t="str">
        <f ca="1">ORÇAMENTO!O149</f>
        <v>-</v>
      </c>
      <c r="E149" s="163" t="str">
        <f t="shared" ref="E149:E180" ca="1" si="17">ORÇAMENTO.Descricao</f>
        <v>(Código não identificado nas referências)</v>
      </c>
      <c r="F149" s="164" t="str" cm="1">
        <f t="array" aca="1" ref="F149" ca="1">IF(RegimeExecucao="Global","",ORÇAMENTO.Unidade)</f>
        <v/>
      </c>
      <c r="G149" s="122" t="str" cm="1">
        <f t="array" aca="1" ref="G149" ca="1">IF(RegimeExecucao="Global","",ORÇAMENTO!T149)</f>
        <v/>
      </c>
      <c r="H149" s="122" t="str" cm="1">
        <f t="array" aca="1" ref="H149" ca="1">IF(RegimeExecucao="Global","",ORÇAMENTO!W149)</f>
        <v/>
      </c>
      <c r="I149" s="125">
        <f ca="1">ORÇAMENTO!X149</f>
        <v>0</v>
      </c>
      <c r="J149" s="333" cm="1">
        <f t="array" aca="1" ref="J149" ca="1">IF($A149="S",IF(CAIXA.Modo,BM.AFAnterior,BM.MEDAnterior),IF(AND(RegimeExecucao="Global",$I149&gt;0,COUNTIF($AB$13:$AM$13,BM.medicao-1)&gt;0),M149/$I149*100,0))</f>
        <v>0</v>
      </c>
      <c r="K149" s="122">
        <f t="shared" ref="K149:K212" ca="1" si="18">L149-J149</f>
        <v>0</v>
      </c>
      <c r="L149" s="334" cm="1">
        <f t="array" aca="1" ref="L149" ca="1">IF($A149="S",IF(CAIXA.Modo,BM.AFAcumulado,BM.MEDAcumulado),IF(AND(RegimeExecucao="Global",$I149&gt;0,COUNTIF($AB$13:$AM$13,BM.medicao)&gt;0),O149/$I149*100,0))</f>
        <v>0</v>
      </c>
      <c r="M149" s="335" cm="1">
        <f t="array" aca="1" ref="M149" ca="1">IF($A149="S",VTOTALBM,IF($A149=0,0,ROUND(SomaAgrupBM,15-13*ORÇAMENTO!$AF$11)))</f>
        <v>0</v>
      </c>
      <c r="N149" s="336">
        <f t="shared" ref="N149:N212" ca="1" si="19">O149-M149</f>
        <v>0</v>
      </c>
      <c r="O149" s="125" cm="1">
        <f t="array" aca="1" ref="O149" ca="1">IF($A149="S",VTOTALBM,IF($A149=0,0,ROUND(SomaAgrupBM,15-13*ORÇAMENTO!$AF$11)))</f>
        <v>0</v>
      </c>
      <c r="Q149" s="337"/>
      <c r="R149" s="338"/>
      <c r="T149" s="117" t="str">
        <f t="shared" ref="T149:T212" ca="1" si="20">IF($W149&gt;0,$D149,"")</f>
        <v/>
      </c>
      <c r="U149" s="163" t="str">
        <f t="shared" ref="U149:U212" ca="1" si="21">IF($W149&gt;0,$E149,"")</f>
        <v/>
      </c>
      <c r="V149" s="164" t="str" cm="1">
        <f t="array" aca="1" ref="V149" ca="1">IF(AND($W149&gt;0,RegimeExecucao="Unitário"),$F149,"")</f>
        <v/>
      </c>
      <c r="W149" s="454" cm="1">
        <f t="array" aca="1" ref="W149" ca="1">IF($Y149&gt;0,CHOOSE(MATCH(RegimeExecucao,{"Unitário","Global"},0),IF($A149="S",$Y149/$X149,""),($Y149/$X149)*100),0)</f>
        <v>0</v>
      </c>
      <c r="X149" s="339" t="str" cm="1">
        <f t="array" aca="1" ref="X149" ca="1">IF($Y149&gt;0,CHOOSE(MATCH(RegimeExecucao,{"Unitário","Global"},0),IF($A149="S",ROUND($H149,ORÇAMENTO!$AF$10),""),ROUND($I149,ORÇAMENTO!$AF$11)),"")</f>
        <v/>
      </c>
      <c r="Y149" s="339">
        <f t="shared" ref="Y149:Y212" ca="1" si="22">AO149-O149</f>
        <v>0</v>
      </c>
      <c r="Z149" s="473"/>
      <c r="AB149" s="337"/>
      <c r="AC149" s="437"/>
      <c r="AD149" s="437"/>
      <c r="AE149" s="437"/>
      <c r="AF149" s="437"/>
      <c r="AG149" s="437"/>
      <c r="AH149" s="437"/>
      <c r="AI149" s="437"/>
      <c r="AJ149" s="437"/>
      <c r="AK149" s="437"/>
      <c r="AL149" s="437"/>
      <c r="AM149" s="338"/>
      <c r="AO149" cm="1">
        <f t="array" aca="1" ref="AO149" ca="1">IF($A149="S",IF(BM!$I149=0,0,CHOOSE(MATCH(RegimeExecucao,{"Global","Unitário"},0),ROUND(ROUND(BM.MEDAcumulado,15-13*BM!$A$9)/100*BM!$I149,15-13*ORÇAMENTO!$AF$11),ROUND(ROUND(BM.MEDAcumulado,15-13*BM!$A$9)*ROUND(BM!$H149,15-13*ORÇAMENTO!$AF$10),15-13*ORÇAMENTO!$AF$11))),IF($A149=0,0,ROUND(SomaAgrupBM,15-13*ORÇAMENTO!$AF$11)))</f>
        <v>0</v>
      </c>
    </row>
    <row r="150" spans="1:41" ht="25.5" x14ac:dyDescent="0.2">
      <c r="A150" t="str">
        <f ca="1">ORÇAMENTO!C150</f>
        <v>S</v>
      </c>
      <c r="B150">
        <f ca="1">ORÇAMENTO!D150</f>
        <v>0</v>
      </c>
      <c r="C150" s="114" t="str">
        <f t="shared" ca="1" si="16"/>
        <v/>
      </c>
      <c r="D150" s="117" t="str">
        <f ca="1">ORÇAMENTO!O150</f>
        <v>-</v>
      </c>
      <c r="E150" s="163" t="str">
        <f t="shared" ca="1" si="17"/>
        <v>(Código não identificado nas referências)</v>
      </c>
      <c r="F150" s="164" t="str" cm="1">
        <f t="array" aca="1" ref="F150" ca="1">IF(RegimeExecucao="Global","",ORÇAMENTO.Unidade)</f>
        <v/>
      </c>
      <c r="G150" s="122" t="str" cm="1">
        <f t="array" aca="1" ref="G150" ca="1">IF(RegimeExecucao="Global","",ORÇAMENTO!T150)</f>
        <v/>
      </c>
      <c r="H150" s="122" t="str" cm="1">
        <f t="array" aca="1" ref="H150" ca="1">IF(RegimeExecucao="Global","",ORÇAMENTO!W150)</f>
        <v/>
      </c>
      <c r="I150" s="125">
        <f ca="1">ORÇAMENTO!X150</f>
        <v>0</v>
      </c>
      <c r="J150" s="333" cm="1">
        <f t="array" aca="1" ref="J150" ca="1">IF($A150="S",IF(CAIXA.Modo,BM.AFAnterior,BM.MEDAnterior),IF(AND(RegimeExecucao="Global",$I150&gt;0,COUNTIF($AB$13:$AM$13,BM.medicao-1)&gt;0),M150/$I150*100,0))</f>
        <v>0</v>
      </c>
      <c r="K150" s="122">
        <f t="shared" ca="1" si="18"/>
        <v>0</v>
      </c>
      <c r="L150" s="334" cm="1">
        <f t="array" aca="1" ref="L150" ca="1">IF($A150="S",IF(CAIXA.Modo,BM.AFAcumulado,BM.MEDAcumulado),IF(AND(RegimeExecucao="Global",$I150&gt;0,COUNTIF($AB$13:$AM$13,BM.medicao)&gt;0),O150/$I150*100,0))</f>
        <v>0</v>
      </c>
      <c r="M150" s="335" cm="1">
        <f t="array" aca="1" ref="M150" ca="1">IF($A150="S",VTOTALBM,IF($A150=0,0,ROUND(SomaAgrupBM,15-13*ORÇAMENTO!$AF$11)))</f>
        <v>0</v>
      </c>
      <c r="N150" s="336">
        <f t="shared" ca="1" si="19"/>
        <v>0</v>
      </c>
      <c r="O150" s="125" cm="1">
        <f t="array" aca="1" ref="O150" ca="1">IF($A150="S",VTOTALBM,IF($A150=0,0,ROUND(SomaAgrupBM,15-13*ORÇAMENTO!$AF$11)))</f>
        <v>0</v>
      </c>
      <c r="Q150" s="337"/>
      <c r="R150" s="338"/>
      <c r="T150" s="117" t="str">
        <f t="shared" ca="1" si="20"/>
        <v/>
      </c>
      <c r="U150" s="163" t="str">
        <f t="shared" ca="1" si="21"/>
        <v/>
      </c>
      <c r="V150" s="164" t="str" cm="1">
        <f t="array" aca="1" ref="V150" ca="1">IF(AND($W150&gt;0,RegimeExecucao="Unitário"),$F150,"")</f>
        <v/>
      </c>
      <c r="W150" s="454" cm="1">
        <f t="array" aca="1" ref="W150" ca="1">IF($Y150&gt;0,CHOOSE(MATCH(RegimeExecucao,{"Unitário","Global"},0),IF($A150="S",$Y150/$X150,""),($Y150/$X150)*100),0)</f>
        <v>0</v>
      </c>
      <c r="X150" s="339" t="str" cm="1">
        <f t="array" aca="1" ref="X150" ca="1">IF($Y150&gt;0,CHOOSE(MATCH(RegimeExecucao,{"Unitário","Global"},0),IF($A150="S",ROUND($H150,ORÇAMENTO!$AF$10),""),ROUND($I150,ORÇAMENTO!$AF$11)),"")</f>
        <v/>
      </c>
      <c r="Y150" s="339">
        <f t="shared" ca="1" si="22"/>
        <v>0</v>
      </c>
      <c r="Z150" s="473"/>
      <c r="AB150" s="337"/>
      <c r="AC150" s="437"/>
      <c r="AD150" s="437"/>
      <c r="AE150" s="437"/>
      <c r="AF150" s="437"/>
      <c r="AG150" s="437"/>
      <c r="AH150" s="437"/>
      <c r="AI150" s="437"/>
      <c r="AJ150" s="437"/>
      <c r="AK150" s="437"/>
      <c r="AL150" s="437"/>
      <c r="AM150" s="338"/>
      <c r="AO150" cm="1">
        <f t="array" aca="1" ref="AO150" ca="1">IF($A150="S",IF(BM!$I150=0,0,CHOOSE(MATCH(RegimeExecucao,{"Global","Unitário"},0),ROUND(ROUND(BM.MEDAcumulado,15-13*BM!$A$9)/100*BM!$I150,15-13*ORÇAMENTO!$AF$11),ROUND(ROUND(BM.MEDAcumulado,15-13*BM!$A$9)*ROUND(BM!$H150,15-13*ORÇAMENTO!$AF$10),15-13*ORÇAMENTO!$AF$11))),IF($A150=0,0,ROUND(SomaAgrupBM,15-13*ORÇAMENTO!$AF$11)))</f>
        <v>0</v>
      </c>
    </row>
    <row r="151" spans="1:41" ht="38.25" x14ac:dyDescent="0.2">
      <c r="A151" t="str">
        <f ca="1">ORÇAMENTO!C151</f>
        <v>S</v>
      </c>
      <c r="B151">
        <f ca="1">ORÇAMENTO!D151</f>
        <v>0</v>
      </c>
      <c r="C151" s="114" t="str">
        <f t="shared" ca="1" si="16"/>
        <v/>
      </c>
      <c r="D151" s="117" t="str">
        <f ca="1">ORÇAMENTO!O151</f>
        <v>-</v>
      </c>
      <c r="E151" s="163" t="str">
        <f t="shared" ca="1" si="17"/>
        <v>(Código não identificado nas referências)</v>
      </c>
      <c r="F151" s="164" t="str" cm="1">
        <f t="array" aca="1" ref="F151" ca="1">IF(RegimeExecucao="Global","",ORÇAMENTO.Unidade)</f>
        <v/>
      </c>
      <c r="G151" s="122" t="str" cm="1">
        <f t="array" aca="1" ref="G151" ca="1">IF(RegimeExecucao="Global","",ORÇAMENTO!T151)</f>
        <v/>
      </c>
      <c r="H151" s="122" t="str" cm="1">
        <f t="array" aca="1" ref="H151" ca="1">IF(RegimeExecucao="Global","",ORÇAMENTO!W151)</f>
        <v/>
      </c>
      <c r="I151" s="125">
        <f ca="1">ORÇAMENTO!X151</f>
        <v>0</v>
      </c>
      <c r="J151" s="333" cm="1">
        <f t="array" aca="1" ref="J151" ca="1">IF($A151="S",IF(CAIXA.Modo,BM.AFAnterior,BM.MEDAnterior),IF(AND(RegimeExecucao="Global",$I151&gt;0,COUNTIF($AB$13:$AM$13,BM.medicao-1)&gt;0),M151/$I151*100,0))</f>
        <v>0</v>
      </c>
      <c r="K151" s="122">
        <f t="shared" ca="1" si="18"/>
        <v>0</v>
      </c>
      <c r="L151" s="334" cm="1">
        <f t="array" aca="1" ref="L151" ca="1">IF($A151="S",IF(CAIXA.Modo,BM.AFAcumulado,BM.MEDAcumulado),IF(AND(RegimeExecucao="Global",$I151&gt;0,COUNTIF($AB$13:$AM$13,BM.medicao)&gt;0),O151/$I151*100,0))</f>
        <v>0</v>
      </c>
      <c r="M151" s="335" cm="1">
        <f t="array" aca="1" ref="M151" ca="1">IF($A151="S",VTOTALBM,IF($A151=0,0,ROUND(SomaAgrupBM,15-13*ORÇAMENTO!$AF$11)))</f>
        <v>0</v>
      </c>
      <c r="N151" s="336">
        <f t="shared" ca="1" si="19"/>
        <v>0</v>
      </c>
      <c r="O151" s="125" cm="1">
        <f t="array" aca="1" ref="O151" ca="1">IF($A151="S",VTOTALBM,IF($A151=0,0,ROUND(SomaAgrupBM,15-13*ORÇAMENTO!$AF$11)))</f>
        <v>0</v>
      </c>
      <c r="Q151" s="337"/>
      <c r="R151" s="338"/>
      <c r="T151" s="117" t="str">
        <f t="shared" ca="1" si="20"/>
        <v/>
      </c>
      <c r="U151" s="163" t="str">
        <f t="shared" ca="1" si="21"/>
        <v/>
      </c>
      <c r="V151" s="164" t="str" cm="1">
        <f t="array" aca="1" ref="V151" ca="1">IF(AND($W151&gt;0,RegimeExecucao="Unitário"),$F151,"")</f>
        <v/>
      </c>
      <c r="W151" s="454" cm="1">
        <f t="array" aca="1" ref="W151" ca="1">IF($Y151&gt;0,CHOOSE(MATCH(RegimeExecucao,{"Unitário","Global"},0),IF($A151="S",$Y151/$X151,""),($Y151/$X151)*100),0)</f>
        <v>0</v>
      </c>
      <c r="X151" s="339" t="str" cm="1">
        <f t="array" aca="1" ref="X151" ca="1">IF($Y151&gt;0,CHOOSE(MATCH(RegimeExecucao,{"Unitário","Global"},0),IF($A151="S",ROUND($H151,ORÇAMENTO!$AF$10),""),ROUND($I151,ORÇAMENTO!$AF$11)),"")</f>
        <v/>
      </c>
      <c r="Y151" s="339">
        <f t="shared" ca="1" si="22"/>
        <v>0</v>
      </c>
      <c r="Z151" s="473"/>
      <c r="AB151" s="337"/>
      <c r="AC151" s="437"/>
      <c r="AD151" s="437"/>
      <c r="AE151" s="437"/>
      <c r="AF151" s="437"/>
      <c r="AG151" s="437"/>
      <c r="AH151" s="437"/>
      <c r="AI151" s="437"/>
      <c r="AJ151" s="437"/>
      <c r="AK151" s="437"/>
      <c r="AL151" s="437"/>
      <c r="AM151" s="338"/>
      <c r="AO151" cm="1">
        <f t="array" aca="1" ref="AO151" ca="1">IF($A151="S",IF(BM!$I151=0,0,CHOOSE(MATCH(RegimeExecucao,{"Global","Unitário"},0),ROUND(ROUND(BM.MEDAcumulado,15-13*BM!$A$9)/100*BM!$I151,15-13*ORÇAMENTO!$AF$11),ROUND(ROUND(BM.MEDAcumulado,15-13*BM!$A$9)*ROUND(BM!$H151,15-13*ORÇAMENTO!$AF$10),15-13*ORÇAMENTO!$AF$11))),IF($A151=0,0,ROUND(SomaAgrupBM,15-13*ORÇAMENTO!$AF$11)))</f>
        <v>0</v>
      </c>
    </row>
    <row r="152" spans="1:41" ht="38.25" x14ac:dyDescent="0.2">
      <c r="A152" t="str">
        <f ca="1">ORÇAMENTO!C152</f>
        <v>S</v>
      </c>
      <c r="B152">
        <f ca="1">ORÇAMENTO!D152</f>
        <v>0</v>
      </c>
      <c r="C152" s="114" t="str">
        <f t="shared" ca="1" si="16"/>
        <v/>
      </c>
      <c r="D152" s="117" t="str">
        <f ca="1">ORÇAMENTO!O152</f>
        <v>-</v>
      </c>
      <c r="E152" s="163" t="str">
        <f t="shared" ca="1" si="17"/>
        <v>(Código não identificado nas referências)</v>
      </c>
      <c r="F152" s="164" t="str" cm="1">
        <f t="array" aca="1" ref="F152" ca="1">IF(RegimeExecucao="Global","",ORÇAMENTO.Unidade)</f>
        <v/>
      </c>
      <c r="G152" s="122" t="str" cm="1">
        <f t="array" aca="1" ref="G152" ca="1">IF(RegimeExecucao="Global","",ORÇAMENTO!T152)</f>
        <v/>
      </c>
      <c r="H152" s="122" t="str" cm="1">
        <f t="array" aca="1" ref="H152" ca="1">IF(RegimeExecucao="Global","",ORÇAMENTO!W152)</f>
        <v/>
      </c>
      <c r="I152" s="125">
        <f ca="1">ORÇAMENTO!X152</f>
        <v>0</v>
      </c>
      <c r="J152" s="333" cm="1">
        <f t="array" aca="1" ref="J152" ca="1">IF($A152="S",IF(CAIXA.Modo,BM.AFAnterior,BM.MEDAnterior),IF(AND(RegimeExecucao="Global",$I152&gt;0,COUNTIF($AB$13:$AM$13,BM.medicao-1)&gt;0),M152/$I152*100,0))</f>
        <v>0</v>
      </c>
      <c r="K152" s="122">
        <f t="shared" ca="1" si="18"/>
        <v>0</v>
      </c>
      <c r="L152" s="334" cm="1">
        <f t="array" aca="1" ref="L152" ca="1">IF($A152="S",IF(CAIXA.Modo,BM.AFAcumulado,BM.MEDAcumulado),IF(AND(RegimeExecucao="Global",$I152&gt;0,COUNTIF($AB$13:$AM$13,BM.medicao)&gt;0),O152/$I152*100,0))</f>
        <v>0</v>
      </c>
      <c r="M152" s="335" cm="1">
        <f t="array" aca="1" ref="M152" ca="1">IF($A152="S",VTOTALBM,IF($A152=0,0,ROUND(SomaAgrupBM,15-13*ORÇAMENTO!$AF$11)))</f>
        <v>0</v>
      </c>
      <c r="N152" s="336">
        <f t="shared" ca="1" si="19"/>
        <v>0</v>
      </c>
      <c r="O152" s="125" cm="1">
        <f t="array" aca="1" ref="O152" ca="1">IF($A152="S",VTOTALBM,IF($A152=0,0,ROUND(SomaAgrupBM,15-13*ORÇAMENTO!$AF$11)))</f>
        <v>0</v>
      </c>
      <c r="Q152" s="337"/>
      <c r="R152" s="338"/>
      <c r="T152" s="117" t="str">
        <f t="shared" ca="1" si="20"/>
        <v/>
      </c>
      <c r="U152" s="163" t="str">
        <f t="shared" ca="1" si="21"/>
        <v/>
      </c>
      <c r="V152" s="164" t="str" cm="1">
        <f t="array" aca="1" ref="V152" ca="1">IF(AND($W152&gt;0,RegimeExecucao="Unitário"),$F152,"")</f>
        <v/>
      </c>
      <c r="W152" s="454" cm="1">
        <f t="array" aca="1" ref="W152" ca="1">IF($Y152&gt;0,CHOOSE(MATCH(RegimeExecucao,{"Unitário","Global"},0),IF($A152="S",$Y152/$X152,""),($Y152/$X152)*100),0)</f>
        <v>0</v>
      </c>
      <c r="X152" s="339" t="str" cm="1">
        <f t="array" aca="1" ref="X152" ca="1">IF($Y152&gt;0,CHOOSE(MATCH(RegimeExecucao,{"Unitário","Global"},0),IF($A152="S",ROUND($H152,ORÇAMENTO!$AF$10),""),ROUND($I152,ORÇAMENTO!$AF$11)),"")</f>
        <v/>
      </c>
      <c r="Y152" s="339">
        <f t="shared" ca="1" si="22"/>
        <v>0</v>
      </c>
      <c r="Z152" s="473"/>
      <c r="AB152" s="337"/>
      <c r="AC152" s="437"/>
      <c r="AD152" s="437"/>
      <c r="AE152" s="437"/>
      <c r="AF152" s="437"/>
      <c r="AG152" s="437"/>
      <c r="AH152" s="437"/>
      <c r="AI152" s="437"/>
      <c r="AJ152" s="437"/>
      <c r="AK152" s="437"/>
      <c r="AL152" s="437"/>
      <c r="AM152" s="338"/>
      <c r="AO152" cm="1">
        <f t="array" aca="1" ref="AO152" ca="1">IF($A152="S",IF(BM!$I152=0,0,CHOOSE(MATCH(RegimeExecucao,{"Global","Unitário"},0),ROUND(ROUND(BM.MEDAcumulado,15-13*BM!$A$9)/100*BM!$I152,15-13*ORÇAMENTO!$AF$11),ROUND(ROUND(BM.MEDAcumulado,15-13*BM!$A$9)*ROUND(BM!$H152,15-13*ORÇAMENTO!$AF$10),15-13*ORÇAMENTO!$AF$11))),IF($A152=0,0,ROUND(SomaAgrupBM,15-13*ORÇAMENTO!$AF$11)))</f>
        <v>0</v>
      </c>
    </row>
    <row r="153" spans="1:41" ht="38.25" x14ac:dyDescent="0.2">
      <c r="A153" t="str">
        <f ca="1">ORÇAMENTO!C153</f>
        <v>S</v>
      </c>
      <c r="B153">
        <f ca="1">ORÇAMENTO!D153</f>
        <v>0</v>
      </c>
      <c r="C153" s="114" t="str">
        <f t="shared" ca="1" si="16"/>
        <v/>
      </c>
      <c r="D153" s="117" t="str">
        <f ca="1">ORÇAMENTO!O153</f>
        <v>-</v>
      </c>
      <c r="E153" s="163" t="str">
        <f t="shared" ca="1" si="17"/>
        <v>(Código não identificado nas referências)</v>
      </c>
      <c r="F153" s="164" t="str" cm="1">
        <f t="array" aca="1" ref="F153" ca="1">IF(RegimeExecucao="Global","",ORÇAMENTO.Unidade)</f>
        <v/>
      </c>
      <c r="G153" s="122" t="str" cm="1">
        <f t="array" aca="1" ref="G153" ca="1">IF(RegimeExecucao="Global","",ORÇAMENTO!T153)</f>
        <v/>
      </c>
      <c r="H153" s="122" t="str" cm="1">
        <f t="array" aca="1" ref="H153" ca="1">IF(RegimeExecucao="Global","",ORÇAMENTO!W153)</f>
        <v/>
      </c>
      <c r="I153" s="125">
        <f ca="1">ORÇAMENTO!X153</f>
        <v>0</v>
      </c>
      <c r="J153" s="333" cm="1">
        <f t="array" aca="1" ref="J153" ca="1">IF($A153="S",IF(CAIXA.Modo,BM.AFAnterior,BM.MEDAnterior),IF(AND(RegimeExecucao="Global",$I153&gt;0,COUNTIF($AB$13:$AM$13,BM.medicao-1)&gt;0),M153/$I153*100,0))</f>
        <v>0</v>
      </c>
      <c r="K153" s="122">
        <f t="shared" ca="1" si="18"/>
        <v>0</v>
      </c>
      <c r="L153" s="334" cm="1">
        <f t="array" aca="1" ref="L153" ca="1">IF($A153="S",IF(CAIXA.Modo,BM.AFAcumulado,BM.MEDAcumulado),IF(AND(RegimeExecucao="Global",$I153&gt;0,COUNTIF($AB$13:$AM$13,BM.medicao)&gt;0),O153/$I153*100,0))</f>
        <v>0</v>
      </c>
      <c r="M153" s="335" cm="1">
        <f t="array" aca="1" ref="M153" ca="1">IF($A153="S",VTOTALBM,IF($A153=0,0,ROUND(SomaAgrupBM,15-13*ORÇAMENTO!$AF$11)))</f>
        <v>0</v>
      </c>
      <c r="N153" s="336">
        <f t="shared" ca="1" si="19"/>
        <v>0</v>
      </c>
      <c r="O153" s="125" cm="1">
        <f t="array" aca="1" ref="O153" ca="1">IF($A153="S",VTOTALBM,IF($A153=0,0,ROUND(SomaAgrupBM,15-13*ORÇAMENTO!$AF$11)))</f>
        <v>0</v>
      </c>
      <c r="Q153" s="337"/>
      <c r="R153" s="338"/>
      <c r="T153" s="117" t="str">
        <f t="shared" ca="1" si="20"/>
        <v/>
      </c>
      <c r="U153" s="163" t="str">
        <f t="shared" ca="1" si="21"/>
        <v/>
      </c>
      <c r="V153" s="164" t="str" cm="1">
        <f t="array" aca="1" ref="V153" ca="1">IF(AND($W153&gt;0,RegimeExecucao="Unitário"),$F153,"")</f>
        <v/>
      </c>
      <c r="W153" s="454" cm="1">
        <f t="array" aca="1" ref="W153" ca="1">IF($Y153&gt;0,CHOOSE(MATCH(RegimeExecucao,{"Unitário","Global"},0),IF($A153="S",$Y153/$X153,""),($Y153/$X153)*100),0)</f>
        <v>0</v>
      </c>
      <c r="X153" s="339" t="str" cm="1">
        <f t="array" aca="1" ref="X153" ca="1">IF($Y153&gt;0,CHOOSE(MATCH(RegimeExecucao,{"Unitário","Global"},0),IF($A153="S",ROUND($H153,ORÇAMENTO!$AF$10),""),ROUND($I153,ORÇAMENTO!$AF$11)),"")</f>
        <v/>
      </c>
      <c r="Y153" s="339">
        <f t="shared" ca="1" si="22"/>
        <v>0</v>
      </c>
      <c r="Z153" s="473"/>
      <c r="AB153" s="337"/>
      <c r="AC153" s="437"/>
      <c r="AD153" s="437"/>
      <c r="AE153" s="437"/>
      <c r="AF153" s="437"/>
      <c r="AG153" s="437"/>
      <c r="AH153" s="437"/>
      <c r="AI153" s="437"/>
      <c r="AJ153" s="437"/>
      <c r="AK153" s="437"/>
      <c r="AL153" s="437"/>
      <c r="AM153" s="338"/>
      <c r="AO153" cm="1">
        <f t="array" aca="1" ref="AO153" ca="1">IF($A153="S",IF(BM!$I153=0,0,CHOOSE(MATCH(RegimeExecucao,{"Global","Unitário"},0),ROUND(ROUND(BM.MEDAcumulado,15-13*BM!$A$9)/100*BM!$I153,15-13*ORÇAMENTO!$AF$11),ROUND(ROUND(BM.MEDAcumulado,15-13*BM!$A$9)*ROUND(BM!$H153,15-13*ORÇAMENTO!$AF$10),15-13*ORÇAMENTO!$AF$11))),IF($A153=0,0,ROUND(SomaAgrupBM,15-13*ORÇAMENTO!$AF$11)))</f>
        <v>0</v>
      </c>
    </row>
    <row r="154" spans="1:41" ht="38.25" x14ac:dyDescent="0.2">
      <c r="A154" t="str">
        <f ca="1">ORÇAMENTO!C154</f>
        <v>S</v>
      </c>
      <c r="B154">
        <f ca="1">ORÇAMENTO!D154</f>
        <v>0</v>
      </c>
      <c r="C154" s="114" t="str">
        <f t="shared" ca="1" si="16"/>
        <v/>
      </c>
      <c r="D154" s="117" t="str">
        <f ca="1">ORÇAMENTO!O154</f>
        <v>-</v>
      </c>
      <c r="E154" s="163" t="str">
        <f t="shared" ca="1" si="17"/>
        <v>(Código não identificado nas referências)</v>
      </c>
      <c r="F154" s="164" t="str" cm="1">
        <f t="array" aca="1" ref="F154" ca="1">IF(RegimeExecucao="Global","",ORÇAMENTO.Unidade)</f>
        <v/>
      </c>
      <c r="G154" s="122" t="str" cm="1">
        <f t="array" aca="1" ref="G154" ca="1">IF(RegimeExecucao="Global","",ORÇAMENTO!T154)</f>
        <v/>
      </c>
      <c r="H154" s="122" t="str" cm="1">
        <f t="array" aca="1" ref="H154" ca="1">IF(RegimeExecucao="Global","",ORÇAMENTO!W154)</f>
        <v/>
      </c>
      <c r="I154" s="125">
        <f ca="1">ORÇAMENTO!X154</f>
        <v>0</v>
      </c>
      <c r="J154" s="333" cm="1">
        <f t="array" aca="1" ref="J154" ca="1">IF($A154="S",IF(CAIXA.Modo,BM.AFAnterior,BM.MEDAnterior),IF(AND(RegimeExecucao="Global",$I154&gt;0,COUNTIF($AB$13:$AM$13,BM.medicao-1)&gt;0),M154/$I154*100,0))</f>
        <v>0</v>
      </c>
      <c r="K154" s="122">
        <f t="shared" ca="1" si="18"/>
        <v>0</v>
      </c>
      <c r="L154" s="334" cm="1">
        <f t="array" aca="1" ref="L154" ca="1">IF($A154="S",IF(CAIXA.Modo,BM.AFAcumulado,BM.MEDAcumulado),IF(AND(RegimeExecucao="Global",$I154&gt;0,COUNTIF($AB$13:$AM$13,BM.medicao)&gt;0),O154/$I154*100,0))</f>
        <v>0</v>
      </c>
      <c r="M154" s="335" cm="1">
        <f t="array" aca="1" ref="M154" ca="1">IF($A154="S",VTOTALBM,IF($A154=0,0,ROUND(SomaAgrupBM,15-13*ORÇAMENTO!$AF$11)))</f>
        <v>0</v>
      </c>
      <c r="N154" s="336">
        <f t="shared" ca="1" si="19"/>
        <v>0</v>
      </c>
      <c r="O154" s="125" cm="1">
        <f t="array" aca="1" ref="O154" ca="1">IF($A154="S",VTOTALBM,IF($A154=0,0,ROUND(SomaAgrupBM,15-13*ORÇAMENTO!$AF$11)))</f>
        <v>0</v>
      </c>
      <c r="Q154" s="337"/>
      <c r="R154" s="338"/>
      <c r="T154" s="117" t="str">
        <f t="shared" ca="1" si="20"/>
        <v/>
      </c>
      <c r="U154" s="163" t="str">
        <f t="shared" ca="1" si="21"/>
        <v/>
      </c>
      <c r="V154" s="164" t="str" cm="1">
        <f t="array" aca="1" ref="V154" ca="1">IF(AND($W154&gt;0,RegimeExecucao="Unitário"),$F154,"")</f>
        <v/>
      </c>
      <c r="W154" s="454" cm="1">
        <f t="array" aca="1" ref="W154" ca="1">IF($Y154&gt;0,CHOOSE(MATCH(RegimeExecucao,{"Unitário","Global"},0),IF($A154="S",$Y154/$X154,""),($Y154/$X154)*100),0)</f>
        <v>0</v>
      </c>
      <c r="X154" s="339" t="str" cm="1">
        <f t="array" aca="1" ref="X154" ca="1">IF($Y154&gt;0,CHOOSE(MATCH(RegimeExecucao,{"Unitário","Global"},0),IF($A154="S",ROUND($H154,ORÇAMENTO!$AF$10),""),ROUND($I154,ORÇAMENTO!$AF$11)),"")</f>
        <v/>
      </c>
      <c r="Y154" s="339">
        <f t="shared" ca="1" si="22"/>
        <v>0</v>
      </c>
      <c r="Z154" s="473"/>
      <c r="AB154" s="337"/>
      <c r="AC154" s="437"/>
      <c r="AD154" s="437"/>
      <c r="AE154" s="437"/>
      <c r="AF154" s="437"/>
      <c r="AG154" s="437"/>
      <c r="AH154" s="437"/>
      <c r="AI154" s="437"/>
      <c r="AJ154" s="437"/>
      <c r="AK154" s="437"/>
      <c r="AL154" s="437"/>
      <c r="AM154" s="338"/>
      <c r="AO154" cm="1">
        <f t="array" aca="1" ref="AO154" ca="1">IF($A154="S",IF(BM!$I154=0,0,CHOOSE(MATCH(RegimeExecucao,{"Global","Unitário"},0),ROUND(ROUND(BM.MEDAcumulado,15-13*BM!$A$9)/100*BM!$I154,15-13*ORÇAMENTO!$AF$11),ROUND(ROUND(BM.MEDAcumulado,15-13*BM!$A$9)*ROUND(BM!$H154,15-13*ORÇAMENTO!$AF$10),15-13*ORÇAMENTO!$AF$11))),IF($A154=0,0,ROUND(SomaAgrupBM,15-13*ORÇAMENTO!$AF$11)))</f>
        <v>0</v>
      </c>
    </row>
    <row r="155" spans="1:41" ht="25.5" x14ac:dyDescent="0.2">
      <c r="A155" t="str">
        <f ca="1">ORÇAMENTO!C155</f>
        <v>S</v>
      </c>
      <c r="B155">
        <f ca="1">ORÇAMENTO!D155</f>
        <v>0</v>
      </c>
      <c r="C155" s="114" t="str">
        <f t="shared" ca="1" si="16"/>
        <v/>
      </c>
      <c r="D155" s="117" t="str">
        <f ca="1">ORÇAMENTO!O155</f>
        <v>-</v>
      </c>
      <c r="E155" s="163" t="str">
        <f t="shared" ca="1" si="17"/>
        <v>(Código não identificado nas referências)</v>
      </c>
      <c r="F155" s="164" t="str" cm="1">
        <f t="array" aca="1" ref="F155" ca="1">IF(RegimeExecucao="Global","",ORÇAMENTO.Unidade)</f>
        <v/>
      </c>
      <c r="G155" s="122" t="str" cm="1">
        <f t="array" aca="1" ref="G155" ca="1">IF(RegimeExecucao="Global","",ORÇAMENTO!T155)</f>
        <v/>
      </c>
      <c r="H155" s="122" t="str" cm="1">
        <f t="array" aca="1" ref="H155" ca="1">IF(RegimeExecucao="Global","",ORÇAMENTO!W155)</f>
        <v/>
      </c>
      <c r="I155" s="125">
        <f ca="1">ORÇAMENTO!X155</f>
        <v>0</v>
      </c>
      <c r="J155" s="333" cm="1">
        <f t="array" aca="1" ref="J155" ca="1">IF($A155="S",IF(CAIXA.Modo,BM.AFAnterior,BM.MEDAnterior),IF(AND(RegimeExecucao="Global",$I155&gt;0,COUNTIF($AB$13:$AM$13,BM.medicao-1)&gt;0),M155/$I155*100,0))</f>
        <v>0</v>
      </c>
      <c r="K155" s="122">
        <f t="shared" ca="1" si="18"/>
        <v>0</v>
      </c>
      <c r="L155" s="334" cm="1">
        <f t="array" aca="1" ref="L155" ca="1">IF($A155="S",IF(CAIXA.Modo,BM.AFAcumulado,BM.MEDAcumulado),IF(AND(RegimeExecucao="Global",$I155&gt;0,COUNTIF($AB$13:$AM$13,BM.medicao)&gt;0),O155/$I155*100,0))</f>
        <v>0</v>
      </c>
      <c r="M155" s="335" cm="1">
        <f t="array" aca="1" ref="M155" ca="1">IF($A155="S",VTOTALBM,IF($A155=0,0,ROUND(SomaAgrupBM,15-13*ORÇAMENTO!$AF$11)))</f>
        <v>0</v>
      </c>
      <c r="N155" s="336">
        <f t="shared" ca="1" si="19"/>
        <v>0</v>
      </c>
      <c r="O155" s="125" cm="1">
        <f t="array" aca="1" ref="O155" ca="1">IF($A155="S",VTOTALBM,IF($A155=0,0,ROUND(SomaAgrupBM,15-13*ORÇAMENTO!$AF$11)))</f>
        <v>0</v>
      </c>
      <c r="Q155" s="337"/>
      <c r="R155" s="338"/>
      <c r="T155" s="117" t="str">
        <f t="shared" ca="1" si="20"/>
        <v/>
      </c>
      <c r="U155" s="163" t="str">
        <f t="shared" ca="1" si="21"/>
        <v/>
      </c>
      <c r="V155" s="164" t="str" cm="1">
        <f t="array" aca="1" ref="V155" ca="1">IF(AND($W155&gt;0,RegimeExecucao="Unitário"),$F155,"")</f>
        <v/>
      </c>
      <c r="W155" s="454" cm="1">
        <f t="array" aca="1" ref="W155" ca="1">IF($Y155&gt;0,CHOOSE(MATCH(RegimeExecucao,{"Unitário","Global"},0),IF($A155="S",$Y155/$X155,""),($Y155/$X155)*100),0)</f>
        <v>0</v>
      </c>
      <c r="X155" s="339" t="str" cm="1">
        <f t="array" aca="1" ref="X155" ca="1">IF($Y155&gt;0,CHOOSE(MATCH(RegimeExecucao,{"Unitário","Global"},0),IF($A155="S",ROUND($H155,ORÇAMENTO!$AF$10),""),ROUND($I155,ORÇAMENTO!$AF$11)),"")</f>
        <v/>
      </c>
      <c r="Y155" s="339">
        <f t="shared" ca="1" si="22"/>
        <v>0</v>
      </c>
      <c r="Z155" s="473"/>
      <c r="AB155" s="337"/>
      <c r="AC155" s="437"/>
      <c r="AD155" s="437"/>
      <c r="AE155" s="437"/>
      <c r="AF155" s="437"/>
      <c r="AG155" s="437"/>
      <c r="AH155" s="437"/>
      <c r="AI155" s="437"/>
      <c r="AJ155" s="437"/>
      <c r="AK155" s="437"/>
      <c r="AL155" s="437"/>
      <c r="AM155" s="338"/>
      <c r="AO155" cm="1">
        <f t="array" aca="1" ref="AO155" ca="1">IF($A155="S",IF(BM!$I155=0,0,CHOOSE(MATCH(RegimeExecucao,{"Global","Unitário"},0),ROUND(ROUND(BM.MEDAcumulado,15-13*BM!$A$9)/100*BM!$I155,15-13*ORÇAMENTO!$AF$11),ROUND(ROUND(BM.MEDAcumulado,15-13*BM!$A$9)*ROUND(BM!$H155,15-13*ORÇAMENTO!$AF$10),15-13*ORÇAMENTO!$AF$11))),IF($A155=0,0,ROUND(SomaAgrupBM,15-13*ORÇAMENTO!$AF$11)))</f>
        <v>0</v>
      </c>
    </row>
    <row r="156" spans="1:41" x14ac:dyDescent="0.2">
      <c r="A156">
        <f ca="1">ORÇAMENTO!C156</f>
        <v>3</v>
      </c>
      <c r="B156">
        <f ca="1">ORÇAMENTO!D156</f>
        <v>10</v>
      </c>
      <c r="C156" s="114" t="str">
        <f t="shared" ca="1" si="16"/>
        <v>F</v>
      </c>
      <c r="D156" s="117" t="str">
        <f ca="1">ORÇAMENTO!O156</f>
        <v>9.1.3.</v>
      </c>
      <c r="E156" s="163" t="str">
        <f t="shared" si="17"/>
        <v>FIOS E CABOS</v>
      </c>
      <c r="F156" s="164" t="str" cm="1">
        <f t="array" aca="1" ref="F156" ca="1">IF(RegimeExecucao="Global","",ORÇAMENTO.Unidade)</f>
        <v/>
      </c>
      <c r="G156" s="122" t="str" cm="1">
        <f t="array" aca="1" ref="G156" ca="1">IF(RegimeExecucao="Global","",ORÇAMENTO!T156)</f>
        <v/>
      </c>
      <c r="H156" s="122" t="str" cm="1">
        <f t="array" aca="1" ref="H156" ca="1">IF(RegimeExecucao="Global","",ORÇAMENTO!W156)</f>
        <v/>
      </c>
      <c r="I156" s="125">
        <f ca="1">ORÇAMENTO!X156</f>
        <v>0</v>
      </c>
      <c r="J156" s="333" cm="1">
        <f t="array" aca="1" ref="J156" ca="1">IF($A156="S",IF(CAIXA.Modo,BM.AFAnterior,BM.MEDAnterior),IF(AND(RegimeExecucao="Global",$I156&gt;0,COUNTIF($AB$13:$AM$13,BM.medicao-1)&gt;0),M156/$I156*100,0))</f>
        <v>0</v>
      </c>
      <c r="K156" s="122">
        <f t="shared" ca="1" si="18"/>
        <v>0</v>
      </c>
      <c r="L156" s="334" cm="1">
        <f t="array" aca="1" ref="L156" ca="1">IF($A156="S",IF(CAIXA.Modo,BM.AFAcumulado,BM.MEDAcumulado),IF(AND(RegimeExecucao="Global",$I156&gt;0,COUNTIF($AB$13:$AM$13,BM.medicao)&gt;0),O156/$I156*100,0))</f>
        <v>0</v>
      </c>
      <c r="M156" s="335" cm="1">
        <f t="array" aca="1" ref="M156" ca="1">IF($A156="S",VTOTALBM,IF($A156=0,0,ROUND(SomaAgrupBM,15-13*ORÇAMENTO!$AF$11)))</f>
        <v>0</v>
      </c>
      <c r="N156" s="336">
        <f t="shared" ca="1" si="19"/>
        <v>0</v>
      </c>
      <c r="O156" s="125" cm="1">
        <f t="array" aca="1" ref="O156" ca="1">IF($A156="S",VTOTALBM,IF($A156=0,0,ROUND(SomaAgrupBM,15-13*ORÇAMENTO!$AF$11)))</f>
        <v>0</v>
      </c>
      <c r="Q156" s="337"/>
      <c r="R156" s="338"/>
      <c r="T156" s="117" t="str">
        <f t="shared" ca="1" si="20"/>
        <v/>
      </c>
      <c r="U156" s="163" t="str">
        <f t="shared" ca="1" si="21"/>
        <v/>
      </c>
      <c r="V156" s="164" t="str" cm="1">
        <f t="array" aca="1" ref="V156" ca="1">IF(AND($W156&gt;0,RegimeExecucao="Unitário"),$F156,"")</f>
        <v/>
      </c>
      <c r="W156" s="454" cm="1">
        <f t="array" aca="1" ref="W156" ca="1">IF($Y156&gt;0,CHOOSE(MATCH(RegimeExecucao,{"Unitário","Global"},0),IF($A156="S",$Y156/$X156,""),($Y156/$X156)*100),0)</f>
        <v>0</v>
      </c>
      <c r="X156" s="339" t="str" cm="1">
        <f t="array" aca="1" ref="X156" ca="1">IF($Y156&gt;0,CHOOSE(MATCH(RegimeExecucao,{"Unitário","Global"},0),IF($A156="S",ROUND($H156,ORÇAMENTO!$AF$10),""),ROUND($I156,ORÇAMENTO!$AF$11)),"")</f>
        <v/>
      </c>
      <c r="Y156" s="339">
        <f t="shared" ca="1" si="22"/>
        <v>0</v>
      </c>
      <c r="Z156" s="473"/>
      <c r="AB156" s="337"/>
      <c r="AC156" s="437"/>
      <c r="AD156" s="437"/>
      <c r="AE156" s="437"/>
      <c r="AF156" s="437"/>
      <c r="AG156" s="437"/>
      <c r="AH156" s="437"/>
      <c r="AI156" s="437"/>
      <c r="AJ156" s="437"/>
      <c r="AK156" s="437"/>
      <c r="AL156" s="437"/>
      <c r="AM156" s="338"/>
      <c r="AO156" cm="1">
        <f t="array" aca="1" ref="AO156" ca="1">IF($A156="S",IF(BM!$I156=0,0,CHOOSE(MATCH(RegimeExecucao,{"Global","Unitário"},0),ROUND(ROUND(BM.MEDAcumulado,15-13*BM!$A$9)/100*BM!$I156,15-13*ORÇAMENTO!$AF$11),ROUND(ROUND(BM.MEDAcumulado,15-13*BM!$A$9)*ROUND(BM!$H156,15-13*ORÇAMENTO!$AF$10),15-13*ORÇAMENTO!$AF$11))),IF($A156=0,0,ROUND(SomaAgrupBM,15-13*ORÇAMENTO!$AF$11)))</f>
        <v>0</v>
      </c>
    </row>
    <row r="157" spans="1:41" ht="38.25" x14ac:dyDescent="0.2">
      <c r="A157" t="str">
        <f ca="1">ORÇAMENTO!C157</f>
        <v>S</v>
      </c>
      <c r="B157">
        <f ca="1">ORÇAMENTO!D157</f>
        <v>0</v>
      </c>
      <c r="C157" s="114" t="str">
        <f t="shared" ca="1" si="16"/>
        <v/>
      </c>
      <c r="D157" s="117" t="str">
        <f ca="1">ORÇAMENTO!O157</f>
        <v>-</v>
      </c>
      <c r="E157" s="163" t="str">
        <f t="shared" ca="1" si="17"/>
        <v>(Código não identificado nas referências)</v>
      </c>
      <c r="F157" s="164" t="str" cm="1">
        <f t="array" aca="1" ref="F157" ca="1">IF(RegimeExecucao="Global","",ORÇAMENTO.Unidade)</f>
        <v/>
      </c>
      <c r="G157" s="122" t="str" cm="1">
        <f t="array" aca="1" ref="G157" ca="1">IF(RegimeExecucao="Global","",ORÇAMENTO!T157)</f>
        <v/>
      </c>
      <c r="H157" s="122" t="str" cm="1">
        <f t="array" aca="1" ref="H157" ca="1">IF(RegimeExecucao="Global","",ORÇAMENTO!W157)</f>
        <v/>
      </c>
      <c r="I157" s="125">
        <f ca="1">ORÇAMENTO!X157</f>
        <v>0</v>
      </c>
      <c r="J157" s="333" cm="1">
        <f t="array" aca="1" ref="J157" ca="1">IF($A157="S",IF(CAIXA.Modo,BM.AFAnterior,BM.MEDAnterior),IF(AND(RegimeExecucao="Global",$I157&gt;0,COUNTIF($AB$13:$AM$13,BM.medicao-1)&gt;0),M157/$I157*100,0))</f>
        <v>0</v>
      </c>
      <c r="K157" s="122">
        <f t="shared" ca="1" si="18"/>
        <v>0</v>
      </c>
      <c r="L157" s="334" cm="1">
        <f t="array" aca="1" ref="L157" ca="1">IF($A157="S",IF(CAIXA.Modo,BM.AFAcumulado,BM.MEDAcumulado),IF(AND(RegimeExecucao="Global",$I157&gt;0,COUNTIF($AB$13:$AM$13,BM.medicao)&gt;0),O157/$I157*100,0))</f>
        <v>0</v>
      </c>
      <c r="M157" s="335" cm="1">
        <f t="array" aca="1" ref="M157" ca="1">IF($A157="S",VTOTALBM,IF($A157=0,0,ROUND(SomaAgrupBM,15-13*ORÇAMENTO!$AF$11)))</f>
        <v>0</v>
      </c>
      <c r="N157" s="336">
        <f t="shared" ca="1" si="19"/>
        <v>0</v>
      </c>
      <c r="O157" s="125" cm="1">
        <f t="array" aca="1" ref="O157" ca="1">IF($A157="S",VTOTALBM,IF($A157=0,0,ROUND(SomaAgrupBM,15-13*ORÇAMENTO!$AF$11)))</f>
        <v>0</v>
      </c>
      <c r="Q157" s="337"/>
      <c r="R157" s="338"/>
      <c r="T157" s="117" t="str">
        <f t="shared" ca="1" si="20"/>
        <v/>
      </c>
      <c r="U157" s="163" t="str">
        <f t="shared" ca="1" si="21"/>
        <v/>
      </c>
      <c r="V157" s="164" t="str" cm="1">
        <f t="array" aca="1" ref="V157" ca="1">IF(AND($W157&gt;0,RegimeExecucao="Unitário"),$F157,"")</f>
        <v/>
      </c>
      <c r="W157" s="454" cm="1">
        <f t="array" aca="1" ref="W157" ca="1">IF($Y157&gt;0,CHOOSE(MATCH(RegimeExecucao,{"Unitário","Global"},0),IF($A157="S",$Y157/$X157,""),($Y157/$X157)*100),0)</f>
        <v>0</v>
      </c>
      <c r="X157" s="339" t="str" cm="1">
        <f t="array" aca="1" ref="X157" ca="1">IF($Y157&gt;0,CHOOSE(MATCH(RegimeExecucao,{"Unitário","Global"},0),IF($A157="S",ROUND($H157,ORÇAMENTO!$AF$10),""),ROUND($I157,ORÇAMENTO!$AF$11)),"")</f>
        <v/>
      </c>
      <c r="Y157" s="339">
        <f t="shared" ca="1" si="22"/>
        <v>0</v>
      </c>
      <c r="Z157" s="473"/>
      <c r="AB157" s="337"/>
      <c r="AC157" s="437"/>
      <c r="AD157" s="437"/>
      <c r="AE157" s="437"/>
      <c r="AF157" s="437"/>
      <c r="AG157" s="437"/>
      <c r="AH157" s="437"/>
      <c r="AI157" s="437"/>
      <c r="AJ157" s="437"/>
      <c r="AK157" s="437"/>
      <c r="AL157" s="437"/>
      <c r="AM157" s="338"/>
      <c r="AO157" cm="1">
        <f t="array" aca="1" ref="AO157" ca="1">IF($A157="S",IF(BM!$I157=0,0,CHOOSE(MATCH(RegimeExecucao,{"Global","Unitário"},0),ROUND(ROUND(BM.MEDAcumulado,15-13*BM!$A$9)/100*BM!$I157,15-13*ORÇAMENTO!$AF$11),ROUND(ROUND(BM.MEDAcumulado,15-13*BM!$A$9)*ROUND(BM!$H157,15-13*ORÇAMENTO!$AF$10),15-13*ORÇAMENTO!$AF$11))),IF($A157=0,0,ROUND(SomaAgrupBM,15-13*ORÇAMENTO!$AF$11)))</f>
        <v>0</v>
      </c>
    </row>
    <row r="158" spans="1:41" ht="38.25" x14ac:dyDescent="0.2">
      <c r="A158" t="str">
        <f ca="1">ORÇAMENTO!C158</f>
        <v>S</v>
      </c>
      <c r="B158">
        <f ca="1">ORÇAMENTO!D158</f>
        <v>0</v>
      </c>
      <c r="C158" s="114" t="str">
        <f t="shared" ca="1" si="16"/>
        <v/>
      </c>
      <c r="D158" s="117" t="str">
        <f ca="1">ORÇAMENTO!O158</f>
        <v>-</v>
      </c>
      <c r="E158" s="163" t="str">
        <f t="shared" ca="1" si="17"/>
        <v>(Código não identificado nas referências)</v>
      </c>
      <c r="F158" s="164" t="str" cm="1">
        <f t="array" aca="1" ref="F158" ca="1">IF(RegimeExecucao="Global","",ORÇAMENTO.Unidade)</f>
        <v/>
      </c>
      <c r="G158" s="122" t="str" cm="1">
        <f t="array" aca="1" ref="G158" ca="1">IF(RegimeExecucao="Global","",ORÇAMENTO!T158)</f>
        <v/>
      </c>
      <c r="H158" s="122" t="str" cm="1">
        <f t="array" aca="1" ref="H158" ca="1">IF(RegimeExecucao="Global","",ORÇAMENTO!W158)</f>
        <v/>
      </c>
      <c r="I158" s="125">
        <f ca="1">ORÇAMENTO!X158</f>
        <v>0</v>
      </c>
      <c r="J158" s="333" cm="1">
        <f t="array" aca="1" ref="J158" ca="1">IF($A158="S",IF(CAIXA.Modo,BM.AFAnterior,BM.MEDAnterior),IF(AND(RegimeExecucao="Global",$I158&gt;0,COUNTIF($AB$13:$AM$13,BM.medicao-1)&gt;0),M158/$I158*100,0))</f>
        <v>0</v>
      </c>
      <c r="K158" s="122">
        <f t="shared" ca="1" si="18"/>
        <v>0</v>
      </c>
      <c r="L158" s="334" cm="1">
        <f t="array" aca="1" ref="L158" ca="1">IF($A158="S",IF(CAIXA.Modo,BM.AFAcumulado,BM.MEDAcumulado),IF(AND(RegimeExecucao="Global",$I158&gt;0,COUNTIF($AB$13:$AM$13,BM.medicao)&gt;0),O158/$I158*100,0))</f>
        <v>0</v>
      </c>
      <c r="M158" s="335" cm="1">
        <f t="array" aca="1" ref="M158" ca="1">IF($A158="S",VTOTALBM,IF($A158=0,0,ROUND(SomaAgrupBM,15-13*ORÇAMENTO!$AF$11)))</f>
        <v>0</v>
      </c>
      <c r="N158" s="336">
        <f t="shared" ca="1" si="19"/>
        <v>0</v>
      </c>
      <c r="O158" s="125" cm="1">
        <f t="array" aca="1" ref="O158" ca="1">IF($A158="S",VTOTALBM,IF($A158=0,0,ROUND(SomaAgrupBM,15-13*ORÇAMENTO!$AF$11)))</f>
        <v>0</v>
      </c>
      <c r="Q158" s="337"/>
      <c r="R158" s="338"/>
      <c r="T158" s="117" t="str">
        <f t="shared" ca="1" si="20"/>
        <v/>
      </c>
      <c r="U158" s="163" t="str">
        <f t="shared" ca="1" si="21"/>
        <v/>
      </c>
      <c r="V158" s="164" t="str" cm="1">
        <f t="array" aca="1" ref="V158" ca="1">IF(AND($W158&gt;0,RegimeExecucao="Unitário"),$F158,"")</f>
        <v/>
      </c>
      <c r="W158" s="454" cm="1">
        <f t="array" aca="1" ref="W158" ca="1">IF($Y158&gt;0,CHOOSE(MATCH(RegimeExecucao,{"Unitário","Global"},0),IF($A158="S",$Y158/$X158,""),($Y158/$X158)*100),0)</f>
        <v>0</v>
      </c>
      <c r="X158" s="339" t="str" cm="1">
        <f t="array" aca="1" ref="X158" ca="1">IF($Y158&gt;0,CHOOSE(MATCH(RegimeExecucao,{"Unitário","Global"},0),IF($A158="S",ROUND($H158,ORÇAMENTO!$AF$10),""),ROUND($I158,ORÇAMENTO!$AF$11)),"")</f>
        <v/>
      </c>
      <c r="Y158" s="339">
        <f t="shared" ca="1" si="22"/>
        <v>0</v>
      </c>
      <c r="Z158" s="473"/>
      <c r="AB158" s="337"/>
      <c r="AC158" s="437"/>
      <c r="AD158" s="437"/>
      <c r="AE158" s="437"/>
      <c r="AF158" s="437"/>
      <c r="AG158" s="437"/>
      <c r="AH158" s="437"/>
      <c r="AI158" s="437"/>
      <c r="AJ158" s="437"/>
      <c r="AK158" s="437"/>
      <c r="AL158" s="437"/>
      <c r="AM158" s="338"/>
      <c r="AO158" cm="1">
        <f t="array" aca="1" ref="AO158" ca="1">IF($A158="S",IF(BM!$I158=0,0,CHOOSE(MATCH(RegimeExecucao,{"Global","Unitário"},0),ROUND(ROUND(BM.MEDAcumulado,15-13*BM!$A$9)/100*BM!$I158,15-13*ORÇAMENTO!$AF$11),ROUND(ROUND(BM.MEDAcumulado,15-13*BM!$A$9)*ROUND(BM!$H158,15-13*ORÇAMENTO!$AF$10),15-13*ORÇAMENTO!$AF$11))),IF($A158=0,0,ROUND(SomaAgrupBM,15-13*ORÇAMENTO!$AF$11)))</f>
        <v>0</v>
      </c>
    </row>
    <row r="159" spans="1:41" ht="38.25" x14ac:dyDescent="0.2">
      <c r="A159" t="str">
        <f ca="1">ORÇAMENTO!C159</f>
        <v>S</v>
      </c>
      <c r="B159">
        <f ca="1">ORÇAMENTO!D159</f>
        <v>0</v>
      </c>
      <c r="C159" s="114" t="str">
        <f t="shared" ca="1" si="16"/>
        <v/>
      </c>
      <c r="D159" s="117" t="str">
        <f ca="1">ORÇAMENTO!O159</f>
        <v>-</v>
      </c>
      <c r="E159" s="163" t="str">
        <f t="shared" ca="1" si="17"/>
        <v>(Código não identificado nas referências)</v>
      </c>
      <c r="F159" s="164" t="str" cm="1">
        <f t="array" aca="1" ref="F159" ca="1">IF(RegimeExecucao="Global","",ORÇAMENTO.Unidade)</f>
        <v/>
      </c>
      <c r="G159" s="122" t="str" cm="1">
        <f t="array" aca="1" ref="G159" ca="1">IF(RegimeExecucao="Global","",ORÇAMENTO!T159)</f>
        <v/>
      </c>
      <c r="H159" s="122" t="str" cm="1">
        <f t="array" aca="1" ref="H159" ca="1">IF(RegimeExecucao="Global","",ORÇAMENTO!W159)</f>
        <v/>
      </c>
      <c r="I159" s="125">
        <f ca="1">ORÇAMENTO!X159</f>
        <v>0</v>
      </c>
      <c r="J159" s="333" cm="1">
        <f t="array" aca="1" ref="J159" ca="1">IF($A159="S",IF(CAIXA.Modo,BM.AFAnterior,BM.MEDAnterior),IF(AND(RegimeExecucao="Global",$I159&gt;0,COUNTIF($AB$13:$AM$13,BM.medicao-1)&gt;0),M159/$I159*100,0))</f>
        <v>0</v>
      </c>
      <c r="K159" s="122">
        <f t="shared" ca="1" si="18"/>
        <v>0</v>
      </c>
      <c r="L159" s="334" cm="1">
        <f t="array" aca="1" ref="L159" ca="1">IF($A159="S",IF(CAIXA.Modo,BM.AFAcumulado,BM.MEDAcumulado),IF(AND(RegimeExecucao="Global",$I159&gt;0,COUNTIF($AB$13:$AM$13,BM.medicao)&gt;0),O159/$I159*100,0))</f>
        <v>0</v>
      </c>
      <c r="M159" s="335" cm="1">
        <f t="array" aca="1" ref="M159" ca="1">IF($A159="S",VTOTALBM,IF($A159=0,0,ROUND(SomaAgrupBM,15-13*ORÇAMENTO!$AF$11)))</f>
        <v>0</v>
      </c>
      <c r="N159" s="336">
        <f t="shared" ca="1" si="19"/>
        <v>0</v>
      </c>
      <c r="O159" s="125" cm="1">
        <f t="array" aca="1" ref="O159" ca="1">IF($A159="S",VTOTALBM,IF($A159=0,0,ROUND(SomaAgrupBM,15-13*ORÇAMENTO!$AF$11)))</f>
        <v>0</v>
      </c>
      <c r="Q159" s="337"/>
      <c r="R159" s="338"/>
      <c r="T159" s="117" t="str">
        <f t="shared" ca="1" si="20"/>
        <v/>
      </c>
      <c r="U159" s="163" t="str">
        <f t="shared" ca="1" si="21"/>
        <v/>
      </c>
      <c r="V159" s="164" t="str" cm="1">
        <f t="array" aca="1" ref="V159" ca="1">IF(AND($W159&gt;0,RegimeExecucao="Unitário"),$F159,"")</f>
        <v/>
      </c>
      <c r="W159" s="454" cm="1">
        <f t="array" aca="1" ref="W159" ca="1">IF($Y159&gt;0,CHOOSE(MATCH(RegimeExecucao,{"Unitário","Global"},0),IF($A159="S",$Y159/$X159,""),($Y159/$X159)*100),0)</f>
        <v>0</v>
      </c>
      <c r="X159" s="339" t="str" cm="1">
        <f t="array" aca="1" ref="X159" ca="1">IF($Y159&gt;0,CHOOSE(MATCH(RegimeExecucao,{"Unitário","Global"},0),IF($A159="S",ROUND($H159,ORÇAMENTO!$AF$10),""),ROUND($I159,ORÇAMENTO!$AF$11)),"")</f>
        <v/>
      </c>
      <c r="Y159" s="339">
        <f t="shared" ca="1" si="22"/>
        <v>0</v>
      </c>
      <c r="Z159" s="473"/>
      <c r="AB159" s="337"/>
      <c r="AC159" s="437"/>
      <c r="AD159" s="437"/>
      <c r="AE159" s="437"/>
      <c r="AF159" s="437"/>
      <c r="AG159" s="437"/>
      <c r="AH159" s="437"/>
      <c r="AI159" s="437"/>
      <c r="AJ159" s="437"/>
      <c r="AK159" s="437"/>
      <c r="AL159" s="437"/>
      <c r="AM159" s="338"/>
      <c r="AO159" cm="1">
        <f t="array" aca="1" ref="AO159" ca="1">IF($A159="S",IF(BM!$I159=0,0,CHOOSE(MATCH(RegimeExecucao,{"Global","Unitário"},0),ROUND(ROUND(BM.MEDAcumulado,15-13*BM!$A$9)/100*BM!$I159,15-13*ORÇAMENTO!$AF$11),ROUND(ROUND(BM.MEDAcumulado,15-13*BM!$A$9)*ROUND(BM!$H159,15-13*ORÇAMENTO!$AF$10),15-13*ORÇAMENTO!$AF$11))),IF($A159=0,0,ROUND(SomaAgrupBM,15-13*ORÇAMENTO!$AF$11)))</f>
        <v>0</v>
      </c>
    </row>
    <row r="160" spans="1:41" ht="38.25" x14ac:dyDescent="0.2">
      <c r="A160" t="str">
        <f ca="1">ORÇAMENTO!C160</f>
        <v>S</v>
      </c>
      <c r="B160">
        <f ca="1">ORÇAMENTO!D160</f>
        <v>0</v>
      </c>
      <c r="C160" s="114" t="str">
        <f t="shared" ca="1" si="16"/>
        <v/>
      </c>
      <c r="D160" s="117" t="str">
        <f ca="1">ORÇAMENTO!O160</f>
        <v>-</v>
      </c>
      <c r="E160" s="163" t="str">
        <f t="shared" ca="1" si="17"/>
        <v>(Código não identificado nas referências)</v>
      </c>
      <c r="F160" s="164" t="str" cm="1">
        <f t="array" aca="1" ref="F160" ca="1">IF(RegimeExecucao="Global","",ORÇAMENTO.Unidade)</f>
        <v/>
      </c>
      <c r="G160" s="122" t="str" cm="1">
        <f t="array" aca="1" ref="G160" ca="1">IF(RegimeExecucao="Global","",ORÇAMENTO!T160)</f>
        <v/>
      </c>
      <c r="H160" s="122" t="str" cm="1">
        <f t="array" aca="1" ref="H160" ca="1">IF(RegimeExecucao="Global","",ORÇAMENTO!W160)</f>
        <v/>
      </c>
      <c r="I160" s="125">
        <f ca="1">ORÇAMENTO!X160</f>
        <v>0</v>
      </c>
      <c r="J160" s="333" cm="1">
        <f t="array" aca="1" ref="J160" ca="1">IF($A160="S",IF(CAIXA.Modo,BM.AFAnterior,BM.MEDAnterior),IF(AND(RegimeExecucao="Global",$I160&gt;0,COUNTIF($AB$13:$AM$13,BM.medicao-1)&gt;0),M160/$I160*100,0))</f>
        <v>0</v>
      </c>
      <c r="K160" s="122">
        <f t="shared" ca="1" si="18"/>
        <v>0</v>
      </c>
      <c r="L160" s="334" cm="1">
        <f t="array" aca="1" ref="L160" ca="1">IF($A160="S",IF(CAIXA.Modo,BM.AFAcumulado,BM.MEDAcumulado),IF(AND(RegimeExecucao="Global",$I160&gt;0,COUNTIF($AB$13:$AM$13,BM.medicao)&gt;0),O160/$I160*100,0))</f>
        <v>0</v>
      </c>
      <c r="M160" s="335" cm="1">
        <f t="array" aca="1" ref="M160" ca="1">IF($A160="S",VTOTALBM,IF($A160=0,0,ROUND(SomaAgrupBM,15-13*ORÇAMENTO!$AF$11)))</f>
        <v>0</v>
      </c>
      <c r="N160" s="336">
        <f t="shared" ca="1" si="19"/>
        <v>0</v>
      </c>
      <c r="O160" s="125" cm="1">
        <f t="array" aca="1" ref="O160" ca="1">IF($A160="S",VTOTALBM,IF($A160=0,0,ROUND(SomaAgrupBM,15-13*ORÇAMENTO!$AF$11)))</f>
        <v>0</v>
      </c>
      <c r="Q160" s="337"/>
      <c r="R160" s="338"/>
      <c r="T160" s="117" t="str">
        <f t="shared" ca="1" si="20"/>
        <v/>
      </c>
      <c r="U160" s="163" t="str">
        <f t="shared" ca="1" si="21"/>
        <v/>
      </c>
      <c r="V160" s="164" t="str" cm="1">
        <f t="array" aca="1" ref="V160" ca="1">IF(AND($W160&gt;0,RegimeExecucao="Unitário"),$F160,"")</f>
        <v/>
      </c>
      <c r="W160" s="454" cm="1">
        <f t="array" aca="1" ref="W160" ca="1">IF($Y160&gt;0,CHOOSE(MATCH(RegimeExecucao,{"Unitário","Global"},0),IF($A160="S",$Y160/$X160,""),($Y160/$X160)*100),0)</f>
        <v>0</v>
      </c>
      <c r="X160" s="339" t="str" cm="1">
        <f t="array" aca="1" ref="X160" ca="1">IF($Y160&gt;0,CHOOSE(MATCH(RegimeExecucao,{"Unitário","Global"},0),IF($A160="S",ROUND($H160,ORÇAMENTO!$AF$10),""),ROUND($I160,ORÇAMENTO!$AF$11)),"")</f>
        <v/>
      </c>
      <c r="Y160" s="339">
        <f t="shared" ca="1" si="22"/>
        <v>0</v>
      </c>
      <c r="Z160" s="473"/>
      <c r="AB160" s="337"/>
      <c r="AC160" s="437"/>
      <c r="AD160" s="437"/>
      <c r="AE160" s="437"/>
      <c r="AF160" s="437"/>
      <c r="AG160" s="437"/>
      <c r="AH160" s="437"/>
      <c r="AI160" s="437"/>
      <c r="AJ160" s="437"/>
      <c r="AK160" s="437"/>
      <c r="AL160" s="437"/>
      <c r="AM160" s="338"/>
      <c r="AO160" cm="1">
        <f t="array" aca="1" ref="AO160" ca="1">IF($A160="S",IF(BM!$I160=0,0,CHOOSE(MATCH(RegimeExecucao,{"Global","Unitário"},0),ROUND(ROUND(BM.MEDAcumulado,15-13*BM!$A$9)/100*BM!$I160,15-13*ORÇAMENTO!$AF$11),ROUND(ROUND(BM.MEDAcumulado,15-13*BM!$A$9)*ROUND(BM!$H160,15-13*ORÇAMENTO!$AF$10),15-13*ORÇAMENTO!$AF$11))),IF($A160=0,0,ROUND(SomaAgrupBM,15-13*ORÇAMENTO!$AF$11)))</f>
        <v>0</v>
      </c>
    </row>
    <row r="161" spans="1:41" ht="38.25" x14ac:dyDescent="0.2">
      <c r="A161" t="str">
        <f ca="1">ORÇAMENTO!C161</f>
        <v>S</v>
      </c>
      <c r="B161">
        <f ca="1">ORÇAMENTO!D161</f>
        <v>0</v>
      </c>
      <c r="C161" s="114" t="str">
        <f t="shared" ca="1" si="16"/>
        <v/>
      </c>
      <c r="D161" s="117" t="str">
        <f ca="1">ORÇAMENTO!O161</f>
        <v>-</v>
      </c>
      <c r="E161" s="163" t="str">
        <f t="shared" ca="1" si="17"/>
        <v>(Código não identificado nas referências)</v>
      </c>
      <c r="F161" s="164" t="str" cm="1">
        <f t="array" aca="1" ref="F161" ca="1">IF(RegimeExecucao="Global","",ORÇAMENTO.Unidade)</f>
        <v/>
      </c>
      <c r="G161" s="122" t="str" cm="1">
        <f t="array" aca="1" ref="G161" ca="1">IF(RegimeExecucao="Global","",ORÇAMENTO!T161)</f>
        <v/>
      </c>
      <c r="H161" s="122" t="str" cm="1">
        <f t="array" aca="1" ref="H161" ca="1">IF(RegimeExecucao="Global","",ORÇAMENTO!W161)</f>
        <v/>
      </c>
      <c r="I161" s="125">
        <f ca="1">ORÇAMENTO!X161</f>
        <v>0</v>
      </c>
      <c r="J161" s="333" cm="1">
        <f t="array" aca="1" ref="J161" ca="1">IF($A161="S",IF(CAIXA.Modo,BM.AFAnterior,BM.MEDAnterior),IF(AND(RegimeExecucao="Global",$I161&gt;0,COUNTIF($AB$13:$AM$13,BM.medicao-1)&gt;0),M161/$I161*100,0))</f>
        <v>0</v>
      </c>
      <c r="K161" s="122">
        <f t="shared" ca="1" si="18"/>
        <v>0</v>
      </c>
      <c r="L161" s="334" cm="1">
        <f t="array" aca="1" ref="L161" ca="1">IF($A161="S",IF(CAIXA.Modo,BM.AFAcumulado,BM.MEDAcumulado),IF(AND(RegimeExecucao="Global",$I161&gt;0,COUNTIF($AB$13:$AM$13,BM.medicao)&gt;0),O161/$I161*100,0))</f>
        <v>0</v>
      </c>
      <c r="M161" s="335" cm="1">
        <f t="array" aca="1" ref="M161" ca="1">IF($A161="S",VTOTALBM,IF($A161=0,0,ROUND(SomaAgrupBM,15-13*ORÇAMENTO!$AF$11)))</f>
        <v>0</v>
      </c>
      <c r="N161" s="336">
        <f t="shared" ca="1" si="19"/>
        <v>0</v>
      </c>
      <c r="O161" s="125" cm="1">
        <f t="array" aca="1" ref="O161" ca="1">IF($A161="S",VTOTALBM,IF($A161=0,0,ROUND(SomaAgrupBM,15-13*ORÇAMENTO!$AF$11)))</f>
        <v>0</v>
      </c>
      <c r="Q161" s="337"/>
      <c r="R161" s="338"/>
      <c r="T161" s="117" t="str">
        <f t="shared" ca="1" si="20"/>
        <v/>
      </c>
      <c r="U161" s="163" t="str">
        <f t="shared" ca="1" si="21"/>
        <v/>
      </c>
      <c r="V161" s="164" t="str" cm="1">
        <f t="array" aca="1" ref="V161" ca="1">IF(AND($W161&gt;0,RegimeExecucao="Unitário"),$F161,"")</f>
        <v/>
      </c>
      <c r="W161" s="454" cm="1">
        <f t="array" aca="1" ref="W161" ca="1">IF($Y161&gt;0,CHOOSE(MATCH(RegimeExecucao,{"Unitário","Global"},0),IF($A161="S",$Y161/$X161,""),($Y161/$X161)*100),0)</f>
        <v>0</v>
      </c>
      <c r="X161" s="339" t="str" cm="1">
        <f t="array" aca="1" ref="X161" ca="1">IF($Y161&gt;0,CHOOSE(MATCH(RegimeExecucao,{"Unitário","Global"},0),IF($A161="S",ROUND($H161,ORÇAMENTO!$AF$10),""),ROUND($I161,ORÇAMENTO!$AF$11)),"")</f>
        <v/>
      </c>
      <c r="Y161" s="339">
        <f t="shared" ca="1" si="22"/>
        <v>0</v>
      </c>
      <c r="Z161" s="473"/>
      <c r="AB161" s="337"/>
      <c r="AC161" s="437"/>
      <c r="AD161" s="437"/>
      <c r="AE161" s="437"/>
      <c r="AF161" s="437"/>
      <c r="AG161" s="437"/>
      <c r="AH161" s="437"/>
      <c r="AI161" s="437"/>
      <c r="AJ161" s="437"/>
      <c r="AK161" s="437"/>
      <c r="AL161" s="437"/>
      <c r="AM161" s="338"/>
      <c r="AO161" cm="1">
        <f t="array" aca="1" ref="AO161" ca="1">IF($A161="S",IF(BM!$I161=0,0,CHOOSE(MATCH(RegimeExecucao,{"Global","Unitário"},0),ROUND(ROUND(BM.MEDAcumulado,15-13*BM!$A$9)/100*BM!$I161,15-13*ORÇAMENTO!$AF$11),ROUND(ROUND(BM.MEDAcumulado,15-13*BM!$A$9)*ROUND(BM!$H161,15-13*ORÇAMENTO!$AF$10),15-13*ORÇAMENTO!$AF$11))),IF($A161=0,0,ROUND(SomaAgrupBM,15-13*ORÇAMENTO!$AF$11)))</f>
        <v>0</v>
      </c>
    </row>
    <row r="162" spans="1:41" ht="38.25" x14ac:dyDescent="0.2">
      <c r="A162" t="str">
        <f ca="1">ORÇAMENTO!C162</f>
        <v>S</v>
      </c>
      <c r="B162">
        <f ca="1">ORÇAMENTO!D162</f>
        <v>0</v>
      </c>
      <c r="C162" s="114" t="str">
        <f t="shared" ca="1" si="16"/>
        <v/>
      </c>
      <c r="D162" s="117" t="str">
        <f ca="1">ORÇAMENTO!O162</f>
        <v>-</v>
      </c>
      <c r="E162" s="163" t="str">
        <f t="shared" ca="1" si="17"/>
        <v>(Código não identificado nas referências)</v>
      </c>
      <c r="F162" s="164" t="str" cm="1">
        <f t="array" aca="1" ref="F162" ca="1">IF(RegimeExecucao="Global","",ORÇAMENTO.Unidade)</f>
        <v/>
      </c>
      <c r="G162" s="122" t="str" cm="1">
        <f t="array" aca="1" ref="G162" ca="1">IF(RegimeExecucao="Global","",ORÇAMENTO!T162)</f>
        <v/>
      </c>
      <c r="H162" s="122" t="str" cm="1">
        <f t="array" aca="1" ref="H162" ca="1">IF(RegimeExecucao="Global","",ORÇAMENTO!W162)</f>
        <v/>
      </c>
      <c r="I162" s="125">
        <f ca="1">ORÇAMENTO!X162</f>
        <v>0</v>
      </c>
      <c r="J162" s="333" cm="1">
        <f t="array" aca="1" ref="J162" ca="1">IF($A162="S",IF(CAIXA.Modo,BM.AFAnterior,BM.MEDAnterior),IF(AND(RegimeExecucao="Global",$I162&gt;0,COUNTIF($AB$13:$AM$13,BM.medicao-1)&gt;0),M162/$I162*100,0))</f>
        <v>0</v>
      </c>
      <c r="K162" s="122">
        <f t="shared" ca="1" si="18"/>
        <v>0</v>
      </c>
      <c r="L162" s="334" cm="1">
        <f t="array" aca="1" ref="L162" ca="1">IF($A162="S",IF(CAIXA.Modo,BM.AFAcumulado,BM.MEDAcumulado),IF(AND(RegimeExecucao="Global",$I162&gt;0,COUNTIF($AB$13:$AM$13,BM.medicao)&gt;0),O162/$I162*100,0))</f>
        <v>0</v>
      </c>
      <c r="M162" s="335" cm="1">
        <f t="array" aca="1" ref="M162" ca="1">IF($A162="S",VTOTALBM,IF($A162=0,0,ROUND(SomaAgrupBM,15-13*ORÇAMENTO!$AF$11)))</f>
        <v>0</v>
      </c>
      <c r="N162" s="336">
        <f t="shared" ca="1" si="19"/>
        <v>0</v>
      </c>
      <c r="O162" s="125" cm="1">
        <f t="array" aca="1" ref="O162" ca="1">IF($A162="S",VTOTALBM,IF($A162=0,0,ROUND(SomaAgrupBM,15-13*ORÇAMENTO!$AF$11)))</f>
        <v>0</v>
      </c>
      <c r="Q162" s="337"/>
      <c r="R162" s="338"/>
      <c r="T162" s="117" t="str">
        <f t="shared" ca="1" si="20"/>
        <v/>
      </c>
      <c r="U162" s="163" t="str">
        <f t="shared" ca="1" si="21"/>
        <v/>
      </c>
      <c r="V162" s="164" t="str" cm="1">
        <f t="array" aca="1" ref="V162" ca="1">IF(AND($W162&gt;0,RegimeExecucao="Unitário"),$F162,"")</f>
        <v/>
      </c>
      <c r="W162" s="454" cm="1">
        <f t="array" aca="1" ref="W162" ca="1">IF($Y162&gt;0,CHOOSE(MATCH(RegimeExecucao,{"Unitário","Global"},0),IF($A162="S",$Y162/$X162,""),($Y162/$X162)*100),0)</f>
        <v>0</v>
      </c>
      <c r="X162" s="339" t="str" cm="1">
        <f t="array" aca="1" ref="X162" ca="1">IF($Y162&gt;0,CHOOSE(MATCH(RegimeExecucao,{"Unitário","Global"},0),IF($A162="S",ROUND($H162,ORÇAMENTO!$AF$10),""),ROUND($I162,ORÇAMENTO!$AF$11)),"")</f>
        <v/>
      </c>
      <c r="Y162" s="339">
        <f t="shared" ca="1" si="22"/>
        <v>0</v>
      </c>
      <c r="Z162" s="473"/>
      <c r="AB162" s="337"/>
      <c r="AC162" s="437"/>
      <c r="AD162" s="437"/>
      <c r="AE162" s="437"/>
      <c r="AF162" s="437"/>
      <c r="AG162" s="437"/>
      <c r="AH162" s="437"/>
      <c r="AI162" s="437"/>
      <c r="AJ162" s="437"/>
      <c r="AK162" s="437"/>
      <c r="AL162" s="437"/>
      <c r="AM162" s="338"/>
      <c r="AO162" cm="1">
        <f t="array" aca="1" ref="AO162" ca="1">IF($A162="S",IF(BM!$I162=0,0,CHOOSE(MATCH(RegimeExecucao,{"Global","Unitário"},0),ROUND(ROUND(BM.MEDAcumulado,15-13*BM!$A$9)/100*BM!$I162,15-13*ORÇAMENTO!$AF$11),ROUND(ROUND(BM.MEDAcumulado,15-13*BM!$A$9)*ROUND(BM!$H162,15-13*ORÇAMENTO!$AF$10),15-13*ORÇAMENTO!$AF$11))),IF($A162=0,0,ROUND(SomaAgrupBM,15-13*ORÇAMENTO!$AF$11)))</f>
        <v>0</v>
      </c>
    </row>
    <row r="163" spans="1:41" ht="38.25" x14ac:dyDescent="0.2">
      <c r="A163" t="str">
        <f ca="1">ORÇAMENTO!C163</f>
        <v>S</v>
      </c>
      <c r="B163">
        <f ca="1">ORÇAMENTO!D163</f>
        <v>0</v>
      </c>
      <c r="C163" s="114" t="str">
        <f t="shared" ca="1" si="16"/>
        <v/>
      </c>
      <c r="D163" s="117" t="str">
        <f ca="1">ORÇAMENTO!O163</f>
        <v>-</v>
      </c>
      <c r="E163" s="163" t="str">
        <f t="shared" ca="1" si="17"/>
        <v>(Código não identificado nas referências)</v>
      </c>
      <c r="F163" s="164" t="str" cm="1">
        <f t="array" aca="1" ref="F163" ca="1">IF(RegimeExecucao="Global","",ORÇAMENTO.Unidade)</f>
        <v/>
      </c>
      <c r="G163" s="122" t="str" cm="1">
        <f t="array" aca="1" ref="G163" ca="1">IF(RegimeExecucao="Global","",ORÇAMENTO!T163)</f>
        <v/>
      </c>
      <c r="H163" s="122" t="str" cm="1">
        <f t="array" aca="1" ref="H163" ca="1">IF(RegimeExecucao="Global","",ORÇAMENTO!W163)</f>
        <v/>
      </c>
      <c r="I163" s="125">
        <f ca="1">ORÇAMENTO!X163</f>
        <v>0</v>
      </c>
      <c r="J163" s="333" cm="1">
        <f t="array" aca="1" ref="J163" ca="1">IF($A163="S",IF(CAIXA.Modo,BM.AFAnterior,BM.MEDAnterior),IF(AND(RegimeExecucao="Global",$I163&gt;0,COUNTIF($AB$13:$AM$13,BM.medicao-1)&gt;0),M163/$I163*100,0))</f>
        <v>0</v>
      </c>
      <c r="K163" s="122">
        <f t="shared" ca="1" si="18"/>
        <v>0</v>
      </c>
      <c r="L163" s="334" cm="1">
        <f t="array" aca="1" ref="L163" ca="1">IF($A163="S",IF(CAIXA.Modo,BM.AFAcumulado,BM.MEDAcumulado),IF(AND(RegimeExecucao="Global",$I163&gt;0,COUNTIF($AB$13:$AM$13,BM.medicao)&gt;0),O163/$I163*100,0))</f>
        <v>0</v>
      </c>
      <c r="M163" s="335" cm="1">
        <f t="array" aca="1" ref="M163" ca="1">IF($A163="S",VTOTALBM,IF($A163=0,0,ROUND(SomaAgrupBM,15-13*ORÇAMENTO!$AF$11)))</f>
        <v>0</v>
      </c>
      <c r="N163" s="336">
        <f t="shared" ca="1" si="19"/>
        <v>0</v>
      </c>
      <c r="O163" s="125" cm="1">
        <f t="array" aca="1" ref="O163" ca="1">IF($A163="S",VTOTALBM,IF($A163=0,0,ROUND(SomaAgrupBM,15-13*ORÇAMENTO!$AF$11)))</f>
        <v>0</v>
      </c>
      <c r="Q163" s="337"/>
      <c r="R163" s="338"/>
      <c r="T163" s="117" t="str">
        <f t="shared" ca="1" si="20"/>
        <v/>
      </c>
      <c r="U163" s="163" t="str">
        <f t="shared" ca="1" si="21"/>
        <v/>
      </c>
      <c r="V163" s="164" t="str" cm="1">
        <f t="array" aca="1" ref="V163" ca="1">IF(AND($W163&gt;0,RegimeExecucao="Unitário"),$F163,"")</f>
        <v/>
      </c>
      <c r="W163" s="454" cm="1">
        <f t="array" aca="1" ref="W163" ca="1">IF($Y163&gt;0,CHOOSE(MATCH(RegimeExecucao,{"Unitário","Global"},0),IF($A163="S",$Y163/$X163,""),($Y163/$X163)*100),0)</f>
        <v>0</v>
      </c>
      <c r="X163" s="339" t="str" cm="1">
        <f t="array" aca="1" ref="X163" ca="1">IF($Y163&gt;0,CHOOSE(MATCH(RegimeExecucao,{"Unitário","Global"},0),IF($A163="S",ROUND($H163,ORÇAMENTO!$AF$10),""),ROUND($I163,ORÇAMENTO!$AF$11)),"")</f>
        <v/>
      </c>
      <c r="Y163" s="339">
        <f t="shared" ca="1" si="22"/>
        <v>0</v>
      </c>
      <c r="Z163" s="473"/>
      <c r="AB163" s="337"/>
      <c r="AC163" s="437"/>
      <c r="AD163" s="437"/>
      <c r="AE163" s="437"/>
      <c r="AF163" s="437"/>
      <c r="AG163" s="437"/>
      <c r="AH163" s="437"/>
      <c r="AI163" s="437"/>
      <c r="AJ163" s="437"/>
      <c r="AK163" s="437"/>
      <c r="AL163" s="437"/>
      <c r="AM163" s="338"/>
      <c r="AO163" cm="1">
        <f t="array" aca="1" ref="AO163" ca="1">IF($A163="S",IF(BM!$I163=0,0,CHOOSE(MATCH(RegimeExecucao,{"Global","Unitário"},0),ROUND(ROUND(BM.MEDAcumulado,15-13*BM!$A$9)/100*BM!$I163,15-13*ORÇAMENTO!$AF$11),ROUND(ROUND(BM.MEDAcumulado,15-13*BM!$A$9)*ROUND(BM!$H163,15-13*ORÇAMENTO!$AF$10),15-13*ORÇAMENTO!$AF$11))),IF($A163=0,0,ROUND(SomaAgrupBM,15-13*ORÇAMENTO!$AF$11)))</f>
        <v>0</v>
      </c>
    </row>
    <row r="164" spans="1:41" ht="38.25" x14ac:dyDescent="0.2">
      <c r="A164" t="str">
        <f ca="1">ORÇAMENTO!C164</f>
        <v>S</v>
      </c>
      <c r="B164">
        <f ca="1">ORÇAMENTO!D164</f>
        <v>0</v>
      </c>
      <c r="C164" s="114" t="str">
        <f t="shared" ca="1" si="16"/>
        <v/>
      </c>
      <c r="D164" s="117" t="str">
        <f ca="1">ORÇAMENTO!O164</f>
        <v>-</v>
      </c>
      <c r="E164" s="163" t="str">
        <f t="shared" ca="1" si="17"/>
        <v>(Código não identificado nas referências)</v>
      </c>
      <c r="F164" s="164" t="str" cm="1">
        <f t="array" aca="1" ref="F164" ca="1">IF(RegimeExecucao="Global","",ORÇAMENTO.Unidade)</f>
        <v/>
      </c>
      <c r="G164" s="122" t="str" cm="1">
        <f t="array" aca="1" ref="G164" ca="1">IF(RegimeExecucao="Global","",ORÇAMENTO!T164)</f>
        <v/>
      </c>
      <c r="H164" s="122" t="str" cm="1">
        <f t="array" aca="1" ref="H164" ca="1">IF(RegimeExecucao="Global","",ORÇAMENTO!W164)</f>
        <v/>
      </c>
      <c r="I164" s="125">
        <f ca="1">ORÇAMENTO!X164</f>
        <v>0</v>
      </c>
      <c r="J164" s="333" cm="1">
        <f t="array" aca="1" ref="J164" ca="1">IF($A164="S",IF(CAIXA.Modo,BM.AFAnterior,BM.MEDAnterior),IF(AND(RegimeExecucao="Global",$I164&gt;0,COUNTIF($AB$13:$AM$13,BM.medicao-1)&gt;0),M164/$I164*100,0))</f>
        <v>0</v>
      </c>
      <c r="K164" s="122">
        <f t="shared" ca="1" si="18"/>
        <v>0</v>
      </c>
      <c r="L164" s="334" cm="1">
        <f t="array" aca="1" ref="L164" ca="1">IF($A164="S",IF(CAIXA.Modo,BM.AFAcumulado,BM.MEDAcumulado),IF(AND(RegimeExecucao="Global",$I164&gt;0,COUNTIF($AB$13:$AM$13,BM.medicao)&gt;0),O164/$I164*100,0))</f>
        <v>0</v>
      </c>
      <c r="M164" s="335" cm="1">
        <f t="array" aca="1" ref="M164" ca="1">IF($A164="S",VTOTALBM,IF($A164=0,0,ROUND(SomaAgrupBM,15-13*ORÇAMENTO!$AF$11)))</f>
        <v>0</v>
      </c>
      <c r="N164" s="336">
        <f t="shared" ca="1" si="19"/>
        <v>0</v>
      </c>
      <c r="O164" s="125" cm="1">
        <f t="array" aca="1" ref="O164" ca="1">IF($A164="S",VTOTALBM,IF($A164=0,0,ROUND(SomaAgrupBM,15-13*ORÇAMENTO!$AF$11)))</f>
        <v>0</v>
      </c>
      <c r="Q164" s="337"/>
      <c r="R164" s="338"/>
      <c r="T164" s="117" t="str">
        <f t="shared" ca="1" si="20"/>
        <v/>
      </c>
      <c r="U164" s="163" t="str">
        <f t="shared" ca="1" si="21"/>
        <v/>
      </c>
      <c r="V164" s="164" t="str" cm="1">
        <f t="array" aca="1" ref="V164" ca="1">IF(AND($W164&gt;0,RegimeExecucao="Unitário"),$F164,"")</f>
        <v/>
      </c>
      <c r="W164" s="454" cm="1">
        <f t="array" aca="1" ref="W164" ca="1">IF($Y164&gt;0,CHOOSE(MATCH(RegimeExecucao,{"Unitário","Global"},0),IF($A164="S",$Y164/$X164,""),($Y164/$X164)*100),0)</f>
        <v>0</v>
      </c>
      <c r="X164" s="339" t="str" cm="1">
        <f t="array" aca="1" ref="X164" ca="1">IF($Y164&gt;0,CHOOSE(MATCH(RegimeExecucao,{"Unitário","Global"},0),IF($A164="S",ROUND($H164,ORÇAMENTO!$AF$10),""),ROUND($I164,ORÇAMENTO!$AF$11)),"")</f>
        <v/>
      </c>
      <c r="Y164" s="339">
        <f t="shared" ca="1" si="22"/>
        <v>0</v>
      </c>
      <c r="Z164" s="473"/>
      <c r="AB164" s="337"/>
      <c r="AC164" s="437"/>
      <c r="AD164" s="437"/>
      <c r="AE164" s="437"/>
      <c r="AF164" s="437"/>
      <c r="AG164" s="437"/>
      <c r="AH164" s="437"/>
      <c r="AI164" s="437"/>
      <c r="AJ164" s="437"/>
      <c r="AK164" s="437"/>
      <c r="AL164" s="437"/>
      <c r="AM164" s="338"/>
      <c r="AO164" cm="1">
        <f t="array" aca="1" ref="AO164" ca="1">IF($A164="S",IF(BM!$I164=0,0,CHOOSE(MATCH(RegimeExecucao,{"Global","Unitário"},0),ROUND(ROUND(BM.MEDAcumulado,15-13*BM!$A$9)/100*BM!$I164,15-13*ORÇAMENTO!$AF$11),ROUND(ROUND(BM.MEDAcumulado,15-13*BM!$A$9)*ROUND(BM!$H164,15-13*ORÇAMENTO!$AF$10),15-13*ORÇAMENTO!$AF$11))),IF($A164=0,0,ROUND(SomaAgrupBM,15-13*ORÇAMENTO!$AF$11)))</f>
        <v>0</v>
      </c>
    </row>
    <row r="165" spans="1:41" ht="25.5" x14ac:dyDescent="0.2">
      <c r="A165" t="str">
        <f ca="1">ORÇAMENTO!C165</f>
        <v>S</v>
      </c>
      <c r="B165">
        <f ca="1">ORÇAMENTO!D165</f>
        <v>0</v>
      </c>
      <c r="C165" s="114" t="str">
        <f t="shared" ca="1" si="16"/>
        <v/>
      </c>
      <c r="D165" s="117" t="str">
        <f ca="1">ORÇAMENTO!O165</f>
        <v>-</v>
      </c>
      <c r="E165" s="163" t="str">
        <f t="shared" ca="1" si="17"/>
        <v>(Código não identificado nas referências)</v>
      </c>
      <c r="F165" s="164" t="str" cm="1">
        <f t="array" aca="1" ref="F165" ca="1">IF(RegimeExecucao="Global","",ORÇAMENTO.Unidade)</f>
        <v/>
      </c>
      <c r="G165" s="122" t="str" cm="1">
        <f t="array" aca="1" ref="G165" ca="1">IF(RegimeExecucao="Global","",ORÇAMENTO!T165)</f>
        <v/>
      </c>
      <c r="H165" s="122" t="str" cm="1">
        <f t="array" aca="1" ref="H165" ca="1">IF(RegimeExecucao="Global","",ORÇAMENTO!W165)</f>
        <v/>
      </c>
      <c r="I165" s="125">
        <f ca="1">ORÇAMENTO!X165</f>
        <v>0</v>
      </c>
      <c r="J165" s="333" cm="1">
        <f t="array" aca="1" ref="J165" ca="1">IF($A165="S",IF(CAIXA.Modo,BM.AFAnterior,BM.MEDAnterior),IF(AND(RegimeExecucao="Global",$I165&gt;0,COUNTIF($AB$13:$AM$13,BM.medicao-1)&gt;0),M165/$I165*100,0))</f>
        <v>0</v>
      </c>
      <c r="K165" s="122">
        <f t="shared" ca="1" si="18"/>
        <v>0</v>
      </c>
      <c r="L165" s="334" cm="1">
        <f t="array" aca="1" ref="L165" ca="1">IF($A165="S",IF(CAIXA.Modo,BM.AFAcumulado,BM.MEDAcumulado),IF(AND(RegimeExecucao="Global",$I165&gt;0,COUNTIF($AB$13:$AM$13,BM.medicao)&gt;0),O165/$I165*100,0))</f>
        <v>0</v>
      </c>
      <c r="M165" s="335" cm="1">
        <f t="array" aca="1" ref="M165" ca="1">IF($A165="S",VTOTALBM,IF($A165=0,0,ROUND(SomaAgrupBM,15-13*ORÇAMENTO!$AF$11)))</f>
        <v>0</v>
      </c>
      <c r="N165" s="336">
        <f t="shared" ca="1" si="19"/>
        <v>0</v>
      </c>
      <c r="O165" s="125" cm="1">
        <f t="array" aca="1" ref="O165" ca="1">IF($A165="S",VTOTALBM,IF($A165=0,0,ROUND(SomaAgrupBM,15-13*ORÇAMENTO!$AF$11)))</f>
        <v>0</v>
      </c>
      <c r="Q165" s="337"/>
      <c r="R165" s="338"/>
      <c r="T165" s="117" t="str">
        <f t="shared" ca="1" si="20"/>
        <v/>
      </c>
      <c r="U165" s="163" t="str">
        <f t="shared" ca="1" si="21"/>
        <v/>
      </c>
      <c r="V165" s="164" t="str" cm="1">
        <f t="array" aca="1" ref="V165" ca="1">IF(AND($W165&gt;0,RegimeExecucao="Unitário"),$F165,"")</f>
        <v/>
      </c>
      <c r="W165" s="454" cm="1">
        <f t="array" aca="1" ref="W165" ca="1">IF($Y165&gt;0,CHOOSE(MATCH(RegimeExecucao,{"Unitário","Global"},0),IF($A165="S",$Y165/$X165,""),($Y165/$X165)*100),0)</f>
        <v>0</v>
      </c>
      <c r="X165" s="339" t="str" cm="1">
        <f t="array" aca="1" ref="X165" ca="1">IF($Y165&gt;0,CHOOSE(MATCH(RegimeExecucao,{"Unitário","Global"},0),IF($A165="S",ROUND($H165,ORÇAMENTO!$AF$10),""),ROUND($I165,ORÇAMENTO!$AF$11)),"")</f>
        <v/>
      </c>
      <c r="Y165" s="339">
        <f t="shared" ca="1" si="22"/>
        <v>0</v>
      </c>
      <c r="Z165" s="473"/>
      <c r="AB165" s="337"/>
      <c r="AC165" s="437"/>
      <c r="AD165" s="437"/>
      <c r="AE165" s="437"/>
      <c r="AF165" s="437"/>
      <c r="AG165" s="437"/>
      <c r="AH165" s="437"/>
      <c r="AI165" s="437"/>
      <c r="AJ165" s="437"/>
      <c r="AK165" s="437"/>
      <c r="AL165" s="437"/>
      <c r="AM165" s="338"/>
      <c r="AO165" cm="1">
        <f t="array" aca="1" ref="AO165" ca="1">IF($A165="S",IF(BM!$I165=0,0,CHOOSE(MATCH(RegimeExecucao,{"Global","Unitário"},0),ROUND(ROUND(BM.MEDAcumulado,15-13*BM!$A$9)/100*BM!$I165,15-13*ORÇAMENTO!$AF$11),ROUND(ROUND(BM.MEDAcumulado,15-13*BM!$A$9)*ROUND(BM!$H165,15-13*ORÇAMENTO!$AF$10),15-13*ORÇAMENTO!$AF$11))),IF($A165=0,0,ROUND(SomaAgrupBM,15-13*ORÇAMENTO!$AF$11)))</f>
        <v>0</v>
      </c>
    </row>
    <row r="166" spans="1:41" x14ac:dyDescent="0.2">
      <c r="A166">
        <f ca="1">ORÇAMENTO!C166</f>
        <v>2</v>
      </c>
      <c r="B166">
        <f ca="1">ORÇAMENTO!D166</f>
        <v>37</v>
      </c>
      <c r="C166" s="114" t="str">
        <f t="shared" ca="1" si="16"/>
        <v>F</v>
      </c>
      <c r="D166" s="117" t="str">
        <f ca="1">ORÇAMENTO!O166</f>
        <v>9.2.</v>
      </c>
      <c r="E166" s="163" t="str">
        <f t="shared" si="17"/>
        <v>HIDRÁULICAS / GÁS / INCÊNCIO</v>
      </c>
      <c r="F166" s="164" t="str" cm="1">
        <f t="array" aca="1" ref="F166" ca="1">IF(RegimeExecucao="Global","",ORÇAMENTO.Unidade)</f>
        <v/>
      </c>
      <c r="G166" s="122" t="str" cm="1">
        <f t="array" aca="1" ref="G166" ca="1">IF(RegimeExecucao="Global","",ORÇAMENTO!T166)</f>
        <v/>
      </c>
      <c r="H166" s="122" t="str" cm="1">
        <f t="array" aca="1" ref="H166" ca="1">IF(RegimeExecucao="Global","",ORÇAMENTO!W166)</f>
        <v/>
      </c>
      <c r="I166" s="125">
        <f ca="1">ORÇAMENTO!X166</f>
        <v>0</v>
      </c>
      <c r="J166" s="333" cm="1">
        <f t="array" aca="1" ref="J166" ca="1">IF($A166="S",IF(CAIXA.Modo,BM.AFAnterior,BM.MEDAnterior),IF(AND(RegimeExecucao="Global",$I166&gt;0,COUNTIF($AB$13:$AM$13,BM.medicao-1)&gt;0),M166/$I166*100,0))</f>
        <v>0</v>
      </c>
      <c r="K166" s="122">
        <f t="shared" ca="1" si="18"/>
        <v>0</v>
      </c>
      <c r="L166" s="334" cm="1">
        <f t="array" aca="1" ref="L166" ca="1">IF($A166="S",IF(CAIXA.Modo,BM.AFAcumulado,BM.MEDAcumulado),IF(AND(RegimeExecucao="Global",$I166&gt;0,COUNTIF($AB$13:$AM$13,BM.medicao)&gt;0),O166/$I166*100,0))</f>
        <v>0</v>
      </c>
      <c r="M166" s="335" cm="1">
        <f t="array" aca="1" ref="M166" ca="1">IF($A166="S",VTOTALBM,IF($A166=0,0,ROUND(SomaAgrupBM,15-13*ORÇAMENTO!$AF$11)))</f>
        <v>0</v>
      </c>
      <c r="N166" s="336">
        <f t="shared" ca="1" si="19"/>
        <v>0</v>
      </c>
      <c r="O166" s="125" cm="1">
        <f t="array" aca="1" ref="O166" ca="1">IF($A166="S",VTOTALBM,IF($A166=0,0,ROUND(SomaAgrupBM,15-13*ORÇAMENTO!$AF$11)))</f>
        <v>0</v>
      </c>
      <c r="Q166" s="337"/>
      <c r="R166" s="338"/>
      <c r="T166" s="117" t="str">
        <f t="shared" ca="1" si="20"/>
        <v/>
      </c>
      <c r="U166" s="163" t="str">
        <f t="shared" ca="1" si="21"/>
        <v/>
      </c>
      <c r="V166" s="164" t="str" cm="1">
        <f t="array" aca="1" ref="V166" ca="1">IF(AND($W166&gt;0,RegimeExecucao="Unitário"),$F166,"")</f>
        <v/>
      </c>
      <c r="W166" s="454" cm="1">
        <f t="array" aca="1" ref="W166" ca="1">IF($Y166&gt;0,CHOOSE(MATCH(RegimeExecucao,{"Unitário","Global"},0),IF($A166="S",$Y166/$X166,""),($Y166/$X166)*100),0)</f>
        <v>0</v>
      </c>
      <c r="X166" s="339" t="str" cm="1">
        <f t="array" aca="1" ref="X166" ca="1">IF($Y166&gt;0,CHOOSE(MATCH(RegimeExecucao,{"Unitário","Global"},0),IF($A166="S",ROUND($H166,ORÇAMENTO!$AF$10),""),ROUND($I166,ORÇAMENTO!$AF$11)),"")</f>
        <v/>
      </c>
      <c r="Y166" s="339">
        <f t="shared" ca="1" si="22"/>
        <v>0</v>
      </c>
      <c r="Z166" s="473"/>
      <c r="AB166" s="337"/>
      <c r="AC166" s="437"/>
      <c r="AD166" s="437"/>
      <c r="AE166" s="437"/>
      <c r="AF166" s="437"/>
      <c r="AG166" s="437"/>
      <c r="AH166" s="437"/>
      <c r="AI166" s="437"/>
      <c r="AJ166" s="437"/>
      <c r="AK166" s="437"/>
      <c r="AL166" s="437"/>
      <c r="AM166" s="338"/>
      <c r="AO166" cm="1">
        <f t="array" aca="1" ref="AO166" ca="1">IF($A166="S",IF(BM!$I166=0,0,CHOOSE(MATCH(RegimeExecucao,{"Global","Unitário"},0),ROUND(ROUND(BM.MEDAcumulado,15-13*BM!$A$9)/100*BM!$I166,15-13*ORÇAMENTO!$AF$11),ROUND(ROUND(BM.MEDAcumulado,15-13*BM!$A$9)*ROUND(BM!$H166,15-13*ORÇAMENTO!$AF$10),15-13*ORÇAMENTO!$AF$11))),IF($A166=0,0,ROUND(SomaAgrupBM,15-13*ORÇAMENTO!$AF$11)))</f>
        <v>0</v>
      </c>
    </row>
    <row r="167" spans="1:41" x14ac:dyDescent="0.2">
      <c r="A167">
        <f ca="1">ORÇAMENTO!C167</f>
        <v>3</v>
      </c>
      <c r="B167">
        <f ca="1">ORÇAMENTO!D167</f>
        <v>8</v>
      </c>
      <c r="C167" s="114" t="str">
        <f t="shared" ca="1" si="16"/>
        <v>F</v>
      </c>
      <c r="D167" s="117" t="str">
        <f ca="1">ORÇAMENTO!O167</f>
        <v>9.2.1.</v>
      </c>
      <c r="E167" s="163" t="str">
        <f t="shared" si="17"/>
        <v>TUBULAÇÕES E CONEXÕES HIDRÁULICAS</v>
      </c>
      <c r="F167" s="164" t="str" cm="1">
        <f t="array" aca="1" ref="F167" ca="1">IF(RegimeExecucao="Global","",ORÇAMENTO.Unidade)</f>
        <v/>
      </c>
      <c r="G167" s="122" t="str" cm="1">
        <f t="array" aca="1" ref="G167" ca="1">IF(RegimeExecucao="Global","",ORÇAMENTO!T167)</f>
        <v/>
      </c>
      <c r="H167" s="122" t="str" cm="1">
        <f t="array" aca="1" ref="H167" ca="1">IF(RegimeExecucao="Global","",ORÇAMENTO!W167)</f>
        <v/>
      </c>
      <c r="I167" s="125">
        <f ca="1">ORÇAMENTO!X167</f>
        <v>0</v>
      </c>
      <c r="J167" s="333" cm="1">
        <f t="array" aca="1" ref="J167" ca="1">IF($A167="S",IF(CAIXA.Modo,BM.AFAnterior,BM.MEDAnterior),IF(AND(RegimeExecucao="Global",$I167&gt;0,COUNTIF($AB$13:$AM$13,BM.medicao-1)&gt;0),M167/$I167*100,0))</f>
        <v>0</v>
      </c>
      <c r="K167" s="122">
        <f t="shared" ca="1" si="18"/>
        <v>0</v>
      </c>
      <c r="L167" s="334" cm="1">
        <f t="array" aca="1" ref="L167" ca="1">IF($A167="S",IF(CAIXA.Modo,BM.AFAcumulado,BM.MEDAcumulado),IF(AND(RegimeExecucao="Global",$I167&gt;0,COUNTIF($AB$13:$AM$13,BM.medicao)&gt;0),O167/$I167*100,0))</f>
        <v>0</v>
      </c>
      <c r="M167" s="335" cm="1">
        <f t="array" aca="1" ref="M167" ca="1">IF($A167="S",VTOTALBM,IF($A167=0,0,ROUND(SomaAgrupBM,15-13*ORÇAMENTO!$AF$11)))</f>
        <v>0</v>
      </c>
      <c r="N167" s="336">
        <f t="shared" ca="1" si="19"/>
        <v>0</v>
      </c>
      <c r="O167" s="125" cm="1">
        <f t="array" aca="1" ref="O167" ca="1">IF($A167="S",VTOTALBM,IF($A167=0,0,ROUND(SomaAgrupBM,15-13*ORÇAMENTO!$AF$11)))</f>
        <v>0</v>
      </c>
      <c r="Q167" s="337"/>
      <c r="R167" s="338"/>
      <c r="T167" s="117" t="str">
        <f t="shared" ca="1" si="20"/>
        <v/>
      </c>
      <c r="U167" s="163" t="str">
        <f t="shared" ca="1" si="21"/>
        <v/>
      </c>
      <c r="V167" s="164" t="str" cm="1">
        <f t="array" aca="1" ref="V167" ca="1">IF(AND($W167&gt;0,RegimeExecucao="Unitário"),$F167,"")</f>
        <v/>
      </c>
      <c r="W167" s="454" cm="1">
        <f t="array" aca="1" ref="W167" ca="1">IF($Y167&gt;0,CHOOSE(MATCH(RegimeExecucao,{"Unitário","Global"},0),IF($A167="S",$Y167/$X167,""),($Y167/$X167)*100),0)</f>
        <v>0</v>
      </c>
      <c r="X167" s="339" t="str" cm="1">
        <f t="array" aca="1" ref="X167" ca="1">IF($Y167&gt;0,CHOOSE(MATCH(RegimeExecucao,{"Unitário","Global"},0),IF($A167="S",ROUND($H167,ORÇAMENTO!$AF$10),""),ROUND($I167,ORÇAMENTO!$AF$11)),"")</f>
        <v/>
      </c>
      <c r="Y167" s="339">
        <f t="shared" ca="1" si="22"/>
        <v>0</v>
      </c>
      <c r="Z167" s="473"/>
      <c r="AB167" s="337"/>
      <c r="AC167" s="437"/>
      <c r="AD167" s="437"/>
      <c r="AE167" s="437"/>
      <c r="AF167" s="437"/>
      <c r="AG167" s="437"/>
      <c r="AH167" s="437"/>
      <c r="AI167" s="437"/>
      <c r="AJ167" s="437"/>
      <c r="AK167" s="437"/>
      <c r="AL167" s="437"/>
      <c r="AM167" s="338"/>
      <c r="AO167" cm="1">
        <f t="array" aca="1" ref="AO167" ca="1">IF($A167="S",IF(BM!$I167=0,0,CHOOSE(MATCH(RegimeExecucao,{"Global","Unitário"},0),ROUND(ROUND(BM.MEDAcumulado,15-13*BM!$A$9)/100*BM!$I167,15-13*ORÇAMENTO!$AF$11),ROUND(ROUND(BM.MEDAcumulado,15-13*BM!$A$9)*ROUND(BM!$H167,15-13*ORÇAMENTO!$AF$10),15-13*ORÇAMENTO!$AF$11))),IF($A167=0,0,ROUND(SomaAgrupBM,15-13*ORÇAMENTO!$AF$11)))</f>
        <v>0</v>
      </c>
    </row>
    <row r="168" spans="1:41" ht="38.25" x14ac:dyDescent="0.2">
      <c r="A168" t="str">
        <f ca="1">ORÇAMENTO!C168</f>
        <v>S</v>
      </c>
      <c r="B168">
        <f ca="1">ORÇAMENTO!D168</f>
        <v>0</v>
      </c>
      <c r="C168" s="114" t="str">
        <f t="shared" ca="1" si="16"/>
        <v/>
      </c>
      <c r="D168" s="117" t="str">
        <f ca="1">ORÇAMENTO!O168</f>
        <v>-</v>
      </c>
      <c r="E168" s="163" t="str">
        <f t="shared" ca="1" si="17"/>
        <v>(Código não identificado nas referências)</v>
      </c>
      <c r="F168" s="164" t="str" cm="1">
        <f t="array" aca="1" ref="F168" ca="1">IF(RegimeExecucao="Global","",ORÇAMENTO.Unidade)</f>
        <v/>
      </c>
      <c r="G168" s="122" t="str" cm="1">
        <f t="array" aca="1" ref="G168" ca="1">IF(RegimeExecucao="Global","",ORÇAMENTO!T168)</f>
        <v/>
      </c>
      <c r="H168" s="122" t="str" cm="1">
        <f t="array" aca="1" ref="H168" ca="1">IF(RegimeExecucao="Global","",ORÇAMENTO!W168)</f>
        <v/>
      </c>
      <c r="I168" s="125">
        <f ca="1">ORÇAMENTO!X168</f>
        <v>0</v>
      </c>
      <c r="J168" s="333" cm="1">
        <f t="array" aca="1" ref="J168" ca="1">IF($A168="S",IF(CAIXA.Modo,BM.AFAnterior,BM.MEDAnterior),IF(AND(RegimeExecucao="Global",$I168&gt;0,COUNTIF($AB$13:$AM$13,BM.medicao-1)&gt;0),M168/$I168*100,0))</f>
        <v>0</v>
      </c>
      <c r="K168" s="122">
        <f t="shared" ca="1" si="18"/>
        <v>0</v>
      </c>
      <c r="L168" s="334" cm="1">
        <f t="array" aca="1" ref="L168" ca="1">IF($A168="S",IF(CAIXA.Modo,BM.AFAcumulado,BM.MEDAcumulado),IF(AND(RegimeExecucao="Global",$I168&gt;0,COUNTIF($AB$13:$AM$13,BM.medicao)&gt;0),O168/$I168*100,0))</f>
        <v>0</v>
      </c>
      <c r="M168" s="335" cm="1">
        <f t="array" aca="1" ref="M168" ca="1">IF($A168="S",VTOTALBM,IF($A168=0,0,ROUND(SomaAgrupBM,15-13*ORÇAMENTO!$AF$11)))</f>
        <v>0</v>
      </c>
      <c r="N168" s="336">
        <f t="shared" ca="1" si="19"/>
        <v>0</v>
      </c>
      <c r="O168" s="125" cm="1">
        <f t="array" aca="1" ref="O168" ca="1">IF($A168="S",VTOTALBM,IF($A168=0,0,ROUND(SomaAgrupBM,15-13*ORÇAMENTO!$AF$11)))</f>
        <v>0</v>
      </c>
      <c r="Q168" s="337"/>
      <c r="R168" s="338"/>
      <c r="T168" s="117" t="str">
        <f t="shared" ca="1" si="20"/>
        <v/>
      </c>
      <c r="U168" s="163" t="str">
        <f t="shared" ca="1" si="21"/>
        <v/>
      </c>
      <c r="V168" s="164" t="str" cm="1">
        <f t="array" aca="1" ref="V168" ca="1">IF(AND($W168&gt;0,RegimeExecucao="Unitário"),$F168,"")</f>
        <v/>
      </c>
      <c r="W168" s="454" cm="1">
        <f t="array" aca="1" ref="W168" ca="1">IF($Y168&gt;0,CHOOSE(MATCH(RegimeExecucao,{"Unitário","Global"},0),IF($A168="S",$Y168/$X168,""),($Y168/$X168)*100),0)</f>
        <v>0</v>
      </c>
      <c r="X168" s="339" t="str" cm="1">
        <f t="array" aca="1" ref="X168" ca="1">IF($Y168&gt;0,CHOOSE(MATCH(RegimeExecucao,{"Unitário","Global"},0),IF($A168="S",ROUND($H168,ORÇAMENTO!$AF$10),""),ROUND($I168,ORÇAMENTO!$AF$11)),"")</f>
        <v/>
      </c>
      <c r="Y168" s="339">
        <f t="shared" ca="1" si="22"/>
        <v>0</v>
      </c>
      <c r="Z168" s="473"/>
      <c r="AB168" s="337"/>
      <c r="AC168" s="437"/>
      <c r="AD168" s="437"/>
      <c r="AE168" s="437"/>
      <c r="AF168" s="437"/>
      <c r="AG168" s="437"/>
      <c r="AH168" s="437"/>
      <c r="AI168" s="437"/>
      <c r="AJ168" s="437"/>
      <c r="AK168" s="437"/>
      <c r="AL168" s="437"/>
      <c r="AM168" s="338"/>
      <c r="AO168" cm="1">
        <f t="array" aca="1" ref="AO168" ca="1">IF($A168="S",IF(BM!$I168=0,0,CHOOSE(MATCH(RegimeExecucao,{"Global","Unitário"},0),ROUND(ROUND(BM.MEDAcumulado,15-13*BM!$A$9)/100*BM!$I168,15-13*ORÇAMENTO!$AF$11),ROUND(ROUND(BM.MEDAcumulado,15-13*BM!$A$9)*ROUND(BM!$H168,15-13*ORÇAMENTO!$AF$10),15-13*ORÇAMENTO!$AF$11))),IF($A168=0,0,ROUND(SomaAgrupBM,15-13*ORÇAMENTO!$AF$11)))</f>
        <v>0</v>
      </c>
    </row>
    <row r="169" spans="1:41" ht="38.25" x14ac:dyDescent="0.2">
      <c r="A169" t="str">
        <f ca="1">ORÇAMENTO!C169</f>
        <v>S</v>
      </c>
      <c r="B169">
        <f ca="1">ORÇAMENTO!D169</f>
        <v>0</v>
      </c>
      <c r="C169" s="114" t="str">
        <f t="shared" ca="1" si="16"/>
        <v/>
      </c>
      <c r="D169" s="117" t="str">
        <f ca="1">ORÇAMENTO!O169</f>
        <v>-</v>
      </c>
      <c r="E169" s="163" t="str">
        <f t="shared" ca="1" si="17"/>
        <v>(Código não identificado nas referências)</v>
      </c>
      <c r="F169" s="164" t="str" cm="1">
        <f t="array" aca="1" ref="F169" ca="1">IF(RegimeExecucao="Global","",ORÇAMENTO.Unidade)</f>
        <v/>
      </c>
      <c r="G169" s="122" t="str" cm="1">
        <f t="array" aca="1" ref="G169" ca="1">IF(RegimeExecucao="Global","",ORÇAMENTO!T169)</f>
        <v/>
      </c>
      <c r="H169" s="122" t="str" cm="1">
        <f t="array" aca="1" ref="H169" ca="1">IF(RegimeExecucao="Global","",ORÇAMENTO!W169)</f>
        <v/>
      </c>
      <c r="I169" s="125">
        <f ca="1">ORÇAMENTO!X169</f>
        <v>0</v>
      </c>
      <c r="J169" s="333" cm="1">
        <f t="array" aca="1" ref="J169" ca="1">IF($A169="S",IF(CAIXA.Modo,BM.AFAnterior,BM.MEDAnterior),IF(AND(RegimeExecucao="Global",$I169&gt;0,COUNTIF($AB$13:$AM$13,BM.medicao-1)&gt;0),M169/$I169*100,0))</f>
        <v>0</v>
      </c>
      <c r="K169" s="122">
        <f t="shared" ca="1" si="18"/>
        <v>0</v>
      </c>
      <c r="L169" s="334" cm="1">
        <f t="array" aca="1" ref="L169" ca="1">IF($A169="S",IF(CAIXA.Modo,BM.AFAcumulado,BM.MEDAcumulado),IF(AND(RegimeExecucao="Global",$I169&gt;0,COUNTIF($AB$13:$AM$13,BM.medicao)&gt;0),O169/$I169*100,0))</f>
        <v>0</v>
      </c>
      <c r="M169" s="335" cm="1">
        <f t="array" aca="1" ref="M169" ca="1">IF($A169="S",VTOTALBM,IF($A169=0,0,ROUND(SomaAgrupBM,15-13*ORÇAMENTO!$AF$11)))</f>
        <v>0</v>
      </c>
      <c r="N169" s="336">
        <f t="shared" ca="1" si="19"/>
        <v>0</v>
      </c>
      <c r="O169" s="125" cm="1">
        <f t="array" aca="1" ref="O169" ca="1">IF($A169="S",VTOTALBM,IF($A169=0,0,ROUND(SomaAgrupBM,15-13*ORÇAMENTO!$AF$11)))</f>
        <v>0</v>
      </c>
      <c r="Q169" s="337"/>
      <c r="R169" s="338"/>
      <c r="T169" s="117" t="str">
        <f t="shared" ca="1" si="20"/>
        <v/>
      </c>
      <c r="U169" s="163" t="str">
        <f t="shared" ca="1" si="21"/>
        <v/>
      </c>
      <c r="V169" s="164" t="str" cm="1">
        <f t="array" aca="1" ref="V169" ca="1">IF(AND($W169&gt;0,RegimeExecucao="Unitário"),$F169,"")</f>
        <v/>
      </c>
      <c r="W169" s="454" cm="1">
        <f t="array" aca="1" ref="W169" ca="1">IF($Y169&gt;0,CHOOSE(MATCH(RegimeExecucao,{"Unitário","Global"},0),IF($A169="S",$Y169/$X169,""),($Y169/$X169)*100),0)</f>
        <v>0</v>
      </c>
      <c r="X169" s="339" t="str" cm="1">
        <f t="array" aca="1" ref="X169" ca="1">IF($Y169&gt;0,CHOOSE(MATCH(RegimeExecucao,{"Unitário","Global"},0),IF($A169="S",ROUND($H169,ORÇAMENTO!$AF$10),""),ROUND($I169,ORÇAMENTO!$AF$11)),"")</f>
        <v/>
      </c>
      <c r="Y169" s="339">
        <f t="shared" ca="1" si="22"/>
        <v>0</v>
      </c>
      <c r="Z169" s="473"/>
      <c r="AB169" s="337"/>
      <c r="AC169" s="437"/>
      <c r="AD169" s="437"/>
      <c r="AE169" s="437"/>
      <c r="AF169" s="437"/>
      <c r="AG169" s="437"/>
      <c r="AH169" s="437"/>
      <c r="AI169" s="437"/>
      <c r="AJ169" s="437"/>
      <c r="AK169" s="437"/>
      <c r="AL169" s="437"/>
      <c r="AM169" s="338"/>
      <c r="AO169" cm="1">
        <f t="array" aca="1" ref="AO169" ca="1">IF($A169="S",IF(BM!$I169=0,0,CHOOSE(MATCH(RegimeExecucao,{"Global","Unitário"},0),ROUND(ROUND(BM.MEDAcumulado,15-13*BM!$A$9)/100*BM!$I169,15-13*ORÇAMENTO!$AF$11),ROUND(ROUND(BM.MEDAcumulado,15-13*BM!$A$9)*ROUND(BM!$H169,15-13*ORÇAMENTO!$AF$10),15-13*ORÇAMENTO!$AF$11))),IF($A169=0,0,ROUND(SomaAgrupBM,15-13*ORÇAMENTO!$AF$11)))</f>
        <v>0</v>
      </c>
    </row>
    <row r="170" spans="1:41" ht="25.5" x14ac:dyDescent="0.2">
      <c r="A170" t="str">
        <f ca="1">ORÇAMENTO!C170</f>
        <v>S</v>
      </c>
      <c r="B170">
        <f ca="1">ORÇAMENTO!D170</f>
        <v>0</v>
      </c>
      <c r="C170" s="114" t="str">
        <f t="shared" ca="1" si="16"/>
        <v/>
      </c>
      <c r="D170" s="117" t="str">
        <f ca="1">ORÇAMENTO!O170</f>
        <v>-</v>
      </c>
      <c r="E170" s="163" t="str">
        <f t="shared" ca="1" si="17"/>
        <v>(Código não identificado nas referências)</v>
      </c>
      <c r="F170" s="164" t="str" cm="1">
        <f t="array" aca="1" ref="F170" ca="1">IF(RegimeExecucao="Global","",ORÇAMENTO.Unidade)</f>
        <v/>
      </c>
      <c r="G170" s="122" t="str" cm="1">
        <f t="array" aca="1" ref="G170" ca="1">IF(RegimeExecucao="Global","",ORÇAMENTO!T170)</f>
        <v/>
      </c>
      <c r="H170" s="122" t="str" cm="1">
        <f t="array" aca="1" ref="H170" ca="1">IF(RegimeExecucao="Global","",ORÇAMENTO!W170)</f>
        <v/>
      </c>
      <c r="I170" s="125">
        <f ca="1">ORÇAMENTO!X170</f>
        <v>0</v>
      </c>
      <c r="J170" s="333" cm="1">
        <f t="array" aca="1" ref="J170" ca="1">IF($A170="S",IF(CAIXA.Modo,BM.AFAnterior,BM.MEDAnterior),IF(AND(RegimeExecucao="Global",$I170&gt;0,COUNTIF($AB$13:$AM$13,BM.medicao-1)&gt;0),M170/$I170*100,0))</f>
        <v>0</v>
      </c>
      <c r="K170" s="122">
        <f t="shared" ca="1" si="18"/>
        <v>0</v>
      </c>
      <c r="L170" s="334" cm="1">
        <f t="array" aca="1" ref="L170" ca="1">IF($A170="S",IF(CAIXA.Modo,BM.AFAcumulado,BM.MEDAcumulado),IF(AND(RegimeExecucao="Global",$I170&gt;0,COUNTIF($AB$13:$AM$13,BM.medicao)&gt;0),O170/$I170*100,0))</f>
        <v>0</v>
      </c>
      <c r="M170" s="335" cm="1">
        <f t="array" aca="1" ref="M170" ca="1">IF($A170="S",VTOTALBM,IF($A170=0,0,ROUND(SomaAgrupBM,15-13*ORÇAMENTO!$AF$11)))</f>
        <v>0</v>
      </c>
      <c r="N170" s="336">
        <f t="shared" ca="1" si="19"/>
        <v>0</v>
      </c>
      <c r="O170" s="125" cm="1">
        <f t="array" aca="1" ref="O170" ca="1">IF($A170="S",VTOTALBM,IF($A170=0,0,ROUND(SomaAgrupBM,15-13*ORÇAMENTO!$AF$11)))</f>
        <v>0</v>
      </c>
      <c r="Q170" s="337"/>
      <c r="R170" s="338"/>
      <c r="T170" s="117" t="str">
        <f t="shared" ca="1" si="20"/>
        <v/>
      </c>
      <c r="U170" s="163" t="str">
        <f t="shared" ca="1" si="21"/>
        <v/>
      </c>
      <c r="V170" s="164" t="str" cm="1">
        <f t="array" aca="1" ref="V170" ca="1">IF(AND($W170&gt;0,RegimeExecucao="Unitário"),$F170,"")</f>
        <v/>
      </c>
      <c r="W170" s="454" cm="1">
        <f t="array" aca="1" ref="W170" ca="1">IF($Y170&gt;0,CHOOSE(MATCH(RegimeExecucao,{"Unitário","Global"},0),IF($A170="S",$Y170/$X170,""),($Y170/$X170)*100),0)</f>
        <v>0</v>
      </c>
      <c r="X170" s="339" t="str" cm="1">
        <f t="array" aca="1" ref="X170" ca="1">IF($Y170&gt;0,CHOOSE(MATCH(RegimeExecucao,{"Unitário","Global"},0),IF($A170="S",ROUND($H170,ORÇAMENTO!$AF$10),""),ROUND($I170,ORÇAMENTO!$AF$11)),"")</f>
        <v/>
      </c>
      <c r="Y170" s="339">
        <f t="shared" ca="1" si="22"/>
        <v>0</v>
      </c>
      <c r="Z170" s="473"/>
      <c r="AB170" s="337"/>
      <c r="AC170" s="437"/>
      <c r="AD170" s="437"/>
      <c r="AE170" s="437"/>
      <c r="AF170" s="437"/>
      <c r="AG170" s="437"/>
      <c r="AH170" s="437"/>
      <c r="AI170" s="437"/>
      <c r="AJ170" s="437"/>
      <c r="AK170" s="437"/>
      <c r="AL170" s="437"/>
      <c r="AM170" s="338"/>
      <c r="AO170" cm="1">
        <f t="array" aca="1" ref="AO170" ca="1">IF($A170="S",IF(BM!$I170=0,0,CHOOSE(MATCH(RegimeExecucao,{"Global","Unitário"},0),ROUND(ROUND(BM.MEDAcumulado,15-13*BM!$A$9)/100*BM!$I170,15-13*ORÇAMENTO!$AF$11),ROUND(ROUND(BM.MEDAcumulado,15-13*BM!$A$9)*ROUND(BM!$H170,15-13*ORÇAMENTO!$AF$10),15-13*ORÇAMENTO!$AF$11))),IF($A170=0,0,ROUND(SomaAgrupBM,15-13*ORÇAMENTO!$AF$11)))</f>
        <v>0</v>
      </c>
    </row>
    <row r="171" spans="1:41" ht="38.25" x14ac:dyDescent="0.2">
      <c r="A171" t="str">
        <f ca="1">ORÇAMENTO!C171</f>
        <v>S</v>
      </c>
      <c r="B171">
        <f ca="1">ORÇAMENTO!D171</f>
        <v>0</v>
      </c>
      <c r="C171" s="114" t="str">
        <f t="shared" ca="1" si="16"/>
        <v/>
      </c>
      <c r="D171" s="117" t="str">
        <f ca="1">ORÇAMENTO!O171</f>
        <v>-</v>
      </c>
      <c r="E171" s="163" t="str">
        <f t="shared" ca="1" si="17"/>
        <v>(Código não identificado nas referências)</v>
      </c>
      <c r="F171" s="164" t="str" cm="1">
        <f t="array" aca="1" ref="F171" ca="1">IF(RegimeExecucao="Global","",ORÇAMENTO.Unidade)</f>
        <v/>
      </c>
      <c r="G171" s="122" t="str" cm="1">
        <f t="array" aca="1" ref="G171" ca="1">IF(RegimeExecucao="Global","",ORÇAMENTO!T171)</f>
        <v/>
      </c>
      <c r="H171" s="122" t="str" cm="1">
        <f t="array" aca="1" ref="H171" ca="1">IF(RegimeExecucao="Global","",ORÇAMENTO!W171)</f>
        <v/>
      </c>
      <c r="I171" s="125">
        <f ca="1">ORÇAMENTO!X171</f>
        <v>0</v>
      </c>
      <c r="J171" s="333" cm="1">
        <f t="array" aca="1" ref="J171" ca="1">IF($A171="S",IF(CAIXA.Modo,BM.AFAnterior,BM.MEDAnterior),IF(AND(RegimeExecucao="Global",$I171&gt;0,COUNTIF($AB$13:$AM$13,BM.medicao-1)&gt;0),M171/$I171*100,0))</f>
        <v>0</v>
      </c>
      <c r="K171" s="122">
        <f t="shared" ca="1" si="18"/>
        <v>0</v>
      </c>
      <c r="L171" s="334" cm="1">
        <f t="array" aca="1" ref="L171" ca="1">IF($A171="S",IF(CAIXA.Modo,BM.AFAcumulado,BM.MEDAcumulado),IF(AND(RegimeExecucao="Global",$I171&gt;0,COUNTIF($AB$13:$AM$13,BM.medicao)&gt;0),O171/$I171*100,0))</f>
        <v>0</v>
      </c>
      <c r="M171" s="335" cm="1">
        <f t="array" aca="1" ref="M171" ca="1">IF($A171="S",VTOTALBM,IF($A171=0,0,ROUND(SomaAgrupBM,15-13*ORÇAMENTO!$AF$11)))</f>
        <v>0</v>
      </c>
      <c r="N171" s="336">
        <f t="shared" ca="1" si="19"/>
        <v>0</v>
      </c>
      <c r="O171" s="125" cm="1">
        <f t="array" aca="1" ref="O171" ca="1">IF($A171="S",VTOTALBM,IF($A171=0,0,ROUND(SomaAgrupBM,15-13*ORÇAMENTO!$AF$11)))</f>
        <v>0</v>
      </c>
      <c r="Q171" s="337"/>
      <c r="R171" s="338"/>
      <c r="T171" s="117" t="str">
        <f t="shared" ca="1" si="20"/>
        <v/>
      </c>
      <c r="U171" s="163" t="str">
        <f t="shared" ca="1" si="21"/>
        <v/>
      </c>
      <c r="V171" s="164" t="str" cm="1">
        <f t="array" aca="1" ref="V171" ca="1">IF(AND($W171&gt;0,RegimeExecucao="Unitário"),$F171,"")</f>
        <v/>
      </c>
      <c r="W171" s="454" cm="1">
        <f t="array" aca="1" ref="W171" ca="1">IF($Y171&gt;0,CHOOSE(MATCH(RegimeExecucao,{"Unitário","Global"},0),IF($A171="S",$Y171/$X171,""),($Y171/$X171)*100),0)</f>
        <v>0</v>
      </c>
      <c r="X171" s="339" t="str" cm="1">
        <f t="array" aca="1" ref="X171" ca="1">IF($Y171&gt;0,CHOOSE(MATCH(RegimeExecucao,{"Unitário","Global"},0),IF($A171="S",ROUND($H171,ORÇAMENTO!$AF$10),""),ROUND($I171,ORÇAMENTO!$AF$11)),"")</f>
        <v/>
      </c>
      <c r="Y171" s="339">
        <f t="shared" ca="1" si="22"/>
        <v>0</v>
      </c>
      <c r="Z171" s="473"/>
      <c r="AB171" s="337"/>
      <c r="AC171" s="437"/>
      <c r="AD171" s="437"/>
      <c r="AE171" s="437"/>
      <c r="AF171" s="437"/>
      <c r="AG171" s="437"/>
      <c r="AH171" s="437"/>
      <c r="AI171" s="437"/>
      <c r="AJ171" s="437"/>
      <c r="AK171" s="437"/>
      <c r="AL171" s="437"/>
      <c r="AM171" s="338"/>
      <c r="AO171" cm="1">
        <f t="array" aca="1" ref="AO171" ca="1">IF($A171="S",IF(BM!$I171=0,0,CHOOSE(MATCH(RegimeExecucao,{"Global","Unitário"},0),ROUND(ROUND(BM.MEDAcumulado,15-13*BM!$A$9)/100*BM!$I171,15-13*ORÇAMENTO!$AF$11),ROUND(ROUND(BM.MEDAcumulado,15-13*BM!$A$9)*ROUND(BM!$H171,15-13*ORÇAMENTO!$AF$10),15-13*ORÇAMENTO!$AF$11))),IF($A171=0,0,ROUND(SomaAgrupBM,15-13*ORÇAMENTO!$AF$11)))</f>
        <v>0</v>
      </c>
    </row>
    <row r="172" spans="1:41" ht="25.5" x14ac:dyDescent="0.2">
      <c r="A172" t="str">
        <f ca="1">ORÇAMENTO!C172</f>
        <v>S</v>
      </c>
      <c r="B172">
        <f ca="1">ORÇAMENTO!D172</f>
        <v>0</v>
      </c>
      <c r="C172" s="114" t="str">
        <f t="shared" ca="1" si="16"/>
        <v/>
      </c>
      <c r="D172" s="117" t="str">
        <f ca="1">ORÇAMENTO!O172</f>
        <v>-</v>
      </c>
      <c r="E172" s="163" t="str">
        <f t="shared" ca="1" si="17"/>
        <v>(Código não identificado nas referências)</v>
      </c>
      <c r="F172" s="164" t="str" cm="1">
        <f t="array" aca="1" ref="F172" ca="1">IF(RegimeExecucao="Global","",ORÇAMENTO.Unidade)</f>
        <v/>
      </c>
      <c r="G172" s="122" t="str" cm="1">
        <f t="array" aca="1" ref="G172" ca="1">IF(RegimeExecucao="Global","",ORÇAMENTO!T172)</f>
        <v/>
      </c>
      <c r="H172" s="122" t="str" cm="1">
        <f t="array" aca="1" ref="H172" ca="1">IF(RegimeExecucao="Global","",ORÇAMENTO!W172)</f>
        <v/>
      </c>
      <c r="I172" s="125">
        <f ca="1">ORÇAMENTO!X172</f>
        <v>0</v>
      </c>
      <c r="J172" s="333" cm="1">
        <f t="array" aca="1" ref="J172" ca="1">IF($A172="S",IF(CAIXA.Modo,BM.AFAnterior,BM.MEDAnterior),IF(AND(RegimeExecucao="Global",$I172&gt;0,COUNTIF($AB$13:$AM$13,BM.medicao-1)&gt;0),M172/$I172*100,0))</f>
        <v>0</v>
      </c>
      <c r="K172" s="122">
        <f t="shared" ca="1" si="18"/>
        <v>0</v>
      </c>
      <c r="L172" s="334" cm="1">
        <f t="array" aca="1" ref="L172" ca="1">IF($A172="S",IF(CAIXA.Modo,BM.AFAcumulado,BM.MEDAcumulado),IF(AND(RegimeExecucao="Global",$I172&gt;0,COUNTIF($AB$13:$AM$13,BM.medicao)&gt;0),O172/$I172*100,0))</f>
        <v>0</v>
      </c>
      <c r="M172" s="335" cm="1">
        <f t="array" aca="1" ref="M172" ca="1">IF($A172="S",VTOTALBM,IF($A172=0,0,ROUND(SomaAgrupBM,15-13*ORÇAMENTO!$AF$11)))</f>
        <v>0</v>
      </c>
      <c r="N172" s="336">
        <f t="shared" ca="1" si="19"/>
        <v>0</v>
      </c>
      <c r="O172" s="125" cm="1">
        <f t="array" aca="1" ref="O172" ca="1">IF($A172="S",VTOTALBM,IF($A172=0,0,ROUND(SomaAgrupBM,15-13*ORÇAMENTO!$AF$11)))</f>
        <v>0</v>
      </c>
      <c r="Q172" s="337"/>
      <c r="R172" s="338"/>
      <c r="T172" s="117" t="str">
        <f t="shared" ca="1" si="20"/>
        <v/>
      </c>
      <c r="U172" s="163" t="str">
        <f t="shared" ca="1" si="21"/>
        <v/>
      </c>
      <c r="V172" s="164" t="str" cm="1">
        <f t="array" aca="1" ref="V172" ca="1">IF(AND($W172&gt;0,RegimeExecucao="Unitário"),$F172,"")</f>
        <v/>
      </c>
      <c r="W172" s="454" cm="1">
        <f t="array" aca="1" ref="W172" ca="1">IF($Y172&gt;0,CHOOSE(MATCH(RegimeExecucao,{"Unitário","Global"},0),IF($A172="S",$Y172/$X172,""),($Y172/$X172)*100),0)</f>
        <v>0</v>
      </c>
      <c r="X172" s="339" t="str" cm="1">
        <f t="array" aca="1" ref="X172" ca="1">IF($Y172&gt;0,CHOOSE(MATCH(RegimeExecucao,{"Unitário","Global"},0),IF($A172="S",ROUND($H172,ORÇAMENTO!$AF$10),""),ROUND($I172,ORÇAMENTO!$AF$11)),"")</f>
        <v/>
      </c>
      <c r="Y172" s="339">
        <f t="shared" ca="1" si="22"/>
        <v>0</v>
      </c>
      <c r="Z172" s="473"/>
      <c r="AB172" s="337"/>
      <c r="AC172" s="437"/>
      <c r="AD172" s="437"/>
      <c r="AE172" s="437"/>
      <c r="AF172" s="437"/>
      <c r="AG172" s="437"/>
      <c r="AH172" s="437"/>
      <c r="AI172" s="437"/>
      <c r="AJ172" s="437"/>
      <c r="AK172" s="437"/>
      <c r="AL172" s="437"/>
      <c r="AM172" s="338"/>
      <c r="AO172" cm="1">
        <f t="array" aca="1" ref="AO172" ca="1">IF($A172="S",IF(BM!$I172=0,0,CHOOSE(MATCH(RegimeExecucao,{"Global","Unitário"},0),ROUND(ROUND(BM.MEDAcumulado,15-13*BM!$A$9)/100*BM!$I172,15-13*ORÇAMENTO!$AF$11),ROUND(ROUND(BM.MEDAcumulado,15-13*BM!$A$9)*ROUND(BM!$H172,15-13*ORÇAMENTO!$AF$10),15-13*ORÇAMENTO!$AF$11))),IF($A172=0,0,ROUND(SomaAgrupBM,15-13*ORÇAMENTO!$AF$11)))</f>
        <v>0</v>
      </c>
    </row>
    <row r="173" spans="1:41" ht="25.5" x14ac:dyDescent="0.2">
      <c r="A173" t="str">
        <f ca="1">ORÇAMENTO!C173</f>
        <v>S</v>
      </c>
      <c r="B173">
        <f ca="1">ORÇAMENTO!D173</f>
        <v>0</v>
      </c>
      <c r="C173" s="114" t="str">
        <f t="shared" ca="1" si="16"/>
        <v/>
      </c>
      <c r="D173" s="117" t="str">
        <f ca="1">ORÇAMENTO!O173</f>
        <v>-</v>
      </c>
      <c r="E173" s="163" t="str">
        <f t="shared" ca="1" si="17"/>
        <v>(Código não identificado nas referências)</v>
      </c>
      <c r="F173" s="164" t="str" cm="1">
        <f t="array" aca="1" ref="F173" ca="1">IF(RegimeExecucao="Global","",ORÇAMENTO.Unidade)</f>
        <v/>
      </c>
      <c r="G173" s="122" t="str" cm="1">
        <f t="array" aca="1" ref="G173" ca="1">IF(RegimeExecucao="Global","",ORÇAMENTO!T173)</f>
        <v/>
      </c>
      <c r="H173" s="122" t="str" cm="1">
        <f t="array" aca="1" ref="H173" ca="1">IF(RegimeExecucao="Global","",ORÇAMENTO!W173)</f>
        <v/>
      </c>
      <c r="I173" s="125">
        <f ca="1">ORÇAMENTO!X173</f>
        <v>0</v>
      </c>
      <c r="J173" s="333" cm="1">
        <f t="array" aca="1" ref="J173" ca="1">IF($A173="S",IF(CAIXA.Modo,BM.AFAnterior,BM.MEDAnterior),IF(AND(RegimeExecucao="Global",$I173&gt;0,COUNTIF($AB$13:$AM$13,BM.medicao-1)&gt;0),M173/$I173*100,0))</f>
        <v>0</v>
      </c>
      <c r="K173" s="122">
        <f t="shared" ca="1" si="18"/>
        <v>0</v>
      </c>
      <c r="L173" s="334" cm="1">
        <f t="array" aca="1" ref="L173" ca="1">IF($A173="S",IF(CAIXA.Modo,BM.AFAcumulado,BM.MEDAcumulado),IF(AND(RegimeExecucao="Global",$I173&gt;0,COUNTIF($AB$13:$AM$13,BM.medicao)&gt;0),O173/$I173*100,0))</f>
        <v>0</v>
      </c>
      <c r="M173" s="335" cm="1">
        <f t="array" aca="1" ref="M173" ca="1">IF($A173="S",VTOTALBM,IF($A173=0,0,ROUND(SomaAgrupBM,15-13*ORÇAMENTO!$AF$11)))</f>
        <v>0</v>
      </c>
      <c r="N173" s="336">
        <f t="shared" ca="1" si="19"/>
        <v>0</v>
      </c>
      <c r="O173" s="125" cm="1">
        <f t="array" aca="1" ref="O173" ca="1">IF($A173="S",VTOTALBM,IF($A173=0,0,ROUND(SomaAgrupBM,15-13*ORÇAMENTO!$AF$11)))</f>
        <v>0</v>
      </c>
      <c r="Q173" s="337"/>
      <c r="R173" s="338"/>
      <c r="T173" s="117" t="str">
        <f t="shared" ca="1" si="20"/>
        <v/>
      </c>
      <c r="U173" s="163" t="str">
        <f t="shared" ca="1" si="21"/>
        <v/>
      </c>
      <c r="V173" s="164" t="str" cm="1">
        <f t="array" aca="1" ref="V173" ca="1">IF(AND($W173&gt;0,RegimeExecucao="Unitário"),$F173,"")</f>
        <v/>
      </c>
      <c r="W173" s="454" cm="1">
        <f t="array" aca="1" ref="W173" ca="1">IF($Y173&gt;0,CHOOSE(MATCH(RegimeExecucao,{"Unitário","Global"},0),IF($A173="S",$Y173/$X173,""),($Y173/$X173)*100),0)</f>
        <v>0</v>
      </c>
      <c r="X173" s="339" t="str" cm="1">
        <f t="array" aca="1" ref="X173" ca="1">IF($Y173&gt;0,CHOOSE(MATCH(RegimeExecucao,{"Unitário","Global"},0),IF($A173="S",ROUND($H173,ORÇAMENTO!$AF$10),""),ROUND($I173,ORÇAMENTO!$AF$11)),"")</f>
        <v/>
      </c>
      <c r="Y173" s="339">
        <f t="shared" ca="1" si="22"/>
        <v>0</v>
      </c>
      <c r="Z173" s="473"/>
      <c r="AB173" s="337"/>
      <c r="AC173" s="437"/>
      <c r="AD173" s="437"/>
      <c r="AE173" s="437"/>
      <c r="AF173" s="437"/>
      <c r="AG173" s="437"/>
      <c r="AH173" s="437"/>
      <c r="AI173" s="437"/>
      <c r="AJ173" s="437"/>
      <c r="AK173" s="437"/>
      <c r="AL173" s="437"/>
      <c r="AM173" s="338"/>
      <c r="AO173" cm="1">
        <f t="array" aca="1" ref="AO173" ca="1">IF($A173="S",IF(BM!$I173=0,0,CHOOSE(MATCH(RegimeExecucao,{"Global","Unitário"},0),ROUND(ROUND(BM.MEDAcumulado,15-13*BM!$A$9)/100*BM!$I173,15-13*ORÇAMENTO!$AF$11),ROUND(ROUND(BM.MEDAcumulado,15-13*BM!$A$9)*ROUND(BM!$H173,15-13*ORÇAMENTO!$AF$10),15-13*ORÇAMENTO!$AF$11))),IF($A173=0,0,ROUND(SomaAgrupBM,15-13*ORÇAMENTO!$AF$11)))</f>
        <v>0</v>
      </c>
    </row>
    <row r="174" spans="1:41" ht="38.25" x14ac:dyDescent="0.2">
      <c r="A174" t="str">
        <f ca="1">ORÇAMENTO!C174</f>
        <v>S</v>
      </c>
      <c r="B174">
        <f ca="1">ORÇAMENTO!D174</f>
        <v>0</v>
      </c>
      <c r="C174" s="114" t="str">
        <f t="shared" ca="1" si="16"/>
        <v/>
      </c>
      <c r="D174" s="117" t="str">
        <f ca="1">ORÇAMENTO!O174</f>
        <v>-</v>
      </c>
      <c r="E174" s="163" t="str">
        <f t="shared" ca="1" si="17"/>
        <v>(Código não identificado nas referências)</v>
      </c>
      <c r="F174" s="164" t="str" cm="1">
        <f t="array" aca="1" ref="F174" ca="1">IF(RegimeExecucao="Global","",ORÇAMENTO.Unidade)</f>
        <v/>
      </c>
      <c r="G174" s="122" t="str" cm="1">
        <f t="array" aca="1" ref="G174" ca="1">IF(RegimeExecucao="Global","",ORÇAMENTO!T174)</f>
        <v/>
      </c>
      <c r="H174" s="122" t="str" cm="1">
        <f t="array" aca="1" ref="H174" ca="1">IF(RegimeExecucao="Global","",ORÇAMENTO!W174)</f>
        <v/>
      </c>
      <c r="I174" s="125">
        <f ca="1">ORÇAMENTO!X174</f>
        <v>0</v>
      </c>
      <c r="J174" s="333" cm="1">
        <f t="array" aca="1" ref="J174" ca="1">IF($A174="S",IF(CAIXA.Modo,BM.AFAnterior,BM.MEDAnterior),IF(AND(RegimeExecucao="Global",$I174&gt;0,COUNTIF($AB$13:$AM$13,BM.medicao-1)&gt;0),M174/$I174*100,0))</f>
        <v>0</v>
      </c>
      <c r="K174" s="122">
        <f t="shared" ca="1" si="18"/>
        <v>0</v>
      </c>
      <c r="L174" s="334" cm="1">
        <f t="array" aca="1" ref="L174" ca="1">IF($A174="S",IF(CAIXA.Modo,BM.AFAcumulado,BM.MEDAcumulado),IF(AND(RegimeExecucao="Global",$I174&gt;0,COUNTIF($AB$13:$AM$13,BM.medicao)&gt;0),O174/$I174*100,0))</f>
        <v>0</v>
      </c>
      <c r="M174" s="335" cm="1">
        <f t="array" aca="1" ref="M174" ca="1">IF($A174="S",VTOTALBM,IF($A174=0,0,ROUND(SomaAgrupBM,15-13*ORÇAMENTO!$AF$11)))</f>
        <v>0</v>
      </c>
      <c r="N174" s="336">
        <f t="shared" ca="1" si="19"/>
        <v>0</v>
      </c>
      <c r="O174" s="125" cm="1">
        <f t="array" aca="1" ref="O174" ca="1">IF($A174="S",VTOTALBM,IF($A174=0,0,ROUND(SomaAgrupBM,15-13*ORÇAMENTO!$AF$11)))</f>
        <v>0</v>
      </c>
      <c r="Q174" s="337"/>
      <c r="R174" s="338"/>
      <c r="T174" s="117" t="str">
        <f t="shared" ca="1" si="20"/>
        <v/>
      </c>
      <c r="U174" s="163" t="str">
        <f t="shared" ca="1" si="21"/>
        <v/>
      </c>
      <c r="V174" s="164" t="str" cm="1">
        <f t="array" aca="1" ref="V174" ca="1">IF(AND($W174&gt;0,RegimeExecucao="Unitário"),$F174,"")</f>
        <v/>
      </c>
      <c r="W174" s="454" cm="1">
        <f t="array" aca="1" ref="W174" ca="1">IF($Y174&gt;0,CHOOSE(MATCH(RegimeExecucao,{"Unitário","Global"},0),IF($A174="S",$Y174/$X174,""),($Y174/$X174)*100),0)</f>
        <v>0</v>
      </c>
      <c r="X174" s="339" t="str" cm="1">
        <f t="array" aca="1" ref="X174" ca="1">IF($Y174&gt;0,CHOOSE(MATCH(RegimeExecucao,{"Unitário","Global"},0),IF($A174="S",ROUND($H174,ORÇAMENTO!$AF$10),""),ROUND($I174,ORÇAMENTO!$AF$11)),"")</f>
        <v/>
      </c>
      <c r="Y174" s="339">
        <f t="shared" ca="1" si="22"/>
        <v>0</v>
      </c>
      <c r="Z174" s="473"/>
      <c r="AB174" s="337"/>
      <c r="AC174" s="437"/>
      <c r="AD174" s="437"/>
      <c r="AE174" s="437"/>
      <c r="AF174" s="437"/>
      <c r="AG174" s="437"/>
      <c r="AH174" s="437"/>
      <c r="AI174" s="437"/>
      <c r="AJ174" s="437"/>
      <c r="AK174" s="437"/>
      <c r="AL174" s="437"/>
      <c r="AM174" s="338"/>
      <c r="AO174" cm="1">
        <f t="array" aca="1" ref="AO174" ca="1">IF($A174="S",IF(BM!$I174=0,0,CHOOSE(MATCH(RegimeExecucao,{"Global","Unitário"},0),ROUND(ROUND(BM.MEDAcumulado,15-13*BM!$A$9)/100*BM!$I174,15-13*ORÇAMENTO!$AF$11),ROUND(ROUND(BM.MEDAcumulado,15-13*BM!$A$9)*ROUND(BM!$H174,15-13*ORÇAMENTO!$AF$10),15-13*ORÇAMENTO!$AF$11))),IF($A174=0,0,ROUND(SomaAgrupBM,15-13*ORÇAMENTO!$AF$11)))</f>
        <v>0</v>
      </c>
    </row>
    <row r="175" spans="1:41" x14ac:dyDescent="0.2">
      <c r="A175">
        <f ca="1">ORÇAMENTO!C175</f>
        <v>3</v>
      </c>
      <c r="B175">
        <f ca="1">ORÇAMENTO!D175</f>
        <v>5</v>
      </c>
      <c r="C175" s="114" t="str">
        <f t="shared" ca="1" si="16"/>
        <v>F</v>
      </c>
      <c r="D175" s="117" t="str">
        <f ca="1">ORÇAMENTO!O175</f>
        <v>9.2.2.</v>
      </c>
      <c r="E175" s="163" t="str">
        <f t="shared" si="17"/>
        <v xml:space="preserve">REGISTROS </v>
      </c>
      <c r="F175" s="164" t="str" cm="1">
        <f t="array" aca="1" ref="F175" ca="1">IF(RegimeExecucao="Global","",ORÇAMENTO.Unidade)</f>
        <v/>
      </c>
      <c r="G175" s="122" t="str" cm="1">
        <f t="array" aca="1" ref="G175" ca="1">IF(RegimeExecucao="Global","",ORÇAMENTO!T175)</f>
        <v/>
      </c>
      <c r="H175" s="122" t="str" cm="1">
        <f t="array" aca="1" ref="H175" ca="1">IF(RegimeExecucao="Global","",ORÇAMENTO!W175)</f>
        <v/>
      </c>
      <c r="I175" s="125">
        <f ca="1">ORÇAMENTO!X175</f>
        <v>0</v>
      </c>
      <c r="J175" s="333" cm="1">
        <f t="array" aca="1" ref="J175" ca="1">IF($A175="S",IF(CAIXA.Modo,BM.AFAnterior,BM.MEDAnterior),IF(AND(RegimeExecucao="Global",$I175&gt;0,COUNTIF($AB$13:$AM$13,BM.medicao-1)&gt;0),M175/$I175*100,0))</f>
        <v>0</v>
      </c>
      <c r="K175" s="122">
        <f t="shared" ca="1" si="18"/>
        <v>0</v>
      </c>
      <c r="L175" s="334" cm="1">
        <f t="array" aca="1" ref="L175" ca="1">IF($A175="S",IF(CAIXA.Modo,BM.AFAcumulado,BM.MEDAcumulado),IF(AND(RegimeExecucao="Global",$I175&gt;0,COUNTIF($AB$13:$AM$13,BM.medicao)&gt;0),O175/$I175*100,0))</f>
        <v>0</v>
      </c>
      <c r="M175" s="335" cm="1">
        <f t="array" aca="1" ref="M175" ca="1">IF($A175="S",VTOTALBM,IF($A175=0,0,ROUND(SomaAgrupBM,15-13*ORÇAMENTO!$AF$11)))</f>
        <v>0</v>
      </c>
      <c r="N175" s="336">
        <f t="shared" ca="1" si="19"/>
        <v>0</v>
      </c>
      <c r="O175" s="125" cm="1">
        <f t="array" aca="1" ref="O175" ca="1">IF($A175="S",VTOTALBM,IF($A175=0,0,ROUND(SomaAgrupBM,15-13*ORÇAMENTO!$AF$11)))</f>
        <v>0</v>
      </c>
      <c r="Q175" s="337"/>
      <c r="R175" s="338"/>
      <c r="T175" s="117" t="str">
        <f t="shared" ca="1" si="20"/>
        <v/>
      </c>
      <c r="U175" s="163" t="str">
        <f t="shared" ca="1" si="21"/>
        <v/>
      </c>
      <c r="V175" s="164" t="str" cm="1">
        <f t="array" aca="1" ref="V175" ca="1">IF(AND($W175&gt;0,RegimeExecucao="Unitário"),$F175,"")</f>
        <v/>
      </c>
      <c r="W175" s="454" cm="1">
        <f t="array" aca="1" ref="W175" ca="1">IF($Y175&gt;0,CHOOSE(MATCH(RegimeExecucao,{"Unitário","Global"},0),IF($A175="S",$Y175/$X175,""),($Y175/$X175)*100),0)</f>
        <v>0</v>
      </c>
      <c r="X175" s="339" t="str" cm="1">
        <f t="array" aca="1" ref="X175" ca="1">IF($Y175&gt;0,CHOOSE(MATCH(RegimeExecucao,{"Unitário","Global"},0),IF($A175="S",ROUND($H175,ORÇAMENTO!$AF$10),""),ROUND($I175,ORÇAMENTO!$AF$11)),"")</f>
        <v/>
      </c>
      <c r="Y175" s="339">
        <f t="shared" ca="1" si="22"/>
        <v>0</v>
      </c>
      <c r="Z175" s="473"/>
      <c r="AB175" s="337"/>
      <c r="AC175" s="437"/>
      <c r="AD175" s="437"/>
      <c r="AE175" s="437"/>
      <c r="AF175" s="437"/>
      <c r="AG175" s="437"/>
      <c r="AH175" s="437"/>
      <c r="AI175" s="437"/>
      <c r="AJ175" s="437"/>
      <c r="AK175" s="437"/>
      <c r="AL175" s="437"/>
      <c r="AM175" s="338"/>
      <c r="AO175" cm="1">
        <f t="array" aca="1" ref="AO175" ca="1">IF($A175="S",IF(BM!$I175=0,0,CHOOSE(MATCH(RegimeExecucao,{"Global","Unitário"},0),ROUND(ROUND(BM.MEDAcumulado,15-13*BM!$A$9)/100*BM!$I175,15-13*ORÇAMENTO!$AF$11),ROUND(ROUND(BM.MEDAcumulado,15-13*BM!$A$9)*ROUND(BM!$H175,15-13*ORÇAMENTO!$AF$10),15-13*ORÇAMENTO!$AF$11))),IF($A175=0,0,ROUND(SomaAgrupBM,15-13*ORÇAMENTO!$AF$11)))</f>
        <v>0</v>
      </c>
    </row>
    <row r="176" spans="1:41" ht="38.25" x14ac:dyDescent="0.2">
      <c r="A176" t="str">
        <f ca="1">ORÇAMENTO!C176</f>
        <v>S</v>
      </c>
      <c r="B176">
        <f ca="1">ORÇAMENTO!D176</f>
        <v>0</v>
      </c>
      <c r="C176" s="114" t="str">
        <f t="shared" ca="1" si="16"/>
        <v/>
      </c>
      <c r="D176" s="117" t="str">
        <f ca="1">ORÇAMENTO!O176</f>
        <v>-</v>
      </c>
      <c r="E176" s="163" t="str">
        <f t="shared" ca="1" si="17"/>
        <v>(Código não identificado nas referências)</v>
      </c>
      <c r="F176" s="164" t="str" cm="1">
        <f t="array" aca="1" ref="F176" ca="1">IF(RegimeExecucao="Global","",ORÇAMENTO.Unidade)</f>
        <v/>
      </c>
      <c r="G176" s="122" t="str" cm="1">
        <f t="array" aca="1" ref="G176" ca="1">IF(RegimeExecucao="Global","",ORÇAMENTO!T176)</f>
        <v/>
      </c>
      <c r="H176" s="122" t="str" cm="1">
        <f t="array" aca="1" ref="H176" ca="1">IF(RegimeExecucao="Global","",ORÇAMENTO!W176)</f>
        <v/>
      </c>
      <c r="I176" s="125">
        <f ca="1">ORÇAMENTO!X176</f>
        <v>0</v>
      </c>
      <c r="J176" s="333" cm="1">
        <f t="array" aca="1" ref="J176" ca="1">IF($A176="S",IF(CAIXA.Modo,BM.AFAnterior,BM.MEDAnterior),IF(AND(RegimeExecucao="Global",$I176&gt;0,COUNTIF($AB$13:$AM$13,BM.medicao-1)&gt;0),M176/$I176*100,0))</f>
        <v>0</v>
      </c>
      <c r="K176" s="122">
        <f t="shared" ca="1" si="18"/>
        <v>0</v>
      </c>
      <c r="L176" s="334" cm="1">
        <f t="array" aca="1" ref="L176" ca="1">IF($A176="S",IF(CAIXA.Modo,BM.AFAcumulado,BM.MEDAcumulado),IF(AND(RegimeExecucao="Global",$I176&gt;0,COUNTIF($AB$13:$AM$13,BM.medicao)&gt;0),O176/$I176*100,0))</f>
        <v>0</v>
      </c>
      <c r="M176" s="335" cm="1">
        <f t="array" aca="1" ref="M176" ca="1">IF($A176="S",VTOTALBM,IF($A176=0,0,ROUND(SomaAgrupBM,15-13*ORÇAMENTO!$AF$11)))</f>
        <v>0</v>
      </c>
      <c r="N176" s="336">
        <f t="shared" ca="1" si="19"/>
        <v>0</v>
      </c>
      <c r="O176" s="125" cm="1">
        <f t="array" aca="1" ref="O176" ca="1">IF($A176="S",VTOTALBM,IF($A176=0,0,ROUND(SomaAgrupBM,15-13*ORÇAMENTO!$AF$11)))</f>
        <v>0</v>
      </c>
      <c r="Q176" s="337"/>
      <c r="R176" s="338"/>
      <c r="T176" s="117" t="str">
        <f t="shared" ca="1" si="20"/>
        <v/>
      </c>
      <c r="U176" s="163" t="str">
        <f t="shared" ca="1" si="21"/>
        <v/>
      </c>
      <c r="V176" s="164" t="str" cm="1">
        <f t="array" aca="1" ref="V176" ca="1">IF(AND($W176&gt;0,RegimeExecucao="Unitário"),$F176,"")</f>
        <v/>
      </c>
      <c r="W176" s="454" cm="1">
        <f t="array" aca="1" ref="W176" ca="1">IF($Y176&gt;0,CHOOSE(MATCH(RegimeExecucao,{"Unitário","Global"},0),IF($A176="S",$Y176/$X176,""),($Y176/$X176)*100),0)</f>
        <v>0</v>
      </c>
      <c r="X176" s="339" t="str" cm="1">
        <f t="array" aca="1" ref="X176" ca="1">IF($Y176&gt;0,CHOOSE(MATCH(RegimeExecucao,{"Unitário","Global"},0),IF($A176="S",ROUND($H176,ORÇAMENTO!$AF$10),""),ROUND($I176,ORÇAMENTO!$AF$11)),"")</f>
        <v/>
      </c>
      <c r="Y176" s="339">
        <f t="shared" ca="1" si="22"/>
        <v>0</v>
      </c>
      <c r="Z176" s="473"/>
      <c r="AB176" s="337"/>
      <c r="AC176" s="437"/>
      <c r="AD176" s="437"/>
      <c r="AE176" s="437"/>
      <c r="AF176" s="437"/>
      <c r="AG176" s="437"/>
      <c r="AH176" s="437"/>
      <c r="AI176" s="437"/>
      <c r="AJ176" s="437"/>
      <c r="AK176" s="437"/>
      <c r="AL176" s="437"/>
      <c r="AM176" s="338"/>
      <c r="AO176" cm="1">
        <f t="array" aca="1" ref="AO176" ca="1">IF($A176="S",IF(BM!$I176=0,0,CHOOSE(MATCH(RegimeExecucao,{"Global","Unitário"},0),ROUND(ROUND(BM.MEDAcumulado,15-13*BM!$A$9)/100*BM!$I176,15-13*ORÇAMENTO!$AF$11),ROUND(ROUND(BM.MEDAcumulado,15-13*BM!$A$9)*ROUND(BM!$H176,15-13*ORÇAMENTO!$AF$10),15-13*ORÇAMENTO!$AF$11))),IF($A176=0,0,ROUND(SomaAgrupBM,15-13*ORÇAMENTO!$AF$11)))</f>
        <v>0</v>
      </c>
    </row>
    <row r="177" spans="1:41" ht="38.25" x14ac:dyDescent="0.2">
      <c r="A177" t="str">
        <f ca="1">ORÇAMENTO!C177</f>
        <v>S</v>
      </c>
      <c r="B177">
        <f ca="1">ORÇAMENTO!D177</f>
        <v>0</v>
      </c>
      <c r="C177" s="114" t="str">
        <f t="shared" ca="1" si="16"/>
        <v/>
      </c>
      <c r="D177" s="117" t="str">
        <f ca="1">ORÇAMENTO!O177</f>
        <v>-</v>
      </c>
      <c r="E177" s="163" t="str">
        <f t="shared" ca="1" si="17"/>
        <v>(Código não identificado nas referências)</v>
      </c>
      <c r="F177" s="164" t="str" cm="1">
        <f t="array" aca="1" ref="F177" ca="1">IF(RegimeExecucao="Global","",ORÇAMENTO.Unidade)</f>
        <v/>
      </c>
      <c r="G177" s="122" t="str" cm="1">
        <f t="array" aca="1" ref="G177" ca="1">IF(RegimeExecucao="Global","",ORÇAMENTO!T177)</f>
        <v/>
      </c>
      <c r="H177" s="122" t="str" cm="1">
        <f t="array" aca="1" ref="H177" ca="1">IF(RegimeExecucao="Global","",ORÇAMENTO!W177)</f>
        <v/>
      </c>
      <c r="I177" s="125">
        <f ca="1">ORÇAMENTO!X177</f>
        <v>0</v>
      </c>
      <c r="J177" s="333" cm="1">
        <f t="array" aca="1" ref="J177" ca="1">IF($A177="S",IF(CAIXA.Modo,BM.AFAnterior,BM.MEDAnterior),IF(AND(RegimeExecucao="Global",$I177&gt;0,COUNTIF($AB$13:$AM$13,BM.medicao-1)&gt;0),M177/$I177*100,0))</f>
        <v>0</v>
      </c>
      <c r="K177" s="122">
        <f t="shared" ca="1" si="18"/>
        <v>0</v>
      </c>
      <c r="L177" s="334" cm="1">
        <f t="array" aca="1" ref="L177" ca="1">IF($A177="S",IF(CAIXA.Modo,BM.AFAcumulado,BM.MEDAcumulado),IF(AND(RegimeExecucao="Global",$I177&gt;0,COUNTIF($AB$13:$AM$13,BM.medicao)&gt;0),O177/$I177*100,0))</f>
        <v>0</v>
      </c>
      <c r="M177" s="335" cm="1">
        <f t="array" aca="1" ref="M177" ca="1">IF($A177="S",VTOTALBM,IF($A177=0,0,ROUND(SomaAgrupBM,15-13*ORÇAMENTO!$AF$11)))</f>
        <v>0</v>
      </c>
      <c r="N177" s="336">
        <f t="shared" ca="1" si="19"/>
        <v>0</v>
      </c>
      <c r="O177" s="125" cm="1">
        <f t="array" aca="1" ref="O177" ca="1">IF($A177="S",VTOTALBM,IF($A177=0,0,ROUND(SomaAgrupBM,15-13*ORÇAMENTO!$AF$11)))</f>
        <v>0</v>
      </c>
      <c r="Q177" s="337"/>
      <c r="R177" s="338"/>
      <c r="T177" s="117" t="str">
        <f t="shared" ca="1" si="20"/>
        <v/>
      </c>
      <c r="U177" s="163" t="str">
        <f t="shared" ca="1" si="21"/>
        <v/>
      </c>
      <c r="V177" s="164" t="str" cm="1">
        <f t="array" aca="1" ref="V177" ca="1">IF(AND($W177&gt;0,RegimeExecucao="Unitário"),$F177,"")</f>
        <v/>
      </c>
      <c r="W177" s="454" cm="1">
        <f t="array" aca="1" ref="W177" ca="1">IF($Y177&gt;0,CHOOSE(MATCH(RegimeExecucao,{"Unitário","Global"},0),IF($A177="S",$Y177/$X177,""),($Y177/$X177)*100),0)</f>
        <v>0</v>
      </c>
      <c r="X177" s="339" t="str" cm="1">
        <f t="array" aca="1" ref="X177" ca="1">IF($Y177&gt;0,CHOOSE(MATCH(RegimeExecucao,{"Unitário","Global"},0),IF($A177="S",ROUND($H177,ORÇAMENTO!$AF$10),""),ROUND($I177,ORÇAMENTO!$AF$11)),"")</f>
        <v/>
      </c>
      <c r="Y177" s="339">
        <f t="shared" ca="1" si="22"/>
        <v>0</v>
      </c>
      <c r="Z177" s="473"/>
      <c r="AB177" s="337"/>
      <c r="AC177" s="437"/>
      <c r="AD177" s="437"/>
      <c r="AE177" s="437"/>
      <c r="AF177" s="437"/>
      <c r="AG177" s="437"/>
      <c r="AH177" s="437"/>
      <c r="AI177" s="437"/>
      <c r="AJ177" s="437"/>
      <c r="AK177" s="437"/>
      <c r="AL177" s="437"/>
      <c r="AM177" s="338"/>
      <c r="AO177" cm="1">
        <f t="array" aca="1" ref="AO177" ca="1">IF($A177="S",IF(BM!$I177=0,0,CHOOSE(MATCH(RegimeExecucao,{"Global","Unitário"},0),ROUND(ROUND(BM.MEDAcumulado,15-13*BM!$A$9)/100*BM!$I177,15-13*ORÇAMENTO!$AF$11),ROUND(ROUND(BM.MEDAcumulado,15-13*BM!$A$9)*ROUND(BM!$H177,15-13*ORÇAMENTO!$AF$10),15-13*ORÇAMENTO!$AF$11))),IF($A177=0,0,ROUND(SomaAgrupBM,15-13*ORÇAMENTO!$AF$11)))</f>
        <v>0</v>
      </c>
    </row>
    <row r="178" spans="1:41" ht="25.5" x14ac:dyDescent="0.2">
      <c r="A178" t="str">
        <f ca="1">ORÇAMENTO!C178</f>
        <v>S</v>
      </c>
      <c r="B178">
        <f ca="1">ORÇAMENTO!D178</f>
        <v>0</v>
      </c>
      <c r="C178" s="114" t="str">
        <f t="shared" ca="1" si="16"/>
        <v/>
      </c>
      <c r="D178" s="117" t="str">
        <f ca="1">ORÇAMENTO!O178</f>
        <v>-</v>
      </c>
      <c r="E178" s="163" t="str">
        <f t="shared" ca="1" si="17"/>
        <v>(Código não identificado nas referências)</v>
      </c>
      <c r="F178" s="164" t="str" cm="1">
        <f t="array" aca="1" ref="F178" ca="1">IF(RegimeExecucao="Global","",ORÇAMENTO.Unidade)</f>
        <v/>
      </c>
      <c r="G178" s="122" t="str" cm="1">
        <f t="array" aca="1" ref="G178" ca="1">IF(RegimeExecucao="Global","",ORÇAMENTO!T178)</f>
        <v/>
      </c>
      <c r="H178" s="122" t="str" cm="1">
        <f t="array" aca="1" ref="H178" ca="1">IF(RegimeExecucao="Global","",ORÇAMENTO!W178)</f>
        <v/>
      </c>
      <c r="I178" s="125">
        <f ca="1">ORÇAMENTO!X178</f>
        <v>0</v>
      </c>
      <c r="J178" s="333" cm="1">
        <f t="array" aca="1" ref="J178" ca="1">IF($A178="S",IF(CAIXA.Modo,BM.AFAnterior,BM.MEDAnterior),IF(AND(RegimeExecucao="Global",$I178&gt;0,COUNTIF($AB$13:$AM$13,BM.medicao-1)&gt;0),M178/$I178*100,0))</f>
        <v>0</v>
      </c>
      <c r="K178" s="122">
        <f t="shared" ca="1" si="18"/>
        <v>0</v>
      </c>
      <c r="L178" s="334" cm="1">
        <f t="array" aca="1" ref="L178" ca="1">IF($A178="S",IF(CAIXA.Modo,BM.AFAcumulado,BM.MEDAcumulado),IF(AND(RegimeExecucao="Global",$I178&gt;0,COUNTIF($AB$13:$AM$13,BM.medicao)&gt;0),O178/$I178*100,0))</f>
        <v>0</v>
      </c>
      <c r="M178" s="335" cm="1">
        <f t="array" aca="1" ref="M178" ca="1">IF($A178="S",VTOTALBM,IF($A178=0,0,ROUND(SomaAgrupBM,15-13*ORÇAMENTO!$AF$11)))</f>
        <v>0</v>
      </c>
      <c r="N178" s="336">
        <f t="shared" ca="1" si="19"/>
        <v>0</v>
      </c>
      <c r="O178" s="125" cm="1">
        <f t="array" aca="1" ref="O178" ca="1">IF($A178="S",VTOTALBM,IF($A178=0,0,ROUND(SomaAgrupBM,15-13*ORÇAMENTO!$AF$11)))</f>
        <v>0</v>
      </c>
      <c r="Q178" s="337"/>
      <c r="R178" s="338"/>
      <c r="T178" s="117" t="str">
        <f t="shared" ca="1" si="20"/>
        <v/>
      </c>
      <c r="U178" s="163" t="str">
        <f t="shared" ca="1" si="21"/>
        <v/>
      </c>
      <c r="V178" s="164" t="str" cm="1">
        <f t="array" aca="1" ref="V178" ca="1">IF(AND($W178&gt;0,RegimeExecucao="Unitário"),$F178,"")</f>
        <v/>
      </c>
      <c r="W178" s="454" cm="1">
        <f t="array" aca="1" ref="W178" ca="1">IF($Y178&gt;0,CHOOSE(MATCH(RegimeExecucao,{"Unitário","Global"},0),IF($A178="S",$Y178/$X178,""),($Y178/$X178)*100),0)</f>
        <v>0</v>
      </c>
      <c r="X178" s="339" t="str" cm="1">
        <f t="array" aca="1" ref="X178" ca="1">IF($Y178&gt;0,CHOOSE(MATCH(RegimeExecucao,{"Unitário","Global"},0),IF($A178="S",ROUND($H178,ORÇAMENTO!$AF$10),""),ROUND($I178,ORÇAMENTO!$AF$11)),"")</f>
        <v/>
      </c>
      <c r="Y178" s="339">
        <f t="shared" ca="1" si="22"/>
        <v>0</v>
      </c>
      <c r="Z178" s="473"/>
      <c r="AB178" s="337"/>
      <c r="AC178" s="437"/>
      <c r="AD178" s="437"/>
      <c r="AE178" s="437"/>
      <c r="AF178" s="437"/>
      <c r="AG178" s="437"/>
      <c r="AH178" s="437"/>
      <c r="AI178" s="437"/>
      <c r="AJ178" s="437"/>
      <c r="AK178" s="437"/>
      <c r="AL178" s="437"/>
      <c r="AM178" s="338"/>
      <c r="AO178" cm="1">
        <f t="array" aca="1" ref="AO178" ca="1">IF($A178="S",IF(BM!$I178=0,0,CHOOSE(MATCH(RegimeExecucao,{"Global","Unitário"},0),ROUND(ROUND(BM.MEDAcumulado,15-13*BM!$A$9)/100*BM!$I178,15-13*ORÇAMENTO!$AF$11),ROUND(ROUND(BM.MEDAcumulado,15-13*BM!$A$9)*ROUND(BM!$H178,15-13*ORÇAMENTO!$AF$10),15-13*ORÇAMENTO!$AF$11))),IF($A178=0,0,ROUND(SomaAgrupBM,15-13*ORÇAMENTO!$AF$11)))</f>
        <v>0</v>
      </c>
    </row>
    <row r="179" spans="1:41" ht="25.5" x14ac:dyDescent="0.2">
      <c r="A179" t="str">
        <f ca="1">ORÇAMENTO!C179</f>
        <v>S</v>
      </c>
      <c r="B179">
        <f ca="1">ORÇAMENTO!D179</f>
        <v>0</v>
      </c>
      <c r="C179" s="114" t="str">
        <f t="shared" ca="1" si="16"/>
        <v/>
      </c>
      <c r="D179" s="117" t="str">
        <f ca="1">ORÇAMENTO!O179</f>
        <v>-</v>
      </c>
      <c r="E179" s="163" t="str">
        <f t="shared" ca="1" si="17"/>
        <v>(Código não identificado nas referências)</v>
      </c>
      <c r="F179" s="164" t="str" cm="1">
        <f t="array" aca="1" ref="F179" ca="1">IF(RegimeExecucao="Global","",ORÇAMENTO.Unidade)</f>
        <v/>
      </c>
      <c r="G179" s="122" t="str" cm="1">
        <f t="array" aca="1" ref="G179" ca="1">IF(RegimeExecucao="Global","",ORÇAMENTO!T179)</f>
        <v/>
      </c>
      <c r="H179" s="122" t="str" cm="1">
        <f t="array" aca="1" ref="H179" ca="1">IF(RegimeExecucao="Global","",ORÇAMENTO!W179)</f>
        <v/>
      </c>
      <c r="I179" s="125">
        <f ca="1">ORÇAMENTO!X179</f>
        <v>0</v>
      </c>
      <c r="J179" s="333" cm="1">
        <f t="array" aca="1" ref="J179" ca="1">IF($A179="S",IF(CAIXA.Modo,BM.AFAnterior,BM.MEDAnterior),IF(AND(RegimeExecucao="Global",$I179&gt;0,COUNTIF($AB$13:$AM$13,BM.medicao-1)&gt;0),M179/$I179*100,0))</f>
        <v>0</v>
      </c>
      <c r="K179" s="122">
        <f t="shared" ca="1" si="18"/>
        <v>0</v>
      </c>
      <c r="L179" s="334" cm="1">
        <f t="array" aca="1" ref="L179" ca="1">IF($A179="S",IF(CAIXA.Modo,BM.AFAcumulado,BM.MEDAcumulado),IF(AND(RegimeExecucao="Global",$I179&gt;0,COUNTIF($AB$13:$AM$13,BM.medicao)&gt;0),O179/$I179*100,0))</f>
        <v>0</v>
      </c>
      <c r="M179" s="335" cm="1">
        <f t="array" aca="1" ref="M179" ca="1">IF($A179="S",VTOTALBM,IF($A179=0,0,ROUND(SomaAgrupBM,15-13*ORÇAMENTO!$AF$11)))</f>
        <v>0</v>
      </c>
      <c r="N179" s="336">
        <f t="shared" ca="1" si="19"/>
        <v>0</v>
      </c>
      <c r="O179" s="125" cm="1">
        <f t="array" aca="1" ref="O179" ca="1">IF($A179="S",VTOTALBM,IF($A179=0,0,ROUND(SomaAgrupBM,15-13*ORÇAMENTO!$AF$11)))</f>
        <v>0</v>
      </c>
      <c r="Q179" s="337"/>
      <c r="R179" s="338"/>
      <c r="T179" s="117" t="str">
        <f t="shared" ca="1" si="20"/>
        <v/>
      </c>
      <c r="U179" s="163" t="str">
        <f t="shared" ca="1" si="21"/>
        <v/>
      </c>
      <c r="V179" s="164" t="str" cm="1">
        <f t="array" aca="1" ref="V179" ca="1">IF(AND($W179&gt;0,RegimeExecucao="Unitário"),$F179,"")</f>
        <v/>
      </c>
      <c r="W179" s="454" cm="1">
        <f t="array" aca="1" ref="W179" ca="1">IF($Y179&gt;0,CHOOSE(MATCH(RegimeExecucao,{"Unitário","Global"},0),IF($A179="S",$Y179/$X179,""),($Y179/$X179)*100),0)</f>
        <v>0</v>
      </c>
      <c r="X179" s="339" t="str" cm="1">
        <f t="array" aca="1" ref="X179" ca="1">IF($Y179&gt;0,CHOOSE(MATCH(RegimeExecucao,{"Unitário","Global"},0),IF($A179="S",ROUND($H179,ORÇAMENTO!$AF$10),""),ROUND($I179,ORÇAMENTO!$AF$11)),"")</f>
        <v/>
      </c>
      <c r="Y179" s="339">
        <f t="shared" ca="1" si="22"/>
        <v>0</v>
      </c>
      <c r="Z179" s="473"/>
      <c r="AB179" s="337"/>
      <c r="AC179" s="437"/>
      <c r="AD179" s="437"/>
      <c r="AE179" s="437"/>
      <c r="AF179" s="437"/>
      <c r="AG179" s="437"/>
      <c r="AH179" s="437"/>
      <c r="AI179" s="437"/>
      <c r="AJ179" s="437"/>
      <c r="AK179" s="437"/>
      <c r="AL179" s="437"/>
      <c r="AM179" s="338"/>
      <c r="AO179" cm="1">
        <f t="array" aca="1" ref="AO179" ca="1">IF($A179="S",IF(BM!$I179=0,0,CHOOSE(MATCH(RegimeExecucao,{"Global","Unitário"},0),ROUND(ROUND(BM.MEDAcumulado,15-13*BM!$A$9)/100*BM!$I179,15-13*ORÇAMENTO!$AF$11),ROUND(ROUND(BM.MEDAcumulado,15-13*BM!$A$9)*ROUND(BM!$H179,15-13*ORÇAMENTO!$AF$10),15-13*ORÇAMENTO!$AF$11))),IF($A179=0,0,ROUND(SomaAgrupBM,15-13*ORÇAMENTO!$AF$11)))</f>
        <v>0</v>
      </c>
    </row>
    <row r="180" spans="1:41" x14ac:dyDescent="0.2">
      <c r="A180">
        <f ca="1">ORÇAMENTO!C180</f>
        <v>3</v>
      </c>
      <c r="B180">
        <f ca="1">ORÇAMENTO!D180</f>
        <v>8</v>
      </c>
      <c r="C180" s="114" t="str">
        <f t="shared" ca="1" si="16"/>
        <v>F</v>
      </c>
      <c r="D180" s="117" t="str">
        <f ca="1">ORÇAMENTO!O180</f>
        <v>9.2.3.</v>
      </c>
      <c r="E180" s="163" t="str">
        <f t="shared" si="17"/>
        <v>ENTRADA / ALIMENTAÇÃO HIDRÁULICA</v>
      </c>
      <c r="F180" s="164" t="str" cm="1">
        <f t="array" aca="1" ref="F180" ca="1">IF(RegimeExecucao="Global","",ORÇAMENTO.Unidade)</f>
        <v/>
      </c>
      <c r="G180" s="122" t="str" cm="1">
        <f t="array" aca="1" ref="G180" ca="1">IF(RegimeExecucao="Global","",ORÇAMENTO!T180)</f>
        <v/>
      </c>
      <c r="H180" s="122" t="str" cm="1">
        <f t="array" aca="1" ref="H180" ca="1">IF(RegimeExecucao="Global","",ORÇAMENTO!W180)</f>
        <v/>
      </c>
      <c r="I180" s="125">
        <f ca="1">ORÇAMENTO!X180</f>
        <v>0</v>
      </c>
      <c r="J180" s="333" cm="1">
        <f t="array" aca="1" ref="J180" ca="1">IF($A180="S",IF(CAIXA.Modo,BM.AFAnterior,BM.MEDAnterior),IF(AND(RegimeExecucao="Global",$I180&gt;0,COUNTIF($AB$13:$AM$13,BM.medicao-1)&gt;0),M180/$I180*100,0))</f>
        <v>0</v>
      </c>
      <c r="K180" s="122">
        <f t="shared" ca="1" si="18"/>
        <v>0</v>
      </c>
      <c r="L180" s="334" cm="1">
        <f t="array" aca="1" ref="L180" ca="1">IF($A180="S",IF(CAIXA.Modo,BM.AFAcumulado,BM.MEDAcumulado),IF(AND(RegimeExecucao="Global",$I180&gt;0,COUNTIF($AB$13:$AM$13,BM.medicao)&gt;0),O180/$I180*100,0))</f>
        <v>0</v>
      </c>
      <c r="M180" s="335" cm="1">
        <f t="array" aca="1" ref="M180" ca="1">IF($A180="S",VTOTALBM,IF($A180=0,0,ROUND(SomaAgrupBM,15-13*ORÇAMENTO!$AF$11)))</f>
        <v>0</v>
      </c>
      <c r="N180" s="336">
        <f t="shared" ca="1" si="19"/>
        <v>0</v>
      </c>
      <c r="O180" s="125" cm="1">
        <f t="array" aca="1" ref="O180" ca="1">IF($A180="S",VTOTALBM,IF($A180=0,0,ROUND(SomaAgrupBM,15-13*ORÇAMENTO!$AF$11)))</f>
        <v>0</v>
      </c>
      <c r="Q180" s="337"/>
      <c r="R180" s="338"/>
      <c r="T180" s="117" t="str">
        <f t="shared" ca="1" si="20"/>
        <v/>
      </c>
      <c r="U180" s="163" t="str">
        <f t="shared" ca="1" si="21"/>
        <v/>
      </c>
      <c r="V180" s="164" t="str" cm="1">
        <f t="array" aca="1" ref="V180" ca="1">IF(AND($W180&gt;0,RegimeExecucao="Unitário"),$F180,"")</f>
        <v/>
      </c>
      <c r="W180" s="454" cm="1">
        <f t="array" aca="1" ref="W180" ca="1">IF($Y180&gt;0,CHOOSE(MATCH(RegimeExecucao,{"Unitário","Global"},0),IF($A180="S",$Y180/$X180,""),($Y180/$X180)*100),0)</f>
        <v>0</v>
      </c>
      <c r="X180" s="339" t="str" cm="1">
        <f t="array" aca="1" ref="X180" ca="1">IF($Y180&gt;0,CHOOSE(MATCH(RegimeExecucao,{"Unitário","Global"},0),IF($A180="S",ROUND($H180,ORÇAMENTO!$AF$10),""),ROUND($I180,ORÇAMENTO!$AF$11)),"")</f>
        <v/>
      </c>
      <c r="Y180" s="339">
        <f t="shared" ca="1" si="22"/>
        <v>0</v>
      </c>
      <c r="Z180" s="473"/>
      <c r="AB180" s="337"/>
      <c r="AC180" s="437"/>
      <c r="AD180" s="437"/>
      <c r="AE180" s="437"/>
      <c r="AF180" s="437"/>
      <c r="AG180" s="437"/>
      <c r="AH180" s="437"/>
      <c r="AI180" s="437"/>
      <c r="AJ180" s="437"/>
      <c r="AK180" s="437"/>
      <c r="AL180" s="437"/>
      <c r="AM180" s="338"/>
      <c r="AO180" cm="1">
        <f t="array" aca="1" ref="AO180" ca="1">IF($A180="S",IF(BM!$I180=0,0,CHOOSE(MATCH(RegimeExecucao,{"Global","Unitário"},0),ROUND(ROUND(BM.MEDAcumulado,15-13*BM!$A$9)/100*BM!$I180,15-13*ORÇAMENTO!$AF$11),ROUND(ROUND(BM.MEDAcumulado,15-13*BM!$A$9)*ROUND(BM!$H180,15-13*ORÇAMENTO!$AF$10),15-13*ORÇAMENTO!$AF$11))),IF($A180=0,0,ROUND(SomaAgrupBM,15-13*ORÇAMENTO!$AF$11)))</f>
        <v>0</v>
      </c>
    </row>
    <row r="181" spans="1:41" ht="51" x14ac:dyDescent="0.2">
      <c r="A181" t="str">
        <f ca="1">ORÇAMENTO!C181</f>
        <v>S</v>
      </c>
      <c r="B181">
        <f ca="1">ORÇAMENTO!D181</f>
        <v>0</v>
      </c>
      <c r="C181" s="114" t="str">
        <f t="shared" ca="1" si="16"/>
        <v/>
      </c>
      <c r="D181" s="117" t="str">
        <f ca="1">ORÇAMENTO!O181</f>
        <v>-</v>
      </c>
      <c r="E181" s="163" t="str">
        <f t="shared" ref="E181:E212" ca="1" si="23">ORÇAMENTO.Descricao</f>
        <v>(Código não identificado nas referências)</v>
      </c>
      <c r="F181" s="164" t="str" cm="1">
        <f t="array" aca="1" ref="F181" ca="1">IF(RegimeExecucao="Global","",ORÇAMENTO.Unidade)</f>
        <v/>
      </c>
      <c r="G181" s="122" t="str" cm="1">
        <f t="array" aca="1" ref="G181" ca="1">IF(RegimeExecucao="Global","",ORÇAMENTO!T181)</f>
        <v/>
      </c>
      <c r="H181" s="122" t="str" cm="1">
        <f t="array" aca="1" ref="H181" ca="1">IF(RegimeExecucao="Global","",ORÇAMENTO!W181)</f>
        <v/>
      </c>
      <c r="I181" s="125">
        <f ca="1">ORÇAMENTO!X181</f>
        <v>0</v>
      </c>
      <c r="J181" s="333" cm="1">
        <f t="array" aca="1" ref="J181" ca="1">IF($A181="S",IF(CAIXA.Modo,BM.AFAnterior,BM.MEDAnterior),IF(AND(RegimeExecucao="Global",$I181&gt;0,COUNTIF($AB$13:$AM$13,BM.medicao-1)&gt;0),M181/$I181*100,0))</f>
        <v>0</v>
      </c>
      <c r="K181" s="122">
        <f t="shared" ca="1" si="18"/>
        <v>0</v>
      </c>
      <c r="L181" s="334" cm="1">
        <f t="array" aca="1" ref="L181" ca="1">IF($A181="S",IF(CAIXA.Modo,BM.AFAcumulado,BM.MEDAcumulado),IF(AND(RegimeExecucao="Global",$I181&gt;0,COUNTIF($AB$13:$AM$13,BM.medicao)&gt;0),O181/$I181*100,0))</f>
        <v>0</v>
      </c>
      <c r="M181" s="335" cm="1">
        <f t="array" aca="1" ref="M181" ca="1">IF($A181="S",VTOTALBM,IF($A181=0,0,ROUND(SomaAgrupBM,15-13*ORÇAMENTO!$AF$11)))</f>
        <v>0</v>
      </c>
      <c r="N181" s="336">
        <f t="shared" ca="1" si="19"/>
        <v>0</v>
      </c>
      <c r="O181" s="125" cm="1">
        <f t="array" aca="1" ref="O181" ca="1">IF($A181="S",VTOTALBM,IF($A181=0,0,ROUND(SomaAgrupBM,15-13*ORÇAMENTO!$AF$11)))</f>
        <v>0</v>
      </c>
      <c r="Q181" s="337"/>
      <c r="R181" s="338"/>
      <c r="T181" s="117" t="str">
        <f t="shared" ca="1" si="20"/>
        <v/>
      </c>
      <c r="U181" s="163" t="str">
        <f t="shared" ca="1" si="21"/>
        <v/>
      </c>
      <c r="V181" s="164" t="str" cm="1">
        <f t="array" aca="1" ref="V181" ca="1">IF(AND($W181&gt;0,RegimeExecucao="Unitário"),$F181,"")</f>
        <v/>
      </c>
      <c r="W181" s="454" cm="1">
        <f t="array" aca="1" ref="W181" ca="1">IF($Y181&gt;0,CHOOSE(MATCH(RegimeExecucao,{"Unitário","Global"},0),IF($A181="S",$Y181/$X181,""),($Y181/$X181)*100),0)</f>
        <v>0</v>
      </c>
      <c r="X181" s="339" t="str" cm="1">
        <f t="array" aca="1" ref="X181" ca="1">IF($Y181&gt;0,CHOOSE(MATCH(RegimeExecucao,{"Unitário","Global"},0),IF($A181="S",ROUND($H181,ORÇAMENTO!$AF$10),""),ROUND($I181,ORÇAMENTO!$AF$11)),"")</f>
        <v/>
      </c>
      <c r="Y181" s="339">
        <f t="shared" ca="1" si="22"/>
        <v>0</v>
      </c>
      <c r="Z181" s="473"/>
      <c r="AB181" s="337"/>
      <c r="AC181" s="437"/>
      <c r="AD181" s="437"/>
      <c r="AE181" s="437"/>
      <c r="AF181" s="437"/>
      <c r="AG181" s="437"/>
      <c r="AH181" s="437"/>
      <c r="AI181" s="437"/>
      <c r="AJ181" s="437"/>
      <c r="AK181" s="437"/>
      <c r="AL181" s="437"/>
      <c r="AM181" s="338"/>
      <c r="AO181" cm="1">
        <f t="array" aca="1" ref="AO181" ca="1">IF($A181="S",IF(BM!$I181=0,0,CHOOSE(MATCH(RegimeExecucao,{"Global","Unitário"},0),ROUND(ROUND(BM.MEDAcumulado,15-13*BM!$A$9)/100*BM!$I181,15-13*ORÇAMENTO!$AF$11),ROUND(ROUND(BM.MEDAcumulado,15-13*BM!$A$9)*ROUND(BM!$H181,15-13*ORÇAMENTO!$AF$10),15-13*ORÇAMENTO!$AF$11))),IF($A181=0,0,ROUND(SomaAgrupBM,15-13*ORÇAMENTO!$AF$11)))</f>
        <v>0</v>
      </c>
    </row>
    <row r="182" spans="1:41" ht="38.25" x14ac:dyDescent="0.2">
      <c r="A182" t="str">
        <f ca="1">ORÇAMENTO!C182</f>
        <v>S</v>
      </c>
      <c r="B182">
        <f ca="1">ORÇAMENTO!D182</f>
        <v>0</v>
      </c>
      <c r="C182" s="114" t="str">
        <f t="shared" ca="1" si="16"/>
        <v/>
      </c>
      <c r="D182" s="117" t="str">
        <f ca="1">ORÇAMENTO!O182</f>
        <v>-</v>
      </c>
      <c r="E182" s="163" t="str">
        <f t="shared" ca="1" si="23"/>
        <v>(Código não identificado nas referências)</v>
      </c>
      <c r="F182" s="164" t="str" cm="1">
        <f t="array" aca="1" ref="F182" ca="1">IF(RegimeExecucao="Global","",ORÇAMENTO.Unidade)</f>
        <v/>
      </c>
      <c r="G182" s="122" t="str" cm="1">
        <f t="array" aca="1" ref="G182" ca="1">IF(RegimeExecucao="Global","",ORÇAMENTO!T182)</f>
        <v/>
      </c>
      <c r="H182" s="122" t="str" cm="1">
        <f t="array" aca="1" ref="H182" ca="1">IF(RegimeExecucao="Global","",ORÇAMENTO!W182)</f>
        <v/>
      </c>
      <c r="I182" s="125">
        <f ca="1">ORÇAMENTO!X182</f>
        <v>0</v>
      </c>
      <c r="J182" s="333" cm="1">
        <f t="array" aca="1" ref="J182" ca="1">IF($A182="S",IF(CAIXA.Modo,BM.AFAnterior,BM.MEDAnterior),IF(AND(RegimeExecucao="Global",$I182&gt;0,COUNTIF($AB$13:$AM$13,BM.medicao-1)&gt;0),M182/$I182*100,0))</f>
        <v>0</v>
      </c>
      <c r="K182" s="122">
        <f t="shared" ca="1" si="18"/>
        <v>0</v>
      </c>
      <c r="L182" s="334" cm="1">
        <f t="array" aca="1" ref="L182" ca="1">IF($A182="S",IF(CAIXA.Modo,BM.AFAcumulado,BM.MEDAcumulado),IF(AND(RegimeExecucao="Global",$I182&gt;0,COUNTIF($AB$13:$AM$13,BM.medicao)&gt;0),O182/$I182*100,0))</f>
        <v>0</v>
      </c>
      <c r="M182" s="335" cm="1">
        <f t="array" aca="1" ref="M182" ca="1">IF($A182="S",VTOTALBM,IF($A182=0,0,ROUND(SomaAgrupBM,15-13*ORÇAMENTO!$AF$11)))</f>
        <v>0</v>
      </c>
      <c r="N182" s="336">
        <f t="shared" ca="1" si="19"/>
        <v>0</v>
      </c>
      <c r="O182" s="125" cm="1">
        <f t="array" aca="1" ref="O182" ca="1">IF($A182="S",VTOTALBM,IF($A182=0,0,ROUND(SomaAgrupBM,15-13*ORÇAMENTO!$AF$11)))</f>
        <v>0</v>
      </c>
      <c r="Q182" s="337"/>
      <c r="R182" s="338"/>
      <c r="T182" s="117" t="str">
        <f t="shared" ca="1" si="20"/>
        <v/>
      </c>
      <c r="U182" s="163" t="str">
        <f t="shared" ca="1" si="21"/>
        <v/>
      </c>
      <c r="V182" s="164" t="str" cm="1">
        <f t="array" aca="1" ref="V182" ca="1">IF(AND($W182&gt;0,RegimeExecucao="Unitário"),$F182,"")</f>
        <v/>
      </c>
      <c r="W182" s="454" cm="1">
        <f t="array" aca="1" ref="W182" ca="1">IF($Y182&gt;0,CHOOSE(MATCH(RegimeExecucao,{"Unitário","Global"},0),IF($A182="S",$Y182/$X182,""),($Y182/$X182)*100),0)</f>
        <v>0</v>
      </c>
      <c r="X182" s="339" t="str" cm="1">
        <f t="array" aca="1" ref="X182" ca="1">IF($Y182&gt;0,CHOOSE(MATCH(RegimeExecucao,{"Unitário","Global"},0),IF($A182="S",ROUND($H182,ORÇAMENTO!$AF$10),""),ROUND($I182,ORÇAMENTO!$AF$11)),"")</f>
        <v/>
      </c>
      <c r="Y182" s="339">
        <f t="shared" ca="1" si="22"/>
        <v>0</v>
      </c>
      <c r="Z182" s="473"/>
      <c r="AB182" s="337"/>
      <c r="AC182" s="437"/>
      <c r="AD182" s="437"/>
      <c r="AE182" s="437"/>
      <c r="AF182" s="437"/>
      <c r="AG182" s="437"/>
      <c r="AH182" s="437"/>
      <c r="AI182" s="437"/>
      <c r="AJ182" s="437"/>
      <c r="AK182" s="437"/>
      <c r="AL182" s="437"/>
      <c r="AM182" s="338"/>
      <c r="AO182" cm="1">
        <f t="array" aca="1" ref="AO182" ca="1">IF($A182="S",IF(BM!$I182=0,0,CHOOSE(MATCH(RegimeExecucao,{"Global","Unitário"},0),ROUND(ROUND(BM.MEDAcumulado,15-13*BM!$A$9)/100*BM!$I182,15-13*ORÇAMENTO!$AF$11),ROUND(ROUND(BM.MEDAcumulado,15-13*BM!$A$9)*ROUND(BM!$H182,15-13*ORÇAMENTO!$AF$10),15-13*ORÇAMENTO!$AF$11))),IF($A182=0,0,ROUND(SomaAgrupBM,15-13*ORÇAMENTO!$AF$11)))</f>
        <v>0</v>
      </c>
    </row>
    <row r="183" spans="1:41" ht="25.5" x14ac:dyDescent="0.2">
      <c r="A183" t="str">
        <f ca="1">ORÇAMENTO!C183</f>
        <v>S</v>
      </c>
      <c r="B183">
        <f ca="1">ORÇAMENTO!D183</f>
        <v>0</v>
      </c>
      <c r="C183" s="114" t="str">
        <f t="shared" ca="1" si="16"/>
        <v/>
      </c>
      <c r="D183" s="117" t="str">
        <f ca="1">ORÇAMENTO!O183</f>
        <v>-</v>
      </c>
      <c r="E183" s="163" t="str">
        <f t="shared" ca="1" si="23"/>
        <v>(Código não identificado nas referências)</v>
      </c>
      <c r="F183" s="164" t="str" cm="1">
        <f t="array" aca="1" ref="F183" ca="1">IF(RegimeExecucao="Global","",ORÇAMENTO.Unidade)</f>
        <v/>
      </c>
      <c r="G183" s="122" t="str" cm="1">
        <f t="array" aca="1" ref="G183" ca="1">IF(RegimeExecucao="Global","",ORÇAMENTO!T183)</f>
        <v/>
      </c>
      <c r="H183" s="122" t="str" cm="1">
        <f t="array" aca="1" ref="H183" ca="1">IF(RegimeExecucao="Global","",ORÇAMENTO!W183)</f>
        <v/>
      </c>
      <c r="I183" s="125">
        <f ca="1">ORÇAMENTO!X183</f>
        <v>0</v>
      </c>
      <c r="J183" s="333" cm="1">
        <f t="array" aca="1" ref="J183" ca="1">IF($A183="S",IF(CAIXA.Modo,BM.AFAnterior,BM.MEDAnterior),IF(AND(RegimeExecucao="Global",$I183&gt;0,COUNTIF($AB$13:$AM$13,BM.medicao-1)&gt;0),M183/$I183*100,0))</f>
        <v>0</v>
      </c>
      <c r="K183" s="122">
        <f t="shared" ca="1" si="18"/>
        <v>0</v>
      </c>
      <c r="L183" s="334" cm="1">
        <f t="array" aca="1" ref="L183" ca="1">IF($A183="S",IF(CAIXA.Modo,BM.AFAcumulado,BM.MEDAcumulado),IF(AND(RegimeExecucao="Global",$I183&gt;0,COUNTIF($AB$13:$AM$13,BM.medicao)&gt;0),O183/$I183*100,0))</f>
        <v>0</v>
      </c>
      <c r="M183" s="335" cm="1">
        <f t="array" aca="1" ref="M183" ca="1">IF($A183="S",VTOTALBM,IF($A183=0,0,ROUND(SomaAgrupBM,15-13*ORÇAMENTO!$AF$11)))</f>
        <v>0</v>
      </c>
      <c r="N183" s="336">
        <f t="shared" ca="1" si="19"/>
        <v>0</v>
      </c>
      <c r="O183" s="125" cm="1">
        <f t="array" aca="1" ref="O183" ca="1">IF($A183="S",VTOTALBM,IF($A183=0,0,ROUND(SomaAgrupBM,15-13*ORÇAMENTO!$AF$11)))</f>
        <v>0</v>
      </c>
      <c r="Q183" s="337"/>
      <c r="R183" s="338"/>
      <c r="T183" s="117" t="str">
        <f t="shared" ca="1" si="20"/>
        <v/>
      </c>
      <c r="U183" s="163" t="str">
        <f t="shared" ca="1" si="21"/>
        <v/>
      </c>
      <c r="V183" s="164" t="str" cm="1">
        <f t="array" aca="1" ref="V183" ca="1">IF(AND($W183&gt;0,RegimeExecucao="Unitário"),$F183,"")</f>
        <v/>
      </c>
      <c r="W183" s="454" cm="1">
        <f t="array" aca="1" ref="W183" ca="1">IF($Y183&gt;0,CHOOSE(MATCH(RegimeExecucao,{"Unitário","Global"},0),IF($A183="S",$Y183/$X183,""),($Y183/$X183)*100),0)</f>
        <v>0</v>
      </c>
      <c r="X183" s="339" t="str" cm="1">
        <f t="array" aca="1" ref="X183" ca="1">IF($Y183&gt;0,CHOOSE(MATCH(RegimeExecucao,{"Unitário","Global"},0),IF($A183="S",ROUND($H183,ORÇAMENTO!$AF$10),""),ROUND($I183,ORÇAMENTO!$AF$11)),"")</f>
        <v/>
      </c>
      <c r="Y183" s="339">
        <f t="shared" ca="1" si="22"/>
        <v>0</v>
      </c>
      <c r="Z183" s="473"/>
      <c r="AB183" s="337"/>
      <c r="AC183" s="437"/>
      <c r="AD183" s="437"/>
      <c r="AE183" s="437"/>
      <c r="AF183" s="437"/>
      <c r="AG183" s="437"/>
      <c r="AH183" s="437"/>
      <c r="AI183" s="437"/>
      <c r="AJ183" s="437"/>
      <c r="AK183" s="437"/>
      <c r="AL183" s="437"/>
      <c r="AM183" s="338"/>
      <c r="AO183" cm="1">
        <f t="array" aca="1" ref="AO183" ca="1">IF($A183="S",IF(BM!$I183=0,0,CHOOSE(MATCH(RegimeExecucao,{"Global","Unitário"},0),ROUND(ROUND(BM.MEDAcumulado,15-13*BM!$A$9)/100*BM!$I183,15-13*ORÇAMENTO!$AF$11),ROUND(ROUND(BM.MEDAcumulado,15-13*BM!$A$9)*ROUND(BM!$H183,15-13*ORÇAMENTO!$AF$10),15-13*ORÇAMENTO!$AF$11))),IF($A183=0,0,ROUND(SomaAgrupBM,15-13*ORÇAMENTO!$AF$11)))</f>
        <v>0</v>
      </c>
    </row>
    <row r="184" spans="1:41" ht="38.25" x14ac:dyDescent="0.2">
      <c r="A184" t="str">
        <f ca="1">ORÇAMENTO!C184</f>
        <v>S</v>
      </c>
      <c r="B184">
        <f ca="1">ORÇAMENTO!D184</f>
        <v>0</v>
      </c>
      <c r="C184" s="114" t="str">
        <f t="shared" ca="1" si="16"/>
        <v/>
      </c>
      <c r="D184" s="117" t="str">
        <f ca="1">ORÇAMENTO!O184</f>
        <v>-</v>
      </c>
      <c r="E184" s="163" t="str">
        <f t="shared" ca="1" si="23"/>
        <v>(Código não identificado nas referências)</v>
      </c>
      <c r="F184" s="164" t="str" cm="1">
        <f t="array" aca="1" ref="F184" ca="1">IF(RegimeExecucao="Global","",ORÇAMENTO.Unidade)</f>
        <v/>
      </c>
      <c r="G184" s="122" t="str" cm="1">
        <f t="array" aca="1" ref="G184" ca="1">IF(RegimeExecucao="Global","",ORÇAMENTO!T184)</f>
        <v/>
      </c>
      <c r="H184" s="122" t="str" cm="1">
        <f t="array" aca="1" ref="H184" ca="1">IF(RegimeExecucao="Global","",ORÇAMENTO!W184)</f>
        <v/>
      </c>
      <c r="I184" s="125">
        <f ca="1">ORÇAMENTO!X184</f>
        <v>0</v>
      </c>
      <c r="J184" s="333" cm="1">
        <f t="array" aca="1" ref="J184" ca="1">IF($A184="S",IF(CAIXA.Modo,BM.AFAnterior,BM.MEDAnterior),IF(AND(RegimeExecucao="Global",$I184&gt;0,COUNTIF($AB$13:$AM$13,BM.medicao-1)&gt;0),M184/$I184*100,0))</f>
        <v>0</v>
      </c>
      <c r="K184" s="122">
        <f t="shared" ca="1" si="18"/>
        <v>0</v>
      </c>
      <c r="L184" s="334" cm="1">
        <f t="array" aca="1" ref="L184" ca="1">IF($A184="S",IF(CAIXA.Modo,BM.AFAcumulado,BM.MEDAcumulado),IF(AND(RegimeExecucao="Global",$I184&gt;0,COUNTIF($AB$13:$AM$13,BM.medicao)&gt;0),O184/$I184*100,0))</f>
        <v>0</v>
      </c>
      <c r="M184" s="335" cm="1">
        <f t="array" aca="1" ref="M184" ca="1">IF($A184="S",VTOTALBM,IF($A184=0,0,ROUND(SomaAgrupBM,15-13*ORÇAMENTO!$AF$11)))</f>
        <v>0</v>
      </c>
      <c r="N184" s="336">
        <f t="shared" ca="1" si="19"/>
        <v>0</v>
      </c>
      <c r="O184" s="125" cm="1">
        <f t="array" aca="1" ref="O184" ca="1">IF($A184="S",VTOTALBM,IF($A184=0,0,ROUND(SomaAgrupBM,15-13*ORÇAMENTO!$AF$11)))</f>
        <v>0</v>
      </c>
      <c r="Q184" s="337"/>
      <c r="R184" s="338"/>
      <c r="T184" s="117" t="str">
        <f t="shared" ca="1" si="20"/>
        <v/>
      </c>
      <c r="U184" s="163" t="str">
        <f t="shared" ca="1" si="21"/>
        <v/>
      </c>
      <c r="V184" s="164" t="str" cm="1">
        <f t="array" aca="1" ref="V184" ca="1">IF(AND($W184&gt;0,RegimeExecucao="Unitário"),$F184,"")</f>
        <v/>
      </c>
      <c r="W184" s="454" cm="1">
        <f t="array" aca="1" ref="W184" ca="1">IF($Y184&gt;0,CHOOSE(MATCH(RegimeExecucao,{"Unitário","Global"},0),IF($A184="S",$Y184/$X184,""),($Y184/$X184)*100),0)</f>
        <v>0</v>
      </c>
      <c r="X184" s="339" t="str" cm="1">
        <f t="array" aca="1" ref="X184" ca="1">IF($Y184&gt;0,CHOOSE(MATCH(RegimeExecucao,{"Unitário","Global"},0),IF($A184="S",ROUND($H184,ORÇAMENTO!$AF$10),""),ROUND($I184,ORÇAMENTO!$AF$11)),"")</f>
        <v/>
      </c>
      <c r="Y184" s="339">
        <f t="shared" ca="1" si="22"/>
        <v>0</v>
      </c>
      <c r="Z184" s="473"/>
      <c r="AB184" s="337"/>
      <c r="AC184" s="437"/>
      <c r="AD184" s="437"/>
      <c r="AE184" s="437"/>
      <c r="AF184" s="437"/>
      <c r="AG184" s="437"/>
      <c r="AH184" s="437"/>
      <c r="AI184" s="437"/>
      <c r="AJ184" s="437"/>
      <c r="AK184" s="437"/>
      <c r="AL184" s="437"/>
      <c r="AM184" s="338"/>
      <c r="AO184" cm="1">
        <f t="array" aca="1" ref="AO184" ca="1">IF($A184="S",IF(BM!$I184=0,0,CHOOSE(MATCH(RegimeExecucao,{"Global","Unitário"},0),ROUND(ROUND(BM.MEDAcumulado,15-13*BM!$A$9)/100*BM!$I184,15-13*ORÇAMENTO!$AF$11),ROUND(ROUND(BM.MEDAcumulado,15-13*BM!$A$9)*ROUND(BM!$H184,15-13*ORÇAMENTO!$AF$10),15-13*ORÇAMENTO!$AF$11))),IF($A184=0,0,ROUND(SomaAgrupBM,15-13*ORÇAMENTO!$AF$11)))</f>
        <v>0</v>
      </c>
    </row>
    <row r="185" spans="1:41" ht="25.5" x14ac:dyDescent="0.2">
      <c r="A185" t="str">
        <f ca="1">ORÇAMENTO!C185</f>
        <v>S</v>
      </c>
      <c r="B185">
        <f ca="1">ORÇAMENTO!D185</f>
        <v>0</v>
      </c>
      <c r="C185" s="114" t="str">
        <f t="shared" ca="1" si="16"/>
        <v/>
      </c>
      <c r="D185" s="117" t="str">
        <f ca="1">ORÇAMENTO!O185</f>
        <v>-</v>
      </c>
      <c r="E185" s="163" t="str">
        <f t="shared" ca="1" si="23"/>
        <v>(Código não identificado nas referências)</v>
      </c>
      <c r="F185" s="164" t="str" cm="1">
        <f t="array" aca="1" ref="F185" ca="1">IF(RegimeExecucao="Global","",ORÇAMENTO.Unidade)</f>
        <v/>
      </c>
      <c r="G185" s="122" t="str" cm="1">
        <f t="array" aca="1" ref="G185" ca="1">IF(RegimeExecucao="Global","",ORÇAMENTO!T185)</f>
        <v/>
      </c>
      <c r="H185" s="122" t="str" cm="1">
        <f t="array" aca="1" ref="H185" ca="1">IF(RegimeExecucao="Global","",ORÇAMENTO!W185)</f>
        <v/>
      </c>
      <c r="I185" s="125">
        <f ca="1">ORÇAMENTO!X185</f>
        <v>0</v>
      </c>
      <c r="J185" s="333" cm="1">
        <f t="array" aca="1" ref="J185" ca="1">IF($A185="S",IF(CAIXA.Modo,BM.AFAnterior,BM.MEDAnterior),IF(AND(RegimeExecucao="Global",$I185&gt;0,COUNTIF($AB$13:$AM$13,BM.medicao-1)&gt;0),M185/$I185*100,0))</f>
        <v>0</v>
      </c>
      <c r="K185" s="122">
        <f t="shared" ca="1" si="18"/>
        <v>0</v>
      </c>
      <c r="L185" s="334" cm="1">
        <f t="array" aca="1" ref="L185" ca="1">IF($A185="S",IF(CAIXA.Modo,BM.AFAcumulado,BM.MEDAcumulado),IF(AND(RegimeExecucao="Global",$I185&gt;0,COUNTIF($AB$13:$AM$13,BM.medicao)&gt;0),O185/$I185*100,0))</f>
        <v>0</v>
      </c>
      <c r="M185" s="335" cm="1">
        <f t="array" aca="1" ref="M185" ca="1">IF($A185="S",VTOTALBM,IF($A185=0,0,ROUND(SomaAgrupBM,15-13*ORÇAMENTO!$AF$11)))</f>
        <v>0</v>
      </c>
      <c r="N185" s="336">
        <f t="shared" ca="1" si="19"/>
        <v>0</v>
      </c>
      <c r="O185" s="125" cm="1">
        <f t="array" aca="1" ref="O185" ca="1">IF($A185="S",VTOTALBM,IF($A185=0,0,ROUND(SomaAgrupBM,15-13*ORÇAMENTO!$AF$11)))</f>
        <v>0</v>
      </c>
      <c r="Q185" s="337"/>
      <c r="R185" s="338"/>
      <c r="T185" s="117" t="str">
        <f t="shared" ca="1" si="20"/>
        <v/>
      </c>
      <c r="U185" s="163" t="str">
        <f t="shared" ca="1" si="21"/>
        <v/>
      </c>
      <c r="V185" s="164" t="str" cm="1">
        <f t="array" aca="1" ref="V185" ca="1">IF(AND($W185&gt;0,RegimeExecucao="Unitário"),$F185,"")</f>
        <v/>
      </c>
      <c r="W185" s="454" cm="1">
        <f t="array" aca="1" ref="W185" ca="1">IF($Y185&gt;0,CHOOSE(MATCH(RegimeExecucao,{"Unitário","Global"},0),IF($A185="S",$Y185/$X185,""),($Y185/$X185)*100),0)</f>
        <v>0</v>
      </c>
      <c r="X185" s="339" t="str" cm="1">
        <f t="array" aca="1" ref="X185" ca="1">IF($Y185&gt;0,CHOOSE(MATCH(RegimeExecucao,{"Unitário","Global"},0),IF($A185="S",ROUND($H185,ORÇAMENTO!$AF$10),""),ROUND($I185,ORÇAMENTO!$AF$11)),"")</f>
        <v/>
      </c>
      <c r="Y185" s="339">
        <f t="shared" ca="1" si="22"/>
        <v>0</v>
      </c>
      <c r="Z185" s="473"/>
      <c r="AB185" s="337"/>
      <c r="AC185" s="437"/>
      <c r="AD185" s="437"/>
      <c r="AE185" s="437"/>
      <c r="AF185" s="437"/>
      <c r="AG185" s="437"/>
      <c r="AH185" s="437"/>
      <c r="AI185" s="437"/>
      <c r="AJ185" s="437"/>
      <c r="AK185" s="437"/>
      <c r="AL185" s="437"/>
      <c r="AM185" s="338"/>
      <c r="AO185" cm="1">
        <f t="array" aca="1" ref="AO185" ca="1">IF($A185="S",IF(BM!$I185=0,0,CHOOSE(MATCH(RegimeExecucao,{"Global","Unitário"},0),ROUND(ROUND(BM.MEDAcumulado,15-13*BM!$A$9)/100*BM!$I185,15-13*ORÇAMENTO!$AF$11),ROUND(ROUND(BM.MEDAcumulado,15-13*BM!$A$9)*ROUND(BM!$H185,15-13*ORÇAMENTO!$AF$10),15-13*ORÇAMENTO!$AF$11))),IF($A185=0,0,ROUND(SomaAgrupBM,15-13*ORÇAMENTO!$AF$11)))</f>
        <v>0</v>
      </c>
    </row>
    <row r="186" spans="1:41" ht="38.25" x14ac:dyDescent="0.2">
      <c r="A186" t="str">
        <f ca="1">ORÇAMENTO!C186</f>
        <v>S</v>
      </c>
      <c r="B186">
        <f ca="1">ORÇAMENTO!D186</f>
        <v>0</v>
      </c>
      <c r="C186" s="114" t="str">
        <f t="shared" ca="1" si="16"/>
        <v/>
      </c>
      <c r="D186" s="117" t="str">
        <f ca="1">ORÇAMENTO!O186</f>
        <v>-</v>
      </c>
      <c r="E186" s="163" t="str">
        <f t="shared" ca="1" si="23"/>
        <v>(Código não identificado nas referências)</v>
      </c>
      <c r="F186" s="164" t="str" cm="1">
        <f t="array" aca="1" ref="F186" ca="1">IF(RegimeExecucao="Global","",ORÇAMENTO.Unidade)</f>
        <v/>
      </c>
      <c r="G186" s="122" t="str" cm="1">
        <f t="array" aca="1" ref="G186" ca="1">IF(RegimeExecucao="Global","",ORÇAMENTO!T186)</f>
        <v/>
      </c>
      <c r="H186" s="122" t="str" cm="1">
        <f t="array" aca="1" ref="H186" ca="1">IF(RegimeExecucao="Global","",ORÇAMENTO!W186)</f>
        <v/>
      </c>
      <c r="I186" s="125">
        <f ca="1">ORÇAMENTO!X186</f>
        <v>0</v>
      </c>
      <c r="J186" s="333" cm="1">
        <f t="array" aca="1" ref="J186" ca="1">IF($A186="S",IF(CAIXA.Modo,BM.AFAnterior,BM.MEDAnterior),IF(AND(RegimeExecucao="Global",$I186&gt;0,COUNTIF($AB$13:$AM$13,BM.medicao-1)&gt;0),M186/$I186*100,0))</f>
        <v>0</v>
      </c>
      <c r="K186" s="122">
        <f t="shared" ca="1" si="18"/>
        <v>0</v>
      </c>
      <c r="L186" s="334" cm="1">
        <f t="array" aca="1" ref="L186" ca="1">IF($A186="S",IF(CAIXA.Modo,BM.AFAcumulado,BM.MEDAcumulado),IF(AND(RegimeExecucao="Global",$I186&gt;0,COUNTIF($AB$13:$AM$13,BM.medicao)&gt;0),O186/$I186*100,0))</f>
        <v>0</v>
      </c>
      <c r="M186" s="335" cm="1">
        <f t="array" aca="1" ref="M186" ca="1">IF($A186="S",VTOTALBM,IF($A186=0,0,ROUND(SomaAgrupBM,15-13*ORÇAMENTO!$AF$11)))</f>
        <v>0</v>
      </c>
      <c r="N186" s="336">
        <f t="shared" ca="1" si="19"/>
        <v>0</v>
      </c>
      <c r="O186" s="125" cm="1">
        <f t="array" aca="1" ref="O186" ca="1">IF($A186="S",VTOTALBM,IF($A186=0,0,ROUND(SomaAgrupBM,15-13*ORÇAMENTO!$AF$11)))</f>
        <v>0</v>
      </c>
      <c r="Q186" s="337"/>
      <c r="R186" s="338"/>
      <c r="T186" s="117" t="str">
        <f t="shared" ca="1" si="20"/>
        <v/>
      </c>
      <c r="U186" s="163" t="str">
        <f t="shared" ca="1" si="21"/>
        <v/>
      </c>
      <c r="V186" s="164" t="str" cm="1">
        <f t="array" aca="1" ref="V186" ca="1">IF(AND($W186&gt;0,RegimeExecucao="Unitário"),$F186,"")</f>
        <v/>
      </c>
      <c r="W186" s="454" cm="1">
        <f t="array" aca="1" ref="W186" ca="1">IF($Y186&gt;0,CHOOSE(MATCH(RegimeExecucao,{"Unitário","Global"},0),IF($A186="S",$Y186/$X186,""),($Y186/$X186)*100),0)</f>
        <v>0</v>
      </c>
      <c r="X186" s="339" t="str" cm="1">
        <f t="array" aca="1" ref="X186" ca="1">IF($Y186&gt;0,CHOOSE(MATCH(RegimeExecucao,{"Unitário","Global"},0),IF($A186="S",ROUND($H186,ORÇAMENTO!$AF$10),""),ROUND($I186,ORÇAMENTO!$AF$11)),"")</f>
        <v/>
      </c>
      <c r="Y186" s="339">
        <f t="shared" ca="1" si="22"/>
        <v>0</v>
      </c>
      <c r="Z186" s="473"/>
      <c r="AB186" s="337"/>
      <c r="AC186" s="437"/>
      <c r="AD186" s="437"/>
      <c r="AE186" s="437"/>
      <c r="AF186" s="437"/>
      <c r="AG186" s="437"/>
      <c r="AH186" s="437"/>
      <c r="AI186" s="437"/>
      <c r="AJ186" s="437"/>
      <c r="AK186" s="437"/>
      <c r="AL186" s="437"/>
      <c r="AM186" s="338"/>
      <c r="AO186" cm="1">
        <f t="array" aca="1" ref="AO186" ca="1">IF($A186="S",IF(BM!$I186=0,0,CHOOSE(MATCH(RegimeExecucao,{"Global","Unitário"},0),ROUND(ROUND(BM.MEDAcumulado,15-13*BM!$A$9)/100*BM!$I186,15-13*ORÇAMENTO!$AF$11),ROUND(ROUND(BM.MEDAcumulado,15-13*BM!$A$9)*ROUND(BM!$H186,15-13*ORÇAMENTO!$AF$10),15-13*ORÇAMENTO!$AF$11))),IF($A186=0,0,ROUND(SomaAgrupBM,15-13*ORÇAMENTO!$AF$11)))</f>
        <v>0</v>
      </c>
    </row>
    <row r="187" spans="1:41" ht="38.25" x14ac:dyDescent="0.2">
      <c r="A187" t="str">
        <f ca="1">ORÇAMENTO!C187</f>
        <v>S</v>
      </c>
      <c r="B187">
        <f ca="1">ORÇAMENTO!D187</f>
        <v>0</v>
      </c>
      <c r="C187" s="114" t="str">
        <f t="shared" ca="1" si="16"/>
        <v/>
      </c>
      <c r="D187" s="117" t="str">
        <f ca="1">ORÇAMENTO!O187</f>
        <v>-</v>
      </c>
      <c r="E187" s="163" t="str">
        <f t="shared" ca="1" si="23"/>
        <v>(Código não identificado nas referências)</v>
      </c>
      <c r="F187" s="164" t="str" cm="1">
        <f t="array" aca="1" ref="F187" ca="1">IF(RegimeExecucao="Global","",ORÇAMENTO.Unidade)</f>
        <v/>
      </c>
      <c r="G187" s="122" t="str" cm="1">
        <f t="array" aca="1" ref="G187" ca="1">IF(RegimeExecucao="Global","",ORÇAMENTO!T187)</f>
        <v/>
      </c>
      <c r="H187" s="122" t="str" cm="1">
        <f t="array" aca="1" ref="H187" ca="1">IF(RegimeExecucao="Global","",ORÇAMENTO!W187)</f>
        <v/>
      </c>
      <c r="I187" s="125">
        <f ca="1">ORÇAMENTO!X187</f>
        <v>0</v>
      </c>
      <c r="J187" s="333" cm="1">
        <f t="array" aca="1" ref="J187" ca="1">IF($A187="S",IF(CAIXA.Modo,BM.AFAnterior,BM.MEDAnterior),IF(AND(RegimeExecucao="Global",$I187&gt;0,COUNTIF($AB$13:$AM$13,BM.medicao-1)&gt;0),M187/$I187*100,0))</f>
        <v>0</v>
      </c>
      <c r="K187" s="122">
        <f t="shared" ca="1" si="18"/>
        <v>0</v>
      </c>
      <c r="L187" s="334" cm="1">
        <f t="array" aca="1" ref="L187" ca="1">IF($A187="S",IF(CAIXA.Modo,BM.AFAcumulado,BM.MEDAcumulado),IF(AND(RegimeExecucao="Global",$I187&gt;0,COUNTIF($AB$13:$AM$13,BM.medicao)&gt;0),O187/$I187*100,0))</f>
        <v>0</v>
      </c>
      <c r="M187" s="335" cm="1">
        <f t="array" aca="1" ref="M187" ca="1">IF($A187="S",VTOTALBM,IF($A187=0,0,ROUND(SomaAgrupBM,15-13*ORÇAMENTO!$AF$11)))</f>
        <v>0</v>
      </c>
      <c r="N187" s="336">
        <f t="shared" ca="1" si="19"/>
        <v>0</v>
      </c>
      <c r="O187" s="125" cm="1">
        <f t="array" aca="1" ref="O187" ca="1">IF($A187="S",VTOTALBM,IF($A187=0,0,ROUND(SomaAgrupBM,15-13*ORÇAMENTO!$AF$11)))</f>
        <v>0</v>
      </c>
      <c r="Q187" s="337"/>
      <c r="R187" s="338"/>
      <c r="T187" s="117" t="str">
        <f t="shared" ca="1" si="20"/>
        <v/>
      </c>
      <c r="U187" s="163" t="str">
        <f t="shared" ca="1" si="21"/>
        <v/>
      </c>
      <c r="V187" s="164" t="str" cm="1">
        <f t="array" aca="1" ref="V187" ca="1">IF(AND($W187&gt;0,RegimeExecucao="Unitário"),$F187,"")</f>
        <v/>
      </c>
      <c r="W187" s="454" cm="1">
        <f t="array" aca="1" ref="W187" ca="1">IF($Y187&gt;0,CHOOSE(MATCH(RegimeExecucao,{"Unitário","Global"},0),IF($A187="S",$Y187/$X187,""),($Y187/$X187)*100),0)</f>
        <v>0</v>
      </c>
      <c r="X187" s="339" t="str" cm="1">
        <f t="array" aca="1" ref="X187" ca="1">IF($Y187&gt;0,CHOOSE(MATCH(RegimeExecucao,{"Unitário","Global"},0),IF($A187="S",ROUND($H187,ORÇAMENTO!$AF$10),""),ROUND($I187,ORÇAMENTO!$AF$11)),"")</f>
        <v/>
      </c>
      <c r="Y187" s="339">
        <f t="shared" ca="1" si="22"/>
        <v>0</v>
      </c>
      <c r="Z187" s="473"/>
      <c r="AB187" s="337"/>
      <c r="AC187" s="437"/>
      <c r="AD187" s="437"/>
      <c r="AE187" s="437"/>
      <c r="AF187" s="437"/>
      <c r="AG187" s="437"/>
      <c r="AH187" s="437"/>
      <c r="AI187" s="437"/>
      <c r="AJ187" s="437"/>
      <c r="AK187" s="437"/>
      <c r="AL187" s="437"/>
      <c r="AM187" s="338"/>
      <c r="AO187" cm="1">
        <f t="array" aca="1" ref="AO187" ca="1">IF($A187="S",IF(BM!$I187=0,0,CHOOSE(MATCH(RegimeExecucao,{"Global","Unitário"},0),ROUND(ROUND(BM.MEDAcumulado,15-13*BM!$A$9)/100*BM!$I187,15-13*ORÇAMENTO!$AF$11),ROUND(ROUND(BM.MEDAcumulado,15-13*BM!$A$9)*ROUND(BM!$H187,15-13*ORÇAMENTO!$AF$10),15-13*ORÇAMENTO!$AF$11))),IF($A187=0,0,ROUND(SomaAgrupBM,15-13*ORÇAMENTO!$AF$11)))</f>
        <v>0</v>
      </c>
    </row>
    <row r="188" spans="1:41" x14ac:dyDescent="0.2">
      <c r="A188">
        <f ca="1">ORÇAMENTO!C188</f>
        <v>3</v>
      </c>
      <c r="B188">
        <f ca="1">ORÇAMENTO!D188</f>
        <v>15</v>
      </c>
      <c r="C188" s="114" t="str">
        <f t="shared" ca="1" si="16"/>
        <v>F</v>
      </c>
      <c r="D188" s="117" t="str">
        <f ca="1">ORÇAMENTO!O188</f>
        <v>9.2.4.</v>
      </c>
      <c r="E188" s="163" t="str">
        <f t="shared" si="23"/>
        <v>CAIXA D'ÁGUA E BARRILETE</v>
      </c>
      <c r="F188" s="164" t="str" cm="1">
        <f t="array" aca="1" ref="F188" ca="1">IF(RegimeExecucao="Global","",ORÇAMENTO.Unidade)</f>
        <v/>
      </c>
      <c r="G188" s="122" t="str" cm="1">
        <f t="array" aca="1" ref="G188" ca="1">IF(RegimeExecucao="Global","",ORÇAMENTO!T188)</f>
        <v/>
      </c>
      <c r="H188" s="122" t="str" cm="1">
        <f t="array" aca="1" ref="H188" ca="1">IF(RegimeExecucao="Global","",ORÇAMENTO!W188)</f>
        <v/>
      </c>
      <c r="I188" s="125">
        <f ca="1">ORÇAMENTO!X188</f>
        <v>0</v>
      </c>
      <c r="J188" s="333" cm="1">
        <f t="array" aca="1" ref="J188" ca="1">IF($A188="S",IF(CAIXA.Modo,BM.AFAnterior,BM.MEDAnterior),IF(AND(RegimeExecucao="Global",$I188&gt;0,COUNTIF($AB$13:$AM$13,BM.medicao-1)&gt;0),M188/$I188*100,0))</f>
        <v>0</v>
      </c>
      <c r="K188" s="122">
        <f t="shared" ca="1" si="18"/>
        <v>0</v>
      </c>
      <c r="L188" s="334" cm="1">
        <f t="array" aca="1" ref="L188" ca="1">IF($A188="S",IF(CAIXA.Modo,BM.AFAcumulado,BM.MEDAcumulado),IF(AND(RegimeExecucao="Global",$I188&gt;0,COUNTIF($AB$13:$AM$13,BM.medicao)&gt;0),O188/$I188*100,0))</f>
        <v>0</v>
      </c>
      <c r="M188" s="335" cm="1">
        <f t="array" aca="1" ref="M188" ca="1">IF($A188="S",VTOTALBM,IF($A188=0,0,ROUND(SomaAgrupBM,15-13*ORÇAMENTO!$AF$11)))</f>
        <v>0</v>
      </c>
      <c r="N188" s="336">
        <f t="shared" ca="1" si="19"/>
        <v>0</v>
      </c>
      <c r="O188" s="125" cm="1">
        <f t="array" aca="1" ref="O188" ca="1">IF($A188="S",VTOTALBM,IF($A188=0,0,ROUND(SomaAgrupBM,15-13*ORÇAMENTO!$AF$11)))</f>
        <v>0</v>
      </c>
      <c r="Q188" s="337"/>
      <c r="R188" s="338"/>
      <c r="T188" s="117" t="str">
        <f t="shared" ca="1" si="20"/>
        <v/>
      </c>
      <c r="U188" s="163" t="str">
        <f t="shared" ca="1" si="21"/>
        <v/>
      </c>
      <c r="V188" s="164" t="str" cm="1">
        <f t="array" aca="1" ref="V188" ca="1">IF(AND($W188&gt;0,RegimeExecucao="Unitário"),$F188,"")</f>
        <v/>
      </c>
      <c r="W188" s="454" cm="1">
        <f t="array" aca="1" ref="W188" ca="1">IF($Y188&gt;0,CHOOSE(MATCH(RegimeExecucao,{"Unitário","Global"},0),IF($A188="S",$Y188/$X188,""),($Y188/$X188)*100),0)</f>
        <v>0</v>
      </c>
      <c r="X188" s="339" t="str" cm="1">
        <f t="array" aca="1" ref="X188" ca="1">IF($Y188&gt;0,CHOOSE(MATCH(RegimeExecucao,{"Unitário","Global"},0),IF($A188="S",ROUND($H188,ORÇAMENTO!$AF$10),""),ROUND($I188,ORÇAMENTO!$AF$11)),"")</f>
        <v/>
      </c>
      <c r="Y188" s="339">
        <f t="shared" ca="1" si="22"/>
        <v>0</v>
      </c>
      <c r="Z188" s="473"/>
      <c r="AB188" s="337"/>
      <c r="AC188" s="437"/>
      <c r="AD188" s="437"/>
      <c r="AE188" s="437"/>
      <c r="AF188" s="437"/>
      <c r="AG188" s="437"/>
      <c r="AH188" s="437"/>
      <c r="AI188" s="437"/>
      <c r="AJ188" s="437"/>
      <c r="AK188" s="437"/>
      <c r="AL188" s="437"/>
      <c r="AM188" s="338"/>
      <c r="AO188" cm="1">
        <f t="array" aca="1" ref="AO188" ca="1">IF($A188="S",IF(BM!$I188=0,0,CHOOSE(MATCH(RegimeExecucao,{"Global","Unitário"},0),ROUND(ROUND(BM.MEDAcumulado,15-13*BM!$A$9)/100*BM!$I188,15-13*ORÇAMENTO!$AF$11),ROUND(ROUND(BM.MEDAcumulado,15-13*BM!$A$9)*ROUND(BM!$H188,15-13*ORÇAMENTO!$AF$10),15-13*ORÇAMENTO!$AF$11))),IF($A188=0,0,ROUND(SomaAgrupBM,15-13*ORÇAMENTO!$AF$11)))</f>
        <v>0</v>
      </c>
    </row>
    <row r="189" spans="1:41" ht="25.5" x14ac:dyDescent="0.2">
      <c r="A189" t="str">
        <f ca="1">ORÇAMENTO!C189</f>
        <v>S</v>
      </c>
      <c r="B189">
        <f ca="1">ORÇAMENTO!D189</f>
        <v>0</v>
      </c>
      <c r="C189" s="114" t="str">
        <f t="shared" ca="1" si="16"/>
        <v/>
      </c>
      <c r="D189" s="117" t="str">
        <f ca="1">ORÇAMENTO!O189</f>
        <v>-</v>
      </c>
      <c r="E189" s="163" t="str">
        <f t="shared" ca="1" si="23"/>
        <v>(Código não identificado nas referências)</v>
      </c>
      <c r="F189" s="164" t="str" cm="1">
        <f t="array" aca="1" ref="F189" ca="1">IF(RegimeExecucao="Global","",ORÇAMENTO.Unidade)</f>
        <v/>
      </c>
      <c r="G189" s="122" t="str" cm="1">
        <f t="array" aca="1" ref="G189" ca="1">IF(RegimeExecucao="Global","",ORÇAMENTO!T189)</f>
        <v/>
      </c>
      <c r="H189" s="122" t="str" cm="1">
        <f t="array" aca="1" ref="H189" ca="1">IF(RegimeExecucao="Global","",ORÇAMENTO!W189)</f>
        <v/>
      </c>
      <c r="I189" s="125">
        <f ca="1">ORÇAMENTO!X189</f>
        <v>0</v>
      </c>
      <c r="J189" s="333" cm="1">
        <f t="array" aca="1" ref="J189" ca="1">IF($A189="S",IF(CAIXA.Modo,BM.AFAnterior,BM.MEDAnterior),IF(AND(RegimeExecucao="Global",$I189&gt;0,COUNTIF($AB$13:$AM$13,BM.medicao-1)&gt;0),M189/$I189*100,0))</f>
        <v>0</v>
      </c>
      <c r="K189" s="122">
        <f t="shared" ca="1" si="18"/>
        <v>0</v>
      </c>
      <c r="L189" s="334" cm="1">
        <f t="array" aca="1" ref="L189" ca="1">IF($A189="S",IF(CAIXA.Modo,BM.AFAcumulado,BM.MEDAcumulado),IF(AND(RegimeExecucao="Global",$I189&gt;0,COUNTIF($AB$13:$AM$13,BM.medicao)&gt;0),O189/$I189*100,0))</f>
        <v>0</v>
      </c>
      <c r="M189" s="335" cm="1">
        <f t="array" aca="1" ref="M189" ca="1">IF($A189="S",VTOTALBM,IF($A189=0,0,ROUND(SomaAgrupBM,15-13*ORÇAMENTO!$AF$11)))</f>
        <v>0</v>
      </c>
      <c r="N189" s="336">
        <f t="shared" ca="1" si="19"/>
        <v>0</v>
      </c>
      <c r="O189" s="125" cm="1">
        <f t="array" aca="1" ref="O189" ca="1">IF($A189="S",VTOTALBM,IF($A189=0,0,ROUND(SomaAgrupBM,15-13*ORÇAMENTO!$AF$11)))</f>
        <v>0</v>
      </c>
      <c r="Q189" s="337"/>
      <c r="R189" s="338"/>
      <c r="T189" s="117" t="str">
        <f t="shared" ca="1" si="20"/>
        <v/>
      </c>
      <c r="U189" s="163" t="str">
        <f t="shared" ca="1" si="21"/>
        <v/>
      </c>
      <c r="V189" s="164" t="str" cm="1">
        <f t="array" aca="1" ref="V189" ca="1">IF(AND($W189&gt;0,RegimeExecucao="Unitário"),$F189,"")</f>
        <v/>
      </c>
      <c r="W189" s="454" cm="1">
        <f t="array" aca="1" ref="W189" ca="1">IF($Y189&gt;0,CHOOSE(MATCH(RegimeExecucao,{"Unitário","Global"},0),IF($A189="S",$Y189/$X189,""),($Y189/$X189)*100),0)</f>
        <v>0</v>
      </c>
      <c r="X189" s="339" t="str" cm="1">
        <f t="array" aca="1" ref="X189" ca="1">IF($Y189&gt;0,CHOOSE(MATCH(RegimeExecucao,{"Unitário","Global"},0),IF($A189="S",ROUND($H189,ORÇAMENTO!$AF$10),""),ROUND($I189,ORÇAMENTO!$AF$11)),"")</f>
        <v/>
      </c>
      <c r="Y189" s="339">
        <f t="shared" ca="1" si="22"/>
        <v>0</v>
      </c>
      <c r="Z189" s="473"/>
      <c r="AB189" s="337"/>
      <c r="AC189" s="437"/>
      <c r="AD189" s="437"/>
      <c r="AE189" s="437"/>
      <c r="AF189" s="437"/>
      <c r="AG189" s="437"/>
      <c r="AH189" s="437"/>
      <c r="AI189" s="437"/>
      <c r="AJ189" s="437"/>
      <c r="AK189" s="437"/>
      <c r="AL189" s="437"/>
      <c r="AM189" s="338"/>
      <c r="AO189" cm="1">
        <f t="array" aca="1" ref="AO189" ca="1">IF($A189="S",IF(BM!$I189=0,0,CHOOSE(MATCH(RegimeExecucao,{"Global","Unitário"},0),ROUND(ROUND(BM.MEDAcumulado,15-13*BM!$A$9)/100*BM!$I189,15-13*ORÇAMENTO!$AF$11),ROUND(ROUND(BM.MEDAcumulado,15-13*BM!$A$9)*ROUND(BM!$H189,15-13*ORÇAMENTO!$AF$10),15-13*ORÇAMENTO!$AF$11))),IF($A189=0,0,ROUND(SomaAgrupBM,15-13*ORÇAMENTO!$AF$11)))</f>
        <v>0</v>
      </c>
    </row>
    <row r="190" spans="1:41" ht="25.5" x14ac:dyDescent="0.2">
      <c r="A190" t="str">
        <f ca="1">ORÇAMENTO!C190</f>
        <v>S</v>
      </c>
      <c r="B190">
        <f ca="1">ORÇAMENTO!D190</f>
        <v>0</v>
      </c>
      <c r="C190" s="114" t="str">
        <f t="shared" ca="1" si="16"/>
        <v/>
      </c>
      <c r="D190" s="117" t="str">
        <f ca="1">ORÇAMENTO!O190</f>
        <v>-</v>
      </c>
      <c r="E190" s="163" t="str">
        <f t="shared" ca="1" si="23"/>
        <v>(Código não identificado nas referências)</v>
      </c>
      <c r="F190" s="164" t="str" cm="1">
        <f t="array" aca="1" ref="F190" ca="1">IF(RegimeExecucao="Global","",ORÇAMENTO.Unidade)</f>
        <v/>
      </c>
      <c r="G190" s="122" t="str" cm="1">
        <f t="array" aca="1" ref="G190" ca="1">IF(RegimeExecucao="Global","",ORÇAMENTO!T190)</f>
        <v/>
      </c>
      <c r="H190" s="122" t="str" cm="1">
        <f t="array" aca="1" ref="H190" ca="1">IF(RegimeExecucao="Global","",ORÇAMENTO!W190)</f>
        <v/>
      </c>
      <c r="I190" s="125">
        <f ca="1">ORÇAMENTO!X190</f>
        <v>0</v>
      </c>
      <c r="J190" s="333" cm="1">
        <f t="array" aca="1" ref="J190" ca="1">IF($A190="S",IF(CAIXA.Modo,BM.AFAnterior,BM.MEDAnterior),IF(AND(RegimeExecucao="Global",$I190&gt;0,COUNTIF($AB$13:$AM$13,BM.medicao-1)&gt;0),M190/$I190*100,0))</f>
        <v>0</v>
      </c>
      <c r="K190" s="122">
        <f t="shared" ca="1" si="18"/>
        <v>0</v>
      </c>
      <c r="L190" s="334" cm="1">
        <f t="array" aca="1" ref="L190" ca="1">IF($A190="S",IF(CAIXA.Modo,BM.AFAcumulado,BM.MEDAcumulado),IF(AND(RegimeExecucao="Global",$I190&gt;0,COUNTIF($AB$13:$AM$13,BM.medicao)&gt;0),O190/$I190*100,0))</f>
        <v>0</v>
      </c>
      <c r="M190" s="335" cm="1">
        <f t="array" aca="1" ref="M190" ca="1">IF($A190="S",VTOTALBM,IF($A190=0,0,ROUND(SomaAgrupBM,15-13*ORÇAMENTO!$AF$11)))</f>
        <v>0</v>
      </c>
      <c r="N190" s="336">
        <f t="shared" ca="1" si="19"/>
        <v>0</v>
      </c>
      <c r="O190" s="125" cm="1">
        <f t="array" aca="1" ref="O190" ca="1">IF($A190="S",VTOTALBM,IF($A190=0,0,ROUND(SomaAgrupBM,15-13*ORÇAMENTO!$AF$11)))</f>
        <v>0</v>
      </c>
      <c r="Q190" s="337"/>
      <c r="R190" s="338"/>
      <c r="T190" s="117" t="str">
        <f t="shared" ca="1" si="20"/>
        <v/>
      </c>
      <c r="U190" s="163" t="str">
        <f t="shared" ca="1" si="21"/>
        <v/>
      </c>
      <c r="V190" s="164" t="str" cm="1">
        <f t="array" aca="1" ref="V190" ca="1">IF(AND($W190&gt;0,RegimeExecucao="Unitário"),$F190,"")</f>
        <v/>
      </c>
      <c r="W190" s="454" cm="1">
        <f t="array" aca="1" ref="W190" ca="1">IF($Y190&gt;0,CHOOSE(MATCH(RegimeExecucao,{"Unitário","Global"},0),IF($A190="S",$Y190/$X190,""),($Y190/$X190)*100),0)</f>
        <v>0</v>
      </c>
      <c r="X190" s="339" t="str" cm="1">
        <f t="array" aca="1" ref="X190" ca="1">IF($Y190&gt;0,CHOOSE(MATCH(RegimeExecucao,{"Unitário","Global"},0),IF($A190="S",ROUND($H190,ORÇAMENTO!$AF$10),""),ROUND($I190,ORÇAMENTO!$AF$11)),"")</f>
        <v/>
      </c>
      <c r="Y190" s="339">
        <f t="shared" ca="1" si="22"/>
        <v>0</v>
      </c>
      <c r="Z190" s="473"/>
      <c r="AB190" s="337"/>
      <c r="AC190" s="437"/>
      <c r="AD190" s="437"/>
      <c r="AE190" s="437"/>
      <c r="AF190" s="437"/>
      <c r="AG190" s="437"/>
      <c r="AH190" s="437"/>
      <c r="AI190" s="437"/>
      <c r="AJ190" s="437"/>
      <c r="AK190" s="437"/>
      <c r="AL190" s="437"/>
      <c r="AM190" s="338"/>
      <c r="AO190" cm="1">
        <f t="array" aca="1" ref="AO190" ca="1">IF($A190="S",IF(BM!$I190=0,0,CHOOSE(MATCH(RegimeExecucao,{"Global","Unitário"},0),ROUND(ROUND(BM.MEDAcumulado,15-13*BM!$A$9)/100*BM!$I190,15-13*ORÇAMENTO!$AF$11),ROUND(ROUND(BM.MEDAcumulado,15-13*BM!$A$9)*ROUND(BM!$H190,15-13*ORÇAMENTO!$AF$10),15-13*ORÇAMENTO!$AF$11))),IF($A190=0,0,ROUND(SomaAgrupBM,15-13*ORÇAMENTO!$AF$11)))</f>
        <v>0</v>
      </c>
    </row>
    <row r="191" spans="1:41" ht="25.5" x14ac:dyDescent="0.2">
      <c r="A191" t="str">
        <f ca="1">ORÇAMENTO!C191</f>
        <v>S</v>
      </c>
      <c r="B191">
        <f ca="1">ORÇAMENTO!D191</f>
        <v>0</v>
      </c>
      <c r="C191" s="114" t="str">
        <f t="shared" ca="1" si="16"/>
        <v/>
      </c>
      <c r="D191" s="117" t="str">
        <f ca="1">ORÇAMENTO!O191</f>
        <v>-</v>
      </c>
      <c r="E191" s="163" t="str">
        <f t="shared" ca="1" si="23"/>
        <v>(Código não identificado nas referências)</v>
      </c>
      <c r="F191" s="164" t="str" cm="1">
        <f t="array" aca="1" ref="F191" ca="1">IF(RegimeExecucao="Global","",ORÇAMENTO.Unidade)</f>
        <v/>
      </c>
      <c r="G191" s="122" t="str" cm="1">
        <f t="array" aca="1" ref="G191" ca="1">IF(RegimeExecucao="Global","",ORÇAMENTO!T191)</f>
        <v/>
      </c>
      <c r="H191" s="122" t="str" cm="1">
        <f t="array" aca="1" ref="H191" ca="1">IF(RegimeExecucao="Global","",ORÇAMENTO!W191)</f>
        <v/>
      </c>
      <c r="I191" s="125">
        <f ca="1">ORÇAMENTO!X191</f>
        <v>0</v>
      </c>
      <c r="J191" s="333" cm="1">
        <f t="array" aca="1" ref="J191" ca="1">IF($A191="S",IF(CAIXA.Modo,BM.AFAnterior,BM.MEDAnterior),IF(AND(RegimeExecucao="Global",$I191&gt;0,COUNTIF($AB$13:$AM$13,BM.medicao-1)&gt;0),M191/$I191*100,0))</f>
        <v>0</v>
      </c>
      <c r="K191" s="122">
        <f t="shared" ca="1" si="18"/>
        <v>0</v>
      </c>
      <c r="L191" s="334" cm="1">
        <f t="array" aca="1" ref="L191" ca="1">IF($A191="S",IF(CAIXA.Modo,BM.AFAcumulado,BM.MEDAcumulado),IF(AND(RegimeExecucao="Global",$I191&gt;0,COUNTIF($AB$13:$AM$13,BM.medicao)&gt;0),O191/$I191*100,0))</f>
        <v>0</v>
      </c>
      <c r="M191" s="335" cm="1">
        <f t="array" aca="1" ref="M191" ca="1">IF($A191="S",VTOTALBM,IF($A191=0,0,ROUND(SomaAgrupBM,15-13*ORÇAMENTO!$AF$11)))</f>
        <v>0</v>
      </c>
      <c r="N191" s="336">
        <f t="shared" ca="1" si="19"/>
        <v>0</v>
      </c>
      <c r="O191" s="125" cm="1">
        <f t="array" aca="1" ref="O191" ca="1">IF($A191="S",VTOTALBM,IF($A191=0,0,ROUND(SomaAgrupBM,15-13*ORÇAMENTO!$AF$11)))</f>
        <v>0</v>
      </c>
      <c r="Q191" s="337"/>
      <c r="R191" s="338"/>
      <c r="T191" s="117" t="str">
        <f t="shared" ca="1" si="20"/>
        <v/>
      </c>
      <c r="U191" s="163" t="str">
        <f t="shared" ca="1" si="21"/>
        <v/>
      </c>
      <c r="V191" s="164" t="str" cm="1">
        <f t="array" aca="1" ref="V191" ca="1">IF(AND($W191&gt;0,RegimeExecucao="Unitário"),$F191,"")</f>
        <v/>
      </c>
      <c r="W191" s="454" cm="1">
        <f t="array" aca="1" ref="W191" ca="1">IF($Y191&gt;0,CHOOSE(MATCH(RegimeExecucao,{"Unitário","Global"},0),IF($A191="S",$Y191/$X191,""),($Y191/$X191)*100),0)</f>
        <v>0</v>
      </c>
      <c r="X191" s="339" t="str" cm="1">
        <f t="array" aca="1" ref="X191" ca="1">IF($Y191&gt;0,CHOOSE(MATCH(RegimeExecucao,{"Unitário","Global"},0),IF($A191="S",ROUND($H191,ORÇAMENTO!$AF$10),""),ROUND($I191,ORÇAMENTO!$AF$11)),"")</f>
        <v/>
      </c>
      <c r="Y191" s="339">
        <f t="shared" ca="1" si="22"/>
        <v>0</v>
      </c>
      <c r="Z191" s="473"/>
      <c r="AB191" s="337"/>
      <c r="AC191" s="437"/>
      <c r="AD191" s="437"/>
      <c r="AE191" s="437"/>
      <c r="AF191" s="437"/>
      <c r="AG191" s="437"/>
      <c r="AH191" s="437"/>
      <c r="AI191" s="437"/>
      <c r="AJ191" s="437"/>
      <c r="AK191" s="437"/>
      <c r="AL191" s="437"/>
      <c r="AM191" s="338"/>
      <c r="AO191" cm="1">
        <f t="array" aca="1" ref="AO191" ca="1">IF($A191="S",IF(BM!$I191=0,0,CHOOSE(MATCH(RegimeExecucao,{"Global","Unitário"},0),ROUND(ROUND(BM.MEDAcumulado,15-13*BM!$A$9)/100*BM!$I191,15-13*ORÇAMENTO!$AF$11),ROUND(ROUND(BM.MEDAcumulado,15-13*BM!$A$9)*ROUND(BM!$H191,15-13*ORÇAMENTO!$AF$10),15-13*ORÇAMENTO!$AF$11))),IF($A191=0,0,ROUND(SomaAgrupBM,15-13*ORÇAMENTO!$AF$11)))</f>
        <v>0</v>
      </c>
    </row>
    <row r="192" spans="1:41" ht="38.25" x14ac:dyDescent="0.2">
      <c r="A192" t="str">
        <f ca="1">ORÇAMENTO!C192</f>
        <v>S</v>
      </c>
      <c r="B192">
        <f ca="1">ORÇAMENTO!D192</f>
        <v>0</v>
      </c>
      <c r="C192" s="114" t="str">
        <f t="shared" ca="1" si="16"/>
        <v/>
      </c>
      <c r="D192" s="117" t="str">
        <f ca="1">ORÇAMENTO!O192</f>
        <v>-</v>
      </c>
      <c r="E192" s="163" t="str">
        <f t="shared" ca="1" si="23"/>
        <v>(Código não identificado nas referências)</v>
      </c>
      <c r="F192" s="164" t="str" cm="1">
        <f t="array" aca="1" ref="F192" ca="1">IF(RegimeExecucao="Global","",ORÇAMENTO.Unidade)</f>
        <v/>
      </c>
      <c r="G192" s="122" t="str" cm="1">
        <f t="array" aca="1" ref="G192" ca="1">IF(RegimeExecucao="Global","",ORÇAMENTO!T192)</f>
        <v/>
      </c>
      <c r="H192" s="122" t="str" cm="1">
        <f t="array" aca="1" ref="H192" ca="1">IF(RegimeExecucao="Global","",ORÇAMENTO!W192)</f>
        <v/>
      </c>
      <c r="I192" s="125">
        <f ca="1">ORÇAMENTO!X192</f>
        <v>0</v>
      </c>
      <c r="J192" s="333" cm="1">
        <f t="array" aca="1" ref="J192" ca="1">IF($A192="S",IF(CAIXA.Modo,BM.AFAnterior,BM.MEDAnterior),IF(AND(RegimeExecucao="Global",$I192&gt;0,COUNTIF($AB$13:$AM$13,BM.medicao-1)&gt;0),M192/$I192*100,0))</f>
        <v>0</v>
      </c>
      <c r="K192" s="122">
        <f t="shared" ca="1" si="18"/>
        <v>0</v>
      </c>
      <c r="L192" s="334" cm="1">
        <f t="array" aca="1" ref="L192" ca="1">IF($A192="S",IF(CAIXA.Modo,BM.AFAcumulado,BM.MEDAcumulado),IF(AND(RegimeExecucao="Global",$I192&gt;0,COUNTIF($AB$13:$AM$13,BM.medicao)&gt;0),O192/$I192*100,0))</f>
        <v>0</v>
      </c>
      <c r="M192" s="335" cm="1">
        <f t="array" aca="1" ref="M192" ca="1">IF($A192="S",VTOTALBM,IF($A192=0,0,ROUND(SomaAgrupBM,15-13*ORÇAMENTO!$AF$11)))</f>
        <v>0</v>
      </c>
      <c r="N192" s="336">
        <f t="shared" ca="1" si="19"/>
        <v>0</v>
      </c>
      <c r="O192" s="125" cm="1">
        <f t="array" aca="1" ref="O192" ca="1">IF($A192="S",VTOTALBM,IF($A192=0,0,ROUND(SomaAgrupBM,15-13*ORÇAMENTO!$AF$11)))</f>
        <v>0</v>
      </c>
      <c r="Q192" s="337"/>
      <c r="R192" s="338"/>
      <c r="T192" s="117" t="str">
        <f t="shared" ca="1" si="20"/>
        <v/>
      </c>
      <c r="U192" s="163" t="str">
        <f t="shared" ca="1" si="21"/>
        <v/>
      </c>
      <c r="V192" s="164" t="str" cm="1">
        <f t="array" aca="1" ref="V192" ca="1">IF(AND($W192&gt;0,RegimeExecucao="Unitário"),$F192,"")</f>
        <v/>
      </c>
      <c r="W192" s="454" cm="1">
        <f t="array" aca="1" ref="W192" ca="1">IF($Y192&gt;0,CHOOSE(MATCH(RegimeExecucao,{"Unitário","Global"},0),IF($A192="S",$Y192/$X192,""),($Y192/$X192)*100),0)</f>
        <v>0</v>
      </c>
      <c r="X192" s="339" t="str" cm="1">
        <f t="array" aca="1" ref="X192" ca="1">IF($Y192&gt;0,CHOOSE(MATCH(RegimeExecucao,{"Unitário","Global"},0),IF($A192="S",ROUND($H192,ORÇAMENTO!$AF$10),""),ROUND($I192,ORÇAMENTO!$AF$11)),"")</f>
        <v/>
      </c>
      <c r="Y192" s="339">
        <f t="shared" ca="1" si="22"/>
        <v>0</v>
      </c>
      <c r="Z192" s="473"/>
      <c r="AB192" s="337"/>
      <c r="AC192" s="437"/>
      <c r="AD192" s="437"/>
      <c r="AE192" s="437"/>
      <c r="AF192" s="437"/>
      <c r="AG192" s="437"/>
      <c r="AH192" s="437"/>
      <c r="AI192" s="437"/>
      <c r="AJ192" s="437"/>
      <c r="AK192" s="437"/>
      <c r="AL192" s="437"/>
      <c r="AM192" s="338"/>
      <c r="AO192" cm="1">
        <f t="array" aca="1" ref="AO192" ca="1">IF($A192="S",IF(BM!$I192=0,0,CHOOSE(MATCH(RegimeExecucao,{"Global","Unitário"},0),ROUND(ROUND(BM.MEDAcumulado,15-13*BM!$A$9)/100*BM!$I192,15-13*ORÇAMENTO!$AF$11),ROUND(ROUND(BM.MEDAcumulado,15-13*BM!$A$9)*ROUND(BM!$H192,15-13*ORÇAMENTO!$AF$10),15-13*ORÇAMENTO!$AF$11))),IF($A192=0,0,ROUND(SomaAgrupBM,15-13*ORÇAMENTO!$AF$11)))</f>
        <v>0</v>
      </c>
    </row>
    <row r="193" spans="1:41" ht="38.25" x14ac:dyDescent="0.2">
      <c r="A193" t="str">
        <f ca="1">ORÇAMENTO!C193</f>
        <v>S</v>
      </c>
      <c r="B193">
        <f ca="1">ORÇAMENTO!D193</f>
        <v>0</v>
      </c>
      <c r="C193" s="114" t="str">
        <f t="shared" ca="1" si="16"/>
        <v/>
      </c>
      <c r="D193" s="117" t="str">
        <f ca="1">ORÇAMENTO!O193</f>
        <v>-</v>
      </c>
      <c r="E193" s="163" t="str">
        <f t="shared" ca="1" si="23"/>
        <v>(Código não identificado nas referências)</v>
      </c>
      <c r="F193" s="164" t="str" cm="1">
        <f t="array" aca="1" ref="F193" ca="1">IF(RegimeExecucao="Global","",ORÇAMENTO.Unidade)</f>
        <v/>
      </c>
      <c r="G193" s="122" t="str" cm="1">
        <f t="array" aca="1" ref="G193" ca="1">IF(RegimeExecucao="Global","",ORÇAMENTO!T193)</f>
        <v/>
      </c>
      <c r="H193" s="122" t="str" cm="1">
        <f t="array" aca="1" ref="H193" ca="1">IF(RegimeExecucao="Global","",ORÇAMENTO!W193)</f>
        <v/>
      </c>
      <c r="I193" s="125">
        <f ca="1">ORÇAMENTO!X193</f>
        <v>0</v>
      </c>
      <c r="J193" s="333" cm="1">
        <f t="array" aca="1" ref="J193" ca="1">IF($A193="S",IF(CAIXA.Modo,BM.AFAnterior,BM.MEDAnterior),IF(AND(RegimeExecucao="Global",$I193&gt;0,COUNTIF($AB$13:$AM$13,BM.medicao-1)&gt;0),M193/$I193*100,0))</f>
        <v>0</v>
      </c>
      <c r="K193" s="122">
        <f t="shared" ca="1" si="18"/>
        <v>0</v>
      </c>
      <c r="L193" s="334" cm="1">
        <f t="array" aca="1" ref="L193" ca="1">IF($A193="S",IF(CAIXA.Modo,BM.AFAcumulado,BM.MEDAcumulado),IF(AND(RegimeExecucao="Global",$I193&gt;0,COUNTIF($AB$13:$AM$13,BM.medicao)&gt;0),O193/$I193*100,0))</f>
        <v>0</v>
      </c>
      <c r="M193" s="335" cm="1">
        <f t="array" aca="1" ref="M193" ca="1">IF($A193="S",VTOTALBM,IF($A193=0,0,ROUND(SomaAgrupBM,15-13*ORÇAMENTO!$AF$11)))</f>
        <v>0</v>
      </c>
      <c r="N193" s="336">
        <f t="shared" ca="1" si="19"/>
        <v>0</v>
      </c>
      <c r="O193" s="125" cm="1">
        <f t="array" aca="1" ref="O193" ca="1">IF($A193="S",VTOTALBM,IF($A193=0,0,ROUND(SomaAgrupBM,15-13*ORÇAMENTO!$AF$11)))</f>
        <v>0</v>
      </c>
      <c r="Q193" s="337"/>
      <c r="R193" s="338"/>
      <c r="T193" s="117" t="str">
        <f t="shared" ca="1" si="20"/>
        <v/>
      </c>
      <c r="U193" s="163" t="str">
        <f t="shared" ca="1" si="21"/>
        <v/>
      </c>
      <c r="V193" s="164" t="str" cm="1">
        <f t="array" aca="1" ref="V193" ca="1">IF(AND($W193&gt;0,RegimeExecucao="Unitário"),$F193,"")</f>
        <v/>
      </c>
      <c r="W193" s="454" cm="1">
        <f t="array" aca="1" ref="W193" ca="1">IF($Y193&gt;0,CHOOSE(MATCH(RegimeExecucao,{"Unitário","Global"},0),IF($A193="S",$Y193/$X193,""),($Y193/$X193)*100),0)</f>
        <v>0</v>
      </c>
      <c r="X193" s="339" t="str" cm="1">
        <f t="array" aca="1" ref="X193" ca="1">IF($Y193&gt;0,CHOOSE(MATCH(RegimeExecucao,{"Unitário","Global"},0),IF($A193="S",ROUND($H193,ORÇAMENTO!$AF$10),""),ROUND($I193,ORÇAMENTO!$AF$11)),"")</f>
        <v/>
      </c>
      <c r="Y193" s="339">
        <f t="shared" ca="1" si="22"/>
        <v>0</v>
      </c>
      <c r="Z193" s="473"/>
      <c r="AB193" s="337"/>
      <c r="AC193" s="437"/>
      <c r="AD193" s="437"/>
      <c r="AE193" s="437"/>
      <c r="AF193" s="437"/>
      <c r="AG193" s="437"/>
      <c r="AH193" s="437"/>
      <c r="AI193" s="437"/>
      <c r="AJ193" s="437"/>
      <c r="AK193" s="437"/>
      <c r="AL193" s="437"/>
      <c r="AM193" s="338"/>
      <c r="AO193" cm="1">
        <f t="array" aca="1" ref="AO193" ca="1">IF($A193="S",IF(BM!$I193=0,0,CHOOSE(MATCH(RegimeExecucao,{"Global","Unitário"},0),ROUND(ROUND(BM.MEDAcumulado,15-13*BM!$A$9)/100*BM!$I193,15-13*ORÇAMENTO!$AF$11),ROUND(ROUND(BM.MEDAcumulado,15-13*BM!$A$9)*ROUND(BM!$H193,15-13*ORÇAMENTO!$AF$10),15-13*ORÇAMENTO!$AF$11))),IF($A193=0,0,ROUND(SomaAgrupBM,15-13*ORÇAMENTO!$AF$11)))</f>
        <v>0</v>
      </c>
    </row>
    <row r="194" spans="1:41" ht="25.5" x14ac:dyDescent="0.2">
      <c r="A194" t="str">
        <f ca="1">ORÇAMENTO!C194</f>
        <v>S</v>
      </c>
      <c r="B194">
        <f ca="1">ORÇAMENTO!D194</f>
        <v>0</v>
      </c>
      <c r="C194" s="114" t="str">
        <f t="shared" ca="1" si="16"/>
        <v/>
      </c>
      <c r="D194" s="117" t="str">
        <f ca="1">ORÇAMENTO!O194</f>
        <v>-</v>
      </c>
      <c r="E194" s="163" t="str">
        <f t="shared" ca="1" si="23"/>
        <v>(Código não identificado nas referências)</v>
      </c>
      <c r="F194" s="164" t="str" cm="1">
        <f t="array" aca="1" ref="F194" ca="1">IF(RegimeExecucao="Global","",ORÇAMENTO.Unidade)</f>
        <v/>
      </c>
      <c r="G194" s="122" t="str" cm="1">
        <f t="array" aca="1" ref="G194" ca="1">IF(RegimeExecucao="Global","",ORÇAMENTO!T194)</f>
        <v/>
      </c>
      <c r="H194" s="122" t="str" cm="1">
        <f t="array" aca="1" ref="H194" ca="1">IF(RegimeExecucao="Global","",ORÇAMENTO!W194)</f>
        <v/>
      </c>
      <c r="I194" s="125">
        <f ca="1">ORÇAMENTO!X194</f>
        <v>0</v>
      </c>
      <c r="J194" s="333" cm="1">
        <f t="array" aca="1" ref="J194" ca="1">IF($A194="S",IF(CAIXA.Modo,BM.AFAnterior,BM.MEDAnterior),IF(AND(RegimeExecucao="Global",$I194&gt;0,COUNTIF($AB$13:$AM$13,BM.medicao-1)&gt;0),M194/$I194*100,0))</f>
        <v>0</v>
      </c>
      <c r="K194" s="122">
        <f t="shared" ca="1" si="18"/>
        <v>0</v>
      </c>
      <c r="L194" s="334" cm="1">
        <f t="array" aca="1" ref="L194" ca="1">IF($A194="S",IF(CAIXA.Modo,BM.AFAcumulado,BM.MEDAcumulado),IF(AND(RegimeExecucao="Global",$I194&gt;0,COUNTIF($AB$13:$AM$13,BM.medicao)&gt;0),O194/$I194*100,0))</f>
        <v>0</v>
      </c>
      <c r="M194" s="335" cm="1">
        <f t="array" aca="1" ref="M194" ca="1">IF($A194="S",VTOTALBM,IF($A194=0,0,ROUND(SomaAgrupBM,15-13*ORÇAMENTO!$AF$11)))</f>
        <v>0</v>
      </c>
      <c r="N194" s="336">
        <f t="shared" ca="1" si="19"/>
        <v>0</v>
      </c>
      <c r="O194" s="125" cm="1">
        <f t="array" aca="1" ref="O194" ca="1">IF($A194="S",VTOTALBM,IF($A194=0,0,ROUND(SomaAgrupBM,15-13*ORÇAMENTO!$AF$11)))</f>
        <v>0</v>
      </c>
      <c r="Q194" s="337"/>
      <c r="R194" s="338"/>
      <c r="T194" s="117" t="str">
        <f t="shared" ca="1" si="20"/>
        <v/>
      </c>
      <c r="U194" s="163" t="str">
        <f t="shared" ca="1" si="21"/>
        <v/>
      </c>
      <c r="V194" s="164" t="str" cm="1">
        <f t="array" aca="1" ref="V194" ca="1">IF(AND($W194&gt;0,RegimeExecucao="Unitário"),$F194,"")</f>
        <v/>
      </c>
      <c r="W194" s="454" cm="1">
        <f t="array" aca="1" ref="W194" ca="1">IF($Y194&gt;0,CHOOSE(MATCH(RegimeExecucao,{"Unitário","Global"},0),IF($A194="S",$Y194/$X194,""),($Y194/$X194)*100),0)</f>
        <v>0</v>
      </c>
      <c r="X194" s="339" t="str" cm="1">
        <f t="array" aca="1" ref="X194" ca="1">IF($Y194&gt;0,CHOOSE(MATCH(RegimeExecucao,{"Unitário","Global"},0),IF($A194="S",ROUND($H194,ORÇAMENTO!$AF$10),""),ROUND($I194,ORÇAMENTO!$AF$11)),"")</f>
        <v/>
      </c>
      <c r="Y194" s="339">
        <f t="shared" ca="1" si="22"/>
        <v>0</v>
      </c>
      <c r="Z194" s="473"/>
      <c r="AB194" s="337"/>
      <c r="AC194" s="437"/>
      <c r="AD194" s="437"/>
      <c r="AE194" s="437"/>
      <c r="AF194" s="437"/>
      <c r="AG194" s="437"/>
      <c r="AH194" s="437"/>
      <c r="AI194" s="437"/>
      <c r="AJ194" s="437"/>
      <c r="AK194" s="437"/>
      <c r="AL194" s="437"/>
      <c r="AM194" s="338"/>
      <c r="AO194" cm="1">
        <f t="array" aca="1" ref="AO194" ca="1">IF($A194="S",IF(BM!$I194=0,0,CHOOSE(MATCH(RegimeExecucao,{"Global","Unitário"},0),ROUND(ROUND(BM.MEDAcumulado,15-13*BM!$A$9)/100*BM!$I194,15-13*ORÇAMENTO!$AF$11),ROUND(ROUND(BM.MEDAcumulado,15-13*BM!$A$9)*ROUND(BM!$H194,15-13*ORÇAMENTO!$AF$10),15-13*ORÇAMENTO!$AF$11))),IF($A194=0,0,ROUND(SomaAgrupBM,15-13*ORÇAMENTO!$AF$11)))</f>
        <v>0</v>
      </c>
    </row>
    <row r="195" spans="1:41" ht="38.25" x14ac:dyDescent="0.2">
      <c r="A195" t="str">
        <f ca="1">ORÇAMENTO!C195</f>
        <v>S</v>
      </c>
      <c r="B195">
        <f ca="1">ORÇAMENTO!D195</f>
        <v>0</v>
      </c>
      <c r="C195" s="114" t="str">
        <f t="shared" ca="1" si="16"/>
        <v/>
      </c>
      <c r="D195" s="117" t="str">
        <f ca="1">ORÇAMENTO!O195</f>
        <v>-</v>
      </c>
      <c r="E195" s="163" t="str">
        <f t="shared" ca="1" si="23"/>
        <v>(Código não identificado nas referências)</v>
      </c>
      <c r="F195" s="164" t="str" cm="1">
        <f t="array" aca="1" ref="F195" ca="1">IF(RegimeExecucao="Global","",ORÇAMENTO.Unidade)</f>
        <v/>
      </c>
      <c r="G195" s="122" t="str" cm="1">
        <f t="array" aca="1" ref="G195" ca="1">IF(RegimeExecucao="Global","",ORÇAMENTO!T195)</f>
        <v/>
      </c>
      <c r="H195" s="122" t="str" cm="1">
        <f t="array" aca="1" ref="H195" ca="1">IF(RegimeExecucao="Global","",ORÇAMENTO!W195)</f>
        <v/>
      </c>
      <c r="I195" s="125">
        <f ca="1">ORÇAMENTO!X195</f>
        <v>0</v>
      </c>
      <c r="J195" s="333" cm="1">
        <f t="array" aca="1" ref="J195" ca="1">IF($A195="S",IF(CAIXA.Modo,BM.AFAnterior,BM.MEDAnterior),IF(AND(RegimeExecucao="Global",$I195&gt;0,COUNTIF($AB$13:$AM$13,BM.medicao-1)&gt;0),M195/$I195*100,0))</f>
        <v>0</v>
      </c>
      <c r="K195" s="122">
        <f t="shared" ca="1" si="18"/>
        <v>0</v>
      </c>
      <c r="L195" s="334" cm="1">
        <f t="array" aca="1" ref="L195" ca="1">IF($A195="S",IF(CAIXA.Modo,BM.AFAcumulado,BM.MEDAcumulado),IF(AND(RegimeExecucao="Global",$I195&gt;0,COUNTIF($AB$13:$AM$13,BM.medicao)&gt;0),O195/$I195*100,0))</f>
        <v>0</v>
      </c>
      <c r="M195" s="335" cm="1">
        <f t="array" aca="1" ref="M195" ca="1">IF($A195="S",VTOTALBM,IF($A195=0,0,ROUND(SomaAgrupBM,15-13*ORÇAMENTO!$AF$11)))</f>
        <v>0</v>
      </c>
      <c r="N195" s="336">
        <f t="shared" ca="1" si="19"/>
        <v>0</v>
      </c>
      <c r="O195" s="125" cm="1">
        <f t="array" aca="1" ref="O195" ca="1">IF($A195="S",VTOTALBM,IF($A195=0,0,ROUND(SomaAgrupBM,15-13*ORÇAMENTO!$AF$11)))</f>
        <v>0</v>
      </c>
      <c r="Q195" s="337"/>
      <c r="R195" s="338"/>
      <c r="T195" s="117" t="str">
        <f t="shared" ca="1" si="20"/>
        <v/>
      </c>
      <c r="U195" s="163" t="str">
        <f t="shared" ca="1" si="21"/>
        <v/>
      </c>
      <c r="V195" s="164" t="str" cm="1">
        <f t="array" aca="1" ref="V195" ca="1">IF(AND($W195&gt;0,RegimeExecucao="Unitário"),$F195,"")</f>
        <v/>
      </c>
      <c r="W195" s="454" cm="1">
        <f t="array" aca="1" ref="W195" ca="1">IF($Y195&gt;0,CHOOSE(MATCH(RegimeExecucao,{"Unitário","Global"},0),IF($A195="S",$Y195/$X195,""),($Y195/$X195)*100),0)</f>
        <v>0</v>
      </c>
      <c r="X195" s="339" t="str" cm="1">
        <f t="array" aca="1" ref="X195" ca="1">IF($Y195&gt;0,CHOOSE(MATCH(RegimeExecucao,{"Unitário","Global"},0),IF($A195="S",ROUND($H195,ORÇAMENTO!$AF$10),""),ROUND($I195,ORÇAMENTO!$AF$11)),"")</f>
        <v/>
      </c>
      <c r="Y195" s="339">
        <f t="shared" ca="1" si="22"/>
        <v>0</v>
      </c>
      <c r="Z195" s="473"/>
      <c r="AB195" s="337"/>
      <c r="AC195" s="437"/>
      <c r="AD195" s="437"/>
      <c r="AE195" s="437"/>
      <c r="AF195" s="437"/>
      <c r="AG195" s="437"/>
      <c r="AH195" s="437"/>
      <c r="AI195" s="437"/>
      <c r="AJ195" s="437"/>
      <c r="AK195" s="437"/>
      <c r="AL195" s="437"/>
      <c r="AM195" s="338"/>
      <c r="AO195" cm="1">
        <f t="array" aca="1" ref="AO195" ca="1">IF($A195="S",IF(BM!$I195=0,0,CHOOSE(MATCH(RegimeExecucao,{"Global","Unitário"},0),ROUND(ROUND(BM.MEDAcumulado,15-13*BM!$A$9)/100*BM!$I195,15-13*ORÇAMENTO!$AF$11),ROUND(ROUND(BM.MEDAcumulado,15-13*BM!$A$9)*ROUND(BM!$H195,15-13*ORÇAMENTO!$AF$10),15-13*ORÇAMENTO!$AF$11))),IF($A195=0,0,ROUND(SomaAgrupBM,15-13*ORÇAMENTO!$AF$11)))</f>
        <v>0</v>
      </c>
    </row>
    <row r="196" spans="1:41" ht="38.25" x14ac:dyDescent="0.2">
      <c r="A196" t="str">
        <f ca="1">ORÇAMENTO!C196</f>
        <v>S</v>
      </c>
      <c r="B196">
        <f ca="1">ORÇAMENTO!D196</f>
        <v>0</v>
      </c>
      <c r="C196" s="114" t="str">
        <f t="shared" ca="1" si="16"/>
        <v/>
      </c>
      <c r="D196" s="117" t="str">
        <f ca="1">ORÇAMENTO!O196</f>
        <v>-</v>
      </c>
      <c r="E196" s="163" t="str">
        <f t="shared" ca="1" si="23"/>
        <v>(Código não identificado nas referências)</v>
      </c>
      <c r="F196" s="164" t="str" cm="1">
        <f t="array" aca="1" ref="F196" ca="1">IF(RegimeExecucao="Global","",ORÇAMENTO.Unidade)</f>
        <v/>
      </c>
      <c r="G196" s="122" t="str" cm="1">
        <f t="array" aca="1" ref="G196" ca="1">IF(RegimeExecucao="Global","",ORÇAMENTO!T196)</f>
        <v/>
      </c>
      <c r="H196" s="122" t="str" cm="1">
        <f t="array" aca="1" ref="H196" ca="1">IF(RegimeExecucao="Global","",ORÇAMENTO!W196)</f>
        <v/>
      </c>
      <c r="I196" s="125">
        <f ca="1">ORÇAMENTO!X196</f>
        <v>0</v>
      </c>
      <c r="J196" s="333" cm="1">
        <f t="array" aca="1" ref="J196" ca="1">IF($A196="S",IF(CAIXA.Modo,BM.AFAnterior,BM.MEDAnterior),IF(AND(RegimeExecucao="Global",$I196&gt;0,COUNTIF($AB$13:$AM$13,BM.medicao-1)&gt;0),M196/$I196*100,0))</f>
        <v>0</v>
      </c>
      <c r="K196" s="122">
        <f t="shared" ca="1" si="18"/>
        <v>0</v>
      </c>
      <c r="L196" s="334" cm="1">
        <f t="array" aca="1" ref="L196" ca="1">IF($A196="S",IF(CAIXA.Modo,BM.AFAcumulado,BM.MEDAcumulado),IF(AND(RegimeExecucao="Global",$I196&gt;0,COUNTIF($AB$13:$AM$13,BM.medicao)&gt;0),O196/$I196*100,0))</f>
        <v>0</v>
      </c>
      <c r="M196" s="335" cm="1">
        <f t="array" aca="1" ref="M196" ca="1">IF($A196="S",VTOTALBM,IF($A196=0,0,ROUND(SomaAgrupBM,15-13*ORÇAMENTO!$AF$11)))</f>
        <v>0</v>
      </c>
      <c r="N196" s="336">
        <f t="shared" ca="1" si="19"/>
        <v>0</v>
      </c>
      <c r="O196" s="125" cm="1">
        <f t="array" aca="1" ref="O196" ca="1">IF($A196="S",VTOTALBM,IF($A196=0,0,ROUND(SomaAgrupBM,15-13*ORÇAMENTO!$AF$11)))</f>
        <v>0</v>
      </c>
      <c r="Q196" s="337"/>
      <c r="R196" s="338"/>
      <c r="T196" s="117" t="str">
        <f t="shared" ca="1" si="20"/>
        <v/>
      </c>
      <c r="U196" s="163" t="str">
        <f t="shared" ca="1" si="21"/>
        <v/>
      </c>
      <c r="V196" s="164" t="str" cm="1">
        <f t="array" aca="1" ref="V196" ca="1">IF(AND($W196&gt;0,RegimeExecucao="Unitário"),$F196,"")</f>
        <v/>
      </c>
      <c r="W196" s="454" cm="1">
        <f t="array" aca="1" ref="W196" ca="1">IF($Y196&gt;0,CHOOSE(MATCH(RegimeExecucao,{"Unitário","Global"},0),IF($A196="S",$Y196/$X196,""),($Y196/$X196)*100),0)</f>
        <v>0</v>
      </c>
      <c r="X196" s="339" t="str" cm="1">
        <f t="array" aca="1" ref="X196" ca="1">IF($Y196&gt;0,CHOOSE(MATCH(RegimeExecucao,{"Unitário","Global"},0),IF($A196="S",ROUND($H196,ORÇAMENTO!$AF$10),""),ROUND($I196,ORÇAMENTO!$AF$11)),"")</f>
        <v/>
      </c>
      <c r="Y196" s="339">
        <f t="shared" ca="1" si="22"/>
        <v>0</v>
      </c>
      <c r="Z196" s="473"/>
      <c r="AB196" s="337"/>
      <c r="AC196" s="437"/>
      <c r="AD196" s="437"/>
      <c r="AE196" s="437"/>
      <c r="AF196" s="437"/>
      <c r="AG196" s="437"/>
      <c r="AH196" s="437"/>
      <c r="AI196" s="437"/>
      <c r="AJ196" s="437"/>
      <c r="AK196" s="437"/>
      <c r="AL196" s="437"/>
      <c r="AM196" s="338"/>
      <c r="AO196" cm="1">
        <f t="array" aca="1" ref="AO196" ca="1">IF($A196="S",IF(BM!$I196=0,0,CHOOSE(MATCH(RegimeExecucao,{"Global","Unitário"},0),ROUND(ROUND(BM.MEDAcumulado,15-13*BM!$A$9)/100*BM!$I196,15-13*ORÇAMENTO!$AF$11),ROUND(ROUND(BM.MEDAcumulado,15-13*BM!$A$9)*ROUND(BM!$H196,15-13*ORÇAMENTO!$AF$10),15-13*ORÇAMENTO!$AF$11))),IF($A196=0,0,ROUND(SomaAgrupBM,15-13*ORÇAMENTO!$AF$11)))</f>
        <v>0</v>
      </c>
    </row>
    <row r="197" spans="1:41" ht="38.25" x14ac:dyDescent="0.2">
      <c r="A197" t="str">
        <f ca="1">ORÇAMENTO!C197</f>
        <v>S</v>
      </c>
      <c r="B197">
        <f ca="1">ORÇAMENTO!D197</f>
        <v>0</v>
      </c>
      <c r="C197" s="114" t="str">
        <f t="shared" ca="1" si="16"/>
        <v/>
      </c>
      <c r="D197" s="117" t="str">
        <f ca="1">ORÇAMENTO!O197</f>
        <v>-</v>
      </c>
      <c r="E197" s="163" t="str">
        <f t="shared" ca="1" si="23"/>
        <v>(Código não identificado nas referências)</v>
      </c>
      <c r="F197" s="164" t="str" cm="1">
        <f t="array" aca="1" ref="F197" ca="1">IF(RegimeExecucao="Global","",ORÇAMENTO.Unidade)</f>
        <v/>
      </c>
      <c r="G197" s="122" t="str" cm="1">
        <f t="array" aca="1" ref="G197" ca="1">IF(RegimeExecucao="Global","",ORÇAMENTO!T197)</f>
        <v/>
      </c>
      <c r="H197" s="122" t="str" cm="1">
        <f t="array" aca="1" ref="H197" ca="1">IF(RegimeExecucao="Global","",ORÇAMENTO!W197)</f>
        <v/>
      </c>
      <c r="I197" s="125">
        <f ca="1">ORÇAMENTO!X197</f>
        <v>0</v>
      </c>
      <c r="J197" s="333" cm="1">
        <f t="array" aca="1" ref="J197" ca="1">IF($A197="S",IF(CAIXA.Modo,BM.AFAnterior,BM.MEDAnterior),IF(AND(RegimeExecucao="Global",$I197&gt;0,COUNTIF($AB$13:$AM$13,BM.medicao-1)&gt;0),M197/$I197*100,0))</f>
        <v>0</v>
      </c>
      <c r="K197" s="122">
        <f t="shared" ca="1" si="18"/>
        <v>0</v>
      </c>
      <c r="L197" s="334" cm="1">
        <f t="array" aca="1" ref="L197" ca="1">IF($A197="S",IF(CAIXA.Modo,BM.AFAcumulado,BM.MEDAcumulado),IF(AND(RegimeExecucao="Global",$I197&gt;0,COUNTIF($AB$13:$AM$13,BM.medicao)&gt;0),O197/$I197*100,0))</f>
        <v>0</v>
      </c>
      <c r="M197" s="335" cm="1">
        <f t="array" aca="1" ref="M197" ca="1">IF($A197="S",VTOTALBM,IF($A197=0,0,ROUND(SomaAgrupBM,15-13*ORÇAMENTO!$AF$11)))</f>
        <v>0</v>
      </c>
      <c r="N197" s="336">
        <f t="shared" ca="1" si="19"/>
        <v>0</v>
      </c>
      <c r="O197" s="125" cm="1">
        <f t="array" aca="1" ref="O197" ca="1">IF($A197="S",VTOTALBM,IF($A197=0,0,ROUND(SomaAgrupBM,15-13*ORÇAMENTO!$AF$11)))</f>
        <v>0</v>
      </c>
      <c r="Q197" s="337"/>
      <c r="R197" s="338"/>
      <c r="T197" s="117" t="str">
        <f t="shared" ca="1" si="20"/>
        <v/>
      </c>
      <c r="U197" s="163" t="str">
        <f t="shared" ca="1" si="21"/>
        <v/>
      </c>
      <c r="V197" s="164" t="str" cm="1">
        <f t="array" aca="1" ref="V197" ca="1">IF(AND($W197&gt;0,RegimeExecucao="Unitário"),$F197,"")</f>
        <v/>
      </c>
      <c r="W197" s="454" cm="1">
        <f t="array" aca="1" ref="W197" ca="1">IF($Y197&gt;0,CHOOSE(MATCH(RegimeExecucao,{"Unitário","Global"},0),IF($A197="S",$Y197/$X197,""),($Y197/$X197)*100),0)</f>
        <v>0</v>
      </c>
      <c r="X197" s="339" t="str" cm="1">
        <f t="array" aca="1" ref="X197" ca="1">IF($Y197&gt;0,CHOOSE(MATCH(RegimeExecucao,{"Unitário","Global"},0),IF($A197="S",ROUND($H197,ORÇAMENTO!$AF$10),""),ROUND($I197,ORÇAMENTO!$AF$11)),"")</f>
        <v/>
      </c>
      <c r="Y197" s="339">
        <f t="shared" ca="1" si="22"/>
        <v>0</v>
      </c>
      <c r="Z197" s="473"/>
      <c r="AB197" s="337"/>
      <c r="AC197" s="437"/>
      <c r="AD197" s="437"/>
      <c r="AE197" s="437"/>
      <c r="AF197" s="437"/>
      <c r="AG197" s="437"/>
      <c r="AH197" s="437"/>
      <c r="AI197" s="437"/>
      <c r="AJ197" s="437"/>
      <c r="AK197" s="437"/>
      <c r="AL197" s="437"/>
      <c r="AM197" s="338"/>
      <c r="AO197" cm="1">
        <f t="array" aca="1" ref="AO197" ca="1">IF($A197="S",IF(BM!$I197=0,0,CHOOSE(MATCH(RegimeExecucao,{"Global","Unitário"},0),ROUND(ROUND(BM.MEDAcumulado,15-13*BM!$A$9)/100*BM!$I197,15-13*ORÇAMENTO!$AF$11),ROUND(ROUND(BM.MEDAcumulado,15-13*BM!$A$9)*ROUND(BM!$H197,15-13*ORÇAMENTO!$AF$10),15-13*ORÇAMENTO!$AF$11))),IF($A197=0,0,ROUND(SomaAgrupBM,15-13*ORÇAMENTO!$AF$11)))</f>
        <v>0</v>
      </c>
    </row>
    <row r="198" spans="1:41" ht="38.25" x14ac:dyDescent="0.2">
      <c r="A198" t="str">
        <f ca="1">ORÇAMENTO!C198</f>
        <v>S</v>
      </c>
      <c r="B198">
        <f ca="1">ORÇAMENTO!D198</f>
        <v>0</v>
      </c>
      <c r="C198" s="114" t="str">
        <f t="shared" ca="1" si="16"/>
        <v/>
      </c>
      <c r="D198" s="117" t="str">
        <f ca="1">ORÇAMENTO!O198</f>
        <v>-</v>
      </c>
      <c r="E198" s="163" t="str">
        <f t="shared" ca="1" si="23"/>
        <v>(Código não identificado nas referências)</v>
      </c>
      <c r="F198" s="164" t="str" cm="1">
        <f t="array" aca="1" ref="F198" ca="1">IF(RegimeExecucao="Global","",ORÇAMENTO.Unidade)</f>
        <v/>
      </c>
      <c r="G198" s="122" t="str" cm="1">
        <f t="array" aca="1" ref="G198" ca="1">IF(RegimeExecucao="Global","",ORÇAMENTO!T198)</f>
        <v/>
      </c>
      <c r="H198" s="122" t="str" cm="1">
        <f t="array" aca="1" ref="H198" ca="1">IF(RegimeExecucao="Global","",ORÇAMENTO!W198)</f>
        <v/>
      </c>
      <c r="I198" s="125">
        <f ca="1">ORÇAMENTO!X198</f>
        <v>0</v>
      </c>
      <c r="J198" s="333" cm="1">
        <f t="array" aca="1" ref="J198" ca="1">IF($A198="S",IF(CAIXA.Modo,BM.AFAnterior,BM.MEDAnterior),IF(AND(RegimeExecucao="Global",$I198&gt;0,COUNTIF($AB$13:$AM$13,BM.medicao-1)&gt;0),M198/$I198*100,0))</f>
        <v>0</v>
      </c>
      <c r="K198" s="122">
        <f t="shared" ca="1" si="18"/>
        <v>0</v>
      </c>
      <c r="L198" s="334" cm="1">
        <f t="array" aca="1" ref="L198" ca="1">IF($A198="S",IF(CAIXA.Modo,BM.AFAcumulado,BM.MEDAcumulado),IF(AND(RegimeExecucao="Global",$I198&gt;0,COUNTIF($AB$13:$AM$13,BM.medicao)&gt;0),O198/$I198*100,0))</f>
        <v>0</v>
      </c>
      <c r="M198" s="335" cm="1">
        <f t="array" aca="1" ref="M198" ca="1">IF($A198="S",VTOTALBM,IF($A198=0,0,ROUND(SomaAgrupBM,15-13*ORÇAMENTO!$AF$11)))</f>
        <v>0</v>
      </c>
      <c r="N198" s="336">
        <f t="shared" ca="1" si="19"/>
        <v>0</v>
      </c>
      <c r="O198" s="125" cm="1">
        <f t="array" aca="1" ref="O198" ca="1">IF($A198="S",VTOTALBM,IF($A198=0,0,ROUND(SomaAgrupBM,15-13*ORÇAMENTO!$AF$11)))</f>
        <v>0</v>
      </c>
      <c r="Q198" s="337"/>
      <c r="R198" s="338"/>
      <c r="T198" s="117" t="str">
        <f t="shared" ca="1" si="20"/>
        <v/>
      </c>
      <c r="U198" s="163" t="str">
        <f t="shared" ca="1" si="21"/>
        <v/>
      </c>
      <c r="V198" s="164" t="str" cm="1">
        <f t="array" aca="1" ref="V198" ca="1">IF(AND($W198&gt;0,RegimeExecucao="Unitário"),$F198,"")</f>
        <v/>
      </c>
      <c r="W198" s="454" cm="1">
        <f t="array" aca="1" ref="W198" ca="1">IF($Y198&gt;0,CHOOSE(MATCH(RegimeExecucao,{"Unitário","Global"},0),IF($A198="S",$Y198/$X198,""),($Y198/$X198)*100),0)</f>
        <v>0</v>
      </c>
      <c r="X198" s="339" t="str" cm="1">
        <f t="array" aca="1" ref="X198" ca="1">IF($Y198&gt;0,CHOOSE(MATCH(RegimeExecucao,{"Unitário","Global"},0),IF($A198="S",ROUND($H198,ORÇAMENTO!$AF$10),""),ROUND($I198,ORÇAMENTO!$AF$11)),"")</f>
        <v/>
      </c>
      <c r="Y198" s="339">
        <f t="shared" ca="1" si="22"/>
        <v>0</v>
      </c>
      <c r="Z198" s="473"/>
      <c r="AB198" s="337"/>
      <c r="AC198" s="437"/>
      <c r="AD198" s="437"/>
      <c r="AE198" s="437"/>
      <c r="AF198" s="437"/>
      <c r="AG198" s="437"/>
      <c r="AH198" s="437"/>
      <c r="AI198" s="437"/>
      <c r="AJ198" s="437"/>
      <c r="AK198" s="437"/>
      <c r="AL198" s="437"/>
      <c r="AM198" s="338"/>
      <c r="AO198" cm="1">
        <f t="array" aca="1" ref="AO198" ca="1">IF($A198="S",IF(BM!$I198=0,0,CHOOSE(MATCH(RegimeExecucao,{"Global","Unitário"},0),ROUND(ROUND(BM.MEDAcumulado,15-13*BM!$A$9)/100*BM!$I198,15-13*ORÇAMENTO!$AF$11),ROUND(ROUND(BM.MEDAcumulado,15-13*BM!$A$9)*ROUND(BM!$H198,15-13*ORÇAMENTO!$AF$10),15-13*ORÇAMENTO!$AF$11))),IF($A198=0,0,ROUND(SomaAgrupBM,15-13*ORÇAMENTO!$AF$11)))</f>
        <v>0</v>
      </c>
    </row>
    <row r="199" spans="1:41" ht="38.25" x14ac:dyDescent="0.2">
      <c r="A199" t="str">
        <f ca="1">ORÇAMENTO!C199</f>
        <v>S</v>
      </c>
      <c r="B199">
        <f ca="1">ORÇAMENTO!D199</f>
        <v>0</v>
      </c>
      <c r="C199" s="114" t="str">
        <f t="shared" ca="1" si="16"/>
        <v/>
      </c>
      <c r="D199" s="117" t="str">
        <f ca="1">ORÇAMENTO!O199</f>
        <v>-</v>
      </c>
      <c r="E199" s="163" t="str">
        <f t="shared" ca="1" si="23"/>
        <v>(Código não identificado nas referências)</v>
      </c>
      <c r="F199" s="164" t="str" cm="1">
        <f t="array" aca="1" ref="F199" ca="1">IF(RegimeExecucao="Global","",ORÇAMENTO.Unidade)</f>
        <v/>
      </c>
      <c r="G199" s="122" t="str" cm="1">
        <f t="array" aca="1" ref="G199" ca="1">IF(RegimeExecucao="Global","",ORÇAMENTO!T199)</f>
        <v/>
      </c>
      <c r="H199" s="122" t="str" cm="1">
        <f t="array" aca="1" ref="H199" ca="1">IF(RegimeExecucao="Global","",ORÇAMENTO!W199)</f>
        <v/>
      </c>
      <c r="I199" s="125">
        <f ca="1">ORÇAMENTO!X199</f>
        <v>0</v>
      </c>
      <c r="J199" s="333" cm="1">
        <f t="array" aca="1" ref="J199" ca="1">IF($A199="S",IF(CAIXA.Modo,BM.AFAnterior,BM.MEDAnterior),IF(AND(RegimeExecucao="Global",$I199&gt;0,COUNTIF($AB$13:$AM$13,BM.medicao-1)&gt;0),M199/$I199*100,0))</f>
        <v>0</v>
      </c>
      <c r="K199" s="122">
        <f t="shared" ca="1" si="18"/>
        <v>0</v>
      </c>
      <c r="L199" s="334" cm="1">
        <f t="array" aca="1" ref="L199" ca="1">IF($A199="S",IF(CAIXA.Modo,BM.AFAcumulado,BM.MEDAcumulado),IF(AND(RegimeExecucao="Global",$I199&gt;0,COUNTIF($AB$13:$AM$13,BM.medicao)&gt;0),O199/$I199*100,0))</f>
        <v>0</v>
      </c>
      <c r="M199" s="335" cm="1">
        <f t="array" aca="1" ref="M199" ca="1">IF($A199="S",VTOTALBM,IF($A199=0,0,ROUND(SomaAgrupBM,15-13*ORÇAMENTO!$AF$11)))</f>
        <v>0</v>
      </c>
      <c r="N199" s="336">
        <f t="shared" ca="1" si="19"/>
        <v>0</v>
      </c>
      <c r="O199" s="125" cm="1">
        <f t="array" aca="1" ref="O199" ca="1">IF($A199="S",VTOTALBM,IF($A199=0,0,ROUND(SomaAgrupBM,15-13*ORÇAMENTO!$AF$11)))</f>
        <v>0</v>
      </c>
      <c r="Q199" s="337"/>
      <c r="R199" s="338"/>
      <c r="T199" s="117" t="str">
        <f t="shared" ca="1" si="20"/>
        <v/>
      </c>
      <c r="U199" s="163" t="str">
        <f t="shared" ca="1" si="21"/>
        <v/>
      </c>
      <c r="V199" s="164" t="str" cm="1">
        <f t="array" aca="1" ref="V199" ca="1">IF(AND($W199&gt;0,RegimeExecucao="Unitário"),$F199,"")</f>
        <v/>
      </c>
      <c r="W199" s="454" cm="1">
        <f t="array" aca="1" ref="W199" ca="1">IF($Y199&gt;0,CHOOSE(MATCH(RegimeExecucao,{"Unitário","Global"},0),IF($A199="S",$Y199/$X199,""),($Y199/$X199)*100),0)</f>
        <v>0</v>
      </c>
      <c r="X199" s="339" t="str" cm="1">
        <f t="array" aca="1" ref="X199" ca="1">IF($Y199&gt;0,CHOOSE(MATCH(RegimeExecucao,{"Unitário","Global"},0),IF($A199="S",ROUND($H199,ORÇAMENTO!$AF$10),""),ROUND($I199,ORÇAMENTO!$AF$11)),"")</f>
        <v/>
      </c>
      <c r="Y199" s="339">
        <f t="shared" ca="1" si="22"/>
        <v>0</v>
      </c>
      <c r="Z199" s="473"/>
      <c r="AB199" s="337"/>
      <c r="AC199" s="437"/>
      <c r="AD199" s="437"/>
      <c r="AE199" s="437"/>
      <c r="AF199" s="437"/>
      <c r="AG199" s="437"/>
      <c r="AH199" s="437"/>
      <c r="AI199" s="437"/>
      <c r="AJ199" s="437"/>
      <c r="AK199" s="437"/>
      <c r="AL199" s="437"/>
      <c r="AM199" s="338"/>
      <c r="AO199" cm="1">
        <f t="array" aca="1" ref="AO199" ca="1">IF($A199="S",IF(BM!$I199=0,0,CHOOSE(MATCH(RegimeExecucao,{"Global","Unitário"},0),ROUND(ROUND(BM.MEDAcumulado,15-13*BM!$A$9)/100*BM!$I199,15-13*ORÇAMENTO!$AF$11),ROUND(ROUND(BM.MEDAcumulado,15-13*BM!$A$9)*ROUND(BM!$H199,15-13*ORÇAMENTO!$AF$10),15-13*ORÇAMENTO!$AF$11))),IF($A199=0,0,ROUND(SomaAgrupBM,15-13*ORÇAMENTO!$AF$11)))</f>
        <v>0</v>
      </c>
    </row>
    <row r="200" spans="1:41" ht="38.25" x14ac:dyDescent="0.2">
      <c r="A200" t="str">
        <f ca="1">ORÇAMENTO!C200</f>
        <v>S</v>
      </c>
      <c r="B200">
        <f ca="1">ORÇAMENTO!D200</f>
        <v>0</v>
      </c>
      <c r="C200" s="114" t="str">
        <f t="shared" ca="1" si="16"/>
        <v/>
      </c>
      <c r="D200" s="117" t="str">
        <f ca="1">ORÇAMENTO!O200</f>
        <v>-</v>
      </c>
      <c r="E200" s="163" t="str">
        <f t="shared" ca="1" si="23"/>
        <v>(Código não identificado nas referências)</v>
      </c>
      <c r="F200" s="164" t="str" cm="1">
        <f t="array" aca="1" ref="F200" ca="1">IF(RegimeExecucao="Global","",ORÇAMENTO.Unidade)</f>
        <v/>
      </c>
      <c r="G200" s="122" t="str" cm="1">
        <f t="array" aca="1" ref="G200" ca="1">IF(RegimeExecucao="Global","",ORÇAMENTO!T200)</f>
        <v/>
      </c>
      <c r="H200" s="122" t="str" cm="1">
        <f t="array" aca="1" ref="H200" ca="1">IF(RegimeExecucao="Global","",ORÇAMENTO!W200)</f>
        <v/>
      </c>
      <c r="I200" s="125">
        <f ca="1">ORÇAMENTO!X200</f>
        <v>0</v>
      </c>
      <c r="J200" s="333" cm="1">
        <f t="array" aca="1" ref="J200" ca="1">IF($A200="S",IF(CAIXA.Modo,BM.AFAnterior,BM.MEDAnterior),IF(AND(RegimeExecucao="Global",$I200&gt;0,COUNTIF($AB$13:$AM$13,BM.medicao-1)&gt;0),M200/$I200*100,0))</f>
        <v>0</v>
      </c>
      <c r="K200" s="122">
        <f t="shared" ca="1" si="18"/>
        <v>0</v>
      </c>
      <c r="L200" s="334" cm="1">
        <f t="array" aca="1" ref="L200" ca="1">IF($A200="S",IF(CAIXA.Modo,BM.AFAcumulado,BM.MEDAcumulado),IF(AND(RegimeExecucao="Global",$I200&gt;0,COUNTIF($AB$13:$AM$13,BM.medicao)&gt;0),O200/$I200*100,0))</f>
        <v>0</v>
      </c>
      <c r="M200" s="335" cm="1">
        <f t="array" aca="1" ref="M200" ca="1">IF($A200="S",VTOTALBM,IF($A200=0,0,ROUND(SomaAgrupBM,15-13*ORÇAMENTO!$AF$11)))</f>
        <v>0</v>
      </c>
      <c r="N200" s="336">
        <f t="shared" ca="1" si="19"/>
        <v>0</v>
      </c>
      <c r="O200" s="125" cm="1">
        <f t="array" aca="1" ref="O200" ca="1">IF($A200="S",VTOTALBM,IF($A200=0,0,ROUND(SomaAgrupBM,15-13*ORÇAMENTO!$AF$11)))</f>
        <v>0</v>
      </c>
      <c r="Q200" s="337"/>
      <c r="R200" s="338"/>
      <c r="T200" s="117" t="str">
        <f t="shared" ca="1" si="20"/>
        <v/>
      </c>
      <c r="U200" s="163" t="str">
        <f t="shared" ca="1" si="21"/>
        <v/>
      </c>
      <c r="V200" s="164" t="str" cm="1">
        <f t="array" aca="1" ref="V200" ca="1">IF(AND($W200&gt;0,RegimeExecucao="Unitário"),$F200,"")</f>
        <v/>
      </c>
      <c r="W200" s="454" cm="1">
        <f t="array" aca="1" ref="W200" ca="1">IF($Y200&gt;0,CHOOSE(MATCH(RegimeExecucao,{"Unitário","Global"},0),IF($A200="S",$Y200/$X200,""),($Y200/$X200)*100),0)</f>
        <v>0</v>
      </c>
      <c r="X200" s="339" t="str" cm="1">
        <f t="array" aca="1" ref="X200" ca="1">IF($Y200&gt;0,CHOOSE(MATCH(RegimeExecucao,{"Unitário","Global"},0),IF($A200="S",ROUND($H200,ORÇAMENTO!$AF$10),""),ROUND($I200,ORÇAMENTO!$AF$11)),"")</f>
        <v/>
      </c>
      <c r="Y200" s="339">
        <f t="shared" ca="1" si="22"/>
        <v>0</v>
      </c>
      <c r="Z200" s="473"/>
      <c r="AB200" s="337"/>
      <c r="AC200" s="437"/>
      <c r="AD200" s="437"/>
      <c r="AE200" s="437"/>
      <c r="AF200" s="437"/>
      <c r="AG200" s="437"/>
      <c r="AH200" s="437"/>
      <c r="AI200" s="437"/>
      <c r="AJ200" s="437"/>
      <c r="AK200" s="437"/>
      <c r="AL200" s="437"/>
      <c r="AM200" s="338"/>
      <c r="AO200" cm="1">
        <f t="array" aca="1" ref="AO200" ca="1">IF($A200="S",IF(BM!$I200=0,0,CHOOSE(MATCH(RegimeExecucao,{"Global","Unitário"},0),ROUND(ROUND(BM.MEDAcumulado,15-13*BM!$A$9)/100*BM!$I200,15-13*ORÇAMENTO!$AF$11),ROUND(ROUND(BM.MEDAcumulado,15-13*BM!$A$9)*ROUND(BM!$H200,15-13*ORÇAMENTO!$AF$10),15-13*ORÇAMENTO!$AF$11))),IF($A200=0,0,ROUND(SomaAgrupBM,15-13*ORÇAMENTO!$AF$11)))</f>
        <v>0</v>
      </c>
    </row>
    <row r="201" spans="1:41" ht="38.25" x14ac:dyDescent="0.2">
      <c r="A201" t="str">
        <f ca="1">ORÇAMENTO!C201</f>
        <v>S</v>
      </c>
      <c r="B201">
        <f ca="1">ORÇAMENTO!D201</f>
        <v>0</v>
      </c>
      <c r="C201" s="114" t="str">
        <f t="shared" ca="1" si="16"/>
        <v/>
      </c>
      <c r="D201" s="117" t="str">
        <f ca="1">ORÇAMENTO!O201</f>
        <v>-</v>
      </c>
      <c r="E201" s="163" t="str">
        <f t="shared" ca="1" si="23"/>
        <v>(Código não identificado nas referências)</v>
      </c>
      <c r="F201" s="164" t="str" cm="1">
        <f t="array" aca="1" ref="F201" ca="1">IF(RegimeExecucao="Global","",ORÇAMENTO.Unidade)</f>
        <v/>
      </c>
      <c r="G201" s="122" t="str" cm="1">
        <f t="array" aca="1" ref="G201" ca="1">IF(RegimeExecucao="Global","",ORÇAMENTO!T201)</f>
        <v/>
      </c>
      <c r="H201" s="122" t="str" cm="1">
        <f t="array" aca="1" ref="H201" ca="1">IF(RegimeExecucao="Global","",ORÇAMENTO!W201)</f>
        <v/>
      </c>
      <c r="I201" s="125">
        <f ca="1">ORÇAMENTO!X201</f>
        <v>0</v>
      </c>
      <c r="J201" s="333" cm="1">
        <f t="array" aca="1" ref="J201" ca="1">IF($A201="S",IF(CAIXA.Modo,BM.AFAnterior,BM.MEDAnterior),IF(AND(RegimeExecucao="Global",$I201&gt;0,COUNTIF($AB$13:$AM$13,BM.medicao-1)&gt;0),M201/$I201*100,0))</f>
        <v>0</v>
      </c>
      <c r="K201" s="122">
        <f t="shared" ca="1" si="18"/>
        <v>0</v>
      </c>
      <c r="L201" s="334" cm="1">
        <f t="array" aca="1" ref="L201" ca="1">IF($A201="S",IF(CAIXA.Modo,BM.AFAcumulado,BM.MEDAcumulado),IF(AND(RegimeExecucao="Global",$I201&gt;0,COUNTIF($AB$13:$AM$13,BM.medicao)&gt;0),O201/$I201*100,0))</f>
        <v>0</v>
      </c>
      <c r="M201" s="335" cm="1">
        <f t="array" aca="1" ref="M201" ca="1">IF($A201="S",VTOTALBM,IF($A201=0,0,ROUND(SomaAgrupBM,15-13*ORÇAMENTO!$AF$11)))</f>
        <v>0</v>
      </c>
      <c r="N201" s="336">
        <f t="shared" ca="1" si="19"/>
        <v>0</v>
      </c>
      <c r="O201" s="125" cm="1">
        <f t="array" aca="1" ref="O201" ca="1">IF($A201="S",VTOTALBM,IF($A201=0,0,ROUND(SomaAgrupBM,15-13*ORÇAMENTO!$AF$11)))</f>
        <v>0</v>
      </c>
      <c r="Q201" s="337"/>
      <c r="R201" s="338"/>
      <c r="T201" s="117" t="str">
        <f t="shared" ca="1" si="20"/>
        <v/>
      </c>
      <c r="U201" s="163" t="str">
        <f t="shared" ca="1" si="21"/>
        <v/>
      </c>
      <c r="V201" s="164" t="str" cm="1">
        <f t="array" aca="1" ref="V201" ca="1">IF(AND($W201&gt;0,RegimeExecucao="Unitário"),$F201,"")</f>
        <v/>
      </c>
      <c r="W201" s="454" cm="1">
        <f t="array" aca="1" ref="W201" ca="1">IF($Y201&gt;0,CHOOSE(MATCH(RegimeExecucao,{"Unitário","Global"},0),IF($A201="S",$Y201/$X201,""),($Y201/$X201)*100),0)</f>
        <v>0</v>
      </c>
      <c r="X201" s="339" t="str" cm="1">
        <f t="array" aca="1" ref="X201" ca="1">IF($Y201&gt;0,CHOOSE(MATCH(RegimeExecucao,{"Unitário","Global"},0),IF($A201="S",ROUND($H201,ORÇAMENTO!$AF$10),""),ROUND($I201,ORÇAMENTO!$AF$11)),"")</f>
        <v/>
      </c>
      <c r="Y201" s="339">
        <f t="shared" ca="1" si="22"/>
        <v>0</v>
      </c>
      <c r="Z201" s="473"/>
      <c r="AB201" s="337"/>
      <c r="AC201" s="437"/>
      <c r="AD201" s="437"/>
      <c r="AE201" s="437"/>
      <c r="AF201" s="437"/>
      <c r="AG201" s="437"/>
      <c r="AH201" s="437"/>
      <c r="AI201" s="437"/>
      <c r="AJ201" s="437"/>
      <c r="AK201" s="437"/>
      <c r="AL201" s="437"/>
      <c r="AM201" s="338"/>
      <c r="AO201" cm="1">
        <f t="array" aca="1" ref="AO201" ca="1">IF($A201="S",IF(BM!$I201=0,0,CHOOSE(MATCH(RegimeExecucao,{"Global","Unitário"},0),ROUND(ROUND(BM.MEDAcumulado,15-13*BM!$A$9)/100*BM!$I201,15-13*ORÇAMENTO!$AF$11),ROUND(ROUND(BM.MEDAcumulado,15-13*BM!$A$9)*ROUND(BM!$H201,15-13*ORÇAMENTO!$AF$10),15-13*ORÇAMENTO!$AF$11))),IF($A201=0,0,ROUND(SomaAgrupBM,15-13*ORÇAMENTO!$AF$11)))</f>
        <v>0</v>
      </c>
    </row>
    <row r="202" spans="1:41" ht="38.25" x14ac:dyDescent="0.2">
      <c r="A202" t="str">
        <f ca="1">ORÇAMENTO!C202</f>
        <v>S</v>
      </c>
      <c r="B202">
        <f ca="1">ORÇAMENTO!D202</f>
        <v>0</v>
      </c>
      <c r="C202" s="114" t="str">
        <f t="shared" ca="1" si="16"/>
        <v/>
      </c>
      <c r="D202" s="117" t="str">
        <f ca="1">ORÇAMENTO!O202</f>
        <v>-</v>
      </c>
      <c r="E202" s="163" t="str">
        <f t="shared" ca="1" si="23"/>
        <v>(Código não identificado nas referências)</v>
      </c>
      <c r="F202" s="164" t="str" cm="1">
        <f t="array" aca="1" ref="F202" ca="1">IF(RegimeExecucao="Global","",ORÇAMENTO.Unidade)</f>
        <v/>
      </c>
      <c r="G202" s="122" t="str" cm="1">
        <f t="array" aca="1" ref="G202" ca="1">IF(RegimeExecucao="Global","",ORÇAMENTO!T202)</f>
        <v/>
      </c>
      <c r="H202" s="122" t="str" cm="1">
        <f t="array" aca="1" ref="H202" ca="1">IF(RegimeExecucao="Global","",ORÇAMENTO!W202)</f>
        <v/>
      </c>
      <c r="I202" s="125">
        <f ca="1">ORÇAMENTO!X202</f>
        <v>0</v>
      </c>
      <c r="J202" s="333" cm="1">
        <f t="array" aca="1" ref="J202" ca="1">IF($A202="S",IF(CAIXA.Modo,BM.AFAnterior,BM.MEDAnterior),IF(AND(RegimeExecucao="Global",$I202&gt;0,COUNTIF($AB$13:$AM$13,BM.medicao-1)&gt;0),M202/$I202*100,0))</f>
        <v>0</v>
      </c>
      <c r="K202" s="122">
        <f t="shared" ca="1" si="18"/>
        <v>0</v>
      </c>
      <c r="L202" s="334" cm="1">
        <f t="array" aca="1" ref="L202" ca="1">IF($A202="S",IF(CAIXA.Modo,BM.AFAcumulado,BM.MEDAcumulado),IF(AND(RegimeExecucao="Global",$I202&gt;0,COUNTIF($AB$13:$AM$13,BM.medicao)&gt;0),O202/$I202*100,0))</f>
        <v>0</v>
      </c>
      <c r="M202" s="335" cm="1">
        <f t="array" aca="1" ref="M202" ca="1">IF($A202="S",VTOTALBM,IF($A202=0,0,ROUND(SomaAgrupBM,15-13*ORÇAMENTO!$AF$11)))</f>
        <v>0</v>
      </c>
      <c r="N202" s="336">
        <f t="shared" ca="1" si="19"/>
        <v>0</v>
      </c>
      <c r="O202" s="125" cm="1">
        <f t="array" aca="1" ref="O202" ca="1">IF($A202="S",VTOTALBM,IF($A202=0,0,ROUND(SomaAgrupBM,15-13*ORÇAMENTO!$AF$11)))</f>
        <v>0</v>
      </c>
      <c r="Q202" s="337"/>
      <c r="R202" s="338"/>
      <c r="T202" s="117" t="str">
        <f t="shared" ca="1" si="20"/>
        <v/>
      </c>
      <c r="U202" s="163" t="str">
        <f t="shared" ca="1" si="21"/>
        <v/>
      </c>
      <c r="V202" s="164" t="str" cm="1">
        <f t="array" aca="1" ref="V202" ca="1">IF(AND($W202&gt;0,RegimeExecucao="Unitário"),$F202,"")</f>
        <v/>
      </c>
      <c r="W202" s="454" cm="1">
        <f t="array" aca="1" ref="W202" ca="1">IF($Y202&gt;0,CHOOSE(MATCH(RegimeExecucao,{"Unitário","Global"},0),IF($A202="S",$Y202/$X202,""),($Y202/$X202)*100),0)</f>
        <v>0</v>
      </c>
      <c r="X202" s="339" t="str" cm="1">
        <f t="array" aca="1" ref="X202" ca="1">IF($Y202&gt;0,CHOOSE(MATCH(RegimeExecucao,{"Unitário","Global"},0),IF($A202="S",ROUND($H202,ORÇAMENTO!$AF$10),""),ROUND($I202,ORÇAMENTO!$AF$11)),"")</f>
        <v/>
      </c>
      <c r="Y202" s="339">
        <f t="shared" ca="1" si="22"/>
        <v>0</v>
      </c>
      <c r="Z202" s="473"/>
      <c r="AB202" s="337"/>
      <c r="AC202" s="437"/>
      <c r="AD202" s="437"/>
      <c r="AE202" s="437"/>
      <c r="AF202" s="437"/>
      <c r="AG202" s="437"/>
      <c r="AH202" s="437"/>
      <c r="AI202" s="437"/>
      <c r="AJ202" s="437"/>
      <c r="AK202" s="437"/>
      <c r="AL202" s="437"/>
      <c r="AM202" s="338"/>
      <c r="AO202" cm="1">
        <f t="array" aca="1" ref="AO202" ca="1">IF($A202="S",IF(BM!$I202=0,0,CHOOSE(MATCH(RegimeExecucao,{"Global","Unitário"},0),ROUND(ROUND(BM.MEDAcumulado,15-13*BM!$A$9)/100*BM!$I202,15-13*ORÇAMENTO!$AF$11),ROUND(ROUND(BM.MEDAcumulado,15-13*BM!$A$9)*ROUND(BM!$H202,15-13*ORÇAMENTO!$AF$10),15-13*ORÇAMENTO!$AF$11))),IF($A202=0,0,ROUND(SomaAgrupBM,15-13*ORÇAMENTO!$AF$11)))</f>
        <v>0</v>
      </c>
    </row>
    <row r="203" spans="1:41" x14ac:dyDescent="0.2">
      <c r="A203">
        <f ca="1">ORÇAMENTO!C203</f>
        <v>2</v>
      </c>
      <c r="B203">
        <f ca="1">ORÇAMENTO!D203</f>
        <v>30</v>
      </c>
      <c r="C203" s="114" t="str">
        <f t="shared" ca="1" si="16"/>
        <v>F</v>
      </c>
      <c r="D203" s="117" t="str">
        <f ca="1">ORÇAMENTO!O203</f>
        <v>9.3.</v>
      </c>
      <c r="E203" s="163" t="str">
        <f t="shared" si="23"/>
        <v>SANITÁRIAS / PLUVIAL</v>
      </c>
      <c r="F203" s="164" t="str" cm="1">
        <f t="array" aca="1" ref="F203" ca="1">IF(RegimeExecucao="Global","",ORÇAMENTO.Unidade)</f>
        <v/>
      </c>
      <c r="G203" s="122" t="str" cm="1">
        <f t="array" aca="1" ref="G203" ca="1">IF(RegimeExecucao="Global","",ORÇAMENTO!T203)</f>
        <v/>
      </c>
      <c r="H203" s="122" t="str" cm="1">
        <f t="array" aca="1" ref="H203" ca="1">IF(RegimeExecucao="Global","",ORÇAMENTO!W203)</f>
        <v/>
      </c>
      <c r="I203" s="125">
        <f ca="1">ORÇAMENTO!X203</f>
        <v>0</v>
      </c>
      <c r="J203" s="333" cm="1">
        <f t="array" aca="1" ref="J203" ca="1">IF($A203="S",IF(CAIXA.Modo,BM.AFAnterior,BM.MEDAnterior),IF(AND(RegimeExecucao="Global",$I203&gt;0,COUNTIF($AB$13:$AM$13,BM.medicao-1)&gt;0),M203/$I203*100,0))</f>
        <v>0</v>
      </c>
      <c r="K203" s="122">
        <f t="shared" ca="1" si="18"/>
        <v>0</v>
      </c>
      <c r="L203" s="334" cm="1">
        <f t="array" aca="1" ref="L203" ca="1">IF($A203="S",IF(CAIXA.Modo,BM.AFAcumulado,BM.MEDAcumulado),IF(AND(RegimeExecucao="Global",$I203&gt;0,COUNTIF($AB$13:$AM$13,BM.medicao)&gt;0),O203/$I203*100,0))</f>
        <v>0</v>
      </c>
      <c r="M203" s="335" cm="1">
        <f t="array" aca="1" ref="M203" ca="1">IF($A203="S",VTOTALBM,IF($A203=0,0,ROUND(SomaAgrupBM,15-13*ORÇAMENTO!$AF$11)))</f>
        <v>0</v>
      </c>
      <c r="N203" s="336">
        <f t="shared" ca="1" si="19"/>
        <v>0</v>
      </c>
      <c r="O203" s="125" cm="1">
        <f t="array" aca="1" ref="O203" ca="1">IF($A203="S",VTOTALBM,IF($A203=0,0,ROUND(SomaAgrupBM,15-13*ORÇAMENTO!$AF$11)))</f>
        <v>0</v>
      </c>
      <c r="Q203" s="337"/>
      <c r="R203" s="338"/>
      <c r="T203" s="117" t="str">
        <f t="shared" ca="1" si="20"/>
        <v/>
      </c>
      <c r="U203" s="163" t="str">
        <f t="shared" ca="1" si="21"/>
        <v/>
      </c>
      <c r="V203" s="164" t="str" cm="1">
        <f t="array" aca="1" ref="V203" ca="1">IF(AND($W203&gt;0,RegimeExecucao="Unitário"),$F203,"")</f>
        <v/>
      </c>
      <c r="W203" s="454" cm="1">
        <f t="array" aca="1" ref="W203" ca="1">IF($Y203&gt;0,CHOOSE(MATCH(RegimeExecucao,{"Unitário","Global"},0),IF($A203="S",$Y203/$X203,""),($Y203/$X203)*100),0)</f>
        <v>0</v>
      </c>
      <c r="X203" s="339" t="str" cm="1">
        <f t="array" aca="1" ref="X203" ca="1">IF($Y203&gt;0,CHOOSE(MATCH(RegimeExecucao,{"Unitário","Global"},0),IF($A203="S",ROUND($H203,ORÇAMENTO!$AF$10),""),ROUND($I203,ORÇAMENTO!$AF$11)),"")</f>
        <v/>
      </c>
      <c r="Y203" s="339">
        <f t="shared" ca="1" si="22"/>
        <v>0</v>
      </c>
      <c r="Z203" s="473"/>
      <c r="AB203" s="337"/>
      <c r="AC203" s="437"/>
      <c r="AD203" s="437"/>
      <c r="AE203" s="437"/>
      <c r="AF203" s="437"/>
      <c r="AG203" s="437"/>
      <c r="AH203" s="437"/>
      <c r="AI203" s="437"/>
      <c r="AJ203" s="437"/>
      <c r="AK203" s="437"/>
      <c r="AL203" s="437"/>
      <c r="AM203" s="338"/>
      <c r="AO203" cm="1">
        <f t="array" aca="1" ref="AO203" ca="1">IF($A203="S",IF(BM!$I203=0,0,CHOOSE(MATCH(RegimeExecucao,{"Global","Unitário"},0),ROUND(ROUND(BM.MEDAcumulado,15-13*BM!$A$9)/100*BM!$I203,15-13*ORÇAMENTO!$AF$11),ROUND(ROUND(BM.MEDAcumulado,15-13*BM!$A$9)*ROUND(BM!$H203,15-13*ORÇAMENTO!$AF$10),15-13*ORÇAMENTO!$AF$11))),IF($A203=0,0,ROUND(SomaAgrupBM,15-13*ORÇAMENTO!$AF$11)))</f>
        <v>0</v>
      </c>
    </row>
    <row r="204" spans="1:41" x14ac:dyDescent="0.2">
      <c r="A204">
        <f ca="1">ORÇAMENTO!C204</f>
        <v>3</v>
      </c>
      <c r="B204">
        <f ca="1">ORÇAMENTO!D204</f>
        <v>13</v>
      </c>
      <c r="C204" s="114" t="str">
        <f t="shared" ca="1" si="16"/>
        <v>F</v>
      </c>
      <c r="D204" s="117" t="str">
        <f ca="1">ORÇAMENTO!O204</f>
        <v>9.3.1.</v>
      </c>
      <c r="E204" s="163" t="str">
        <f t="shared" si="23"/>
        <v>TUBULAÇÕES E CONEXÕES SANITÁRIAS</v>
      </c>
      <c r="F204" s="164" t="str" cm="1">
        <f t="array" aca="1" ref="F204" ca="1">IF(RegimeExecucao="Global","",ORÇAMENTO.Unidade)</f>
        <v/>
      </c>
      <c r="G204" s="122" t="str" cm="1">
        <f t="array" aca="1" ref="G204" ca="1">IF(RegimeExecucao="Global","",ORÇAMENTO!T204)</f>
        <v/>
      </c>
      <c r="H204" s="122" t="str" cm="1">
        <f t="array" aca="1" ref="H204" ca="1">IF(RegimeExecucao="Global","",ORÇAMENTO!W204)</f>
        <v/>
      </c>
      <c r="I204" s="125">
        <f ca="1">ORÇAMENTO!X204</f>
        <v>0</v>
      </c>
      <c r="J204" s="333" cm="1">
        <f t="array" aca="1" ref="J204" ca="1">IF($A204="S",IF(CAIXA.Modo,BM.AFAnterior,BM.MEDAnterior),IF(AND(RegimeExecucao="Global",$I204&gt;0,COUNTIF($AB$13:$AM$13,BM.medicao-1)&gt;0),M204/$I204*100,0))</f>
        <v>0</v>
      </c>
      <c r="K204" s="122">
        <f t="shared" ca="1" si="18"/>
        <v>0</v>
      </c>
      <c r="L204" s="334" cm="1">
        <f t="array" aca="1" ref="L204" ca="1">IF($A204="S",IF(CAIXA.Modo,BM.AFAcumulado,BM.MEDAcumulado),IF(AND(RegimeExecucao="Global",$I204&gt;0,COUNTIF($AB$13:$AM$13,BM.medicao)&gt;0),O204/$I204*100,0))</f>
        <v>0</v>
      </c>
      <c r="M204" s="335" cm="1">
        <f t="array" aca="1" ref="M204" ca="1">IF($A204="S",VTOTALBM,IF($A204=0,0,ROUND(SomaAgrupBM,15-13*ORÇAMENTO!$AF$11)))</f>
        <v>0</v>
      </c>
      <c r="N204" s="336">
        <f t="shared" ca="1" si="19"/>
        <v>0</v>
      </c>
      <c r="O204" s="125" cm="1">
        <f t="array" aca="1" ref="O204" ca="1">IF($A204="S",VTOTALBM,IF($A204=0,0,ROUND(SomaAgrupBM,15-13*ORÇAMENTO!$AF$11)))</f>
        <v>0</v>
      </c>
      <c r="Q204" s="337"/>
      <c r="R204" s="338"/>
      <c r="T204" s="117" t="str">
        <f t="shared" ca="1" si="20"/>
        <v/>
      </c>
      <c r="U204" s="163" t="str">
        <f t="shared" ca="1" si="21"/>
        <v/>
      </c>
      <c r="V204" s="164" t="str" cm="1">
        <f t="array" aca="1" ref="V204" ca="1">IF(AND($W204&gt;0,RegimeExecucao="Unitário"),$F204,"")</f>
        <v/>
      </c>
      <c r="W204" s="454" cm="1">
        <f t="array" aca="1" ref="W204" ca="1">IF($Y204&gt;0,CHOOSE(MATCH(RegimeExecucao,{"Unitário","Global"},0),IF($A204="S",$Y204/$X204,""),($Y204/$X204)*100),0)</f>
        <v>0</v>
      </c>
      <c r="X204" s="339" t="str" cm="1">
        <f t="array" aca="1" ref="X204" ca="1">IF($Y204&gt;0,CHOOSE(MATCH(RegimeExecucao,{"Unitário","Global"},0),IF($A204="S",ROUND($H204,ORÇAMENTO!$AF$10),""),ROUND($I204,ORÇAMENTO!$AF$11)),"")</f>
        <v/>
      </c>
      <c r="Y204" s="339">
        <f t="shared" ca="1" si="22"/>
        <v>0</v>
      </c>
      <c r="Z204" s="473"/>
      <c r="AB204" s="337"/>
      <c r="AC204" s="437"/>
      <c r="AD204" s="437"/>
      <c r="AE204" s="437"/>
      <c r="AF204" s="437"/>
      <c r="AG204" s="437"/>
      <c r="AH204" s="437"/>
      <c r="AI204" s="437"/>
      <c r="AJ204" s="437"/>
      <c r="AK204" s="437"/>
      <c r="AL204" s="437"/>
      <c r="AM204" s="338"/>
      <c r="AO204" cm="1">
        <f t="array" aca="1" ref="AO204" ca="1">IF($A204="S",IF(BM!$I204=0,0,CHOOSE(MATCH(RegimeExecucao,{"Global","Unitário"},0),ROUND(ROUND(BM.MEDAcumulado,15-13*BM!$A$9)/100*BM!$I204,15-13*ORÇAMENTO!$AF$11),ROUND(ROUND(BM.MEDAcumulado,15-13*BM!$A$9)*ROUND(BM!$H204,15-13*ORÇAMENTO!$AF$10),15-13*ORÇAMENTO!$AF$11))),IF($A204=0,0,ROUND(SomaAgrupBM,15-13*ORÇAMENTO!$AF$11)))</f>
        <v>0</v>
      </c>
    </row>
    <row r="205" spans="1:41" ht="38.25" x14ac:dyDescent="0.2">
      <c r="A205" t="str">
        <f ca="1">ORÇAMENTO!C205</f>
        <v>S</v>
      </c>
      <c r="B205">
        <f ca="1">ORÇAMENTO!D205</f>
        <v>0</v>
      </c>
      <c r="C205" s="114" t="str">
        <f t="shared" ca="1" si="16"/>
        <v/>
      </c>
      <c r="D205" s="117" t="str">
        <f ca="1">ORÇAMENTO!O205</f>
        <v>-</v>
      </c>
      <c r="E205" s="163" t="str">
        <f t="shared" ca="1" si="23"/>
        <v>(Código não identificado nas referências)</v>
      </c>
      <c r="F205" s="164" t="str" cm="1">
        <f t="array" aca="1" ref="F205" ca="1">IF(RegimeExecucao="Global","",ORÇAMENTO.Unidade)</f>
        <v/>
      </c>
      <c r="G205" s="122" t="str" cm="1">
        <f t="array" aca="1" ref="G205" ca="1">IF(RegimeExecucao="Global","",ORÇAMENTO!T205)</f>
        <v/>
      </c>
      <c r="H205" s="122" t="str" cm="1">
        <f t="array" aca="1" ref="H205" ca="1">IF(RegimeExecucao="Global","",ORÇAMENTO!W205)</f>
        <v/>
      </c>
      <c r="I205" s="125">
        <f ca="1">ORÇAMENTO!X205</f>
        <v>0</v>
      </c>
      <c r="J205" s="333" cm="1">
        <f t="array" aca="1" ref="J205" ca="1">IF($A205="S",IF(CAIXA.Modo,BM.AFAnterior,BM.MEDAnterior),IF(AND(RegimeExecucao="Global",$I205&gt;0,COUNTIF($AB$13:$AM$13,BM.medicao-1)&gt;0),M205/$I205*100,0))</f>
        <v>0</v>
      </c>
      <c r="K205" s="122">
        <f t="shared" ca="1" si="18"/>
        <v>0</v>
      </c>
      <c r="L205" s="334" cm="1">
        <f t="array" aca="1" ref="L205" ca="1">IF($A205="S",IF(CAIXA.Modo,BM.AFAcumulado,BM.MEDAcumulado),IF(AND(RegimeExecucao="Global",$I205&gt;0,COUNTIF($AB$13:$AM$13,BM.medicao)&gt;0),O205/$I205*100,0))</f>
        <v>0</v>
      </c>
      <c r="M205" s="335" cm="1">
        <f t="array" aca="1" ref="M205" ca="1">IF($A205="S",VTOTALBM,IF($A205=0,0,ROUND(SomaAgrupBM,15-13*ORÇAMENTO!$AF$11)))</f>
        <v>0</v>
      </c>
      <c r="N205" s="336">
        <f t="shared" ca="1" si="19"/>
        <v>0</v>
      </c>
      <c r="O205" s="125" cm="1">
        <f t="array" aca="1" ref="O205" ca="1">IF($A205="S",VTOTALBM,IF($A205=0,0,ROUND(SomaAgrupBM,15-13*ORÇAMENTO!$AF$11)))</f>
        <v>0</v>
      </c>
      <c r="Q205" s="337"/>
      <c r="R205" s="338"/>
      <c r="T205" s="117" t="str">
        <f t="shared" ca="1" si="20"/>
        <v/>
      </c>
      <c r="U205" s="163" t="str">
        <f t="shared" ca="1" si="21"/>
        <v/>
      </c>
      <c r="V205" s="164" t="str" cm="1">
        <f t="array" aca="1" ref="V205" ca="1">IF(AND($W205&gt;0,RegimeExecucao="Unitário"),$F205,"")</f>
        <v/>
      </c>
      <c r="W205" s="454" cm="1">
        <f t="array" aca="1" ref="W205" ca="1">IF($Y205&gt;0,CHOOSE(MATCH(RegimeExecucao,{"Unitário","Global"},0),IF($A205="S",$Y205/$X205,""),($Y205/$X205)*100),0)</f>
        <v>0</v>
      </c>
      <c r="X205" s="339" t="str" cm="1">
        <f t="array" aca="1" ref="X205" ca="1">IF($Y205&gt;0,CHOOSE(MATCH(RegimeExecucao,{"Unitário","Global"},0),IF($A205="S",ROUND($H205,ORÇAMENTO!$AF$10),""),ROUND($I205,ORÇAMENTO!$AF$11)),"")</f>
        <v/>
      </c>
      <c r="Y205" s="339">
        <f t="shared" ca="1" si="22"/>
        <v>0</v>
      </c>
      <c r="Z205" s="473"/>
      <c r="AB205" s="337"/>
      <c r="AC205" s="437"/>
      <c r="AD205" s="437"/>
      <c r="AE205" s="437"/>
      <c r="AF205" s="437"/>
      <c r="AG205" s="437"/>
      <c r="AH205" s="437"/>
      <c r="AI205" s="437"/>
      <c r="AJ205" s="437"/>
      <c r="AK205" s="437"/>
      <c r="AL205" s="437"/>
      <c r="AM205" s="338"/>
      <c r="AO205" cm="1">
        <f t="array" aca="1" ref="AO205" ca="1">IF($A205="S",IF(BM!$I205=0,0,CHOOSE(MATCH(RegimeExecucao,{"Global","Unitário"},0),ROUND(ROUND(BM.MEDAcumulado,15-13*BM!$A$9)/100*BM!$I205,15-13*ORÇAMENTO!$AF$11),ROUND(ROUND(BM.MEDAcumulado,15-13*BM!$A$9)*ROUND(BM!$H205,15-13*ORÇAMENTO!$AF$10),15-13*ORÇAMENTO!$AF$11))),IF($A205=0,0,ROUND(SomaAgrupBM,15-13*ORÇAMENTO!$AF$11)))</f>
        <v>0</v>
      </c>
    </row>
    <row r="206" spans="1:41" ht="38.25" x14ac:dyDescent="0.2">
      <c r="A206" t="str">
        <f ca="1">ORÇAMENTO!C206</f>
        <v>S</v>
      </c>
      <c r="B206">
        <f ca="1">ORÇAMENTO!D206</f>
        <v>0</v>
      </c>
      <c r="C206" s="114" t="str">
        <f t="shared" ca="1" si="16"/>
        <v/>
      </c>
      <c r="D206" s="117" t="str">
        <f ca="1">ORÇAMENTO!O206</f>
        <v>-</v>
      </c>
      <c r="E206" s="163" t="str">
        <f t="shared" ca="1" si="23"/>
        <v>(Código não identificado nas referências)</v>
      </c>
      <c r="F206" s="164" t="str" cm="1">
        <f t="array" aca="1" ref="F206" ca="1">IF(RegimeExecucao="Global","",ORÇAMENTO.Unidade)</f>
        <v/>
      </c>
      <c r="G206" s="122" t="str" cm="1">
        <f t="array" aca="1" ref="G206" ca="1">IF(RegimeExecucao="Global","",ORÇAMENTO!T206)</f>
        <v/>
      </c>
      <c r="H206" s="122" t="str" cm="1">
        <f t="array" aca="1" ref="H206" ca="1">IF(RegimeExecucao="Global","",ORÇAMENTO!W206)</f>
        <v/>
      </c>
      <c r="I206" s="125">
        <f ca="1">ORÇAMENTO!X206</f>
        <v>0</v>
      </c>
      <c r="J206" s="333" cm="1">
        <f t="array" aca="1" ref="J206" ca="1">IF($A206="S",IF(CAIXA.Modo,BM.AFAnterior,BM.MEDAnterior),IF(AND(RegimeExecucao="Global",$I206&gt;0,COUNTIF($AB$13:$AM$13,BM.medicao-1)&gt;0),M206/$I206*100,0))</f>
        <v>0</v>
      </c>
      <c r="K206" s="122">
        <f t="shared" ca="1" si="18"/>
        <v>0</v>
      </c>
      <c r="L206" s="334" cm="1">
        <f t="array" aca="1" ref="L206" ca="1">IF($A206="S",IF(CAIXA.Modo,BM.AFAcumulado,BM.MEDAcumulado),IF(AND(RegimeExecucao="Global",$I206&gt;0,COUNTIF($AB$13:$AM$13,BM.medicao)&gt;0),O206/$I206*100,0))</f>
        <v>0</v>
      </c>
      <c r="M206" s="335" cm="1">
        <f t="array" aca="1" ref="M206" ca="1">IF($A206="S",VTOTALBM,IF($A206=0,0,ROUND(SomaAgrupBM,15-13*ORÇAMENTO!$AF$11)))</f>
        <v>0</v>
      </c>
      <c r="N206" s="336">
        <f t="shared" ca="1" si="19"/>
        <v>0</v>
      </c>
      <c r="O206" s="125" cm="1">
        <f t="array" aca="1" ref="O206" ca="1">IF($A206="S",VTOTALBM,IF($A206=0,0,ROUND(SomaAgrupBM,15-13*ORÇAMENTO!$AF$11)))</f>
        <v>0</v>
      </c>
      <c r="Q206" s="337"/>
      <c r="R206" s="338"/>
      <c r="T206" s="117" t="str">
        <f t="shared" ca="1" si="20"/>
        <v/>
      </c>
      <c r="U206" s="163" t="str">
        <f t="shared" ca="1" si="21"/>
        <v/>
      </c>
      <c r="V206" s="164" t="str" cm="1">
        <f t="array" aca="1" ref="V206" ca="1">IF(AND($W206&gt;0,RegimeExecucao="Unitário"),$F206,"")</f>
        <v/>
      </c>
      <c r="W206" s="454" cm="1">
        <f t="array" aca="1" ref="W206" ca="1">IF($Y206&gt;0,CHOOSE(MATCH(RegimeExecucao,{"Unitário","Global"},0),IF($A206="S",$Y206/$X206,""),($Y206/$X206)*100),0)</f>
        <v>0</v>
      </c>
      <c r="X206" s="339" t="str" cm="1">
        <f t="array" aca="1" ref="X206" ca="1">IF($Y206&gt;0,CHOOSE(MATCH(RegimeExecucao,{"Unitário","Global"},0),IF($A206="S",ROUND($H206,ORÇAMENTO!$AF$10),""),ROUND($I206,ORÇAMENTO!$AF$11)),"")</f>
        <v/>
      </c>
      <c r="Y206" s="339">
        <f t="shared" ca="1" si="22"/>
        <v>0</v>
      </c>
      <c r="Z206" s="473"/>
      <c r="AB206" s="337"/>
      <c r="AC206" s="437"/>
      <c r="AD206" s="437"/>
      <c r="AE206" s="437"/>
      <c r="AF206" s="437"/>
      <c r="AG206" s="437"/>
      <c r="AH206" s="437"/>
      <c r="AI206" s="437"/>
      <c r="AJ206" s="437"/>
      <c r="AK206" s="437"/>
      <c r="AL206" s="437"/>
      <c r="AM206" s="338"/>
      <c r="AO206" cm="1">
        <f t="array" aca="1" ref="AO206" ca="1">IF($A206="S",IF(BM!$I206=0,0,CHOOSE(MATCH(RegimeExecucao,{"Global","Unitário"},0),ROUND(ROUND(BM.MEDAcumulado,15-13*BM!$A$9)/100*BM!$I206,15-13*ORÇAMENTO!$AF$11),ROUND(ROUND(BM.MEDAcumulado,15-13*BM!$A$9)*ROUND(BM!$H206,15-13*ORÇAMENTO!$AF$10),15-13*ORÇAMENTO!$AF$11))),IF($A206=0,0,ROUND(SomaAgrupBM,15-13*ORÇAMENTO!$AF$11)))</f>
        <v>0</v>
      </c>
    </row>
    <row r="207" spans="1:41" ht="38.25" x14ac:dyDescent="0.2">
      <c r="A207" t="str">
        <f ca="1">ORÇAMENTO!C207</f>
        <v>S</v>
      </c>
      <c r="B207">
        <f ca="1">ORÇAMENTO!D207</f>
        <v>0</v>
      </c>
      <c r="C207" s="114" t="str">
        <f t="shared" ca="1" si="16"/>
        <v/>
      </c>
      <c r="D207" s="117" t="str">
        <f ca="1">ORÇAMENTO!O207</f>
        <v>-</v>
      </c>
      <c r="E207" s="163" t="str">
        <f t="shared" ca="1" si="23"/>
        <v>(Código não identificado nas referências)</v>
      </c>
      <c r="F207" s="164" t="str" cm="1">
        <f t="array" aca="1" ref="F207" ca="1">IF(RegimeExecucao="Global","",ORÇAMENTO.Unidade)</f>
        <v/>
      </c>
      <c r="G207" s="122" t="str" cm="1">
        <f t="array" aca="1" ref="G207" ca="1">IF(RegimeExecucao="Global","",ORÇAMENTO!T207)</f>
        <v/>
      </c>
      <c r="H207" s="122" t="str" cm="1">
        <f t="array" aca="1" ref="H207" ca="1">IF(RegimeExecucao="Global","",ORÇAMENTO!W207)</f>
        <v/>
      </c>
      <c r="I207" s="125">
        <f ca="1">ORÇAMENTO!X207</f>
        <v>0</v>
      </c>
      <c r="J207" s="333" cm="1">
        <f t="array" aca="1" ref="J207" ca="1">IF($A207="S",IF(CAIXA.Modo,BM.AFAnterior,BM.MEDAnterior),IF(AND(RegimeExecucao="Global",$I207&gt;0,COUNTIF($AB$13:$AM$13,BM.medicao-1)&gt;0),M207/$I207*100,0))</f>
        <v>0</v>
      </c>
      <c r="K207" s="122">
        <f t="shared" ca="1" si="18"/>
        <v>0</v>
      </c>
      <c r="L207" s="334" cm="1">
        <f t="array" aca="1" ref="L207" ca="1">IF($A207="S",IF(CAIXA.Modo,BM.AFAcumulado,BM.MEDAcumulado),IF(AND(RegimeExecucao="Global",$I207&gt;0,COUNTIF($AB$13:$AM$13,BM.medicao)&gt;0),O207/$I207*100,0))</f>
        <v>0</v>
      </c>
      <c r="M207" s="335" cm="1">
        <f t="array" aca="1" ref="M207" ca="1">IF($A207="S",VTOTALBM,IF($A207=0,0,ROUND(SomaAgrupBM,15-13*ORÇAMENTO!$AF$11)))</f>
        <v>0</v>
      </c>
      <c r="N207" s="336">
        <f t="shared" ca="1" si="19"/>
        <v>0</v>
      </c>
      <c r="O207" s="125" cm="1">
        <f t="array" aca="1" ref="O207" ca="1">IF($A207="S",VTOTALBM,IF($A207=0,0,ROUND(SomaAgrupBM,15-13*ORÇAMENTO!$AF$11)))</f>
        <v>0</v>
      </c>
      <c r="Q207" s="337"/>
      <c r="R207" s="338"/>
      <c r="T207" s="117" t="str">
        <f t="shared" ca="1" si="20"/>
        <v/>
      </c>
      <c r="U207" s="163" t="str">
        <f t="shared" ca="1" si="21"/>
        <v/>
      </c>
      <c r="V207" s="164" t="str" cm="1">
        <f t="array" aca="1" ref="V207" ca="1">IF(AND($W207&gt;0,RegimeExecucao="Unitário"),$F207,"")</f>
        <v/>
      </c>
      <c r="W207" s="454" cm="1">
        <f t="array" aca="1" ref="W207" ca="1">IF($Y207&gt;0,CHOOSE(MATCH(RegimeExecucao,{"Unitário","Global"},0),IF($A207="S",$Y207/$X207,""),($Y207/$X207)*100),0)</f>
        <v>0</v>
      </c>
      <c r="X207" s="339" t="str" cm="1">
        <f t="array" aca="1" ref="X207" ca="1">IF($Y207&gt;0,CHOOSE(MATCH(RegimeExecucao,{"Unitário","Global"},0),IF($A207="S",ROUND($H207,ORÇAMENTO!$AF$10),""),ROUND($I207,ORÇAMENTO!$AF$11)),"")</f>
        <v/>
      </c>
      <c r="Y207" s="339">
        <f t="shared" ca="1" si="22"/>
        <v>0</v>
      </c>
      <c r="Z207" s="473"/>
      <c r="AB207" s="337"/>
      <c r="AC207" s="437"/>
      <c r="AD207" s="437"/>
      <c r="AE207" s="437"/>
      <c r="AF207" s="437"/>
      <c r="AG207" s="437"/>
      <c r="AH207" s="437"/>
      <c r="AI207" s="437"/>
      <c r="AJ207" s="437"/>
      <c r="AK207" s="437"/>
      <c r="AL207" s="437"/>
      <c r="AM207" s="338"/>
      <c r="AO207" cm="1">
        <f t="array" aca="1" ref="AO207" ca="1">IF($A207="S",IF(BM!$I207=0,0,CHOOSE(MATCH(RegimeExecucao,{"Global","Unitário"},0),ROUND(ROUND(BM.MEDAcumulado,15-13*BM!$A$9)/100*BM!$I207,15-13*ORÇAMENTO!$AF$11),ROUND(ROUND(BM.MEDAcumulado,15-13*BM!$A$9)*ROUND(BM!$H207,15-13*ORÇAMENTO!$AF$10),15-13*ORÇAMENTO!$AF$11))),IF($A207=0,0,ROUND(SomaAgrupBM,15-13*ORÇAMENTO!$AF$11)))</f>
        <v>0</v>
      </c>
    </row>
    <row r="208" spans="1:41" ht="38.25" x14ac:dyDescent="0.2">
      <c r="A208" t="str">
        <f ca="1">ORÇAMENTO!C208</f>
        <v>S</v>
      </c>
      <c r="B208">
        <f ca="1">ORÇAMENTO!D208</f>
        <v>0</v>
      </c>
      <c r="C208" s="114" t="str">
        <f t="shared" ca="1" si="16"/>
        <v/>
      </c>
      <c r="D208" s="117" t="str">
        <f ca="1">ORÇAMENTO!O208</f>
        <v>-</v>
      </c>
      <c r="E208" s="163" t="str">
        <f t="shared" ca="1" si="23"/>
        <v>(Código não identificado nas referências)</v>
      </c>
      <c r="F208" s="164" t="str" cm="1">
        <f t="array" aca="1" ref="F208" ca="1">IF(RegimeExecucao="Global","",ORÇAMENTO.Unidade)</f>
        <v/>
      </c>
      <c r="G208" s="122" t="str" cm="1">
        <f t="array" aca="1" ref="G208" ca="1">IF(RegimeExecucao="Global","",ORÇAMENTO!T208)</f>
        <v/>
      </c>
      <c r="H208" s="122" t="str" cm="1">
        <f t="array" aca="1" ref="H208" ca="1">IF(RegimeExecucao="Global","",ORÇAMENTO!W208)</f>
        <v/>
      </c>
      <c r="I208" s="125">
        <f ca="1">ORÇAMENTO!X208</f>
        <v>0</v>
      </c>
      <c r="J208" s="333" cm="1">
        <f t="array" aca="1" ref="J208" ca="1">IF($A208="S",IF(CAIXA.Modo,BM.AFAnterior,BM.MEDAnterior),IF(AND(RegimeExecucao="Global",$I208&gt;0,COUNTIF($AB$13:$AM$13,BM.medicao-1)&gt;0),M208/$I208*100,0))</f>
        <v>0</v>
      </c>
      <c r="K208" s="122">
        <f t="shared" ca="1" si="18"/>
        <v>0</v>
      </c>
      <c r="L208" s="334" cm="1">
        <f t="array" aca="1" ref="L208" ca="1">IF($A208="S",IF(CAIXA.Modo,BM.AFAcumulado,BM.MEDAcumulado),IF(AND(RegimeExecucao="Global",$I208&gt;0,COUNTIF($AB$13:$AM$13,BM.medicao)&gt;0),O208/$I208*100,0))</f>
        <v>0</v>
      </c>
      <c r="M208" s="335" cm="1">
        <f t="array" aca="1" ref="M208" ca="1">IF($A208="S",VTOTALBM,IF($A208=0,0,ROUND(SomaAgrupBM,15-13*ORÇAMENTO!$AF$11)))</f>
        <v>0</v>
      </c>
      <c r="N208" s="336">
        <f t="shared" ca="1" si="19"/>
        <v>0</v>
      </c>
      <c r="O208" s="125" cm="1">
        <f t="array" aca="1" ref="O208" ca="1">IF($A208="S",VTOTALBM,IF($A208=0,0,ROUND(SomaAgrupBM,15-13*ORÇAMENTO!$AF$11)))</f>
        <v>0</v>
      </c>
      <c r="Q208" s="337"/>
      <c r="R208" s="338"/>
      <c r="T208" s="117" t="str">
        <f t="shared" ca="1" si="20"/>
        <v/>
      </c>
      <c r="U208" s="163" t="str">
        <f t="shared" ca="1" si="21"/>
        <v/>
      </c>
      <c r="V208" s="164" t="str" cm="1">
        <f t="array" aca="1" ref="V208" ca="1">IF(AND($W208&gt;0,RegimeExecucao="Unitário"),$F208,"")</f>
        <v/>
      </c>
      <c r="W208" s="454" cm="1">
        <f t="array" aca="1" ref="W208" ca="1">IF($Y208&gt;0,CHOOSE(MATCH(RegimeExecucao,{"Unitário","Global"},0),IF($A208="S",$Y208/$X208,""),($Y208/$X208)*100),0)</f>
        <v>0</v>
      </c>
      <c r="X208" s="339" t="str" cm="1">
        <f t="array" aca="1" ref="X208" ca="1">IF($Y208&gt;0,CHOOSE(MATCH(RegimeExecucao,{"Unitário","Global"},0),IF($A208="S",ROUND($H208,ORÇAMENTO!$AF$10),""),ROUND($I208,ORÇAMENTO!$AF$11)),"")</f>
        <v/>
      </c>
      <c r="Y208" s="339">
        <f t="shared" ca="1" si="22"/>
        <v>0</v>
      </c>
      <c r="Z208" s="473"/>
      <c r="AB208" s="337"/>
      <c r="AC208" s="437"/>
      <c r="AD208" s="437"/>
      <c r="AE208" s="437"/>
      <c r="AF208" s="437"/>
      <c r="AG208" s="437"/>
      <c r="AH208" s="437"/>
      <c r="AI208" s="437"/>
      <c r="AJ208" s="437"/>
      <c r="AK208" s="437"/>
      <c r="AL208" s="437"/>
      <c r="AM208" s="338"/>
      <c r="AO208" cm="1">
        <f t="array" aca="1" ref="AO208" ca="1">IF($A208="S",IF(BM!$I208=0,0,CHOOSE(MATCH(RegimeExecucao,{"Global","Unitário"},0),ROUND(ROUND(BM.MEDAcumulado,15-13*BM!$A$9)/100*BM!$I208,15-13*ORÇAMENTO!$AF$11),ROUND(ROUND(BM.MEDAcumulado,15-13*BM!$A$9)*ROUND(BM!$H208,15-13*ORÇAMENTO!$AF$10),15-13*ORÇAMENTO!$AF$11))),IF($A208=0,0,ROUND(SomaAgrupBM,15-13*ORÇAMENTO!$AF$11)))</f>
        <v>0</v>
      </c>
    </row>
    <row r="209" spans="1:41" ht="38.25" x14ac:dyDescent="0.2">
      <c r="A209" t="str">
        <f ca="1">ORÇAMENTO!C209</f>
        <v>S</v>
      </c>
      <c r="B209">
        <f ca="1">ORÇAMENTO!D209</f>
        <v>0</v>
      </c>
      <c r="C209" s="114" t="str">
        <f t="shared" ca="1" si="16"/>
        <v/>
      </c>
      <c r="D209" s="117" t="str">
        <f ca="1">ORÇAMENTO!O209</f>
        <v>-</v>
      </c>
      <c r="E209" s="163" t="str">
        <f t="shared" ca="1" si="23"/>
        <v>(Código não identificado nas referências)</v>
      </c>
      <c r="F209" s="164" t="str" cm="1">
        <f t="array" aca="1" ref="F209" ca="1">IF(RegimeExecucao="Global","",ORÇAMENTO.Unidade)</f>
        <v/>
      </c>
      <c r="G209" s="122" t="str" cm="1">
        <f t="array" aca="1" ref="G209" ca="1">IF(RegimeExecucao="Global","",ORÇAMENTO!T209)</f>
        <v/>
      </c>
      <c r="H209" s="122" t="str" cm="1">
        <f t="array" aca="1" ref="H209" ca="1">IF(RegimeExecucao="Global","",ORÇAMENTO!W209)</f>
        <v/>
      </c>
      <c r="I209" s="125">
        <f ca="1">ORÇAMENTO!X209</f>
        <v>0</v>
      </c>
      <c r="J209" s="333" cm="1">
        <f t="array" aca="1" ref="J209" ca="1">IF($A209="S",IF(CAIXA.Modo,BM.AFAnterior,BM.MEDAnterior),IF(AND(RegimeExecucao="Global",$I209&gt;0,COUNTIF($AB$13:$AM$13,BM.medicao-1)&gt;0),M209/$I209*100,0))</f>
        <v>0</v>
      </c>
      <c r="K209" s="122">
        <f t="shared" ca="1" si="18"/>
        <v>0</v>
      </c>
      <c r="L209" s="334" cm="1">
        <f t="array" aca="1" ref="L209" ca="1">IF($A209="S",IF(CAIXA.Modo,BM.AFAcumulado,BM.MEDAcumulado),IF(AND(RegimeExecucao="Global",$I209&gt;0,COUNTIF($AB$13:$AM$13,BM.medicao)&gt;0),O209/$I209*100,0))</f>
        <v>0</v>
      </c>
      <c r="M209" s="335" cm="1">
        <f t="array" aca="1" ref="M209" ca="1">IF($A209="S",VTOTALBM,IF($A209=0,0,ROUND(SomaAgrupBM,15-13*ORÇAMENTO!$AF$11)))</f>
        <v>0</v>
      </c>
      <c r="N209" s="336">
        <f t="shared" ca="1" si="19"/>
        <v>0</v>
      </c>
      <c r="O209" s="125" cm="1">
        <f t="array" aca="1" ref="O209" ca="1">IF($A209="S",VTOTALBM,IF($A209=0,0,ROUND(SomaAgrupBM,15-13*ORÇAMENTO!$AF$11)))</f>
        <v>0</v>
      </c>
      <c r="Q209" s="337"/>
      <c r="R209" s="338"/>
      <c r="T209" s="117" t="str">
        <f t="shared" ca="1" si="20"/>
        <v/>
      </c>
      <c r="U209" s="163" t="str">
        <f t="shared" ca="1" si="21"/>
        <v/>
      </c>
      <c r="V209" s="164" t="str" cm="1">
        <f t="array" aca="1" ref="V209" ca="1">IF(AND($W209&gt;0,RegimeExecucao="Unitário"),$F209,"")</f>
        <v/>
      </c>
      <c r="W209" s="454" cm="1">
        <f t="array" aca="1" ref="W209" ca="1">IF($Y209&gt;0,CHOOSE(MATCH(RegimeExecucao,{"Unitário","Global"},0),IF($A209="S",$Y209/$X209,""),($Y209/$X209)*100),0)</f>
        <v>0</v>
      </c>
      <c r="X209" s="339" t="str" cm="1">
        <f t="array" aca="1" ref="X209" ca="1">IF($Y209&gt;0,CHOOSE(MATCH(RegimeExecucao,{"Unitário","Global"},0),IF($A209="S",ROUND($H209,ORÇAMENTO!$AF$10),""),ROUND($I209,ORÇAMENTO!$AF$11)),"")</f>
        <v/>
      </c>
      <c r="Y209" s="339">
        <f t="shared" ca="1" si="22"/>
        <v>0</v>
      </c>
      <c r="Z209" s="473"/>
      <c r="AB209" s="337"/>
      <c r="AC209" s="437"/>
      <c r="AD209" s="437"/>
      <c r="AE209" s="437"/>
      <c r="AF209" s="437"/>
      <c r="AG209" s="437"/>
      <c r="AH209" s="437"/>
      <c r="AI209" s="437"/>
      <c r="AJ209" s="437"/>
      <c r="AK209" s="437"/>
      <c r="AL209" s="437"/>
      <c r="AM209" s="338"/>
      <c r="AO209" cm="1">
        <f t="array" aca="1" ref="AO209" ca="1">IF($A209="S",IF(BM!$I209=0,0,CHOOSE(MATCH(RegimeExecucao,{"Global","Unitário"},0),ROUND(ROUND(BM.MEDAcumulado,15-13*BM!$A$9)/100*BM!$I209,15-13*ORÇAMENTO!$AF$11),ROUND(ROUND(BM.MEDAcumulado,15-13*BM!$A$9)*ROUND(BM!$H209,15-13*ORÇAMENTO!$AF$10),15-13*ORÇAMENTO!$AF$11))),IF($A209=0,0,ROUND(SomaAgrupBM,15-13*ORÇAMENTO!$AF$11)))</f>
        <v>0</v>
      </c>
    </row>
    <row r="210" spans="1:41" ht="38.25" x14ac:dyDescent="0.2">
      <c r="A210" t="str">
        <f ca="1">ORÇAMENTO!C210</f>
        <v>S</v>
      </c>
      <c r="B210">
        <f ca="1">ORÇAMENTO!D210</f>
        <v>0</v>
      </c>
      <c r="C210" s="114" t="str">
        <f t="shared" ca="1" si="16"/>
        <v/>
      </c>
      <c r="D210" s="117" t="str">
        <f ca="1">ORÇAMENTO!O210</f>
        <v>-</v>
      </c>
      <c r="E210" s="163" t="str">
        <f t="shared" ca="1" si="23"/>
        <v>(Código não identificado nas referências)</v>
      </c>
      <c r="F210" s="164" t="str" cm="1">
        <f t="array" aca="1" ref="F210" ca="1">IF(RegimeExecucao="Global","",ORÇAMENTO.Unidade)</f>
        <v/>
      </c>
      <c r="G210" s="122" t="str" cm="1">
        <f t="array" aca="1" ref="G210" ca="1">IF(RegimeExecucao="Global","",ORÇAMENTO!T210)</f>
        <v/>
      </c>
      <c r="H210" s="122" t="str" cm="1">
        <f t="array" aca="1" ref="H210" ca="1">IF(RegimeExecucao="Global","",ORÇAMENTO!W210)</f>
        <v/>
      </c>
      <c r="I210" s="125">
        <f ca="1">ORÇAMENTO!X210</f>
        <v>0</v>
      </c>
      <c r="J210" s="333" cm="1">
        <f t="array" aca="1" ref="J210" ca="1">IF($A210="S",IF(CAIXA.Modo,BM.AFAnterior,BM.MEDAnterior),IF(AND(RegimeExecucao="Global",$I210&gt;0,COUNTIF($AB$13:$AM$13,BM.medicao-1)&gt;0),M210/$I210*100,0))</f>
        <v>0</v>
      </c>
      <c r="K210" s="122">
        <f t="shared" ca="1" si="18"/>
        <v>0</v>
      </c>
      <c r="L210" s="334" cm="1">
        <f t="array" aca="1" ref="L210" ca="1">IF($A210="S",IF(CAIXA.Modo,BM.AFAcumulado,BM.MEDAcumulado),IF(AND(RegimeExecucao="Global",$I210&gt;0,COUNTIF($AB$13:$AM$13,BM.medicao)&gt;0),O210/$I210*100,0))</f>
        <v>0</v>
      </c>
      <c r="M210" s="335" cm="1">
        <f t="array" aca="1" ref="M210" ca="1">IF($A210="S",VTOTALBM,IF($A210=0,0,ROUND(SomaAgrupBM,15-13*ORÇAMENTO!$AF$11)))</f>
        <v>0</v>
      </c>
      <c r="N210" s="336">
        <f t="shared" ca="1" si="19"/>
        <v>0</v>
      </c>
      <c r="O210" s="125" cm="1">
        <f t="array" aca="1" ref="O210" ca="1">IF($A210="S",VTOTALBM,IF($A210=0,0,ROUND(SomaAgrupBM,15-13*ORÇAMENTO!$AF$11)))</f>
        <v>0</v>
      </c>
      <c r="Q210" s="337"/>
      <c r="R210" s="338"/>
      <c r="T210" s="117" t="str">
        <f t="shared" ca="1" si="20"/>
        <v/>
      </c>
      <c r="U210" s="163" t="str">
        <f t="shared" ca="1" si="21"/>
        <v/>
      </c>
      <c r="V210" s="164" t="str" cm="1">
        <f t="array" aca="1" ref="V210" ca="1">IF(AND($W210&gt;0,RegimeExecucao="Unitário"),$F210,"")</f>
        <v/>
      </c>
      <c r="W210" s="454" cm="1">
        <f t="array" aca="1" ref="W210" ca="1">IF($Y210&gt;0,CHOOSE(MATCH(RegimeExecucao,{"Unitário","Global"},0),IF($A210="S",$Y210/$X210,""),($Y210/$X210)*100),0)</f>
        <v>0</v>
      </c>
      <c r="X210" s="339" t="str" cm="1">
        <f t="array" aca="1" ref="X210" ca="1">IF($Y210&gt;0,CHOOSE(MATCH(RegimeExecucao,{"Unitário","Global"},0),IF($A210="S",ROUND($H210,ORÇAMENTO!$AF$10),""),ROUND($I210,ORÇAMENTO!$AF$11)),"")</f>
        <v/>
      </c>
      <c r="Y210" s="339">
        <f t="shared" ca="1" si="22"/>
        <v>0</v>
      </c>
      <c r="Z210" s="473"/>
      <c r="AB210" s="337"/>
      <c r="AC210" s="437"/>
      <c r="AD210" s="437"/>
      <c r="AE210" s="437"/>
      <c r="AF210" s="437"/>
      <c r="AG210" s="437"/>
      <c r="AH210" s="437"/>
      <c r="AI210" s="437"/>
      <c r="AJ210" s="437"/>
      <c r="AK210" s="437"/>
      <c r="AL210" s="437"/>
      <c r="AM210" s="338"/>
      <c r="AO210" cm="1">
        <f t="array" aca="1" ref="AO210" ca="1">IF($A210="S",IF(BM!$I210=0,0,CHOOSE(MATCH(RegimeExecucao,{"Global","Unitário"},0),ROUND(ROUND(BM.MEDAcumulado,15-13*BM!$A$9)/100*BM!$I210,15-13*ORÇAMENTO!$AF$11),ROUND(ROUND(BM.MEDAcumulado,15-13*BM!$A$9)*ROUND(BM!$H210,15-13*ORÇAMENTO!$AF$10),15-13*ORÇAMENTO!$AF$11))),IF($A210=0,0,ROUND(SomaAgrupBM,15-13*ORÇAMENTO!$AF$11)))</f>
        <v>0</v>
      </c>
    </row>
    <row r="211" spans="1:41" ht="51" x14ac:dyDescent="0.2">
      <c r="A211" t="str">
        <f ca="1">ORÇAMENTO!C211</f>
        <v>S</v>
      </c>
      <c r="B211">
        <f ca="1">ORÇAMENTO!D211</f>
        <v>0</v>
      </c>
      <c r="C211" s="114" t="str">
        <f t="shared" ca="1" si="16"/>
        <v/>
      </c>
      <c r="D211" s="117" t="str">
        <f ca="1">ORÇAMENTO!O211</f>
        <v>-</v>
      </c>
      <c r="E211" s="163" t="str">
        <f t="shared" ca="1" si="23"/>
        <v>(Código não identificado nas referências)</v>
      </c>
      <c r="F211" s="164" t="str" cm="1">
        <f t="array" aca="1" ref="F211" ca="1">IF(RegimeExecucao="Global","",ORÇAMENTO.Unidade)</f>
        <v/>
      </c>
      <c r="G211" s="122" t="str" cm="1">
        <f t="array" aca="1" ref="G211" ca="1">IF(RegimeExecucao="Global","",ORÇAMENTO!T211)</f>
        <v/>
      </c>
      <c r="H211" s="122" t="str" cm="1">
        <f t="array" aca="1" ref="H211" ca="1">IF(RegimeExecucao="Global","",ORÇAMENTO!W211)</f>
        <v/>
      </c>
      <c r="I211" s="125">
        <f ca="1">ORÇAMENTO!X211</f>
        <v>0</v>
      </c>
      <c r="J211" s="333" cm="1">
        <f t="array" aca="1" ref="J211" ca="1">IF($A211="S",IF(CAIXA.Modo,BM.AFAnterior,BM.MEDAnterior),IF(AND(RegimeExecucao="Global",$I211&gt;0,COUNTIF($AB$13:$AM$13,BM.medicao-1)&gt;0),M211/$I211*100,0))</f>
        <v>0</v>
      </c>
      <c r="K211" s="122">
        <f t="shared" ca="1" si="18"/>
        <v>0</v>
      </c>
      <c r="L211" s="334" cm="1">
        <f t="array" aca="1" ref="L211" ca="1">IF($A211="S",IF(CAIXA.Modo,BM.AFAcumulado,BM.MEDAcumulado),IF(AND(RegimeExecucao="Global",$I211&gt;0,COUNTIF($AB$13:$AM$13,BM.medicao)&gt;0),O211/$I211*100,0))</f>
        <v>0</v>
      </c>
      <c r="M211" s="335" cm="1">
        <f t="array" aca="1" ref="M211" ca="1">IF($A211="S",VTOTALBM,IF($A211=0,0,ROUND(SomaAgrupBM,15-13*ORÇAMENTO!$AF$11)))</f>
        <v>0</v>
      </c>
      <c r="N211" s="336">
        <f t="shared" ca="1" si="19"/>
        <v>0</v>
      </c>
      <c r="O211" s="125" cm="1">
        <f t="array" aca="1" ref="O211" ca="1">IF($A211="S",VTOTALBM,IF($A211=0,0,ROUND(SomaAgrupBM,15-13*ORÇAMENTO!$AF$11)))</f>
        <v>0</v>
      </c>
      <c r="Q211" s="337"/>
      <c r="R211" s="338"/>
      <c r="T211" s="117" t="str">
        <f t="shared" ca="1" si="20"/>
        <v/>
      </c>
      <c r="U211" s="163" t="str">
        <f t="shared" ca="1" si="21"/>
        <v/>
      </c>
      <c r="V211" s="164" t="str" cm="1">
        <f t="array" aca="1" ref="V211" ca="1">IF(AND($W211&gt;0,RegimeExecucao="Unitário"),$F211,"")</f>
        <v/>
      </c>
      <c r="W211" s="454" cm="1">
        <f t="array" aca="1" ref="W211" ca="1">IF($Y211&gt;0,CHOOSE(MATCH(RegimeExecucao,{"Unitário","Global"},0),IF($A211="S",$Y211/$X211,""),($Y211/$X211)*100),0)</f>
        <v>0</v>
      </c>
      <c r="X211" s="339" t="str" cm="1">
        <f t="array" aca="1" ref="X211" ca="1">IF($Y211&gt;0,CHOOSE(MATCH(RegimeExecucao,{"Unitário","Global"},0),IF($A211="S",ROUND($H211,ORÇAMENTO!$AF$10),""),ROUND($I211,ORÇAMENTO!$AF$11)),"")</f>
        <v/>
      </c>
      <c r="Y211" s="339">
        <f t="shared" ca="1" si="22"/>
        <v>0</v>
      </c>
      <c r="Z211" s="473"/>
      <c r="AB211" s="337"/>
      <c r="AC211" s="437"/>
      <c r="AD211" s="437"/>
      <c r="AE211" s="437"/>
      <c r="AF211" s="437"/>
      <c r="AG211" s="437"/>
      <c r="AH211" s="437"/>
      <c r="AI211" s="437"/>
      <c r="AJ211" s="437"/>
      <c r="AK211" s="437"/>
      <c r="AL211" s="437"/>
      <c r="AM211" s="338"/>
      <c r="AO211" cm="1">
        <f t="array" aca="1" ref="AO211" ca="1">IF($A211="S",IF(BM!$I211=0,0,CHOOSE(MATCH(RegimeExecucao,{"Global","Unitário"},0),ROUND(ROUND(BM.MEDAcumulado,15-13*BM!$A$9)/100*BM!$I211,15-13*ORÇAMENTO!$AF$11),ROUND(ROUND(BM.MEDAcumulado,15-13*BM!$A$9)*ROUND(BM!$H211,15-13*ORÇAMENTO!$AF$10),15-13*ORÇAMENTO!$AF$11))),IF($A211=0,0,ROUND(SomaAgrupBM,15-13*ORÇAMENTO!$AF$11)))</f>
        <v>0</v>
      </c>
    </row>
    <row r="212" spans="1:41" ht="38.25" x14ac:dyDescent="0.2">
      <c r="A212" t="str">
        <f ca="1">ORÇAMENTO!C212</f>
        <v>S</v>
      </c>
      <c r="B212">
        <f ca="1">ORÇAMENTO!D212</f>
        <v>0</v>
      </c>
      <c r="C212" s="114" t="str">
        <f t="shared" ca="1" si="16"/>
        <v/>
      </c>
      <c r="D212" s="117" t="str">
        <f ca="1">ORÇAMENTO!O212</f>
        <v>-</v>
      </c>
      <c r="E212" s="163" t="str">
        <f t="shared" ca="1" si="23"/>
        <v>(Código não identificado nas referências)</v>
      </c>
      <c r="F212" s="164" t="str" cm="1">
        <f t="array" aca="1" ref="F212" ca="1">IF(RegimeExecucao="Global","",ORÇAMENTO.Unidade)</f>
        <v/>
      </c>
      <c r="G212" s="122" t="str" cm="1">
        <f t="array" aca="1" ref="G212" ca="1">IF(RegimeExecucao="Global","",ORÇAMENTO!T212)</f>
        <v/>
      </c>
      <c r="H212" s="122" t="str" cm="1">
        <f t="array" aca="1" ref="H212" ca="1">IF(RegimeExecucao="Global","",ORÇAMENTO!W212)</f>
        <v/>
      </c>
      <c r="I212" s="125">
        <f ca="1">ORÇAMENTO!X212</f>
        <v>0</v>
      </c>
      <c r="J212" s="333" cm="1">
        <f t="array" aca="1" ref="J212" ca="1">IF($A212="S",IF(CAIXA.Modo,BM.AFAnterior,BM.MEDAnterior),IF(AND(RegimeExecucao="Global",$I212&gt;0,COUNTIF($AB$13:$AM$13,BM.medicao-1)&gt;0),M212/$I212*100,0))</f>
        <v>0</v>
      </c>
      <c r="K212" s="122">
        <f t="shared" ca="1" si="18"/>
        <v>0</v>
      </c>
      <c r="L212" s="334" cm="1">
        <f t="array" aca="1" ref="L212" ca="1">IF($A212="S",IF(CAIXA.Modo,BM.AFAcumulado,BM.MEDAcumulado),IF(AND(RegimeExecucao="Global",$I212&gt;0,COUNTIF($AB$13:$AM$13,BM.medicao)&gt;0),O212/$I212*100,0))</f>
        <v>0</v>
      </c>
      <c r="M212" s="335" cm="1">
        <f t="array" aca="1" ref="M212" ca="1">IF($A212="S",VTOTALBM,IF($A212=0,0,ROUND(SomaAgrupBM,15-13*ORÇAMENTO!$AF$11)))</f>
        <v>0</v>
      </c>
      <c r="N212" s="336">
        <f t="shared" ca="1" si="19"/>
        <v>0</v>
      </c>
      <c r="O212" s="125" cm="1">
        <f t="array" aca="1" ref="O212" ca="1">IF($A212="S",VTOTALBM,IF($A212=0,0,ROUND(SomaAgrupBM,15-13*ORÇAMENTO!$AF$11)))</f>
        <v>0</v>
      </c>
      <c r="Q212" s="337"/>
      <c r="R212" s="338"/>
      <c r="T212" s="117" t="str">
        <f t="shared" ca="1" si="20"/>
        <v/>
      </c>
      <c r="U212" s="163" t="str">
        <f t="shared" ca="1" si="21"/>
        <v/>
      </c>
      <c r="V212" s="164" t="str" cm="1">
        <f t="array" aca="1" ref="V212" ca="1">IF(AND($W212&gt;0,RegimeExecucao="Unitário"),$F212,"")</f>
        <v/>
      </c>
      <c r="W212" s="454" cm="1">
        <f t="array" aca="1" ref="W212" ca="1">IF($Y212&gt;0,CHOOSE(MATCH(RegimeExecucao,{"Unitário","Global"},0),IF($A212="S",$Y212/$X212,""),($Y212/$X212)*100),0)</f>
        <v>0</v>
      </c>
      <c r="X212" s="339" t="str" cm="1">
        <f t="array" aca="1" ref="X212" ca="1">IF($Y212&gt;0,CHOOSE(MATCH(RegimeExecucao,{"Unitário","Global"},0),IF($A212="S",ROUND($H212,ORÇAMENTO!$AF$10),""),ROUND($I212,ORÇAMENTO!$AF$11)),"")</f>
        <v/>
      </c>
      <c r="Y212" s="339">
        <f t="shared" ca="1" si="22"/>
        <v>0</v>
      </c>
      <c r="Z212" s="473"/>
      <c r="AB212" s="337"/>
      <c r="AC212" s="437"/>
      <c r="AD212" s="437"/>
      <c r="AE212" s="437"/>
      <c r="AF212" s="437"/>
      <c r="AG212" s="437"/>
      <c r="AH212" s="437"/>
      <c r="AI212" s="437"/>
      <c r="AJ212" s="437"/>
      <c r="AK212" s="437"/>
      <c r="AL212" s="437"/>
      <c r="AM212" s="338"/>
      <c r="AO212" cm="1">
        <f t="array" aca="1" ref="AO212" ca="1">IF($A212="S",IF(BM!$I212=0,0,CHOOSE(MATCH(RegimeExecucao,{"Global","Unitário"},0),ROUND(ROUND(BM.MEDAcumulado,15-13*BM!$A$9)/100*BM!$I212,15-13*ORÇAMENTO!$AF$11),ROUND(ROUND(BM.MEDAcumulado,15-13*BM!$A$9)*ROUND(BM!$H212,15-13*ORÇAMENTO!$AF$10),15-13*ORÇAMENTO!$AF$11))),IF($A212=0,0,ROUND(SomaAgrupBM,15-13*ORÇAMENTO!$AF$11)))</f>
        <v>0</v>
      </c>
    </row>
    <row r="213" spans="1:41" ht="38.25" x14ac:dyDescent="0.2">
      <c r="A213" t="str">
        <f ca="1">ORÇAMENTO!C213</f>
        <v>S</v>
      </c>
      <c r="B213">
        <f ca="1">ORÇAMENTO!D213</f>
        <v>0</v>
      </c>
      <c r="C213" s="114" t="str">
        <f t="shared" ref="C213:C243" ca="1" si="24">IF(OR($I213&gt;0,$A213=1,$A213=2,$A213=3,$A213=4),"F","")</f>
        <v/>
      </c>
      <c r="D213" s="117" t="str">
        <f ca="1">ORÇAMENTO!O213</f>
        <v>-</v>
      </c>
      <c r="E213" s="163" t="str">
        <f t="shared" ref="E213:E243" ca="1" si="25">ORÇAMENTO.Descricao</f>
        <v>(Código não identificado nas referências)</v>
      </c>
      <c r="F213" s="164" t="str" cm="1">
        <f t="array" aca="1" ref="F213" ca="1">IF(RegimeExecucao="Global","",ORÇAMENTO.Unidade)</f>
        <v/>
      </c>
      <c r="G213" s="122" t="str" cm="1">
        <f t="array" aca="1" ref="G213" ca="1">IF(RegimeExecucao="Global","",ORÇAMENTO!T213)</f>
        <v/>
      </c>
      <c r="H213" s="122" t="str" cm="1">
        <f t="array" aca="1" ref="H213" ca="1">IF(RegimeExecucao="Global","",ORÇAMENTO!W213)</f>
        <v/>
      </c>
      <c r="I213" s="125">
        <f ca="1">ORÇAMENTO!X213</f>
        <v>0</v>
      </c>
      <c r="J213" s="333" cm="1">
        <f t="array" aca="1" ref="J213" ca="1">IF($A213="S",IF(CAIXA.Modo,BM.AFAnterior,BM.MEDAnterior),IF(AND(RegimeExecucao="Global",$I213&gt;0,COUNTIF($AB$13:$AM$13,BM.medicao-1)&gt;0),M213/$I213*100,0))</f>
        <v>0</v>
      </c>
      <c r="K213" s="122">
        <f t="shared" ref="K213:K243" ca="1" si="26">L213-J213</f>
        <v>0</v>
      </c>
      <c r="L213" s="334" cm="1">
        <f t="array" aca="1" ref="L213" ca="1">IF($A213="S",IF(CAIXA.Modo,BM.AFAcumulado,BM.MEDAcumulado),IF(AND(RegimeExecucao="Global",$I213&gt;0,COUNTIF($AB$13:$AM$13,BM.medicao)&gt;0),O213/$I213*100,0))</f>
        <v>0</v>
      </c>
      <c r="M213" s="335" cm="1">
        <f t="array" aca="1" ref="M213" ca="1">IF($A213="S",VTOTALBM,IF($A213=0,0,ROUND(SomaAgrupBM,15-13*ORÇAMENTO!$AF$11)))</f>
        <v>0</v>
      </c>
      <c r="N213" s="336">
        <f t="shared" ref="N213:N243" ca="1" si="27">O213-M213</f>
        <v>0</v>
      </c>
      <c r="O213" s="125" cm="1">
        <f t="array" aca="1" ref="O213" ca="1">IF($A213="S",VTOTALBM,IF($A213=0,0,ROUND(SomaAgrupBM,15-13*ORÇAMENTO!$AF$11)))</f>
        <v>0</v>
      </c>
      <c r="Q213" s="337"/>
      <c r="R213" s="338"/>
      <c r="T213" s="117" t="str">
        <f t="shared" ref="T213:T243" ca="1" si="28">IF($W213&gt;0,$D213,"")</f>
        <v/>
      </c>
      <c r="U213" s="163" t="str">
        <f t="shared" ref="U213:U243" ca="1" si="29">IF($W213&gt;0,$E213,"")</f>
        <v/>
      </c>
      <c r="V213" s="164" t="str" cm="1">
        <f t="array" aca="1" ref="V213" ca="1">IF(AND($W213&gt;0,RegimeExecucao="Unitário"),$F213,"")</f>
        <v/>
      </c>
      <c r="W213" s="454" cm="1">
        <f t="array" aca="1" ref="W213" ca="1">IF($Y213&gt;0,CHOOSE(MATCH(RegimeExecucao,{"Unitário","Global"},0),IF($A213="S",$Y213/$X213,""),($Y213/$X213)*100),0)</f>
        <v>0</v>
      </c>
      <c r="X213" s="339" t="str" cm="1">
        <f t="array" aca="1" ref="X213" ca="1">IF($Y213&gt;0,CHOOSE(MATCH(RegimeExecucao,{"Unitário","Global"},0),IF($A213="S",ROUND($H213,ORÇAMENTO!$AF$10),""),ROUND($I213,ORÇAMENTO!$AF$11)),"")</f>
        <v/>
      </c>
      <c r="Y213" s="339">
        <f t="shared" ref="Y213:Y243" ca="1" si="30">AO213-O213</f>
        <v>0</v>
      </c>
      <c r="Z213" s="473"/>
      <c r="AB213" s="337"/>
      <c r="AC213" s="437"/>
      <c r="AD213" s="437"/>
      <c r="AE213" s="437"/>
      <c r="AF213" s="437"/>
      <c r="AG213" s="437"/>
      <c r="AH213" s="437"/>
      <c r="AI213" s="437"/>
      <c r="AJ213" s="437"/>
      <c r="AK213" s="437"/>
      <c r="AL213" s="437"/>
      <c r="AM213" s="338"/>
      <c r="AO213" cm="1">
        <f t="array" aca="1" ref="AO213" ca="1">IF($A213="S",IF(BM!$I213=0,0,CHOOSE(MATCH(RegimeExecucao,{"Global","Unitário"},0),ROUND(ROUND(BM.MEDAcumulado,15-13*BM!$A$9)/100*BM!$I213,15-13*ORÇAMENTO!$AF$11),ROUND(ROUND(BM.MEDAcumulado,15-13*BM!$A$9)*ROUND(BM!$H213,15-13*ORÇAMENTO!$AF$10),15-13*ORÇAMENTO!$AF$11))),IF($A213=0,0,ROUND(SomaAgrupBM,15-13*ORÇAMENTO!$AF$11)))</f>
        <v>0</v>
      </c>
    </row>
    <row r="214" spans="1:41" ht="38.25" x14ac:dyDescent="0.2">
      <c r="A214" t="str">
        <f ca="1">ORÇAMENTO!C214</f>
        <v>S</v>
      </c>
      <c r="B214">
        <f ca="1">ORÇAMENTO!D214</f>
        <v>0</v>
      </c>
      <c r="C214" s="114" t="str">
        <f t="shared" ca="1" si="24"/>
        <v/>
      </c>
      <c r="D214" s="117" t="str">
        <f ca="1">ORÇAMENTO!O214</f>
        <v>-</v>
      </c>
      <c r="E214" s="163" t="str">
        <f t="shared" ca="1" si="25"/>
        <v>(Código não identificado nas referências)</v>
      </c>
      <c r="F214" s="164" t="str" cm="1">
        <f t="array" aca="1" ref="F214" ca="1">IF(RegimeExecucao="Global","",ORÇAMENTO.Unidade)</f>
        <v/>
      </c>
      <c r="G214" s="122" t="str" cm="1">
        <f t="array" aca="1" ref="G214" ca="1">IF(RegimeExecucao="Global","",ORÇAMENTO!T214)</f>
        <v/>
      </c>
      <c r="H214" s="122" t="str" cm="1">
        <f t="array" aca="1" ref="H214" ca="1">IF(RegimeExecucao="Global","",ORÇAMENTO!W214)</f>
        <v/>
      </c>
      <c r="I214" s="125">
        <f ca="1">ORÇAMENTO!X214</f>
        <v>0</v>
      </c>
      <c r="J214" s="333" cm="1">
        <f t="array" aca="1" ref="J214" ca="1">IF($A214="S",IF(CAIXA.Modo,BM.AFAnterior,BM.MEDAnterior),IF(AND(RegimeExecucao="Global",$I214&gt;0,COUNTIF($AB$13:$AM$13,BM.medicao-1)&gt;0),M214/$I214*100,0))</f>
        <v>0</v>
      </c>
      <c r="K214" s="122">
        <f t="shared" ca="1" si="26"/>
        <v>0</v>
      </c>
      <c r="L214" s="334" cm="1">
        <f t="array" aca="1" ref="L214" ca="1">IF($A214="S",IF(CAIXA.Modo,BM.AFAcumulado,BM.MEDAcumulado),IF(AND(RegimeExecucao="Global",$I214&gt;0,COUNTIF($AB$13:$AM$13,BM.medicao)&gt;0),O214/$I214*100,0))</f>
        <v>0</v>
      </c>
      <c r="M214" s="335" cm="1">
        <f t="array" aca="1" ref="M214" ca="1">IF($A214="S",VTOTALBM,IF($A214=0,0,ROUND(SomaAgrupBM,15-13*ORÇAMENTO!$AF$11)))</f>
        <v>0</v>
      </c>
      <c r="N214" s="336">
        <f t="shared" ca="1" si="27"/>
        <v>0</v>
      </c>
      <c r="O214" s="125" cm="1">
        <f t="array" aca="1" ref="O214" ca="1">IF($A214="S",VTOTALBM,IF($A214=0,0,ROUND(SomaAgrupBM,15-13*ORÇAMENTO!$AF$11)))</f>
        <v>0</v>
      </c>
      <c r="Q214" s="337"/>
      <c r="R214" s="338"/>
      <c r="T214" s="117" t="str">
        <f t="shared" ca="1" si="28"/>
        <v/>
      </c>
      <c r="U214" s="163" t="str">
        <f t="shared" ca="1" si="29"/>
        <v/>
      </c>
      <c r="V214" s="164" t="str" cm="1">
        <f t="array" aca="1" ref="V214" ca="1">IF(AND($W214&gt;0,RegimeExecucao="Unitário"),$F214,"")</f>
        <v/>
      </c>
      <c r="W214" s="454" cm="1">
        <f t="array" aca="1" ref="W214" ca="1">IF($Y214&gt;0,CHOOSE(MATCH(RegimeExecucao,{"Unitário","Global"},0),IF($A214="S",$Y214/$X214,""),($Y214/$X214)*100),0)</f>
        <v>0</v>
      </c>
      <c r="X214" s="339" t="str" cm="1">
        <f t="array" aca="1" ref="X214" ca="1">IF($Y214&gt;0,CHOOSE(MATCH(RegimeExecucao,{"Unitário","Global"},0),IF($A214="S",ROUND($H214,ORÇAMENTO!$AF$10),""),ROUND($I214,ORÇAMENTO!$AF$11)),"")</f>
        <v/>
      </c>
      <c r="Y214" s="339">
        <f t="shared" ca="1" si="30"/>
        <v>0</v>
      </c>
      <c r="Z214" s="473"/>
      <c r="AB214" s="337"/>
      <c r="AC214" s="437"/>
      <c r="AD214" s="437"/>
      <c r="AE214" s="437"/>
      <c r="AF214" s="437"/>
      <c r="AG214" s="437"/>
      <c r="AH214" s="437"/>
      <c r="AI214" s="437"/>
      <c r="AJ214" s="437"/>
      <c r="AK214" s="437"/>
      <c r="AL214" s="437"/>
      <c r="AM214" s="338"/>
      <c r="AO214" cm="1">
        <f t="array" aca="1" ref="AO214" ca="1">IF($A214="S",IF(BM!$I214=0,0,CHOOSE(MATCH(RegimeExecucao,{"Global","Unitário"},0),ROUND(ROUND(BM.MEDAcumulado,15-13*BM!$A$9)/100*BM!$I214,15-13*ORÇAMENTO!$AF$11),ROUND(ROUND(BM.MEDAcumulado,15-13*BM!$A$9)*ROUND(BM!$H214,15-13*ORÇAMENTO!$AF$10),15-13*ORÇAMENTO!$AF$11))),IF($A214=0,0,ROUND(SomaAgrupBM,15-13*ORÇAMENTO!$AF$11)))</f>
        <v>0</v>
      </c>
    </row>
    <row r="215" spans="1:41" ht="38.25" x14ac:dyDescent="0.2">
      <c r="A215" t="str">
        <f ca="1">ORÇAMENTO!C215</f>
        <v>S</v>
      </c>
      <c r="B215">
        <f ca="1">ORÇAMENTO!D215</f>
        <v>0</v>
      </c>
      <c r="C215" s="114" t="str">
        <f t="shared" ca="1" si="24"/>
        <v/>
      </c>
      <c r="D215" s="117" t="str">
        <f ca="1">ORÇAMENTO!O215</f>
        <v>-</v>
      </c>
      <c r="E215" s="163" t="str">
        <f t="shared" ca="1" si="25"/>
        <v>(Código não identificado nas referências)</v>
      </c>
      <c r="F215" s="164" t="str" cm="1">
        <f t="array" aca="1" ref="F215" ca="1">IF(RegimeExecucao="Global","",ORÇAMENTO.Unidade)</f>
        <v/>
      </c>
      <c r="G215" s="122" t="str" cm="1">
        <f t="array" aca="1" ref="G215" ca="1">IF(RegimeExecucao="Global","",ORÇAMENTO!T215)</f>
        <v/>
      </c>
      <c r="H215" s="122" t="str" cm="1">
        <f t="array" aca="1" ref="H215" ca="1">IF(RegimeExecucao="Global","",ORÇAMENTO!W215)</f>
        <v/>
      </c>
      <c r="I215" s="125">
        <f ca="1">ORÇAMENTO!X215</f>
        <v>0</v>
      </c>
      <c r="J215" s="333" cm="1">
        <f t="array" aca="1" ref="J215" ca="1">IF($A215="S",IF(CAIXA.Modo,BM.AFAnterior,BM.MEDAnterior),IF(AND(RegimeExecucao="Global",$I215&gt;0,COUNTIF($AB$13:$AM$13,BM.medicao-1)&gt;0),M215/$I215*100,0))</f>
        <v>0</v>
      </c>
      <c r="K215" s="122">
        <f t="shared" ca="1" si="26"/>
        <v>0</v>
      </c>
      <c r="L215" s="334" cm="1">
        <f t="array" aca="1" ref="L215" ca="1">IF($A215="S",IF(CAIXA.Modo,BM.AFAcumulado,BM.MEDAcumulado),IF(AND(RegimeExecucao="Global",$I215&gt;0,COUNTIF($AB$13:$AM$13,BM.medicao)&gt;0),O215/$I215*100,0))</f>
        <v>0</v>
      </c>
      <c r="M215" s="335" cm="1">
        <f t="array" aca="1" ref="M215" ca="1">IF($A215="S",VTOTALBM,IF($A215=0,0,ROUND(SomaAgrupBM,15-13*ORÇAMENTO!$AF$11)))</f>
        <v>0</v>
      </c>
      <c r="N215" s="336">
        <f t="shared" ca="1" si="27"/>
        <v>0</v>
      </c>
      <c r="O215" s="125" cm="1">
        <f t="array" aca="1" ref="O215" ca="1">IF($A215="S",VTOTALBM,IF($A215=0,0,ROUND(SomaAgrupBM,15-13*ORÇAMENTO!$AF$11)))</f>
        <v>0</v>
      </c>
      <c r="Q215" s="337"/>
      <c r="R215" s="338"/>
      <c r="T215" s="117" t="str">
        <f t="shared" ca="1" si="28"/>
        <v/>
      </c>
      <c r="U215" s="163" t="str">
        <f t="shared" ca="1" si="29"/>
        <v/>
      </c>
      <c r="V215" s="164" t="str" cm="1">
        <f t="array" aca="1" ref="V215" ca="1">IF(AND($W215&gt;0,RegimeExecucao="Unitário"),$F215,"")</f>
        <v/>
      </c>
      <c r="W215" s="454" cm="1">
        <f t="array" aca="1" ref="W215" ca="1">IF($Y215&gt;0,CHOOSE(MATCH(RegimeExecucao,{"Unitário","Global"},0),IF($A215="S",$Y215/$X215,""),($Y215/$X215)*100),0)</f>
        <v>0</v>
      </c>
      <c r="X215" s="339" t="str" cm="1">
        <f t="array" aca="1" ref="X215" ca="1">IF($Y215&gt;0,CHOOSE(MATCH(RegimeExecucao,{"Unitário","Global"},0),IF($A215="S",ROUND($H215,ORÇAMENTO!$AF$10),""),ROUND($I215,ORÇAMENTO!$AF$11)),"")</f>
        <v/>
      </c>
      <c r="Y215" s="339">
        <f t="shared" ca="1" si="30"/>
        <v>0</v>
      </c>
      <c r="Z215" s="473"/>
      <c r="AB215" s="337"/>
      <c r="AC215" s="437"/>
      <c r="AD215" s="437"/>
      <c r="AE215" s="437"/>
      <c r="AF215" s="437"/>
      <c r="AG215" s="437"/>
      <c r="AH215" s="437"/>
      <c r="AI215" s="437"/>
      <c r="AJ215" s="437"/>
      <c r="AK215" s="437"/>
      <c r="AL215" s="437"/>
      <c r="AM215" s="338"/>
      <c r="AO215" cm="1">
        <f t="array" aca="1" ref="AO215" ca="1">IF($A215="S",IF(BM!$I215=0,0,CHOOSE(MATCH(RegimeExecucao,{"Global","Unitário"},0),ROUND(ROUND(BM.MEDAcumulado,15-13*BM!$A$9)/100*BM!$I215,15-13*ORÇAMENTO!$AF$11),ROUND(ROUND(BM.MEDAcumulado,15-13*BM!$A$9)*ROUND(BM!$H215,15-13*ORÇAMENTO!$AF$10),15-13*ORÇAMENTO!$AF$11))),IF($A215=0,0,ROUND(SomaAgrupBM,15-13*ORÇAMENTO!$AF$11)))</f>
        <v>0</v>
      </c>
    </row>
    <row r="216" spans="1:41" ht="38.25" x14ac:dyDescent="0.2">
      <c r="A216" t="str">
        <f ca="1">ORÇAMENTO!C216</f>
        <v>S</v>
      </c>
      <c r="B216">
        <f ca="1">ORÇAMENTO!D216</f>
        <v>0</v>
      </c>
      <c r="C216" s="114" t="str">
        <f t="shared" ca="1" si="24"/>
        <v/>
      </c>
      <c r="D216" s="117" t="str">
        <f ca="1">ORÇAMENTO!O216</f>
        <v>-</v>
      </c>
      <c r="E216" s="163" t="str">
        <f t="shared" ca="1" si="25"/>
        <v>(Código não identificado nas referências)</v>
      </c>
      <c r="F216" s="164" t="str" cm="1">
        <f t="array" aca="1" ref="F216" ca="1">IF(RegimeExecucao="Global","",ORÇAMENTO.Unidade)</f>
        <v/>
      </c>
      <c r="G216" s="122" t="str" cm="1">
        <f t="array" aca="1" ref="G216" ca="1">IF(RegimeExecucao="Global","",ORÇAMENTO!T216)</f>
        <v/>
      </c>
      <c r="H216" s="122" t="str" cm="1">
        <f t="array" aca="1" ref="H216" ca="1">IF(RegimeExecucao="Global","",ORÇAMENTO!W216)</f>
        <v/>
      </c>
      <c r="I216" s="125">
        <f ca="1">ORÇAMENTO!X216</f>
        <v>0</v>
      </c>
      <c r="J216" s="333" cm="1">
        <f t="array" aca="1" ref="J216" ca="1">IF($A216="S",IF(CAIXA.Modo,BM.AFAnterior,BM.MEDAnterior),IF(AND(RegimeExecucao="Global",$I216&gt;0,COUNTIF($AB$13:$AM$13,BM.medicao-1)&gt;0),M216/$I216*100,0))</f>
        <v>0</v>
      </c>
      <c r="K216" s="122">
        <f t="shared" ca="1" si="26"/>
        <v>0</v>
      </c>
      <c r="L216" s="334" cm="1">
        <f t="array" aca="1" ref="L216" ca="1">IF($A216="S",IF(CAIXA.Modo,BM.AFAcumulado,BM.MEDAcumulado),IF(AND(RegimeExecucao="Global",$I216&gt;0,COUNTIF($AB$13:$AM$13,BM.medicao)&gt;0),O216/$I216*100,0))</f>
        <v>0</v>
      </c>
      <c r="M216" s="335" cm="1">
        <f t="array" aca="1" ref="M216" ca="1">IF($A216="S",VTOTALBM,IF($A216=0,0,ROUND(SomaAgrupBM,15-13*ORÇAMENTO!$AF$11)))</f>
        <v>0</v>
      </c>
      <c r="N216" s="336">
        <f t="shared" ca="1" si="27"/>
        <v>0</v>
      </c>
      <c r="O216" s="125" cm="1">
        <f t="array" aca="1" ref="O216" ca="1">IF($A216="S",VTOTALBM,IF($A216=0,0,ROUND(SomaAgrupBM,15-13*ORÇAMENTO!$AF$11)))</f>
        <v>0</v>
      </c>
      <c r="Q216" s="337"/>
      <c r="R216" s="338"/>
      <c r="T216" s="117" t="str">
        <f t="shared" ca="1" si="28"/>
        <v/>
      </c>
      <c r="U216" s="163" t="str">
        <f t="shared" ca="1" si="29"/>
        <v/>
      </c>
      <c r="V216" s="164" t="str" cm="1">
        <f t="array" aca="1" ref="V216" ca="1">IF(AND($W216&gt;0,RegimeExecucao="Unitário"),$F216,"")</f>
        <v/>
      </c>
      <c r="W216" s="454" cm="1">
        <f t="array" aca="1" ref="W216" ca="1">IF($Y216&gt;0,CHOOSE(MATCH(RegimeExecucao,{"Unitário","Global"},0),IF($A216="S",$Y216/$X216,""),($Y216/$X216)*100),0)</f>
        <v>0</v>
      </c>
      <c r="X216" s="339" t="str" cm="1">
        <f t="array" aca="1" ref="X216" ca="1">IF($Y216&gt;0,CHOOSE(MATCH(RegimeExecucao,{"Unitário","Global"},0),IF($A216="S",ROUND($H216,ORÇAMENTO!$AF$10),""),ROUND($I216,ORÇAMENTO!$AF$11)),"")</f>
        <v/>
      </c>
      <c r="Y216" s="339">
        <f t="shared" ca="1" si="30"/>
        <v>0</v>
      </c>
      <c r="Z216" s="473"/>
      <c r="AB216" s="337"/>
      <c r="AC216" s="437"/>
      <c r="AD216" s="437"/>
      <c r="AE216" s="437"/>
      <c r="AF216" s="437"/>
      <c r="AG216" s="437"/>
      <c r="AH216" s="437"/>
      <c r="AI216" s="437"/>
      <c r="AJ216" s="437"/>
      <c r="AK216" s="437"/>
      <c r="AL216" s="437"/>
      <c r="AM216" s="338"/>
      <c r="AO216" cm="1">
        <f t="array" aca="1" ref="AO216" ca="1">IF($A216="S",IF(BM!$I216=0,0,CHOOSE(MATCH(RegimeExecucao,{"Global","Unitário"},0),ROUND(ROUND(BM.MEDAcumulado,15-13*BM!$A$9)/100*BM!$I216,15-13*ORÇAMENTO!$AF$11),ROUND(ROUND(BM.MEDAcumulado,15-13*BM!$A$9)*ROUND(BM!$H216,15-13*ORÇAMENTO!$AF$10),15-13*ORÇAMENTO!$AF$11))),IF($A216=0,0,ROUND(SomaAgrupBM,15-13*ORÇAMENTO!$AF$11)))</f>
        <v>0</v>
      </c>
    </row>
    <row r="217" spans="1:41" x14ac:dyDescent="0.2">
      <c r="A217">
        <f ca="1">ORÇAMENTO!C217</f>
        <v>3</v>
      </c>
      <c r="B217">
        <f ca="1">ORÇAMENTO!D217</f>
        <v>8</v>
      </c>
      <c r="C217" s="114" t="str">
        <f t="shared" ca="1" si="24"/>
        <v>F</v>
      </c>
      <c r="D217" s="117" t="str">
        <f ca="1">ORÇAMENTO!O217</f>
        <v>9.3.2.</v>
      </c>
      <c r="E217" s="163" t="str">
        <f t="shared" si="25"/>
        <v>ACESSÓRIOS / CAIXAS SANITÁRIAS</v>
      </c>
      <c r="F217" s="164" t="str" cm="1">
        <f t="array" aca="1" ref="F217" ca="1">IF(RegimeExecucao="Global","",ORÇAMENTO.Unidade)</f>
        <v/>
      </c>
      <c r="G217" s="122" t="str" cm="1">
        <f t="array" aca="1" ref="G217" ca="1">IF(RegimeExecucao="Global","",ORÇAMENTO!T217)</f>
        <v/>
      </c>
      <c r="H217" s="122" t="str" cm="1">
        <f t="array" aca="1" ref="H217" ca="1">IF(RegimeExecucao="Global","",ORÇAMENTO!W217)</f>
        <v/>
      </c>
      <c r="I217" s="125">
        <f ca="1">ORÇAMENTO!X217</f>
        <v>0</v>
      </c>
      <c r="J217" s="333" cm="1">
        <f t="array" aca="1" ref="J217" ca="1">IF($A217="S",IF(CAIXA.Modo,BM.AFAnterior,BM.MEDAnterior),IF(AND(RegimeExecucao="Global",$I217&gt;0,COUNTIF($AB$13:$AM$13,BM.medicao-1)&gt;0),M217/$I217*100,0))</f>
        <v>0</v>
      </c>
      <c r="K217" s="122">
        <f t="shared" ca="1" si="26"/>
        <v>0</v>
      </c>
      <c r="L217" s="334" cm="1">
        <f t="array" aca="1" ref="L217" ca="1">IF($A217="S",IF(CAIXA.Modo,BM.AFAcumulado,BM.MEDAcumulado),IF(AND(RegimeExecucao="Global",$I217&gt;0,COUNTIF($AB$13:$AM$13,BM.medicao)&gt;0),O217/$I217*100,0))</f>
        <v>0</v>
      </c>
      <c r="M217" s="335" cm="1">
        <f t="array" aca="1" ref="M217" ca="1">IF($A217="S",VTOTALBM,IF($A217=0,0,ROUND(SomaAgrupBM,15-13*ORÇAMENTO!$AF$11)))</f>
        <v>0</v>
      </c>
      <c r="N217" s="336">
        <f t="shared" ca="1" si="27"/>
        <v>0</v>
      </c>
      <c r="O217" s="125" cm="1">
        <f t="array" aca="1" ref="O217" ca="1">IF($A217="S",VTOTALBM,IF($A217=0,0,ROUND(SomaAgrupBM,15-13*ORÇAMENTO!$AF$11)))</f>
        <v>0</v>
      </c>
      <c r="Q217" s="337"/>
      <c r="R217" s="338"/>
      <c r="T217" s="117" t="str">
        <f t="shared" ca="1" si="28"/>
        <v/>
      </c>
      <c r="U217" s="163" t="str">
        <f t="shared" ca="1" si="29"/>
        <v/>
      </c>
      <c r="V217" s="164" t="str" cm="1">
        <f t="array" aca="1" ref="V217" ca="1">IF(AND($W217&gt;0,RegimeExecucao="Unitário"),$F217,"")</f>
        <v/>
      </c>
      <c r="W217" s="454" cm="1">
        <f t="array" aca="1" ref="W217" ca="1">IF($Y217&gt;0,CHOOSE(MATCH(RegimeExecucao,{"Unitário","Global"},0),IF($A217="S",$Y217/$X217,""),($Y217/$X217)*100),0)</f>
        <v>0</v>
      </c>
      <c r="X217" s="339" t="str" cm="1">
        <f t="array" aca="1" ref="X217" ca="1">IF($Y217&gt;0,CHOOSE(MATCH(RegimeExecucao,{"Unitário","Global"},0),IF($A217="S",ROUND($H217,ORÇAMENTO!$AF$10),""),ROUND($I217,ORÇAMENTO!$AF$11)),"")</f>
        <v/>
      </c>
      <c r="Y217" s="339">
        <f t="shared" ca="1" si="30"/>
        <v>0</v>
      </c>
      <c r="Z217" s="473"/>
      <c r="AB217" s="337"/>
      <c r="AC217" s="437"/>
      <c r="AD217" s="437"/>
      <c r="AE217" s="437"/>
      <c r="AF217" s="437"/>
      <c r="AG217" s="437"/>
      <c r="AH217" s="437"/>
      <c r="AI217" s="437"/>
      <c r="AJ217" s="437"/>
      <c r="AK217" s="437"/>
      <c r="AL217" s="437"/>
      <c r="AM217" s="338"/>
      <c r="AO217" cm="1">
        <f t="array" aca="1" ref="AO217" ca="1">IF($A217="S",IF(BM!$I217=0,0,CHOOSE(MATCH(RegimeExecucao,{"Global","Unitário"},0),ROUND(ROUND(BM.MEDAcumulado,15-13*BM!$A$9)/100*BM!$I217,15-13*ORÇAMENTO!$AF$11),ROUND(ROUND(BM.MEDAcumulado,15-13*BM!$A$9)*ROUND(BM!$H217,15-13*ORÇAMENTO!$AF$10),15-13*ORÇAMENTO!$AF$11))),IF($A217=0,0,ROUND(SomaAgrupBM,15-13*ORÇAMENTO!$AF$11)))</f>
        <v>0</v>
      </c>
    </row>
    <row r="218" spans="1:41" ht="38.25" x14ac:dyDescent="0.2">
      <c r="A218" t="str">
        <f ca="1">ORÇAMENTO!C218</f>
        <v>S</v>
      </c>
      <c r="B218">
        <f ca="1">ORÇAMENTO!D218</f>
        <v>0</v>
      </c>
      <c r="C218" s="114" t="str">
        <f t="shared" ca="1" si="24"/>
        <v/>
      </c>
      <c r="D218" s="117" t="str">
        <f ca="1">ORÇAMENTO!O218</f>
        <v>-</v>
      </c>
      <c r="E218" s="163" t="str">
        <f t="shared" ca="1" si="25"/>
        <v>(Código não identificado nas referências)</v>
      </c>
      <c r="F218" s="164" t="str" cm="1">
        <f t="array" aca="1" ref="F218" ca="1">IF(RegimeExecucao="Global","",ORÇAMENTO.Unidade)</f>
        <v/>
      </c>
      <c r="G218" s="122" t="str" cm="1">
        <f t="array" aca="1" ref="G218" ca="1">IF(RegimeExecucao="Global","",ORÇAMENTO!T218)</f>
        <v/>
      </c>
      <c r="H218" s="122" t="str" cm="1">
        <f t="array" aca="1" ref="H218" ca="1">IF(RegimeExecucao="Global","",ORÇAMENTO!W218)</f>
        <v/>
      </c>
      <c r="I218" s="125">
        <f ca="1">ORÇAMENTO!X218</f>
        <v>0</v>
      </c>
      <c r="J218" s="333" cm="1">
        <f t="array" aca="1" ref="J218" ca="1">IF($A218="S",IF(CAIXA.Modo,BM.AFAnterior,BM.MEDAnterior),IF(AND(RegimeExecucao="Global",$I218&gt;0,COUNTIF($AB$13:$AM$13,BM.medicao-1)&gt;0),M218/$I218*100,0))</f>
        <v>0</v>
      </c>
      <c r="K218" s="122">
        <f t="shared" ca="1" si="26"/>
        <v>0</v>
      </c>
      <c r="L218" s="334" cm="1">
        <f t="array" aca="1" ref="L218" ca="1">IF($A218="S",IF(CAIXA.Modo,BM.AFAcumulado,BM.MEDAcumulado),IF(AND(RegimeExecucao="Global",$I218&gt;0,COUNTIF($AB$13:$AM$13,BM.medicao)&gt;0),O218/$I218*100,0))</f>
        <v>0</v>
      </c>
      <c r="M218" s="335" cm="1">
        <f t="array" aca="1" ref="M218" ca="1">IF($A218="S",VTOTALBM,IF($A218=0,0,ROUND(SomaAgrupBM,15-13*ORÇAMENTO!$AF$11)))</f>
        <v>0</v>
      </c>
      <c r="N218" s="336">
        <f t="shared" ca="1" si="27"/>
        <v>0</v>
      </c>
      <c r="O218" s="125" cm="1">
        <f t="array" aca="1" ref="O218" ca="1">IF($A218="S",VTOTALBM,IF($A218=0,0,ROUND(SomaAgrupBM,15-13*ORÇAMENTO!$AF$11)))</f>
        <v>0</v>
      </c>
      <c r="Q218" s="337"/>
      <c r="R218" s="338"/>
      <c r="T218" s="117" t="str">
        <f t="shared" ca="1" si="28"/>
        <v/>
      </c>
      <c r="U218" s="163" t="str">
        <f t="shared" ca="1" si="29"/>
        <v/>
      </c>
      <c r="V218" s="164" t="str" cm="1">
        <f t="array" aca="1" ref="V218" ca="1">IF(AND($W218&gt;0,RegimeExecucao="Unitário"),$F218,"")</f>
        <v/>
      </c>
      <c r="W218" s="454" cm="1">
        <f t="array" aca="1" ref="W218" ca="1">IF($Y218&gt;0,CHOOSE(MATCH(RegimeExecucao,{"Unitário","Global"},0),IF($A218="S",$Y218/$X218,""),($Y218/$X218)*100),0)</f>
        <v>0</v>
      </c>
      <c r="X218" s="339" t="str" cm="1">
        <f t="array" aca="1" ref="X218" ca="1">IF($Y218&gt;0,CHOOSE(MATCH(RegimeExecucao,{"Unitário","Global"},0),IF($A218="S",ROUND($H218,ORÇAMENTO!$AF$10),""),ROUND($I218,ORÇAMENTO!$AF$11)),"")</f>
        <v/>
      </c>
      <c r="Y218" s="339">
        <f t="shared" ca="1" si="30"/>
        <v>0</v>
      </c>
      <c r="Z218" s="473"/>
      <c r="AB218" s="337"/>
      <c r="AC218" s="437"/>
      <c r="AD218" s="437"/>
      <c r="AE218" s="437"/>
      <c r="AF218" s="437"/>
      <c r="AG218" s="437"/>
      <c r="AH218" s="437"/>
      <c r="AI218" s="437"/>
      <c r="AJ218" s="437"/>
      <c r="AK218" s="437"/>
      <c r="AL218" s="437"/>
      <c r="AM218" s="338"/>
      <c r="AO218" cm="1">
        <f t="array" aca="1" ref="AO218" ca="1">IF($A218="S",IF(BM!$I218=0,0,CHOOSE(MATCH(RegimeExecucao,{"Global","Unitário"},0),ROUND(ROUND(BM.MEDAcumulado,15-13*BM!$A$9)/100*BM!$I218,15-13*ORÇAMENTO!$AF$11),ROUND(ROUND(BM.MEDAcumulado,15-13*BM!$A$9)*ROUND(BM!$H218,15-13*ORÇAMENTO!$AF$10),15-13*ORÇAMENTO!$AF$11))),IF($A218=0,0,ROUND(SomaAgrupBM,15-13*ORÇAMENTO!$AF$11)))</f>
        <v>0</v>
      </c>
    </row>
    <row r="219" spans="1:41" ht="38.25" x14ac:dyDescent="0.2">
      <c r="A219" t="str">
        <f ca="1">ORÇAMENTO!C219</f>
        <v>S</v>
      </c>
      <c r="B219">
        <f ca="1">ORÇAMENTO!D219</f>
        <v>0</v>
      </c>
      <c r="C219" s="114" t="str">
        <f t="shared" ca="1" si="24"/>
        <v/>
      </c>
      <c r="D219" s="117" t="str">
        <f ca="1">ORÇAMENTO!O219</f>
        <v>-</v>
      </c>
      <c r="E219" s="163" t="str">
        <f t="shared" ca="1" si="25"/>
        <v>(Código não identificado nas referências)</v>
      </c>
      <c r="F219" s="164" t="str" cm="1">
        <f t="array" aca="1" ref="F219" ca="1">IF(RegimeExecucao="Global","",ORÇAMENTO.Unidade)</f>
        <v/>
      </c>
      <c r="G219" s="122" t="str" cm="1">
        <f t="array" aca="1" ref="G219" ca="1">IF(RegimeExecucao="Global","",ORÇAMENTO!T219)</f>
        <v/>
      </c>
      <c r="H219" s="122" t="str" cm="1">
        <f t="array" aca="1" ref="H219" ca="1">IF(RegimeExecucao="Global","",ORÇAMENTO!W219)</f>
        <v/>
      </c>
      <c r="I219" s="125">
        <f ca="1">ORÇAMENTO!X219</f>
        <v>0</v>
      </c>
      <c r="J219" s="333" cm="1">
        <f t="array" aca="1" ref="J219" ca="1">IF($A219="S",IF(CAIXA.Modo,BM.AFAnterior,BM.MEDAnterior),IF(AND(RegimeExecucao="Global",$I219&gt;0,COUNTIF($AB$13:$AM$13,BM.medicao-1)&gt;0),M219/$I219*100,0))</f>
        <v>0</v>
      </c>
      <c r="K219" s="122">
        <f t="shared" ca="1" si="26"/>
        <v>0</v>
      </c>
      <c r="L219" s="334" cm="1">
        <f t="array" aca="1" ref="L219" ca="1">IF($A219="S",IF(CAIXA.Modo,BM.AFAcumulado,BM.MEDAcumulado),IF(AND(RegimeExecucao="Global",$I219&gt;0,COUNTIF($AB$13:$AM$13,BM.medicao)&gt;0),O219/$I219*100,0))</f>
        <v>0</v>
      </c>
      <c r="M219" s="335" cm="1">
        <f t="array" aca="1" ref="M219" ca="1">IF($A219="S",VTOTALBM,IF($A219=0,0,ROUND(SomaAgrupBM,15-13*ORÇAMENTO!$AF$11)))</f>
        <v>0</v>
      </c>
      <c r="N219" s="336">
        <f t="shared" ca="1" si="27"/>
        <v>0</v>
      </c>
      <c r="O219" s="125" cm="1">
        <f t="array" aca="1" ref="O219" ca="1">IF($A219="S",VTOTALBM,IF($A219=0,0,ROUND(SomaAgrupBM,15-13*ORÇAMENTO!$AF$11)))</f>
        <v>0</v>
      </c>
      <c r="Q219" s="337"/>
      <c r="R219" s="338"/>
      <c r="T219" s="117" t="str">
        <f t="shared" ca="1" si="28"/>
        <v/>
      </c>
      <c r="U219" s="163" t="str">
        <f t="shared" ca="1" si="29"/>
        <v/>
      </c>
      <c r="V219" s="164" t="str" cm="1">
        <f t="array" aca="1" ref="V219" ca="1">IF(AND($W219&gt;0,RegimeExecucao="Unitário"),$F219,"")</f>
        <v/>
      </c>
      <c r="W219" s="454" cm="1">
        <f t="array" aca="1" ref="W219" ca="1">IF($Y219&gt;0,CHOOSE(MATCH(RegimeExecucao,{"Unitário","Global"},0),IF($A219="S",$Y219/$X219,""),($Y219/$X219)*100),0)</f>
        <v>0</v>
      </c>
      <c r="X219" s="339" t="str" cm="1">
        <f t="array" aca="1" ref="X219" ca="1">IF($Y219&gt;0,CHOOSE(MATCH(RegimeExecucao,{"Unitário","Global"},0),IF($A219="S",ROUND($H219,ORÇAMENTO!$AF$10),""),ROUND($I219,ORÇAMENTO!$AF$11)),"")</f>
        <v/>
      </c>
      <c r="Y219" s="339">
        <f t="shared" ca="1" si="30"/>
        <v>0</v>
      </c>
      <c r="Z219" s="473"/>
      <c r="AB219" s="337"/>
      <c r="AC219" s="437"/>
      <c r="AD219" s="437"/>
      <c r="AE219" s="437"/>
      <c r="AF219" s="437"/>
      <c r="AG219" s="437"/>
      <c r="AH219" s="437"/>
      <c r="AI219" s="437"/>
      <c r="AJ219" s="437"/>
      <c r="AK219" s="437"/>
      <c r="AL219" s="437"/>
      <c r="AM219" s="338"/>
      <c r="AO219" cm="1">
        <f t="array" aca="1" ref="AO219" ca="1">IF($A219="S",IF(BM!$I219=0,0,CHOOSE(MATCH(RegimeExecucao,{"Global","Unitário"},0),ROUND(ROUND(BM.MEDAcumulado,15-13*BM!$A$9)/100*BM!$I219,15-13*ORÇAMENTO!$AF$11),ROUND(ROUND(BM.MEDAcumulado,15-13*BM!$A$9)*ROUND(BM!$H219,15-13*ORÇAMENTO!$AF$10),15-13*ORÇAMENTO!$AF$11))),IF($A219=0,0,ROUND(SomaAgrupBM,15-13*ORÇAMENTO!$AF$11)))</f>
        <v>0</v>
      </c>
    </row>
    <row r="220" spans="1:41" ht="38.25" x14ac:dyDescent="0.2">
      <c r="A220" t="str">
        <f ca="1">ORÇAMENTO!C220</f>
        <v>S</v>
      </c>
      <c r="B220">
        <f ca="1">ORÇAMENTO!D220</f>
        <v>0</v>
      </c>
      <c r="C220" s="114" t="str">
        <f t="shared" ca="1" si="24"/>
        <v/>
      </c>
      <c r="D220" s="117" t="str">
        <f ca="1">ORÇAMENTO!O220</f>
        <v>-</v>
      </c>
      <c r="E220" s="163" t="str">
        <f t="shared" ca="1" si="25"/>
        <v>(Código não identificado nas referências)</v>
      </c>
      <c r="F220" s="164" t="str" cm="1">
        <f t="array" aca="1" ref="F220" ca="1">IF(RegimeExecucao="Global","",ORÇAMENTO.Unidade)</f>
        <v/>
      </c>
      <c r="G220" s="122" t="str" cm="1">
        <f t="array" aca="1" ref="G220" ca="1">IF(RegimeExecucao="Global","",ORÇAMENTO!T220)</f>
        <v/>
      </c>
      <c r="H220" s="122" t="str" cm="1">
        <f t="array" aca="1" ref="H220" ca="1">IF(RegimeExecucao="Global","",ORÇAMENTO!W220)</f>
        <v/>
      </c>
      <c r="I220" s="125">
        <f ca="1">ORÇAMENTO!X220</f>
        <v>0</v>
      </c>
      <c r="J220" s="333" cm="1">
        <f t="array" aca="1" ref="J220" ca="1">IF($A220="S",IF(CAIXA.Modo,BM.AFAnterior,BM.MEDAnterior),IF(AND(RegimeExecucao="Global",$I220&gt;0,COUNTIF($AB$13:$AM$13,BM.medicao-1)&gt;0),M220/$I220*100,0))</f>
        <v>0</v>
      </c>
      <c r="K220" s="122">
        <f t="shared" ca="1" si="26"/>
        <v>0</v>
      </c>
      <c r="L220" s="334" cm="1">
        <f t="array" aca="1" ref="L220" ca="1">IF($A220="S",IF(CAIXA.Modo,BM.AFAcumulado,BM.MEDAcumulado),IF(AND(RegimeExecucao="Global",$I220&gt;0,COUNTIF($AB$13:$AM$13,BM.medicao)&gt;0),O220/$I220*100,0))</f>
        <v>0</v>
      </c>
      <c r="M220" s="335" cm="1">
        <f t="array" aca="1" ref="M220" ca="1">IF($A220="S",VTOTALBM,IF($A220=0,0,ROUND(SomaAgrupBM,15-13*ORÇAMENTO!$AF$11)))</f>
        <v>0</v>
      </c>
      <c r="N220" s="336">
        <f t="shared" ca="1" si="27"/>
        <v>0</v>
      </c>
      <c r="O220" s="125" cm="1">
        <f t="array" aca="1" ref="O220" ca="1">IF($A220="S",VTOTALBM,IF($A220=0,0,ROUND(SomaAgrupBM,15-13*ORÇAMENTO!$AF$11)))</f>
        <v>0</v>
      </c>
      <c r="Q220" s="337"/>
      <c r="R220" s="338"/>
      <c r="T220" s="117" t="str">
        <f t="shared" ca="1" si="28"/>
        <v/>
      </c>
      <c r="U220" s="163" t="str">
        <f t="shared" ca="1" si="29"/>
        <v/>
      </c>
      <c r="V220" s="164" t="str" cm="1">
        <f t="array" aca="1" ref="V220" ca="1">IF(AND($W220&gt;0,RegimeExecucao="Unitário"),$F220,"")</f>
        <v/>
      </c>
      <c r="W220" s="454" cm="1">
        <f t="array" aca="1" ref="W220" ca="1">IF($Y220&gt;0,CHOOSE(MATCH(RegimeExecucao,{"Unitário","Global"},0),IF($A220="S",$Y220/$X220,""),($Y220/$X220)*100),0)</f>
        <v>0</v>
      </c>
      <c r="X220" s="339" t="str" cm="1">
        <f t="array" aca="1" ref="X220" ca="1">IF($Y220&gt;0,CHOOSE(MATCH(RegimeExecucao,{"Unitário","Global"},0),IF($A220="S",ROUND($H220,ORÇAMENTO!$AF$10),""),ROUND($I220,ORÇAMENTO!$AF$11)),"")</f>
        <v/>
      </c>
      <c r="Y220" s="339">
        <f t="shared" ca="1" si="30"/>
        <v>0</v>
      </c>
      <c r="Z220" s="473"/>
      <c r="AB220" s="337"/>
      <c r="AC220" s="437"/>
      <c r="AD220" s="437"/>
      <c r="AE220" s="437"/>
      <c r="AF220" s="437"/>
      <c r="AG220" s="437"/>
      <c r="AH220" s="437"/>
      <c r="AI220" s="437"/>
      <c r="AJ220" s="437"/>
      <c r="AK220" s="437"/>
      <c r="AL220" s="437"/>
      <c r="AM220" s="338"/>
      <c r="AO220" cm="1">
        <f t="array" aca="1" ref="AO220" ca="1">IF($A220="S",IF(BM!$I220=0,0,CHOOSE(MATCH(RegimeExecucao,{"Global","Unitário"},0),ROUND(ROUND(BM.MEDAcumulado,15-13*BM!$A$9)/100*BM!$I220,15-13*ORÇAMENTO!$AF$11),ROUND(ROUND(BM.MEDAcumulado,15-13*BM!$A$9)*ROUND(BM!$H220,15-13*ORÇAMENTO!$AF$10),15-13*ORÇAMENTO!$AF$11))),IF($A220=0,0,ROUND(SomaAgrupBM,15-13*ORÇAMENTO!$AF$11)))</f>
        <v>0</v>
      </c>
    </row>
    <row r="221" spans="1:41" ht="38.25" x14ac:dyDescent="0.2">
      <c r="A221" t="str">
        <f ca="1">ORÇAMENTO!C221</f>
        <v>S</v>
      </c>
      <c r="B221">
        <f ca="1">ORÇAMENTO!D221</f>
        <v>0</v>
      </c>
      <c r="C221" s="114" t="str">
        <f t="shared" ca="1" si="24"/>
        <v/>
      </c>
      <c r="D221" s="117" t="str">
        <f ca="1">ORÇAMENTO!O221</f>
        <v>-</v>
      </c>
      <c r="E221" s="163" t="str">
        <f t="shared" ca="1" si="25"/>
        <v>(Código não identificado nas referências)</v>
      </c>
      <c r="F221" s="164" t="str" cm="1">
        <f t="array" aca="1" ref="F221" ca="1">IF(RegimeExecucao="Global","",ORÇAMENTO.Unidade)</f>
        <v/>
      </c>
      <c r="G221" s="122" t="str" cm="1">
        <f t="array" aca="1" ref="G221" ca="1">IF(RegimeExecucao="Global","",ORÇAMENTO!T221)</f>
        <v/>
      </c>
      <c r="H221" s="122" t="str" cm="1">
        <f t="array" aca="1" ref="H221" ca="1">IF(RegimeExecucao="Global","",ORÇAMENTO!W221)</f>
        <v/>
      </c>
      <c r="I221" s="125">
        <f ca="1">ORÇAMENTO!X221</f>
        <v>0</v>
      </c>
      <c r="J221" s="333" cm="1">
        <f t="array" aca="1" ref="J221" ca="1">IF($A221="S",IF(CAIXA.Modo,BM.AFAnterior,BM.MEDAnterior),IF(AND(RegimeExecucao="Global",$I221&gt;0,COUNTIF($AB$13:$AM$13,BM.medicao-1)&gt;0),M221/$I221*100,0))</f>
        <v>0</v>
      </c>
      <c r="K221" s="122">
        <f t="shared" ca="1" si="26"/>
        <v>0</v>
      </c>
      <c r="L221" s="334" cm="1">
        <f t="array" aca="1" ref="L221" ca="1">IF($A221="S",IF(CAIXA.Modo,BM.AFAcumulado,BM.MEDAcumulado),IF(AND(RegimeExecucao="Global",$I221&gt;0,COUNTIF($AB$13:$AM$13,BM.medicao)&gt;0),O221/$I221*100,0))</f>
        <v>0</v>
      </c>
      <c r="M221" s="335" cm="1">
        <f t="array" aca="1" ref="M221" ca="1">IF($A221="S",VTOTALBM,IF($A221=0,0,ROUND(SomaAgrupBM,15-13*ORÇAMENTO!$AF$11)))</f>
        <v>0</v>
      </c>
      <c r="N221" s="336">
        <f t="shared" ca="1" si="27"/>
        <v>0</v>
      </c>
      <c r="O221" s="125" cm="1">
        <f t="array" aca="1" ref="O221" ca="1">IF($A221="S",VTOTALBM,IF($A221=0,0,ROUND(SomaAgrupBM,15-13*ORÇAMENTO!$AF$11)))</f>
        <v>0</v>
      </c>
      <c r="Q221" s="337"/>
      <c r="R221" s="338"/>
      <c r="T221" s="117" t="str">
        <f t="shared" ca="1" si="28"/>
        <v/>
      </c>
      <c r="U221" s="163" t="str">
        <f t="shared" ca="1" si="29"/>
        <v/>
      </c>
      <c r="V221" s="164" t="str" cm="1">
        <f t="array" aca="1" ref="V221" ca="1">IF(AND($W221&gt;0,RegimeExecucao="Unitário"),$F221,"")</f>
        <v/>
      </c>
      <c r="W221" s="454" cm="1">
        <f t="array" aca="1" ref="W221" ca="1">IF($Y221&gt;0,CHOOSE(MATCH(RegimeExecucao,{"Unitário","Global"},0),IF($A221="S",$Y221/$X221,""),($Y221/$X221)*100),0)</f>
        <v>0</v>
      </c>
      <c r="X221" s="339" t="str" cm="1">
        <f t="array" aca="1" ref="X221" ca="1">IF($Y221&gt;0,CHOOSE(MATCH(RegimeExecucao,{"Unitário","Global"},0),IF($A221="S",ROUND($H221,ORÇAMENTO!$AF$10),""),ROUND($I221,ORÇAMENTO!$AF$11)),"")</f>
        <v/>
      </c>
      <c r="Y221" s="339">
        <f t="shared" ca="1" si="30"/>
        <v>0</v>
      </c>
      <c r="Z221" s="473"/>
      <c r="AB221" s="337"/>
      <c r="AC221" s="437"/>
      <c r="AD221" s="437"/>
      <c r="AE221" s="437"/>
      <c r="AF221" s="437"/>
      <c r="AG221" s="437"/>
      <c r="AH221" s="437"/>
      <c r="AI221" s="437"/>
      <c r="AJ221" s="437"/>
      <c r="AK221" s="437"/>
      <c r="AL221" s="437"/>
      <c r="AM221" s="338"/>
      <c r="AO221" cm="1">
        <f t="array" aca="1" ref="AO221" ca="1">IF($A221="S",IF(BM!$I221=0,0,CHOOSE(MATCH(RegimeExecucao,{"Global","Unitário"},0),ROUND(ROUND(BM.MEDAcumulado,15-13*BM!$A$9)/100*BM!$I221,15-13*ORÇAMENTO!$AF$11),ROUND(ROUND(BM.MEDAcumulado,15-13*BM!$A$9)*ROUND(BM!$H221,15-13*ORÇAMENTO!$AF$10),15-13*ORÇAMENTO!$AF$11))),IF($A221=0,0,ROUND(SomaAgrupBM,15-13*ORÇAMENTO!$AF$11)))</f>
        <v>0</v>
      </c>
    </row>
    <row r="222" spans="1:41" ht="38.25" x14ac:dyDescent="0.2">
      <c r="A222" t="str">
        <f ca="1">ORÇAMENTO!C222</f>
        <v>S</v>
      </c>
      <c r="B222">
        <f ca="1">ORÇAMENTO!D222</f>
        <v>0</v>
      </c>
      <c r="C222" s="114" t="str">
        <f t="shared" ca="1" si="24"/>
        <v/>
      </c>
      <c r="D222" s="117" t="str">
        <f ca="1">ORÇAMENTO!O222</f>
        <v>-</v>
      </c>
      <c r="E222" s="163" t="str">
        <f t="shared" ca="1" si="25"/>
        <v>(Código não identificado nas referências)</v>
      </c>
      <c r="F222" s="164" t="str" cm="1">
        <f t="array" aca="1" ref="F222" ca="1">IF(RegimeExecucao="Global","",ORÇAMENTO.Unidade)</f>
        <v/>
      </c>
      <c r="G222" s="122" t="str" cm="1">
        <f t="array" aca="1" ref="G222" ca="1">IF(RegimeExecucao="Global","",ORÇAMENTO!T222)</f>
        <v/>
      </c>
      <c r="H222" s="122" t="str" cm="1">
        <f t="array" aca="1" ref="H222" ca="1">IF(RegimeExecucao="Global","",ORÇAMENTO!W222)</f>
        <v/>
      </c>
      <c r="I222" s="125">
        <f ca="1">ORÇAMENTO!X222</f>
        <v>0</v>
      </c>
      <c r="J222" s="333" cm="1">
        <f t="array" aca="1" ref="J222" ca="1">IF($A222="S",IF(CAIXA.Modo,BM.AFAnterior,BM.MEDAnterior),IF(AND(RegimeExecucao="Global",$I222&gt;0,COUNTIF($AB$13:$AM$13,BM.medicao-1)&gt;0),M222/$I222*100,0))</f>
        <v>0</v>
      </c>
      <c r="K222" s="122">
        <f t="shared" ca="1" si="26"/>
        <v>0</v>
      </c>
      <c r="L222" s="334" cm="1">
        <f t="array" aca="1" ref="L222" ca="1">IF($A222="S",IF(CAIXA.Modo,BM.AFAcumulado,BM.MEDAcumulado),IF(AND(RegimeExecucao="Global",$I222&gt;0,COUNTIF($AB$13:$AM$13,BM.medicao)&gt;0),O222/$I222*100,0))</f>
        <v>0</v>
      </c>
      <c r="M222" s="335" cm="1">
        <f t="array" aca="1" ref="M222" ca="1">IF($A222="S",VTOTALBM,IF($A222=0,0,ROUND(SomaAgrupBM,15-13*ORÇAMENTO!$AF$11)))</f>
        <v>0</v>
      </c>
      <c r="N222" s="336">
        <f t="shared" ca="1" si="27"/>
        <v>0</v>
      </c>
      <c r="O222" s="125" cm="1">
        <f t="array" aca="1" ref="O222" ca="1">IF($A222="S",VTOTALBM,IF($A222=0,0,ROUND(SomaAgrupBM,15-13*ORÇAMENTO!$AF$11)))</f>
        <v>0</v>
      </c>
      <c r="Q222" s="337"/>
      <c r="R222" s="338"/>
      <c r="T222" s="117" t="str">
        <f t="shared" ca="1" si="28"/>
        <v/>
      </c>
      <c r="U222" s="163" t="str">
        <f t="shared" ca="1" si="29"/>
        <v/>
      </c>
      <c r="V222" s="164" t="str" cm="1">
        <f t="array" aca="1" ref="V222" ca="1">IF(AND($W222&gt;0,RegimeExecucao="Unitário"),$F222,"")</f>
        <v/>
      </c>
      <c r="W222" s="454" cm="1">
        <f t="array" aca="1" ref="W222" ca="1">IF($Y222&gt;0,CHOOSE(MATCH(RegimeExecucao,{"Unitário","Global"},0),IF($A222="S",$Y222/$X222,""),($Y222/$X222)*100),0)</f>
        <v>0</v>
      </c>
      <c r="X222" s="339" t="str" cm="1">
        <f t="array" aca="1" ref="X222" ca="1">IF($Y222&gt;0,CHOOSE(MATCH(RegimeExecucao,{"Unitário","Global"},0),IF($A222="S",ROUND($H222,ORÇAMENTO!$AF$10),""),ROUND($I222,ORÇAMENTO!$AF$11)),"")</f>
        <v/>
      </c>
      <c r="Y222" s="339">
        <f t="shared" ca="1" si="30"/>
        <v>0</v>
      </c>
      <c r="Z222" s="473"/>
      <c r="AB222" s="337"/>
      <c r="AC222" s="437"/>
      <c r="AD222" s="437"/>
      <c r="AE222" s="437"/>
      <c r="AF222" s="437"/>
      <c r="AG222" s="437"/>
      <c r="AH222" s="437"/>
      <c r="AI222" s="437"/>
      <c r="AJ222" s="437"/>
      <c r="AK222" s="437"/>
      <c r="AL222" s="437"/>
      <c r="AM222" s="338"/>
      <c r="AO222" cm="1">
        <f t="array" aca="1" ref="AO222" ca="1">IF($A222="S",IF(BM!$I222=0,0,CHOOSE(MATCH(RegimeExecucao,{"Global","Unitário"},0),ROUND(ROUND(BM.MEDAcumulado,15-13*BM!$A$9)/100*BM!$I222,15-13*ORÇAMENTO!$AF$11),ROUND(ROUND(BM.MEDAcumulado,15-13*BM!$A$9)*ROUND(BM!$H222,15-13*ORÇAMENTO!$AF$10),15-13*ORÇAMENTO!$AF$11))),IF($A222=0,0,ROUND(SomaAgrupBM,15-13*ORÇAMENTO!$AF$11)))</f>
        <v>0</v>
      </c>
    </row>
    <row r="223" spans="1:41" ht="38.25" x14ac:dyDescent="0.2">
      <c r="A223" t="str">
        <f ca="1">ORÇAMENTO!C223</f>
        <v>S</v>
      </c>
      <c r="B223">
        <f ca="1">ORÇAMENTO!D223</f>
        <v>0</v>
      </c>
      <c r="C223" s="114" t="str">
        <f t="shared" ca="1" si="24"/>
        <v/>
      </c>
      <c r="D223" s="117" t="str">
        <f ca="1">ORÇAMENTO!O223</f>
        <v>-</v>
      </c>
      <c r="E223" s="163" t="str">
        <f t="shared" ca="1" si="25"/>
        <v>(Código não identificado nas referências)</v>
      </c>
      <c r="F223" s="164" t="str" cm="1">
        <f t="array" aca="1" ref="F223" ca="1">IF(RegimeExecucao="Global","",ORÇAMENTO.Unidade)</f>
        <v/>
      </c>
      <c r="G223" s="122" t="str" cm="1">
        <f t="array" aca="1" ref="G223" ca="1">IF(RegimeExecucao="Global","",ORÇAMENTO!T223)</f>
        <v/>
      </c>
      <c r="H223" s="122" t="str" cm="1">
        <f t="array" aca="1" ref="H223" ca="1">IF(RegimeExecucao="Global","",ORÇAMENTO!W223)</f>
        <v/>
      </c>
      <c r="I223" s="125">
        <f ca="1">ORÇAMENTO!X223</f>
        <v>0</v>
      </c>
      <c r="J223" s="333" cm="1">
        <f t="array" aca="1" ref="J223" ca="1">IF($A223="S",IF(CAIXA.Modo,BM.AFAnterior,BM.MEDAnterior),IF(AND(RegimeExecucao="Global",$I223&gt;0,COUNTIF($AB$13:$AM$13,BM.medicao-1)&gt;0),M223/$I223*100,0))</f>
        <v>0</v>
      </c>
      <c r="K223" s="122">
        <f t="shared" ca="1" si="26"/>
        <v>0</v>
      </c>
      <c r="L223" s="334" cm="1">
        <f t="array" aca="1" ref="L223" ca="1">IF($A223="S",IF(CAIXA.Modo,BM.AFAcumulado,BM.MEDAcumulado),IF(AND(RegimeExecucao="Global",$I223&gt;0,COUNTIF($AB$13:$AM$13,BM.medicao)&gt;0),O223/$I223*100,0))</f>
        <v>0</v>
      </c>
      <c r="M223" s="335" cm="1">
        <f t="array" aca="1" ref="M223" ca="1">IF($A223="S",VTOTALBM,IF($A223=0,0,ROUND(SomaAgrupBM,15-13*ORÇAMENTO!$AF$11)))</f>
        <v>0</v>
      </c>
      <c r="N223" s="336">
        <f t="shared" ca="1" si="27"/>
        <v>0</v>
      </c>
      <c r="O223" s="125" cm="1">
        <f t="array" aca="1" ref="O223" ca="1">IF($A223="S",VTOTALBM,IF($A223=0,0,ROUND(SomaAgrupBM,15-13*ORÇAMENTO!$AF$11)))</f>
        <v>0</v>
      </c>
      <c r="Q223" s="337"/>
      <c r="R223" s="338"/>
      <c r="T223" s="117" t="str">
        <f t="shared" ca="1" si="28"/>
        <v/>
      </c>
      <c r="U223" s="163" t="str">
        <f t="shared" ca="1" si="29"/>
        <v/>
      </c>
      <c r="V223" s="164" t="str" cm="1">
        <f t="array" aca="1" ref="V223" ca="1">IF(AND($W223&gt;0,RegimeExecucao="Unitário"),$F223,"")</f>
        <v/>
      </c>
      <c r="W223" s="454" cm="1">
        <f t="array" aca="1" ref="W223" ca="1">IF($Y223&gt;0,CHOOSE(MATCH(RegimeExecucao,{"Unitário","Global"},0),IF($A223="S",$Y223/$X223,""),($Y223/$X223)*100),0)</f>
        <v>0</v>
      </c>
      <c r="X223" s="339" t="str" cm="1">
        <f t="array" aca="1" ref="X223" ca="1">IF($Y223&gt;0,CHOOSE(MATCH(RegimeExecucao,{"Unitário","Global"},0),IF($A223="S",ROUND($H223,ORÇAMENTO!$AF$10),""),ROUND($I223,ORÇAMENTO!$AF$11)),"")</f>
        <v/>
      </c>
      <c r="Y223" s="339">
        <f t="shared" ca="1" si="30"/>
        <v>0</v>
      </c>
      <c r="Z223" s="473"/>
      <c r="AB223" s="337"/>
      <c r="AC223" s="437"/>
      <c r="AD223" s="437"/>
      <c r="AE223" s="437"/>
      <c r="AF223" s="437"/>
      <c r="AG223" s="437"/>
      <c r="AH223" s="437"/>
      <c r="AI223" s="437"/>
      <c r="AJ223" s="437"/>
      <c r="AK223" s="437"/>
      <c r="AL223" s="437"/>
      <c r="AM223" s="338"/>
      <c r="AO223" cm="1">
        <f t="array" aca="1" ref="AO223" ca="1">IF($A223="S",IF(BM!$I223=0,0,CHOOSE(MATCH(RegimeExecucao,{"Global","Unitário"},0),ROUND(ROUND(BM.MEDAcumulado,15-13*BM!$A$9)/100*BM!$I223,15-13*ORÇAMENTO!$AF$11),ROUND(ROUND(BM.MEDAcumulado,15-13*BM!$A$9)*ROUND(BM!$H223,15-13*ORÇAMENTO!$AF$10),15-13*ORÇAMENTO!$AF$11))),IF($A223=0,0,ROUND(SomaAgrupBM,15-13*ORÇAMENTO!$AF$11)))</f>
        <v>0</v>
      </c>
    </row>
    <row r="224" spans="1:41" ht="38.25" x14ac:dyDescent="0.2">
      <c r="A224" t="str">
        <f ca="1">ORÇAMENTO!C224</f>
        <v>S</v>
      </c>
      <c r="B224">
        <f ca="1">ORÇAMENTO!D224</f>
        <v>0</v>
      </c>
      <c r="C224" s="114" t="str">
        <f t="shared" ca="1" si="24"/>
        <v/>
      </c>
      <c r="D224" s="117" t="str">
        <f ca="1">ORÇAMENTO!O224</f>
        <v>-</v>
      </c>
      <c r="E224" s="163" t="str">
        <f t="shared" ca="1" si="25"/>
        <v>(Código não identificado nas referências)</v>
      </c>
      <c r="F224" s="164" t="str" cm="1">
        <f t="array" aca="1" ref="F224" ca="1">IF(RegimeExecucao="Global","",ORÇAMENTO.Unidade)</f>
        <v/>
      </c>
      <c r="G224" s="122" t="str" cm="1">
        <f t="array" aca="1" ref="G224" ca="1">IF(RegimeExecucao="Global","",ORÇAMENTO!T224)</f>
        <v/>
      </c>
      <c r="H224" s="122" t="str" cm="1">
        <f t="array" aca="1" ref="H224" ca="1">IF(RegimeExecucao="Global","",ORÇAMENTO!W224)</f>
        <v/>
      </c>
      <c r="I224" s="125">
        <f ca="1">ORÇAMENTO!X224</f>
        <v>0</v>
      </c>
      <c r="J224" s="333" cm="1">
        <f t="array" aca="1" ref="J224" ca="1">IF($A224="S",IF(CAIXA.Modo,BM.AFAnterior,BM.MEDAnterior),IF(AND(RegimeExecucao="Global",$I224&gt;0,COUNTIF($AB$13:$AM$13,BM.medicao-1)&gt;0),M224/$I224*100,0))</f>
        <v>0</v>
      </c>
      <c r="K224" s="122">
        <f t="shared" ca="1" si="26"/>
        <v>0</v>
      </c>
      <c r="L224" s="334" cm="1">
        <f t="array" aca="1" ref="L224" ca="1">IF($A224="S",IF(CAIXA.Modo,BM.AFAcumulado,BM.MEDAcumulado),IF(AND(RegimeExecucao="Global",$I224&gt;0,COUNTIF($AB$13:$AM$13,BM.medicao)&gt;0),O224/$I224*100,0))</f>
        <v>0</v>
      </c>
      <c r="M224" s="335" cm="1">
        <f t="array" aca="1" ref="M224" ca="1">IF($A224="S",VTOTALBM,IF($A224=0,0,ROUND(SomaAgrupBM,15-13*ORÇAMENTO!$AF$11)))</f>
        <v>0</v>
      </c>
      <c r="N224" s="336">
        <f t="shared" ca="1" si="27"/>
        <v>0</v>
      </c>
      <c r="O224" s="125" cm="1">
        <f t="array" aca="1" ref="O224" ca="1">IF($A224="S",VTOTALBM,IF($A224=0,0,ROUND(SomaAgrupBM,15-13*ORÇAMENTO!$AF$11)))</f>
        <v>0</v>
      </c>
      <c r="Q224" s="337"/>
      <c r="R224" s="338"/>
      <c r="T224" s="117" t="str">
        <f t="shared" ca="1" si="28"/>
        <v/>
      </c>
      <c r="U224" s="163" t="str">
        <f t="shared" ca="1" si="29"/>
        <v/>
      </c>
      <c r="V224" s="164" t="str" cm="1">
        <f t="array" aca="1" ref="V224" ca="1">IF(AND($W224&gt;0,RegimeExecucao="Unitário"),$F224,"")</f>
        <v/>
      </c>
      <c r="W224" s="454" cm="1">
        <f t="array" aca="1" ref="W224" ca="1">IF($Y224&gt;0,CHOOSE(MATCH(RegimeExecucao,{"Unitário","Global"},0),IF($A224="S",$Y224/$X224,""),($Y224/$X224)*100),0)</f>
        <v>0</v>
      </c>
      <c r="X224" s="339" t="str" cm="1">
        <f t="array" aca="1" ref="X224" ca="1">IF($Y224&gt;0,CHOOSE(MATCH(RegimeExecucao,{"Unitário","Global"},0),IF($A224="S",ROUND($H224,ORÇAMENTO!$AF$10),""),ROUND($I224,ORÇAMENTO!$AF$11)),"")</f>
        <v/>
      </c>
      <c r="Y224" s="339">
        <f t="shared" ca="1" si="30"/>
        <v>0</v>
      </c>
      <c r="Z224" s="473"/>
      <c r="AB224" s="337"/>
      <c r="AC224" s="437"/>
      <c r="AD224" s="437"/>
      <c r="AE224" s="437"/>
      <c r="AF224" s="437"/>
      <c r="AG224" s="437"/>
      <c r="AH224" s="437"/>
      <c r="AI224" s="437"/>
      <c r="AJ224" s="437"/>
      <c r="AK224" s="437"/>
      <c r="AL224" s="437"/>
      <c r="AM224" s="338"/>
      <c r="AO224" cm="1">
        <f t="array" aca="1" ref="AO224" ca="1">IF($A224="S",IF(BM!$I224=0,0,CHOOSE(MATCH(RegimeExecucao,{"Global","Unitário"},0),ROUND(ROUND(BM.MEDAcumulado,15-13*BM!$A$9)/100*BM!$I224,15-13*ORÇAMENTO!$AF$11),ROUND(ROUND(BM.MEDAcumulado,15-13*BM!$A$9)*ROUND(BM!$H224,15-13*ORÇAMENTO!$AF$10),15-13*ORÇAMENTO!$AF$11))),IF($A224=0,0,ROUND(SomaAgrupBM,15-13*ORÇAMENTO!$AF$11)))</f>
        <v>0</v>
      </c>
    </row>
    <row r="225" spans="1:41" x14ac:dyDescent="0.2">
      <c r="A225">
        <f ca="1">ORÇAMENTO!C225</f>
        <v>3</v>
      </c>
      <c r="B225">
        <f ca="1">ORÇAMENTO!D225</f>
        <v>8</v>
      </c>
      <c r="C225" s="114" t="str">
        <f t="shared" ca="1" si="24"/>
        <v>F</v>
      </c>
      <c r="D225" s="117" t="str">
        <f ca="1">ORÇAMENTO!O225</f>
        <v>9.3.3.</v>
      </c>
      <c r="E225" s="163" t="str">
        <f t="shared" si="25"/>
        <v>APARELHOS, METAIS E BANCADAS</v>
      </c>
      <c r="F225" s="164" t="str" cm="1">
        <f t="array" aca="1" ref="F225" ca="1">IF(RegimeExecucao="Global","",ORÇAMENTO.Unidade)</f>
        <v/>
      </c>
      <c r="G225" s="122" t="str" cm="1">
        <f t="array" aca="1" ref="G225" ca="1">IF(RegimeExecucao="Global","",ORÇAMENTO!T225)</f>
        <v/>
      </c>
      <c r="H225" s="122" t="str" cm="1">
        <f t="array" aca="1" ref="H225" ca="1">IF(RegimeExecucao="Global","",ORÇAMENTO!W225)</f>
        <v/>
      </c>
      <c r="I225" s="125">
        <f ca="1">ORÇAMENTO!X225</f>
        <v>0</v>
      </c>
      <c r="J225" s="333" cm="1">
        <f t="array" aca="1" ref="J225" ca="1">IF($A225="S",IF(CAIXA.Modo,BM.AFAnterior,BM.MEDAnterior),IF(AND(RegimeExecucao="Global",$I225&gt;0,COUNTIF($AB$13:$AM$13,BM.medicao-1)&gt;0),M225/$I225*100,0))</f>
        <v>0</v>
      </c>
      <c r="K225" s="122">
        <f t="shared" ca="1" si="26"/>
        <v>0</v>
      </c>
      <c r="L225" s="334" cm="1">
        <f t="array" aca="1" ref="L225" ca="1">IF($A225="S",IF(CAIXA.Modo,BM.AFAcumulado,BM.MEDAcumulado),IF(AND(RegimeExecucao="Global",$I225&gt;0,COUNTIF($AB$13:$AM$13,BM.medicao)&gt;0),O225/$I225*100,0))</f>
        <v>0</v>
      </c>
      <c r="M225" s="335" cm="1">
        <f t="array" aca="1" ref="M225" ca="1">IF($A225="S",VTOTALBM,IF($A225=0,0,ROUND(SomaAgrupBM,15-13*ORÇAMENTO!$AF$11)))</f>
        <v>0</v>
      </c>
      <c r="N225" s="336">
        <f t="shared" ca="1" si="27"/>
        <v>0</v>
      </c>
      <c r="O225" s="125" cm="1">
        <f t="array" aca="1" ref="O225" ca="1">IF($A225="S",VTOTALBM,IF($A225=0,0,ROUND(SomaAgrupBM,15-13*ORÇAMENTO!$AF$11)))</f>
        <v>0</v>
      </c>
      <c r="Q225" s="337"/>
      <c r="R225" s="338"/>
      <c r="T225" s="117" t="str">
        <f t="shared" ca="1" si="28"/>
        <v/>
      </c>
      <c r="U225" s="163" t="str">
        <f t="shared" ca="1" si="29"/>
        <v/>
      </c>
      <c r="V225" s="164" t="str" cm="1">
        <f t="array" aca="1" ref="V225" ca="1">IF(AND($W225&gt;0,RegimeExecucao="Unitário"),$F225,"")</f>
        <v/>
      </c>
      <c r="W225" s="454" cm="1">
        <f t="array" aca="1" ref="W225" ca="1">IF($Y225&gt;0,CHOOSE(MATCH(RegimeExecucao,{"Unitário","Global"},0),IF($A225="S",$Y225/$X225,""),($Y225/$X225)*100),0)</f>
        <v>0</v>
      </c>
      <c r="X225" s="339" t="str" cm="1">
        <f t="array" aca="1" ref="X225" ca="1">IF($Y225&gt;0,CHOOSE(MATCH(RegimeExecucao,{"Unitário","Global"},0),IF($A225="S",ROUND($H225,ORÇAMENTO!$AF$10),""),ROUND($I225,ORÇAMENTO!$AF$11)),"")</f>
        <v/>
      </c>
      <c r="Y225" s="339">
        <f t="shared" ca="1" si="30"/>
        <v>0</v>
      </c>
      <c r="Z225" s="473"/>
      <c r="AB225" s="337"/>
      <c r="AC225" s="437"/>
      <c r="AD225" s="437"/>
      <c r="AE225" s="437"/>
      <c r="AF225" s="437"/>
      <c r="AG225" s="437"/>
      <c r="AH225" s="437"/>
      <c r="AI225" s="437"/>
      <c r="AJ225" s="437"/>
      <c r="AK225" s="437"/>
      <c r="AL225" s="437"/>
      <c r="AM225" s="338"/>
      <c r="AO225" cm="1">
        <f t="array" aca="1" ref="AO225" ca="1">IF($A225="S",IF(BM!$I225=0,0,CHOOSE(MATCH(RegimeExecucao,{"Global","Unitário"},0),ROUND(ROUND(BM.MEDAcumulado,15-13*BM!$A$9)/100*BM!$I225,15-13*ORÇAMENTO!$AF$11),ROUND(ROUND(BM.MEDAcumulado,15-13*BM!$A$9)*ROUND(BM!$H225,15-13*ORÇAMENTO!$AF$10),15-13*ORÇAMENTO!$AF$11))),IF($A225=0,0,ROUND(SomaAgrupBM,15-13*ORÇAMENTO!$AF$11)))</f>
        <v>0</v>
      </c>
    </row>
    <row r="226" spans="1:41" ht="38.25" x14ac:dyDescent="0.2">
      <c r="A226" t="str">
        <f ca="1">ORÇAMENTO!C226</f>
        <v>S</v>
      </c>
      <c r="B226">
        <f ca="1">ORÇAMENTO!D226</f>
        <v>0</v>
      </c>
      <c r="C226" s="114" t="str">
        <f t="shared" ca="1" si="24"/>
        <v/>
      </c>
      <c r="D226" s="117" t="str">
        <f ca="1">ORÇAMENTO!O226</f>
        <v>-</v>
      </c>
      <c r="E226" s="163" t="str">
        <f t="shared" ca="1" si="25"/>
        <v>(Código não identificado nas referências)</v>
      </c>
      <c r="F226" s="164" t="str" cm="1">
        <f t="array" aca="1" ref="F226" ca="1">IF(RegimeExecucao="Global","",ORÇAMENTO.Unidade)</f>
        <v/>
      </c>
      <c r="G226" s="122" t="str" cm="1">
        <f t="array" aca="1" ref="G226" ca="1">IF(RegimeExecucao="Global","",ORÇAMENTO!T226)</f>
        <v/>
      </c>
      <c r="H226" s="122" t="str" cm="1">
        <f t="array" aca="1" ref="H226" ca="1">IF(RegimeExecucao="Global","",ORÇAMENTO!W226)</f>
        <v/>
      </c>
      <c r="I226" s="125">
        <f ca="1">ORÇAMENTO!X226</f>
        <v>0</v>
      </c>
      <c r="J226" s="333" cm="1">
        <f t="array" aca="1" ref="J226" ca="1">IF($A226="S",IF(CAIXA.Modo,BM.AFAnterior,BM.MEDAnterior),IF(AND(RegimeExecucao="Global",$I226&gt;0,COUNTIF($AB$13:$AM$13,BM.medicao-1)&gt;0),M226/$I226*100,0))</f>
        <v>0</v>
      </c>
      <c r="K226" s="122">
        <f t="shared" ca="1" si="26"/>
        <v>0</v>
      </c>
      <c r="L226" s="334" cm="1">
        <f t="array" aca="1" ref="L226" ca="1">IF($A226="S",IF(CAIXA.Modo,BM.AFAcumulado,BM.MEDAcumulado),IF(AND(RegimeExecucao="Global",$I226&gt;0,COUNTIF($AB$13:$AM$13,BM.medicao)&gt;0),O226/$I226*100,0))</f>
        <v>0</v>
      </c>
      <c r="M226" s="335" cm="1">
        <f t="array" aca="1" ref="M226" ca="1">IF($A226="S",VTOTALBM,IF($A226=0,0,ROUND(SomaAgrupBM,15-13*ORÇAMENTO!$AF$11)))</f>
        <v>0</v>
      </c>
      <c r="N226" s="336">
        <f t="shared" ca="1" si="27"/>
        <v>0</v>
      </c>
      <c r="O226" s="125" cm="1">
        <f t="array" aca="1" ref="O226" ca="1">IF($A226="S",VTOTALBM,IF($A226=0,0,ROUND(SomaAgrupBM,15-13*ORÇAMENTO!$AF$11)))</f>
        <v>0</v>
      </c>
      <c r="Q226" s="337"/>
      <c r="R226" s="338"/>
      <c r="T226" s="117" t="str">
        <f t="shared" ca="1" si="28"/>
        <v/>
      </c>
      <c r="U226" s="163" t="str">
        <f t="shared" ca="1" si="29"/>
        <v/>
      </c>
      <c r="V226" s="164" t="str" cm="1">
        <f t="array" aca="1" ref="V226" ca="1">IF(AND($W226&gt;0,RegimeExecucao="Unitário"),$F226,"")</f>
        <v/>
      </c>
      <c r="W226" s="454" cm="1">
        <f t="array" aca="1" ref="W226" ca="1">IF($Y226&gt;0,CHOOSE(MATCH(RegimeExecucao,{"Unitário","Global"},0),IF($A226="S",$Y226/$X226,""),($Y226/$X226)*100),0)</f>
        <v>0</v>
      </c>
      <c r="X226" s="339" t="str" cm="1">
        <f t="array" aca="1" ref="X226" ca="1">IF($Y226&gt;0,CHOOSE(MATCH(RegimeExecucao,{"Unitário","Global"},0),IF($A226="S",ROUND($H226,ORÇAMENTO!$AF$10),""),ROUND($I226,ORÇAMENTO!$AF$11)),"")</f>
        <v/>
      </c>
      <c r="Y226" s="339">
        <f t="shared" ca="1" si="30"/>
        <v>0</v>
      </c>
      <c r="Z226" s="473"/>
      <c r="AB226" s="337"/>
      <c r="AC226" s="437"/>
      <c r="AD226" s="437"/>
      <c r="AE226" s="437"/>
      <c r="AF226" s="437"/>
      <c r="AG226" s="437"/>
      <c r="AH226" s="437"/>
      <c r="AI226" s="437"/>
      <c r="AJ226" s="437"/>
      <c r="AK226" s="437"/>
      <c r="AL226" s="437"/>
      <c r="AM226" s="338"/>
      <c r="AO226" cm="1">
        <f t="array" aca="1" ref="AO226" ca="1">IF($A226="S",IF(BM!$I226=0,0,CHOOSE(MATCH(RegimeExecucao,{"Global","Unitário"},0),ROUND(ROUND(BM.MEDAcumulado,15-13*BM!$A$9)/100*BM!$I226,15-13*ORÇAMENTO!$AF$11),ROUND(ROUND(BM.MEDAcumulado,15-13*BM!$A$9)*ROUND(BM!$H226,15-13*ORÇAMENTO!$AF$10),15-13*ORÇAMENTO!$AF$11))),IF($A226=0,0,ROUND(SomaAgrupBM,15-13*ORÇAMENTO!$AF$11)))</f>
        <v>0</v>
      </c>
    </row>
    <row r="227" spans="1:41" ht="63.75" x14ac:dyDescent="0.2">
      <c r="A227" t="str">
        <f ca="1">ORÇAMENTO!C227</f>
        <v>S</v>
      </c>
      <c r="B227">
        <f ca="1">ORÇAMENTO!D227</f>
        <v>0</v>
      </c>
      <c r="C227" s="114" t="str">
        <f t="shared" ca="1" si="24"/>
        <v/>
      </c>
      <c r="D227" s="117" t="str">
        <f ca="1">ORÇAMENTO!O227</f>
        <v>-</v>
      </c>
      <c r="E227" s="163" t="str">
        <f t="shared" ca="1" si="25"/>
        <v>(Código não identificado nas referências)</v>
      </c>
      <c r="F227" s="164" t="str" cm="1">
        <f t="array" aca="1" ref="F227" ca="1">IF(RegimeExecucao="Global","",ORÇAMENTO.Unidade)</f>
        <v/>
      </c>
      <c r="G227" s="122" t="str" cm="1">
        <f t="array" aca="1" ref="G227" ca="1">IF(RegimeExecucao="Global","",ORÇAMENTO!T227)</f>
        <v/>
      </c>
      <c r="H227" s="122" t="str" cm="1">
        <f t="array" aca="1" ref="H227" ca="1">IF(RegimeExecucao="Global","",ORÇAMENTO!W227)</f>
        <v/>
      </c>
      <c r="I227" s="125">
        <f ca="1">ORÇAMENTO!X227</f>
        <v>0</v>
      </c>
      <c r="J227" s="333" cm="1">
        <f t="array" aca="1" ref="J227" ca="1">IF($A227="S",IF(CAIXA.Modo,BM.AFAnterior,BM.MEDAnterior),IF(AND(RegimeExecucao="Global",$I227&gt;0,COUNTIF($AB$13:$AM$13,BM.medicao-1)&gt;0),M227/$I227*100,0))</f>
        <v>0</v>
      </c>
      <c r="K227" s="122">
        <f t="shared" ca="1" si="26"/>
        <v>0</v>
      </c>
      <c r="L227" s="334" cm="1">
        <f t="array" aca="1" ref="L227" ca="1">IF($A227="S",IF(CAIXA.Modo,BM.AFAcumulado,BM.MEDAcumulado),IF(AND(RegimeExecucao="Global",$I227&gt;0,COUNTIF($AB$13:$AM$13,BM.medicao)&gt;0),O227/$I227*100,0))</f>
        <v>0</v>
      </c>
      <c r="M227" s="335" cm="1">
        <f t="array" aca="1" ref="M227" ca="1">IF($A227="S",VTOTALBM,IF($A227=0,0,ROUND(SomaAgrupBM,15-13*ORÇAMENTO!$AF$11)))</f>
        <v>0</v>
      </c>
      <c r="N227" s="336">
        <f t="shared" ca="1" si="27"/>
        <v>0</v>
      </c>
      <c r="O227" s="125" cm="1">
        <f t="array" aca="1" ref="O227" ca="1">IF($A227="S",VTOTALBM,IF($A227=0,0,ROUND(SomaAgrupBM,15-13*ORÇAMENTO!$AF$11)))</f>
        <v>0</v>
      </c>
      <c r="Q227" s="337"/>
      <c r="R227" s="338"/>
      <c r="T227" s="117" t="str">
        <f t="shared" ca="1" si="28"/>
        <v/>
      </c>
      <c r="U227" s="163" t="str">
        <f t="shared" ca="1" si="29"/>
        <v/>
      </c>
      <c r="V227" s="164" t="str" cm="1">
        <f t="array" aca="1" ref="V227" ca="1">IF(AND($W227&gt;0,RegimeExecucao="Unitário"),$F227,"")</f>
        <v/>
      </c>
      <c r="W227" s="454" cm="1">
        <f t="array" aca="1" ref="W227" ca="1">IF($Y227&gt;0,CHOOSE(MATCH(RegimeExecucao,{"Unitário","Global"},0),IF($A227="S",$Y227/$X227,""),($Y227/$X227)*100),0)</f>
        <v>0</v>
      </c>
      <c r="X227" s="339" t="str" cm="1">
        <f t="array" aca="1" ref="X227" ca="1">IF($Y227&gt;0,CHOOSE(MATCH(RegimeExecucao,{"Unitário","Global"},0),IF($A227="S",ROUND($H227,ORÇAMENTO!$AF$10),""),ROUND($I227,ORÇAMENTO!$AF$11)),"")</f>
        <v/>
      </c>
      <c r="Y227" s="339">
        <f t="shared" ca="1" si="30"/>
        <v>0</v>
      </c>
      <c r="Z227" s="473"/>
      <c r="AB227" s="337"/>
      <c r="AC227" s="437"/>
      <c r="AD227" s="437"/>
      <c r="AE227" s="437"/>
      <c r="AF227" s="437"/>
      <c r="AG227" s="437"/>
      <c r="AH227" s="437"/>
      <c r="AI227" s="437"/>
      <c r="AJ227" s="437"/>
      <c r="AK227" s="437"/>
      <c r="AL227" s="437"/>
      <c r="AM227" s="338"/>
      <c r="AO227" cm="1">
        <f t="array" aca="1" ref="AO227" ca="1">IF($A227="S",IF(BM!$I227=0,0,CHOOSE(MATCH(RegimeExecucao,{"Global","Unitário"},0),ROUND(ROUND(BM.MEDAcumulado,15-13*BM!$A$9)/100*BM!$I227,15-13*ORÇAMENTO!$AF$11),ROUND(ROUND(BM.MEDAcumulado,15-13*BM!$A$9)*ROUND(BM!$H227,15-13*ORÇAMENTO!$AF$10),15-13*ORÇAMENTO!$AF$11))),IF($A227=0,0,ROUND(SomaAgrupBM,15-13*ORÇAMENTO!$AF$11)))</f>
        <v>0</v>
      </c>
    </row>
    <row r="228" spans="1:41" ht="63.75" x14ac:dyDescent="0.2">
      <c r="A228" t="str">
        <f ca="1">ORÇAMENTO!C228</f>
        <v>S</v>
      </c>
      <c r="B228">
        <f ca="1">ORÇAMENTO!D228</f>
        <v>0</v>
      </c>
      <c r="C228" s="114" t="str">
        <f t="shared" ca="1" si="24"/>
        <v/>
      </c>
      <c r="D228" s="117" t="str">
        <f ca="1">ORÇAMENTO!O228</f>
        <v>-</v>
      </c>
      <c r="E228" s="163" t="str">
        <f t="shared" ca="1" si="25"/>
        <v>(Código não identificado nas referências)</v>
      </c>
      <c r="F228" s="164" t="str" cm="1">
        <f t="array" aca="1" ref="F228" ca="1">IF(RegimeExecucao="Global","",ORÇAMENTO.Unidade)</f>
        <v/>
      </c>
      <c r="G228" s="122" t="str" cm="1">
        <f t="array" aca="1" ref="G228" ca="1">IF(RegimeExecucao="Global","",ORÇAMENTO!T228)</f>
        <v/>
      </c>
      <c r="H228" s="122" t="str" cm="1">
        <f t="array" aca="1" ref="H228" ca="1">IF(RegimeExecucao="Global","",ORÇAMENTO!W228)</f>
        <v/>
      </c>
      <c r="I228" s="125">
        <f ca="1">ORÇAMENTO!X228</f>
        <v>0</v>
      </c>
      <c r="J228" s="333" cm="1">
        <f t="array" aca="1" ref="J228" ca="1">IF($A228="S",IF(CAIXA.Modo,BM.AFAnterior,BM.MEDAnterior),IF(AND(RegimeExecucao="Global",$I228&gt;0,COUNTIF($AB$13:$AM$13,BM.medicao-1)&gt;0),M228/$I228*100,0))</f>
        <v>0</v>
      </c>
      <c r="K228" s="122">
        <f t="shared" ca="1" si="26"/>
        <v>0</v>
      </c>
      <c r="L228" s="334" cm="1">
        <f t="array" aca="1" ref="L228" ca="1">IF($A228="S",IF(CAIXA.Modo,BM.AFAcumulado,BM.MEDAcumulado),IF(AND(RegimeExecucao="Global",$I228&gt;0,COUNTIF($AB$13:$AM$13,BM.medicao)&gt;0),O228/$I228*100,0))</f>
        <v>0</v>
      </c>
      <c r="M228" s="335" cm="1">
        <f t="array" aca="1" ref="M228" ca="1">IF($A228="S",VTOTALBM,IF($A228=0,0,ROUND(SomaAgrupBM,15-13*ORÇAMENTO!$AF$11)))</f>
        <v>0</v>
      </c>
      <c r="N228" s="336">
        <f t="shared" ca="1" si="27"/>
        <v>0</v>
      </c>
      <c r="O228" s="125" cm="1">
        <f t="array" aca="1" ref="O228" ca="1">IF($A228="S",VTOTALBM,IF($A228=0,0,ROUND(SomaAgrupBM,15-13*ORÇAMENTO!$AF$11)))</f>
        <v>0</v>
      </c>
      <c r="Q228" s="337"/>
      <c r="R228" s="338"/>
      <c r="T228" s="117" t="str">
        <f t="shared" ca="1" si="28"/>
        <v/>
      </c>
      <c r="U228" s="163" t="str">
        <f t="shared" ca="1" si="29"/>
        <v/>
      </c>
      <c r="V228" s="164" t="str" cm="1">
        <f t="array" aca="1" ref="V228" ca="1">IF(AND($W228&gt;0,RegimeExecucao="Unitário"),$F228,"")</f>
        <v/>
      </c>
      <c r="W228" s="454" cm="1">
        <f t="array" aca="1" ref="W228" ca="1">IF($Y228&gt;0,CHOOSE(MATCH(RegimeExecucao,{"Unitário","Global"},0),IF($A228="S",$Y228/$X228,""),($Y228/$X228)*100),0)</f>
        <v>0</v>
      </c>
      <c r="X228" s="339" t="str" cm="1">
        <f t="array" aca="1" ref="X228" ca="1">IF($Y228&gt;0,CHOOSE(MATCH(RegimeExecucao,{"Unitário","Global"},0),IF($A228="S",ROUND($H228,ORÇAMENTO!$AF$10),""),ROUND($I228,ORÇAMENTO!$AF$11)),"")</f>
        <v/>
      </c>
      <c r="Y228" s="339">
        <f t="shared" ca="1" si="30"/>
        <v>0</v>
      </c>
      <c r="Z228" s="473"/>
      <c r="AB228" s="337"/>
      <c r="AC228" s="437"/>
      <c r="AD228" s="437"/>
      <c r="AE228" s="437"/>
      <c r="AF228" s="437"/>
      <c r="AG228" s="437"/>
      <c r="AH228" s="437"/>
      <c r="AI228" s="437"/>
      <c r="AJ228" s="437"/>
      <c r="AK228" s="437"/>
      <c r="AL228" s="437"/>
      <c r="AM228" s="338"/>
      <c r="AO228" cm="1">
        <f t="array" aca="1" ref="AO228" ca="1">IF($A228="S",IF(BM!$I228=0,0,CHOOSE(MATCH(RegimeExecucao,{"Global","Unitário"},0),ROUND(ROUND(BM.MEDAcumulado,15-13*BM!$A$9)/100*BM!$I228,15-13*ORÇAMENTO!$AF$11),ROUND(ROUND(BM.MEDAcumulado,15-13*BM!$A$9)*ROUND(BM!$H228,15-13*ORÇAMENTO!$AF$10),15-13*ORÇAMENTO!$AF$11))),IF($A228=0,0,ROUND(SomaAgrupBM,15-13*ORÇAMENTO!$AF$11)))</f>
        <v>0</v>
      </c>
    </row>
    <row r="229" spans="1:41" ht="51" x14ac:dyDescent="0.2">
      <c r="A229" t="str">
        <f ca="1">ORÇAMENTO!C229</f>
        <v>S</v>
      </c>
      <c r="B229">
        <f ca="1">ORÇAMENTO!D229</f>
        <v>0</v>
      </c>
      <c r="C229" s="114" t="str">
        <f t="shared" ca="1" si="24"/>
        <v/>
      </c>
      <c r="D229" s="117" t="str">
        <f ca="1">ORÇAMENTO!O229</f>
        <v>-</v>
      </c>
      <c r="E229" s="163" t="str">
        <f t="shared" ca="1" si="25"/>
        <v>(Código não identificado nas referências)</v>
      </c>
      <c r="F229" s="164" t="str" cm="1">
        <f t="array" aca="1" ref="F229" ca="1">IF(RegimeExecucao="Global","",ORÇAMENTO.Unidade)</f>
        <v/>
      </c>
      <c r="G229" s="122" t="str" cm="1">
        <f t="array" aca="1" ref="G229" ca="1">IF(RegimeExecucao="Global","",ORÇAMENTO!T229)</f>
        <v/>
      </c>
      <c r="H229" s="122" t="str" cm="1">
        <f t="array" aca="1" ref="H229" ca="1">IF(RegimeExecucao="Global","",ORÇAMENTO!W229)</f>
        <v/>
      </c>
      <c r="I229" s="125">
        <f ca="1">ORÇAMENTO!X229</f>
        <v>0</v>
      </c>
      <c r="J229" s="333" cm="1">
        <f t="array" aca="1" ref="J229" ca="1">IF($A229="S",IF(CAIXA.Modo,BM.AFAnterior,BM.MEDAnterior),IF(AND(RegimeExecucao="Global",$I229&gt;0,COUNTIF($AB$13:$AM$13,BM.medicao-1)&gt;0),M229/$I229*100,0))</f>
        <v>0</v>
      </c>
      <c r="K229" s="122">
        <f t="shared" ca="1" si="26"/>
        <v>0</v>
      </c>
      <c r="L229" s="334" cm="1">
        <f t="array" aca="1" ref="L229" ca="1">IF($A229="S",IF(CAIXA.Modo,BM.AFAcumulado,BM.MEDAcumulado),IF(AND(RegimeExecucao="Global",$I229&gt;0,COUNTIF($AB$13:$AM$13,BM.medicao)&gt;0),O229/$I229*100,0))</f>
        <v>0</v>
      </c>
      <c r="M229" s="335" cm="1">
        <f t="array" aca="1" ref="M229" ca="1">IF($A229="S",VTOTALBM,IF($A229=0,0,ROUND(SomaAgrupBM,15-13*ORÇAMENTO!$AF$11)))</f>
        <v>0</v>
      </c>
      <c r="N229" s="336">
        <f t="shared" ca="1" si="27"/>
        <v>0</v>
      </c>
      <c r="O229" s="125" cm="1">
        <f t="array" aca="1" ref="O229" ca="1">IF($A229="S",VTOTALBM,IF($A229=0,0,ROUND(SomaAgrupBM,15-13*ORÇAMENTO!$AF$11)))</f>
        <v>0</v>
      </c>
      <c r="Q229" s="337"/>
      <c r="R229" s="338"/>
      <c r="T229" s="117" t="str">
        <f t="shared" ca="1" si="28"/>
        <v/>
      </c>
      <c r="U229" s="163" t="str">
        <f t="shared" ca="1" si="29"/>
        <v/>
      </c>
      <c r="V229" s="164" t="str" cm="1">
        <f t="array" aca="1" ref="V229" ca="1">IF(AND($W229&gt;0,RegimeExecucao="Unitário"),$F229,"")</f>
        <v/>
      </c>
      <c r="W229" s="454" cm="1">
        <f t="array" aca="1" ref="W229" ca="1">IF($Y229&gt;0,CHOOSE(MATCH(RegimeExecucao,{"Unitário","Global"},0),IF($A229="S",$Y229/$X229,""),($Y229/$X229)*100),0)</f>
        <v>0</v>
      </c>
      <c r="X229" s="339" t="str" cm="1">
        <f t="array" aca="1" ref="X229" ca="1">IF($Y229&gt;0,CHOOSE(MATCH(RegimeExecucao,{"Unitário","Global"},0),IF($A229="S",ROUND($H229,ORÇAMENTO!$AF$10),""),ROUND($I229,ORÇAMENTO!$AF$11)),"")</f>
        <v/>
      </c>
      <c r="Y229" s="339">
        <f t="shared" ca="1" si="30"/>
        <v>0</v>
      </c>
      <c r="Z229" s="473"/>
      <c r="AB229" s="337"/>
      <c r="AC229" s="437"/>
      <c r="AD229" s="437"/>
      <c r="AE229" s="437"/>
      <c r="AF229" s="437"/>
      <c r="AG229" s="437"/>
      <c r="AH229" s="437"/>
      <c r="AI229" s="437"/>
      <c r="AJ229" s="437"/>
      <c r="AK229" s="437"/>
      <c r="AL229" s="437"/>
      <c r="AM229" s="338"/>
      <c r="AO229" cm="1">
        <f t="array" aca="1" ref="AO229" ca="1">IF($A229="S",IF(BM!$I229=0,0,CHOOSE(MATCH(RegimeExecucao,{"Global","Unitário"},0),ROUND(ROUND(BM.MEDAcumulado,15-13*BM!$A$9)/100*BM!$I229,15-13*ORÇAMENTO!$AF$11),ROUND(ROUND(BM.MEDAcumulado,15-13*BM!$A$9)*ROUND(BM!$H229,15-13*ORÇAMENTO!$AF$10),15-13*ORÇAMENTO!$AF$11))),IF($A229=0,0,ROUND(SomaAgrupBM,15-13*ORÇAMENTO!$AF$11)))</f>
        <v>0</v>
      </c>
    </row>
    <row r="230" spans="1:41" ht="25.5" x14ac:dyDescent="0.2">
      <c r="A230" t="str">
        <f ca="1">ORÇAMENTO!C230</f>
        <v>S</v>
      </c>
      <c r="B230">
        <f ca="1">ORÇAMENTO!D230</f>
        <v>0</v>
      </c>
      <c r="C230" s="114" t="str">
        <f t="shared" ca="1" si="24"/>
        <v/>
      </c>
      <c r="D230" s="117" t="str">
        <f ca="1">ORÇAMENTO!O230</f>
        <v>-</v>
      </c>
      <c r="E230" s="163" t="str">
        <f t="shared" ca="1" si="25"/>
        <v>(Código não identificado nas referências)</v>
      </c>
      <c r="F230" s="164" t="str" cm="1">
        <f t="array" aca="1" ref="F230" ca="1">IF(RegimeExecucao="Global","",ORÇAMENTO.Unidade)</f>
        <v/>
      </c>
      <c r="G230" s="122" t="str" cm="1">
        <f t="array" aca="1" ref="G230" ca="1">IF(RegimeExecucao="Global","",ORÇAMENTO!T230)</f>
        <v/>
      </c>
      <c r="H230" s="122" t="str" cm="1">
        <f t="array" aca="1" ref="H230" ca="1">IF(RegimeExecucao="Global","",ORÇAMENTO!W230)</f>
        <v/>
      </c>
      <c r="I230" s="125">
        <f ca="1">ORÇAMENTO!X230</f>
        <v>0</v>
      </c>
      <c r="J230" s="333" cm="1">
        <f t="array" aca="1" ref="J230" ca="1">IF($A230="S",IF(CAIXA.Modo,BM.AFAnterior,BM.MEDAnterior),IF(AND(RegimeExecucao="Global",$I230&gt;0,COUNTIF($AB$13:$AM$13,BM.medicao-1)&gt;0),M230/$I230*100,0))</f>
        <v>0</v>
      </c>
      <c r="K230" s="122">
        <f t="shared" ca="1" si="26"/>
        <v>0</v>
      </c>
      <c r="L230" s="334" cm="1">
        <f t="array" aca="1" ref="L230" ca="1">IF($A230="S",IF(CAIXA.Modo,BM.AFAcumulado,BM.MEDAcumulado),IF(AND(RegimeExecucao="Global",$I230&gt;0,COUNTIF($AB$13:$AM$13,BM.medicao)&gt;0),O230/$I230*100,0))</f>
        <v>0</v>
      </c>
      <c r="M230" s="335" cm="1">
        <f t="array" aca="1" ref="M230" ca="1">IF($A230="S",VTOTALBM,IF($A230=0,0,ROUND(SomaAgrupBM,15-13*ORÇAMENTO!$AF$11)))</f>
        <v>0</v>
      </c>
      <c r="N230" s="336">
        <f t="shared" ca="1" si="27"/>
        <v>0</v>
      </c>
      <c r="O230" s="125" cm="1">
        <f t="array" aca="1" ref="O230" ca="1">IF($A230="S",VTOTALBM,IF($A230=0,0,ROUND(SomaAgrupBM,15-13*ORÇAMENTO!$AF$11)))</f>
        <v>0</v>
      </c>
      <c r="Q230" s="337"/>
      <c r="R230" s="338"/>
      <c r="T230" s="117" t="str">
        <f t="shared" ca="1" si="28"/>
        <v/>
      </c>
      <c r="U230" s="163" t="str">
        <f t="shared" ca="1" si="29"/>
        <v/>
      </c>
      <c r="V230" s="164" t="str" cm="1">
        <f t="array" aca="1" ref="V230" ca="1">IF(AND($W230&gt;0,RegimeExecucao="Unitário"),$F230,"")</f>
        <v/>
      </c>
      <c r="W230" s="454" cm="1">
        <f t="array" aca="1" ref="W230" ca="1">IF($Y230&gt;0,CHOOSE(MATCH(RegimeExecucao,{"Unitário","Global"},0),IF($A230="S",$Y230/$X230,""),($Y230/$X230)*100),0)</f>
        <v>0</v>
      </c>
      <c r="X230" s="339" t="str" cm="1">
        <f t="array" aca="1" ref="X230" ca="1">IF($Y230&gt;0,CHOOSE(MATCH(RegimeExecucao,{"Unitário","Global"},0),IF($A230="S",ROUND($H230,ORÇAMENTO!$AF$10),""),ROUND($I230,ORÇAMENTO!$AF$11)),"")</f>
        <v/>
      </c>
      <c r="Y230" s="339">
        <f t="shared" ca="1" si="30"/>
        <v>0</v>
      </c>
      <c r="Z230" s="473"/>
      <c r="AB230" s="337"/>
      <c r="AC230" s="437"/>
      <c r="AD230" s="437"/>
      <c r="AE230" s="437"/>
      <c r="AF230" s="437"/>
      <c r="AG230" s="437"/>
      <c r="AH230" s="437"/>
      <c r="AI230" s="437"/>
      <c r="AJ230" s="437"/>
      <c r="AK230" s="437"/>
      <c r="AL230" s="437"/>
      <c r="AM230" s="338"/>
      <c r="AO230" cm="1">
        <f t="array" aca="1" ref="AO230" ca="1">IF($A230="S",IF(BM!$I230=0,0,CHOOSE(MATCH(RegimeExecucao,{"Global","Unitário"},0),ROUND(ROUND(BM.MEDAcumulado,15-13*BM!$A$9)/100*BM!$I230,15-13*ORÇAMENTO!$AF$11),ROUND(ROUND(BM.MEDAcumulado,15-13*BM!$A$9)*ROUND(BM!$H230,15-13*ORÇAMENTO!$AF$10),15-13*ORÇAMENTO!$AF$11))),IF($A230=0,0,ROUND(SomaAgrupBM,15-13*ORÇAMENTO!$AF$11)))</f>
        <v>0</v>
      </c>
    </row>
    <row r="231" spans="1:41" ht="25.5" x14ac:dyDescent="0.2">
      <c r="A231" t="str">
        <f ca="1">ORÇAMENTO!C231</f>
        <v>S</v>
      </c>
      <c r="B231">
        <f ca="1">ORÇAMENTO!D231</f>
        <v>0</v>
      </c>
      <c r="C231" s="114" t="str">
        <f t="shared" ca="1" si="24"/>
        <v/>
      </c>
      <c r="D231" s="117" t="str">
        <f ca="1">ORÇAMENTO!O231</f>
        <v>-</v>
      </c>
      <c r="E231" s="163" t="str">
        <f t="shared" ca="1" si="25"/>
        <v>(Código não identificado nas referências)</v>
      </c>
      <c r="F231" s="164" t="str" cm="1">
        <f t="array" aca="1" ref="F231" ca="1">IF(RegimeExecucao="Global","",ORÇAMENTO.Unidade)</f>
        <v/>
      </c>
      <c r="G231" s="122" t="str" cm="1">
        <f t="array" aca="1" ref="G231" ca="1">IF(RegimeExecucao="Global","",ORÇAMENTO!T231)</f>
        <v/>
      </c>
      <c r="H231" s="122" t="str" cm="1">
        <f t="array" aca="1" ref="H231" ca="1">IF(RegimeExecucao="Global","",ORÇAMENTO!W231)</f>
        <v/>
      </c>
      <c r="I231" s="125">
        <f ca="1">ORÇAMENTO!X231</f>
        <v>0</v>
      </c>
      <c r="J231" s="333" cm="1">
        <f t="array" aca="1" ref="J231" ca="1">IF($A231="S",IF(CAIXA.Modo,BM.AFAnterior,BM.MEDAnterior),IF(AND(RegimeExecucao="Global",$I231&gt;0,COUNTIF($AB$13:$AM$13,BM.medicao-1)&gt;0),M231/$I231*100,0))</f>
        <v>0</v>
      </c>
      <c r="K231" s="122">
        <f t="shared" ca="1" si="26"/>
        <v>0</v>
      </c>
      <c r="L231" s="334" cm="1">
        <f t="array" aca="1" ref="L231" ca="1">IF($A231="S",IF(CAIXA.Modo,BM.AFAcumulado,BM.MEDAcumulado),IF(AND(RegimeExecucao="Global",$I231&gt;0,COUNTIF($AB$13:$AM$13,BM.medicao)&gt;0),O231/$I231*100,0))</f>
        <v>0</v>
      </c>
      <c r="M231" s="335" cm="1">
        <f t="array" aca="1" ref="M231" ca="1">IF($A231="S",VTOTALBM,IF($A231=0,0,ROUND(SomaAgrupBM,15-13*ORÇAMENTO!$AF$11)))</f>
        <v>0</v>
      </c>
      <c r="N231" s="336">
        <f t="shared" ca="1" si="27"/>
        <v>0</v>
      </c>
      <c r="O231" s="125" cm="1">
        <f t="array" aca="1" ref="O231" ca="1">IF($A231="S",VTOTALBM,IF($A231=0,0,ROUND(SomaAgrupBM,15-13*ORÇAMENTO!$AF$11)))</f>
        <v>0</v>
      </c>
      <c r="Q231" s="337"/>
      <c r="R231" s="338"/>
      <c r="T231" s="117" t="str">
        <f t="shared" ca="1" si="28"/>
        <v/>
      </c>
      <c r="U231" s="163" t="str">
        <f t="shared" ca="1" si="29"/>
        <v/>
      </c>
      <c r="V231" s="164" t="str" cm="1">
        <f t="array" aca="1" ref="V231" ca="1">IF(AND($W231&gt;0,RegimeExecucao="Unitário"),$F231,"")</f>
        <v/>
      </c>
      <c r="W231" s="454" cm="1">
        <f t="array" aca="1" ref="W231" ca="1">IF($Y231&gt;0,CHOOSE(MATCH(RegimeExecucao,{"Unitário","Global"},0),IF($A231="S",$Y231/$X231,""),($Y231/$X231)*100),0)</f>
        <v>0</v>
      </c>
      <c r="X231" s="339" t="str" cm="1">
        <f t="array" aca="1" ref="X231" ca="1">IF($Y231&gt;0,CHOOSE(MATCH(RegimeExecucao,{"Unitário","Global"},0),IF($A231="S",ROUND($H231,ORÇAMENTO!$AF$10),""),ROUND($I231,ORÇAMENTO!$AF$11)),"")</f>
        <v/>
      </c>
      <c r="Y231" s="339">
        <f t="shared" ca="1" si="30"/>
        <v>0</v>
      </c>
      <c r="Z231" s="473"/>
      <c r="AB231" s="337"/>
      <c r="AC231" s="437"/>
      <c r="AD231" s="437"/>
      <c r="AE231" s="437"/>
      <c r="AF231" s="437"/>
      <c r="AG231" s="437"/>
      <c r="AH231" s="437"/>
      <c r="AI231" s="437"/>
      <c r="AJ231" s="437"/>
      <c r="AK231" s="437"/>
      <c r="AL231" s="437"/>
      <c r="AM231" s="338"/>
      <c r="AO231" cm="1">
        <f t="array" aca="1" ref="AO231" ca="1">IF($A231="S",IF(BM!$I231=0,0,CHOOSE(MATCH(RegimeExecucao,{"Global","Unitário"},0),ROUND(ROUND(BM.MEDAcumulado,15-13*BM!$A$9)/100*BM!$I231,15-13*ORÇAMENTO!$AF$11),ROUND(ROUND(BM.MEDAcumulado,15-13*BM!$A$9)*ROUND(BM!$H231,15-13*ORÇAMENTO!$AF$10),15-13*ORÇAMENTO!$AF$11))),IF($A231=0,0,ROUND(SomaAgrupBM,15-13*ORÇAMENTO!$AF$11)))</f>
        <v>0</v>
      </c>
    </row>
    <row r="232" spans="1:41" ht="25.5" x14ac:dyDescent="0.2">
      <c r="A232" t="str">
        <f ca="1">ORÇAMENTO!C232</f>
        <v>S</v>
      </c>
      <c r="B232">
        <f ca="1">ORÇAMENTO!D232</f>
        <v>0</v>
      </c>
      <c r="C232" s="114" t="str">
        <f ca="1">IF(OR($I232&gt;0,$A232=1,$A232=2,$A232=3,$A232=4),"F","")</f>
        <v/>
      </c>
      <c r="D232" s="117" t="str">
        <f ca="1">ORÇAMENTO!O232</f>
        <v>-</v>
      </c>
      <c r="E232" s="163" t="str">
        <f ca="1">ORÇAMENTO.Descricao</f>
        <v>(Código não identificado nas referências)</v>
      </c>
      <c r="F232" s="164" t="str" cm="1">
        <f t="array" aca="1" ref="F232" ca="1">IF(RegimeExecucao="Global","",ORÇAMENTO.Unidade)</f>
        <v/>
      </c>
      <c r="G232" s="122" t="str" cm="1">
        <f t="array" aca="1" ref="G232" ca="1">IF(RegimeExecucao="Global","",ORÇAMENTO!T232)</f>
        <v/>
      </c>
      <c r="H232" s="122" t="str" cm="1">
        <f t="array" aca="1" ref="H232" ca="1">IF(RegimeExecucao="Global","",ORÇAMENTO!W232)</f>
        <v/>
      </c>
      <c r="I232" s="125">
        <f ca="1">ORÇAMENTO!X232</f>
        <v>0</v>
      </c>
      <c r="J232" s="333" cm="1">
        <f t="array" aca="1" ref="J232" ca="1">IF($A232="S",IF(CAIXA.Modo,BM.AFAnterior,BM.MEDAnterior),IF(AND(RegimeExecucao="Global",$I232&gt;0,COUNTIF($AB$13:$AM$13,BM.medicao-1)&gt;0),M232/$I232*100,0))</f>
        <v>0</v>
      </c>
      <c r="K232" s="122">
        <f ca="1">L232-J232</f>
        <v>0</v>
      </c>
      <c r="L232" s="334" cm="1">
        <f t="array" aca="1" ref="L232" ca="1">IF($A232="S",IF(CAIXA.Modo,BM.AFAcumulado,BM.MEDAcumulado),IF(AND(RegimeExecucao="Global",$I232&gt;0,COUNTIF($AB$13:$AM$13,BM.medicao)&gt;0),O232/$I232*100,0))</f>
        <v>0</v>
      </c>
      <c r="M232" s="335" cm="1">
        <f t="array" aca="1" ref="M232" ca="1">IF($A232="S",VTOTALBM,IF($A232=0,0,ROUND(SomaAgrupBM,15-13*ORÇAMENTO!$AF$11)))</f>
        <v>0</v>
      </c>
      <c r="N232" s="336">
        <f ca="1">O232-M232</f>
        <v>0</v>
      </c>
      <c r="O232" s="125" cm="1">
        <f t="array" aca="1" ref="O232" ca="1">IF($A232="S",VTOTALBM,IF($A232=0,0,ROUND(SomaAgrupBM,15-13*ORÇAMENTO!$AF$11)))</f>
        <v>0</v>
      </c>
      <c r="Q232" s="337"/>
      <c r="R232" s="338"/>
      <c r="T232" s="117" t="str">
        <f ca="1">IF($W232&gt;0,$D232,"")</f>
        <v/>
      </c>
      <c r="U232" s="163" t="str">
        <f ca="1">IF($W232&gt;0,$E232,"")</f>
        <v/>
      </c>
      <c r="V232" s="164" t="str" cm="1">
        <f t="array" aca="1" ref="V232" ca="1">IF(AND($W232&gt;0,RegimeExecucao="Unitário"),$F232,"")</f>
        <v/>
      </c>
      <c r="W232" s="454" cm="1">
        <f t="array" aca="1" ref="W232" ca="1">IF($Y232&gt;0,CHOOSE(MATCH(RegimeExecucao,{"Unitário","Global"},0),IF($A232="S",$Y232/$X232,""),($Y232/$X232)*100),0)</f>
        <v>0</v>
      </c>
      <c r="X232" s="339" t="str" cm="1">
        <f t="array" aca="1" ref="X232" ca="1">IF($Y232&gt;0,CHOOSE(MATCH(RegimeExecucao,{"Unitário","Global"},0),IF($A232="S",ROUND($H232,ORÇAMENTO!$AF$10),""),ROUND($I232,ORÇAMENTO!$AF$11)),"")</f>
        <v/>
      </c>
      <c r="Y232" s="339">
        <f ca="1">AO232-O232</f>
        <v>0</v>
      </c>
      <c r="Z232" s="473"/>
      <c r="AB232" s="337"/>
      <c r="AC232" s="437"/>
      <c r="AD232" s="437"/>
      <c r="AE232" s="437"/>
      <c r="AF232" s="437"/>
      <c r="AG232" s="437"/>
      <c r="AH232" s="437"/>
      <c r="AI232" s="437"/>
      <c r="AJ232" s="437"/>
      <c r="AK232" s="437"/>
      <c r="AL232" s="437"/>
      <c r="AM232" s="338"/>
      <c r="AO232" cm="1">
        <f t="array" aca="1" ref="AO232" ca="1">IF($A232="S",IF(BM!$I232=0,0,CHOOSE(MATCH(RegimeExecucao,{"Global","Unitário"},0),ROUND(ROUND(BM.MEDAcumulado,15-13*BM!$A$9)/100*BM!$I232,15-13*ORÇAMENTO!$AF$11),ROUND(ROUND(BM.MEDAcumulado,15-13*BM!$A$9)*ROUND(BM!$H232,15-13*ORÇAMENTO!$AF$10),15-13*ORÇAMENTO!$AF$11))),IF($A232=0,0,ROUND(SomaAgrupBM,15-13*ORÇAMENTO!$AF$11)))</f>
        <v>0</v>
      </c>
    </row>
    <row r="233" spans="1:41" x14ac:dyDescent="0.2">
      <c r="A233">
        <f ca="1">ORÇAMENTO!C233</f>
        <v>1</v>
      </c>
      <c r="B233">
        <f ca="1">ORÇAMENTO!D233</f>
        <v>11</v>
      </c>
      <c r="C233" s="114" t="str">
        <f ca="1">IF(OR($I233&gt;0,$A233=1,$A233=2,$A233=3,$A233=4),"F","")</f>
        <v>F</v>
      </c>
      <c r="D233" s="117" t="str">
        <f ca="1">ORÇAMENTO!O233</f>
        <v>10.</v>
      </c>
      <c r="E233" s="163" t="str">
        <f>ORÇAMENTO.Descricao</f>
        <v>COMPLEMENTAÇÕES</v>
      </c>
      <c r="F233" s="164" t="str" cm="1">
        <f t="array" aca="1" ref="F233" ca="1">IF(RegimeExecucao="Global","",ORÇAMENTO.Unidade)</f>
        <v/>
      </c>
      <c r="G233" s="122" t="str" cm="1">
        <f t="array" aca="1" ref="G233" ca="1">IF(RegimeExecucao="Global","",ORÇAMENTO!T233)</f>
        <v/>
      </c>
      <c r="H233" s="122" t="str" cm="1">
        <f t="array" aca="1" ref="H233" ca="1">IF(RegimeExecucao="Global","",ORÇAMENTO!W233)</f>
        <v/>
      </c>
      <c r="I233" s="125">
        <f ca="1">ORÇAMENTO!X233</f>
        <v>0</v>
      </c>
      <c r="J233" s="333" cm="1">
        <f t="array" aca="1" ref="J233" ca="1">IF($A233="S",IF(CAIXA.Modo,BM.AFAnterior,BM.MEDAnterior),IF(AND(RegimeExecucao="Global",$I233&gt;0,COUNTIF($AB$13:$AM$13,BM.medicao-1)&gt;0),M233/$I233*100,0))</f>
        <v>0</v>
      </c>
      <c r="K233" s="122">
        <f ca="1">L233-J233</f>
        <v>0</v>
      </c>
      <c r="L233" s="334" cm="1">
        <f t="array" aca="1" ref="L233" ca="1">IF($A233="S",IF(CAIXA.Modo,BM.AFAcumulado,BM.MEDAcumulado),IF(AND(RegimeExecucao="Global",$I233&gt;0,COUNTIF($AB$13:$AM$13,BM.medicao)&gt;0),O233/$I233*100,0))</f>
        <v>0</v>
      </c>
      <c r="M233" s="335" cm="1">
        <f t="array" aca="1" ref="M233" ca="1">IF($A233="S",VTOTALBM,IF($A233=0,0,ROUND(SomaAgrupBM,15-13*ORÇAMENTO!$AF$11)))</f>
        <v>0</v>
      </c>
      <c r="N233" s="336">
        <f ca="1">O233-M233</f>
        <v>0</v>
      </c>
      <c r="O233" s="125" cm="1">
        <f t="array" aca="1" ref="O233" ca="1">IF($A233="S",VTOTALBM,IF($A233=0,0,ROUND(SomaAgrupBM,15-13*ORÇAMENTO!$AF$11)))</f>
        <v>0</v>
      </c>
      <c r="Q233" s="337"/>
      <c r="R233" s="338"/>
      <c r="T233" s="117" t="str">
        <f ca="1">IF($W233&gt;0,$D233,"")</f>
        <v/>
      </c>
      <c r="U233" s="163" t="str">
        <f ca="1">IF($W233&gt;0,$E233,"")</f>
        <v/>
      </c>
      <c r="V233" s="164" t="str" cm="1">
        <f t="array" aca="1" ref="V233" ca="1">IF(AND($W233&gt;0,RegimeExecucao="Unitário"),$F233,"")</f>
        <v/>
      </c>
      <c r="W233" s="454" cm="1">
        <f t="array" aca="1" ref="W233" ca="1">IF($Y233&gt;0,CHOOSE(MATCH(RegimeExecucao,{"Unitário","Global"},0),IF($A233="S",$Y233/$X233,""),($Y233/$X233)*100),0)</f>
        <v>0</v>
      </c>
      <c r="X233" s="339" t="str" cm="1">
        <f t="array" aca="1" ref="X233" ca="1">IF($Y233&gt;0,CHOOSE(MATCH(RegimeExecucao,{"Unitário","Global"},0),IF($A233="S",ROUND($H233,ORÇAMENTO!$AF$10),""),ROUND($I233,ORÇAMENTO!$AF$11)),"")</f>
        <v/>
      </c>
      <c r="Y233" s="339">
        <f ca="1">AO233-O233</f>
        <v>0</v>
      </c>
      <c r="Z233" s="473"/>
      <c r="AB233" s="337"/>
      <c r="AC233" s="437"/>
      <c r="AD233" s="437"/>
      <c r="AE233" s="437"/>
      <c r="AF233" s="437"/>
      <c r="AG233" s="437"/>
      <c r="AH233" s="437"/>
      <c r="AI233" s="437"/>
      <c r="AJ233" s="437"/>
      <c r="AK233" s="437"/>
      <c r="AL233" s="437"/>
      <c r="AM233" s="338"/>
      <c r="AO233" cm="1">
        <f t="array" aca="1" ref="AO233" ca="1">IF($A233="S",IF(BM!$I233=0,0,CHOOSE(MATCH(RegimeExecucao,{"Global","Unitário"},0),ROUND(ROUND(BM.MEDAcumulado,15-13*BM!$A$9)/100*BM!$I233,15-13*ORÇAMENTO!$AF$11),ROUND(ROUND(BM.MEDAcumulado,15-13*BM!$A$9)*ROUND(BM!$H233,15-13*ORÇAMENTO!$AF$10),15-13*ORÇAMENTO!$AF$11))),IF($A233=0,0,ROUND(SomaAgrupBM,15-13*ORÇAMENTO!$AF$11)))</f>
        <v>0</v>
      </c>
    </row>
    <row r="234" spans="1:41" x14ac:dyDescent="0.2">
      <c r="A234">
        <f ca="1">ORÇAMENTO!C234</f>
        <v>2</v>
      </c>
      <c r="B234">
        <f ca="1">ORÇAMENTO!D234</f>
        <v>10</v>
      </c>
      <c r="C234" s="114" t="str">
        <f t="shared" ca="1" si="24"/>
        <v>F</v>
      </c>
      <c r="D234" s="117" t="str">
        <f ca="1">ORÇAMENTO!O234</f>
        <v>10.1.</v>
      </c>
      <c r="E234" s="163" t="str">
        <f t="shared" si="25"/>
        <v>CALAFETE / LIMPEZA</v>
      </c>
      <c r="F234" s="164" t="str" cm="1">
        <f t="array" aca="1" ref="F234" ca="1">IF(RegimeExecucao="Global","",ORÇAMENTO.Unidade)</f>
        <v/>
      </c>
      <c r="G234" s="122" t="str" cm="1">
        <f t="array" aca="1" ref="G234" ca="1">IF(RegimeExecucao="Global","",ORÇAMENTO!T234)</f>
        <v/>
      </c>
      <c r="H234" s="122" t="str" cm="1">
        <f t="array" aca="1" ref="H234" ca="1">IF(RegimeExecucao="Global","",ORÇAMENTO!W234)</f>
        <v/>
      </c>
      <c r="I234" s="125">
        <f ca="1">ORÇAMENTO!X234</f>
        <v>0</v>
      </c>
      <c r="J234" s="333" cm="1">
        <f t="array" aca="1" ref="J234" ca="1">IF($A234="S",IF(CAIXA.Modo,BM.AFAnterior,BM.MEDAnterior),IF(AND(RegimeExecucao="Global",$I234&gt;0,COUNTIF($AB$13:$AM$13,BM.medicao-1)&gt;0),M234/$I234*100,0))</f>
        <v>0</v>
      </c>
      <c r="K234" s="122">
        <f t="shared" ca="1" si="26"/>
        <v>0</v>
      </c>
      <c r="L234" s="334" cm="1">
        <f t="array" aca="1" ref="L234" ca="1">IF($A234="S",IF(CAIXA.Modo,BM.AFAcumulado,BM.MEDAcumulado),IF(AND(RegimeExecucao="Global",$I234&gt;0,COUNTIF($AB$13:$AM$13,BM.medicao)&gt;0),O234/$I234*100,0))</f>
        <v>0</v>
      </c>
      <c r="M234" s="335" cm="1">
        <f t="array" aca="1" ref="M234" ca="1">IF($A234="S",VTOTALBM,IF($A234=0,0,ROUND(SomaAgrupBM,15-13*ORÇAMENTO!$AF$11)))</f>
        <v>0</v>
      </c>
      <c r="N234" s="336">
        <f t="shared" ca="1" si="27"/>
        <v>0</v>
      </c>
      <c r="O234" s="125" cm="1">
        <f t="array" aca="1" ref="O234" ca="1">IF($A234="S",VTOTALBM,IF($A234=0,0,ROUND(SomaAgrupBM,15-13*ORÇAMENTO!$AF$11)))</f>
        <v>0</v>
      </c>
      <c r="Q234" s="337"/>
      <c r="R234" s="338"/>
      <c r="T234" s="117" t="str">
        <f t="shared" ca="1" si="28"/>
        <v/>
      </c>
      <c r="U234" s="163" t="str">
        <f t="shared" ca="1" si="29"/>
        <v/>
      </c>
      <c r="V234" s="164" t="str" cm="1">
        <f t="array" aca="1" ref="V234" ca="1">IF(AND($W234&gt;0,RegimeExecucao="Unitário"),$F234,"")</f>
        <v/>
      </c>
      <c r="W234" s="454" cm="1">
        <f t="array" aca="1" ref="W234" ca="1">IF($Y234&gt;0,CHOOSE(MATCH(RegimeExecucao,{"Unitário","Global"},0),IF($A234="S",$Y234/$X234,""),($Y234/$X234)*100),0)</f>
        <v>0</v>
      </c>
      <c r="X234" s="339" t="str" cm="1">
        <f t="array" aca="1" ref="X234" ca="1">IF($Y234&gt;0,CHOOSE(MATCH(RegimeExecucao,{"Unitário","Global"},0),IF($A234="S",ROUND($H234,ORÇAMENTO!$AF$10),""),ROUND($I234,ORÇAMENTO!$AF$11)),"")</f>
        <v/>
      </c>
      <c r="Y234" s="339">
        <f t="shared" ca="1" si="30"/>
        <v>0</v>
      </c>
      <c r="Z234" s="473"/>
      <c r="AB234" s="337"/>
      <c r="AC234" s="437"/>
      <c r="AD234" s="437"/>
      <c r="AE234" s="437"/>
      <c r="AF234" s="437"/>
      <c r="AG234" s="437"/>
      <c r="AH234" s="437"/>
      <c r="AI234" s="437"/>
      <c r="AJ234" s="437"/>
      <c r="AK234" s="437"/>
      <c r="AL234" s="437"/>
      <c r="AM234" s="338"/>
      <c r="AO234" cm="1">
        <f t="array" aca="1" ref="AO234" ca="1">IF($A234="S",IF(BM!$I234=0,0,CHOOSE(MATCH(RegimeExecucao,{"Global","Unitário"},0),ROUND(ROUND(BM.MEDAcumulado,15-13*BM!$A$9)/100*BM!$I234,15-13*ORÇAMENTO!$AF$11),ROUND(ROUND(BM.MEDAcumulado,15-13*BM!$A$9)*ROUND(BM!$H234,15-13*ORÇAMENTO!$AF$10),15-13*ORÇAMENTO!$AF$11))),IF($A234=0,0,ROUND(SomaAgrupBM,15-13*ORÇAMENTO!$AF$11)))</f>
        <v>0</v>
      </c>
    </row>
    <row r="235" spans="1:41" ht="25.5" x14ac:dyDescent="0.2">
      <c r="A235" t="str">
        <f ca="1">ORÇAMENTO!C235</f>
        <v>S</v>
      </c>
      <c r="B235">
        <f ca="1">ORÇAMENTO!D235</f>
        <v>0</v>
      </c>
      <c r="C235" s="114" t="str">
        <f t="shared" ca="1" si="24"/>
        <v/>
      </c>
      <c r="D235" s="117" t="str">
        <f ca="1">ORÇAMENTO!O235</f>
        <v>-</v>
      </c>
      <c r="E235" s="163" t="str">
        <f t="shared" ca="1" si="25"/>
        <v>(Código não identificado nas referências)</v>
      </c>
      <c r="F235" s="164" t="str" cm="1">
        <f t="array" aca="1" ref="F235" ca="1">IF(RegimeExecucao="Global","",ORÇAMENTO.Unidade)</f>
        <v/>
      </c>
      <c r="G235" s="122" t="str" cm="1">
        <f t="array" aca="1" ref="G235" ca="1">IF(RegimeExecucao="Global","",ORÇAMENTO!T235)</f>
        <v/>
      </c>
      <c r="H235" s="122" t="str" cm="1">
        <f t="array" aca="1" ref="H235" ca="1">IF(RegimeExecucao="Global","",ORÇAMENTO!W235)</f>
        <v/>
      </c>
      <c r="I235" s="125">
        <f ca="1">ORÇAMENTO!X235</f>
        <v>0</v>
      </c>
      <c r="J235" s="333" cm="1">
        <f t="array" aca="1" ref="J235" ca="1">IF($A235="S",IF(CAIXA.Modo,BM.AFAnterior,BM.MEDAnterior),IF(AND(RegimeExecucao="Global",$I235&gt;0,COUNTIF($AB$13:$AM$13,BM.medicao-1)&gt;0),M235/$I235*100,0))</f>
        <v>0</v>
      </c>
      <c r="K235" s="122">
        <f t="shared" ca="1" si="26"/>
        <v>0</v>
      </c>
      <c r="L235" s="334" cm="1">
        <f t="array" aca="1" ref="L235" ca="1">IF($A235="S",IF(CAIXA.Modo,BM.AFAcumulado,BM.MEDAcumulado),IF(AND(RegimeExecucao="Global",$I235&gt;0,COUNTIF($AB$13:$AM$13,BM.medicao)&gt;0),O235/$I235*100,0))</f>
        <v>0</v>
      </c>
      <c r="M235" s="335" cm="1">
        <f t="array" aca="1" ref="M235" ca="1">IF($A235="S",VTOTALBM,IF($A235=0,0,ROUND(SomaAgrupBM,15-13*ORÇAMENTO!$AF$11)))</f>
        <v>0</v>
      </c>
      <c r="N235" s="336">
        <f t="shared" ca="1" si="27"/>
        <v>0</v>
      </c>
      <c r="O235" s="125" cm="1">
        <f t="array" aca="1" ref="O235" ca="1">IF($A235="S",VTOTALBM,IF($A235=0,0,ROUND(SomaAgrupBM,15-13*ORÇAMENTO!$AF$11)))</f>
        <v>0</v>
      </c>
      <c r="Q235" s="337"/>
      <c r="R235" s="338"/>
      <c r="T235" s="117" t="str">
        <f t="shared" ca="1" si="28"/>
        <v/>
      </c>
      <c r="U235" s="163" t="str">
        <f t="shared" ca="1" si="29"/>
        <v/>
      </c>
      <c r="V235" s="164" t="str" cm="1">
        <f t="array" aca="1" ref="V235" ca="1">IF(AND($W235&gt;0,RegimeExecucao="Unitário"),$F235,"")</f>
        <v/>
      </c>
      <c r="W235" s="454" cm="1">
        <f t="array" aca="1" ref="W235" ca="1">IF($Y235&gt;0,CHOOSE(MATCH(RegimeExecucao,{"Unitário","Global"},0),IF($A235="S",$Y235/$X235,""),($Y235/$X235)*100),0)</f>
        <v>0</v>
      </c>
      <c r="X235" s="339" t="str" cm="1">
        <f t="array" aca="1" ref="X235" ca="1">IF($Y235&gt;0,CHOOSE(MATCH(RegimeExecucao,{"Unitário","Global"},0),IF($A235="S",ROUND($H235,ORÇAMENTO!$AF$10),""),ROUND($I235,ORÇAMENTO!$AF$11)),"")</f>
        <v/>
      </c>
      <c r="Y235" s="339">
        <f t="shared" ca="1" si="30"/>
        <v>0</v>
      </c>
      <c r="Z235" s="473"/>
      <c r="AB235" s="337"/>
      <c r="AC235" s="437"/>
      <c r="AD235" s="437"/>
      <c r="AE235" s="437"/>
      <c r="AF235" s="437"/>
      <c r="AG235" s="437"/>
      <c r="AH235" s="437"/>
      <c r="AI235" s="437"/>
      <c r="AJ235" s="437"/>
      <c r="AK235" s="437"/>
      <c r="AL235" s="437"/>
      <c r="AM235" s="338"/>
      <c r="AO235" cm="1">
        <f t="array" aca="1" ref="AO235" ca="1">IF($A235="S",IF(BM!$I235=0,0,CHOOSE(MATCH(RegimeExecucao,{"Global","Unitário"},0),ROUND(ROUND(BM.MEDAcumulado,15-13*BM!$A$9)/100*BM!$I235,15-13*ORÇAMENTO!$AF$11),ROUND(ROUND(BM.MEDAcumulado,15-13*BM!$A$9)*ROUND(BM!$H235,15-13*ORÇAMENTO!$AF$10),15-13*ORÇAMENTO!$AF$11))),IF($A235=0,0,ROUND(SomaAgrupBM,15-13*ORÇAMENTO!$AF$11)))</f>
        <v>0</v>
      </c>
    </row>
    <row r="236" spans="1:41" ht="25.5" x14ac:dyDescent="0.2">
      <c r="A236" t="str">
        <f ca="1">ORÇAMENTO!C236</f>
        <v>S</v>
      </c>
      <c r="B236">
        <f ca="1">ORÇAMENTO!D236</f>
        <v>0</v>
      </c>
      <c r="C236" s="114" t="str">
        <f ca="1">IF(OR($I236&gt;0,$A236=1,$A236=2,$A236=3,$A236=4),"F","")</f>
        <v/>
      </c>
      <c r="D236" s="117" t="str">
        <f ca="1">ORÇAMENTO!O236</f>
        <v>-</v>
      </c>
      <c r="E236" s="163" t="str">
        <f ca="1">ORÇAMENTO.Descricao</f>
        <v>(Código não identificado nas referências)</v>
      </c>
      <c r="F236" s="164" t="str" cm="1">
        <f t="array" aca="1" ref="F236" ca="1">IF(RegimeExecucao="Global","",ORÇAMENTO.Unidade)</f>
        <v/>
      </c>
      <c r="G236" s="122" t="str" cm="1">
        <f t="array" aca="1" ref="G236" ca="1">IF(RegimeExecucao="Global","",ORÇAMENTO!T236)</f>
        <v/>
      </c>
      <c r="H236" s="122" t="str" cm="1">
        <f t="array" aca="1" ref="H236" ca="1">IF(RegimeExecucao="Global","",ORÇAMENTO!W236)</f>
        <v/>
      </c>
      <c r="I236" s="125">
        <f ca="1">ORÇAMENTO!X236</f>
        <v>0</v>
      </c>
      <c r="J236" s="333" cm="1">
        <f t="array" aca="1" ref="J236" ca="1">IF($A236="S",IF(CAIXA.Modo,BM.AFAnterior,BM.MEDAnterior),IF(AND(RegimeExecucao="Global",$I236&gt;0,COUNTIF($AB$13:$AM$13,BM.medicao-1)&gt;0),M236/$I236*100,0))</f>
        <v>0</v>
      </c>
      <c r="K236" s="122">
        <f ca="1">L236-J236</f>
        <v>0</v>
      </c>
      <c r="L236" s="334" cm="1">
        <f t="array" aca="1" ref="L236" ca="1">IF($A236="S",IF(CAIXA.Modo,BM.AFAcumulado,BM.MEDAcumulado),IF(AND(RegimeExecucao="Global",$I236&gt;0,COUNTIF($AB$13:$AM$13,BM.medicao)&gt;0),O236/$I236*100,0))</f>
        <v>0</v>
      </c>
      <c r="M236" s="335" cm="1">
        <f t="array" aca="1" ref="M236" ca="1">IF($A236="S",VTOTALBM,IF($A236=0,0,ROUND(SomaAgrupBM,15-13*ORÇAMENTO!$AF$11)))</f>
        <v>0</v>
      </c>
      <c r="N236" s="336">
        <f ca="1">O236-M236</f>
        <v>0</v>
      </c>
      <c r="O236" s="125" cm="1">
        <f t="array" aca="1" ref="O236" ca="1">IF($A236="S",VTOTALBM,IF($A236=0,0,ROUND(SomaAgrupBM,15-13*ORÇAMENTO!$AF$11)))</f>
        <v>0</v>
      </c>
      <c r="Q236" s="337"/>
      <c r="R236" s="338"/>
      <c r="T236" s="117" t="str">
        <f ca="1">IF($W236&gt;0,$D236,"")</f>
        <v/>
      </c>
      <c r="U236" s="163" t="str">
        <f ca="1">IF($W236&gt;0,$E236,"")</f>
        <v/>
      </c>
      <c r="V236" s="164" t="str" cm="1">
        <f t="array" aca="1" ref="V236" ca="1">IF(AND($W236&gt;0,RegimeExecucao="Unitário"),$F236,"")</f>
        <v/>
      </c>
      <c r="W236" s="454" cm="1">
        <f t="array" aca="1" ref="W236" ca="1">IF($Y236&gt;0,CHOOSE(MATCH(RegimeExecucao,{"Unitário","Global"},0),IF($A236="S",$Y236/$X236,""),($Y236/$X236)*100),0)</f>
        <v>0</v>
      </c>
      <c r="X236" s="339" t="str" cm="1">
        <f t="array" aca="1" ref="X236" ca="1">IF($Y236&gt;0,CHOOSE(MATCH(RegimeExecucao,{"Unitário","Global"},0),IF($A236="S",ROUND($H236,ORÇAMENTO!$AF$10),""),ROUND($I236,ORÇAMENTO!$AF$11)),"")</f>
        <v/>
      </c>
      <c r="Y236" s="339">
        <f ca="1">AO236-O236</f>
        <v>0</v>
      </c>
      <c r="Z236" s="473"/>
      <c r="AB236" s="337"/>
      <c r="AC236" s="437"/>
      <c r="AD236" s="437"/>
      <c r="AE236" s="437"/>
      <c r="AF236" s="437"/>
      <c r="AG236" s="437"/>
      <c r="AH236" s="437"/>
      <c r="AI236" s="437"/>
      <c r="AJ236" s="437"/>
      <c r="AK236" s="437"/>
      <c r="AL236" s="437"/>
      <c r="AM236" s="338"/>
      <c r="AO236" cm="1">
        <f t="array" aca="1" ref="AO236" ca="1">IF($A236="S",IF(BM!$I236=0,0,CHOOSE(MATCH(RegimeExecucao,{"Global","Unitário"},0),ROUND(ROUND(BM.MEDAcumulado,15-13*BM!$A$9)/100*BM!$I236,15-13*ORÇAMENTO!$AF$11),ROUND(ROUND(BM.MEDAcumulado,15-13*BM!$A$9)*ROUND(BM!$H236,15-13*ORÇAMENTO!$AF$10),15-13*ORÇAMENTO!$AF$11))),IF($A236=0,0,ROUND(SomaAgrupBM,15-13*ORÇAMENTO!$AF$11)))</f>
        <v>0</v>
      </c>
    </row>
    <row r="237" spans="1:41" x14ac:dyDescent="0.2">
      <c r="A237" t="str">
        <f ca="1">ORÇAMENTO!C237</f>
        <v>S</v>
      </c>
      <c r="B237">
        <f ca="1">ORÇAMENTO!D237</f>
        <v>0</v>
      </c>
      <c r="C237" s="114" t="str">
        <f t="shared" ca="1" si="24"/>
        <v/>
      </c>
      <c r="D237" s="117" t="str">
        <f ca="1">ORÇAMENTO!O237</f>
        <v>-</v>
      </c>
      <c r="E237" s="163" t="str">
        <f t="shared" ca="1" si="25"/>
        <v>(Código não identificado nas referências)</v>
      </c>
      <c r="F237" s="164" t="str" cm="1">
        <f t="array" aca="1" ref="F237" ca="1">IF(RegimeExecucao="Global","",ORÇAMENTO.Unidade)</f>
        <v/>
      </c>
      <c r="G237" s="122" t="str" cm="1">
        <f t="array" aca="1" ref="G237" ca="1">IF(RegimeExecucao="Global","",ORÇAMENTO!T237)</f>
        <v/>
      </c>
      <c r="H237" s="122" t="str" cm="1">
        <f t="array" aca="1" ref="H237" ca="1">IF(RegimeExecucao="Global","",ORÇAMENTO!W237)</f>
        <v/>
      </c>
      <c r="I237" s="125">
        <f ca="1">ORÇAMENTO!X237</f>
        <v>0</v>
      </c>
      <c r="J237" s="333" cm="1">
        <f t="array" aca="1" ref="J237" ca="1">IF($A237="S",IF(CAIXA.Modo,BM.AFAnterior,BM.MEDAnterior),IF(AND(RegimeExecucao="Global",$I237&gt;0,COUNTIF($AB$13:$AM$13,BM.medicao-1)&gt;0),M237/$I237*100,0))</f>
        <v>0</v>
      </c>
      <c r="K237" s="122">
        <f t="shared" ca="1" si="26"/>
        <v>0</v>
      </c>
      <c r="L237" s="334" cm="1">
        <f t="array" aca="1" ref="L237" ca="1">IF($A237="S",IF(CAIXA.Modo,BM.AFAcumulado,BM.MEDAcumulado),IF(AND(RegimeExecucao="Global",$I237&gt;0,COUNTIF($AB$13:$AM$13,BM.medicao)&gt;0),O237/$I237*100,0))</f>
        <v>0</v>
      </c>
      <c r="M237" s="335" cm="1">
        <f t="array" aca="1" ref="M237" ca="1">IF($A237="S",VTOTALBM,IF($A237=0,0,ROUND(SomaAgrupBM,15-13*ORÇAMENTO!$AF$11)))</f>
        <v>0</v>
      </c>
      <c r="N237" s="336">
        <f t="shared" ca="1" si="27"/>
        <v>0</v>
      </c>
      <c r="O237" s="125" cm="1">
        <f t="array" aca="1" ref="O237" ca="1">IF($A237="S",VTOTALBM,IF($A237=0,0,ROUND(SomaAgrupBM,15-13*ORÇAMENTO!$AF$11)))</f>
        <v>0</v>
      </c>
      <c r="Q237" s="337"/>
      <c r="R237" s="338"/>
      <c r="T237" s="117" t="str">
        <f t="shared" ca="1" si="28"/>
        <v/>
      </c>
      <c r="U237" s="163" t="str">
        <f t="shared" ca="1" si="29"/>
        <v/>
      </c>
      <c r="V237" s="164" t="str" cm="1">
        <f t="array" aca="1" ref="V237" ca="1">IF(AND($W237&gt;0,RegimeExecucao="Unitário"),$F237,"")</f>
        <v/>
      </c>
      <c r="W237" s="454" cm="1">
        <f t="array" aca="1" ref="W237" ca="1">IF($Y237&gt;0,CHOOSE(MATCH(RegimeExecucao,{"Unitário","Global"},0),IF($A237="S",$Y237/$X237,""),($Y237/$X237)*100),0)</f>
        <v>0</v>
      </c>
      <c r="X237" s="339" t="str" cm="1">
        <f t="array" aca="1" ref="X237" ca="1">IF($Y237&gt;0,CHOOSE(MATCH(RegimeExecucao,{"Unitário","Global"},0),IF($A237="S",ROUND($H237,ORÇAMENTO!$AF$10),""),ROUND($I237,ORÇAMENTO!$AF$11)),"")</f>
        <v/>
      </c>
      <c r="Y237" s="339">
        <f t="shared" ca="1" si="30"/>
        <v>0</v>
      </c>
      <c r="Z237" s="473"/>
      <c r="AB237" s="337"/>
      <c r="AC237" s="437"/>
      <c r="AD237" s="437"/>
      <c r="AE237" s="437"/>
      <c r="AF237" s="437"/>
      <c r="AG237" s="437"/>
      <c r="AH237" s="437"/>
      <c r="AI237" s="437"/>
      <c r="AJ237" s="437"/>
      <c r="AK237" s="437"/>
      <c r="AL237" s="437"/>
      <c r="AM237" s="338"/>
      <c r="AO237" cm="1">
        <f t="array" aca="1" ref="AO237" ca="1">IF($A237="S",IF(BM!$I237=0,0,CHOOSE(MATCH(RegimeExecucao,{"Global","Unitário"},0),ROUND(ROUND(BM.MEDAcumulado,15-13*BM!$A$9)/100*BM!$I237,15-13*ORÇAMENTO!$AF$11),ROUND(ROUND(BM.MEDAcumulado,15-13*BM!$A$9)*ROUND(BM!$H237,15-13*ORÇAMENTO!$AF$10),15-13*ORÇAMENTO!$AF$11))),IF($A237=0,0,ROUND(SomaAgrupBM,15-13*ORÇAMENTO!$AF$11)))</f>
        <v>0</v>
      </c>
    </row>
    <row r="238" spans="1:41" x14ac:dyDescent="0.2">
      <c r="A238" t="str">
        <f ca="1">ORÇAMENTO!C238</f>
        <v>S</v>
      </c>
      <c r="B238">
        <f ca="1">ORÇAMENTO!D238</f>
        <v>0</v>
      </c>
      <c r="C238" s="114" t="str">
        <f t="shared" ca="1" si="24"/>
        <v/>
      </c>
      <c r="D238" s="117" t="str">
        <f ca="1">ORÇAMENTO!O238</f>
        <v>-</v>
      </c>
      <c r="E238" s="163" t="str">
        <f t="shared" ca="1" si="25"/>
        <v>(Código não identificado nas referências)</v>
      </c>
      <c r="F238" s="164" t="str" cm="1">
        <f t="array" aca="1" ref="F238" ca="1">IF(RegimeExecucao="Global","",ORÇAMENTO.Unidade)</f>
        <v/>
      </c>
      <c r="G238" s="122" t="str" cm="1">
        <f t="array" aca="1" ref="G238" ca="1">IF(RegimeExecucao="Global","",ORÇAMENTO!T238)</f>
        <v/>
      </c>
      <c r="H238" s="122" t="str" cm="1">
        <f t="array" aca="1" ref="H238" ca="1">IF(RegimeExecucao="Global","",ORÇAMENTO!W238)</f>
        <v/>
      </c>
      <c r="I238" s="125">
        <f ca="1">ORÇAMENTO!X238</f>
        <v>0</v>
      </c>
      <c r="J238" s="333" cm="1">
        <f t="array" aca="1" ref="J238" ca="1">IF($A238="S",IF(CAIXA.Modo,BM.AFAnterior,BM.MEDAnterior),IF(AND(RegimeExecucao="Global",$I238&gt;0,COUNTIF($AB$13:$AM$13,BM.medicao-1)&gt;0),M238/$I238*100,0))</f>
        <v>0</v>
      </c>
      <c r="K238" s="122">
        <f t="shared" ca="1" si="26"/>
        <v>0</v>
      </c>
      <c r="L238" s="334" cm="1">
        <f t="array" aca="1" ref="L238" ca="1">IF($A238="S",IF(CAIXA.Modo,BM.AFAcumulado,BM.MEDAcumulado),IF(AND(RegimeExecucao="Global",$I238&gt;0,COUNTIF($AB$13:$AM$13,BM.medicao)&gt;0),O238/$I238*100,0))</f>
        <v>0</v>
      </c>
      <c r="M238" s="335" cm="1">
        <f t="array" aca="1" ref="M238" ca="1">IF($A238="S",VTOTALBM,IF($A238=0,0,ROUND(SomaAgrupBM,15-13*ORÇAMENTO!$AF$11)))</f>
        <v>0</v>
      </c>
      <c r="N238" s="336">
        <f t="shared" ca="1" si="27"/>
        <v>0</v>
      </c>
      <c r="O238" s="125" cm="1">
        <f t="array" aca="1" ref="O238" ca="1">IF($A238="S",VTOTALBM,IF($A238=0,0,ROUND(SomaAgrupBM,15-13*ORÇAMENTO!$AF$11)))</f>
        <v>0</v>
      </c>
      <c r="Q238" s="337"/>
      <c r="R238" s="338"/>
      <c r="T238" s="117" t="str">
        <f t="shared" ca="1" si="28"/>
        <v/>
      </c>
      <c r="U238" s="163" t="str">
        <f t="shared" ca="1" si="29"/>
        <v/>
      </c>
      <c r="V238" s="164" t="str" cm="1">
        <f t="array" aca="1" ref="V238" ca="1">IF(AND($W238&gt;0,RegimeExecucao="Unitário"),$F238,"")</f>
        <v/>
      </c>
      <c r="W238" s="454" cm="1">
        <f t="array" aca="1" ref="W238" ca="1">IF($Y238&gt;0,CHOOSE(MATCH(RegimeExecucao,{"Unitário","Global"},0),IF($A238="S",$Y238/$X238,""),($Y238/$X238)*100),0)</f>
        <v>0</v>
      </c>
      <c r="X238" s="339" t="str" cm="1">
        <f t="array" aca="1" ref="X238" ca="1">IF($Y238&gt;0,CHOOSE(MATCH(RegimeExecucao,{"Unitário","Global"},0),IF($A238="S",ROUND($H238,ORÇAMENTO!$AF$10),""),ROUND($I238,ORÇAMENTO!$AF$11)),"")</f>
        <v/>
      </c>
      <c r="Y238" s="339">
        <f t="shared" ca="1" si="30"/>
        <v>0</v>
      </c>
      <c r="Z238" s="473"/>
      <c r="AB238" s="337"/>
      <c r="AC238" s="437"/>
      <c r="AD238" s="437"/>
      <c r="AE238" s="437"/>
      <c r="AF238" s="437"/>
      <c r="AG238" s="437"/>
      <c r="AH238" s="437"/>
      <c r="AI238" s="437"/>
      <c r="AJ238" s="437"/>
      <c r="AK238" s="437"/>
      <c r="AL238" s="437"/>
      <c r="AM238" s="338"/>
      <c r="AO238" cm="1">
        <f t="array" aca="1" ref="AO238" ca="1">IF($A238="S",IF(BM!$I238=0,0,CHOOSE(MATCH(RegimeExecucao,{"Global","Unitário"},0),ROUND(ROUND(BM.MEDAcumulado,15-13*BM!$A$9)/100*BM!$I238,15-13*ORÇAMENTO!$AF$11),ROUND(ROUND(BM.MEDAcumulado,15-13*BM!$A$9)*ROUND(BM!$H238,15-13*ORÇAMENTO!$AF$10),15-13*ORÇAMENTO!$AF$11))),IF($A238=0,0,ROUND(SomaAgrupBM,15-13*ORÇAMENTO!$AF$11)))</f>
        <v>0</v>
      </c>
    </row>
    <row r="239" spans="1:41" ht="25.5" x14ac:dyDescent="0.2">
      <c r="A239" t="str">
        <f ca="1">ORÇAMENTO!C239</f>
        <v>S</v>
      </c>
      <c r="B239">
        <f ca="1">ORÇAMENTO!D239</f>
        <v>0</v>
      </c>
      <c r="C239" s="114" t="str">
        <f t="shared" ca="1" si="24"/>
        <v/>
      </c>
      <c r="D239" s="117" t="str">
        <f ca="1">ORÇAMENTO!O239</f>
        <v>-</v>
      </c>
      <c r="E239" s="163" t="str">
        <f t="shared" ca="1" si="25"/>
        <v>(Código não identificado nas referências)</v>
      </c>
      <c r="F239" s="164" t="str" cm="1">
        <f t="array" aca="1" ref="F239" ca="1">IF(RegimeExecucao="Global","",ORÇAMENTO.Unidade)</f>
        <v/>
      </c>
      <c r="G239" s="122" t="str" cm="1">
        <f t="array" aca="1" ref="G239" ca="1">IF(RegimeExecucao="Global","",ORÇAMENTO!T239)</f>
        <v/>
      </c>
      <c r="H239" s="122" t="str" cm="1">
        <f t="array" aca="1" ref="H239" ca="1">IF(RegimeExecucao="Global","",ORÇAMENTO!W239)</f>
        <v/>
      </c>
      <c r="I239" s="125">
        <f ca="1">ORÇAMENTO!X239</f>
        <v>0</v>
      </c>
      <c r="J239" s="333" cm="1">
        <f t="array" aca="1" ref="J239" ca="1">IF($A239="S",IF(CAIXA.Modo,BM.AFAnterior,BM.MEDAnterior),IF(AND(RegimeExecucao="Global",$I239&gt;0,COUNTIF($AB$13:$AM$13,BM.medicao-1)&gt;0),M239/$I239*100,0))</f>
        <v>0</v>
      </c>
      <c r="K239" s="122">
        <f t="shared" ca="1" si="26"/>
        <v>0</v>
      </c>
      <c r="L239" s="334" cm="1">
        <f t="array" aca="1" ref="L239" ca="1">IF($A239="S",IF(CAIXA.Modo,BM.AFAcumulado,BM.MEDAcumulado),IF(AND(RegimeExecucao="Global",$I239&gt;0,COUNTIF($AB$13:$AM$13,BM.medicao)&gt;0),O239/$I239*100,0))</f>
        <v>0</v>
      </c>
      <c r="M239" s="335" cm="1">
        <f t="array" aca="1" ref="M239" ca="1">IF($A239="S",VTOTALBM,IF($A239=0,0,ROUND(SomaAgrupBM,15-13*ORÇAMENTO!$AF$11)))</f>
        <v>0</v>
      </c>
      <c r="N239" s="336">
        <f t="shared" ca="1" si="27"/>
        <v>0</v>
      </c>
      <c r="O239" s="125" cm="1">
        <f t="array" aca="1" ref="O239" ca="1">IF($A239="S",VTOTALBM,IF($A239=0,0,ROUND(SomaAgrupBM,15-13*ORÇAMENTO!$AF$11)))</f>
        <v>0</v>
      </c>
      <c r="Q239" s="337"/>
      <c r="R239" s="338"/>
      <c r="T239" s="117" t="str">
        <f t="shared" ca="1" si="28"/>
        <v/>
      </c>
      <c r="U239" s="163" t="str">
        <f t="shared" ca="1" si="29"/>
        <v/>
      </c>
      <c r="V239" s="164" t="str" cm="1">
        <f t="array" aca="1" ref="V239" ca="1">IF(AND($W239&gt;0,RegimeExecucao="Unitário"),$F239,"")</f>
        <v/>
      </c>
      <c r="W239" s="454" cm="1">
        <f t="array" aca="1" ref="W239" ca="1">IF($Y239&gt;0,CHOOSE(MATCH(RegimeExecucao,{"Unitário","Global"},0),IF($A239="S",$Y239/$X239,""),($Y239/$X239)*100),0)</f>
        <v>0</v>
      </c>
      <c r="X239" s="339" t="str" cm="1">
        <f t="array" aca="1" ref="X239" ca="1">IF($Y239&gt;0,CHOOSE(MATCH(RegimeExecucao,{"Unitário","Global"},0),IF($A239="S",ROUND($H239,ORÇAMENTO!$AF$10),""),ROUND($I239,ORÇAMENTO!$AF$11)),"")</f>
        <v/>
      </c>
      <c r="Y239" s="339">
        <f t="shared" ca="1" si="30"/>
        <v>0</v>
      </c>
      <c r="Z239" s="473"/>
      <c r="AB239" s="337"/>
      <c r="AC239" s="437"/>
      <c r="AD239" s="437"/>
      <c r="AE239" s="437"/>
      <c r="AF239" s="437"/>
      <c r="AG239" s="437"/>
      <c r="AH239" s="437"/>
      <c r="AI239" s="437"/>
      <c r="AJ239" s="437"/>
      <c r="AK239" s="437"/>
      <c r="AL239" s="437"/>
      <c r="AM239" s="338"/>
      <c r="AO239" cm="1">
        <f t="array" aca="1" ref="AO239" ca="1">IF($A239="S",IF(BM!$I239=0,0,CHOOSE(MATCH(RegimeExecucao,{"Global","Unitário"},0),ROUND(ROUND(BM.MEDAcumulado,15-13*BM!$A$9)/100*BM!$I239,15-13*ORÇAMENTO!$AF$11),ROUND(ROUND(BM.MEDAcumulado,15-13*BM!$A$9)*ROUND(BM!$H239,15-13*ORÇAMENTO!$AF$10),15-13*ORÇAMENTO!$AF$11))),IF($A239=0,0,ROUND(SomaAgrupBM,15-13*ORÇAMENTO!$AF$11)))</f>
        <v>0</v>
      </c>
    </row>
    <row r="240" spans="1:41" ht="25.5" x14ac:dyDescent="0.2">
      <c r="A240" t="str">
        <f ca="1">ORÇAMENTO!C240</f>
        <v>S</v>
      </c>
      <c r="B240">
        <f ca="1">ORÇAMENTO!D240</f>
        <v>0</v>
      </c>
      <c r="C240" s="114" t="str">
        <f t="shared" ca="1" si="24"/>
        <v/>
      </c>
      <c r="D240" s="117" t="str">
        <f ca="1">ORÇAMENTO!O240</f>
        <v>-</v>
      </c>
      <c r="E240" s="163" t="str">
        <f t="shared" ca="1" si="25"/>
        <v>(Código não identificado nas referências)</v>
      </c>
      <c r="F240" s="164" t="str" cm="1">
        <f t="array" aca="1" ref="F240" ca="1">IF(RegimeExecucao="Global","",ORÇAMENTO.Unidade)</f>
        <v/>
      </c>
      <c r="G240" s="122" t="str" cm="1">
        <f t="array" aca="1" ref="G240" ca="1">IF(RegimeExecucao="Global","",ORÇAMENTO!T240)</f>
        <v/>
      </c>
      <c r="H240" s="122" t="str" cm="1">
        <f t="array" aca="1" ref="H240" ca="1">IF(RegimeExecucao="Global","",ORÇAMENTO!W240)</f>
        <v/>
      </c>
      <c r="I240" s="125">
        <f ca="1">ORÇAMENTO!X240</f>
        <v>0</v>
      </c>
      <c r="J240" s="333" cm="1">
        <f t="array" aca="1" ref="J240" ca="1">IF($A240="S",IF(CAIXA.Modo,BM.AFAnterior,BM.MEDAnterior),IF(AND(RegimeExecucao="Global",$I240&gt;0,COUNTIF($AB$13:$AM$13,BM.medicao-1)&gt;0),M240/$I240*100,0))</f>
        <v>0</v>
      </c>
      <c r="K240" s="122">
        <f t="shared" ca="1" si="26"/>
        <v>0</v>
      </c>
      <c r="L240" s="334" cm="1">
        <f t="array" aca="1" ref="L240" ca="1">IF($A240="S",IF(CAIXA.Modo,BM.AFAcumulado,BM.MEDAcumulado),IF(AND(RegimeExecucao="Global",$I240&gt;0,COUNTIF($AB$13:$AM$13,BM.medicao)&gt;0),O240/$I240*100,0))</f>
        <v>0</v>
      </c>
      <c r="M240" s="335" cm="1">
        <f t="array" aca="1" ref="M240" ca="1">IF($A240="S",VTOTALBM,IF($A240=0,0,ROUND(SomaAgrupBM,15-13*ORÇAMENTO!$AF$11)))</f>
        <v>0</v>
      </c>
      <c r="N240" s="336">
        <f t="shared" ca="1" si="27"/>
        <v>0</v>
      </c>
      <c r="O240" s="125" cm="1">
        <f t="array" aca="1" ref="O240" ca="1">IF($A240="S",VTOTALBM,IF($A240=0,0,ROUND(SomaAgrupBM,15-13*ORÇAMENTO!$AF$11)))</f>
        <v>0</v>
      </c>
      <c r="Q240" s="337"/>
      <c r="R240" s="338"/>
      <c r="T240" s="117" t="str">
        <f t="shared" ca="1" si="28"/>
        <v/>
      </c>
      <c r="U240" s="163" t="str">
        <f t="shared" ca="1" si="29"/>
        <v/>
      </c>
      <c r="V240" s="164" t="str" cm="1">
        <f t="array" aca="1" ref="V240" ca="1">IF(AND($W240&gt;0,RegimeExecucao="Unitário"),$F240,"")</f>
        <v/>
      </c>
      <c r="W240" s="454" cm="1">
        <f t="array" aca="1" ref="W240" ca="1">IF($Y240&gt;0,CHOOSE(MATCH(RegimeExecucao,{"Unitário","Global"},0),IF($A240="S",$Y240/$X240,""),($Y240/$X240)*100),0)</f>
        <v>0</v>
      </c>
      <c r="X240" s="339" t="str" cm="1">
        <f t="array" aca="1" ref="X240" ca="1">IF($Y240&gt;0,CHOOSE(MATCH(RegimeExecucao,{"Unitário","Global"},0),IF($A240="S",ROUND($H240,ORÇAMENTO!$AF$10),""),ROUND($I240,ORÇAMENTO!$AF$11)),"")</f>
        <v/>
      </c>
      <c r="Y240" s="339">
        <f t="shared" ca="1" si="30"/>
        <v>0</v>
      </c>
      <c r="Z240" s="473"/>
      <c r="AB240" s="337"/>
      <c r="AC240" s="437"/>
      <c r="AD240" s="437"/>
      <c r="AE240" s="437"/>
      <c r="AF240" s="437"/>
      <c r="AG240" s="437"/>
      <c r="AH240" s="437"/>
      <c r="AI240" s="437"/>
      <c r="AJ240" s="437"/>
      <c r="AK240" s="437"/>
      <c r="AL240" s="437"/>
      <c r="AM240" s="338"/>
      <c r="AO240" cm="1">
        <f t="array" aca="1" ref="AO240" ca="1">IF($A240="S",IF(BM!$I240=0,0,CHOOSE(MATCH(RegimeExecucao,{"Global","Unitário"},0),ROUND(ROUND(BM.MEDAcumulado,15-13*BM!$A$9)/100*BM!$I240,15-13*ORÇAMENTO!$AF$11),ROUND(ROUND(BM.MEDAcumulado,15-13*BM!$A$9)*ROUND(BM!$H240,15-13*ORÇAMENTO!$AF$10),15-13*ORÇAMENTO!$AF$11))),IF($A240=0,0,ROUND(SomaAgrupBM,15-13*ORÇAMENTO!$AF$11)))</f>
        <v>0</v>
      </c>
    </row>
    <row r="241" spans="1:41" x14ac:dyDescent="0.2">
      <c r="A241" t="str">
        <f ca="1">ORÇAMENTO!C241</f>
        <v>S</v>
      </c>
      <c r="B241">
        <f ca="1">ORÇAMENTO!D241</f>
        <v>0</v>
      </c>
      <c r="C241" s="114" t="str">
        <f t="shared" ca="1" si="24"/>
        <v/>
      </c>
      <c r="D241" s="117" t="str">
        <f ca="1">ORÇAMENTO!O241</f>
        <v>-</v>
      </c>
      <c r="E241" s="163" t="str">
        <f t="shared" ca="1" si="25"/>
        <v>(Código não identificado nas referências)</v>
      </c>
      <c r="F241" s="164" t="str" cm="1">
        <f t="array" aca="1" ref="F241" ca="1">IF(RegimeExecucao="Global","",ORÇAMENTO.Unidade)</f>
        <v/>
      </c>
      <c r="G241" s="122" t="str" cm="1">
        <f t="array" aca="1" ref="G241" ca="1">IF(RegimeExecucao="Global","",ORÇAMENTO!T241)</f>
        <v/>
      </c>
      <c r="H241" s="122" t="str" cm="1">
        <f t="array" aca="1" ref="H241" ca="1">IF(RegimeExecucao="Global","",ORÇAMENTO!W241)</f>
        <v/>
      </c>
      <c r="I241" s="125">
        <f ca="1">ORÇAMENTO!X241</f>
        <v>0</v>
      </c>
      <c r="J241" s="333" cm="1">
        <f t="array" aca="1" ref="J241" ca="1">IF($A241="S",IF(CAIXA.Modo,BM.AFAnterior,BM.MEDAnterior),IF(AND(RegimeExecucao="Global",$I241&gt;0,COUNTIF($AB$13:$AM$13,BM.medicao-1)&gt;0),M241/$I241*100,0))</f>
        <v>0</v>
      </c>
      <c r="K241" s="122">
        <f t="shared" ca="1" si="26"/>
        <v>0</v>
      </c>
      <c r="L241" s="334" cm="1">
        <f t="array" aca="1" ref="L241" ca="1">IF($A241="S",IF(CAIXA.Modo,BM.AFAcumulado,BM.MEDAcumulado),IF(AND(RegimeExecucao="Global",$I241&gt;0,COUNTIF($AB$13:$AM$13,BM.medicao)&gt;0),O241/$I241*100,0))</f>
        <v>0</v>
      </c>
      <c r="M241" s="335" cm="1">
        <f t="array" aca="1" ref="M241" ca="1">IF($A241="S",VTOTALBM,IF($A241=0,0,ROUND(SomaAgrupBM,15-13*ORÇAMENTO!$AF$11)))</f>
        <v>0</v>
      </c>
      <c r="N241" s="336">
        <f t="shared" ca="1" si="27"/>
        <v>0</v>
      </c>
      <c r="O241" s="125" cm="1">
        <f t="array" aca="1" ref="O241" ca="1">IF($A241="S",VTOTALBM,IF($A241=0,0,ROUND(SomaAgrupBM,15-13*ORÇAMENTO!$AF$11)))</f>
        <v>0</v>
      </c>
      <c r="Q241" s="337"/>
      <c r="R241" s="338"/>
      <c r="T241" s="117" t="str">
        <f t="shared" ca="1" si="28"/>
        <v/>
      </c>
      <c r="U241" s="163" t="str">
        <f t="shared" ca="1" si="29"/>
        <v/>
      </c>
      <c r="V241" s="164" t="str" cm="1">
        <f t="array" aca="1" ref="V241" ca="1">IF(AND($W241&gt;0,RegimeExecucao="Unitário"),$F241,"")</f>
        <v/>
      </c>
      <c r="W241" s="454" cm="1">
        <f t="array" aca="1" ref="W241" ca="1">IF($Y241&gt;0,CHOOSE(MATCH(RegimeExecucao,{"Unitário","Global"},0),IF($A241="S",$Y241/$X241,""),($Y241/$X241)*100),0)</f>
        <v>0</v>
      </c>
      <c r="X241" s="339" t="str" cm="1">
        <f t="array" aca="1" ref="X241" ca="1">IF($Y241&gt;0,CHOOSE(MATCH(RegimeExecucao,{"Unitário","Global"},0),IF($A241="S",ROUND($H241,ORÇAMENTO!$AF$10),""),ROUND($I241,ORÇAMENTO!$AF$11)),"")</f>
        <v/>
      </c>
      <c r="Y241" s="339">
        <f t="shared" ca="1" si="30"/>
        <v>0</v>
      </c>
      <c r="Z241" s="473"/>
      <c r="AB241" s="337"/>
      <c r="AC241" s="437"/>
      <c r="AD241" s="437"/>
      <c r="AE241" s="437"/>
      <c r="AF241" s="437"/>
      <c r="AG241" s="437"/>
      <c r="AH241" s="437"/>
      <c r="AI241" s="437"/>
      <c r="AJ241" s="437"/>
      <c r="AK241" s="437"/>
      <c r="AL241" s="437"/>
      <c r="AM241" s="338"/>
      <c r="AO241" cm="1">
        <f t="array" aca="1" ref="AO241" ca="1">IF($A241="S",IF(BM!$I241=0,0,CHOOSE(MATCH(RegimeExecucao,{"Global","Unitário"},0),ROUND(ROUND(BM.MEDAcumulado,15-13*BM!$A$9)/100*BM!$I241,15-13*ORÇAMENTO!$AF$11),ROUND(ROUND(BM.MEDAcumulado,15-13*BM!$A$9)*ROUND(BM!$H241,15-13*ORÇAMENTO!$AF$10),15-13*ORÇAMENTO!$AF$11))),IF($A241=0,0,ROUND(SomaAgrupBM,15-13*ORÇAMENTO!$AF$11)))</f>
        <v>0</v>
      </c>
    </row>
    <row r="242" spans="1:41" ht="25.5" x14ac:dyDescent="0.2">
      <c r="A242" t="str">
        <f ca="1">ORÇAMENTO!C242</f>
        <v>S</v>
      </c>
      <c r="B242">
        <f ca="1">ORÇAMENTO!D242</f>
        <v>0</v>
      </c>
      <c r="C242" s="114" t="str">
        <f t="shared" ca="1" si="24"/>
        <v/>
      </c>
      <c r="D242" s="117" t="str">
        <f ca="1">ORÇAMENTO!O242</f>
        <v>-</v>
      </c>
      <c r="E242" s="163" t="str">
        <f t="shared" ca="1" si="25"/>
        <v>(Código não identificado nas referências)</v>
      </c>
      <c r="F242" s="164" t="str" cm="1">
        <f t="array" aca="1" ref="F242" ca="1">IF(RegimeExecucao="Global","",ORÇAMENTO.Unidade)</f>
        <v/>
      </c>
      <c r="G242" s="122" t="str" cm="1">
        <f t="array" aca="1" ref="G242" ca="1">IF(RegimeExecucao="Global","",ORÇAMENTO!T242)</f>
        <v/>
      </c>
      <c r="H242" s="122" t="str" cm="1">
        <f t="array" aca="1" ref="H242" ca="1">IF(RegimeExecucao="Global","",ORÇAMENTO!W242)</f>
        <v/>
      </c>
      <c r="I242" s="125">
        <f ca="1">ORÇAMENTO!X242</f>
        <v>0</v>
      </c>
      <c r="J242" s="333" cm="1">
        <f t="array" aca="1" ref="J242" ca="1">IF($A242="S",IF(CAIXA.Modo,BM.AFAnterior,BM.MEDAnterior),IF(AND(RegimeExecucao="Global",$I242&gt;0,COUNTIF($AB$13:$AM$13,BM.medicao-1)&gt;0),M242/$I242*100,0))</f>
        <v>0</v>
      </c>
      <c r="K242" s="122">
        <f t="shared" ca="1" si="26"/>
        <v>0</v>
      </c>
      <c r="L242" s="334" cm="1">
        <f t="array" aca="1" ref="L242" ca="1">IF($A242="S",IF(CAIXA.Modo,BM.AFAcumulado,BM.MEDAcumulado),IF(AND(RegimeExecucao="Global",$I242&gt;0,COUNTIF($AB$13:$AM$13,BM.medicao)&gt;0),O242/$I242*100,0))</f>
        <v>0</v>
      </c>
      <c r="M242" s="335" cm="1">
        <f t="array" aca="1" ref="M242" ca="1">IF($A242="S",VTOTALBM,IF($A242=0,0,ROUND(SomaAgrupBM,15-13*ORÇAMENTO!$AF$11)))</f>
        <v>0</v>
      </c>
      <c r="N242" s="336">
        <f t="shared" ca="1" si="27"/>
        <v>0</v>
      </c>
      <c r="O242" s="125" cm="1">
        <f t="array" aca="1" ref="O242" ca="1">IF($A242="S",VTOTALBM,IF($A242=0,0,ROUND(SomaAgrupBM,15-13*ORÇAMENTO!$AF$11)))</f>
        <v>0</v>
      </c>
      <c r="Q242" s="337"/>
      <c r="R242" s="338"/>
      <c r="T242" s="117" t="str">
        <f t="shared" ca="1" si="28"/>
        <v/>
      </c>
      <c r="U242" s="163" t="str">
        <f t="shared" ca="1" si="29"/>
        <v/>
      </c>
      <c r="V242" s="164" t="str" cm="1">
        <f t="array" aca="1" ref="V242" ca="1">IF(AND($W242&gt;0,RegimeExecucao="Unitário"),$F242,"")</f>
        <v/>
      </c>
      <c r="W242" s="454" cm="1">
        <f t="array" aca="1" ref="W242" ca="1">IF($Y242&gt;0,CHOOSE(MATCH(RegimeExecucao,{"Unitário","Global"},0),IF($A242="S",$Y242/$X242,""),($Y242/$X242)*100),0)</f>
        <v>0</v>
      </c>
      <c r="X242" s="339" t="str" cm="1">
        <f t="array" aca="1" ref="X242" ca="1">IF($Y242&gt;0,CHOOSE(MATCH(RegimeExecucao,{"Unitário","Global"},0),IF($A242="S",ROUND($H242,ORÇAMENTO!$AF$10),""),ROUND($I242,ORÇAMENTO!$AF$11)),"")</f>
        <v/>
      </c>
      <c r="Y242" s="339">
        <f t="shared" ca="1" si="30"/>
        <v>0</v>
      </c>
      <c r="Z242" s="473"/>
      <c r="AB242" s="337"/>
      <c r="AC242" s="437"/>
      <c r="AD242" s="437"/>
      <c r="AE242" s="437"/>
      <c r="AF242" s="437"/>
      <c r="AG242" s="437"/>
      <c r="AH242" s="437"/>
      <c r="AI242" s="437"/>
      <c r="AJ242" s="437"/>
      <c r="AK242" s="437"/>
      <c r="AL242" s="437"/>
      <c r="AM242" s="338"/>
      <c r="AO242" cm="1">
        <f t="array" aca="1" ref="AO242" ca="1">IF($A242="S",IF(BM!$I242=0,0,CHOOSE(MATCH(RegimeExecucao,{"Global","Unitário"},0),ROUND(ROUND(BM.MEDAcumulado,15-13*BM!$A$9)/100*BM!$I242,15-13*ORÇAMENTO!$AF$11),ROUND(ROUND(BM.MEDAcumulado,15-13*BM!$A$9)*ROUND(BM!$H242,15-13*ORÇAMENTO!$AF$10),15-13*ORÇAMENTO!$AF$11))),IF($A242=0,0,ROUND(SomaAgrupBM,15-13*ORÇAMENTO!$AF$11)))</f>
        <v>0</v>
      </c>
    </row>
    <row r="243" spans="1:41" ht="25.5" x14ac:dyDescent="0.2">
      <c r="A243" t="str">
        <f ca="1">ORÇAMENTO!C243</f>
        <v>S</v>
      </c>
      <c r="B243">
        <f ca="1">ORÇAMENTO!D243</f>
        <v>0</v>
      </c>
      <c r="C243" s="114" t="str">
        <f t="shared" ca="1" si="24"/>
        <v/>
      </c>
      <c r="D243" s="117" t="str">
        <f ca="1">ORÇAMENTO!O243</f>
        <v>-</v>
      </c>
      <c r="E243" s="163" t="str">
        <f t="shared" ca="1" si="25"/>
        <v>(Código não identificado nas referências)</v>
      </c>
      <c r="F243" s="164" t="str" cm="1">
        <f t="array" aca="1" ref="F243" ca="1">IF(RegimeExecucao="Global","",ORÇAMENTO.Unidade)</f>
        <v/>
      </c>
      <c r="G243" s="122" t="str" cm="1">
        <f t="array" aca="1" ref="G243" ca="1">IF(RegimeExecucao="Global","",ORÇAMENTO!T243)</f>
        <v/>
      </c>
      <c r="H243" s="122" t="str" cm="1">
        <f t="array" aca="1" ref="H243" ca="1">IF(RegimeExecucao="Global","",ORÇAMENTO!W243)</f>
        <v/>
      </c>
      <c r="I243" s="125">
        <f ca="1">ORÇAMENTO!X243</f>
        <v>0</v>
      </c>
      <c r="J243" s="333" cm="1">
        <f t="array" aca="1" ref="J243" ca="1">IF($A243="S",IF(CAIXA.Modo,BM.AFAnterior,BM.MEDAnterior),IF(AND(RegimeExecucao="Global",$I243&gt;0,COUNTIF($AB$13:$AM$13,BM.medicao-1)&gt;0),M243/$I243*100,0))</f>
        <v>0</v>
      </c>
      <c r="K243" s="122">
        <f t="shared" ca="1" si="26"/>
        <v>0</v>
      </c>
      <c r="L243" s="334" cm="1">
        <f t="array" aca="1" ref="L243" ca="1">IF($A243="S",IF(CAIXA.Modo,BM.AFAcumulado,BM.MEDAcumulado),IF(AND(RegimeExecucao="Global",$I243&gt;0,COUNTIF($AB$13:$AM$13,BM.medicao)&gt;0),O243/$I243*100,0))</f>
        <v>0</v>
      </c>
      <c r="M243" s="335" cm="1">
        <f t="array" aca="1" ref="M243" ca="1">IF($A243="S",VTOTALBM,IF($A243=0,0,ROUND(SomaAgrupBM,15-13*ORÇAMENTO!$AF$11)))</f>
        <v>0</v>
      </c>
      <c r="N243" s="336">
        <f t="shared" ca="1" si="27"/>
        <v>0</v>
      </c>
      <c r="O243" s="125" cm="1">
        <f t="array" aca="1" ref="O243" ca="1">IF($A243="S",VTOTALBM,IF($A243=0,0,ROUND(SomaAgrupBM,15-13*ORÇAMENTO!$AF$11)))</f>
        <v>0</v>
      </c>
      <c r="Q243" s="337"/>
      <c r="R243" s="338"/>
      <c r="T243" s="117" t="str">
        <f t="shared" ca="1" si="28"/>
        <v/>
      </c>
      <c r="U243" s="163" t="str">
        <f t="shared" ca="1" si="29"/>
        <v/>
      </c>
      <c r="V243" s="164" t="str" cm="1">
        <f t="array" aca="1" ref="V243" ca="1">IF(AND($W243&gt;0,RegimeExecucao="Unitário"),$F243,"")</f>
        <v/>
      </c>
      <c r="W243" s="454" cm="1">
        <f t="array" aca="1" ref="W243" ca="1">IF($Y243&gt;0,CHOOSE(MATCH(RegimeExecucao,{"Unitário","Global"},0),IF($A243="S",$Y243/$X243,""),($Y243/$X243)*100),0)</f>
        <v>0</v>
      </c>
      <c r="X243" s="339" t="str" cm="1">
        <f t="array" aca="1" ref="X243" ca="1">IF($Y243&gt;0,CHOOSE(MATCH(RegimeExecucao,{"Unitário","Global"},0),IF($A243="S",ROUND($H243,ORÇAMENTO!$AF$10),""),ROUND($I243,ORÇAMENTO!$AF$11)),"")</f>
        <v/>
      </c>
      <c r="Y243" s="339">
        <f t="shared" ca="1" si="30"/>
        <v>0</v>
      </c>
      <c r="Z243" s="473"/>
      <c r="AB243" s="337"/>
      <c r="AC243" s="437"/>
      <c r="AD243" s="437"/>
      <c r="AE243" s="437"/>
      <c r="AF243" s="437"/>
      <c r="AG243" s="437"/>
      <c r="AH243" s="437"/>
      <c r="AI243" s="437"/>
      <c r="AJ243" s="437"/>
      <c r="AK243" s="437"/>
      <c r="AL243" s="437"/>
      <c r="AM243" s="338"/>
      <c r="AO243" cm="1">
        <f t="array" aca="1" ref="AO243" ca="1">IF($A243="S",IF(BM!$I243=0,0,CHOOSE(MATCH(RegimeExecucao,{"Global","Unitário"},0),ROUND(ROUND(BM.MEDAcumulado,15-13*BM!$A$9)/100*BM!$I243,15-13*ORÇAMENTO!$AF$11),ROUND(ROUND(BM.MEDAcumulado,15-13*BM!$A$9)*ROUND(BM!$H243,15-13*ORÇAMENTO!$AF$10),15-13*ORÇAMENTO!$AF$11))),IF($A243=0,0,ROUND(SomaAgrupBM,15-13*ORÇAMENTO!$AF$11)))</f>
        <v>0</v>
      </c>
    </row>
    <row r="244" spans="1:41" ht="5.0999999999999996" customHeight="1" x14ac:dyDescent="0.2">
      <c r="C244" s="114" t="s">
        <v>536</v>
      </c>
      <c r="D244" s="618"/>
      <c r="E244" s="619"/>
      <c r="F244" s="619"/>
      <c r="G244" s="619"/>
      <c r="H244" s="619"/>
      <c r="I244" s="419"/>
      <c r="J244" s="618"/>
      <c r="K244" s="619"/>
      <c r="L244" s="419"/>
      <c r="M244" s="434"/>
      <c r="N244" s="435"/>
      <c r="O244" s="436"/>
      <c r="Q244" s="618"/>
      <c r="R244" s="419"/>
      <c r="T244" s="618"/>
      <c r="U244" s="619"/>
      <c r="V244" s="619"/>
      <c r="W244" s="619"/>
      <c r="X244" s="619"/>
      <c r="Y244" s="619"/>
      <c r="Z244" s="419"/>
      <c r="AB244" s="618"/>
      <c r="AC244" s="619"/>
      <c r="AD244" s="619"/>
      <c r="AE244" s="619"/>
      <c r="AF244" s="619"/>
      <c r="AG244" s="619"/>
      <c r="AH244" s="619"/>
      <c r="AI244" s="619"/>
      <c r="AJ244" s="619"/>
      <c r="AK244" s="619"/>
      <c r="AL244" s="619"/>
      <c r="AM244" s="419"/>
    </row>
    <row r="246" spans="1:41" ht="14.25" x14ac:dyDescent="0.2">
      <c r="D246" s="811" t="s">
        <v>689</v>
      </c>
      <c r="E246" s="811"/>
      <c r="F246" s="811"/>
      <c r="G246" s="811"/>
      <c r="H246" s="811"/>
      <c r="I246" s="811"/>
      <c r="J246" s="811"/>
      <c r="K246" s="811"/>
      <c r="L246" s="811"/>
      <c r="M246" s="811"/>
      <c r="N246" s="811"/>
      <c r="O246" s="811"/>
      <c r="T246" s="812" t="s">
        <v>865</v>
      </c>
      <c r="U246" s="812"/>
      <c r="V246" s="812"/>
      <c r="W246" s="812"/>
      <c r="X246" s="812"/>
      <c r="Y246" s="812"/>
      <c r="Z246" s="812"/>
    </row>
    <row r="247" spans="1:41" ht="12.75" customHeight="1" x14ac:dyDescent="0.2">
      <c r="D247" s="715"/>
      <c r="E247" s="715"/>
      <c r="F247" s="715"/>
      <c r="G247" s="715"/>
      <c r="H247" s="715"/>
      <c r="I247" s="715"/>
      <c r="J247" s="715"/>
      <c r="K247" s="715"/>
      <c r="L247" s="715"/>
      <c r="M247" s="715"/>
      <c r="N247" s="715"/>
      <c r="O247" s="715"/>
      <c r="T247" s="813"/>
      <c r="U247" s="813"/>
      <c r="V247" s="813"/>
      <c r="W247" s="813"/>
      <c r="X247" s="813"/>
      <c r="Y247" s="813"/>
      <c r="Z247" s="813"/>
    </row>
    <row r="248" spans="1:41" ht="12.75" customHeight="1" x14ac:dyDescent="0.2">
      <c r="D248" s="715"/>
      <c r="E248" s="715"/>
      <c r="F248" s="715"/>
      <c r="G248" s="715"/>
      <c r="H248" s="715"/>
      <c r="I248" s="715"/>
      <c r="J248" s="715"/>
      <c r="K248" s="715"/>
      <c r="L248" s="715"/>
      <c r="M248" s="715"/>
      <c r="N248" s="715"/>
      <c r="O248" s="715"/>
      <c r="T248" s="813"/>
      <c r="U248" s="813"/>
      <c r="V248" s="813"/>
      <c r="W248" s="813"/>
      <c r="X248" s="813"/>
      <c r="Y248" s="813"/>
      <c r="Z248" s="813"/>
    </row>
    <row r="249" spans="1:41" ht="12.75" customHeight="1" x14ac:dyDescent="0.2">
      <c r="D249" s="715"/>
      <c r="E249" s="715"/>
      <c r="F249" s="715"/>
      <c r="G249" s="715"/>
      <c r="H249" s="715"/>
      <c r="I249" s="715"/>
      <c r="J249" s="715"/>
      <c r="K249" s="715"/>
      <c r="L249" s="715"/>
      <c r="M249" s="715"/>
      <c r="N249" s="715"/>
      <c r="O249" s="715"/>
      <c r="T249" s="813"/>
      <c r="U249" s="813"/>
      <c r="V249" s="813"/>
      <c r="W249" s="813"/>
      <c r="X249" s="813"/>
      <c r="Y249" s="813"/>
      <c r="Z249" s="813"/>
    </row>
    <row r="250" spans="1:41" ht="14.25" x14ac:dyDescent="0.2">
      <c r="D250" s="443"/>
      <c r="E250" s="443"/>
      <c r="F250" s="443"/>
      <c r="G250" s="443"/>
      <c r="H250" s="443"/>
      <c r="I250" s="443"/>
      <c r="J250" s="443"/>
      <c r="K250" s="443"/>
      <c r="L250" s="443"/>
      <c r="M250" s="443"/>
      <c r="N250" s="443"/>
      <c r="O250" s="443"/>
    </row>
    <row r="251" spans="1:41" ht="15" customHeight="1" x14ac:dyDescent="0.25">
      <c r="D251" s="716" t="str" cm="1">
        <f t="array" aca="1" ref="D251"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Preço total; Medição.</v>
      </c>
      <c r="E251" s="716"/>
      <c r="F251" s="716"/>
      <c r="G251" s="716"/>
      <c r="H251" s="716"/>
      <c r="I251" s="716"/>
      <c r="J251" s="716"/>
      <c r="K251" s="716"/>
      <c r="L251" s="716"/>
    </row>
    <row r="252" spans="1:41" x14ac:dyDescent="0.2">
      <c r="D252" s="809"/>
      <c r="E252" s="809"/>
      <c r="F252" s="809"/>
      <c r="G252" s="809"/>
      <c r="H252" s="809"/>
      <c r="I252" s="809"/>
    </row>
    <row r="253" spans="1:41" x14ac:dyDescent="0.2">
      <c r="D253" s="816"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253" s="816"/>
      <c r="F253" s="816"/>
      <c r="G253" s="816"/>
      <c r="H253" s="816"/>
      <c r="I253" s="816"/>
      <c r="J253" s="816"/>
      <c r="K253" s="816"/>
      <c r="L253" s="816"/>
      <c r="M253" s="816"/>
      <c r="N253" s="816"/>
      <c r="O253" s="816"/>
    </row>
    <row r="254" spans="1:41" ht="40.15" customHeight="1" x14ac:dyDescent="0.25">
      <c r="E254" s="138" t="str">
        <f>Import.Município</f>
        <v>Pedro Régis-PB</v>
      </c>
      <c r="J254" s="585" t="str">
        <f ca="1">IF(DADOS!$D$50&lt;&gt;"","Preencher os Dados do Responsável pela Fiscalização, na aba DADOS.","")</f>
        <v/>
      </c>
      <c r="K254" s="585"/>
      <c r="L254" s="585"/>
      <c r="M254" s="585"/>
      <c r="W254" s="817"/>
      <c r="X254" s="817"/>
      <c r="Y254" s="817"/>
      <c r="Z254" s="817"/>
    </row>
    <row r="255" spans="1:41" x14ac:dyDescent="0.2">
      <c r="E255" s="9" t="s">
        <v>693</v>
      </c>
      <c r="J255" s="181" t="s">
        <v>841</v>
      </c>
      <c r="W255" s="181" t="s">
        <v>866</v>
      </c>
    </row>
    <row r="256" spans="1:41" x14ac:dyDescent="0.2">
      <c r="J256" s="77" t="s">
        <v>240</v>
      </c>
      <c r="K256" s="271">
        <f t="array" ref="K256:K259">Import.RespFiscalização</f>
        <v>0</v>
      </c>
      <c r="L256" s="78"/>
      <c r="W256" s="77" t="s">
        <v>240</v>
      </c>
      <c r="X256" s="815"/>
      <c r="Y256" s="815"/>
      <c r="Z256" s="815"/>
    </row>
    <row r="257" spans="5:26" x14ac:dyDescent="0.2">
      <c r="E257" s="459">
        <f>DADOS!$C$48</f>
        <v>0</v>
      </c>
      <c r="J257" s="77" t="s">
        <v>319</v>
      </c>
      <c r="K257" s="271">
        <v>0</v>
      </c>
      <c r="L257" s="78"/>
      <c r="W257" s="77" t="s">
        <v>867</v>
      </c>
      <c r="X257" s="815"/>
      <c r="Y257" s="815"/>
      <c r="Z257" s="815"/>
    </row>
    <row r="258" spans="5:26" x14ac:dyDescent="0.2">
      <c r="E258" s="140" t="s">
        <v>694</v>
      </c>
      <c r="J258" s="77" t="s">
        <v>243</v>
      </c>
      <c r="K258" s="271">
        <v>0</v>
      </c>
      <c r="L258" s="78"/>
      <c r="W258" s="77" t="s">
        <v>243</v>
      </c>
      <c r="X258" s="815"/>
      <c r="Y258" s="815"/>
      <c r="Z258" s="815"/>
    </row>
    <row r="259" spans="5:26" x14ac:dyDescent="0.2">
      <c r="J259" s="77" t="s">
        <v>246</v>
      </c>
      <c r="K259" s="12">
        <v>0</v>
      </c>
      <c r="W259" s="77"/>
      <c r="X259" s="12"/>
    </row>
  </sheetData>
  <sheetProtection algorithmName="SHA-512" hashValue="Vi8127Y4MvLGDNXsAN7daeoTBP1z8kCLi4lINLAFkufVROBe6jTyrlHBZUXxIBT5ZOMJlHd1L5V43jIUI4Jlww==" saltValue="pZy8//Tcrh+uWCijA6Nkug==" spinCount="100000" sheet="1" objects="1" scenarios="1" autoFilter="0"/>
  <autoFilter ref="C15:C244" xr:uid="{00000000-0001-0000-0B00-000000000000}"/>
  <mergeCells count="33">
    <mergeCell ref="X258:Z258"/>
    <mergeCell ref="D253:O253"/>
    <mergeCell ref="W254:Z254"/>
    <mergeCell ref="X256:Z256"/>
    <mergeCell ref="X257:Z257"/>
    <mergeCell ref="D251:L251"/>
    <mergeCell ref="D252:I252"/>
    <mergeCell ref="AB15:AM15"/>
    <mergeCell ref="D246:O246"/>
    <mergeCell ref="T246:Z246"/>
    <mergeCell ref="D247:O249"/>
    <mergeCell ref="T247:Z249"/>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D17:O243 T17:Z243">
    <cfRule type="expression" dxfId="61" priority="18587" stopIfTrue="1">
      <formula>OR(ACOMPANHAMENTO="PLE",TIPOORCAMENTO="Proposto",$L14&lt;0,AND($L14&gt;100,RegimeExecucao="Global"),$O14&gt;$I14,$O14&lt;0)</formula>
    </cfRule>
    <cfRule type="expression" dxfId="60" priority="18588" stopIfTrue="1">
      <formula>$A14=1</formula>
    </cfRule>
    <cfRule type="expression" dxfId="59" priority="18589" stopIfTrue="1">
      <formula>$A14&lt;&gt;"S"</formula>
    </cfRule>
  </conditionalFormatting>
  <conditionalFormatting sqref="Q14:R14 AB14:AM14 Q17:R243 AB17:AM243">
    <cfRule type="expression" dxfId="58" priority="18590" stopIfTrue="1">
      <formula>$A14=1</formula>
    </cfRule>
    <cfRule type="expression" dxfId="57" priority="18591" stopIfTrue="1">
      <formula>$A14&lt;&gt;"S"</formula>
    </cfRule>
  </conditionalFormatting>
  <conditionalFormatting sqref="E2">
    <cfRule type="expression" dxfId="56" priority="18592" stopIfTrue="1">
      <formula>Import.RegimeExecução="(SELECIONAR)"</formula>
    </cfRule>
  </conditionalFormatting>
  <conditionalFormatting sqref="F13:H13">
    <cfRule type="expression" dxfId="55" priority="18593" stopIfTrue="1">
      <formula>RegimeExecucao="Global"</formula>
    </cfRule>
  </conditionalFormatting>
  <conditionalFormatting sqref="D15:O15">
    <cfRule type="expression" dxfId="54" priority="18594" stopIfTrue="1">
      <formula>OR(ACOMPANHAMENTO="PLE",TIPOORCAMENTO="Proposto")</formula>
    </cfRule>
  </conditionalFormatting>
  <conditionalFormatting sqref="AB13">
    <cfRule type="cellIs" dxfId="53" priority="18595" stopIfTrue="1" operator="notEqual">
      <formula>1</formula>
    </cfRule>
  </conditionalFormatting>
  <conditionalFormatting sqref="O11">
    <cfRule type="expression" dxfId="52" priority="13454">
      <formula>ROUND($P$11,4)&gt;ROUND($P$10,4)</formula>
    </cfRule>
  </conditionalFormatting>
  <conditionalFormatting sqref="D16:O16 T16:Z16">
    <cfRule type="expression" dxfId="51" priority="141" stopIfTrue="1">
      <formula>OR(ACOMPANHAMENTO="PLE",TIPOORCAMENTO="Proposto",$L16&lt;0,AND($L16&gt;100,RegimeExecucao="Global"),$O16&gt;$I16,$O16&lt;0)</formula>
    </cfRule>
    <cfRule type="expression" dxfId="50" priority="142" stopIfTrue="1">
      <formula>$A16=1</formula>
    </cfRule>
    <cfRule type="expression" dxfId="49" priority="143" stopIfTrue="1">
      <formula>$A16&lt;&gt;"S"</formula>
    </cfRule>
  </conditionalFormatting>
  <conditionalFormatting sqref="Q16:R16 AB16:AM16">
    <cfRule type="expression" dxfId="48" priority="144" stopIfTrue="1">
      <formula>$A16=1</formula>
    </cfRule>
    <cfRule type="expression" dxfId="47" priority="145" stopIfTrue="1">
      <formula>$A16&lt;&gt;"S"</formula>
    </cfRule>
  </conditionalFormatting>
  <dataValidations count="4">
    <dataValidation type="list" allowBlank="1" showErrorMessage="1" sqref="Z14 Z16:Z243"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243"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243"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57150</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133350</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28515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28515625" hidden="1" customWidth="1"/>
    <col min="22" max="22" width="12.28515625" hidden="1" customWidth="1"/>
    <col min="23" max="24" width="5.5703125" customWidth="1"/>
    <col min="25" max="26" width="16.5703125" customWidth="1"/>
    <col min="27" max="27" width="1.5703125" customWidth="1"/>
    <col min="29" max="34" width="15.7109375" hidden="1" customWidth="1"/>
    <col min="35" max="35" width="9.28515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t="e">
        <f ca="1">AD6-AD4-AD3</f>
        <v>#DIV/0!</v>
      </c>
      <c r="AE2" s="349" t="e">
        <f ca="1">AE6-AE4-AE3</f>
        <v>#DIV/0!</v>
      </c>
    </row>
    <row r="3" spans="1:41" x14ac:dyDescent="0.2">
      <c r="E3" s="722" t="s">
        <v>652</v>
      </c>
      <c r="F3" s="722"/>
      <c r="G3" s="722"/>
      <c r="H3" s="722"/>
      <c r="I3" s="684" t="s">
        <v>650</v>
      </c>
      <c r="J3" s="684"/>
      <c r="K3" s="684"/>
      <c r="L3" s="87" t="s">
        <v>707</v>
      </c>
      <c r="M3" s="146"/>
      <c r="O3" s="350"/>
      <c r="P3" s="274" t="s">
        <v>715</v>
      </c>
      <c r="R3" s="146"/>
      <c r="S3" s="146"/>
      <c r="T3" s="146"/>
      <c r="U3" s="146"/>
      <c r="AC3" s="348" t="s">
        <v>456</v>
      </c>
      <c r="AD3" s="349" t="e">
        <f ca="1">SUM(T13:OFFSET(T24,-1,0))</f>
        <v>#DIV/0!</v>
      </c>
      <c r="AE3" s="349" t="e">
        <f ca="1">IF(OR($O$28&lt;$M$28,$M$26&gt;$AD$3),MIN($M$26,$L$26),MIN($AD$3,$N$28-$N$27+$M$26))</f>
        <v>#DIV/0!</v>
      </c>
    </row>
    <row r="4" spans="1:41" ht="12.75" customHeight="1" x14ac:dyDescent="0.2">
      <c r="E4" s="720" t="str">
        <f>Import.Proponente</f>
        <v>Prefeitura Municipal de Pedro Régis-PB</v>
      </c>
      <c r="F4" s="720"/>
      <c r="G4" s="720"/>
      <c r="H4" s="720"/>
      <c r="I4" s="681" t="str">
        <f>Import.CR</f>
        <v>-</v>
      </c>
      <c r="J4" s="681"/>
      <c r="K4" s="681"/>
      <c r="L4" s="56" t="str">
        <f>Import.TransfereGOV</f>
        <v>-</v>
      </c>
      <c r="M4" s="830" t="s">
        <v>809</v>
      </c>
      <c r="N4" s="831"/>
      <c r="O4" s="832"/>
      <c r="P4" s="351" t="str">
        <f>import.recurso</f>
        <v>OGU</v>
      </c>
      <c r="R4" s="146"/>
      <c r="S4" s="146"/>
      <c r="T4" s="350"/>
      <c r="U4" s="350"/>
      <c r="AC4" s="348" t="s">
        <v>871</v>
      </c>
      <c r="AD4" s="349" t="e">
        <f ca="1">SUM(U13:OFFSET(U24,-1,0))</f>
        <v>#DIV/0!</v>
      </c>
      <c r="AE4" s="349" t="e">
        <f ca="1">IF(OR($O$28&lt;$M$28,$M$27&gt;$AD$4),MIN($M$27,$L$27),MIN($AD$4,$N$28+$M$27))</f>
        <v>#DIV/0!</v>
      </c>
    </row>
    <row r="5" spans="1:41" ht="5.0999999999999996" customHeight="1" x14ac:dyDescent="0.2">
      <c r="H5" s="277"/>
      <c r="I5" s="277"/>
      <c r="J5" s="277"/>
      <c r="K5" s="277"/>
      <c r="L5" s="277"/>
      <c r="M5" s="352"/>
      <c r="N5" s="265"/>
      <c r="O5" s="4"/>
      <c r="R5" s="146"/>
      <c r="S5" s="146"/>
      <c r="T5" s="146"/>
      <c r="U5" s="146"/>
    </row>
    <row r="6" spans="1:41" ht="12.75" customHeight="1" x14ac:dyDescent="0.2">
      <c r="E6" s="684" t="s">
        <v>708</v>
      </c>
      <c r="F6" s="684"/>
      <c r="G6" s="684"/>
      <c r="H6" s="684"/>
      <c r="I6" s="818" t="s">
        <v>808</v>
      </c>
      <c r="J6" s="818"/>
      <c r="K6" s="818"/>
      <c r="L6" s="818"/>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710" t="s">
        <v>655</v>
      </c>
      <c r="E7" s="681" t="str">
        <f>Import.Apelido</f>
        <v>Casa térrea acessível, 2 quartos, Autil=47,46m², conforme Portaria MCID 1416/2023</v>
      </c>
      <c r="F7" s="681"/>
      <c r="G7" s="681"/>
      <c r="H7" s="681"/>
      <c r="I7" s="819" t="str">
        <f>Import.Município</f>
        <v>Pedro Régis-PB</v>
      </c>
      <c r="J7" s="819"/>
      <c r="K7" s="819"/>
      <c r="L7" s="819"/>
      <c r="M7" s="353">
        <f>Import.Repasse</f>
        <v>2734215.06</v>
      </c>
      <c r="N7" s="354">
        <f>Import.Contrapartida</f>
        <v>0</v>
      </c>
      <c r="O7" s="353">
        <f>M7+N7</f>
        <v>2734215.06</v>
      </c>
      <c r="P7" s="423">
        <f>IF(ACOMPANHAMENTO="PLE",PLE.Medicao,BM.medicao)</f>
        <v>1</v>
      </c>
      <c r="R7" s="146"/>
      <c r="S7" s="146"/>
      <c r="T7" s="146"/>
      <c r="U7" s="146"/>
    </row>
    <row r="8" spans="1:41" x14ac:dyDescent="0.2">
      <c r="D8" s="710"/>
      <c r="E8" s="92"/>
      <c r="F8" s="92"/>
      <c r="G8" s="92"/>
      <c r="H8" s="92"/>
      <c r="I8" s="92"/>
      <c r="J8" s="92"/>
      <c r="K8" s="92"/>
      <c r="L8" s="92"/>
      <c r="M8" s="92"/>
      <c r="N8" s="92"/>
      <c r="O8" s="92"/>
      <c r="P8" s="92"/>
      <c r="R8" s="146"/>
      <c r="S8" s="146"/>
      <c r="T8" s="146"/>
      <c r="U8" s="146"/>
    </row>
    <row r="9" spans="1:41" ht="12.75" customHeight="1" x14ac:dyDescent="0.2">
      <c r="D9" s="710"/>
      <c r="G9" s="820" t="s">
        <v>874</v>
      </c>
      <c r="H9" s="820"/>
      <c r="I9" s="820" t="s">
        <v>875</v>
      </c>
      <c r="J9" s="820"/>
      <c r="K9" s="355"/>
      <c r="L9" s="821" t="s">
        <v>815</v>
      </c>
      <c r="M9" s="356" t="s">
        <v>818</v>
      </c>
      <c r="N9" s="278" t="s">
        <v>741</v>
      </c>
      <c r="P9" s="357"/>
      <c r="R9" s="146"/>
      <c r="S9" s="146"/>
      <c r="T9" s="146"/>
      <c r="U9" s="146"/>
      <c r="V9" s="7" t="s">
        <v>876</v>
      </c>
    </row>
    <row r="10" spans="1:41" ht="12.75" customHeight="1" x14ac:dyDescent="0.2">
      <c r="D10" s="710"/>
      <c r="G10" s="683" t="str">
        <f ca="1">IF(J10="-","-",IF($P$24&lt;J10,"Atrasada",IF($P$24&gt;J10,"Adiantada","Normal")))</f>
        <v>Normal</v>
      </c>
      <c r="H10" s="683"/>
      <c r="I10" s="358">
        <f>DATE(YEAR($L$35),MONTH($L$35),1)</f>
        <v>1</v>
      </c>
      <c r="J10" s="359">
        <f ca="1">IF($I$10&lt;DATE(YEAR(CRONO!$U$13),MONTH(CRONO!$U$13),1),0,IF($I$10&gt;OFFSET(CRONO!$AS$13,0,-1),1,INDEX(CRONO!$T$170:$AT$170,MATCH(RRE!$I$10,CRONO!$T$13:$AS$13,0))))</f>
        <v>0</v>
      </c>
      <c r="K10" s="355"/>
      <c r="L10" s="821"/>
      <c r="M10" s="360">
        <f ca="1">QCI!L10</f>
        <v>2734215.06</v>
      </c>
      <c r="N10" s="280">
        <f ca="1">QCI!M10</f>
        <v>0</v>
      </c>
      <c r="P10" s="357"/>
      <c r="R10" s="146"/>
      <c r="S10" s="146"/>
      <c r="T10" s="146"/>
      <c r="U10" s="146"/>
      <c r="AC10" s="822" t="s">
        <v>76</v>
      </c>
      <c r="AD10" s="822"/>
      <c r="AE10" s="822"/>
      <c r="AF10" s="822"/>
      <c r="AG10" s="822"/>
      <c r="AH10" s="822"/>
      <c r="AJ10" s="822" t="s">
        <v>78</v>
      </c>
      <c r="AK10" s="822"/>
      <c r="AL10" s="822"/>
      <c r="AM10" s="822"/>
      <c r="AN10" s="822"/>
      <c r="AO10" s="822"/>
    </row>
    <row r="11" spans="1:41" ht="20.100000000000001" customHeight="1" x14ac:dyDescent="0.2">
      <c r="D11" s="710"/>
      <c r="M11" s="451" t="str">
        <f>IF(CAIXA.Modo,"Valores Aferidos (R$)","Valores Medidos (R$)")</f>
        <v>Valores Medidos (R$)</v>
      </c>
      <c r="N11" s="451"/>
      <c r="O11" s="451"/>
      <c r="R11" s="361"/>
      <c r="S11" s="361"/>
      <c r="T11" s="451"/>
      <c r="U11" s="451"/>
      <c r="V11" s="448" t="s">
        <v>877</v>
      </c>
      <c r="Y11" s="823" t="str">
        <f>IF(CAIXA.Modo,"Valores Aferidos (R$)","Valores Medidos (R$)")</f>
        <v>Valores Medidos (R$)</v>
      </c>
      <c r="Z11" s="823"/>
      <c r="AC11" s="824" t="s">
        <v>878</v>
      </c>
      <c r="AD11" s="824"/>
      <c r="AE11" s="824"/>
      <c r="AF11" s="824" t="s">
        <v>879</v>
      </c>
      <c r="AG11" s="824"/>
      <c r="AH11" s="824"/>
      <c r="AJ11" s="824" t="s">
        <v>878</v>
      </c>
      <c r="AK11" s="824"/>
      <c r="AL11" s="824"/>
      <c r="AM11" s="824" t="s">
        <v>879</v>
      </c>
      <c r="AN11" s="824"/>
      <c r="AO11" s="824"/>
    </row>
    <row r="12" spans="1:41" ht="30" hidden="1" customHeight="1" x14ac:dyDescent="0.2">
      <c r="A12" t="e">
        <f ca="1">MATCH(E12,ORÇAMENTO!$E$15:$E$244,0)-1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t="e" cm="1">
        <f t="array" aca="1" ref="AC12" ca="1">IF(ACOMPANHAMENTO&lt;&gt;"PLE",0,SUMPRODUCT((OFFSET(CÁLCULO!$CT$15:$DT$15,$A12,0,$B12)&lt;=(PLE.Medicao-1))*OFFSET(CÁLCULO!$AR$15:$BR$15,$A12,0,$B12)*OFFSET(ORÇAMENTO!$AA$15,$A12,0,$B12)/(OFFSET(ORÇAMENTO!$X$15,$A12,0,$B12)+10^-12))+IF(AUTOEVENTO="Manual",SUMPRODUCT((OFFSET(CÁLCULO!$M$15,$A12,0,$B12)=1)*OFFSET(ORÇAMENTO!$AA$15,$A12,0,$B12)*(PLE!$AE$9-PLE!$Y$9)),0))</f>
        <v>#N/A</v>
      </c>
      <c r="AD12" s="183" t="e" cm="1">
        <f t="array" aca="1" ref="AD12" ca="1">IF(ACOMPANHAMENTO&lt;&gt;"PLE",0,SUMPRODUCT((OFFSET(CÁLCULO!$CT$15:$DT$15,$A12,0,$B12)&lt;=(PLE.Medicao-1))*OFFSET(CÁLCULO!$AR$15:$BR$15,$A12,0,$B12)*OFFSET(ORÇAMENTO!$AB$15,$A12,0,$B12)/(OFFSET(ORÇAMENTO!$X$15,$A12,0,$B12)+10^-12))+IF(AUTOEVENTO="Manual",SUMPRODUCT((OFFSET(CÁLCULO!$M$15,$A12,0,$B12)=1)*OFFSET(ORÇAMENTO!$AB$15,$A12,0,$B12)*(PLE!$AE$9-PLE!$Y$9)),0))</f>
        <v>#N/A</v>
      </c>
      <c r="AE12" s="183" t="e">
        <f ca="1">ROUND(
            IF(ACOMPANHAMENTO&lt;&gt;"PLE",0,
                      SUMIF(OFFSET(CÁLCULO!$CT$15:$DT$15,$A12,0,$B12),"&lt;="&amp;(PLE.Medicao-1),OFFSET(CÁLCULO!$AR$15:$BR$15,$A12,0,$B12))
                      +IF(AdmLocal="Automática",
                              SUMIF(OFFSET(CÁLCULO!$M$15,$A12,0,$B12),1,OFFSET(ORÇAMENTO!$X$15,$A12,0,$B12))*(PLE!$AE$9-PLE!$Y$9),
                              0)),
            2)</f>
        <v>#N/A</v>
      </c>
      <c r="AF12" s="183" t="e" cm="1">
        <f t="array" aca="1" ref="AF12" ca="1">IF(ACOMPANHAMENTO&lt;&gt;"PLE",0,SUMPRODUCT((OFFSET(CÁLCULO!$CT$15:$DT$15,$A12,0,$B12)&lt;=PLE.Medicao)*OFFSET(CÁLCULO!$AR$15:$BR$15,$A12,0,$B12)*OFFSET(ORÇAMENTO!$AA$15,$A12,0,$B12)/(OFFSET(ORÇAMENTO!$X$15,$A12,0,$B12)+10^-12))+IF(AUTOEVENTO="Manual",SUMPRODUCT((OFFSET(CÁLCULO!$M$15,$A12,0,$B12)=1)*OFFSET(ORÇAMENTO!$AA$15,$A12,0,$B12)*PLE!$AE$9),0))</f>
        <v>#N/A</v>
      </c>
      <c r="AG12" s="183" t="e" cm="1">
        <f t="array" aca="1" ref="AG12" ca="1">IF(ACOMPANHAMENTO&lt;&gt;"PLE",0,SUMPRODUCT((OFFSET(CÁLCULO!$CT$15:$DT$15,$A12,0,$B12)&lt;=PLE.Medicao)*OFFSET(CÁLCULO!$AR$15:$BR$15,$A12,0,$B12)*OFFSET(ORÇAMENTO!$AB$15,$A12,0,$B12)/(OFFSET(ORÇAMENTO!$X$15,$A12,0,$B12)+10^-12))+IF(AUTOEVENTO="Manual",SUMPRODUCT((OFFSET(CÁLCULO!$M$15,$A12,0,$B12)=1)*OFFSET(ORÇAMENTO!$AB$15,$A12,0,$B12)*PLE!$AE$9),0))</f>
        <v>#N/A</v>
      </c>
      <c r="AH12" s="183" t="e">
        <f ca="1">ROUND(IF(ACOMPANHAMENTO&lt;&gt;"PLE",0,SUMIF(OFFSET(CÁLCULO!$CT$15:$DT$15,$A12,0,$B12),"&lt;="&amp;PLE.Medicao,OFFSET(CÁLCULO!$AR$15:$BR$15,$A12,0,$B12))+IF(AdmLocal="Automática",SUMIF(OFFSET(CÁLCULO!$M$15,$A12,0,$B12),1,OFFSET(ORÇAMENTO!$X$15,$A12,0,$B12))*PLE!$AE$9,0)),2)</f>
        <v>#N/A</v>
      </c>
      <c r="AJ12" s="183" cm="1">
        <f t="array" aca="1" ref="AJ12" ca="1">IF(ACOMPANHAMENTO&lt;&gt;"BM",0,SUMPRODUCT(OFFSET(BM!$M$15,$A12,0,$B12)*(OFFSET(BM!$A$15,$A12,0,$B12)="S")*OFFSET(ORÇAMENTO!AA$15,$A12,0,$B12)/(OFFSET(ORÇAMENTO!$X$15,$A12,0,$B12)+10^-12)))</f>
        <v>0</v>
      </c>
      <c r="AK12" s="183" cm="1">
        <f t="array" aca="1" ref="AK12" ca="1">IF(ACOMPANHAMENTO&lt;&gt;"BM",0,SUMPRODUCT(OFFSET(BM!$M$15,$A12,0,$B12)*(OFFSET(BM!$A$15,$A12,0,$B12)="S")*OFFSET(ORÇAMENTO!AB$15,$A12,0,$B12)/(OFFSET(ORÇAMENTO!$X$15,$A12,0,$B12)+10^-12)))</f>
        <v>0</v>
      </c>
      <c r="AL12" s="183">
        <f ca="1">IF(ACOMPANHAMENTO&lt;&gt;"BM",0,OFFSET(BM!$M$15,$A12,0))</f>
        <v>0</v>
      </c>
      <c r="AM12" s="183" cm="1">
        <f t="array" aca="1" ref="AM12" ca="1">IF(ACOMPANHAMENTO&lt;&gt;"BM",0,SUMPRODUCT(OFFSET(BM!$O$15,$A12,0,$B12)*(OFFSET(BM!$A$15,$A12,0,$B12)="S")*OFFSET(ORÇAMENTO!AA$15,$A12,0,$B12)/(OFFSET(ORÇAMENTO!$X$15,$A12,0,$B12)+10^-12)))</f>
        <v>0</v>
      </c>
      <c r="AN12" s="183" cm="1">
        <f t="array" aca="1" ref="AN12" ca="1">IF(ACOMPANHAMENTO&lt;&gt;"BM",0,SUMPRODUCT(OFFSET(BM!$O$15,$A12,0,$B12)*(OFFSET(BM!$A$15,$A12,0,$B12)="S")*OFFSET(ORÇAMENTO!AB$15,$A12,0,$B12)/(OFFSET(ORÇAMENTO!$X$15,$A12,0,$B12)+10^-12)))</f>
        <v>0</v>
      </c>
      <c r="AO12" s="183">
        <f ca="1">IF(ACOMPANHAMENTO&lt;&gt;"BM",0,OFFSET(BM!$O$15,$A12,0))</f>
        <v>0</v>
      </c>
    </row>
    <row r="13" spans="1:41" ht="40.15"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MATCH(E14,ORÇAMENTO!$E$15:$E$244,0)-1</f>
        <v>1</v>
      </c>
      <c r="B14">
        <f ca="1">IF(ISERROR($A14),NA(),OFFSET(ORÇAMENTO!$D$15,$A14,0))</f>
        <v>6</v>
      </c>
      <c r="C14" t="str">
        <f ca="1">QCI!B14</f>
        <v>Automático</v>
      </c>
      <c r="D14" t="str">
        <f t="shared" ref="D14:D22" ca="1" si="0">IF(L14&gt;0,"F","")</f>
        <v/>
      </c>
      <c r="E14" s="281">
        <f>QCI!D14</f>
        <v>1</v>
      </c>
      <c r="F14" s="362" t="str">
        <f ca="1">QCI!G14</f>
        <v>SERVIÇOS PRELIMINARES</v>
      </c>
      <c r="G14" s="363" t="str">
        <f>QCI!H14</f>
        <v>Em Análise</v>
      </c>
      <c r="H14" s="282">
        <f>QCI!I14</f>
        <v>20</v>
      </c>
      <c r="I14" s="282" t="str">
        <f ca="1">QCI!J14</f>
        <v>un</v>
      </c>
      <c r="J14" s="364" t="str">
        <f ca="1">QCI!K14</f>
        <v>LOTE 1</v>
      </c>
      <c r="K14" s="365" cm="1">
        <f t="array" aca="1" ref="K14" ca="1">IF($C14="Automático",IF(ACOMPANHAMENTO="BM",BM.medicao,PLE.Medicao),IF(ISBLANK($X14),"",$X14))</f>
        <v>1</v>
      </c>
      <c r="L14" s="286">
        <f ca="1">QCI!$O14</f>
        <v>0</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t="e">
        <f ca="1">ROUND(IF($C14="Automático",AC14+AJ14,$Y14*IF(ISERROR(QCI!$AA14/QCI!$O14),0,QCI!$AA14/QCI!$O14)),2)</f>
        <v>#DIV/0!</v>
      </c>
      <c r="S14" s="366" t="e">
        <f ca="1">ROUND(IF($C14="Automático",AD14+AK14,$Y14*IF(ISERROR(QCI!$AB14/QCI!$O14),0,QCI!$AB14/QCI!$O14)),2)</f>
        <v>#DIV/0!</v>
      </c>
      <c r="T14" s="366" t="e">
        <f ca="1">ROUND(IF($C14="Automático",AF14+AM14,$Z14*IF(ISERROR(QCI!$AA14/QCI!$O14),0,QCI!$AA14/QCI!$O14)),2)</f>
        <v>#DIV/0!</v>
      </c>
      <c r="U14" s="366" t="e">
        <f ca="1">ROUND(IF($C14="Automático",AG14+AN14,$Z14*IF(ISERROR(QCI!$AB14/QCI!$O14),0,QCI!$AB14/QCI!$O14)),2)</f>
        <v>#DIV/0!</v>
      </c>
      <c r="V14" s="449">
        <f ca="1">IF(AND($L14&gt;0,$J14&lt;&gt;0,$J14&lt;&gt;"",COUNTIF($J$13:$J14,$J14)=1),OFFSET(V14,-1,0)+1,OFFSET(V14,-1,0))</f>
        <v>0</v>
      </c>
      <c r="X14" s="513"/>
      <c r="Y14" s="287"/>
      <c r="Z14" s="288"/>
      <c r="AC14" s="183" t="e" cm="1">
        <f t="array" aca="1" ref="AC14" ca="1">IF(ACOMPANHAMENTO&lt;&gt;"PLE",0,SUMPRODUCT((OFFSET(CÁLCULO!$CT$15:$DT$15,$A14,0,$B14)&lt;=(PLE.Medicao-1))*OFFSET(CÁLCULO!$AR$15:$BR$15,$A14,0,$B14)*OFFSET(ORÇAMENTO!$AA$15,$A14,0,$B14)/(OFFSET(ORÇAMENTO!$X$15,$A14,0,$B14)+10^-12))+IF(AUTOEVENTO="Manual",SUMPRODUCT((OFFSET(CÁLCULO!$M$15,$A14,0,$B14)=1)*OFFSET(ORÇAMENTO!$AA$15,$A14,0,$B14)*(PLE!$AE$9-PLE!$Y$9)),0))</f>
        <v>#DIV/0!</v>
      </c>
      <c r="AD14" s="183" t="e" cm="1">
        <f t="array" aca="1" ref="AD14" ca="1">IF(ACOMPANHAMENTO&lt;&gt;"PLE",0,SUMPRODUCT((OFFSET(CÁLCULO!$CT$15:$DT$15,$A14,0,$B14)&lt;=(PLE.Medicao-1))*OFFSET(CÁLCULO!$AR$15:$BR$15,$A14,0,$B14)*OFFSET(ORÇAMENTO!$AB$15,$A14,0,$B14)/(OFFSET(ORÇAMENTO!$X$15,$A14,0,$B14)+10^-12))+IF(AUTOEVENTO="Manual",SUMPRODUCT((OFFSET(CÁLCULO!$M$15,$A14,0,$B14)=1)*OFFSET(ORÇAMENTO!$AB$15,$A14,0,$B14)*(PLE!$AE$9-PLE!$Y$9)),0))</f>
        <v>#DIV/0!</v>
      </c>
      <c r="AE14" s="183">
        <f ca="1">ROUND(
            IF(ACOMPANHAMENTO&lt;&gt;"PLE",0,
                      SUMIF(OFFSET(CÁLCULO!$CT$15:$DT$15,$A14,0,$B14),"&lt;="&amp;(PLE.Medicao-1),OFFSET(CÁLCULO!$AR$15:$BR$15,$A14,0,$B14))
                      +IF(AdmLocal="Automática",
                              SUMIF(OFFSET(CÁLCULO!$M$15,$A14,0,$B14),1,OFFSET(ORÇAMENTO!$X$15,$A14,0,$B14))*(PLE!$AE$9-PLE!$Y$9),
                              0)),
            2)</f>
        <v>0</v>
      </c>
      <c r="AF14" s="183" t="e" cm="1">
        <f t="array" aca="1" ref="AF14" ca="1">IF(ACOMPANHAMENTO&lt;&gt;"PLE",0,SUMPRODUCT((OFFSET(CÁLCULO!$CT$15:$DT$15,$A14,0,$B14)&lt;=PLE.Medicao)*OFFSET(CÁLCULO!$AR$15:$BR$15,$A14,0,$B14)*OFFSET(ORÇAMENTO!$AA$15,$A14,0,$B14)/(OFFSET(ORÇAMENTO!$X$15,$A14,0,$B14)+10^-12))+IF(AUTOEVENTO="Manual",SUMPRODUCT((OFFSET(CÁLCULO!$M$15,$A14,0,$B14)=1)*OFFSET(ORÇAMENTO!$AA$15,$A14,0,$B14)*PLE!$AE$9),0))</f>
        <v>#DIV/0!</v>
      </c>
      <c r="AG14" s="183" t="e" cm="1">
        <f t="array" aca="1" ref="AG14" ca="1">IF(ACOMPANHAMENTO&lt;&gt;"PLE",0,SUMPRODUCT((OFFSET(CÁLCULO!$CT$15:$DT$15,$A14,0,$B14)&lt;=PLE.Medicao)*OFFSET(CÁLCULO!$AR$15:$BR$15,$A14,0,$B14)*OFFSET(ORÇAMENTO!$AB$15,$A14,0,$B14)/(OFFSET(ORÇAMENTO!$X$15,$A14,0,$B14)+10^-12))+IF(AUTOEVENTO="Manual",SUMPRODUCT((OFFSET(CÁLCULO!$M$15,$A14,0,$B14)=1)*OFFSET(ORÇAMENTO!$AB$15,$A14,0,$B14)*PLE!$AE$9),0))</f>
        <v>#DIV/0!</v>
      </c>
      <c r="AH14" s="183">
        <f ca="1">ROUND(IF(ACOMPANHAMENTO&lt;&gt;"PLE",0,SUMIF(OFFSET(CÁLCULO!$CT$15:$DT$15,$A14,0,$B14),"&lt;="&amp;PLE.Medicao,OFFSET(CÁLCULO!$AR$15:$BR$15,$A14,0,$B14))+IF(AdmLocal="Automática",SUMIF(OFFSET(CÁLCULO!$M$15,$A14,0,$B14),1,OFFSET(ORÇAMENTO!$X$15,$A14,0,$B14))*PLE!$AE$9,0)),2)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30" customHeight="1" x14ac:dyDescent="0.2">
      <c r="A15">
        <f ca="1">MATCH(E15,ORÇAMENTO!$E$15:$E$244,0)-1</f>
        <v>7</v>
      </c>
      <c r="B15">
        <f ca="1">IF(ISERROR($A15),NA(),OFFSET(ORÇAMENTO!$D$15,$A15,0))</f>
        <v>3</v>
      </c>
      <c r="C15" t="str">
        <f ca="1">QCI!B15</f>
        <v>Automático</v>
      </c>
      <c r="D15" t="str">
        <f t="shared" ca="1" si="0"/>
        <v/>
      </c>
      <c r="E15" s="281">
        <f>QCI!D15</f>
        <v>2</v>
      </c>
      <c r="F15" s="362" t="str">
        <f ca="1">QCI!G15</f>
        <v>ADMINISTRAÇÃO DA OBRA</v>
      </c>
      <c r="G15" s="363" t="str">
        <f>QCI!H15</f>
        <v>Em Análise</v>
      </c>
      <c r="H15" s="282">
        <f>QCI!I15</f>
        <v>20</v>
      </c>
      <c r="I15" s="282" t="str">
        <f ca="1">QCI!J15</f>
        <v>un</v>
      </c>
      <c r="J15" s="364" t="str">
        <f ca="1">QCI!K15</f>
        <v>LOTE 1</v>
      </c>
      <c r="K15" s="365" cm="1">
        <f t="array" aca="1" ref="K15" ca="1">IF($C15="Automático",IF(ACOMPANHAMENTO="BM",BM.medicao,PLE.Medicao),IF(ISBLANK($X15),"",$X15))</f>
        <v>1</v>
      </c>
      <c r="L15" s="286">
        <f ca="1">QCI!$O15</f>
        <v>0</v>
      </c>
      <c r="M15" s="283">
        <f t="shared" ca="1" si="1"/>
        <v>0</v>
      </c>
      <c r="N15" s="284">
        <f t="shared" ca="1" si="2"/>
        <v>0</v>
      </c>
      <c r="O15" s="285">
        <f t="shared" ca="1" si="3"/>
        <v>0</v>
      </c>
      <c r="P15" s="367">
        <f t="shared" ca="1" si="4"/>
        <v>0</v>
      </c>
      <c r="R15" s="366" t="e">
        <f ca="1">ROUND(IF($C15="Automático",AC15+AJ15,$Y15*IF(ISERROR(QCI!$AA15/QCI!$O15),0,QCI!$AA15/QCI!$O15)),2)</f>
        <v>#DIV/0!</v>
      </c>
      <c r="S15" s="366" t="e">
        <f ca="1">ROUND(IF($C15="Automático",AD15+AK15,$Y15*IF(ISERROR(QCI!$AB15/QCI!$O15),0,QCI!$AB15/QCI!$O15)),2)</f>
        <v>#DIV/0!</v>
      </c>
      <c r="T15" s="366" t="e">
        <f ca="1">ROUND(IF($C15="Automático",AF15+AM15,$Z15*IF(ISERROR(QCI!$AA15/QCI!$O15),0,QCI!$AA15/QCI!$O15)),2)</f>
        <v>#DIV/0!</v>
      </c>
      <c r="U15" s="366" t="e">
        <f ca="1">ROUND(IF($C15="Automático",AG15+AN15,$Z15*IF(ISERROR(QCI!$AB15/QCI!$O15),0,QCI!$AB15/QCI!$O15)),2)</f>
        <v>#DIV/0!</v>
      </c>
      <c r="V15" s="449">
        <f ca="1">IF(AND($L15&gt;0,$J15&lt;&gt;0,$J15&lt;&gt;"",COUNTIF($J$13:$J15,$J15)=1),OFFSET(V15,-1,0)+1,OFFSET(V15,-1,0))</f>
        <v>0</v>
      </c>
      <c r="X15" s="513"/>
      <c r="Y15" s="287"/>
      <c r="Z15" s="288"/>
      <c r="AC15" s="183" t="e" cm="1">
        <f t="array" aca="1" ref="AC15" ca="1">IF(ACOMPANHAMENTO&lt;&gt;"PLE",0,SUMPRODUCT((OFFSET(CÁLCULO!$CT$15:$DT$15,$A15,0,$B15)&lt;=(PLE.Medicao-1))*OFFSET(CÁLCULO!$AR$15:$BR$15,$A15,0,$B15)*OFFSET(ORÇAMENTO!$AA$15,$A15,0,$B15)/(OFFSET(ORÇAMENTO!$X$15,$A15,0,$B15)+10^-12))+IF(AUTOEVENTO="Manual",SUMPRODUCT((OFFSET(CÁLCULO!$M$15,$A15,0,$B15)=1)*OFFSET(ORÇAMENTO!$AA$15,$A15,0,$B15)*(PLE!$AE$9-PLE!$Y$9)),0))</f>
        <v>#DIV/0!</v>
      </c>
      <c r="AD15" s="183" t="e" cm="1">
        <f t="array" aca="1" ref="AD15" ca="1">IF(ACOMPANHAMENTO&lt;&gt;"PLE",0,SUMPRODUCT((OFFSET(CÁLCULO!$CT$15:$DT$15,$A15,0,$B15)&lt;=(PLE.Medicao-1))*OFFSET(CÁLCULO!$AR$15:$BR$15,$A15,0,$B15)*OFFSET(ORÇAMENTO!$AB$15,$A15,0,$B15)/(OFFSET(ORÇAMENTO!$X$15,$A15,0,$B15)+10^-12))+IF(AUTOEVENTO="Manual",SUMPRODUCT((OFFSET(CÁLCULO!$M$15,$A15,0,$B15)=1)*OFFSET(ORÇAMENTO!$AB$15,$A15,0,$B15)*(PLE!$AE$9-PLE!$Y$9)),0))</f>
        <v>#DIV/0!</v>
      </c>
      <c r="AE15" s="183">
        <f ca="1">ROUND(
            IF(ACOMPANHAMENTO&lt;&gt;"PLE",0,
                      SUMIF(OFFSET(CÁLCULO!$CT$15:$DT$15,$A15,0,$B15),"&lt;="&amp;(PLE.Medicao-1),OFFSET(CÁLCULO!$AR$15:$BR$15,$A15,0,$B15))
                      +IF(AdmLocal="Automática",
                              SUMIF(OFFSET(CÁLCULO!$M$15,$A15,0,$B15),1,OFFSET(ORÇAMENTO!$X$15,$A15,0,$B15))*(PLE!$AE$9-PLE!$Y$9),
                              0)),
            2)</f>
        <v>0</v>
      </c>
      <c r="AF15" s="183" t="e" cm="1">
        <f t="array" aca="1" ref="AF15" ca="1">IF(ACOMPANHAMENTO&lt;&gt;"PLE",0,SUMPRODUCT((OFFSET(CÁLCULO!$CT$15:$DT$15,$A15,0,$B15)&lt;=PLE.Medicao)*OFFSET(CÁLCULO!$AR$15:$BR$15,$A15,0,$B15)*OFFSET(ORÇAMENTO!$AA$15,$A15,0,$B15)/(OFFSET(ORÇAMENTO!$X$15,$A15,0,$B15)+10^-12))+IF(AUTOEVENTO="Manual",SUMPRODUCT((OFFSET(CÁLCULO!$M$15,$A15,0,$B15)=1)*OFFSET(ORÇAMENTO!$AA$15,$A15,0,$B15)*PLE!$AE$9),0))</f>
        <v>#DIV/0!</v>
      </c>
      <c r="AG15" s="183" t="e" cm="1">
        <f t="array" aca="1" ref="AG15" ca="1">IF(ACOMPANHAMENTO&lt;&gt;"PLE",0,SUMPRODUCT((OFFSET(CÁLCULO!$CT$15:$DT$15,$A15,0,$B15)&lt;=PLE.Medicao)*OFFSET(CÁLCULO!$AR$15:$BR$15,$A15,0,$B15)*OFFSET(ORÇAMENTO!$AB$15,$A15,0,$B15)/(OFFSET(ORÇAMENTO!$X$15,$A15,0,$B15)+10^-12))+IF(AUTOEVENTO="Manual",SUMPRODUCT((OFFSET(CÁLCULO!$M$15,$A15,0,$B15)=1)*OFFSET(ORÇAMENTO!$AB$15,$A15,0,$B15)*PLE!$AE$9),0))</f>
        <v>#DIV/0!</v>
      </c>
      <c r="AH15" s="183">
        <f ca="1">ROUND(IF(ACOMPANHAMENTO&lt;&gt;"PLE",0,SUMIF(OFFSET(CÁLCULO!$CT$15:$DT$15,$A15,0,$B15),"&lt;="&amp;PLE.Medicao,OFFSET(CÁLCULO!$AR$15:$BR$15,$A15,0,$B15))+IF(AdmLocal="Automática",SUMIF(OFFSET(CÁLCULO!$M$15,$A15,0,$B15),1,OFFSET(ORÇAMENTO!$X$15,$A15,0,$B15))*PLE!$AE$9,0)),2)</f>
        <v>0</v>
      </c>
      <c r="AJ15" s="183" cm="1">
        <f t="array" aca="1" ref="AJ15" ca="1">IF(ACOMPANHAMENTO&lt;&gt;"BM",0,SUMPRODUCT(OFFSET(BM!$M$15,$A15,0,$B15)*(OFFSET(BM!$A$15,$A15,0,$B15)="S")*OFFSET(ORÇAMENTO!AA$15,$A15,0,$B15)/(OFFSET(ORÇAMENTO!$X$15,$A15,0,$B15)+10^-12)))</f>
        <v>0</v>
      </c>
      <c r="AK15" s="183" cm="1">
        <f t="array" aca="1" ref="AK15" ca="1">IF(ACOMPANHAMENTO&lt;&gt;"BM",0,SUMPRODUCT(OFFSET(BM!$M$15,$A15,0,$B15)*(OFFSET(BM!$A$15,$A15,0,$B15)="S")*OFFSET(ORÇAMENTO!AB$15,$A15,0,$B15)/(OFFSET(ORÇAMENTO!$X$15,$A15,0,$B15)+10^-12)))</f>
        <v>0</v>
      </c>
      <c r="AL15" s="183">
        <f ca="1">IF(ACOMPANHAMENTO&lt;&gt;"BM",0,OFFSET(BM!$M$15,$A15,0))</f>
        <v>0</v>
      </c>
      <c r="AM15" s="183" cm="1">
        <f t="array" aca="1" ref="AM15" ca="1">IF(ACOMPANHAMENTO&lt;&gt;"BM",0,SUMPRODUCT(OFFSET(BM!$O$15,$A15,0,$B15)*(OFFSET(BM!$A$15,$A15,0,$B15)="S")*OFFSET(ORÇAMENTO!AA$15,$A15,0,$B15)/(OFFSET(ORÇAMENTO!$X$15,$A15,0,$B15)+10^-12)))</f>
        <v>0</v>
      </c>
      <c r="AN15" s="183" cm="1">
        <f t="array" aca="1" ref="AN15" ca="1">IF(ACOMPANHAMENTO&lt;&gt;"BM",0,SUMPRODUCT(OFFSET(BM!$O$15,$A15,0,$B15)*(OFFSET(BM!$A$15,$A15,0,$B15)="S")*OFFSET(ORÇAMENTO!AB$15,$A15,0,$B15)/(OFFSET(ORÇAMENTO!$X$15,$A15,0,$B15)+10^-12)))</f>
        <v>0</v>
      </c>
      <c r="AO15" s="183">
        <f ca="1">IF(ACOMPANHAMENTO&lt;&gt;"BM",0,OFFSET(BM!$O$15,$A15,0))</f>
        <v>0</v>
      </c>
    </row>
    <row r="16" spans="1:41" ht="30" customHeight="1" x14ac:dyDescent="0.2">
      <c r="A16">
        <f ca="1">MATCH(E16,ORÇAMENTO!$E$15:$E$244,0)-1</f>
        <v>10</v>
      </c>
      <c r="B16">
        <f ca="1">IF(ISERROR($A16),NA(),OFFSET(ORÇAMENTO!$D$15,$A16,0))</f>
        <v>24</v>
      </c>
      <c r="C16" t="str">
        <f ca="1">QCI!B16</f>
        <v>Automático</v>
      </c>
      <c r="D16" t="str">
        <f t="shared" ca="1" si="0"/>
        <v/>
      </c>
      <c r="E16" s="281">
        <f>QCI!D16</f>
        <v>3</v>
      </c>
      <c r="F16" s="362" t="str">
        <f ca="1">QCI!G16</f>
        <v>FUNDAÇÕES</v>
      </c>
      <c r="G16" s="363" t="str">
        <f>QCI!H16</f>
        <v>Em Análise</v>
      </c>
      <c r="H16" s="282">
        <f>QCI!I16</f>
        <v>20</v>
      </c>
      <c r="I16" s="282" t="str">
        <f ca="1">QCI!J16</f>
        <v>un</v>
      </c>
      <c r="J16" s="364" t="str">
        <f ca="1">QCI!K16</f>
        <v>LOTE 1</v>
      </c>
      <c r="K16" s="365" cm="1">
        <f t="array" aca="1" ref="K16" ca="1">IF($C16="Automático",IF(ACOMPANHAMENTO="BM",BM.medicao,PLE.Medicao),IF(ISBLANK($X16),"",$X16))</f>
        <v>1</v>
      </c>
      <c r="L16" s="286">
        <f ca="1">QCI!$O16</f>
        <v>0</v>
      </c>
      <c r="M16" s="283">
        <f t="shared" ca="1" si="1"/>
        <v>0</v>
      </c>
      <c r="N16" s="284">
        <f t="shared" ca="1" si="2"/>
        <v>0</v>
      </c>
      <c r="O16" s="285">
        <f t="shared" ca="1" si="3"/>
        <v>0</v>
      </c>
      <c r="P16" s="367">
        <f t="shared" ca="1" si="4"/>
        <v>0</v>
      </c>
      <c r="R16" s="366" t="e">
        <f ca="1">ROUND(IF($C16="Automático",AC16+AJ16,$Y16*IF(ISERROR(QCI!$AA16/QCI!$O16),0,QCI!$AA16/QCI!$O16)),2)</f>
        <v>#DIV/0!</v>
      </c>
      <c r="S16" s="366" t="e">
        <f ca="1">ROUND(IF($C16="Automático",AD16+AK16,$Y16*IF(ISERROR(QCI!$AB16/QCI!$O16),0,QCI!$AB16/QCI!$O16)),2)</f>
        <v>#DIV/0!</v>
      </c>
      <c r="T16" s="366" t="e">
        <f ca="1">ROUND(IF($C16="Automático",AF16+AM16,$Z16*IF(ISERROR(QCI!$AA16/QCI!$O16),0,QCI!$AA16/QCI!$O16)),2)</f>
        <v>#DIV/0!</v>
      </c>
      <c r="U16" s="366" t="e">
        <f ca="1">ROUND(IF($C16="Automático",AG16+AN16,$Z16*IF(ISERROR(QCI!$AB16/QCI!$O16),0,QCI!$AB16/QCI!$O16)),2)</f>
        <v>#DIV/0!</v>
      </c>
      <c r="V16" s="449">
        <f ca="1">IF(AND($L16&gt;0,$J16&lt;&gt;0,$J16&lt;&gt;"",COUNTIF($J$13:$J16,$J16)=1),OFFSET(V16,-1,0)+1,OFFSET(V16,-1,0))</f>
        <v>0</v>
      </c>
      <c r="X16" s="513"/>
      <c r="Y16" s="287"/>
      <c r="Z16" s="288"/>
      <c r="AC16" s="183" t="e" cm="1">
        <f t="array" aca="1" ref="AC16" ca="1">IF(ACOMPANHAMENTO&lt;&gt;"PLE",0,SUMPRODUCT((OFFSET(CÁLCULO!$CT$15:$DT$15,$A16,0,$B16)&lt;=(PLE.Medicao-1))*OFFSET(CÁLCULO!$AR$15:$BR$15,$A16,0,$B16)*OFFSET(ORÇAMENTO!$AA$15,$A16,0,$B16)/(OFFSET(ORÇAMENTO!$X$15,$A16,0,$B16)+10^-12))+IF(AUTOEVENTO="Manual",SUMPRODUCT((OFFSET(CÁLCULO!$M$15,$A16,0,$B16)=1)*OFFSET(ORÇAMENTO!$AA$15,$A16,0,$B16)*(PLE!$AE$9-PLE!$Y$9)),0))</f>
        <v>#DIV/0!</v>
      </c>
      <c r="AD16" s="183" t="e" cm="1">
        <f t="array" aca="1" ref="AD16" ca="1">IF(ACOMPANHAMENTO&lt;&gt;"PLE",0,SUMPRODUCT((OFFSET(CÁLCULO!$CT$15:$DT$15,$A16,0,$B16)&lt;=(PLE.Medicao-1))*OFFSET(CÁLCULO!$AR$15:$BR$15,$A16,0,$B16)*OFFSET(ORÇAMENTO!$AB$15,$A16,0,$B16)/(OFFSET(ORÇAMENTO!$X$15,$A16,0,$B16)+10^-12))+IF(AUTOEVENTO="Manual",SUMPRODUCT((OFFSET(CÁLCULO!$M$15,$A16,0,$B16)=1)*OFFSET(ORÇAMENTO!$AB$15,$A16,0,$B16)*(PLE!$AE$9-PLE!$Y$9)),0))</f>
        <v>#DIV/0!</v>
      </c>
      <c r="AE16" s="183">
        <f ca="1">ROUND(
            IF(ACOMPANHAMENTO&lt;&gt;"PLE",0,
                      SUMIF(OFFSET(CÁLCULO!$CT$15:$DT$15,$A16,0,$B16),"&lt;="&amp;(PLE.Medicao-1),OFFSET(CÁLCULO!$AR$15:$BR$15,$A16,0,$B16))
                      +IF(AdmLocal="Automática",
                              SUMIF(OFFSET(CÁLCULO!$M$15,$A16,0,$B16),1,OFFSET(ORÇAMENTO!$X$15,$A16,0,$B16))*(PLE!$AE$9-PLE!$Y$9),
                              0)),
            2)</f>
        <v>0</v>
      </c>
      <c r="AF16" s="183" t="e" cm="1">
        <f t="array" aca="1" ref="AF16" ca="1">IF(ACOMPANHAMENTO&lt;&gt;"PLE",0,SUMPRODUCT((OFFSET(CÁLCULO!$CT$15:$DT$15,$A16,0,$B16)&lt;=PLE.Medicao)*OFFSET(CÁLCULO!$AR$15:$BR$15,$A16,0,$B16)*OFFSET(ORÇAMENTO!$AA$15,$A16,0,$B16)/(OFFSET(ORÇAMENTO!$X$15,$A16,0,$B16)+10^-12))+IF(AUTOEVENTO="Manual",SUMPRODUCT((OFFSET(CÁLCULO!$M$15,$A16,0,$B16)=1)*OFFSET(ORÇAMENTO!$AA$15,$A16,0,$B16)*PLE!$AE$9),0))</f>
        <v>#DIV/0!</v>
      </c>
      <c r="AG16" s="183" t="e" cm="1">
        <f t="array" aca="1" ref="AG16" ca="1">IF(ACOMPANHAMENTO&lt;&gt;"PLE",0,SUMPRODUCT((OFFSET(CÁLCULO!$CT$15:$DT$15,$A16,0,$B16)&lt;=PLE.Medicao)*OFFSET(CÁLCULO!$AR$15:$BR$15,$A16,0,$B16)*OFFSET(ORÇAMENTO!$AB$15,$A16,0,$B16)/(OFFSET(ORÇAMENTO!$X$15,$A16,0,$B16)+10^-12))+IF(AUTOEVENTO="Manual",SUMPRODUCT((OFFSET(CÁLCULO!$M$15,$A16,0,$B16)=1)*OFFSET(ORÇAMENTO!$AB$15,$A16,0,$B16)*PLE!$AE$9),0))</f>
        <v>#DIV/0!</v>
      </c>
      <c r="AH16" s="183">
        <f ca="1">ROUND(IF(ACOMPANHAMENTO&lt;&gt;"PLE",0,SUMIF(OFFSET(CÁLCULO!$CT$15:$DT$15,$A16,0,$B16),"&lt;="&amp;PLE.Medicao,OFFSET(CÁLCULO!$AR$15:$BR$15,$A16,0,$B16))+IF(AdmLocal="Automática",SUMIF(OFFSET(CÁLCULO!$M$15,$A16,0,$B16),1,OFFSET(ORÇAMENTO!$X$15,$A16,0,$B16))*PLE!$AE$9,0)),2)</f>
        <v>0</v>
      </c>
      <c r="AJ16" s="183" cm="1">
        <f t="array" aca="1" ref="AJ16" ca="1">IF(ACOMPANHAMENTO&lt;&gt;"BM",0,SUMPRODUCT(OFFSET(BM!$M$15,$A16,0,$B16)*(OFFSET(BM!$A$15,$A16,0,$B16)="S")*OFFSET(ORÇAMENTO!AA$15,$A16,0,$B16)/(OFFSET(ORÇAMENTO!$X$15,$A16,0,$B16)+10^-12)))</f>
        <v>0</v>
      </c>
      <c r="AK16" s="183" cm="1">
        <f t="array" aca="1" ref="AK16" ca="1">IF(ACOMPANHAMENTO&lt;&gt;"BM",0,SUMPRODUCT(OFFSET(BM!$M$15,$A16,0,$B16)*(OFFSET(BM!$A$15,$A16,0,$B16)="S")*OFFSET(ORÇAMENTO!AB$15,$A16,0,$B16)/(OFFSET(ORÇAMENTO!$X$15,$A16,0,$B16)+10^-12)))</f>
        <v>0</v>
      </c>
      <c r="AL16" s="183">
        <f ca="1">IF(ACOMPANHAMENTO&lt;&gt;"BM",0,OFFSET(BM!$M$15,$A16,0))</f>
        <v>0</v>
      </c>
      <c r="AM16" s="183" cm="1">
        <f t="array" aca="1" ref="AM16" ca="1">IF(ACOMPANHAMENTO&lt;&gt;"BM",0,SUMPRODUCT(OFFSET(BM!$O$15,$A16,0,$B16)*(OFFSET(BM!$A$15,$A16,0,$B16)="S")*OFFSET(ORÇAMENTO!AA$15,$A16,0,$B16)/(OFFSET(ORÇAMENTO!$X$15,$A16,0,$B16)+10^-12)))</f>
        <v>0</v>
      </c>
      <c r="AN16" s="183" cm="1">
        <f t="array" aca="1" ref="AN16" ca="1">IF(ACOMPANHAMENTO&lt;&gt;"BM",0,SUMPRODUCT(OFFSET(BM!$O$15,$A16,0,$B16)*(OFFSET(BM!$A$15,$A16,0,$B16)="S")*OFFSET(ORÇAMENTO!AB$15,$A16,0,$B16)/(OFFSET(ORÇAMENTO!$X$15,$A16,0,$B16)+10^-12)))</f>
        <v>0</v>
      </c>
      <c r="AO16" s="183">
        <f ca="1">IF(ACOMPANHAMENTO&lt;&gt;"BM",0,OFFSET(BM!$O$15,$A16,0))</f>
        <v>0</v>
      </c>
    </row>
    <row r="17" spans="1:41" ht="30" customHeight="1" x14ac:dyDescent="0.2">
      <c r="A17">
        <f ca="1">MATCH(E17,ORÇAMENTO!$E$15:$E$244,0)-1</f>
        <v>34</v>
      </c>
      <c r="B17">
        <f ca="1">IF(ISERROR($A17),NA(),OFFSET(ORÇAMENTO!$D$15,$A17,0))</f>
        <v>12</v>
      </c>
      <c r="C17" t="str">
        <f ca="1">QCI!B17</f>
        <v>Automático</v>
      </c>
      <c r="D17" t="str">
        <f t="shared" ca="1" si="0"/>
        <v/>
      </c>
      <c r="E17" s="281">
        <f>QCI!D17</f>
        <v>4</v>
      </c>
      <c r="F17" s="362" t="str">
        <f ca="1">QCI!G17</f>
        <v>SUPRAESTRUTURA</v>
      </c>
      <c r="G17" s="363" t="str">
        <f>QCI!H17</f>
        <v>Em Análise</v>
      </c>
      <c r="H17" s="282">
        <f>QCI!I17</f>
        <v>20</v>
      </c>
      <c r="I17" s="282" t="str">
        <f ca="1">QCI!J17</f>
        <v>un</v>
      </c>
      <c r="J17" s="364" t="str">
        <f ca="1">QCI!K17</f>
        <v>LOTE 1</v>
      </c>
      <c r="K17" s="365" cm="1">
        <f t="array" aca="1" ref="K17" ca="1">IF($C17="Automático",IF(ACOMPANHAMENTO="BM",BM.medicao,PLE.Medicao),IF(ISBLANK($X17),"",$X17))</f>
        <v>1</v>
      </c>
      <c r="L17" s="286">
        <f ca="1">QCI!$O17</f>
        <v>0</v>
      </c>
      <c r="M17" s="283">
        <f t="shared" ca="1" si="1"/>
        <v>0</v>
      </c>
      <c r="N17" s="284">
        <f t="shared" ca="1" si="2"/>
        <v>0</v>
      </c>
      <c r="O17" s="285">
        <f t="shared" ca="1" si="3"/>
        <v>0</v>
      </c>
      <c r="P17" s="367">
        <f t="shared" ca="1" si="4"/>
        <v>0</v>
      </c>
      <c r="R17" s="366" t="e">
        <f ca="1">ROUND(IF($C17="Automático",AC17+AJ17,$Y17*IF(ISERROR(QCI!$AA17/QCI!$O17),0,QCI!$AA17/QCI!$O17)),2)</f>
        <v>#DIV/0!</v>
      </c>
      <c r="S17" s="366" t="e">
        <f ca="1">ROUND(IF($C17="Automático",AD17+AK17,$Y17*IF(ISERROR(QCI!$AB17/QCI!$O17),0,QCI!$AB17/QCI!$O17)),2)</f>
        <v>#DIV/0!</v>
      </c>
      <c r="T17" s="366" t="e">
        <f ca="1">ROUND(IF($C17="Automático",AF17+AM17,$Z17*IF(ISERROR(QCI!$AA17/QCI!$O17),0,QCI!$AA17/QCI!$O17)),2)</f>
        <v>#DIV/0!</v>
      </c>
      <c r="U17" s="366" t="e">
        <f ca="1">ROUND(IF($C17="Automático",AG17+AN17,$Z17*IF(ISERROR(QCI!$AB17/QCI!$O17),0,QCI!$AB17/QCI!$O17)),2)</f>
        <v>#DIV/0!</v>
      </c>
      <c r="V17" s="449">
        <f ca="1">IF(AND($L17&gt;0,$J17&lt;&gt;0,$J17&lt;&gt;"",COUNTIF($J$13:$J17,$J17)=1),OFFSET(V17,-1,0)+1,OFFSET(V17,-1,0))</f>
        <v>0</v>
      </c>
      <c r="X17" s="513"/>
      <c r="Y17" s="287"/>
      <c r="Z17" s="288"/>
      <c r="AC17" s="183" t="e" cm="1">
        <f t="array" aca="1" ref="AC17" ca="1">IF(ACOMPANHAMENTO&lt;&gt;"PLE",0,SUMPRODUCT((OFFSET(CÁLCULO!$CT$15:$DT$15,$A17,0,$B17)&lt;=(PLE.Medicao-1))*OFFSET(CÁLCULO!$AR$15:$BR$15,$A17,0,$B17)*OFFSET(ORÇAMENTO!$AA$15,$A17,0,$B17)/(OFFSET(ORÇAMENTO!$X$15,$A17,0,$B17)+10^-12))+IF(AUTOEVENTO="Manual",SUMPRODUCT((OFFSET(CÁLCULO!$M$15,$A17,0,$B17)=1)*OFFSET(ORÇAMENTO!$AA$15,$A17,0,$B17)*(PLE!$AE$9-PLE!$Y$9)),0))</f>
        <v>#DIV/0!</v>
      </c>
      <c r="AD17" s="183" t="e" cm="1">
        <f t="array" aca="1" ref="AD17" ca="1">IF(ACOMPANHAMENTO&lt;&gt;"PLE",0,SUMPRODUCT((OFFSET(CÁLCULO!$CT$15:$DT$15,$A17,0,$B17)&lt;=(PLE.Medicao-1))*OFFSET(CÁLCULO!$AR$15:$BR$15,$A17,0,$B17)*OFFSET(ORÇAMENTO!$AB$15,$A17,0,$B17)/(OFFSET(ORÇAMENTO!$X$15,$A17,0,$B17)+10^-12))+IF(AUTOEVENTO="Manual",SUMPRODUCT((OFFSET(CÁLCULO!$M$15,$A17,0,$B17)=1)*OFFSET(ORÇAMENTO!$AB$15,$A17,0,$B17)*(PLE!$AE$9-PLE!$Y$9)),0))</f>
        <v>#DIV/0!</v>
      </c>
      <c r="AE17" s="183">
        <f ca="1">ROUND(
            IF(ACOMPANHAMENTO&lt;&gt;"PLE",0,
                      SUMIF(OFFSET(CÁLCULO!$CT$15:$DT$15,$A17,0,$B17),"&lt;="&amp;(PLE.Medicao-1),OFFSET(CÁLCULO!$AR$15:$BR$15,$A17,0,$B17))
                      +IF(AdmLocal="Automática",
                              SUMIF(OFFSET(CÁLCULO!$M$15,$A17,0,$B17),1,OFFSET(ORÇAMENTO!$X$15,$A17,0,$B17))*(PLE!$AE$9-PLE!$Y$9),
                              0)),
            2)</f>
        <v>0</v>
      </c>
      <c r="AF17" s="183" t="e" cm="1">
        <f t="array" aca="1" ref="AF17" ca="1">IF(ACOMPANHAMENTO&lt;&gt;"PLE",0,SUMPRODUCT((OFFSET(CÁLCULO!$CT$15:$DT$15,$A17,0,$B17)&lt;=PLE.Medicao)*OFFSET(CÁLCULO!$AR$15:$BR$15,$A17,0,$B17)*OFFSET(ORÇAMENTO!$AA$15,$A17,0,$B17)/(OFFSET(ORÇAMENTO!$X$15,$A17,0,$B17)+10^-12))+IF(AUTOEVENTO="Manual",SUMPRODUCT((OFFSET(CÁLCULO!$M$15,$A17,0,$B17)=1)*OFFSET(ORÇAMENTO!$AA$15,$A17,0,$B17)*PLE!$AE$9),0))</f>
        <v>#DIV/0!</v>
      </c>
      <c r="AG17" s="183" t="e" cm="1">
        <f t="array" aca="1" ref="AG17" ca="1">IF(ACOMPANHAMENTO&lt;&gt;"PLE",0,SUMPRODUCT((OFFSET(CÁLCULO!$CT$15:$DT$15,$A17,0,$B17)&lt;=PLE.Medicao)*OFFSET(CÁLCULO!$AR$15:$BR$15,$A17,0,$B17)*OFFSET(ORÇAMENTO!$AB$15,$A17,0,$B17)/(OFFSET(ORÇAMENTO!$X$15,$A17,0,$B17)+10^-12))+IF(AUTOEVENTO="Manual",SUMPRODUCT((OFFSET(CÁLCULO!$M$15,$A17,0,$B17)=1)*OFFSET(ORÇAMENTO!$AB$15,$A17,0,$B17)*PLE!$AE$9),0))</f>
        <v>#DIV/0!</v>
      </c>
      <c r="AH17" s="183">
        <f ca="1">ROUND(IF(ACOMPANHAMENTO&lt;&gt;"PLE",0,SUMIF(OFFSET(CÁLCULO!$CT$15:$DT$15,$A17,0,$B17),"&lt;="&amp;PLE.Medicao,OFFSET(CÁLCULO!$AR$15:$BR$15,$A17,0,$B17))+IF(AdmLocal="Automática",SUMIF(OFFSET(CÁLCULO!$M$15,$A17,0,$B17),1,OFFSET(ORÇAMENTO!$X$15,$A17,0,$B17))*PLE!$AE$9,0)),2)</f>
        <v>0</v>
      </c>
      <c r="AJ17" s="183" cm="1">
        <f t="array" aca="1" ref="AJ17" ca="1">IF(ACOMPANHAMENTO&lt;&gt;"BM",0,SUMPRODUCT(OFFSET(BM!$M$15,$A17,0,$B17)*(OFFSET(BM!$A$15,$A17,0,$B17)="S")*OFFSET(ORÇAMENTO!AA$15,$A17,0,$B17)/(OFFSET(ORÇAMENTO!$X$15,$A17,0,$B17)+10^-12)))</f>
        <v>0</v>
      </c>
      <c r="AK17" s="183" cm="1">
        <f t="array" aca="1" ref="AK17" ca="1">IF(ACOMPANHAMENTO&lt;&gt;"BM",0,SUMPRODUCT(OFFSET(BM!$M$15,$A17,0,$B17)*(OFFSET(BM!$A$15,$A17,0,$B17)="S")*OFFSET(ORÇAMENTO!AB$15,$A17,0,$B17)/(OFFSET(ORÇAMENTO!$X$15,$A17,0,$B17)+10^-12)))</f>
        <v>0</v>
      </c>
      <c r="AL17" s="183">
        <f ca="1">IF(ACOMPANHAMENTO&lt;&gt;"BM",0,OFFSET(BM!$M$15,$A17,0))</f>
        <v>0</v>
      </c>
      <c r="AM17" s="183" cm="1">
        <f t="array" aca="1" ref="AM17" ca="1">IF(ACOMPANHAMENTO&lt;&gt;"BM",0,SUMPRODUCT(OFFSET(BM!$O$15,$A17,0,$B17)*(OFFSET(BM!$A$15,$A17,0,$B17)="S")*OFFSET(ORÇAMENTO!AA$15,$A17,0,$B17)/(OFFSET(ORÇAMENTO!$X$15,$A17,0,$B17)+10^-12)))</f>
        <v>0</v>
      </c>
      <c r="AN17" s="183" cm="1">
        <f t="array" aca="1" ref="AN17" ca="1">IF(ACOMPANHAMENTO&lt;&gt;"BM",0,SUMPRODUCT(OFFSET(BM!$O$15,$A17,0,$B17)*(OFFSET(BM!$A$15,$A17,0,$B17)="S")*OFFSET(ORÇAMENTO!AB$15,$A17,0,$B17)/(OFFSET(ORÇAMENTO!$X$15,$A17,0,$B17)+10^-12)))</f>
        <v>0</v>
      </c>
      <c r="AO17" s="183">
        <f ca="1">IF(ACOMPANHAMENTO&lt;&gt;"BM",0,OFFSET(BM!$O$15,$A17,0))</f>
        <v>0</v>
      </c>
    </row>
    <row r="18" spans="1:41" ht="30" customHeight="1" x14ac:dyDescent="0.2">
      <c r="A18">
        <f ca="1">MATCH(E18,ORÇAMENTO!$E$15:$E$244,0)-1</f>
        <v>46</v>
      </c>
      <c r="B18">
        <f ca="1">IF(ISERROR($A18),NA(),OFFSET(ORÇAMENTO!$D$15,$A18,0))</f>
        <v>14</v>
      </c>
      <c r="C18" t="str">
        <f ca="1">QCI!B18</f>
        <v>Automático</v>
      </c>
      <c r="D18" t="str">
        <f t="shared" ca="1" si="0"/>
        <v/>
      </c>
      <c r="E18" s="281">
        <f>QCI!D18</f>
        <v>5</v>
      </c>
      <c r="F18" s="362" t="str">
        <f ca="1">QCI!G18</f>
        <v>PAREDES E PAINÉIS</v>
      </c>
      <c r="G18" s="363" t="str">
        <f>QCI!H18</f>
        <v>Em Análise</v>
      </c>
      <c r="H18" s="282">
        <f>QCI!I18</f>
        <v>20</v>
      </c>
      <c r="I18" s="282" t="str">
        <f ca="1">QCI!J18</f>
        <v>un</v>
      </c>
      <c r="J18" s="364" t="str">
        <f ca="1">QCI!K18</f>
        <v>LOTE 1</v>
      </c>
      <c r="K18" s="365" cm="1">
        <f t="array" aca="1" ref="K18" ca="1">IF($C18="Automático",IF(ACOMPANHAMENTO="BM",BM.medicao,PLE.Medicao),IF(ISBLANK($X18),"",$X18))</f>
        <v>1</v>
      </c>
      <c r="L18" s="286">
        <f ca="1">QCI!$O18</f>
        <v>0</v>
      </c>
      <c r="M18" s="283">
        <f t="shared" ca="1" si="1"/>
        <v>0</v>
      </c>
      <c r="N18" s="284">
        <f t="shared" ca="1" si="2"/>
        <v>0</v>
      </c>
      <c r="O18" s="285">
        <f t="shared" ca="1" si="3"/>
        <v>0</v>
      </c>
      <c r="P18" s="367">
        <f t="shared" ca="1" si="4"/>
        <v>0</v>
      </c>
      <c r="R18" s="366" t="e">
        <f ca="1">ROUND(IF($C18="Automático",AC18+AJ18,$Y18*IF(ISERROR(QCI!$AA18/QCI!$O18),0,QCI!$AA18/QCI!$O18)),2)</f>
        <v>#DIV/0!</v>
      </c>
      <c r="S18" s="366" t="e">
        <f ca="1">ROUND(IF($C18="Automático",AD18+AK18,$Y18*IF(ISERROR(QCI!$AB18/QCI!$O18),0,QCI!$AB18/QCI!$O18)),2)</f>
        <v>#DIV/0!</v>
      </c>
      <c r="T18" s="366" t="e">
        <f ca="1">ROUND(IF($C18="Automático",AF18+AM18,$Z18*IF(ISERROR(QCI!$AA18/QCI!$O18),0,QCI!$AA18/QCI!$O18)),2)</f>
        <v>#DIV/0!</v>
      </c>
      <c r="U18" s="366" t="e">
        <f ca="1">ROUND(IF($C18="Automático",AG18+AN18,$Z18*IF(ISERROR(QCI!$AB18/QCI!$O18),0,QCI!$AB18/QCI!$O18)),2)</f>
        <v>#DIV/0!</v>
      </c>
      <c r="V18" s="449">
        <f ca="1">IF(AND($L18&gt;0,$J18&lt;&gt;0,$J18&lt;&gt;"",COUNTIF($J$13:$J18,$J18)=1),OFFSET(V18,-1,0)+1,OFFSET(V18,-1,0))</f>
        <v>0</v>
      </c>
      <c r="X18" s="513"/>
      <c r="Y18" s="287"/>
      <c r="Z18" s="288"/>
      <c r="AC18" s="183" t="e" cm="1">
        <f t="array" aca="1" ref="AC18" ca="1">IF(ACOMPANHAMENTO&lt;&gt;"PLE",0,SUMPRODUCT((OFFSET(CÁLCULO!$CT$15:$DT$15,$A18,0,$B18)&lt;=(PLE.Medicao-1))*OFFSET(CÁLCULO!$AR$15:$BR$15,$A18,0,$B18)*OFFSET(ORÇAMENTO!$AA$15,$A18,0,$B18)/(OFFSET(ORÇAMENTO!$X$15,$A18,0,$B18)+10^-12))+IF(AUTOEVENTO="Manual",SUMPRODUCT((OFFSET(CÁLCULO!$M$15,$A18,0,$B18)=1)*OFFSET(ORÇAMENTO!$AA$15,$A18,0,$B18)*(PLE!$AE$9-PLE!$Y$9)),0))</f>
        <v>#DIV/0!</v>
      </c>
      <c r="AD18" s="183" t="e" cm="1">
        <f t="array" aca="1" ref="AD18" ca="1">IF(ACOMPANHAMENTO&lt;&gt;"PLE",0,SUMPRODUCT((OFFSET(CÁLCULO!$CT$15:$DT$15,$A18,0,$B18)&lt;=(PLE.Medicao-1))*OFFSET(CÁLCULO!$AR$15:$BR$15,$A18,0,$B18)*OFFSET(ORÇAMENTO!$AB$15,$A18,0,$B18)/(OFFSET(ORÇAMENTO!$X$15,$A18,0,$B18)+10^-12))+IF(AUTOEVENTO="Manual",SUMPRODUCT((OFFSET(CÁLCULO!$M$15,$A18,0,$B18)=1)*OFFSET(ORÇAMENTO!$AB$15,$A18,0,$B18)*(PLE!$AE$9-PLE!$Y$9)),0))</f>
        <v>#DIV/0!</v>
      </c>
      <c r="AE18" s="183">
        <f ca="1">ROUND(
            IF(ACOMPANHAMENTO&lt;&gt;"PLE",0,
                      SUMIF(OFFSET(CÁLCULO!$CT$15:$DT$15,$A18,0,$B18),"&lt;="&amp;(PLE.Medicao-1),OFFSET(CÁLCULO!$AR$15:$BR$15,$A18,0,$B18))
                      +IF(AdmLocal="Automática",
                              SUMIF(OFFSET(CÁLCULO!$M$15,$A18,0,$B18),1,OFFSET(ORÇAMENTO!$X$15,$A18,0,$B18))*(PLE!$AE$9-PLE!$Y$9),
                              0)),
            2)</f>
        <v>0</v>
      </c>
      <c r="AF18" s="183" t="e" cm="1">
        <f t="array" aca="1" ref="AF18" ca="1">IF(ACOMPANHAMENTO&lt;&gt;"PLE",0,SUMPRODUCT((OFFSET(CÁLCULO!$CT$15:$DT$15,$A18,0,$B18)&lt;=PLE.Medicao)*OFFSET(CÁLCULO!$AR$15:$BR$15,$A18,0,$B18)*OFFSET(ORÇAMENTO!$AA$15,$A18,0,$B18)/(OFFSET(ORÇAMENTO!$X$15,$A18,0,$B18)+10^-12))+IF(AUTOEVENTO="Manual",SUMPRODUCT((OFFSET(CÁLCULO!$M$15,$A18,0,$B18)=1)*OFFSET(ORÇAMENTO!$AA$15,$A18,0,$B18)*PLE!$AE$9),0))</f>
        <v>#DIV/0!</v>
      </c>
      <c r="AG18" s="183" t="e" cm="1">
        <f t="array" aca="1" ref="AG18" ca="1">IF(ACOMPANHAMENTO&lt;&gt;"PLE",0,SUMPRODUCT((OFFSET(CÁLCULO!$CT$15:$DT$15,$A18,0,$B18)&lt;=PLE.Medicao)*OFFSET(CÁLCULO!$AR$15:$BR$15,$A18,0,$B18)*OFFSET(ORÇAMENTO!$AB$15,$A18,0,$B18)/(OFFSET(ORÇAMENTO!$X$15,$A18,0,$B18)+10^-12))+IF(AUTOEVENTO="Manual",SUMPRODUCT((OFFSET(CÁLCULO!$M$15,$A18,0,$B18)=1)*OFFSET(ORÇAMENTO!$AB$15,$A18,0,$B18)*PLE!$AE$9),0))</f>
        <v>#DIV/0!</v>
      </c>
      <c r="AH18" s="183">
        <f ca="1">ROUND(IF(ACOMPANHAMENTO&lt;&gt;"PLE",0,SUMIF(OFFSET(CÁLCULO!$CT$15:$DT$15,$A18,0,$B18),"&lt;="&amp;PLE.Medicao,OFFSET(CÁLCULO!$AR$15:$BR$15,$A18,0,$B18))+IF(AdmLocal="Automática",SUMIF(OFFSET(CÁLCULO!$M$15,$A18,0,$B18),1,OFFSET(ORÇAMENTO!$X$15,$A18,0,$B18))*PLE!$AE$9,0)),2)</f>
        <v>0</v>
      </c>
      <c r="AJ18" s="183" cm="1">
        <f t="array" aca="1" ref="AJ18" ca="1">IF(ACOMPANHAMENTO&lt;&gt;"BM",0,SUMPRODUCT(OFFSET(BM!$M$15,$A18,0,$B18)*(OFFSET(BM!$A$15,$A18,0,$B18)="S")*OFFSET(ORÇAMENTO!AA$15,$A18,0,$B18)/(OFFSET(ORÇAMENTO!$X$15,$A18,0,$B18)+10^-12)))</f>
        <v>0</v>
      </c>
      <c r="AK18" s="183" cm="1">
        <f t="array" aca="1" ref="AK18" ca="1">IF(ACOMPANHAMENTO&lt;&gt;"BM",0,SUMPRODUCT(OFFSET(BM!$M$15,$A18,0,$B18)*(OFFSET(BM!$A$15,$A18,0,$B18)="S")*OFFSET(ORÇAMENTO!AB$15,$A18,0,$B18)/(OFFSET(ORÇAMENTO!$X$15,$A18,0,$B18)+10^-12)))</f>
        <v>0</v>
      </c>
      <c r="AL18" s="183">
        <f ca="1">IF(ACOMPANHAMENTO&lt;&gt;"BM",0,OFFSET(BM!$M$15,$A18,0))</f>
        <v>0</v>
      </c>
      <c r="AM18" s="183" cm="1">
        <f t="array" aca="1" ref="AM18" ca="1">IF(ACOMPANHAMENTO&lt;&gt;"BM",0,SUMPRODUCT(OFFSET(BM!$O$15,$A18,0,$B18)*(OFFSET(BM!$A$15,$A18,0,$B18)="S")*OFFSET(ORÇAMENTO!AA$15,$A18,0,$B18)/(OFFSET(ORÇAMENTO!$X$15,$A18,0,$B18)+10^-12)))</f>
        <v>0</v>
      </c>
      <c r="AN18" s="183" cm="1">
        <f t="array" aca="1" ref="AN18" ca="1">IF(ACOMPANHAMENTO&lt;&gt;"BM",0,SUMPRODUCT(OFFSET(BM!$O$15,$A18,0,$B18)*(OFFSET(BM!$A$15,$A18,0,$B18)="S")*OFFSET(ORÇAMENTO!AB$15,$A18,0,$B18)/(OFFSET(ORÇAMENTO!$X$15,$A18,0,$B18)+10^-12)))</f>
        <v>0</v>
      </c>
      <c r="AO18" s="183">
        <f ca="1">IF(ACOMPANHAMENTO&lt;&gt;"BM",0,OFFSET(BM!$O$15,$A18,0))</f>
        <v>0</v>
      </c>
    </row>
    <row r="19" spans="1:41" ht="30" customHeight="1" x14ac:dyDescent="0.2">
      <c r="A19">
        <f ca="1">MATCH(E19,ORÇAMENTO!$E$15:$E$244,0)-1</f>
        <v>60</v>
      </c>
      <c r="B19">
        <f ca="1">IF(ISERROR($A19),NA(),OFFSET(ORÇAMENTO!$D$15,$A19,0))</f>
        <v>8</v>
      </c>
      <c r="C19" t="str">
        <f ca="1">QCI!B19</f>
        <v>Automático</v>
      </c>
      <c r="D19" t="str">
        <f t="shared" ca="1" si="0"/>
        <v/>
      </c>
      <c r="E19" s="281">
        <f>QCI!D19</f>
        <v>6</v>
      </c>
      <c r="F19" s="362" t="str">
        <f ca="1">QCI!G19</f>
        <v>COBERTURA E PROTEÇÕES</v>
      </c>
      <c r="G19" s="363" t="str">
        <f>QCI!H19</f>
        <v>Em Análise</v>
      </c>
      <c r="H19" s="282">
        <f>QCI!I19</f>
        <v>20</v>
      </c>
      <c r="I19" s="282" t="str">
        <f ca="1">QCI!J19</f>
        <v>un</v>
      </c>
      <c r="J19" s="364" t="str">
        <f ca="1">QCI!K19</f>
        <v>LOTE 1</v>
      </c>
      <c r="K19" s="365" cm="1">
        <f t="array" aca="1" ref="K19" ca="1">IF($C19="Automático",IF(ACOMPANHAMENTO="BM",BM.medicao,PLE.Medicao),IF(ISBLANK($X19),"",$X19))</f>
        <v>1</v>
      </c>
      <c r="L19" s="286">
        <f ca="1">QCI!$O19</f>
        <v>0</v>
      </c>
      <c r="M19" s="283">
        <f t="shared" ca="1" si="1"/>
        <v>0</v>
      </c>
      <c r="N19" s="284">
        <f t="shared" ca="1" si="2"/>
        <v>0</v>
      </c>
      <c r="O19" s="285">
        <f t="shared" ca="1" si="3"/>
        <v>0</v>
      </c>
      <c r="P19" s="367">
        <f t="shared" ca="1" si="4"/>
        <v>0</v>
      </c>
      <c r="R19" s="366" t="e">
        <f ca="1">ROUND(IF($C19="Automático",AC19+AJ19,$Y19*IF(ISERROR(QCI!$AA19/QCI!$O19),0,QCI!$AA19/QCI!$O19)),2)</f>
        <v>#DIV/0!</v>
      </c>
      <c r="S19" s="366" t="e">
        <f ca="1">ROUND(IF($C19="Automático",AD19+AK19,$Y19*IF(ISERROR(QCI!$AB19/QCI!$O19),0,QCI!$AB19/QCI!$O19)),2)</f>
        <v>#DIV/0!</v>
      </c>
      <c r="T19" s="366" t="e">
        <f ca="1">ROUND(IF($C19="Automático",AF19+AM19,$Z19*IF(ISERROR(QCI!$AA19/QCI!$O19),0,QCI!$AA19/QCI!$O19)),2)</f>
        <v>#DIV/0!</v>
      </c>
      <c r="U19" s="366" t="e">
        <f ca="1">ROUND(IF($C19="Automático",AG19+AN19,$Z19*IF(ISERROR(QCI!$AB19/QCI!$O19),0,QCI!$AB19/QCI!$O19)),2)</f>
        <v>#DIV/0!</v>
      </c>
      <c r="V19" s="449">
        <f ca="1">IF(AND($L19&gt;0,$J19&lt;&gt;0,$J19&lt;&gt;"",COUNTIF($J$13:$J19,$J19)=1),OFFSET(V19,-1,0)+1,OFFSET(V19,-1,0))</f>
        <v>0</v>
      </c>
      <c r="X19" s="513"/>
      <c r="Y19" s="287"/>
      <c r="Z19" s="288"/>
      <c r="AC19" s="183" t="e" cm="1">
        <f t="array" aca="1" ref="AC19" ca="1">IF(ACOMPANHAMENTO&lt;&gt;"PLE",0,SUMPRODUCT((OFFSET(CÁLCULO!$CT$15:$DT$15,$A19,0,$B19)&lt;=(PLE.Medicao-1))*OFFSET(CÁLCULO!$AR$15:$BR$15,$A19,0,$B19)*OFFSET(ORÇAMENTO!$AA$15,$A19,0,$B19)/(OFFSET(ORÇAMENTO!$X$15,$A19,0,$B19)+10^-12))+IF(AUTOEVENTO="Manual",SUMPRODUCT((OFFSET(CÁLCULO!$M$15,$A19,0,$B19)=1)*OFFSET(ORÇAMENTO!$AA$15,$A19,0,$B19)*(PLE!$AE$9-PLE!$Y$9)),0))</f>
        <v>#DIV/0!</v>
      </c>
      <c r="AD19" s="183" t="e" cm="1">
        <f t="array" aca="1" ref="AD19" ca="1">IF(ACOMPANHAMENTO&lt;&gt;"PLE",0,SUMPRODUCT((OFFSET(CÁLCULO!$CT$15:$DT$15,$A19,0,$B19)&lt;=(PLE.Medicao-1))*OFFSET(CÁLCULO!$AR$15:$BR$15,$A19,0,$B19)*OFFSET(ORÇAMENTO!$AB$15,$A19,0,$B19)/(OFFSET(ORÇAMENTO!$X$15,$A19,0,$B19)+10^-12))+IF(AUTOEVENTO="Manual",SUMPRODUCT((OFFSET(CÁLCULO!$M$15,$A19,0,$B19)=1)*OFFSET(ORÇAMENTO!$AB$15,$A19,0,$B19)*(PLE!$AE$9-PLE!$Y$9)),0))</f>
        <v>#DIV/0!</v>
      </c>
      <c r="AE19" s="183">
        <f ca="1">ROUND(
            IF(ACOMPANHAMENTO&lt;&gt;"PLE",0,
                      SUMIF(OFFSET(CÁLCULO!$CT$15:$DT$15,$A19,0,$B19),"&lt;="&amp;(PLE.Medicao-1),OFFSET(CÁLCULO!$AR$15:$BR$15,$A19,0,$B19))
                      +IF(AdmLocal="Automática",
                              SUMIF(OFFSET(CÁLCULO!$M$15,$A19,0,$B19),1,OFFSET(ORÇAMENTO!$X$15,$A19,0,$B19))*(PLE!$AE$9-PLE!$Y$9),
                              0)),
            2)</f>
        <v>0</v>
      </c>
      <c r="AF19" s="183" t="e" cm="1">
        <f t="array" aca="1" ref="AF19" ca="1">IF(ACOMPANHAMENTO&lt;&gt;"PLE",0,SUMPRODUCT((OFFSET(CÁLCULO!$CT$15:$DT$15,$A19,0,$B19)&lt;=PLE.Medicao)*OFFSET(CÁLCULO!$AR$15:$BR$15,$A19,0,$B19)*OFFSET(ORÇAMENTO!$AA$15,$A19,0,$B19)/(OFFSET(ORÇAMENTO!$X$15,$A19,0,$B19)+10^-12))+IF(AUTOEVENTO="Manual",SUMPRODUCT((OFFSET(CÁLCULO!$M$15,$A19,0,$B19)=1)*OFFSET(ORÇAMENTO!$AA$15,$A19,0,$B19)*PLE!$AE$9),0))</f>
        <v>#DIV/0!</v>
      </c>
      <c r="AG19" s="183" t="e" cm="1">
        <f t="array" aca="1" ref="AG19" ca="1">IF(ACOMPANHAMENTO&lt;&gt;"PLE",0,SUMPRODUCT((OFFSET(CÁLCULO!$CT$15:$DT$15,$A19,0,$B19)&lt;=PLE.Medicao)*OFFSET(CÁLCULO!$AR$15:$BR$15,$A19,0,$B19)*OFFSET(ORÇAMENTO!$AB$15,$A19,0,$B19)/(OFFSET(ORÇAMENTO!$X$15,$A19,0,$B19)+10^-12))+IF(AUTOEVENTO="Manual",SUMPRODUCT((OFFSET(CÁLCULO!$M$15,$A19,0,$B19)=1)*OFFSET(ORÇAMENTO!$AB$15,$A19,0,$B19)*PLE!$AE$9),0))</f>
        <v>#DIV/0!</v>
      </c>
      <c r="AH19" s="183">
        <f ca="1">ROUND(IF(ACOMPANHAMENTO&lt;&gt;"PLE",0,SUMIF(OFFSET(CÁLCULO!$CT$15:$DT$15,$A19,0,$B19),"&lt;="&amp;PLE.Medicao,OFFSET(CÁLCULO!$AR$15:$BR$15,$A19,0,$B19))+IF(AdmLocal="Automática",SUMIF(OFFSET(CÁLCULO!$M$15,$A19,0,$B19),1,OFFSET(ORÇAMENTO!$X$15,$A19,0,$B19))*PLE!$AE$9,0)),2)</f>
        <v>0</v>
      </c>
      <c r="AJ19" s="183" cm="1">
        <f t="array" aca="1" ref="AJ19" ca="1">IF(ACOMPANHAMENTO&lt;&gt;"BM",0,SUMPRODUCT(OFFSET(BM!$M$15,$A19,0,$B19)*(OFFSET(BM!$A$15,$A19,0,$B19)="S")*OFFSET(ORÇAMENTO!AA$15,$A19,0,$B19)/(OFFSET(ORÇAMENTO!$X$15,$A19,0,$B19)+10^-12)))</f>
        <v>0</v>
      </c>
      <c r="AK19" s="183" cm="1">
        <f t="array" aca="1" ref="AK19" ca="1">IF(ACOMPANHAMENTO&lt;&gt;"BM",0,SUMPRODUCT(OFFSET(BM!$M$15,$A19,0,$B19)*(OFFSET(BM!$A$15,$A19,0,$B19)="S")*OFFSET(ORÇAMENTO!AB$15,$A19,0,$B19)/(OFFSET(ORÇAMENTO!$X$15,$A19,0,$B19)+10^-12)))</f>
        <v>0</v>
      </c>
      <c r="AL19" s="183">
        <f ca="1">IF(ACOMPANHAMENTO&lt;&gt;"BM",0,OFFSET(BM!$M$15,$A19,0))</f>
        <v>0</v>
      </c>
      <c r="AM19" s="183" cm="1">
        <f t="array" aca="1" ref="AM19" ca="1">IF(ACOMPANHAMENTO&lt;&gt;"BM",0,SUMPRODUCT(OFFSET(BM!$O$15,$A19,0,$B19)*(OFFSET(BM!$A$15,$A19,0,$B19)="S")*OFFSET(ORÇAMENTO!AA$15,$A19,0,$B19)/(OFFSET(ORÇAMENTO!$X$15,$A19,0,$B19)+10^-12)))</f>
        <v>0</v>
      </c>
      <c r="AN19" s="183" cm="1">
        <f t="array" aca="1" ref="AN19" ca="1">IF(ACOMPANHAMENTO&lt;&gt;"BM",0,SUMPRODUCT(OFFSET(BM!$O$15,$A19,0,$B19)*(OFFSET(BM!$A$15,$A19,0,$B19)="S")*OFFSET(ORÇAMENTO!AB$15,$A19,0,$B19)/(OFFSET(ORÇAMENTO!$X$15,$A19,0,$B19)+10^-12)))</f>
        <v>0</v>
      </c>
      <c r="AO19" s="183">
        <f ca="1">IF(ACOMPANHAMENTO&lt;&gt;"BM",0,OFFSET(BM!$O$15,$A19,0))</f>
        <v>0</v>
      </c>
    </row>
    <row r="20" spans="1:41" ht="30" customHeight="1" x14ac:dyDescent="0.2">
      <c r="A20">
        <f ca="1">MATCH(E20,ORÇAMENTO!$E$15:$E$244,0)-1</f>
        <v>68</v>
      </c>
      <c r="B20">
        <f ca="1">IF(ISERROR($A20),NA(),OFFSET(ORÇAMENTO!$D$15,$A20,0))</f>
        <v>31</v>
      </c>
      <c r="C20" t="str">
        <f ca="1">QCI!B20</f>
        <v>Automático</v>
      </c>
      <c r="D20" t="str">
        <f t="shared" ca="1" si="0"/>
        <v/>
      </c>
      <c r="E20" s="281">
        <f>QCI!D20</f>
        <v>7</v>
      </c>
      <c r="F20" s="362" t="str">
        <f ca="1">QCI!G20</f>
        <v>REVESTIMENTOS</v>
      </c>
      <c r="G20" s="363" t="str">
        <f>QCI!H20</f>
        <v>Em Análise</v>
      </c>
      <c r="H20" s="282">
        <f>QCI!I20</f>
        <v>20</v>
      </c>
      <c r="I20" s="282" t="str">
        <f ca="1">QCI!J20</f>
        <v>un</v>
      </c>
      <c r="J20" s="364" t="str">
        <f ca="1">QCI!K20</f>
        <v>LOTE 1</v>
      </c>
      <c r="K20" s="365" cm="1">
        <f t="array" aca="1" ref="K20" ca="1">IF($C20="Automático",IF(ACOMPANHAMENTO="BM",BM.medicao,PLE.Medicao),IF(ISBLANK($X20),"",$X20))</f>
        <v>1</v>
      </c>
      <c r="L20" s="286">
        <f ca="1">QCI!$O20</f>
        <v>0</v>
      </c>
      <c r="M20" s="283">
        <f t="shared" ca="1" si="1"/>
        <v>0</v>
      </c>
      <c r="N20" s="284">
        <f t="shared" ca="1" si="2"/>
        <v>0</v>
      </c>
      <c r="O20" s="285">
        <f t="shared" ca="1" si="3"/>
        <v>0</v>
      </c>
      <c r="P20" s="367">
        <f t="shared" ca="1" si="4"/>
        <v>0</v>
      </c>
      <c r="R20" s="366" t="e">
        <f ca="1">ROUND(IF($C20="Automático",AC20+AJ20,$Y20*IF(ISERROR(QCI!$AA20/QCI!$O20),0,QCI!$AA20/QCI!$O20)),2)</f>
        <v>#DIV/0!</v>
      </c>
      <c r="S20" s="366" t="e">
        <f ca="1">ROUND(IF($C20="Automático",AD20+AK20,$Y20*IF(ISERROR(QCI!$AB20/QCI!$O20),0,QCI!$AB20/QCI!$O20)),2)</f>
        <v>#DIV/0!</v>
      </c>
      <c r="T20" s="366" t="e">
        <f ca="1">ROUND(IF($C20="Automático",AF20+AM20,$Z20*IF(ISERROR(QCI!$AA20/QCI!$O20),0,QCI!$AA20/QCI!$O20)),2)</f>
        <v>#DIV/0!</v>
      </c>
      <c r="U20" s="366" t="e">
        <f ca="1">ROUND(IF($C20="Automático",AG20+AN20,$Z20*IF(ISERROR(QCI!$AB20/QCI!$O20),0,QCI!$AB20/QCI!$O20)),2)</f>
        <v>#DIV/0!</v>
      </c>
      <c r="V20" s="449">
        <f ca="1">IF(AND($L20&gt;0,$J20&lt;&gt;0,$J20&lt;&gt;"",COUNTIF($J$13:$J20,$J20)=1),OFFSET(V20,-1,0)+1,OFFSET(V20,-1,0))</f>
        <v>0</v>
      </c>
      <c r="X20" s="513"/>
      <c r="Y20" s="287"/>
      <c r="Z20" s="288"/>
      <c r="AC20" s="183" t="e" cm="1">
        <f t="array" aca="1" ref="AC20" ca="1">IF(ACOMPANHAMENTO&lt;&gt;"PLE",0,SUMPRODUCT((OFFSET(CÁLCULO!$CT$15:$DT$15,$A20,0,$B20)&lt;=(PLE.Medicao-1))*OFFSET(CÁLCULO!$AR$15:$BR$15,$A20,0,$B20)*OFFSET(ORÇAMENTO!$AA$15,$A20,0,$B20)/(OFFSET(ORÇAMENTO!$X$15,$A20,0,$B20)+10^-12))+IF(AUTOEVENTO="Manual",SUMPRODUCT((OFFSET(CÁLCULO!$M$15,$A20,0,$B20)=1)*OFFSET(ORÇAMENTO!$AA$15,$A20,0,$B20)*(PLE!$AE$9-PLE!$Y$9)),0))</f>
        <v>#DIV/0!</v>
      </c>
      <c r="AD20" s="183" t="e" cm="1">
        <f t="array" aca="1" ref="AD20" ca="1">IF(ACOMPANHAMENTO&lt;&gt;"PLE",0,SUMPRODUCT((OFFSET(CÁLCULO!$CT$15:$DT$15,$A20,0,$B20)&lt;=(PLE.Medicao-1))*OFFSET(CÁLCULO!$AR$15:$BR$15,$A20,0,$B20)*OFFSET(ORÇAMENTO!$AB$15,$A20,0,$B20)/(OFFSET(ORÇAMENTO!$X$15,$A20,0,$B20)+10^-12))+IF(AUTOEVENTO="Manual",SUMPRODUCT((OFFSET(CÁLCULO!$M$15,$A20,0,$B20)=1)*OFFSET(ORÇAMENTO!$AB$15,$A20,0,$B20)*(PLE!$AE$9-PLE!$Y$9)),0))</f>
        <v>#DIV/0!</v>
      </c>
      <c r="AE20" s="183">
        <f ca="1">ROUND(
            IF(ACOMPANHAMENTO&lt;&gt;"PLE",0,
                      SUMIF(OFFSET(CÁLCULO!$CT$15:$DT$15,$A20,0,$B20),"&lt;="&amp;(PLE.Medicao-1),OFFSET(CÁLCULO!$AR$15:$BR$15,$A20,0,$B20))
                      +IF(AdmLocal="Automática",
                              SUMIF(OFFSET(CÁLCULO!$M$15,$A20,0,$B20),1,OFFSET(ORÇAMENTO!$X$15,$A20,0,$B20))*(PLE!$AE$9-PLE!$Y$9),
                              0)),
            2)</f>
        <v>0</v>
      </c>
      <c r="AF20" s="183" t="e" cm="1">
        <f t="array" aca="1" ref="AF20" ca="1">IF(ACOMPANHAMENTO&lt;&gt;"PLE",0,SUMPRODUCT((OFFSET(CÁLCULO!$CT$15:$DT$15,$A20,0,$B20)&lt;=PLE.Medicao)*OFFSET(CÁLCULO!$AR$15:$BR$15,$A20,0,$B20)*OFFSET(ORÇAMENTO!$AA$15,$A20,0,$B20)/(OFFSET(ORÇAMENTO!$X$15,$A20,0,$B20)+10^-12))+IF(AUTOEVENTO="Manual",SUMPRODUCT((OFFSET(CÁLCULO!$M$15,$A20,0,$B20)=1)*OFFSET(ORÇAMENTO!$AA$15,$A20,0,$B20)*PLE!$AE$9),0))</f>
        <v>#DIV/0!</v>
      </c>
      <c r="AG20" s="183" t="e" cm="1">
        <f t="array" aca="1" ref="AG20" ca="1">IF(ACOMPANHAMENTO&lt;&gt;"PLE",0,SUMPRODUCT((OFFSET(CÁLCULO!$CT$15:$DT$15,$A20,0,$B20)&lt;=PLE.Medicao)*OFFSET(CÁLCULO!$AR$15:$BR$15,$A20,0,$B20)*OFFSET(ORÇAMENTO!$AB$15,$A20,0,$B20)/(OFFSET(ORÇAMENTO!$X$15,$A20,0,$B20)+10^-12))+IF(AUTOEVENTO="Manual",SUMPRODUCT((OFFSET(CÁLCULO!$M$15,$A20,0,$B20)=1)*OFFSET(ORÇAMENTO!$AB$15,$A20,0,$B20)*PLE!$AE$9),0))</f>
        <v>#DIV/0!</v>
      </c>
      <c r="AH20" s="183">
        <f ca="1">ROUND(IF(ACOMPANHAMENTO&lt;&gt;"PLE",0,SUMIF(OFFSET(CÁLCULO!$CT$15:$DT$15,$A20,0,$B20),"&lt;="&amp;PLE.Medicao,OFFSET(CÁLCULO!$AR$15:$BR$15,$A20,0,$B20))+IF(AdmLocal="Automática",SUMIF(OFFSET(CÁLCULO!$M$15,$A20,0,$B20),1,OFFSET(ORÇAMENTO!$X$15,$A20,0,$B20))*PLE!$AE$9,0)),2)</f>
        <v>0</v>
      </c>
      <c r="AJ20" s="183" cm="1">
        <f t="array" aca="1" ref="AJ20" ca="1">IF(ACOMPANHAMENTO&lt;&gt;"BM",0,SUMPRODUCT(OFFSET(BM!$M$15,$A20,0,$B20)*(OFFSET(BM!$A$15,$A20,0,$B20)="S")*OFFSET(ORÇAMENTO!AA$15,$A20,0,$B20)/(OFFSET(ORÇAMENTO!$X$15,$A20,0,$B20)+10^-12)))</f>
        <v>0</v>
      </c>
      <c r="AK20" s="183" cm="1">
        <f t="array" aca="1" ref="AK20" ca="1">IF(ACOMPANHAMENTO&lt;&gt;"BM",0,SUMPRODUCT(OFFSET(BM!$M$15,$A20,0,$B20)*(OFFSET(BM!$A$15,$A20,0,$B20)="S")*OFFSET(ORÇAMENTO!AB$15,$A20,0,$B20)/(OFFSET(ORÇAMENTO!$X$15,$A20,0,$B20)+10^-12)))</f>
        <v>0</v>
      </c>
      <c r="AL20" s="183">
        <f ca="1">IF(ACOMPANHAMENTO&lt;&gt;"BM",0,OFFSET(BM!$M$15,$A20,0))</f>
        <v>0</v>
      </c>
      <c r="AM20" s="183" cm="1">
        <f t="array" aca="1" ref="AM20" ca="1">IF(ACOMPANHAMENTO&lt;&gt;"BM",0,SUMPRODUCT(OFFSET(BM!$O$15,$A20,0,$B20)*(OFFSET(BM!$A$15,$A20,0,$B20)="S")*OFFSET(ORÇAMENTO!AA$15,$A20,0,$B20)/(OFFSET(ORÇAMENTO!$X$15,$A20,0,$B20)+10^-12)))</f>
        <v>0</v>
      </c>
      <c r="AN20" s="183" cm="1">
        <f t="array" aca="1" ref="AN20" ca="1">IF(ACOMPANHAMENTO&lt;&gt;"BM",0,SUMPRODUCT(OFFSET(BM!$O$15,$A20,0,$B20)*(OFFSET(BM!$A$15,$A20,0,$B20)="S")*OFFSET(ORÇAMENTO!AB$15,$A20,0,$B20)/(OFFSET(ORÇAMENTO!$X$15,$A20,0,$B20)+10^-12)))</f>
        <v>0</v>
      </c>
      <c r="AO20" s="183">
        <f ca="1">IF(ACOMPANHAMENTO&lt;&gt;"BM",0,OFFSET(BM!$O$15,$A20,0))</f>
        <v>0</v>
      </c>
    </row>
    <row r="21" spans="1:41" ht="30" customHeight="1" x14ac:dyDescent="0.2">
      <c r="A21">
        <f ca="1">MATCH(E21,ORÇAMENTO!$E$15:$E$244,0)-1</f>
        <v>99</v>
      </c>
      <c r="B21">
        <f ca="1">IF(ISERROR($A21),NA(),OFFSET(ORÇAMENTO!$D$15,$A21,0))</f>
        <v>18</v>
      </c>
      <c r="C21" t="str">
        <f ca="1">QCI!B21</f>
        <v>Automático</v>
      </c>
      <c r="D21" t="str">
        <f t="shared" ca="1" si="0"/>
        <v/>
      </c>
      <c r="E21" s="281">
        <f>QCI!D21</f>
        <v>8</v>
      </c>
      <c r="F21" s="362" t="str">
        <f ca="1">QCI!G21</f>
        <v>PAVIMENTAÇÕES</v>
      </c>
      <c r="G21" s="363" t="str">
        <f>QCI!H21</f>
        <v>Em Análise</v>
      </c>
      <c r="H21" s="282">
        <f>QCI!I21</f>
        <v>20</v>
      </c>
      <c r="I21" s="282" t="str">
        <f ca="1">QCI!J21</f>
        <v>un</v>
      </c>
      <c r="J21" s="364" t="str">
        <f ca="1">QCI!K21</f>
        <v>LOTE 1</v>
      </c>
      <c r="K21" s="365" cm="1">
        <f t="array" aca="1" ref="K21" ca="1">IF($C21="Automático",IF(ACOMPANHAMENTO="BM",BM.medicao,PLE.Medicao),IF(ISBLANK($X21),"",$X21))</f>
        <v>1</v>
      </c>
      <c r="L21" s="286">
        <f ca="1">QCI!$O21</f>
        <v>0</v>
      </c>
      <c r="M21" s="283">
        <f t="shared" ca="1" si="1"/>
        <v>0</v>
      </c>
      <c r="N21" s="284">
        <f t="shared" ca="1" si="2"/>
        <v>0</v>
      </c>
      <c r="O21" s="285">
        <f t="shared" ca="1" si="3"/>
        <v>0</v>
      </c>
      <c r="P21" s="367">
        <f t="shared" ca="1" si="4"/>
        <v>0</v>
      </c>
      <c r="R21" s="366" t="e">
        <f ca="1">ROUND(IF($C21="Automático",AC21+AJ21,$Y21*IF(ISERROR(QCI!$AA21/QCI!$O21),0,QCI!$AA21/QCI!$O21)),2)</f>
        <v>#DIV/0!</v>
      </c>
      <c r="S21" s="366" t="e">
        <f ca="1">ROUND(IF($C21="Automático",AD21+AK21,$Y21*IF(ISERROR(QCI!$AB21/QCI!$O21),0,QCI!$AB21/QCI!$O21)),2)</f>
        <v>#DIV/0!</v>
      </c>
      <c r="T21" s="366" t="e">
        <f ca="1">ROUND(IF($C21="Automático",AF21+AM21,$Z21*IF(ISERROR(QCI!$AA21/QCI!$O21),0,QCI!$AA21/QCI!$O21)),2)</f>
        <v>#DIV/0!</v>
      </c>
      <c r="U21" s="366" t="e">
        <f ca="1">ROUND(IF($C21="Automático",AG21+AN21,$Z21*IF(ISERROR(QCI!$AB21/QCI!$O21),0,QCI!$AB21/QCI!$O21)),2)</f>
        <v>#DIV/0!</v>
      </c>
      <c r="V21" s="449">
        <f ca="1">IF(AND($L21&gt;0,$J21&lt;&gt;0,$J21&lt;&gt;"",COUNTIF($J$13:$J21,$J21)=1),OFFSET(V21,-1,0)+1,OFFSET(V21,-1,0))</f>
        <v>0</v>
      </c>
      <c r="X21" s="513"/>
      <c r="Y21" s="287"/>
      <c r="Z21" s="288"/>
      <c r="AC21" s="183" t="e" cm="1">
        <f t="array" aca="1" ref="AC21" ca="1">IF(ACOMPANHAMENTO&lt;&gt;"PLE",0,SUMPRODUCT((OFFSET(CÁLCULO!$CT$15:$DT$15,$A21,0,$B21)&lt;=(PLE.Medicao-1))*OFFSET(CÁLCULO!$AR$15:$BR$15,$A21,0,$B21)*OFFSET(ORÇAMENTO!$AA$15,$A21,0,$B21)/(OFFSET(ORÇAMENTO!$X$15,$A21,0,$B21)+10^-12))+IF(AUTOEVENTO="Manual",SUMPRODUCT((OFFSET(CÁLCULO!$M$15,$A21,0,$B21)=1)*OFFSET(ORÇAMENTO!$AA$15,$A21,0,$B21)*(PLE!$AE$9-PLE!$Y$9)),0))</f>
        <v>#DIV/0!</v>
      </c>
      <c r="AD21" s="183" t="e" cm="1">
        <f t="array" aca="1" ref="AD21" ca="1">IF(ACOMPANHAMENTO&lt;&gt;"PLE",0,SUMPRODUCT((OFFSET(CÁLCULO!$CT$15:$DT$15,$A21,0,$B21)&lt;=(PLE.Medicao-1))*OFFSET(CÁLCULO!$AR$15:$BR$15,$A21,0,$B21)*OFFSET(ORÇAMENTO!$AB$15,$A21,0,$B21)/(OFFSET(ORÇAMENTO!$X$15,$A21,0,$B21)+10^-12))+IF(AUTOEVENTO="Manual",SUMPRODUCT((OFFSET(CÁLCULO!$M$15,$A21,0,$B21)=1)*OFFSET(ORÇAMENTO!$AB$15,$A21,0,$B21)*(PLE!$AE$9-PLE!$Y$9)),0))</f>
        <v>#DIV/0!</v>
      </c>
      <c r="AE21" s="183">
        <f ca="1">ROUND(
            IF(ACOMPANHAMENTO&lt;&gt;"PLE",0,
                      SUMIF(OFFSET(CÁLCULO!$CT$15:$DT$15,$A21,0,$B21),"&lt;="&amp;(PLE.Medicao-1),OFFSET(CÁLCULO!$AR$15:$BR$15,$A21,0,$B21))
                      +IF(AdmLocal="Automática",
                              SUMIF(OFFSET(CÁLCULO!$M$15,$A21,0,$B21),1,OFFSET(ORÇAMENTO!$X$15,$A21,0,$B21))*(PLE!$AE$9-PLE!$Y$9),
                              0)),
            2)</f>
        <v>0</v>
      </c>
      <c r="AF21" s="183" t="e" cm="1">
        <f t="array" aca="1" ref="AF21" ca="1">IF(ACOMPANHAMENTO&lt;&gt;"PLE",0,SUMPRODUCT((OFFSET(CÁLCULO!$CT$15:$DT$15,$A21,0,$B21)&lt;=PLE.Medicao)*OFFSET(CÁLCULO!$AR$15:$BR$15,$A21,0,$B21)*OFFSET(ORÇAMENTO!$AA$15,$A21,0,$B21)/(OFFSET(ORÇAMENTO!$X$15,$A21,0,$B21)+10^-12))+IF(AUTOEVENTO="Manual",SUMPRODUCT((OFFSET(CÁLCULO!$M$15,$A21,0,$B21)=1)*OFFSET(ORÇAMENTO!$AA$15,$A21,0,$B21)*PLE!$AE$9),0))</f>
        <v>#DIV/0!</v>
      </c>
      <c r="AG21" s="183" t="e" cm="1">
        <f t="array" aca="1" ref="AG21" ca="1">IF(ACOMPANHAMENTO&lt;&gt;"PLE",0,SUMPRODUCT((OFFSET(CÁLCULO!$CT$15:$DT$15,$A21,0,$B21)&lt;=PLE.Medicao)*OFFSET(CÁLCULO!$AR$15:$BR$15,$A21,0,$B21)*OFFSET(ORÇAMENTO!$AB$15,$A21,0,$B21)/(OFFSET(ORÇAMENTO!$X$15,$A21,0,$B21)+10^-12))+IF(AUTOEVENTO="Manual",SUMPRODUCT((OFFSET(CÁLCULO!$M$15,$A21,0,$B21)=1)*OFFSET(ORÇAMENTO!$AB$15,$A21,0,$B21)*PLE!$AE$9),0))</f>
        <v>#DIV/0!</v>
      </c>
      <c r="AH21" s="183">
        <f ca="1">ROUND(IF(ACOMPANHAMENTO&lt;&gt;"PLE",0,SUMIF(OFFSET(CÁLCULO!$CT$15:$DT$15,$A21,0,$B21),"&lt;="&amp;PLE.Medicao,OFFSET(CÁLCULO!$AR$15:$BR$15,$A21,0,$B21))+IF(AdmLocal="Automática",SUMIF(OFFSET(CÁLCULO!$M$15,$A21,0,$B21),1,OFFSET(ORÇAMENTO!$X$15,$A21,0,$B21))*PLE!$AE$9,0)),2)</f>
        <v>0</v>
      </c>
      <c r="AJ21" s="183" cm="1">
        <f t="array" aca="1" ref="AJ21" ca="1">IF(ACOMPANHAMENTO&lt;&gt;"BM",0,SUMPRODUCT(OFFSET(BM!$M$15,$A21,0,$B21)*(OFFSET(BM!$A$15,$A21,0,$B21)="S")*OFFSET(ORÇAMENTO!AA$15,$A21,0,$B21)/(OFFSET(ORÇAMENTO!$X$15,$A21,0,$B21)+10^-12)))</f>
        <v>0</v>
      </c>
      <c r="AK21" s="183" cm="1">
        <f t="array" aca="1" ref="AK21" ca="1">IF(ACOMPANHAMENTO&lt;&gt;"BM",0,SUMPRODUCT(OFFSET(BM!$M$15,$A21,0,$B21)*(OFFSET(BM!$A$15,$A21,0,$B21)="S")*OFFSET(ORÇAMENTO!AB$15,$A21,0,$B21)/(OFFSET(ORÇAMENTO!$X$15,$A21,0,$B21)+10^-12)))</f>
        <v>0</v>
      </c>
      <c r="AL21" s="183">
        <f ca="1">IF(ACOMPANHAMENTO&lt;&gt;"BM",0,OFFSET(BM!$M$15,$A21,0))</f>
        <v>0</v>
      </c>
      <c r="AM21" s="183" cm="1">
        <f t="array" aca="1" ref="AM21" ca="1">IF(ACOMPANHAMENTO&lt;&gt;"BM",0,SUMPRODUCT(OFFSET(BM!$O$15,$A21,0,$B21)*(OFFSET(BM!$A$15,$A21,0,$B21)="S")*OFFSET(ORÇAMENTO!AA$15,$A21,0,$B21)/(OFFSET(ORÇAMENTO!$X$15,$A21,0,$B21)+10^-12)))</f>
        <v>0</v>
      </c>
      <c r="AN21" s="183" cm="1">
        <f t="array" aca="1" ref="AN21" ca="1">IF(ACOMPANHAMENTO&lt;&gt;"BM",0,SUMPRODUCT(OFFSET(BM!$O$15,$A21,0,$B21)*(OFFSET(BM!$A$15,$A21,0,$B21)="S")*OFFSET(ORÇAMENTO!AB$15,$A21,0,$B21)/(OFFSET(ORÇAMENTO!$X$15,$A21,0,$B21)+10^-12)))</f>
        <v>0</v>
      </c>
      <c r="AO21" s="183">
        <f ca="1">IF(ACOMPANHAMENTO&lt;&gt;"BM",0,OFFSET(BM!$O$15,$A21,0))</f>
        <v>0</v>
      </c>
    </row>
    <row r="22" spans="1:41" ht="30" customHeight="1" x14ac:dyDescent="0.2">
      <c r="A22">
        <f ca="1">MATCH(E22,ORÇAMENTO!$E$15:$E$244,0)-1</f>
        <v>117</v>
      </c>
      <c r="B22">
        <f ca="1">IF(ISERROR($A22),NA(),OFFSET(ORÇAMENTO!$D$15,$A22,0))</f>
        <v>101</v>
      </c>
      <c r="C22" t="str">
        <f ca="1">QCI!B22</f>
        <v>Automático</v>
      </c>
      <c r="D22" t="str">
        <f t="shared" ca="1" si="0"/>
        <v/>
      </c>
      <c r="E22" s="281">
        <f>QCI!D22</f>
        <v>9</v>
      </c>
      <c r="F22" s="362" t="str">
        <f ca="1">QCI!G22</f>
        <v>INSTALAÇÕES</v>
      </c>
      <c r="G22" s="363" t="str">
        <f>QCI!H22</f>
        <v>Em Análise</v>
      </c>
      <c r="H22" s="282">
        <f>QCI!I22</f>
        <v>20</v>
      </c>
      <c r="I22" s="282" t="str">
        <f ca="1">QCI!J22</f>
        <v>un</v>
      </c>
      <c r="J22" s="364" t="str">
        <f ca="1">QCI!K22</f>
        <v>LOTE 1</v>
      </c>
      <c r="K22" s="365" cm="1">
        <f t="array" aca="1" ref="K22" ca="1">IF($C22="Automático",IF(ACOMPANHAMENTO="BM",BM.medicao,PLE.Medicao),IF(ISBLANK($X22),"",$X22))</f>
        <v>1</v>
      </c>
      <c r="L22" s="286">
        <f ca="1">QCI!$O22</f>
        <v>0</v>
      </c>
      <c r="M22" s="283">
        <f t="shared" ca="1" si="1"/>
        <v>0</v>
      </c>
      <c r="N22" s="284">
        <f t="shared" ca="1" si="2"/>
        <v>0</v>
      </c>
      <c r="O22" s="285">
        <f t="shared" ca="1" si="3"/>
        <v>0</v>
      </c>
      <c r="P22" s="367">
        <f t="shared" ca="1" si="4"/>
        <v>0</v>
      </c>
      <c r="R22" s="366" t="e">
        <f ca="1">ROUND(IF($C22="Automático",AC22+AJ22,$Y22*IF(ISERROR(QCI!$AA22/QCI!$O22),0,QCI!$AA22/QCI!$O22)),2)</f>
        <v>#DIV/0!</v>
      </c>
      <c r="S22" s="366" t="e">
        <f ca="1">ROUND(IF($C22="Automático",AD22+AK22,$Y22*IF(ISERROR(QCI!$AB22/QCI!$O22),0,QCI!$AB22/QCI!$O22)),2)</f>
        <v>#DIV/0!</v>
      </c>
      <c r="T22" s="366" t="e">
        <f ca="1">ROUND(IF($C22="Automático",AF22+AM22,$Z22*IF(ISERROR(QCI!$AA22/QCI!$O22),0,QCI!$AA22/QCI!$O22)),2)</f>
        <v>#DIV/0!</v>
      </c>
      <c r="U22" s="366" t="e">
        <f ca="1">ROUND(IF($C22="Automático",AG22+AN22,$Z22*IF(ISERROR(QCI!$AB22/QCI!$O22),0,QCI!$AB22/QCI!$O22)),2)</f>
        <v>#DIV/0!</v>
      </c>
      <c r="V22" s="449">
        <f ca="1">IF(AND($L22&gt;0,$J22&lt;&gt;0,$J22&lt;&gt;"",COUNTIF($J$13:$J22,$J22)=1),OFFSET(V22,-1,0)+1,OFFSET(V22,-1,0))</f>
        <v>0</v>
      </c>
      <c r="X22" s="513"/>
      <c r="Y22" s="287"/>
      <c r="Z22" s="288"/>
      <c r="AC22" s="183" t="e" cm="1">
        <f t="array" aca="1" ref="AC22" ca="1">IF(ACOMPANHAMENTO&lt;&gt;"PLE",0,SUMPRODUCT((OFFSET(CÁLCULO!$CT$15:$DT$15,$A22,0,$B22)&lt;=(PLE.Medicao-1))*OFFSET(CÁLCULO!$AR$15:$BR$15,$A22,0,$B22)*OFFSET(ORÇAMENTO!$AA$15,$A22,0,$B22)/(OFFSET(ORÇAMENTO!$X$15,$A22,0,$B22)+10^-12))+IF(AUTOEVENTO="Manual",SUMPRODUCT((OFFSET(CÁLCULO!$M$15,$A22,0,$B22)=1)*OFFSET(ORÇAMENTO!$AA$15,$A22,0,$B22)*(PLE!$AE$9-PLE!$Y$9)),0))</f>
        <v>#DIV/0!</v>
      </c>
      <c r="AD22" s="183" t="e" cm="1">
        <f t="array" aca="1" ref="AD22" ca="1">IF(ACOMPANHAMENTO&lt;&gt;"PLE",0,SUMPRODUCT((OFFSET(CÁLCULO!$CT$15:$DT$15,$A22,0,$B22)&lt;=(PLE.Medicao-1))*OFFSET(CÁLCULO!$AR$15:$BR$15,$A22,0,$B22)*OFFSET(ORÇAMENTO!$AB$15,$A22,0,$B22)/(OFFSET(ORÇAMENTO!$X$15,$A22,0,$B22)+10^-12))+IF(AUTOEVENTO="Manual",SUMPRODUCT((OFFSET(CÁLCULO!$M$15,$A22,0,$B22)=1)*OFFSET(ORÇAMENTO!$AB$15,$A22,0,$B22)*(PLE!$AE$9-PLE!$Y$9)),0))</f>
        <v>#DIV/0!</v>
      </c>
      <c r="AE22" s="183">
        <f ca="1">ROUND(
            IF(ACOMPANHAMENTO&lt;&gt;"PLE",0,
                      SUMIF(OFFSET(CÁLCULO!$CT$15:$DT$15,$A22,0,$B22),"&lt;="&amp;(PLE.Medicao-1),OFFSET(CÁLCULO!$AR$15:$BR$15,$A22,0,$B22))
                      +IF(AdmLocal="Automática",
                              SUMIF(OFFSET(CÁLCULO!$M$15,$A22,0,$B22),1,OFFSET(ORÇAMENTO!$X$15,$A22,0,$B22))*(PLE!$AE$9-PLE!$Y$9),
                              0)),
            2)</f>
        <v>0</v>
      </c>
      <c r="AF22" s="183" t="e" cm="1">
        <f t="array" aca="1" ref="AF22" ca="1">IF(ACOMPANHAMENTO&lt;&gt;"PLE",0,SUMPRODUCT((OFFSET(CÁLCULO!$CT$15:$DT$15,$A22,0,$B22)&lt;=PLE.Medicao)*OFFSET(CÁLCULO!$AR$15:$BR$15,$A22,0,$B22)*OFFSET(ORÇAMENTO!$AA$15,$A22,0,$B22)/(OFFSET(ORÇAMENTO!$X$15,$A22,0,$B22)+10^-12))+IF(AUTOEVENTO="Manual",SUMPRODUCT((OFFSET(CÁLCULO!$M$15,$A22,0,$B22)=1)*OFFSET(ORÇAMENTO!$AA$15,$A22,0,$B22)*PLE!$AE$9),0))</f>
        <v>#DIV/0!</v>
      </c>
      <c r="AG22" s="183" t="e" cm="1">
        <f t="array" aca="1" ref="AG22" ca="1">IF(ACOMPANHAMENTO&lt;&gt;"PLE",0,SUMPRODUCT((OFFSET(CÁLCULO!$CT$15:$DT$15,$A22,0,$B22)&lt;=PLE.Medicao)*OFFSET(CÁLCULO!$AR$15:$BR$15,$A22,0,$B22)*OFFSET(ORÇAMENTO!$AB$15,$A22,0,$B22)/(OFFSET(ORÇAMENTO!$X$15,$A22,0,$B22)+10^-12))+IF(AUTOEVENTO="Manual",SUMPRODUCT((OFFSET(CÁLCULO!$M$15,$A22,0,$B22)=1)*OFFSET(ORÇAMENTO!$AB$15,$A22,0,$B22)*PLE!$AE$9),0))</f>
        <v>#DIV/0!</v>
      </c>
      <c r="AH22" s="183">
        <f ca="1">ROUND(IF(ACOMPANHAMENTO&lt;&gt;"PLE",0,SUMIF(OFFSET(CÁLCULO!$CT$15:$DT$15,$A22,0,$B22),"&lt;="&amp;PLE.Medicao,OFFSET(CÁLCULO!$AR$15:$BR$15,$A22,0,$B22))+IF(AdmLocal="Automática",SUMIF(OFFSET(CÁLCULO!$M$15,$A22,0,$B22),1,OFFSET(ORÇAMENTO!$X$15,$A22,0,$B22))*PLE!$AE$9,0)),2)</f>
        <v>0</v>
      </c>
      <c r="AJ22" s="183" cm="1">
        <f t="array" aca="1" ref="AJ22" ca="1">IF(ACOMPANHAMENTO&lt;&gt;"BM",0,SUMPRODUCT(OFFSET(BM!$M$15,$A22,0,$B22)*(OFFSET(BM!$A$15,$A22,0,$B22)="S")*OFFSET(ORÇAMENTO!AA$15,$A22,0,$B22)/(OFFSET(ORÇAMENTO!$X$15,$A22,0,$B22)+10^-12)))</f>
        <v>0</v>
      </c>
      <c r="AK22" s="183" cm="1">
        <f t="array" aca="1" ref="AK22" ca="1">IF(ACOMPANHAMENTO&lt;&gt;"BM",0,SUMPRODUCT(OFFSET(BM!$M$15,$A22,0,$B22)*(OFFSET(BM!$A$15,$A22,0,$B22)="S")*OFFSET(ORÇAMENTO!AB$15,$A22,0,$B22)/(OFFSET(ORÇAMENTO!$X$15,$A22,0,$B22)+10^-12)))</f>
        <v>0</v>
      </c>
      <c r="AL22" s="183">
        <f ca="1">IF(ACOMPANHAMENTO&lt;&gt;"BM",0,OFFSET(BM!$M$15,$A22,0))</f>
        <v>0</v>
      </c>
      <c r="AM22" s="183" cm="1">
        <f t="array" aca="1" ref="AM22" ca="1">IF(ACOMPANHAMENTO&lt;&gt;"BM",0,SUMPRODUCT(OFFSET(BM!$O$15,$A22,0,$B22)*(OFFSET(BM!$A$15,$A22,0,$B22)="S")*OFFSET(ORÇAMENTO!AA$15,$A22,0,$B22)/(OFFSET(ORÇAMENTO!$X$15,$A22,0,$B22)+10^-12)))</f>
        <v>0</v>
      </c>
      <c r="AN22" s="183" cm="1">
        <f t="array" aca="1" ref="AN22" ca="1">IF(ACOMPANHAMENTO&lt;&gt;"BM",0,SUMPRODUCT(OFFSET(BM!$O$15,$A22,0,$B22)*(OFFSET(BM!$A$15,$A22,0,$B22)="S")*OFFSET(ORÇAMENTO!AB$15,$A22,0,$B22)/(OFFSET(ORÇAMENTO!$X$15,$A22,0,$B22)+10^-12)))</f>
        <v>0</v>
      </c>
      <c r="AO22" s="183">
        <f ca="1">IF(ACOMPANHAMENTO&lt;&gt;"BM",0,OFFSET(BM!$O$15,$A22,0))</f>
        <v>0</v>
      </c>
    </row>
    <row r="23" spans="1:41" ht="30" customHeight="1" x14ac:dyDescent="0.2">
      <c r="A23">
        <f ca="1">MATCH(E23,ORÇAMENTO!$E$15:$E$244,0)-1</f>
        <v>218</v>
      </c>
      <c r="B23">
        <f ca="1">IF(ISERROR($A23),NA(),OFFSET(ORÇAMENTO!$D$15,$A23,0))</f>
        <v>11</v>
      </c>
      <c r="C23" t="str">
        <f ca="1">QCI!B23</f>
        <v>Automático</v>
      </c>
      <c r="D23" t="str">
        <f ca="1">IF(L23&gt;0,"F","")</f>
        <v/>
      </c>
      <c r="E23" s="281">
        <f>QCI!D23</f>
        <v>10</v>
      </c>
      <c r="F23" s="362" t="str">
        <f ca="1">QCI!G23</f>
        <v>COMPLEMENTAÇÕES</v>
      </c>
      <c r="G23" s="363" t="str">
        <f>QCI!H23</f>
        <v>Em Análise</v>
      </c>
      <c r="H23" s="282">
        <f>QCI!I23</f>
        <v>20</v>
      </c>
      <c r="I23" s="282" t="str">
        <f ca="1">QCI!J23</f>
        <v>un</v>
      </c>
      <c r="J23" s="364" t="str">
        <f ca="1">QCI!K23</f>
        <v>LOTE 1</v>
      </c>
      <c r="K23" s="365" cm="1">
        <f t="array" aca="1" ref="K23" ca="1">IF($C23="Automático",IF(ACOMPANHAMENTO="BM",BM.medicao,PLE.Medicao),IF(ISBLANK($X23),"",$X23))</f>
        <v>1</v>
      </c>
      <c r="L23" s="286">
        <f ca="1">QCI!$O23</f>
        <v>0</v>
      </c>
      <c r="M23" s="283">
        <f ca="1">ROUND(IF(C23="Automático",AE23+AL23,Y23),2)</f>
        <v>0</v>
      </c>
      <c r="N23" s="284">
        <f ca="1">O23-M23</f>
        <v>0</v>
      </c>
      <c r="O23" s="285">
        <f ca="1">ROUND(IF(C23="Automático",AH23+AO23,Z23),2)</f>
        <v>0</v>
      </c>
      <c r="P23" s="367">
        <f ca="1">O23/(L23+10^-12)</f>
        <v>0</v>
      </c>
      <c r="R23" s="366" t="e">
        <f ca="1">ROUND(IF($C23="Automático",AC23+AJ23,$Y23*IF(ISERROR(QCI!$AA23/QCI!$O23),0,QCI!$AA23/QCI!$O23)),2)</f>
        <v>#DIV/0!</v>
      </c>
      <c r="S23" s="366" t="e">
        <f ca="1">ROUND(IF($C23="Automático",AD23+AK23,$Y23*IF(ISERROR(QCI!$AB23/QCI!$O23),0,QCI!$AB23/QCI!$O23)),2)</f>
        <v>#DIV/0!</v>
      </c>
      <c r="T23" s="366" t="e">
        <f ca="1">ROUND(IF($C23="Automático",AF23+AM23,$Z23*IF(ISERROR(QCI!$AA23/QCI!$O23),0,QCI!$AA23/QCI!$O23)),2)</f>
        <v>#DIV/0!</v>
      </c>
      <c r="U23" s="366" t="e">
        <f ca="1">ROUND(IF($C23="Automático",AG23+AN23,$Z23*IF(ISERROR(QCI!$AB23/QCI!$O23),0,QCI!$AB23/QCI!$O23)),2)</f>
        <v>#DIV/0!</v>
      </c>
      <c r="V23" s="449">
        <f ca="1">IF(AND($L23&gt;0,$J23&lt;&gt;0,$J23&lt;&gt;"",COUNTIF($J$13:$J23,$J23)=1),OFFSET(V23,-1,0)+1,OFFSET(V23,-1,0))</f>
        <v>0</v>
      </c>
      <c r="X23" s="513"/>
      <c r="Y23" s="287"/>
      <c r="Z23" s="288"/>
      <c r="AC23" s="183" t="e" cm="1">
        <f t="array" aca="1" ref="AC23" ca="1">IF(ACOMPANHAMENTO&lt;&gt;"PLE",0,SUMPRODUCT((OFFSET(CÁLCULO!$CT$15:$DT$15,$A23,0,$B23)&lt;=(PLE.Medicao-1))*OFFSET(CÁLCULO!$AR$15:$BR$15,$A23,0,$B23)*OFFSET(ORÇAMENTO!$AA$15,$A23,0,$B23)/(OFFSET(ORÇAMENTO!$X$15,$A23,0,$B23)+10^-12))+IF(AUTOEVENTO="Manual",SUMPRODUCT((OFFSET(CÁLCULO!$M$15,$A23,0,$B23)=1)*OFFSET(ORÇAMENTO!$AA$15,$A23,0,$B23)*(PLE!$AE$9-PLE!$Y$9)),0))</f>
        <v>#DIV/0!</v>
      </c>
      <c r="AD23" s="183" t="e" cm="1">
        <f t="array" aca="1" ref="AD23" ca="1">IF(ACOMPANHAMENTO&lt;&gt;"PLE",0,SUMPRODUCT((OFFSET(CÁLCULO!$CT$15:$DT$15,$A23,0,$B23)&lt;=(PLE.Medicao-1))*OFFSET(CÁLCULO!$AR$15:$BR$15,$A23,0,$B23)*OFFSET(ORÇAMENTO!$AB$15,$A23,0,$B23)/(OFFSET(ORÇAMENTO!$X$15,$A23,0,$B23)+10^-12))+IF(AUTOEVENTO="Manual",SUMPRODUCT((OFFSET(CÁLCULO!$M$15,$A23,0,$B23)=1)*OFFSET(ORÇAMENTO!$AB$15,$A23,0,$B23)*(PLE!$AE$9-PLE!$Y$9)),0))</f>
        <v>#DIV/0!</v>
      </c>
      <c r="AE23" s="183">
        <f ca="1">ROUND(
            IF(ACOMPANHAMENTO&lt;&gt;"PLE",0,
                      SUMIF(OFFSET(CÁLCULO!$CT$15:$DT$15,$A23,0,$B23),"&lt;="&amp;(PLE.Medicao-1),OFFSET(CÁLCULO!$AR$15:$BR$15,$A23,0,$B23))
                      +IF(AdmLocal="Automática",
                              SUMIF(OFFSET(CÁLCULO!$M$15,$A23,0,$B23),1,OFFSET(ORÇAMENTO!$X$15,$A23,0,$B23))*(PLE!$AE$9-PLE!$Y$9),
                              0)),
            2)</f>
        <v>0</v>
      </c>
      <c r="AF23" s="183" t="e" cm="1">
        <f t="array" aca="1" ref="AF23" ca="1">IF(ACOMPANHAMENTO&lt;&gt;"PLE",0,SUMPRODUCT((OFFSET(CÁLCULO!$CT$15:$DT$15,$A23,0,$B23)&lt;=PLE.Medicao)*OFFSET(CÁLCULO!$AR$15:$BR$15,$A23,0,$B23)*OFFSET(ORÇAMENTO!$AA$15,$A23,0,$B23)/(OFFSET(ORÇAMENTO!$X$15,$A23,0,$B23)+10^-12))+IF(AUTOEVENTO="Manual",SUMPRODUCT((OFFSET(CÁLCULO!$M$15,$A23,0,$B23)=1)*OFFSET(ORÇAMENTO!$AA$15,$A23,0,$B23)*PLE!$AE$9),0))</f>
        <v>#DIV/0!</v>
      </c>
      <c r="AG23" s="183" t="e" cm="1">
        <f t="array" aca="1" ref="AG23" ca="1">IF(ACOMPANHAMENTO&lt;&gt;"PLE",0,SUMPRODUCT((OFFSET(CÁLCULO!$CT$15:$DT$15,$A23,0,$B23)&lt;=PLE.Medicao)*OFFSET(CÁLCULO!$AR$15:$BR$15,$A23,0,$B23)*OFFSET(ORÇAMENTO!$AB$15,$A23,0,$B23)/(OFFSET(ORÇAMENTO!$X$15,$A23,0,$B23)+10^-12))+IF(AUTOEVENTO="Manual",SUMPRODUCT((OFFSET(CÁLCULO!$M$15,$A23,0,$B23)=1)*OFFSET(ORÇAMENTO!$AB$15,$A23,0,$B23)*PLE!$AE$9),0))</f>
        <v>#DIV/0!</v>
      </c>
      <c r="AH23" s="183">
        <f ca="1">ROUND(IF(ACOMPANHAMENTO&lt;&gt;"PLE",0,SUMIF(OFFSET(CÁLCULO!$CT$15:$DT$15,$A23,0,$B23),"&lt;="&amp;PLE.Medicao,OFFSET(CÁLCULO!$AR$15:$BR$15,$A23,0,$B23))+IF(AdmLocal="Automática",SUMIF(OFFSET(CÁLCULO!$M$15,$A23,0,$B23),1,OFFSET(ORÇAMENTO!$X$15,$A23,0,$B23))*PLE!$AE$9,0)),2)</f>
        <v>0</v>
      </c>
      <c r="AJ23" s="183" cm="1">
        <f t="array" aca="1" ref="AJ23" ca="1">IF(ACOMPANHAMENTO&lt;&gt;"BM",0,SUMPRODUCT(OFFSET(BM!$M$15,$A23,0,$B23)*(OFFSET(BM!$A$15,$A23,0,$B23)="S")*OFFSET(ORÇAMENTO!AA$15,$A23,0,$B23)/(OFFSET(ORÇAMENTO!$X$15,$A23,0,$B23)+10^-12)))</f>
        <v>0</v>
      </c>
      <c r="AK23" s="183" cm="1">
        <f t="array" aca="1" ref="AK23" ca="1">IF(ACOMPANHAMENTO&lt;&gt;"BM",0,SUMPRODUCT(OFFSET(BM!$M$15,$A23,0,$B23)*(OFFSET(BM!$A$15,$A23,0,$B23)="S")*OFFSET(ORÇAMENTO!AB$15,$A23,0,$B23)/(OFFSET(ORÇAMENTO!$X$15,$A23,0,$B23)+10^-12)))</f>
        <v>0</v>
      </c>
      <c r="AL23" s="183">
        <f ca="1">IF(ACOMPANHAMENTO&lt;&gt;"BM",0,OFFSET(BM!$M$15,$A23,0))</f>
        <v>0</v>
      </c>
      <c r="AM23" s="183" cm="1">
        <f t="array" aca="1" ref="AM23" ca="1">IF(ACOMPANHAMENTO&lt;&gt;"BM",0,SUMPRODUCT(OFFSET(BM!$O$15,$A23,0,$B23)*(OFFSET(BM!$A$15,$A23,0,$B23)="S")*OFFSET(ORÇAMENTO!AA$15,$A23,0,$B23)/(OFFSET(ORÇAMENTO!$X$15,$A23,0,$B23)+10^-12)))</f>
        <v>0</v>
      </c>
      <c r="AN23" s="183" cm="1">
        <f t="array" aca="1" ref="AN23" ca="1">IF(ACOMPANHAMENTO&lt;&gt;"BM",0,SUMPRODUCT(OFFSET(BM!$O$15,$A23,0,$B23)*(OFFSET(BM!$A$15,$A23,0,$B23)="S")*OFFSET(ORÇAMENTO!AB$15,$A23,0,$B23)/(OFFSET(ORÇAMENTO!$X$15,$A23,0,$B23)+10^-12)))</f>
        <v>0</v>
      </c>
      <c r="AO23" s="183">
        <f ca="1">IF(ACOMPANHAMENTO&lt;&gt;"BM",0,OFFSET(BM!$O$15,$A23,0))</f>
        <v>0</v>
      </c>
    </row>
    <row r="24" spans="1:41" ht="13.15" customHeight="1" x14ac:dyDescent="0.2">
      <c r="D24" t="s">
        <v>536</v>
      </c>
      <c r="E24" s="1"/>
      <c r="F24" s="1"/>
      <c r="G24" s="1"/>
      <c r="H24" s="1"/>
      <c r="I24" s="2"/>
      <c r="J24" s="839" t="s">
        <v>889</v>
      </c>
      <c r="K24" s="840"/>
      <c r="L24" s="369">
        <f ca="1">IF(ISERROR(L28/$L28),0,ROUND(L28/$L28,4))</f>
        <v>0</v>
      </c>
      <c r="M24" s="371">
        <f ca="1">IF(ISERROR(M28/$L28),0,ROUND(M28/$L28,4))</f>
        <v>0</v>
      </c>
      <c r="N24" s="370">
        <f ca="1">IF(ISERROR(N28/$L28),0,ROUND(N28/$L28,4))</f>
        <v>0</v>
      </c>
      <c r="O24" s="372">
        <f ca="1">IF(ISERROR(O28/$L28),0,ROUND(O28/$L28,4))</f>
        <v>0</v>
      </c>
      <c r="P24" s="841">
        <f ca="1">O28/(L28+10^-12)</f>
        <v>0</v>
      </c>
      <c r="X24" s="302"/>
      <c r="Y24" s="304"/>
      <c r="Z24" s="305"/>
    </row>
    <row r="25" spans="1:41" ht="13.15" customHeight="1" x14ac:dyDescent="0.2">
      <c r="D25" t="s">
        <v>536</v>
      </c>
      <c r="I25" s="4"/>
      <c r="J25" s="842" t="str">
        <f>IF(import.recurso="FGTS","Financiamento","Repasse")</f>
        <v>Repasse</v>
      </c>
      <c r="K25" s="843"/>
      <c r="L25" s="286">
        <f ca="1">QCI!L24</f>
        <v>0</v>
      </c>
      <c r="M25" s="283" t="e">
        <f ca="1">M28-M27-M26</f>
        <v>#DIV/0!</v>
      </c>
      <c r="N25" s="284" t="e">
        <f ca="1">O25-M25</f>
        <v>#DIV/0!</v>
      </c>
      <c r="O25" s="285" t="e">
        <f ca="1">O28-O27-O26</f>
        <v>#DIV/0!</v>
      </c>
      <c r="P25" s="841"/>
      <c r="X25" s="373"/>
      <c r="Y25" s="374" t="s">
        <v>890</v>
      </c>
      <c r="Z25" s="375" t="s">
        <v>891</v>
      </c>
      <c r="AC25" s="376" t="s">
        <v>892</v>
      </c>
      <c r="AD25" s="376" t="s">
        <v>893</v>
      </c>
    </row>
    <row r="26" spans="1:41" ht="13.15" customHeight="1" x14ac:dyDescent="0.2">
      <c r="D26" t="s">
        <v>536</v>
      </c>
      <c r="I26" s="4"/>
      <c r="J26" s="844" t="s">
        <v>894</v>
      </c>
      <c r="K26" s="845"/>
      <c r="L26" s="377">
        <f ca="1">QCI!M24</f>
        <v>0</v>
      </c>
      <c r="M26" s="378" t="e">
        <f ca="1">ROUND(IF(OFFSET($X$26,0,1)&lt;&gt;"",OFFSET($X$26,0,1),SUM(R13:OFFSET(R24,-1,0))),2)</f>
        <v>#DIV/0!</v>
      </c>
      <c r="N26" s="379" t="e">
        <f ca="1">O26-M26</f>
        <v>#DIV/0!</v>
      </c>
      <c r="O26" s="380" t="e">
        <f ca="1">IF(OFFSET($X$26,0,2)&lt;&gt;"",OFFSET($X$26,0,2),$AE$3)</f>
        <v>#DIV/0!</v>
      </c>
      <c r="P26" s="841"/>
      <c r="X26" s="381" t="s">
        <v>456</v>
      </c>
      <c r="Y26" s="444"/>
      <c r="Z26" s="445"/>
      <c r="AC26" s="382">
        <f ca="1">MIN($L26,$O$28-OFFSET($X$27,0,1))</f>
        <v>0</v>
      </c>
      <c r="AD26" s="382">
        <f ca="1">MIN($L26,$O$28-OFFSET($X$27,0,2))</f>
        <v>0</v>
      </c>
    </row>
    <row r="27" spans="1:41" ht="13.15" customHeight="1" x14ac:dyDescent="0.2">
      <c r="D27" t="s">
        <v>536</v>
      </c>
      <c r="I27" s="4"/>
      <c r="J27" s="825" t="s">
        <v>871</v>
      </c>
      <c r="K27" s="826"/>
      <c r="L27" s="383">
        <f ca="1">QCI!N24</f>
        <v>0</v>
      </c>
      <c r="M27" s="384" t="e">
        <f ca="1">ROUND(IF(OFFSET($X$27,0,1)&lt;&gt;"",OFFSET($X$27,0,1),SUM(S13:OFFSET(S24,-1,0))),2)</f>
        <v>#DIV/0!</v>
      </c>
      <c r="N27" s="385" t="e">
        <f ca="1">O27-M27</f>
        <v>#DIV/0!</v>
      </c>
      <c r="O27" s="386" t="e">
        <f ca="1">IF(OFFSET($X$27,0,2)&lt;&gt;"",OFFSET($X$27,0,2),$AE$4)</f>
        <v>#DIV/0!</v>
      </c>
      <c r="P27" s="841"/>
      <c r="X27" s="387" t="s">
        <v>794</v>
      </c>
      <c r="Y27" s="446"/>
      <c r="Z27" s="447"/>
      <c r="AC27" s="382">
        <f ca="1">MIN($L27,$O$28-OFFSET($X$26,0,1))</f>
        <v>0</v>
      </c>
      <c r="AD27" s="382">
        <f ca="1">MIN($L27,$O$28-OFFSET($X$26,0,2))</f>
        <v>0</v>
      </c>
    </row>
    <row r="28" spans="1:41" ht="15" x14ac:dyDescent="0.2">
      <c r="D28" t="s">
        <v>536</v>
      </c>
      <c r="I28" s="4"/>
      <c r="J28" s="827" t="s">
        <v>873</v>
      </c>
      <c r="K28" s="828"/>
      <c r="L28" s="388">
        <f ca="1">SUM(L13:OFFSET(L24,-1,0))</f>
        <v>0</v>
      </c>
      <c r="M28" s="648">
        <f ca="1">ROUND(SUM(M13:OFFSET(M24,-1,0)),2)</f>
        <v>0</v>
      </c>
      <c r="N28" s="649">
        <f ca="1">O28-M28</f>
        <v>0</v>
      </c>
      <c r="O28" s="389">
        <f ca="1">SUM(O13:OFFSET(O24,-1,0))</f>
        <v>0</v>
      </c>
      <c r="P28" s="841"/>
      <c r="X28" s="314"/>
      <c r="Y28" s="316"/>
      <c r="Z28" s="317"/>
    </row>
    <row r="29" spans="1:41" x14ac:dyDescent="0.2">
      <c r="O29" s="829" t="str">
        <f ca="1">"Acumulado Anterior:  "&amp;TEXT($M$28/($L$28+10^-12),"0,00%")</f>
        <v>Acumulado Anterior:  0,00%</v>
      </c>
      <c r="P29" s="829"/>
    </row>
    <row r="30" spans="1:41" ht="14.25" x14ac:dyDescent="0.2">
      <c r="E30" s="135" t="s">
        <v>689</v>
      </c>
      <c r="P30" s="414"/>
    </row>
    <row r="31" spans="1:41" ht="12.75" customHeight="1" x14ac:dyDescent="0.2">
      <c r="E31" s="833"/>
      <c r="F31" s="834"/>
      <c r="G31" s="834"/>
      <c r="H31" s="834"/>
      <c r="I31" s="834"/>
      <c r="J31" s="834"/>
      <c r="K31" s="834"/>
      <c r="L31" s="834"/>
      <c r="M31" s="834"/>
      <c r="N31" s="834"/>
      <c r="O31" s="834"/>
      <c r="P31" s="835"/>
    </row>
    <row r="32" spans="1:41" ht="12.75" customHeight="1" x14ac:dyDescent="0.2">
      <c r="E32" s="833"/>
      <c r="F32" s="834"/>
      <c r="G32" s="834"/>
      <c r="H32" s="834"/>
      <c r="I32" s="834"/>
      <c r="J32" s="834"/>
      <c r="K32" s="834"/>
      <c r="L32" s="834"/>
      <c r="M32" s="834"/>
      <c r="N32" s="834"/>
      <c r="O32" s="834"/>
      <c r="P32" s="835"/>
      <c r="Y32" s="390"/>
      <c r="Z32" s="390"/>
    </row>
    <row r="33" spans="5:16" ht="12.75" customHeight="1" x14ac:dyDescent="0.2">
      <c r="E33" s="836"/>
      <c r="F33" s="837"/>
      <c r="G33" s="837"/>
      <c r="H33" s="837"/>
      <c r="I33" s="837"/>
      <c r="J33" s="837"/>
      <c r="K33" s="837"/>
      <c r="L33" s="837"/>
      <c r="M33" s="837"/>
      <c r="N33" s="837"/>
      <c r="O33" s="837"/>
      <c r="P33" s="838"/>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717" t="str">
        <f>Import.Município</f>
        <v>Pedro Régis-PB</v>
      </c>
      <c r="F35" s="717"/>
      <c r="G35" s="717"/>
      <c r="I35" s="391"/>
      <c r="K35" s="584"/>
      <c r="L35" s="770">
        <f>DADOS!$C$48</f>
        <v>0</v>
      </c>
      <c r="M35" s="770"/>
      <c r="N35" s="770"/>
      <c r="O35" s="770"/>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t="str">
        <f>IF(CAIXA.Modo,DADOS!C60,DADOS!C28)</f>
        <v>Michele Ribeiro de Oliveira</v>
      </c>
      <c r="L40" s="77" t="s">
        <v>240</v>
      </c>
      <c r="M40" s="816">
        <f>IF(CAIXA.Modo,BM!X256,DADOS!C51)</f>
        <v>0</v>
      </c>
      <c r="N40" s="816"/>
      <c r="O40" s="816"/>
    </row>
    <row r="41" spans="5:16" x14ac:dyDescent="0.2">
      <c r="E41" s="77" t="str">
        <f>IF(CAIXA.Modo,"Função:","Cargo:")</f>
        <v>Cargo:</v>
      </c>
      <c r="F41" s="271" t="str">
        <f>IF(CAIXA.Modo,DADOS!C61,DADOS!C29)</f>
        <v>Prefeita Constitucional</v>
      </c>
      <c r="L41" s="77" t="str">
        <f>IF(CAIXA.Modo,"Matrícula:","Profissão:")</f>
        <v>Profissão:</v>
      </c>
      <c r="M41" s="816">
        <f>IF(CAIXA.Modo,BM!X257,DADOS!C52)</f>
        <v>0</v>
      </c>
      <c r="N41" s="816"/>
      <c r="O41" s="816"/>
    </row>
    <row r="42" spans="5:16" x14ac:dyDescent="0.2">
      <c r="L42" s="77" t="s">
        <v>243</v>
      </c>
      <c r="M42" s="816">
        <f>IF(CAIXA.Modo,BM!X258,DADOS!C53)</f>
        <v>0</v>
      </c>
      <c r="N42" s="816"/>
      <c r="O42" s="816"/>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15"/>
      <c r="G47" s="815"/>
      <c r="L47" s="77" t="s">
        <v>240</v>
      </c>
      <c r="M47" s="815"/>
      <c r="N47" s="815"/>
      <c r="O47" s="815"/>
    </row>
    <row r="48" spans="5:16" x14ac:dyDescent="0.2">
      <c r="E48" s="77" t="str">
        <f>IF(CAIXA.Modo,"Função:","Cargo:")</f>
        <v>Cargo:</v>
      </c>
      <c r="F48" s="815"/>
      <c r="G48" s="815"/>
      <c r="L48" s="77" t="str">
        <f>IF(CAIXA.Modo,"Função:","Cargo:")</f>
        <v>Cargo:</v>
      </c>
      <c r="M48" s="815"/>
      <c r="N48" s="815"/>
      <c r="O48" s="815"/>
    </row>
    <row r="49" spans="5:15" x14ac:dyDescent="0.2">
      <c r="E49" s="77" t="str">
        <f>IF(CAIXA.Modo,"Matr:","")</f>
        <v/>
      </c>
      <c r="F49" s="815"/>
      <c r="G49" s="815"/>
      <c r="L49" s="77" t="str">
        <f>IF(CAIXA.Modo,"Matrícula:","")</f>
        <v/>
      </c>
      <c r="M49" s="815"/>
      <c r="N49" s="815"/>
      <c r="O49" s="815"/>
    </row>
  </sheetData>
  <sheetProtection algorithmName="SHA-512" hashValue="ITEJhbPxVIWg8ZgRT1xTC9HUbgqAfsoA6genjrb3/WPNFfYy5AEVwo0LTznR5uN63A+7GAQLIHAbj1Xr5cJfaQ==" saltValue="+vGGpgmyTOkbNV1Mf4TRvA==" spinCount="100000" sheet="1" objects="1" scenarios="1" autoFilter="0"/>
  <autoFilter ref="D13:D30" xr:uid="{00000000-0009-0000-0000-00000C000000}"/>
  <mergeCells count="4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 ref="J27:K27"/>
    <mergeCell ref="J28:K28"/>
    <mergeCell ref="O29:P29"/>
    <mergeCell ref="M48:O48"/>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28515625" customWidth="1"/>
  </cols>
  <sheetData>
    <row r="1" spans="2:13" x14ac:dyDescent="0.2">
      <c r="B1" s="849"/>
      <c r="C1" s="849"/>
      <c r="D1" s="49"/>
      <c r="E1" s="49"/>
      <c r="F1" s="49"/>
      <c r="G1" s="52" t="s">
        <v>644</v>
      </c>
    </row>
    <row r="2" spans="2:13" x14ac:dyDescent="0.2">
      <c r="B2" s="849"/>
      <c r="C2" s="849"/>
      <c r="D2" s="49"/>
      <c r="E2" s="49"/>
      <c r="F2" s="49"/>
      <c r="G2" s="11" t="s">
        <v>895</v>
      </c>
    </row>
    <row r="3" spans="2:13" ht="26.1" customHeight="1" x14ac:dyDescent="0.2">
      <c r="B3" s="849"/>
      <c r="C3" s="849"/>
      <c r="D3" s="49"/>
      <c r="E3" s="49"/>
      <c r="F3" s="49"/>
      <c r="G3" s="393"/>
    </row>
    <row r="4" spans="2:13" ht="12.75" customHeight="1" x14ac:dyDescent="0.2">
      <c r="B4" s="849"/>
      <c r="C4" s="849"/>
      <c r="D4" s="49"/>
      <c r="E4" s="49"/>
      <c r="F4" s="49"/>
      <c r="G4" s="49"/>
    </row>
    <row r="5" spans="2:13" x14ac:dyDescent="0.2">
      <c r="C5" s="571" t="str">
        <f>IF(Import.Ofício.Num=0,"Preencher o número do Ofício","")</f>
        <v>Preencher o número do Ofício</v>
      </c>
    </row>
    <row r="6" spans="2:13" x14ac:dyDescent="0.2">
      <c r="B6" s="394" t="s">
        <v>896</v>
      </c>
      <c r="C6" s="846"/>
      <c r="D6" s="846"/>
      <c r="E6" s="394"/>
      <c r="F6" s="394"/>
      <c r="G6" s="49"/>
      <c r="J6" s="9"/>
    </row>
    <row r="7" spans="2:13" x14ac:dyDescent="0.2">
      <c r="B7" s="49"/>
      <c r="C7" s="49"/>
      <c r="D7" s="49"/>
      <c r="E7" s="49"/>
      <c r="F7" s="49"/>
      <c r="G7" s="49"/>
    </row>
    <row r="8" spans="2:13" x14ac:dyDescent="0.2">
      <c r="B8" s="847" t="str">
        <f>CONCATENATE(RRE!$E$35,", ",TEXT(RRE!$L$35,"dd"" de ""mmmm"" de ""aaaa"))</f>
        <v>Pedro Régis-PB, 00 de janeiro de 1900</v>
      </c>
      <c r="C8" s="847"/>
      <c r="D8" s="847"/>
      <c r="E8" s="847"/>
      <c r="F8" s="847"/>
      <c r="G8" s="847"/>
      <c r="H8" s="395"/>
      <c r="J8" s="395"/>
      <c r="K8" s="395"/>
      <c r="L8" s="395"/>
      <c r="M8" s="395"/>
    </row>
    <row r="9" spans="2:13" x14ac:dyDescent="0.2">
      <c r="B9" s="396" t="s">
        <v>897</v>
      </c>
      <c r="C9" s="49"/>
      <c r="D9" s="49"/>
      <c r="G9" s="49"/>
      <c r="H9" s="395"/>
      <c r="J9" s="395"/>
      <c r="K9" s="395"/>
      <c r="L9" s="395"/>
      <c r="M9" s="395"/>
    </row>
    <row r="10" spans="2:13" x14ac:dyDescent="0.2">
      <c r="B10" s="848" t="s">
        <v>898</v>
      </c>
      <c r="C10" s="848"/>
      <c r="D10" s="848"/>
      <c r="G10" s="49"/>
      <c r="H10" s="395"/>
      <c r="J10" s="395"/>
      <c r="K10" s="395"/>
      <c r="L10" s="395"/>
      <c r="M10" s="395"/>
    </row>
    <row r="11" spans="2:13" x14ac:dyDescent="0.2">
      <c r="B11" s="397" t="s">
        <v>899</v>
      </c>
      <c r="C11" s="815"/>
      <c r="D11" s="815"/>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48" t="str" cm="1">
        <f t="array" aca="1" ref="C14" ca="1">CONCATENATE(RRE.Numero,"ª"," Solicitação de ",IF(import.recurso="OGU","Desbloqueio","Desembolso")," de Recursos.")</f>
        <v>1ª Solicitação de Desbloqueio de Recursos.</v>
      </c>
      <c r="D14" s="848"/>
      <c r="E14" s="848"/>
      <c r="F14" s="848"/>
      <c r="G14" s="848"/>
    </row>
    <row r="15" spans="2:13" ht="12.75" customHeight="1" x14ac:dyDescent="0.2">
      <c r="B15" s="396" t="s">
        <v>901</v>
      </c>
      <c r="C15" s="854" t="str">
        <f>CONCATENATE("Contrato de ",IF(import.recurso="OGU","Repasse","Financiamento")," - Operação nº ",Import.CR,IF(Import.TransfereGOV="","",CONCATENATE(" - TransfereGOV nº ",Import.TransfereGOV)))</f>
        <v>Contrato de Repasse - Operação nº - - TransfereGOV nº -</v>
      </c>
      <c r="D15" s="854"/>
      <c r="E15" s="854"/>
      <c r="F15" s="854"/>
      <c r="G15" s="854"/>
    </row>
    <row r="16" spans="2:13" x14ac:dyDescent="0.2">
      <c r="B16" s="396"/>
      <c r="C16" s="854"/>
      <c r="D16" s="854"/>
      <c r="E16" s="854"/>
      <c r="F16" s="854"/>
      <c r="G16" s="854"/>
    </row>
    <row r="17" spans="2:7" x14ac:dyDescent="0.2">
      <c r="B17" s="49"/>
      <c r="C17" s="49"/>
      <c r="D17" s="49"/>
      <c r="E17" s="49"/>
      <c r="F17" s="49"/>
      <c r="G17" s="49"/>
    </row>
    <row r="18" spans="2:7" ht="12.75" customHeight="1" x14ac:dyDescent="0.2">
      <c r="B18" s="271" t="s">
        <v>902</v>
      </c>
      <c r="C18" s="850" t="str">
        <f>Import.DescLote</f>
        <v>Construção de 20 residencias unifamiliares no Município de Pedro Régis/PB - Novo PAC FNHIS - Sub 50</v>
      </c>
      <c r="D18" s="850"/>
      <c r="E18" s="850"/>
      <c r="F18" s="850"/>
      <c r="G18" s="850"/>
    </row>
    <row r="19" spans="2:7" ht="12.75" customHeight="1" x14ac:dyDescent="0.2">
      <c r="B19" s="852" t="s">
        <v>903</v>
      </c>
      <c r="C19" s="853" t="str">
        <f>Import.Proponente</f>
        <v>Prefeitura Municipal de Pedro Régis-PB</v>
      </c>
      <c r="D19" s="853"/>
      <c r="E19" s="853"/>
      <c r="F19" s="853"/>
      <c r="G19" s="853"/>
    </row>
    <row r="20" spans="2:7" x14ac:dyDescent="0.2">
      <c r="B20" s="852"/>
      <c r="C20" s="853"/>
      <c r="D20" s="853"/>
      <c r="E20" s="853"/>
      <c r="F20" s="853"/>
      <c r="G20" s="853"/>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50"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50"/>
      <c r="D24" s="850"/>
      <c r="E24" s="850"/>
      <c r="F24" s="850"/>
      <c r="G24" s="850"/>
    </row>
    <row r="25" spans="2:7" x14ac:dyDescent="0.2">
      <c r="B25" s="850"/>
      <c r="C25" s="850"/>
      <c r="D25" s="850"/>
      <c r="E25" s="850"/>
      <c r="F25" s="850"/>
      <c r="G25" s="850"/>
    </row>
    <row r="26" spans="2:7" x14ac:dyDescent="0.2">
      <c r="B26" s="850"/>
      <c r="C26" s="850"/>
      <c r="D26" s="850"/>
      <c r="E26" s="850"/>
      <c r="F26" s="850"/>
      <c r="G26" s="850"/>
    </row>
    <row r="27" spans="2:7" x14ac:dyDescent="0.2">
      <c r="B27" s="49"/>
      <c r="C27" s="49"/>
      <c r="D27" s="49"/>
      <c r="E27" s="49"/>
      <c r="F27" s="49"/>
      <c r="G27" s="49"/>
    </row>
    <row r="28" spans="2:7" ht="12.75" customHeight="1" x14ac:dyDescent="0.2">
      <c r="B28" s="851"/>
      <c r="C28" s="851"/>
      <c r="D28" s="855" t="s">
        <v>904</v>
      </c>
      <c r="E28" s="855" t="str" cm="1">
        <f t="array" aca="1" ref="E28" ca="1">"Evolução da "&amp;RRE.Numero&amp;"ª Medição"</f>
        <v>Evolução da 1ª Medição</v>
      </c>
      <c r="F28" s="856" t="s">
        <v>905</v>
      </c>
      <c r="G28" s="856"/>
    </row>
    <row r="29" spans="2:7" x14ac:dyDescent="0.2">
      <c r="B29" s="851"/>
      <c r="C29" s="851"/>
      <c r="D29" s="855"/>
      <c r="E29" s="855"/>
      <c r="F29" s="856"/>
      <c r="G29" s="856"/>
    </row>
    <row r="30" spans="2:7" x14ac:dyDescent="0.2">
      <c r="B30" s="857" t="str">
        <f>IF(import.recurso="FGTS","Financiamento:","Repasse:")</f>
        <v>Repasse:</v>
      </c>
      <c r="C30" s="857"/>
      <c r="D30" s="399">
        <f ca="1">RRE!L25</f>
        <v>0</v>
      </c>
      <c r="E30" s="399" t="e">
        <f ca="1">RRE!N25</f>
        <v>#DIV/0!</v>
      </c>
      <c r="F30" s="858" t="e">
        <f ca="1">RRE!O25</f>
        <v>#DIV/0!</v>
      </c>
      <c r="G30" s="858"/>
    </row>
    <row r="31" spans="2:7" x14ac:dyDescent="0.2">
      <c r="B31" s="857" t="s">
        <v>906</v>
      </c>
      <c r="C31" s="857"/>
      <c r="D31" s="399">
        <f ca="1">RRE!L26</f>
        <v>0</v>
      </c>
      <c r="E31" s="399" t="e">
        <f ca="1">RRE!N26</f>
        <v>#DIV/0!</v>
      </c>
      <c r="F31" s="858" t="e">
        <f ca="1">RRE!O26</f>
        <v>#DIV/0!</v>
      </c>
      <c r="G31" s="858"/>
    </row>
    <row r="32" spans="2:7" x14ac:dyDescent="0.2">
      <c r="B32" s="857" t="s">
        <v>801</v>
      </c>
      <c r="C32" s="857"/>
      <c r="D32" s="399">
        <f ca="1">RRE!L27</f>
        <v>0</v>
      </c>
      <c r="E32" s="399" t="e">
        <f ca="1">RRE!N27</f>
        <v>#DIV/0!</v>
      </c>
      <c r="F32" s="858" t="e">
        <f ca="1">RRE!O27</f>
        <v>#DIV/0!</v>
      </c>
      <c r="G32" s="858"/>
    </row>
    <row r="33" spans="2:7" x14ac:dyDescent="0.2">
      <c r="B33" s="857" t="s">
        <v>802</v>
      </c>
      <c r="C33" s="857"/>
      <c r="D33" s="399">
        <f ca="1">RRE!L28</f>
        <v>0</v>
      </c>
      <c r="E33" s="399">
        <f ca="1">RRE!N28</f>
        <v>0</v>
      </c>
      <c r="F33" s="858">
        <f ca="1">RRE!O28</f>
        <v>0</v>
      </c>
      <c r="G33" s="858"/>
    </row>
    <row r="34" spans="2:7" x14ac:dyDescent="0.2">
      <c r="B34" s="861" t="s">
        <v>907</v>
      </c>
      <c r="C34" s="861"/>
      <c r="D34" s="400" t="s">
        <v>688</v>
      </c>
      <c r="E34" s="401">
        <f ca="1">RRE!$N$28/(RRE!$L$28+10^-12)</f>
        <v>0</v>
      </c>
      <c r="F34" s="862">
        <f ca="1">RRE!P24</f>
        <v>0</v>
      </c>
      <c r="G34" s="862"/>
    </row>
    <row r="35" spans="2:7" x14ac:dyDescent="0.2">
      <c r="B35" s="181"/>
      <c r="C35" s="49"/>
      <c r="D35" s="49"/>
      <c r="E35" s="49"/>
      <c r="F35" s="49"/>
      <c r="G35" s="49"/>
    </row>
    <row r="36" spans="2:7" x14ac:dyDescent="0.2">
      <c r="B36" s="181"/>
      <c r="C36" s="181"/>
      <c r="D36" s="181"/>
      <c r="E36" s="181"/>
      <c r="F36" s="181"/>
      <c r="G36" s="49"/>
    </row>
    <row r="37" spans="2:7" x14ac:dyDescent="0.2">
      <c r="B37" s="863" t="str" cm="1">
        <f t="array" aca="1" ref="B37" ca="1">IF(RRE.Numero&gt;1,"2. Encaminhamos ainda a documentação relativa à prestação de contas da etapa físico-financeira anterior.","")</f>
        <v/>
      </c>
      <c r="C37" s="863"/>
      <c r="D37" s="863"/>
      <c r="E37" s="863"/>
      <c r="F37" s="863"/>
      <c r="G37" s="863"/>
    </row>
    <row r="38" spans="2:7" x14ac:dyDescent="0.2">
      <c r="B38" s="863"/>
      <c r="C38" s="863"/>
      <c r="D38" s="863"/>
      <c r="E38" s="863"/>
      <c r="F38" s="863"/>
      <c r="G38" s="863"/>
    </row>
    <row r="39" spans="2:7" ht="12.75" customHeight="1" x14ac:dyDescent="0.2">
      <c r="B39" s="863" t="str" cm="1">
        <f t="array" aca="1" ref="B39" ca="1">IF(AND(RRE.Numero&gt;1,NOT(ISBLANK(Import.TransfereGOV))),"3. Na oportunidade, informamos que a execução financeira da parcela anterior está devidamente comprovada no TransfereGOV.","")</f>
        <v/>
      </c>
      <c r="C39" s="863"/>
      <c r="D39" s="863"/>
      <c r="E39" s="863"/>
      <c r="F39" s="863"/>
      <c r="G39" s="863"/>
    </row>
    <row r="40" spans="2:7" x14ac:dyDescent="0.2">
      <c r="B40" s="863"/>
      <c r="C40" s="863"/>
      <c r="D40" s="863"/>
      <c r="E40" s="863"/>
      <c r="F40" s="863"/>
      <c r="G40" s="863"/>
    </row>
    <row r="41" spans="2:7" x14ac:dyDescent="0.2">
      <c r="B41" s="402"/>
      <c r="C41" s="397"/>
      <c r="D41" s="397"/>
      <c r="E41" s="397"/>
      <c r="F41" s="397"/>
      <c r="G41" s="397"/>
    </row>
    <row r="42" spans="2:7" ht="12.75" customHeight="1" x14ac:dyDescent="0.2">
      <c r="B42" s="863"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63"/>
      <c r="D42" s="863"/>
      <c r="E42" s="863"/>
      <c r="F42" s="863"/>
      <c r="G42" s="863"/>
    </row>
    <row r="43" spans="2:7" x14ac:dyDescent="0.2">
      <c r="B43" s="863"/>
      <c r="C43" s="863"/>
      <c r="D43" s="863"/>
      <c r="E43" s="863"/>
      <c r="F43" s="863"/>
      <c r="G43" s="863"/>
    </row>
    <row r="44" spans="2:7" x14ac:dyDescent="0.2">
      <c r="B44" s="863"/>
      <c r="C44" s="863"/>
      <c r="D44" s="863"/>
      <c r="E44" s="863"/>
      <c r="F44" s="863"/>
      <c r="G44" s="863"/>
    </row>
    <row r="45" spans="2:7" x14ac:dyDescent="0.2">
      <c r="B45" s="863"/>
      <c r="C45" s="863"/>
      <c r="D45" s="863"/>
      <c r="E45" s="863"/>
      <c r="F45" s="863"/>
      <c r="G45" s="863"/>
    </row>
    <row r="46" spans="2:7" x14ac:dyDescent="0.2">
      <c r="B46" s="863"/>
      <c r="C46" s="863"/>
      <c r="D46" s="863"/>
      <c r="E46" s="863"/>
      <c r="F46" s="863"/>
      <c r="G46" s="863"/>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59" t="str">
        <f>DADOS!$C$28</f>
        <v>Michele Ribeiro de Oliveira</v>
      </c>
      <c r="C54" s="859"/>
      <c r="D54" s="859"/>
      <c r="E54" s="859"/>
      <c r="F54" s="859"/>
      <c r="G54" s="859"/>
    </row>
    <row r="55" spans="2:7" x14ac:dyDescent="0.2">
      <c r="B55" s="859" t="str">
        <f>DADOS!$C$29</f>
        <v>Prefeita Constitucional</v>
      </c>
      <c r="C55" s="859"/>
      <c r="D55" s="859"/>
      <c r="E55" s="859"/>
      <c r="F55" s="859"/>
      <c r="G55" s="859"/>
    </row>
    <row r="56" spans="2:7" x14ac:dyDescent="0.2">
      <c r="B56" s="860"/>
      <c r="C56" s="860"/>
      <c r="D56" s="860"/>
      <c r="E56" s="860"/>
      <c r="F56" s="860"/>
      <c r="G56" s="860"/>
    </row>
  </sheetData>
  <sheetProtection algorithmName="SHA-512" hashValue="el9wrOcF+wNcNe4p3Pe9Af898R0nl72LD9MzIRLOo2QwZzfPzth+JuAZ2PdrTaDP5EWDXuwfmWe5Oczj+eQUTA==" saltValue="tNK0dbLKGiYwfKN4PQEqqg=="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28515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28515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66"/>
      <c r="B2" s="667"/>
      <c r="C2" s="666"/>
      <c r="D2" s="666"/>
      <c r="E2" s="666"/>
      <c r="F2" s="668"/>
      <c r="G2" s="666"/>
      <c r="H2" s="669"/>
      <c r="I2" s="669"/>
      <c r="J2" s="670"/>
      <c r="K2" s="671"/>
      <c r="L2" s="672"/>
      <c r="M2" s="666"/>
      <c r="N2" s="673"/>
      <c r="O2" s="666"/>
      <c r="P2" s="673"/>
      <c r="Q2" s="666"/>
      <c r="R2" s="674"/>
      <c r="S2" s="671"/>
    </row>
  </sheetData>
  <conditionalFormatting sqref="A2:S2">
    <cfRule type="expression" dxfId="37" priority="78">
      <formula>$A2="Macrosserviço"</formula>
    </cfRule>
  </conditionalFormatting>
  <conditionalFormatting sqref="E2">
    <cfRule type="expression" dxfId="36" priority="84">
      <formula>IF($A2="Macrosserviço",LEN($E2)&gt;100,LEN($E2)&gt;500)</formula>
    </cfRule>
  </conditionalFormatting>
  <conditionalFormatting sqref="M2">
    <cfRule type="expression" dxfId="35" priority="79">
      <formula>IF($A2="Serviço",LEN(M2)&gt;500,M2&lt;&gt;"")</formula>
    </cfRule>
  </conditionalFormatting>
  <conditionalFormatting sqref="A2">
    <cfRule type="expression" dxfId="34" priority="71">
      <formula>AND(A2&lt;&gt;"Macrosserviço",A2&lt;&gt;"Serviço",A2&lt;&gt;"")</formula>
    </cfRule>
  </conditionalFormatting>
  <conditionalFormatting sqref="C2">
    <cfRule type="expression" dxfId="33" priority="70">
      <formula>IF($A2="Serviço",AND(C2&lt;&gt;"Composição",C2&lt;&gt;"Cotação",C2&lt;&gt;"SINAPI",C2&lt;&gt;"Outros"),C2&lt;&gt;"")</formula>
    </cfRule>
  </conditionalFormatting>
  <conditionalFormatting sqref="D2">
    <cfRule type="expression" dxfId="32" priority="69">
      <formula>IF($A2="Serviço",OR(D2="",LEN($D2)&gt;13),D2&lt;&gt;"")</formula>
    </cfRule>
  </conditionalFormatting>
  <conditionalFormatting sqref="H2">
    <cfRule type="expression" dxfId="31" priority="68">
      <formula>IF(A2="Serviço",OR(NOT(ISNUMBER(H2)),H2&lt;&gt;ROUND(H2,2),AND(C2&lt;&gt;"SINAPI",H2=0),H2&lt;0,H2&gt;9999999999.99),H2&lt;&gt;"")</formula>
    </cfRule>
  </conditionalFormatting>
  <conditionalFormatting sqref="I2">
    <cfRule type="expression" dxfId="30" priority="67">
      <formula>IF($A2="Serviço",OR(NOT(ISNUMBER(I2)),I2&lt;&gt;ROUND(I2,2),I2&lt;=0,I2&gt;9999999999.99,AND(I2&gt;H2,H2&gt;0)),I2&lt;&gt;"")</formula>
    </cfRule>
  </conditionalFormatting>
  <conditionalFormatting sqref="J2">
    <cfRule type="expression" dxfId="29" priority="66">
      <formula>IF($A2="Serviço",OR(NOT(ISNUMBER(VALUE(J2))),VALUE(J2)&lt;&gt;ROUND(VALUE(J2),4),VALUE(J2)&lt;=0,VALUE(J2)&gt;100%),J2&lt;&gt;"")</formula>
    </cfRule>
  </conditionalFormatting>
  <conditionalFormatting sqref="N2">
    <cfRule type="expression" dxfId="28" priority="65">
      <formula>IF($A2="Serviço",OR(NOT(ISNUMBER(N2)),N2&lt;&gt;ROUND(N2,0),N2&lt;1,N2&gt;999),N2&lt;&gt;"")</formula>
    </cfRule>
  </conditionalFormatting>
  <conditionalFormatting sqref="O2">
    <cfRule type="expression" dxfId="27" priority="64">
      <formula>IF($A2="Serviço",OR(O2="",LEN(O2)&gt;100),O2&lt;&gt;"")</formula>
    </cfRule>
  </conditionalFormatting>
  <conditionalFormatting sqref="P2">
    <cfRule type="expression" dxfId="26" priority="63">
      <formula>IF($A2="Macrosserviço",P2&lt;&gt;"",OR(NOT(ISNUMBER(P2)),P2&lt;&gt;ROUND(P2,0),P2&lt;1,P2&gt;999))</formula>
    </cfRule>
  </conditionalFormatting>
  <conditionalFormatting sqref="Q2">
    <cfRule type="expression" dxfId="25" priority="62">
      <formula>IF($A2="Macrosserviço",Q2&lt;&gt;"",OR(Q2="",LEN(Q2)&gt;100))</formula>
    </cfRule>
  </conditionalFormatting>
  <conditionalFormatting sqref="R2">
    <cfRule type="expression" dxfId="24" priority="53">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50"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28515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28515625" style="516"/>
  </cols>
  <sheetData>
    <row r="1" spans="1:5" x14ac:dyDescent="0.25">
      <c r="A1" s="515" t="s">
        <v>925</v>
      </c>
      <c r="B1" s="515" t="s">
        <v>761</v>
      </c>
      <c r="C1" s="515" t="s">
        <v>926</v>
      </c>
      <c r="D1" s="515" t="s">
        <v>922</v>
      </c>
      <c r="E1" s="515" t="s">
        <v>927</v>
      </c>
    </row>
    <row r="2" spans="1:5" ht="45" customHeight="1" x14ac:dyDescent="0.25">
      <c r="A2" s="676"/>
      <c r="B2" s="676"/>
      <c r="C2" s="676"/>
      <c r="D2" s="676"/>
      <c r="E2" s="676"/>
    </row>
  </sheetData>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28515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28515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28515625" defaultRowHeight="15" x14ac:dyDescent="0.25"/>
  <cols>
    <col min="1" max="1" width="15" style="516" customWidth="1"/>
    <col min="2" max="2" width="70" style="516" customWidth="1"/>
    <col min="3" max="3" width="10" style="516" customWidth="1"/>
    <col min="4" max="4" width="20" style="516" customWidth="1"/>
    <col min="5" max="16384" width="9.28515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Fagner Paulino</cp:lastModifiedBy>
  <cp:revision>5</cp:revision>
  <cp:lastPrinted>2025-11-21T02:14:46Z</cp:lastPrinted>
  <dcterms:created xsi:type="dcterms:W3CDTF">1997-01-10T22:22:50Z</dcterms:created>
  <dcterms:modified xsi:type="dcterms:W3CDTF">2026-02-09T15:14:24Z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